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16.xml" ContentType="application/vnd.openxmlformats-officedocument.drawingml.chart+xml"/>
  <Override PartName="/xl/charts/chart15.xml" ContentType="application/vnd.openxmlformats-officedocument.drawingml.chart+xml"/>
  <Override PartName="/xl/charts/chart14.xml" ContentType="application/vnd.openxmlformats-officedocument.drawingml.chart+xml"/>
  <Override PartName="/xl/charts/chart7.xml" ContentType="application/vnd.openxmlformats-officedocument.drawingml.chart+xml"/>
  <Override PartName="/xl/worksheets/sheet1.xml" ContentType="application/vnd.openxmlformats-officedocument.spreadsheetml.workshee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worksheets/sheet3.xml" ContentType="application/vnd.openxmlformats-officedocument.spreadsheetml.worksheet+xml"/>
  <Override PartName="/xl/worksheets/sheet2.xml" ContentType="application/vnd.openxmlformats-officedocument.spreadsheetml.worksheet+xml"/>
  <Override PartName="/xl/charts/chart6.xml" ContentType="application/vnd.openxmlformats-officedocument.drawingml.chart+xml"/>
  <Override PartName="/xl/charts/chart8.xml" ContentType="application/vnd.openxmlformats-officedocument.drawingml.chart+xml"/>
  <Override PartName="/xl/charts/chart4.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5.xml" ContentType="application/vnd.openxmlformats-officedocument.drawingml.char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docProps/core.xml" ContentType="application/vnd.openxmlformats-package.core-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xl/comments3.xml" ContentType="application/vnd.openxmlformats-officedocument.spreadsheetml.comment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70" yWindow="-120" windowWidth="24270" windowHeight="10170" activeTab="2"/>
  </bookViews>
  <sheets>
    <sheet name="Introduction" sheetId="3" r:id="rId1"/>
    <sheet name="Index" sheetId="5" r:id="rId2"/>
    <sheet name="Equipment Results Matrix" sheetId="2" r:id="rId3"/>
    <sheet name="Labor Results Matrix" sheetId="6" r:id="rId4"/>
    <sheet name="Equipment + Labor" sheetId="8" r:id="rId5"/>
  </sheets>
  <definedNames>
    <definedName name="_xlnm.Print_Area" localSheetId="4">'Equipment + Labor'!$A$1:$V$872</definedName>
    <definedName name="_xlnm.Print_Titles" localSheetId="4">'Equipment + Labor'!$1:$3</definedName>
  </definedNames>
  <calcPr calcId="145621"/>
</workbook>
</file>

<file path=xl/calcChain.xml><?xml version="1.0" encoding="utf-8"?>
<calcChain xmlns="http://schemas.openxmlformats.org/spreadsheetml/2006/main">
  <c r="Y596" i="2" l="1"/>
  <c r="Y595" i="2"/>
  <c r="T29" i="6" l="1"/>
  <c r="R29" i="6"/>
  <c r="O30" i="6"/>
  <c r="O29" i="6"/>
  <c r="O28" i="6"/>
  <c r="O50" i="6"/>
  <c r="T49" i="6"/>
  <c r="R49" i="6"/>
  <c r="S49" i="6"/>
  <c r="Q49" i="6"/>
  <c r="O48" i="6"/>
  <c r="O49" i="6"/>
  <c r="L135" i="8"/>
  <c r="L136" i="8"/>
  <c r="L137" i="8"/>
  <c r="L138" i="8"/>
  <c r="L139" i="8"/>
  <c r="L140" i="8"/>
  <c r="L141" i="8"/>
  <c r="L142" i="8"/>
  <c r="L143" i="8"/>
  <c r="L144" i="8"/>
  <c r="L145" i="8"/>
  <c r="L134" i="8"/>
  <c r="L166" i="8"/>
  <c r="L165" i="8"/>
  <c r="L164" i="8"/>
  <c r="L163" i="8"/>
  <c r="L160" i="8"/>
  <c r="L159" i="8"/>
  <c r="L158" i="8"/>
  <c r="L157" i="8"/>
  <c r="L156" i="8"/>
  <c r="L155" i="8"/>
  <c r="L154" i="8"/>
  <c r="L48" i="6"/>
  <c r="L153" i="8"/>
  <c r="L152" i="8"/>
  <c r="K152" i="8"/>
  <c r="I166" i="8"/>
  <c r="I165" i="8"/>
  <c r="I164" i="8"/>
  <c r="I163" i="8"/>
  <c r="I160" i="8"/>
  <c r="I159" i="8"/>
  <c r="I158" i="8"/>
  <c r="I157" i="8"/>
  <c r="I156" i="8"/>
  <c r="I155" i="8"/>
  <c r="I154" i="8"/>
  <c r="I153" i="8"/>
  <c r="I152" i="8"/>
  <c r="I145" i="8"/>
  <c r="I144" i="8"/>
  <c r="I143" i="8"/>
  <c r="I142" i="8"/>
  <c r="I141" i="8"/>
  <c r="I140" i="8"/>
  <c r="I139" i="8"/>
  <c r="I138" i="8"/>
  <c r="I137" i="8"/>
  <c r="I136" i="8"/>
  <c r="I135" i="8"/>
  <c r="I134" i="8"/>
  <c r="I50" i="6"/>
  <c r="I48" i="6"/>
  <c r="G49" i="6"/>
  <c r="E48" i="6"/>
  <c r="H31" i="6"/>
  <c r="L28" i="6"/>
  <c r="J28" i="6"/>
  <c r="I30" i="6"/>
  <c r="I28" i="6"/>
  <c r="H28" i="6"/>
  <c r="E28" i="6"/>
  <c r="I150" i="8"/>
  <c r="I149" i="8"/>
  <c r="I148" i="8"/>
  <c r="I147" i="8"/>
  <c r="I146" i="8"/>
  <c r="W66" i="6"/>
  <c r="W46" i="6"/>
  <c r="G51" i="6"/>
  <c r="X66" i="6"/>
  <c r="V66" i="6" s="1"/>
  <c r="E51" i="6" s="1"/>
  <c r="X46" i="6"/>
  <c r="V77" i="6"/>
  <c r="E68" i="6" s="1"/>
  <c r="I172" i="8" l="1"/>
  <c r="I168" i="8"/>
  <c r="I175" i="8"/>
  <c r="I171" i="8"/>
  <c r="I167" i="8"/>
  <c r="I174" i="8"/>
  <c r="I170" i="8"/>
  <c r="I162" i="8"/>
  <c r="I173" i="8"/>
  <c r="I169" i="8"/>
  <c r="I161" i="8"/>
  <c r="H51" i="6"/>
  <c r="L51" i="6" s="1"/>
  <c r="I177" i="8"/>
  <c r="I178" i="8"/>
  <c r="BF873" i="2"/>
  <c r="BF874" i="2"/>
  <c r="BF875" i="2"/>
  <c r="BF876" i="2"/>
  <c r="BF877" i="2"/>
  <c r="BF878" i="2"/>
  <c r="BF872" i="2"/>
  <c r="BD873" i="2"/>
  <c r="BE873" i="2"/>
  <c r="BD874" i="2"/>
  <c r="BE874" i="2"/>
  <c r="BD875" i="2"/>
  <c r="BE875" i="2"/>
  <c r="BD876" i="2"/>
  <c r="BE876" i="2"/>
  <c r="BD877" i="2"/>
  <c r="BE877" i="2"/>
  <c r="BD878" i="2"/>
  <c r="BE878" i="2"/>
  <c r="BE872" i="2"/>
  <c r="BD872" i="2"/>
  <c r="AH878" i="2"/>
  <c r="BB878" i="2" s="1"/>
  <c r="BC878" i="2" s="1"/>
  <c r="BB873" i="2"/>
  <c r="BC873" i="2"/>
  <c r="BB874" i="2"/>
  <c r="BC874" i="2"/>
  <c r="BB875" i="2"/>
  <c r="BC875" i="2"/>
  <c r="BB876" i="2"/>
  <c r="BC876" i="2"/>
  <c r="BB877" i="2"/>
  <c r="BC877" i="2"/>
  <c r="BB872" i="2"/>
  <c r="BC872" i="2" s="1"/>
  <c r="AH877" i="2"/>
  <c r="AH876" i="2"/>
  <c r="AH875" i="2"/>
  <c r="AH874" i="2"/>
  <c r="AH873" i="2"/>
  <c r="AE876" i="2" l="1"/>
  <c r="AE875" i="2"/>
  <c r="AE874" i="2"/>
  <c r="AE873" i="2"/>
  <c r="D813" i="8"/>
  <c r="D814" i="8"/>
  <c r="D815" i="8"/>
  <c r="D816" i="8"/>
  <c r="C814" i="8"/>
  <c r="C815" i="8"/>
  <c r="C816" i="8"/>
  <c r="C813" i="8"/>
  <c r="D610" i="8"/>
  <c r="D611" i="8"/>
  <c r="D612" i="8"/>
  <c r="D613" i="8"/>
  <c r="C611" i="8"/>
  <c r="C612" i="8"/>
  <c r="C613" i="8"/>
  <c r="C610" i="8"/>
  <c r="D605" i="8"/>
  <c r="D606" i="8"/>
  <c r="D607" i="8"/>
  <c r="D608" i="8"/>
  <c r="C606" i="8"/>
  <c r="C607" i="8"/>
  <c r="C608" i="8"/>
  <c r="C605" i="8"/>
  <c r="D596" i="8"/>
  <c r="D597" i="8"/>
  <c r="D598" i="8"/>
  <c r="D599" i="8"/>
  <c r="D600" i="8"/>
  <c r="D601" i="8"/>
  <c r="D602" i="8"/>
  <c r="D603" i="8"/>
  <c r="C597" i="8"/>
  <c r="C598" i="8"/>
  <c r="C599" i="8"/>
  <c r="C600" i="8"/>
  <c r="C601" i="8"/>
  <c r="C602" i="8"/>
  <c r="C603" i="8"/>
  <c r="C596" i="8"/>
  <c r="D587" i="8"/>
  <c r="D588" i="8"/>
  <c r="D589" i="8"/>
  <c r="D590" i="8"/>
  <c r="D591" i="8"/>
  <c r="D592" i="8"/>
  <c r="D593" i="8"/>
  <c r="D594" i="8"/>
  <c r="C588" i="8"/>
  <c r="C589" i="8"/>
  <c r="C590" i="8"/>
  <c r="C591" i="8"/>
  <c r="C592" i="8"/>
  <c r="C593" i="8"/>
  <c r="C594" i="8"/>
  <c r="C587" i="8"/>
  <c r="D583" i="8"/>
  <c r="D584" i="8"/>
  <c r="D585" i="8"/>
  <c r="C584" i="8"/>
  <c r="C585" i="8"/>
  <c r="C583" i="8"/>
  <c r="D578" i="8"/>
  <c r="D579" i="8"/>
  <c r="D580" i="8"/>
  <c r="D581" i="8"/>
  <c r="C579" i="8"/>
  <c r="C580" i="8"/>
  <c r="C581" i="8"/>
  <c r="C578" i="8"/>
  <c r="L89" i="5"/>
  <c r="L85" i="5"/>
  <c r="L76" i="5"/>
  <c r="L93" i="5"/>
  <c r="L92" i="5"/>
  <c r="L81" i="5"/>
  <c r="L87" i="5"/>
  <c r="L69" i="5"/>
  <c r="L70" i="5"/>
  <c r="L65" i="5"/>
  <c r="L66" i="5"/>
  <c r="L84" i="5"/>
  <c r="L74" i="5"/>
  <c r="L77" i="5"/>
  <c r="L72" i="5"/>
  <c r="L79" i="5"/>
  <c r="L82" i="5"/>
  <c r="L86" i="5"/>
  <c r="L71" i="5"/>
  <c r="L88" i="5"/>
  <c r="L73" i="5"/>
  <c r="L78" i="5"/>
  <c r="E419" i="8" l="1"/>
  <c r="F419" i="8"/>
  <c r="G419" i="8"/>
  <c r="L419" i="8"/>
  <c r="N419" i="8"/>
  <c r="D419" i="8"/>
  <c r="F416" i="8"/>
  <c r="G416" i="8"/>
  <c r="L416" i="8"/>
  <c r="N416" i="8"/>
  <c r="E416" i="8"/>
  <c r="D416" i="8"/>
  <c r="L417" i="8"/>
  <c r="L418" i="8"/>
  <c r="L420" i="8"/>
  <c r="L415" i="8"/>
  <c r="L414" i="8"/>
  <c r="N414" i="8"/>
  <c r="D414" i="8"/>
  <c r="D415" i="8"/>
  <c r="D417" i="8"/>
  <c r="D418" i="8"/>
  <c r="D420" i="8"/>
  <c r="C415" i="8"/>
  <c r="C417" i="8"/>
  <c r="C418" i="8"/>
  <c r="C420" i="8"/>
  <c r="C414" i="8"/>
  <c r="C203" i="8"/>
  <c r="C204" i="8"/>
  <c r="C205" i="8"/>
  <c r="C206" i="8"/>
  <c r="C207" i="8"/>
  <c r="C208" i="8"/>
  <c r="C209" i="8"/>
  <c r="C210" i="8"/>
  <c r="C211" i="8"/>
  <c r="C212" i="8"/>
  <c r="C213" i="8"/>
  <c r="D177" i="8"/>
  <c r="D178" i="8"/>
  <c r="C178" i="8"/>
  <c r="C177" i="8"/>
  <c r="B177" i="8"/>
  <c r="D98" i="8"/>
  <c r="D99" i="8"/>
  <c r="D100" i="8"/>
  <c r="D101" i="8"/>
  <c r="D102" i="8"/>
  <c r="D103" i="8"/>
  <c r="D104" i="8"/>
  <c r="D105" i="8"/>
  <c r="D106" i="8"/>
  <c r="D107" i="8"/>
  <c r="C99" i="8"/>
  <c r="C100" i="8"/>
  <c r="C101" i="8"/>
  <c r="C102" i="8"/>
  <c r="C103" i="8"/>
  <c r="C104" i="8"/>
  <c r="C105" i="8"/>
  <c r="C106" i="8"/>
  <c r="C107" i="8"/>
  <c r="C98" i="8"/>
  <c r="B98" i="8"/>
  <c r="N94" i="8"/>
  <c r="D94" i="8"/>
  <c r="D95" i="8"/>
  <c r="D96" i="8"/>
  <c r="C95" i="8"/>
  <c r="C96" i="8"/>
  <c r="C94" i="8"/>
  <c r="B94" i="8"/>
  <c r="N90" i="8"/>
  <c r="D90" i="8"/>
  <c r="D91" i="8"/>
  <c r="D92" i="8"/>
  <c r="C91" i="8"/>
  <c r="C92" i="8"/>
  <c r="C90" i="8"/>
  <c r="B90" i="8"/>
  <c r="N86" i="8"/>
  <c r="D86" i="8"/>
  <c r="D87" i="8"/>
  <c r="D88" i="8"/>
  <c r="C87" i="8"/>
  <c r="C88" i="8"/>
  <c r="C86" i="8"/>
  <c r="B86" i="8"/>
  <c r="N82" i="8"/>
  <c r="D82" i="8"/>
  <c r="D83" i="8"/>
  <c r="D84" i="8"/>
  <c r="C83" i="8"/>
  <c r="C84" i="8"/>
  <c r="C82" i="8"/>
  <c r="B82" i="8"/>
  <c r="N78" i="8"/>
  <c r="D78" i="8"/>
  <c r="D79" i="8"/>
  <c r="D80" i="8"/>
  <c r="C79" i="8"/>
  <c r="C80" i="8"/>
  <c r="C78" i="8"/>
  <c r="B78" i="8"/>
  <c r="N74" i="8"/>
  <c r="D74" i="8"/>
  <c r="D75" i="8"/>
  <c r="D76" i="8"/>
  <c r="C75" i="8"/>
  <c r="C76" i="8"/>
  <c r="C74" i="8"/>
  <c r="B74" i="8"/>
  <c r="N70" i="8"/>
  <c r="D70" i="8"/>
  <c r="D71" i="8"/>
  <c r="D72" i="8"/>
  <c r="C71" i="8"/>
  <c r="C72" i="8"/>
  <c r="C70" i="8"/>
  <c r="B70" i="8"/>
  <c r="N66" i="8"/>
  <c r="D66" i="8"/>
  <c r="D67" i="8"/>
  <c r="D68" i="8"/>
  <c r="C67" i="8"/>
  <c r="C68" i="8"/>
  <c r="C66" i="8"/>
  <c r="B66" i="8"/>
  <c r="N62" i="8"/>
  <c r="D62" i="8"/>
  <c r="D63" i="8"/>
  <c r="D64" i="8"/>
  <c r="C63" i="8"/>
  <c r="C64" i="8"/>
  <c r="C62" i="8"/>
  <c r="B62" i="8"/>
  <c r="N58" i="8"/>
  <c r="D58" i="8"/>
  <c r="D59" i="8"/>
  <c r="D60" i="8"/>
  <c r="C59" i="8"/>
  <c r="C60" i="8"/>
  <c r="C58" i="8"/>
  <c r="B58" i="8"/>
  <c r="N54" i="8"/>
  <c r="D54" i="8"/>
  <c r="D55" i="8"/>
  <c r="D56" i="8"/>
  <c r="C55" i="8"/>
  <c r="C56" i="8"/>
  <c r="C54" i="8"/>
  <c r="B54" i="8"/>
  <c r="N50" i="8"/>
  <c r="D50" i="8"/>
  <c r="D51" i="8"/>
  <c r="D52" i="8"/>
  <c r="C51" i="8"/>
  <c r="C52" i="8"/>
  <c r="C50" i="8"/>
  <c r="B50" i="8"/>
  <c r="N46" i="8"/>
  <c r="D46" i="8"/>
  <c r="D47" i="8"/>
  <c r="D48" i="8"/>
  <c r="C47" i="8"/>
  <c r="C48" i="8"/>
  <c r="C46" i="8"/>
  <c r="B46" i="8"/>
  <c r="N37" i="8"/>
  <c r="N41" i="8"/>
  <c r="D37" i="8"/>
  <c r="D38" i="8"/>
  <c r="D39" i="8"/>
  <c r="D40" i="8"/>
  <c r="D41" i="8"/>
  <c r="D42" i="8"/>
  <c r="D43" i="8"/>
  <c r="D44" i="8"/>
  <c r="C38" i="8"/>
  <c r="C39" i="8"/>
  <c r="C40" i="8"/>
  <c r="C41" i="8"/>
  <c r="C42" i="8"/>
  <c r="C43" i="8"/>
  <c r="C44" i="8"/>
  <c r="C37" i="8"/>
  <c r="B37" i="8"/>
  <c r="N32" i="8"/>
  <c r="N28" i="8"/>
  <c r="D29" i="8"/>
  <c r="D30" i="8"/>
  <c r="D31" i="8"/>
  <c r="D32" i="8"/>
  <c r="D33" i="8"/>
  <c r="D34" i="8"/>
  <c r="D35" i="8"/>
  <c r="D28" i="8"/>
  <c r="C29" i="8"/>
  <c r="C30" i="8"/>
  <c r="C31" i="8"/>
  <c r="C32" i="8"/>
  <c r="C33" i="8"/>
  <c r="C34" i="8"/>
  <c r="C35" i="8"/>
  <c r="C28" i="8"/>
  <c r="B28" i="8"/>
  <c r="L13" i="5"/>
  <c r="L36" i="5"/>
  <c r="L19" i="5"/>
  <c r="L56" i="5"/>
  <c r="L41" i="5"/>
  <c r="L60" i="5"/>
  <c r="L20" i="5"/>
  <c r="L67" i="5"/>
  <c r="L34" i="5"/>
  <c r="L63" i="5"/>
  <c r="L21" i="5"/>
  <c r="L11" i="5"/>
  <c r="L26" i="5"/>
  <c r="L33" i="5"/>
  <c r="L55" i="5"/>
  <c r="L37" i="5"/>
  <c r="L30" i="5"/>
  <c r="L12" i="5"/>
  <c r="L48" i="5"/>
  <c r="L27" i="5"/>
  <c r="L53" i="5"/>
  <c r="L75" i="5"/>
  <c r="L24" i="5"/>
  <c r="L58" i="5"/>
  <c r="L51" i="5"/>
  <c r="L14" i="5"/>
  <c r="L15" i="5"/>
  <c r="L17" i="5"/>
  <c r="L22" i="5"/>
  <c r="L29" i="5"/>
  <c r="L40" i="5"/>
  <c r="L90" i="5"/>
  <c r="L42" i="5"/>
  <c r="L49" i="5"/>
  <c r="L38" i="5"/>
  <c r="L43" i="5"/>
  <c r="L50" i="5"/>
  <c r="L31" i="5"/>
  <c r="L28" i="5"/>
  <c r="L35" i="5"/>
  <c r="L23" i="5"/>
  <c r="L44" i="5"/>
  <c r="L39" i="5"/>
  <c r="L16" i="5"/>
  <c r="L9" i="5"/>
  <c r="L61" i="5"/>
  <c r="L64" i="5"/>
  <c r="L54" i="5"/>
  <c r="L10" i="5"/>
  <c r="L46" i="5"/>
  <c r="L18" i="5"/>
  <c r="L68" i="5"/>
  <c r="L45" i="5"/>
  <c r="I260" i="8" l="1"/>
  <c r="P260" i="8" s="1"/>
  <c r="I261" i="8"/>
  <c r="P261" i="8" s="1"/>
  <c r="I262" i="8"/>
  <c r="P262" i="8" s="1"/>
  <c r="I259" i="8"/>
  <c r="P259" i="8" s="1"/>
  <c r="I256" i="8"/>
  <c r="P256" i="8" s="1"/>
  <c r="I257" i="8"/>
  <c r="P257" i="8" s="1"/>
  <c r="I258" i="8"/>
  <c r="P258" i="8" s="1"/>
  <c r="I255" i="8"/>
  <c r="P255" i="8" s="1"/>
  <c r="I252" i="8"/>
  <c r="P252" i="8" s="1"/>
  <c r="I253" i="8"/>
  <c r="P253" i="8" s="1"/>
  <c r="I254" i="8"/>
  <c r="P254" i="8" s="1"/>
  <c r="I251" i="8"/>
  <c r="P251" i="8" s="1"/>
  <c r="I248" i="8"/>
  <c r="P248" i="8" s="1"/>
  <c r="I249" i="8"/>
  <c r="P249" i="8" s="1"/>
  <c r="I250" i="8"/>
  <c r="P250" i="8" s="1"/>
  <c r="I245" i="8"/>
  <c r="P245" i="8" s="1"/>
  <c r="I246" i="8"/>
  <c r="P246" i="8" s="1"/>
  <c r="I247" i="8"/>
  <c r="P247" i="8" s="1"/>
  <c r="I244" i="8"/>
  <c r="P244" i="8" s="1"/>
  <c r="I241" i="8"/>
  <c r="P241" i="8" s="1"/>
  <c r="I242" i="8"/>
  <c r="P242" i="8" s="1"/>
  <c r="I243" i="8"/>
  <c r="P243" i="8" s="1"/>
  <c r="I238" i="8"/>
  <c r="P238" i="8" s="1"/>
  <c r="I239" i="8"/>
  <c r="P239" i="8" s="1"/>
  <c r="I240" i="8"/>
  <c r="P240" i="8" s="1"/>
  <c r="I237" i="8"/>
  <c r="P237" i="8" s="1"/>
  <c r="I233" i="8"/>
  <c r="P233" i="8" s="1"/>
  <c r="I234" i="8"/>
  <c r="P234" i="8" s="1"/>
  <c r="I235" i="8"/>
  <c r="P235" i="8" s="1"/>
  <c r="I232" i="8"/>
  <c r="P232" i="8" s="1"/>
  <c r="I225" i="8"/>
  <c r="P225" i="8" s="1"/>
  <c r="I226" i="8"/>
  <c r="P226" i="8" s="1"/>
  <c r="I227" i="8"/>
  <c r="P227" i="8" s="1"/>
  <c r="I228" i="8"/>
  <c r="P228" i="8" s="1"/>
  <c r="I229" i="8"/>
  <c r="P229" i="8" s="1"/>
  <c r="I230" i="8"/>
  <c r="P230" i="8" s="1"/>
  <c r="I231" i="8"/>
  <c r="P231" i="8" s="1"/>
  <c r="I224" i="8"/>
  <c r="P224" i="8" s="1"/>
  <c r="BI170" i="6" l="1"/>
  <c r="BI169" i="6"/>
  <c r="AR170" i="6"/>
  <c r="AR168" i="6"/>
  <c r="AR169" i="6"/>
  <c r="AR167" i="6"/>
  <c r="AQ170" i="6"/>
  <c r="AQ168" i="6"/>
  <c r="AQ169" i="6"/>
  <c r="AQ167" i="6"/>
  <c r="J218" i="8" l="1"/>
  <c r="K218" i="8" s="1"/>
  <c r="M218" i="8" l="1"/>
  <c r="L218" i="8"/>
  <c r="I735" i="6"/>
  <c r="I724" i="6"/>
  <c r="I706" i="6"/>
  <c r="I695" i="6"/>
  <c r="I684" i="6"/>
  <c r="I673" i="6"/>
  <c r="E702" i="6"/>
  <c r="E704" i="6"/>
  <c r="E703" i="6"/>
  <c r="O703" i="6"/>
  <c r="E692" i="6"/>
  <c r="E691" i="6"/>
  <c r="E369" i="6" l="1"/>
  <c r="E681" i="6"/>
  <c r="E680" i="6"/>
  <c r="E670" i="6"/>
  <c r="E669" i="6"/>
  <c r="I875" i="6"/>
  <c r="E875" i="6"/>
  <c r="I874" i="6"/>
  <c r="E874" i="6"/>
  <c r="AG610" i="2"/>
  <c r="Q611" i="2"/>
  <c r="AG611" i="2"/>
  <c r="Q612" i="2"/>
  <c r="AG612" i="2"/>
  <c r="R613" i="2"/>
  <c r="AG613" i="2"/>
  <c r="R614" i="2"/>
  <c r="AG614" i="2"/>
  <c r="R615" i="2"/>
  <c r="AG615" i="2"/>
  <c r="R616" i="2"/>
  <c r="AG616" i="2"/>
  <c r="R617" i="2"/>
  <c r="Q622" i="2"/>
  <c r="Q623" i="2"/>
  <c r="R624" i="2"/>
  <c r="R625" i="2"/>
  <c r="R626" i="2"/>
  <c r="R627" i="2"/>
  <c r="R628" i="2"/>
  <c r="R629" i="2"/>
  <c r="R630" i="2"/>
  <c r="J34" i="5"/>
  <c r="J33" i="5"/>
  <c r="C34" i="5"/>
  <c r="C33" i="5"/>
  <c r="R622" i="2" l="1"/>
  <c r="Y622" i="2" s="1"/>
  <c r="R611" i="2"/>
  <c r="Y611" i="2" s="1"/>
  <c r="Y625" i="2"/>
  <c r="AR81" i="6"/>
  <c r="BI82" i="6"/>
  <c r="AR82" i="6"/>
  <c r="BI83" i="6"/>
  <c r="AR83" i="6"/>
  <c r="BI84" i="6"/>
  <c r="AR84" i="6"/>
  <c r="BI85" i="6"/>
  <c r="AR85" i="6"/>
  <c r="BI86" i="6"/>
  <c r="AR86" i="6"/>
  <c r="BI87" i="6"/>
  <c r="AR87" i="6"/>
  <c r="BI88" i="6"/>
  <c r="AR88" i="6"/>
  <c r="BI89" i="6"/>
  <c r="AR89" i="6"/>
  <c r="BI90" i="6"/>
  <c r="AR90" i="6"/>
  <c r="AR92" i="6"/>
  <c r="AR93" i="6"/>
  <c r="AR94" i="6"/>
  <c r="AR95" i="6"/>
  <c r="Y624" i="2" l="1"/>
  <c r="Y623" i="2"/>
  <c r="AH622" i="2" s="1"/>
  <c r="AM622" i="2" s="1"/>
  <c r="AN622" i="2" s="1"/>
  <c r="Y617" i="2"/>
  <c r="Y613" i="2"/>
  <c r="AH612" i="2" s="1"/>
  <c r="AM612" i="2" s="1"/>
  <c r="AN612" i="2" s="1"/>
  <c r="Y616" i="2"/>
  <c r="AH615" i="2" s="1"/>
  <c r="AM615" i="2" s="1"/>
  <c r="AN615" i="2" s="1"/>
  <c r="Y615" i="2"/>
  <c r="AH614" i="2" s="1"/>
  <c r="AM614" i="2" s="1"/>
  <c r="AN614" i="2" s="1"/>
  <c r="Y614" i="2"/>
  <c r="AT93" i="6"/>
  <c r="AT81" i="6"/>
  <c r="AT92" i="6"/>
  <c r="E94" i="6" s="1"/>
  <c r="E83" i="6"/>
  <c r="AT82" i="6"/>
  <c r="E84" i="6"/>
  <c r="Y612" i="2"/>
  <c r="Z612" i="2" s="1"/>
  <c r="AA612" i="2" s="1"/>
  <c r="AH610" i="2"/>
  <c r="AM610" i="2" s="1"/>
  <c r="AN610" i="2" s="1"/>
  <c r="Z611" i="2"/>
  <c r="AA611" i="2" s="1"/>
  <c r="AH623" i="2"/>
  <c r="AM623" i="2" s="1"/>
  <c r="AN623" i="2" s="1"/>
  <c r="Z624" i="2"/>
  <c r="AA624" i="2" s="1"/>
  <c r="AH616" i="2"/>
  <c r="AM616" i="2" s="1"/>
  <c r="AN616" i="2" s="1"/>
  <c r="Z617" i="2"/>
  <c r="AA617" i="2" s="1"/>
  <c r="AH613" i="2"/>
  <c r="AM613" i="2" s="1"/>
  <c r="AN613" i="2" s="1"/>
  <c r="Z614" i="2"/>
  <c r="AA614" i="2" s="1"/>
  <c r="AH624" i="2"/>
  <c r="AM624" i="2" s="1"/>
  <c r="AN624" i="2" s="1"/>
  <c r="Z625" i="2"/>
  <c r="AA625" i="2" s="1"/>
  <c r="Z616" i="2"/>
  <c r="AA616" i="2" s="1"/>
  <c r="Z613" i="2"/>
  <c r="AA613" i="2" s="1"/>
  <c r="AH621" i="2"/>
  <c r="AM621" i="2" s="1"/>
  <c r="AN621" i="2" s="1"/>
  <c r="Z622" i="2"/>
  <c r="AA622" i="2" s="1"/>
  <c r="I359" i="8"/>
  <c r="I358" i="8"/>
  <c r="Z623" i="2" l="1"/>
  <c r="AA623" i="2" s="1"/>
  <c r="Z615" i="2"/>
  <c r="AA615" i="2" s="1"/>
  <c r="AH611" i="2"/>
  <c r="AM611" i="2" s="1"/>
  <c r="AN611" i="2" s="1"/>
  <c r="AE614" i="2" s="1"/>
  <c r="AE622" i="2"/>
  <c r="AE623" i="2"/>
  <c r="AE624" i="2"/>
  <c r="AE625" i="2"/>
  <c r="I357" i="8"/>
  <c r="P357" i="8" s="1"/>
  <c r="I356" i="8"/>
  <c r="I216" i="8"/>
  <c r="P216" i="8" s="1"/>
  <c r="S341" i="8"/>
  <c r="R341" i="8"/>
  <c r="P341" i="8"/>
  <c r="O341" i="8"/>
  <c r="K341" i="8"/>
  <c r="M341" i="8" s="1"/>
  <c r="T341" i="8" s="1"/>
  <c r="I131" i="8"/>
  <c r="L132" i="8"/>
  <c r="R132" i="8"/>
  <c r="S132" i="8"/>
  <c r="I200" i="8"/>
  <c r="P200" i="8" s="1"/>
  <c r="I199" i="8"/>
  <c r="P199" i="8" s="1"/>
  <c r="I198" i="8"/>
  <c r="P198" i="8" s="1"/>
  <c r="I197" i="8"/>
  <c r="P197" i="8" s="1"/>
  <c r="I193" i="8"/>
  <c r="P193" i="8" s="1"/>
  <c r="I192" i="8"/>
  <c r="P192" i="8" s="1"/>
  <c r="I191" i="8"/>
  <c r="P191" i="8" s="1"/>
  <c r="I194" i="8"/>
  <c r="P194" i="8" s="1"/>
  <c r="I190" i="8"/>
  <c r="P190" i="8" s="1"/>
  <c r="I189" i="8"/>
  <c r="P189" i="8" s="1"/>
  <c r="I188" i="8"/>
  <c r="P188" i="8" s="1"/>
  <c r="H198" i="8"/>
  <c r="O198" i="8" s="1"/>
  <c r="H199" i="8"/>
  <c r="O199" i="8" s="1"/>
  <c r="H200" i="8"/>
  <c r="H197" i="8"/>
  <c r="O197" i="8" s="1"/>
  <c r="H189" i="8"/>
  <c r="O189" i="8" s="1"/>
  <c r="H190" i="8"/>
  <c r="H191" i="8"/>
  <c r="H192" i="8"/>
  <c r="O192" i="8" s="1"/>
  <c r="H193" i="8"/>
  <c r="O193" i="8" s="1"/>
  <c r="H194" i="8"/>
  <c r="H188" i="8"/>
  <c r="O188" i="8" s="1"/>
  <c r="AE613" i="2" l="1"/>
  <c r="AE612" i="2"/>
  <c r="AE611" i="2"/>
  <c r="P131" i="8"/>
  <c r="P356" i="8"/>
  <c r="Q341" i="8"/>
  <c r="O191" i="8"/>
  <c r="O190" i="8"/>
  <c r="O194" i="8"/>
  <c r="O200" i="8"/>
  <c r="K837" i="8" l="1"/>
  <c r="M837" i="8" s="1"/>
  <c r="Q1354" i="2" l="1"/>
  <c r="Q1353" i="2"/>
  <c r="Q1352" i="2"/>
  <c r="Q1351" i="2"/>
  <c r="R1351" i="2" l="1"/>
  <c r="R1353" i="2"/>
  <c r="I426" i="8"/>
  <c r="I425" i="8"/>
  <c r="P425" i="8" s="1"/>
  <c r="I423" i="8"/>
  <c r="P423" i="8" s="1"/>
  <c r="I424" i="8"/>
  <c r="P424" i="8" s="1"/>
  <c r="I422" i="8"/>
  <c r="P426" i="8" l="1"/>
  <c r="P422" i="8"/>
  <c r="I390" i="8"/>
  <c r="I391" i="8"/>
  <c r="I392" i="8"/>
  <c r="I393" i="8"/>
  <c r="I394" i="8"/>
  <c r="I395" i="8"/>
  <c r="I389" i="8"/>
  <c r="I383" i="8"/>
  <c r="I384" i="8"/>
  <c r="I385" i="8"/>
  <c r="I386" i="8"/>
  <c r="I387" i="8"/>
  <c r="I388" i="8"/>
  <c r="I382" i="8"/>
  <c r="I376" i="8"/>
  <c r="I377" i="8"/>
  <c r="I378" i="8"/>
  <c r="I379" i="8"/>
  <c r="I380" i="8"/>
  <c r="I381" i="8"/>
  <c r="I375" i="8"/>
  <c r="I369" i="8"/>
  <c r="I370" i="8"/>
  <c r="I371" i="8"/>
  <c r="I372" i="8"/>
  <c r="I373" i="8"/>
  <c r="I374" i="8"/>
  <c r="I368" i="8"/>
  <c r="I362" i="8"/>
  <c r="I363" i="8"/>
  <c r="I364" i="8"/>
  <c r="I365" i="8"/>
  <c r="I366" i="8"/>
  <c r="I367" i="8"/>
  <c r="I361" i="8"/>
  <c r="I411" i="8"/>
  <c r="I412" i="8"/>
  <c r="I410" i="8"/>
  <c r="I408" i="8"/>
  <c r="I409" i="8"/>
  <c r="I407" i="8"/>
  <c r="I419" i="8" s="1"/>
  <c r="I405" i="8"/>
  <c r="I406" i="8"/>
  <c r="I404" i="8"/>
  <c r="I416" i="8" s="1"/>
  <c r="I402" i="8"/>
  <c r="I403" i="8"/>
  <c r="I401" i="8"/>
  <c r="I414" i="8" s="1"/>
  <c r="I399" i="8"/>
  <c r="I400" i="8"/>
  <c r="I398" i="8"/>
  <c r="I354" i="8"/>
  <c r="P354" i="8" s="1"/>
  <c r="I355" i="8"/>
  <c r="P355" i="8" s="1"/>
  <c r="I353" i="8"/>
  <c r="P353" i="8" s="1"/>
  <c r="I350" i="8"/>
  <c r="P350" i="8" s="1"/>
  <c r="I351" i="8"/>
  <c r="P351" i="8" s="1"/>
  <c r="I349" i="8"/>
  <c r="P349" i="8" s="1"/>
  <c r="I352" i="8"/>
  <c r="P352" i="8" s="1"/>
  <c r="I348" i="8"/>
  <c r="P348" i="8" s="1"/>
  <c r="J417" i="6" l="1"/>
  <c r="I417" i="6"/>
  <c r="I442" i="8"/>
  <c r="I440" i="8"/>
  <c r="P440" i="8" s="1"/>
  <c r="P442" i="8" l="1"/>
  <c r="I436" i="8" l="1"/>
  <c r="P436" i="8" s="1"/>
  <c r="I437" i="8"/>
  <c r="P437" i="8" s="1"/>
  <c r="I435" i="8"/>
  <c r="P435" i="8" s="1"/>
  <c r="I433" i="8"/>
  <c r="P433" i="8" s="1"/>
  <c r="I434" i="8"/>
  <c r="P434" i="8" s="1"/>
  <c r="I432" i="8"/>
  <c r="I430" i="8"/>
  <c r="P430" i="8" s="1"/>
  <c r="I429" i="8"/>
  <c r="P429" i="8" s="1"/>
  <c r="I428" i="8"/>
  <c r="I439" i="8" s="1"/>
  <c r="K156" i="6"/>
  <c r="P428" i="8" l="1"/>
  <c r="P439" i="8" s="1"/>
  <c r="I441" i="8"/>
  <c r="P432" i="8"/>
  <c r="P441" i="8" s="1"/>
  <c r="Q945" i="2" l="1"/>
  <c r="Q946" i="2"/>
  <c r="Q947" i="2"/>
  <c r="Q948" i="2"/>
  <c r="Q944" i="2"/>
  <c r="Q943" i="2"/>
  <c r="Q942" i="2"/>
  <c r="Q941" i="2"/>
  <c r="Q940" i="2"/>
  <c r="Y946" i="2"/>
  <c r="Y945" i="2"/>
  <c r="Y944" i="2"/>
  <c r="Y943" i="2"/>
  <c r="Y942" i="2"/>
  <c r="Y941" i="2"/>
  <c r="Z941" i="2" s="1"/>
  <c r="R942" i="2" l="1"/>
  <c r="R940" i="2"/>
  <c r="R944" i="2"/>
  <c r="Y1379" i="2"/>
  <c r="AH1378" i="2" s="1"/>
  <c r="AV1378" i="2" s="1"/>
  <c r="AW1378" i="2" s="1"/>
  <c r="Y1378" i="2"/>
  <c r="AH1377" i="2" s="1"/>
  <c r="AV1377" i="2" s="1"/>
  <c r="AW1377" i="2" s="1"/>
  <c r="Y1377" i="2"/>
  <c r="Z1377" i="2" s="1"/>
  <c r="Y1376" i="2"/>
  <c r="AH1375" i="2" s="1"/>
  <c r="AV1375" i="2" s="1"/>
  <c r="AW1375" i="2" s="1"/>
  <c r="O867" i="8" l="1"/>
  <c r="O866" i="8"/>
  <c r="AH1376" i="2"/>
  <c r="AV1376" i="2" s="1"/>
  <c r="AW1376" i="2" s="1"/>
  <c r="Z1376" i="2"/>
  <c r="Z1379" i="2"/>
  <c r="Z1378" i="2"/>
  <c r="R952" i="2"/>
  <c r="R953" i="2"/>
  <c r="R954" i="2"/>
  <c r="R955" i="2"/>
  <c r="R956" i="2"/>
  <c r="R951" i="2"/>
  <c r="Y952" i="2" l="1"/>
  <c r="Z952" i="2" s="1"/>
  <c r="O871" i="8"/>
  <c r="O870" i="8"/>
  <c r="Y955" i="2"/>
  <c r="Z955" i="2" s="1"/>
  <c r="Y953" i="2"/>
  <c r="Z953" i="2" s="1"/>
  <c r="Y954" i="2"/>
  <c r="Y1226" i="2"/>
  <c r="AH1226" i="2" s="1"/>
  <c r="AS1226" i="2" s="1"/>
  <c r="AT1226" i="2" s="1"/>
  <c r="Y1225" i="2"/>
  <c r="AH1225" i="2" s="1"/>
  <c r="AS1225" i="2" s="1"/>
  <c r="AT1225" i="2" s="1"/>
  <c r="Y1224" i="2"/>
  <c r="AH1224" i="2" s="1"/>
  <c r="AS1224" i="2" s="1"/>
  <c r="AT1224" i="2" s="1"/>
  <c r="Y1223" i="2"/>
  <c r="AH1223" i="2" s="1"/>
  <c r="AS1223" i="2" s="1"/>
  <c r="AT1223" i="2" s="1"/>
  <c r="AH951" i="2" l="1"/>
  <c r="Z954" i="2"/>
  <c r="AE1224" i="2"/>
  <c r="AE1227" i="2"/>
  <c r="AE1226" i="2"/>
  <c r="AE1225" i="2"/>
  <c r="Y1215" i="2"/>
  <c r="AH1215" i="2" s="1"/>
  <c r="AU1215" i="2" s="1"/>
  <c r="AV1215" i="2" s="1"/>
  <c r="Y1214" i="2"/>
  <c r="AH1214" i="2" s="1"/>
  <c r="AU1214" i="2" s="1"/>
  <c r="AV1214" i="2" s="1"/>
  <c r="Y1213" i="2"/>
  <c r="AH1213" i="2" s="1"/>
  <c r="AU1213" i="2" s="1"/>
  <c r="AV1213" i="2" s="1"/>
  <c r="Y1212" i="2"/>
  <c r="AH1212" i="2" s="1"/>
  <c r="AU1212" i="2" s="1"/>
  <c r="AV1212" i="2" s="1"/>
  <c r="AH946" i="2"/>
  <c r="AH945" i="2"/>
  <c r="AH944" i="2"/>
  <c r="AH943" i="2"/>
  <c r="AH942" i="2"/>
  <c r="AH941" i="2"/>
  <c r="AE1216" i="2" l="1"/>
  <c r="AE1215" i="2"/>
  <c r="AE1214" i="2"/>
  <c r="AE1213" i="2"/>
  <c r="I121" i="8"/>
  <c r="I120" i="8"/>
  <c r="I122" i="8"/>
  <c r="I123" i="8"/>
  <c r="I124" i="8"/>
  <c r="I125" i="8"/>
  <c r="I126" i="8"/>
  <c r="I127" i="8"/>
  <c r="I128" i="8"/>
  <c r="I129" i="8"/>
  <c r="I130" i="8"/>
  <c r="I110" i="8"/>
  <c r="I111" i="8"/>
  <c r="I112" i="8"/>
  <c r="I113" i="8"/>
  <c r="I114" i="8"/>
  <c r="I115" i="8"/>
  <c r="I116" i="8"/>
  <c r="I117" i="8"/>
  <c r="I118" i="8"/>
  <c r="I119" i="8"/>
  <c r="I109" i="8"/>
  <c r="I182" i="8"/>
  <c r="I183" i="8"/>
  <c r="I184" i="8"/>
  <c r="I185" i="8"/>
  <c r="I181" i="8"/>
  <c r="AA11" i="2"/>
  <c r="AA9" i="2"/>
  <c r="AA7" i="2"/>
  <c r="AA5" i="2"/>
  <c r="P117" i="8" l="1"/>
  <c r="P118" i="8"/>
  <c r="P114" i="8"/>
  <c r="P110" i="8"/>
  <c r="P127" i="8"/>
  <c r="P123" i="8"/>
  <c r="P130" i="8"/>
  <c r="P109" i="8"/>
  <c r="P116" i="8"/>
  <c r="P112" i="8"/>
  <c r="P129" i="8"/>
  <c r="P125" i="8"/>
  <c r="P120" i="8"/>
  <c r="P113" i="8"/>
  <c r="P122" i="8"/>
  <c r="P119" i="8"/>
  <c r="P115" i="8"/>
  <c r="P111" i="8"/>
  <c r="P128" i="8"/>
  <c r="P124" i="8"/>
  <c r="P121" i="8"/>
  <c r="P126" i="8"/>
  <c r="P132" i="8" s="1"/>
  <c r="I132" i="8"/>
  <c r="R535" i="2" l="1"/>
  <c r="R1346" i="2" l="1"/>
  <c r="R1345" i="2"/>
  <c r="Q1350" i="2"/>
  <c r="Q1349" i="2"/>
  <c r="Q1348" i="2"/>
  <c r="Q1347" i="2"/>
  <c r="R1347" i="2" s="1"/>
  <c r="R1349" i="2" l="1"/>
  <c r="I145" i="6"/>
  <c r="E145" i="6"/>
  <c r="T702" i="6"/>
  <c r="E368" i="6"/>
  <c r="E652" i="6"/>
  <c r="E651" i="6"/>
  <c r="E490" i="6"/>
  <c r="E616" i="6"/>
  <c r="E558" i="6"/>
  <c r="E640" i="6"/>
  <c r="E590" i="6"/>
  <c r="E532" i="6"/>
  <c r="E602" i="6" s="1"/>
  <c r="E521" i="6"/>
  <c r="E470" i="6"/>
  <c r="I358" i="6"/>
  <c r="E358" i="6"/>
  <c r="E357" i="6"/>
  <c r="I357" i="6"/>
  <c r="E346" i="6"/>
  <c r="E335" i="6"/>
  <c r="E314" i="6"/>
  <c r="I593" i="8" l="1"/>
  <c r="I589" i="8"/>
  <c r="I591" i="8"/>
  <c r="I587" i="8"/>
  <c r="I613" i="8"/>
  <c r="I611" i="8"/>
  <c r="I420" i="8"/>
  <c r="I415" i="8"/>
  <c r="I417" i="8"/>
  <c r="I418" i="8"/>
  <c r="I610" i="8"/>
  <c r="I583" i="8"/>
  <c r="I594" i="8"/>
  <c r="I590" i="8"/>
  <c r="I592" i="8"/>
  <c r="I588" i="8"/>
  <c r="I603" i="8"/>
  <c r="I599" i="8"/>
  <c r="I601" i="8"/>
  <c r="I597" i="8"/>
  <c r="I584" i="8"/>
  <c r="I612" i="8"/>
  <c r="I585" i="8"/>
  <c r="I602" i="8"/>
  <c r="I598" i="8"/>
  <c r="I600" i="8"/>
  <c r="I596" i="8"/>
  <c r="I219" i="8"/>
  <c r="I222" i="8"/>
  <c r="I220" i="8"/>
  <c r="L220" i="8"/>
  <c r="L222" i="8"/>
  <c r="L219" i="8"/>
  <c r="I562" i="8"/>
  <c r="I551" i="8"/>
  <c r="I542" i="8"/>
  <c r="I533" i="8"/>
  <c r="I547" i="8"/>
  <c r="I537" i="8"/>
  <c r="I555" i="8"/>
  <c r="R220" i="8"/>
  <c r="R219" i="8"/>
  <c r="R222" i="8"/>
  <c r="I560" i="8"/>
  <c r="I543" i="8"/>
  <c r="I536" i="8"/>
  <c r="I567" i="8"/>
  <c r="I565" i="8"/>
  <c r="I563" i="8"/>
  <c r="I558" i="8"/>
  <c r="I556" i="8"/>
  <c r="I553" i="8"/>
  <c r="I550" i="8"/>
  <c r="I548" i="8"/>
  <c r="I545" i="8"/>
  <c r="I540" i="8"/>
  <c r="I538" i="8"/>
  <c r="I535" i="8"/>
  <c r="I559" i="8"/>
  <c r="I549" i="8"/>
  <c r="I539" i="8"/>
  <c r="I566" i="8"/>
  <c r="I557" i="8"/>
  <c r="I546" i="8"/>
  <c r="I564" i="8"/>
  <c r="I554" i="8"/>
  <c r="I544" i="8"/>
  <c r="I534" i="8"/>
  <c r="I561" i="8"/>
  <c r="I552" i="8"/>
  <c r="I541" i="8"/>
  <c r="I521" i="8"/>
  <c r="I507" i="8"/>
  <c r="I500" i="8"/>
  <c r="I496" i="8"/>
  <c r="I483" i="8"/>
  <c r="I479" i="8"/>
  <c r="I466" i="8"/>
  <c r="I454" i="8"/>
  <c r="I522" i="8"/>
  <c r="I516" i="8"/>
  <c r="I514" i="8"/>
  <c r="I508" i="8"/>
  <c r="I505" i="8"/>
  <c r="I499" i="8"/>
  <c r="I497" i="8"/>
  <c r="I495" i="8"/>
  <c r="I493" i="8"/>
  <c r="I482" i="8"/>
  <c r="I480" i="8"/>
  <c r="I472" i="8"/>
  <c r="I467" i="8"/>
  <c r="I462" i="8"/>
  <c r="I457" i="8"/>
  <c r="I455" i="8"/>
  <c r="I453" i="8"/>
  <c r="I517" i="8"/>
  <c r="I515" i="8"/>
  <c r="I506" i="8"/>
  <c r="I498" i="8"/>
  <c r="I494" i="8"/>
  <c r="I481" i="8"/>
  <c r="I471" i="8"/>
  <c r="I461" i="8"/>
  <c r="I456" i="8"/>
  <c r="I520" i="8"/>
  <c r="I513" i="8"/>
  <c r="I502" i="8"/>
  <c r="I489" i="8"/>
  <c r="I485" i="8"/>
  <c r="I478" i="8"/>
  <c r="I465" i="8"/>
  <c r="I449" i="8"/>
  <c r="I448" i="8"/>
  <c r="I503" i="8"/>
  <c r="I491" i="8"/>
  <c r="I470" i="8"/>
  <c r="I451" i="8"/>
  <c r="I519" i="8"/>
  <c r="I510" i="8"/>
  <c r="I486" i="8"/>
  <c r="I490" i="8"/>
  <c r="I475" i="8"/>
  <c r="I474" i="8"/>
  <c r="I464" i="8"/>
  <c r="I450" i="8"/>
  <c r="I511" i="8"/>
  <c r="I487" i="8"/>
  <c r="I476" i="8"/>
  <c r="I460" i="8"/>
  <c r="I512" i="8"/>
  <c r="I477" i="8"/>
  <c r="I504" i="8"/>
  <c r="I469" i="8"/>
  <c r="I488" i="8"/>
  <c r="I459" i="8"/>
  <c r="I492" i="8"/>
  <c r="I452" i="8"/>
  <c r="P222" i="8"/>
  <c r="P220" i="8"/>
  <c r="P219" i="8"/>
  <c r="I484" i="8"/>
  <c r="I458" i="8"/>
  <c r="I468" i="8"/>
  <c r="I518" i="8"/>
  <c r="I473" i="8"/>
  <c r="I447" i="8"/>
  <c r="I509" i="8"/>
  <c r="I501" i="8"/>
  <c r="I463" i="8"/>
  <c r="Y1315" i="2"/>
  <c r="I854" i="6"/>
  <c r="I826" i="6"/>
  <c r="I842" i="6" l="1"/>
  <c r="J190" i="6"/>
  <c r="O105" i="6"/>
  <c r="AS104" i="6"/>
  <c r="AS103" i="6"/>
  <c r="AS105" i="6"/>
  <c r="J216" i="6"/>
  <c r="L815" i="8" l="1"/>
  <c r="L816" i="8"/>
  <c r="L814" i="8"/>
  <c r="S266" i="8"/>
  <c r="S267" i="8"/>
  <c r="O889" i="6"/>
  <c r="Q889" i="6" s="1"/>
  <c r="T889" i="6" s="1"/>
  <c r="O888" i="6"/>
  <c r="Q888" i="6" s="1"/>
  <c r="T888" i="6" s="1"/>
  <c r="O887" i="6"/>
  <c r="Q887" i="6" s="1"/>
  <c r="T887" i="6" s="1"/>
  <c r="I763" i="6"/>
  <c r="L722" i="8" l="1"/>
  <c r="L723" i="8"/>
  <c r="V267" i="8"/>
  <c r="J276" i="6"/>
  <c r="AV886" i="6"/>
  <c r="AV885" i="6"/>
  <c r="AV884" i="6"/>
  <c r="AV873" i="6"/>
  <c r="AV872" i="6"/>
  <c r="AW853" i="6"/>
  <c r="AW854" i="6"/>
  <c r="AW855" i="6"/>
  <c r="AW856" i="6"/>
  <c r="AW857" i="6"/>
  <c r="AW858" i="6"/>
  <c r="AW859" i="6"/>
  <c r="AW860" i="6"/>
  <c r="AW861" i="6"/>
  <c r="AW862" i="6"/>
  <c r="AW863" i="6"/>
  <c r="AW864" i="6"/>
  <c r="AW865" i="6"/>
  <c r="AW866" i="6"/>
  <c r="AW867" i="6"/>
  <c r="AW852" i="6"/>
  <c r="AX743" i="6"/>
  <c r="AX744" i="6"/>
  <c r="AX745" i="6"/>
  <c r="AX746" i="6"/>
  <c r="AX747" i="6"/>
  <c r="AX748" i="6"/>
  <c r="AX749" i="6"/>
  <c r="AX750" i="6"/>
  <c r="AX751" i="6"/>
  <c r="AX752" i="6"/>
  <c r="AX753" i="6"/>
  <c r="AX754" i="6"/>
  <c r="AX755" i="6"/>
  <c r="AX742" i="6"/>
  <c r="AX469" i="6"/>
  <c r="AX470" i="6"/>
  <c r="AX468" i="6"/>
  <c r="AV431" i="6"/>
  <c r="AV432" i="6"/>
  <c r="AV433" i="6"/>
  <c r="AV434" i="6"/>
  <c r="AV435" i="6"/>
  <c r="AV436" i="6"/>
  <c r="AV437" i="6"/>
  <c r="AV430" i="6"/>
  <c r="BH367" i="6"/>
  <c r="BH368" i="6"/>
  <c r="BH369" i="6"/>
  <c r="BH370" i="6"/>
  <c r="BH371" i="6"/>
  <c r="BH372" i="6"/>
  <c r="BH373" i="6"/>
  <c r="BH374" i="6"/>
  <c r="BH375" i="6"/>
  <c r="BH376" i="6"/>
  <c r="BH377" i="6"/>
  <c r="BH378" i="6"/>
  <c r="BH366" i="6"/>
  <c r="BI346" i="6"/>
  <c r="BI347" i="6"/>
  <c r="BI348" i="6"/>
  <c r="BI345" i="6"/>
  <c r="BI334" i="6"/>
  <c r="BI335" i="6"/>
  <c r="BI336" i="6"/>
  <c r="BI337" i="6"/>
  <c r="BI338" i="6"/>
  <c r="BI339" i="6"/>
  <c r="BI340" i="6"/>
  <c r="BI333" i="6"/>
  <c r="BI313" i="6"/>
  <c r="BI314" i="6"/>
  <c r="BI315" i="6"/>
  <c r="BI316" i="6"/>
  <c r="BI317" i="6"/>
  <c r="BI312" i="6"/>
  <c r="BF156" i="6"/>
  <c r="BF157" i="6"/>
  <c r="BF158" i="6"/>
  <c r="BF159" i="6"/>
  <c r="BF160" i="6"/>
  <c r="BF161" i="6"/>
  <c r="BF162" i="6"/>
  <c r="BF163" i="6"/>
  <c r="BF155" i="6"/>
  <c r="BF130" i="6"/>
  <c r="BF131" i="6"/>
  <c r="BF132" i="6"/>
  <c r="BF133" i="6"/>
  <c r="BF134" i="6"/>
  <c r="BF135" i="6"/>
  <c r="BF136" i="6"/>
  <c r="BF137" i="6"/>
  <c r="BF138" i="6"/>
  <c r="BF139" i="6"/>
  <c r="BF140" i="6"/>
  <c r="BF129" i="6"/>
  <c r="K105" i="6"/>
  <c r="K202" i="8" s="1"/>
  <c r="M202" i="8" s="1"/>
  <c r="BI81" i="6"/>
  <c r="BI91" i="6" s="1"/>
  <c r="BI68" i="6"/>
  <c r="BI69" i="6"/>
  <c r="BI70" i="6"/>
  <c r="BI71" i="6"/>
  <c r="BI72" i="6"/>
  <c r="BI73" i="6"/>
  <c r="BI74" i="6"/>
  <c r="BI75" i="6"/>
  <c r="BI76" i="6"/>
  <c r="BI77" i="6"/>
  <c r="BI67" i="6"/>
  <c r="BH17" i="6"/>
  <c r="BH18" i="6"/>
  <c r="BH19" i="6"/>
  <c r="BH20" i="6"/>
  <c r="BH21" i="6"/>
  <c r="BH22" i="6"/>
  <c r="BH23" i="6"/>
  <c r="BH24" i="6"/>
  <c r="BH16" i="6"/>
  <c r="Q886" i="6"/>
  <c r="T886" i="6" s="1"/>
  <c r="T854" i="6"/>
  <c r="T781" i="6"/>
  <c r="T763" i="6"/>
  <c r="T745" i="6"/>
  <c r="T651" i="6"/>
  <c r="Q640" i="6"/>
  <c r="T640" i="6" s="1"/>
  <c r="Q629" i="6"/>
  <c r="T629" i="6" s="1"/>
  <c r="Q616" i="6"/>
  <c r="T616" i="6" s="1"/>
  <c r="Q602" i="6"/>
  <c r="T602" i="6" s="1"/>
  <c r="Q590" i="6"/>
  <c r="T590" i="6" s="1"/>
  <c r="Q574" i="6"/>
  <c r="T574" i="6" s="1"/>
  <c r="Q558" i="6"/>
  <c r="T558" i="6" s="1"/>
  <c r="Q532" i="6"/>
  <c r="T532" i="6" s="1"/>
  <c r="Q521" i="6"/>
  <c r="T521" i="6" s="1"/>
  <c r="Q505" i="6"/>
  <c r="T505" i="6" s="1"/>
  <c r="Q490" i="6"/>
  <c r="T490" i="6" s="1"/>
  <c r="Q470" i="6"/>
  <c r="T470" i="6" s="1"/>
  <c r="E459" i="6"/>
  <c r="T460" i="6"/>
  <c r="T431" i="6"/>
  <c r="R415" i="6"/>
  <c r="R396" i="6"/>
  <c r="J416" i="6"/>
  <c r="J415" i="6"/>
  <c r="S440" i="8" s="1"/>
  <c r="I416" i="6"/>
  <c r="I415" i="6"/>
  <c r="I401" i="6"/>
  <c r="I400" i="6"/>
  <c r="I422" i="6" s="1"/>
  <c r="I399" i="6"/>
  <c r="I421" i="6" s="1"/>
  <c r="I398" i="6"/>
  <c r="I397" i="6"/>
  <c r="I419" i="6" s="1"/>
  <c r="J401" i="6"/>
  <c r="J400" i="6"/>
  <c r="J422" i="6" s="1"/>
  <c r="J399" i="6"/>
  <c r="J421" i="6" s="1"/>
  <c r="J398" i="6"/>
  <c r="J397" i="6"/>
  <c r="J419" i="6" s="1"/>
  <c r="J396" i="6"/>
  <c r="J418" i="6" s="1"/>
  <c r="I396" i="6"/>
  <c r="I418" i="6" s="1"/>
  <c r="R385" i="6"/>
  <c r="Q384" i="6"/>
  <c r="J387" i="6"/>
  <c r="J386" i="6"/>
  <c r="J385" i="6"/>
  <c r="I387" i="6"/>
  <c r="I386" i="6"/>
  <c r="I385" i="6"/>
  <c r="Q369" i="6"/>
  <c r="T369" i="6" s="1"/>
  <c r="Q370" i="6"/>
  <c r="T370" i="6" s="1"/>
  <c r="Q368" i="6"/>
  <c r="T368" i="6" s="1"/>
  <c r="Q346" i="6"/>
  <c r="T346" i="6" s="1"/>
  <c r="Q337" i="6"/>
  <c r="T337" i="6" s="1"/>
  <c r="Q336" i="6"/>
  <c r="T336" i="6" s="1"/>
  <c r="Q335" i="6"/>
  <c r="T335" i="6" s="1"/>
  <c r="Q315" i="6"/>
  <c r="T315" i="6" s="1"/>
  <c r="Q316" i="6"/>
  <c r="T316" i="6" s="1"/>
  <c r="Q314" i="6"/>
  <c r="T314" i="6" s="1"/>
  <c r="Q303" i="6"/>
  <c r="T303" i="6" s="1"/>
  <c r="I303" i="6"/>
  <c r="J306" i="6"/>
  <c r="S343" i="8" s="1"/>
  <c r="V343" i="8" s="1"/>
  <c r="J305" i="6"/>
  <c r="J304" i="6"/>
  <c r="S342" i="8" s="1"/>
  <c r="V342" i="8" s="1"/>
  <c r="J303" i="6"/>
  <c r="I306" i="6"/>
  <c r="I305" i="6"/>
  <c r="I304" i="6"/>
  <c r="T285" i="6"/>
  <c r="J289" i="6"/>
  <c r="J288" i="6"/>
  <c r="J287" i="6"/>
  <c r="J286" i="6"/>
  <c r="J285" i="6"/>
  <c r="J284" i="6"/>
  <c r="J283" i="6"/>
  <c r="J282" i="6"/>
  <c r="J281" i="6"/>
  <c r="I289" i="6"/>
  <c r="I288" i="6"/>
  <c r="I287" i="6"/>
  <c r="I286" i="6"/>
  <c r="I285" i="6"/>
  <c r="I284" i="6"/>
  <c r="I283" i="6"/>
  <c r="I282" i="6"/>
  <c r="I281" i="6"/>
  <c r="E274" i="6"/>
  <c r="S276" i="6"/>
  <c r="I275" i="6"/>
  <c r="S275" i="6"/>
  <c r="I274" i="6"/>
  <c r="J261" i="6"/>
  <c r="I261" i="6"/>
  <c r="T248" i="6"/>
  <c r="J249" i="6"/>
  <c r="J248" i="6"/>
  <c r="S289" i="8" s="1"/>
  <c r="J247" i="6"/>
  <c r="I195" i="6"/>
  <c r="I194" i="6"/>
  <c r="I193" i="6"/>
  <c r="I192" i="6"/>
  <c r="I191" i="6"/>
  <c r="I220" i="6"/>
  <c r="I219" i="6"/>
  <c r="I218" i="6"/>
  <c r="I217" i="6"/>
  <c r="I216" i="6"/>
  <c r="I214" i="6"/>
  <c r="I213" i="6"/>
  <c r="I249" i="6"/>
  <c r="I248" i="6"/>
  <c r="I247" i="6"/>
  <c r="T216" i="6"/>
  <c r="T215" i="6"/>
  <c r="J213" i="6"/>
  <c r="J214" i="6"/>
  <c r="J215" i="6"/>
  <c r="J217" i="6"/>
  <c r="J218" i="6"/>
  <c r="J219" i="6"/>
  <c r="J220" i="6"/>
  <c r="J212" i="6"/>
  <c r="I215" i="6"/>
  <c r="I212" i="6"/>
  <c r="Q192" i="6"/>
  <c r="T192" i="6" s="1"/>
  <c r="J191" i="6"/>
  <c r="J192" i="6"/>
  <c r="J193" i="6"/>
  <c r="J194" i="6"/>
  <c r="J195" i="6"/>
  <c r="I190" i="6"/>
  <c r="S329" i="8" l="1"/>
  <c r="S328" i="8"/>
  <c r="S327" i="8"/>
  <c r="R276" i="8"/>
  <c r="L276" i="8"/>
  <c r="L270" i="8"/>
  <c r="L269" i="8"/>
  <c r="R275" i="8"/>
  <c r="L275" i="8"/>
  <c r="R270" i="8"/>
  <c r="R269" i="8"/>
  <c r="T384" i="6"/>
  <c r="S276" i="8"/>
  <c r="S270" i="8"/>
  <c r="S269" i="8"/>
  <c r="S275" i="8"/>
  <c r="S280" i="8"/>
  <c r="S279" i="8"/>
  <c r="S274" i="8"/>
  <c r="S273" i="8"/>
  <c r="S288" i="8" s="1"/>
  <c r="V289" i="8" s="1"/>
  <c r="R280" i="8"/>
  <c r="L280" i="8"/>
  <c r="R274" i="8"/>
  <c r="R273" i="8"/>
  <c r="R288" i="8" s="1"/>
  <c r="R279" i="8"/>
  <c r="L279" i="8"/>
  <c r="L274" i="8"/>
  <c r="L273" i="8"/>
  <c r="L288" i="8" s="1"/>
  <c r="R328" i="8"/>
  <c r="R329" i="8"/>
  <c r="L328" i="8"/>
  <c r="R327" i="8"/>
  <c r="L329" i="8"/>
  <c r="L327" i="8"/>
  <c r="L339" i="8"/>
  <c r="L338" i="8"/>
  <c r="R339" i="8"/>
  <c r="R338" i="8"/>
  <c r="R331" i="8"/>
  <c r="L330" i="8"/>
  <c r="R333" i="8"/>
  <c r="L332" i="8"/>
  <c r="R332" i="8"/>
  <c r="L331" i="8"/>
  <c r="R330" i="8"/>
  <c r="L333" i="8"/>
  <c r="R335" i="8"/>
  <c r="L334" i="8"/>
  <c r="R336" i="8"/>
  <c r="L335" i="8"/>
  <c r="R337" i="8"/>
  <c r="L336" i="8"/>
  <c r="R334" i="8"/>
  <c r="L337" i="8"/>
  <c r="BI78" i="6"/>
  <c r="R314" i="8"/>
  <c r="L314" i="8"/>
  <c r="R316" i="8"/>
  <c r="L316" i="8"/>
  <c r="R317" i="8"/>
  <c r="R315" i="8"/>
  <c r="L315" i="8"/>
  <c r="L317" i="8"/>
  <c r="S339" i="8"/>
  <c r="S338" i="8"/>
  <c r="S330" i="8"/>
  <c r="S331" i="8"/>
  <c r="S332" i="8"/>
  <c r="S333" i="8"/>
  <c r="S334" i="8"/>
  <c r="S336" i="8"/>
  <c r="S335" i="8"/>
  <c r="S337" i="8"/>
  <c r="R343" i="8"/>
  <c r="L343" i="8"/>
  <c r="J423" i="6"/>
  <c r="S437" i="8"/>
  <c r="S435" i="8"/>
  <c r="S436" i="8"/>
  <c r="S272" i="8"/>
  <c r="S278" i="8"/>
  <c r="S277" i="8"/>
  <c r="S271" i="8"/>
  <c r="R272" i="8"/>
  <c r="L272" i="8"/>
  <c r="L278" i="8"/>
  <c r="R271" i="8"/>
  <c r="L271" i="8"/>
  <c r="R278" i="8"/>
  <c r="R277" i="8"/>
  <c r="L277" i="8"/>
  <c r="S293" i="8"/>
  <c r="S297" i="8"/>
  <c r="S301" i="8"/>
  <c r="S303" i="8"/>
  <c r="S296" i="8"/>
  <c r="S292" i="8"/>
  <c r="S294" i="8"/>
  <c r="S298" i="8"/>
  <c r="S302" i="8"/>
  <c r="S295" i="8"/>
  <c r="S299" i="8"/>
  <c r="S300" i="8"/>
  <c r="S428" i="8"/>
  <c r="S439" i="8" s="1"/>
  <c r="V440" i="8" s="1"/>
  <c r="S429" i="8"/>
  <c r="S430" i="8"/>
  <c r="J420" i="6"/>
  <c r="S442" i="8" s="1"/>
  <c r="S432" i="8"/>
  <c r="S441" i="8" s="1"/>
  <c r="S434" i="8"/>
  <c r="S433" i="8"/>
  <c r="I423" i="6"/>
  <c r="R435" i="8"/>
  <c r="R437" i="8"/>
  <c r="R436" i="8"/>
  <c r="L436" i="8"/>
  <c r="L435" i="8"/>
  <c r="L437" i="8"/>
  <c r="AV887" i="6"/>
  <c r="R267" i="8"/>
  <c r="L267" i="8"/>
  <c r="L266" i="8"/>
  <c r="R266" i="8"/>
  <c r="L289" i="8"/>
  <c r="R289" i="8"/>
  <c r="R310" i="8"/>
  <c r="R306" i="8"/>
  <c r="L310" i="8"/>
  <c r="L306" i="8"/>
  <c r="R312" i="8"/>
  <c r="L308" i="8"/>
  <c r="R313" i="8"/>
  <c r="L313" i="8"/>
  <c r="R307" i="8"/>
  <c r="R311" i="8"/>
  <c r="L311" i="8"/>
  <c r="L307" i="8"/>
  <c r="R308" i="8"/>
  <c r="L312" i="8"/>
  <c r="R309" i="8"/>
  <c r="L309" i="8"/>
  <c r="P310" i="8"/>
  <c r="P306" i="8"/>
  <c r="I310" i="8"/>
  <c r="I306" i="8"/>
  <c r="P308" i="8"/>
  <c r="I312" i="8"/>
  <c r="I309" i="8"/>
  <c r="P307" i="8"/>
  <c r="P311" i="8"/>
  <c r="I311" i="8"/>
  <c r="I307" i="8"/>
  <c r="P312" i="8"/>
  <c r="I308" i="8"/>
  <c r="P309" i="8"/>
  <c r="P313" i="8"/>
  <c r="I313" i="8"/>
  <c r="L342" i="8"/>
  <c r="R342" i="8"/>
  <c r="L429" i="8"/>
  <c r="R430" i="8"/>
  <c r="R429" i="8"/>
  <c r="L430" i="8"/>
  <c r="L428" i="8"/>
  <c r="L439" i="8" s="1"/>
  <c r="R428" i="8"/>
  <c r="R439" i="8" s="1"/>
  <c r="I420" i="6"/>
  <c r="R434" i="8"/>
  <c r="R432" i="8"/>
  <c r="R441" i="8" s="1"/>
  <c r="R433" i="8"/>
  <c r="L434" i="8"/>
  <c r="L432" i="8"/>
  <c r="L441" i="8" s="1"/>
  <c r="L433" i="8"/>
  <c r="R440" i="8"/>
  <c r="L440" i="8"/>
  <c r="P870" i="8"/>
  <c r="P871" i="8"/>
  <c r="BI318" i="6"/>
  <c r="AX471" i="6"/>
  <c r="AV874" i="6"/>
  <c r="S310" i="8"/>
  <c r="S314" i="8"/>
  <c r="S306" i="8"/>
  <c r="S312" i="8"/>
  <c r="S313" i="8"/>
  <c r="S307" i="8"/>
  <c r="S311" i="8"/>
  <c r="S315" i="8"/>
  <c r="S308" i="8"/>
  <c r="S316" i="8"/>
  <c r="S309" i="8"/>
  <c r="S317" i="8"/>
  <c r="BI341" i="6"/>
  <c r="BH379" i="6"/>
  <c r="I262" i="6"/>
  <c r="R293" i="8" s="1"/>
  <c r="BH25" i="6"/>
  <c r="AX756" i="6"/>
  <c r="AW868" i="6"/>
  <c r="BI349" i="6"/>
  <c r="BF141" i="6"/>
  <c r="BF164" i="6"/>
  <c r="AV438" i="6"/>
  <c r="R173" i="6"/>
  <c r="R172" i="6"/>
  <c r="R171" i="6"/>
  <c r="S173" i="6"/>
  <c r="S172" i="6"/>
  <c r="S171" i="6"/>
  <c r="Q157" i="6"/>
  <c r="Q131" i="6"/>
  <c r="Q145" i="6"/>
  <c r="E169" i="6"/>
  <c r="I169" i="6"/>
  <c r="J169" i="6"/>
  <c r="T157" i="6"/>
  <c r="J156" i="6"/>
  <c r="I156" i="6"/>
  <c r="J48" i="6"/>
  <c r="T105" i="6"/>
  <c r="Q50" i="6"/>
  <c r="T50" i="6" s="1"/>
  <c r="S29" i="6"/>
  <c r="Q30" i="6"/>
  <c r="T30" i="6" s="1"/>
  <c r="V442" i="8" l="1"/>
  <c r="V272" i="8"/>
  <c r="V335" i="8"/>
  <c r="V436" i="8"/>
  <c r="V331" i="8"/>
  <c r="V278" i="8"/>
  <c r="V437" i="8"/>
  <c r="V280" i="8"/>
  <c r="V339" i="8"/>
  <c r="L296" i="8"/>
  <c r="R296" i="8"/>
  <c r="L303" i="8"/>
  <c r="L295" i="8"/>
  <c r="L302" i="8"/>
  <c r="R292" i="8"/>
  <c r="L292" i="8"/>
  <c r="L301" i="8"/>
  <c r="L300" i="8"/>
  <c r="L299" i="8"/>
  <c r="R302" i="8"/>
  <c r="R301" i="8"/>
  <c r="S225" i="8"/>
  <c r="S232" i="8"/>
  <c r="S235" i="8"/>
  <c r="S224" i="8"/>
  <c r="S226" i="8"/>
  <c r="S229" i="8"/>
  <c r="S228" i="8"/>
  <c r="S231" i="8"/>
  <c r="V231" i="8" s="1"/>
  <c r="S234" i="8"/>
  <c r="S227" i="8"/>
  <c r="S230" i="8"/>
  <c r="S233" i="8"/>
  <c r="S221" i="8"/>
  <c r="V274" i="8"/>
  <c r="R221" i="8"/>
  <c r="L221" i="8"/>
  <c r="S240" i="8"/>
  <c r="S244" i="8"/>
  <c r="S248" i="8"/>
  <c r="S252" i="8"/>
  <c r="S256" i="8"/>
  <c r="S260" i="8"/>
  <c r="S242" i="8"/>
  <c r="S250" i="8"/>
  <c r="S258" i="8"/>
  <c r="S241" i="8"/>
  <c r="S245" i="8"/>
  <c r="S249" i="8"/>
  <c r="S253" i="8"/>
  <c r="S257" i="8"/>
  <c r="S261" i="8"/>
  <c r="S238" i="8"/>
  <c r="S246" i="8"/>
  <c r="S254" i="8"/>
  <c r="S262" i="8"/>
  <c r="S243" i="8"/>
  <c r="S259" i="8"/>
  <c r="S247" i="8"/>
  <c r="V247" i="8" s="1"/>
  <c r="S239" i="8"/>
  <c r="S255" i="8"/>
  <c r="S237" i="8"/>
  <c r="S251" i="8"/>
  <c r="V433" i="8"/>
  <c r="V430" i="8"/>
  <c r="V270" i="8"/>
  <c r="V328" i="8"/>
  <c r="L298" i="8"/>
  <c r="L297" i="8"/>
  <c r="R303" i="8"/>
  <c r="R298" i="8"/>
  <c r="R300" i="8"/>
  <c r="R297" i="8"/>
  <c r="R442" i="8"/>
  <c r="L442" i="8"/>
  <c r="V434" i="8"/>
  <c r="V429" i="8"/>
  <c r="V337" i="8"/>
  <c r="V333" i="8"/>
  <c r="V276" i="8"/>
  <c r="V329" i="8"/>
  <c r="L294" i="8"/>
  <c r="L293" i="8"/>
  <c r="R295" i="8"/>
  <c r="R294" i="8"/>
  <c r="R299" i="8"/>
  <c r="I171" i="6"/>
  <c r="R238" i="8" s="1"/>
  <c r="I158" i="6"/>
  <c r="R224" i="8" s="1"/>
  <c r="T16" i="6"/>
  <c r="L224" i="8" l="1"/>
  <c r="V246" i="8"/>
  <c r="V239" i="8"/>
  <c r="V262" i="8"/>
  <c r="V261" i="8"/>
  <c r="V245" i="8"/>
  <c r="V242" i="8"/>
  <c r="V248" i="8"/>
  <c r="V235" i="8"/>
  <c r="R231" i="8"/>
  <c r="V253" i="8"/>
  <c r="L233" i="8"/>
  <c r="V249" i="8"/>
  <c r="V250" i="8"/>
  <c r="V233" i="8"/>
  <c r="L253" i="8"/>
  <c r="R246" i="8"/>
  <c r="L245" i="8"/>
  <c r="L255" i="8"/>
  <c r="R244" i="8"/>
  <c r="R237" i="8"/>
  <c r="R248" i="8"/>
  <c r="L260" i="8"/>
  <c r="L231" i="8"/>
  <c r="R235" i="8"/>
  <c r="R245" i="8"/>
  <c r="R243" i="8"/>
  <c r="L248" i="8"/>
  <c r="L238" i="8"/>
  <c r="L237" i="8"/>
  <c r="R262" i="8"/>
  <c r="L242" i="8"/>
  <c r="R249" i="8"/>
  <c r="L244" i="8"/>
  <c r="R253" i="8"/>
  <c r="R259" i="8"/>
  <c r="R240" i="8"/>
  <c r="L254" i="8"/>
  <c r="R261" i="8"/>
  <c r="L258" i="8"/>
  <c r="L249" i="8"/>
  <c r="R247" i="8"/>
  <c r="L246" i="8"/>
  <c r="R250" i="8"/>
  <c r="R230" i="8"/>
  <c r="V243" i="8"/>
  <c r="V238" i="8"/>
  <c r="V252" i="8"/>
  <c r="V225" i="8"/>
  <c r="L227" i="8"/>
  <c r="L228" i="8"/>
  <c r="R228" i="8"/>
  <c r="R229" i="8"/>
  <c r="V228" i="8"/>
  <c r="R257" i="8"/>
  <c r="L251" i="8"/>
  <c r="L262" i="8"/>
  <c r="L241" i="8"/>
  <c r="R260" i="8"/>
  <c r="L240" i="8"/>
  <c r="L257" i="8"/>
  <c r="R255" i="8"/>
  <c r="R239" i="8"/>
  <c r="L243" i="8"/>
  <c r="L252" i="8"/>
  <c r="R258" i="8"/>
  <c r="R242" i="8"/>
  <c r="L226" i="8"/>
  <c r="L232" i="8"/>
  <c r="L235" i="8"/>
  <c r="L230" i="8"/>
  <c r="L229" i="8"/>
  <c r="R226" i="8"/>
  <c r="V254" i="8"/>
  <c r="V257" i="8"/>
  <c r="V241" i="8"/>
  <c r="V260" i="8"/>
  <c r="V227" i="8"/>
  <c r="V229" i="8"/>
  <c r="R227" i="8"/>
  <c r="R232" i="8"/>
  <c r="V230" i="8"/>
  <c r="L259" i="8"/>
  <c r="R241" i="8"/>
  <c r="L250" i="8"/>
  <c r="R252" i="8"/>
  <c r="L247" i="8"/>
  <c r="L261" i="8"/>
  <c r="R251" i="8"/>
  <c r="R256" i="8"/>
  <c r="L239" i="8"/>
  <c r="L256" i="8"/>
  <c r="R254" i="8"/>
  <c r="R225" i="8"/>
  <c r="R233" i="8"/>
  <c r="R234" i="8"/>
  <c r="L234" i="8"/>
  <c r="L225" i="8"/>
  <c r="V258" i="8"/>
  <c r="V256" i="8"/>
  <c r="V240" i="8"/>
  <c r="V226" i="8"/>
  <c r="I886" i="6"/>
  <c r="L845" i="8" s="1"/>
  <c r="X880" i="6" l="1"/>
  <c r="X881" i="6"/>
  <c r="X879" i="6"/>
  <c r="AS70" i="6"/>
  <c r="AS71" i="6"/>
  <c r="AS73" i="6"/>
  <c r="AS74" i="6"/>
  <c r="AR72" i="6"/>
  <c r="AS72" i="6" s="1"/>
  <c r="AR69" i="6"/>
  <c r="AS69" i="6" s="1"/>
  <c r="AR68" i="6"/>
  <c r="AS68" i="6" s="1"/>
  <c r="AR67" i="6"/>
  <c r="AS67" i="6" s="1"/>
  <c r="AR66" i="6"/>
  <c r="AS66" i="6" s="1"/>
  <c r="O5" i="6"/>
  <c r="I842" i="8" l="1"/>
  <c r="I839" i="8"/>
  <c r="I838" i="8"/>
  <c r="I840" i="8"/>
  <c r="I841" i="8"/>
  <c r="L841" i="8"/>
  <c r="L842" i="8"/>
  <c r="L839" i="8"/>
  <c r="L838" i="8"/>
  <c r="L840" i="8"/>
  <c r="AT78" i="6"/>
  <c r="AT76" i="6"/>
  <c r="AT75" i="6"/>
  <c r="O68" i="6" s="1"/>
  <c r="AT77" i="6"/>
  <c r="O69" i="6" s="1"/>
  <c r="O885" i="6" l="1"/>
  <c r="I890" i="6"/>
  <c r="I888" i="6"/>
  <c r="L846" i="8" s="1"/>
  <c r="E889" i="6"/>
  <c r="E887" i="6"/>
  <c r="I846" i="8" s="1"/>
  <c r="E885" i="6"/>
  <c r="I845" i="8" s="1"/>
  <c r="O874" i="6"/>
  <c r="AR853" i="6"/>
  <c r="AR852" i="6"/>
  <c r="O853" i="6" s="1"/>
  <c r="I853" i="6"/>
  <c r="E853" i="6"/>
  <c r="O843" i="6"/>
  <c r="O842" i="6"/>
  <c r="E843" i="6"/>
  <c r="E842" i="6"/>
  <c r="J42" i="5"/>
  <c r="J61" i="5"/>
  <c r="J53" i="5"/>
  <c r="J50" i="5"/>
  <c r="J30" i="5"/>
  <c r="J86" i="5"/>
  <c r="J41" i="5"/>
  <c r="J60" i="5"/>
  <c r="J49" i="5"/>
  <c r="J27" i="5"/>
  <c r="J71" i="5"/>
  <c r="J90" i="5"/>
  <c r="J31" i="5"/>
  <c r="J67" i="5"/>
  <c r="J55" i="5"/>
  <c r="J89" i="5"/>
  <c r="J75" i="5"/>
  <c r="J73" i="5"/>
  <c r="J84" i="5"/>
  <c r="J92" i="5"/>
  <c r="J72" i="5"/>
  <c r="J63" i="5"/>
  <c r="J29" i="5"/>
  <c r="J46" i="5"/>
  <c r="J76" i="5"/>
  <c r="J44" i="5"/>
  <c r="J69" i="5"/>
  <c r="J74" i="5"/>
  <c r="J37" i="5"/>
  <c r="J68" i="5"/>
  <c r="J51" i="5"/>
  <c r="J79" i="5"/>
  <c r="J39" i="5"/>
  <c r="J64" i="5"/>
  <c r="J38" i="5"/>
  <c r="J65" i="5"/>
  <c r="J78" i="5"/>
  <c r="J43" i="5"/>
  <c r="J56" i="5"/>
  <c r="J93" i="5"/>
  <c r="J40" i="5"/>
  <c r="J58" i="5"/>
  <c r="J87" i="5"/>
  <c r="J45" i="5"/>
  <c r="J36" i="5"/>
  <c r="J28" i="5"/>
  <c r="J54" i="5"/>
  <c r="J48" i="5"/>
  <c r="J88" i="5"/>
  <c r="J77" i="5"/>
  <c r="J85" i="5"/>
  <c r="J66" i="5"/>
  <c r="J82" i="5"/>
  <c r="J81" i="5"/>
  <c r="J70" i="5"/>
  <c r="J35" i="5"/>
  <c r="I815" i="8" l="1"/>
  <c r="I814" i="8"/>
  <c r="I816" i="8"/>
  <c r="I619" i="8"/>
  <c r="I623" i="8"/>
  <c r="I621" i="8"/>
  <c r="I625" i="8"/>
  <c r="I617" i="8"/>
  <c r="I620" i="8"/>
  <c r="I624" i="8"/>
  <c r="I618" i="8"/>
  <c r="I622" i="8"/>
  <c r="L621" i="8"/>
  <c r="L625" i="8"/>
  <c r="L619" i="8"/>
  <c r="L623" i="8"/>
  <c r="L624" i="8"/>
  <c r="L618" i="8"/>
  <c r="L622" i="8"/>
  <c r="L617" i="8"/>
  <c r="L620" i="8"/>
  <c r="AR824" i="6"/>
  <c r="O824" i="6" s="1"/>
  <c r="AR825" i="6"/>
  <c r="O823" i="6"/>
  <c r="I827" i="6"/>
  <c r="E824" i="6"/>
  <c r="E823" i="6"/>
  <c r="I781" i="6"/>
  <c r="I745" i="6"/>
  <c r="O743" i="6"/>
  <c r="O761" i="6"/>
  <c r="AR779" i="6"/>
  <c r="AR778" i="6"/>
  <c r="O780" i="6" s="1"/>
  <c r="O779" i="6"/>
  <c r="O778" i="6"/>
  <c r="E779" i="6"/>
  <c r="E778" i="6"/>
  <c r="E761" i="6"/>
  <c r="O760" i="6"/>
  <c r="E760" i="6"/>
  <c r="AR761" i="6"/>
  <c r="AR760" i="6"/>
  <c r="O762" i="6" s="1"/>
  <c r="AR743" i="6"/>
  <c r="AR742" i="6"/>
  <c r="O744" i="6" s="1"/>
  <c r="O742" i="6"/>
  <c r="E743" i="6"/>
  <c r="E742" i="6"/>
  <c r="L720" i="8" l="1"/>
  <c r="L721" i="8"/>
  <c r="L725" i="8"/>
  <c r="L724" i="8"/>
  <c r="L813" i="8"/>
  <c r="I725" i="8"/>
  <c r="I716" i="8"/>
  <c r="I712" i="8"/>
  <c r="I813" i="8"/>
  <c r="I724" i="8"/>
  <c r="I719" i="8"/>
  <c r="I715" i="8"/>
  <c r="I711" i="8"/>
  <c r="I718" i="8"/>
  <c r="I714" i="8"/>
  <c r="I710" i="8"/>
  <c r="I717" i="8"/>
  <c r="I713" i="8"/>
  <c r="I709" i="8"/>
  <c r="L808" i="8"/>
  <c r="L809" i="8"/>
  <c r="L810" i="8"/>
  <c r="L811" i="8"/>
  <c r="I721" i="8"/>
  <c r="I720" i="8"/>
  <c r="I723" i="8"/>
  <c r="I722" i="8"/>
  <c r="I809" i="8"/>
  <c r="I810" i="8"/>
  <c r="I811" i="8"/>
  <c r="I808" i="8"/>
  <c r="L695" i="8"/>
  <c r="L694" i="8"/>
  <c r="L706" i="8"/>
  <c r="L702" i="8"/>
  <c r="L707" i="8"/>
  <c r="L703" i="8"/>
  <c r="L697" i="8"/>
  <c r="L696" i="8"/>
  <c r="I702" i="8"/>
  <c r="I694" i="8"/>
  <c r="I706" i="8"/>
  <c r="I696" i="8"/>
  <c r="I707" i="8"/>
  <c r="I703" i="8"/>
  <c r="I695" i="8"/>
  <c r="I697" i="8"/>
  <c r="L710" i="8"/>
  <c r="L714" i="8"/>
  <c r="L718" i="8"/>
  <c r="L709" i="8"/>
  <c r="L713" i="8"/>
  <c r="L711" i="8"/>
  <c r="L715" i="8"/>
  <c r="L719" i="8"/>
  <c r="L712" i="8"/>
  <c r="L716" i="8"/>
  <c r="L717" i="8"/>
  <c r="E731" i="6"/>
  <c r="E733" i="6"/>
  <c r="E732" i="6"/>
  <c r="E721" i="6"/>
  <c r="E720" i="6"/>
  <c r="E722" i="6"/>
  <c r="O691" i="6"/>
  <c r="E693" i="6"/>
  <c r="O680" i="6"/>
  <c r="E682" i="6"/>
  <c r="O669" i="6"/>
  <c r="E671" i="6"/>
  <c r="E629" i="6"/>
  <c r="E574" i="6"/>
  <c r="E505" i="6"/>
  <c r="O459" i="6"/>
  <c r="I448" i="6"/>
  <c r="G448" i="6"/>
  <c r="E448" i="6"/>
  <c r="AR430" i="6"/>
  <c r="AR429" i="6"/>
  <c r="E431" i="6" s="1"/>
  <c r="AR413" i="6"/>
  <c r="AR414" i="6"/>
  <c r="AR415" i="6"/>
  <c r="AR416" i="6"/>
  <c r="AR417" i="6"/>
  <c r="AR418" i="6"/>
  <c r="AR412" i="6"/>
  <c r="AR394" i="6"/>
  <c r="AR395" i="6"/>
  <c r="AR396" i="6"/>
  <c r="AR397" i="6"/>
  <c r="AR398" i="6"/>
  <c r="AR399" i="6"/>
  <c r="AR400" i="6"/>
  <c r="AR401" i="6"/>
  <c r="AR402" i="6"/>
  <c r="AR403" i="6"/>
  <c r="AR404" i="6"/>
  <c r="AR393" i="6"/>
  <c r="AR367" i="6"/>
  <c r="AR368" i="6"/>
  <c r="AR369" i="6"/>
  <c r="AR370" i="6"/>
  <c r="AR371" i="6"/>
  <c r="AR372" i="6"/>
  <c r="AR373" i="6"/>
  <c r="AR374" i="6"/>
  <c r="AR375" i="6"/>
  <c r="AR376" i="6"/>
  <c r="AR377" i="6"/>
  <c r="AR378" i="6"/>
  <c r="AR366" i="6"/>
  <c r="AR383" i="6"/>
  <c r="AR384" i="6"/>
  <c r="AR385" i="6"/>
  <c r="AR386" i="6"/>
  <c r="AR387" i="6"/>
  <c r="AR388" i="6"/>
  <c r="AR382" i="6"/>
  <c r="I578" i="8" l="1"/>
  <c r="I605" i="8"/>
  <c r="I580" i="8"/>
  <c r="I608" i="8"/>
  <c r="I606" i="8"/>
  <c r="I607" i="8"/>
  <c r="I581" i="8"/>
  <c r="I579" i="8"/>
  <c r="I705" i="8"/>
  <c r="I683" i="8"/>
  <c r="I685" i="8"/>
  <c r="I688" i="8"/>
  <c r="I691" i="8"/>
  <c r="I699" i="8"/>
  <c r="I704" i="8"/>
  <c r="I682" i="8"/>
  <c r="I684" i="8"/>
  <c r="I687" i="8"/>
  <c r="I690" i="8"/>
  <c r="I693" i="8"/>
  <c r="I701" i="8"/>
  <c r="I681" i="8"/>
  <c r="I698" i="8"/>
  <c r="I686" i="8"/>
  <c r="I689" i="8"/>
  <c r="I692" i="8"/>
  <c r="I700" i="8"/>
  <c r="I680" i="8"/>
  <c r="P858" i="8"/>
  <c r="P862" i="8"/>
  <c r="P852" i="8"/>
  <c r="P860" i="8"/>
  <c r="P857" i="8"/>
  <c r="P854" i="8"/>
  <c r="P851" i="8"/>
  <c r="P855" i="8"/>
  <c r="P859" i="8"/>
  <c r="P863" i="8"/>
  <c r="P849" i="8"/>
  <c r="P853" i="8"/>
  <c r="P856" i="8"/>
  <c r="P850" i="8"/>
  <c r="P861" i="8"/>
  <c r="Q867" i="8"/>
  <c r="P867" i="8"/>
  <c r="P866" i="8"/>
  <c r="Q866" i="8"/>
  <c r="I679" i="8"/>
  <c r="I678" i="8"/>
  <c r="R867" i="8"/>
  <c r="R866" i="8"/>
  <c r="H448" i="6"/>
  <c r="L448" i="6"/>
  <c r="AT383" i="6"/>
  <c r="AT394" i="6"/>
  <c r="AT413" i="6"/>
  <c r="AT382" i="6"/>
  <c r="E384" i="6" s="1"/>
  <c r="AT393" i="6"/>
  <c r="E395" i="6" s="1"/>
  <c r="AT412" i="6"/>
  <c r="E414" i="6" s="1"/>
  <c r="E306" i="6"/>
  <c r="E305" i="6"/>
  <c r="E304" i="6"/>
  <c r="E303" i="6"/>
  <c r="T866" i="8" l="1"/>
  <c r="U866" i="8" s="1"/>
  <c r="I343" i="8"/>
  <c r="P343" i="8"/>
  <c r="T867" i="8"/>
  <c r="U867" i="8" s="1"/>
  <c r="I342" i="8"/>
  <c r="P342" i="8"/>
  <c r="E289" i="6"/>
  <c r="E288" i="6"/>
  <c r="E287" i="6"/>
  <c r="E286" i="6"/>
  <c r="E285" i="6"/>
  <c r="E284" i="6"/>
  <c r="E283" i="6"/>
  <c r="E282" i="6"/>
  <c r="E281" i="6"/>
  <c r="AR289" i="6"/>
  <c r="O281" i="6" s="1"/>
  <c r="AR290" i="6"/>
  <c r="AR291" i="6"/>
  <c r="AR292" i="6"/>
  <c r="O282" i="6" s="1"/>
  <c r="AR293" i="6"/>
  <c r="AR294" i="6"/>
  <c r="AR295" i="6"/>
  <c r="O283" i="6" s="1"/>
  <c r="AR296" i="6"/>
  <c r="AR297" i="6"/>
  <c r="AR298" i="6"/>
  <c r="AR299" i="6"/>
  <c r="O284" i="6" s="1"/>
  <c r="AR288" i="6"/>
  <c r="E275" i="6"/>
  <c r="AR277" i="6"/>
  <c r="AR276" i="6"/>
  <c r="AR275" i="6"/>
  <c r="AR274" i="6"/>
  <c r="AR270" i="6"/>
  <c r="AR269" i="6"/>
  <c r="AR268" i="6"/>
  <c r="AR267" i="6"/>
  <c r="AR266" i="6"/>
  <c r="AR265" i="6"/>
  <c r="AR264" i="6"/>
  <c r="E261" i="6"/>
  <c r="P327" i="8" l="1"/>
  <c r="I329" i="8"/>
  <c r="P328" i="8"/>
  <c r="I327" i="8"/>
  <c r="P329" i="8"/>
  <c r="I328" i="8"/>
  <c r="P338" i="8"/>
  <c r="P339" i="8"/>
  <c r="I339" i="8"/>
  <c r="I338" i="8"/>
  <c r="P333" i="8"/>
  <c r="I331" i="8"/>
  <c r="I330" i="8"/>
  <c r="P330" i="8"/>
  <c r="I332" i="8"/>
  <c r="P331" i="8"/>
  <c r="P332" i="8"/>
  <c r="I333" i="8"/>
  <c r="P337" i="8"/>
  <c r="I336" i="8"/>
  <c r="P335" i="8"/>
  <c r="P334" i="8"/>
  <c r="I337" i="8"/>
  <c r="I334" i="8"/>
  <c r="P336" i="8"/>
  <c r="I335" i="8"/>
  <c r="P293" i="8"/>
  <c r="P297" i="8"/>
  <c r="P301" i="8"/>
  <c r="P295" i="8"/>
  <c r="P303" i="8"/>
  <c r="P296" i="8"/>
  <c r="P292" i="8"/>
  <c r="P294" i="8"/>
  <c r="P298" i="8"/>
  <c r="P302" i="8"/>
  <c r="P299" i="8"/>
  <c r="P300" i="8"/>
  <c r="I301" i="8"/>
  <c r="I293" i="8"/>
  <c r="I297" i="8"/>
  <c r="I303" i="8"/>
  <c r="I299" i="8"/>
  <c r="I296" i="8"/>
  <c r="I302" i="8"/>
  <c r="I294" i="8"/>
  <c r="I298" i="8"/>
  <c r="I295" i="8"/>
  <c r="I300" i="8"/>
  <c r="I292" i="8"/>
  <c r="P314" i="8"/>
  <c r="I314" i="8"/>
  <c r="I317" i="8"/>
  <c r="P315" i="8"/>
  <c r="I315" i="8"/>
  <c r="P316" i="8"/>
  <c r="I316" i="8"/>
  <c r="P317" i="8"/>
  <c r="AT288" i="6"/>
  <c r="AT274" i="6"/>
  <c r="O274" i="6" s="1"/>
  <c r="AT275" i="6"/>
  <c r="AT287" i="6"/>
  <c r="AT265" i="6"/>
  <c r="AT264" i="6"/>
  <c r="O261" i="6" s="1"/>
  <c r="E249" i="6"/>
  <c r="E248" i="6"/>
  <c r="E247" i="6"/>
  <c r="AR257" i="6"/>
  <c r="AR256" i="6"/>
  <c r="AR255" i="6"/>
  <c r="AR254" i="6"/>
  <c r="AR253" i="6"/>
  <c r="AR252" i="6"/>
  <c r="AR251" i="6"/>
  <c r="AR250" i="6"/>
  <c r="AR249" i="6"/>
  <c r="AR248" i="6"/>
  <c r="E220" i="6"/>
  <c r="E219" i="6"/>
  <c r="E218" i="6"/>
  <c r="E217" i="6"/>
  <c r="E216" i="6"/>
  <c r="E215" i="6"/>
  <c r="E214" i="6"/>
  <c r="E213" i="6"/>
  <c r="E212" i="6"/>
  <c r="AR220" i="6"/>
  <c r="AR221" i="6"/>
  <c r="AR222" i="6"/>
  <c r="AR223" i="6"/>
  <c r="AR224" i="6"/>
  <c r="AR225" i="6"/>
  <c r="AR226" i="6"/>
  <c r="AR227" i="6"/>
  <c r="AR228" i="6"/>
  <c r="AR229" i="6"/>
  <c r="AR230" i="6"/>
  <c r="AR231" i="6"/>
  <c r="AR232" i="6"/>
  <c r="AR233" i="6"/>
  <c r="AR234" i="6"/>
  <c r="AR235" i="6"/>
  <c r="AR236" i="6"/>
  <c r="AR237" i="6"/>
  <c r="AR238" i="6"/>
  <c r="AR239" i="6"/>
  <c r="AR240" i="6"/>
  <c r="AR241" i="6"/>
  <c r="AR242" i="6"/>
  <c r="AR243" i="6"/>
  <c r="AR219" i="6"/>
  <c r="E195" i="6"/>
  <c r="E194" i="6"/>
  <c r="E192" i="6"/>
  <c r="E191" i="6"/>
  <c r="E193" i="6"/>
  <c r="E190" i="6"/>
  <c r="AR195" i="6"/>
  <c r="AR196" i="6"/>
  <c r="AR197" i="6"/>
  <c r="AR198" i="6"/>
  <c r="AR199" i="6"/>
  <c r="AR200" i="6"/>
  <c r="AR201" i="6"/>
  <c r="AR202" i="6"/>
  <c r="AR203" i="6"/>
  <c r="AR204" i="6"/>
  <c r="AR205" i="6"/>
  <c r="AR206" i="6"/>
  <c r="AR207" i="6"/>
  <c r="AR208" i="6"/>
  <c r="AR194" i="6"/>
  <c r="AR160" i="6"/>
  <c r="AR161" i="6"/>
  <c r="AR162" i="6"/>
  <c r="AR163" i="6"/>
  <c r="AR164" i="6"/>
  <c r="AR165" i="6"/>
  <c r="O156" i="6" s="1"/>
  <c r="AR159" i="6"/>
  <c r="O173" i="6"/>
  <c r="O172" i="6"/>
  <c r="O171" i="6"/>
  <c r="AR177" i="6"/>
  <c r="AR178" i="6"/>
  <c r="AR179" i="6"/>
  <c r="AR180" i="6"/>
  <c r="AR181" i="6"/>
  <c r="AR182" i="6"/>
  <c r="AR183" i="6"/>
  <c r="AR184" i="6"/>
  <c r="AR185" i="6"/>
  <c r="AR186" i="6"/>
  <c r="AR176" i="6"/>
  <c r="E156" i="6"/>
  <c r="BO68" i="6"/>
  <c r="BQ67" i="6"/>
  <c r="BP67" i="6"/>
  <c r="BQ66" i="6"/>
  <c r="BP66" i="6"/>
  <c r="BQ65" i="6"/>
  <c r="BP65" i="6"/>
  <c r="BQ64" i="6"/>
  <c r="BP64" i="6"/>
  <c r="BQ63" i="6"/>
  <c r="BP63" i="6"/>
  <c r="BQ62" i="6"/>
  <c r="BP62" i="6"/>
  <c r="BQ61" i="6"/>
  <c r="BP61" i="6"/>
  <c r="BQ60" i="6"/>
  <c r="BP60" i="6"/>
  <c r="BQ59" i="6"/>
  <c r="BP59" i="6"/>
  <c r="BQ58" i="6"/>
  <c r="BP58" i="6"/>
  <c r="BQ57" i="6"/>
  <c r="BP57" i="6"/>
  <c r="BQ56" i="6"/>
  <c r="BP56" i="6"/>
  <c r="BQ55" i="6"/>
  <c r="BP55" i="6"/>
  <c r="BQ54" i="6"/>
  <c r="BP54" i="6"/>
  <c r="BQ53" i="6"/>
  <c r="BP53" i="6"/>
  <c r="BQ52" i="6"/>
  <c r="BP52" i="6"/>
  <c r="BO45" i="6"/>
  <c r="BQ44" i="6"/>
  <c r="BP44" i="6"/>
  <c r="BQ43" i="6"/>
  <c r="BP43" i="6"/>
  <c r="BQ42" i="6"/>
  <c r="BP42" i="6"/>
  <c r="BQ41" i="6"/>
  <c r="BP41" i="6"/>
  <c r="BQ40" i="6"/>
  <c r="BP40" i="6"/>
  <c r="BQ39" i="6"/>
  <c r="BP39" i="6"/>
  <c r="BQ38" i="6"/>
  <c r="BP38" i="6"/>
  <c r="BQ37" i="6"/>
  <c r="BP37" i="6"/>
  <c r="BQ36" i="6"/>
  <c r="BP36" i="6"/>
  <c r="BQ35" i="6"/>
  <c r="BP35" i="6"/>
  <c r="BQ34" i="6"/>
  <c r="BP34" i="6"/>
  <c r="BQ33" i="6"/>
  <c r="BP33" i="6"/>
  <c r="BQ32" i="6"/>
  <c r="BP32" i="6"/>
  <c r="BQ31" i="6"/>
  <c r="BP31" i="6"/>
  <c r="BQ30" i="6"/>
  <c r="BP30" i="6"/>
  <c r="BQ29" i="6"/>
  <c r="BP29" i="6"/>
  <c r="BO22" i="6"/>
  <c r="BP7" i="6"/>
  <c r="BP8" i="6"/>
  <c r="BP9" i="6"/>
  <c r="BP10" i="6"/>
  <c r="BP11" i="6"/>
  <c r="BP12" i="6"/>
  <c r="BP13" i="6"/>
  <c r="BP14" i="6"/>
  <c r="BP15" i="6"/>
  <c r="BP16" i="6"/>
  <c r="BP17" i="6"/>
  <c r="BP18" i="6"/>
  <c r="BP19" i="6"/>
  <c r="BP20" i="6"/>
  <c r="BP21" i="6"/>
  <c r="BP6" i="6"/>
  <c r="BQ7" i="6"/>
  <c r="BQ8" i="6"/>
  <c r="BQ9" i="6"/>
  <c r="BQ10" i="6"/>
  <c r="BQ11" i="6"/>
  <c r="BQ12" i="6"/>
  <c r="BQ13" i="6"/>
  <c r="BQ14" i="6"/>
  <c r="BQ15" i="6"/>
  <c r="BQ16" i="6"/>
  <c r="BQ17" i="6"/>
  <c r="BQ18" i="6"/>
  <c r="BQ19" i="6"/>
  <c r="BQ20" i="6"/>
  <c r="BQ21" i="6"/>
  <c r="BQ6" i="6"/>
  <c r="AR131" i="6"/>
  <c r="AR132" i="6"/>
  <c r="AR133" i="6"/>
  <c r="AR134" i="6"/>
  <c r="AR135" i="6"/>
  <c r="AR136" i="6"/>
  <c r="AR137" i="6"/>
  <c r="AR138" i="6"/>
  <c r="AR139" i="6"/>
  <c r="AR140" i="6"/>
  <c r="AR141" i="6"/>
  <c r="AR130" i="6"/>
  <c r="I107" i="6"/>
  <c r="I106" i="6"/>
  <c r="I105" i="6"/>
  <c r="AR105" i="6"/>
  <c r="E107" i="6" s="1"/>
  <c r="AR104" i="6"/>
  <c r="E106" i="6" s="1"/>
  <c r="AR103" i="6"/>
  <c r="E105" i="6" s="1"/>
  <c r="AR57" i="6"/>
  <c r="AS57" i="6" s="1"/>
  <c r="AR56" i="6"/>
  <c r="AS56" i="6" s="1"/>
  <c r="AR55" i="6"/>
  <c r="AS55" i="6" s="1"/>
  <c r="AR54" i="6"/>
  <c r="AS54" i="6" s="1"/>
  <c r="L205" i="8" l="1"/>
  <c r="L209" i="8"/>
  <c r="L213" i="8"/>
  <c r="L206" i="8"/>
  <c r="L210" i="8"/>
  <c r="L207" i="8"/>
  <c r="L211" i="8"/>
  <c r="L203" i="8"/>
  <c r="L204" i="8"/>
  <c r="L208" i="8"/>
  <c r="L212" i="8"/>
  <c r="I203" i="8"/>
  <c r="I207" i="8"/>
  <c r="I211" i="8"/>
  <c r="I204" i="8"/>
  <c r="I208" i="8"/>
  <c r="I212" i="8"/>
  <c r="I205" i="8"/>
  <c r="I209" i="8"/>
  <c r="I213" i="8"/>
  <c r="I206" i="8"/>
  <c r="I210" i="8"/>
  <c r="P276" i="8"/>
  <c r="I276" i="8"/>
  <c r="P269" i="8"/>
  <c r="P275" i="8"/>
  <c r="I275" i="8"/>
  <c r="P270" i="8"/>
  <c r="I270" i="8"/>
  <c r="I269" i="8"/>
  <c r="P280" i="8"/>
  <c r="I280" i="8"/>
  <c r="P274" i="8"/>
  <c r="I274" i="8"/>
  <c r="I273" i="8"/>
  <c r="P279" i="8"/>
  <c r="I279" i="8"/>
  <c r="P273" i="8"/>
  <c r="P288" i="8" s="1"/>
  <c r="P289" i="8"/>
  <c r="I289" i="8"/>
  <c r="I288" i="8"/>
  <c r="I267" i="8"/>
  <c r="P267" i="8"/>
  <c r="P266" i="8"/>
  <c r="I266" i="8"/>
  <c r="P272" i="8"/>
  <c r="I272" i="8"/>
  <c r="P278" i="8"/>
  <c r="P277" i="8"/>
  <c r="P271" i="8"/>
  <c r="I271" i="8"/>
  <c r="I278" i="8"/>
  <c r="I277" i="8"/>
  <c r="AT249" i="6"/>
  <c r="AT131" i="6"/>
  <c r="BP45" i="6"/>
  <c r="AT235" i="6"/>
  <c r="AT226" i="6"/>
  <c r="O213" i="6" s="1"/>
  <c r="AT176" i="6"/>
  <c r="AT159" i="6"/>
  <c r="AT195" i="6"/>
  <c r="AT220" i="6"/>
  <c r="AT227" i="6"/>
  <c r="AT130" i="6"/>
  <c r="E131" i="6" s="1"/>
  <c r="BQ22" i="6"/>
  <c r="BP22" i="6"/>
  <c r="AT179" i="6"/>
  <c r="O169" i="6" s="1"/>
  <c r="AT180" i="6"/>
  <c r="O170" i="6" s="1"/>
  <c r="AT160" i="6"/>
  <c r="AT201" i="6"/>
  <c r="AT200" i="6"/>
  <c r="O191" i="6" s="1"/>
  <c r="AT177" i="6"/>
  <c r="BQ45" i="6"/>
  <c r="G705" i="6" s="1"/>
  <c r="BP68" i="6"/>
  <c r="AT194" i="6"/>
  <c r="O190" i="6" s="1"/>
  <c r="AT219" i="6"/>
  <c r="O212" i="6" s="1"/>
  <c r="AT234" i="6"/>
  <c r="O214" i="6" s="1"/>
  <c r="AT248" i="6"/>
  <c r="O247" i="6" s="1"/>
  <c r="BQ68" i="6"/>
  <c r="BS53" i="6" s="1"/>
  <c r="G459" i="6" s="1"/>
  <c r="AR39" i="6"/>
  <c r="AT39" i="6" s="1"/>
  <c r="AR38" i="6"/>
  <c r="AR37" i="6"/>
  <c r="AR36" i="6"/>
  <c r="AR35" i="6"/>
  <c r="AT35" i="6" s="1"/>
  <c r="BM22" i="6"/>
  <c r="BN22" i="6"/>
  <c r="BM45" i="6"/>
  <c r="BN45" i="6"/>
  <c r="BM68" i="6"/>
  <c r="BN68" i="6"/>
  <c r="AR17" i="6"/>
  <c r="AR18" i="6"/>
  <c r="AR19" i="6"/>
  <c r="AR20" i="6"/>
  <c r="AR21" i="6"/>
  <c r="AR22" i="6"/>
  <c r="AR23" i="6"/>
  <c r="AR24" i="6"/>
  <c r="AR25" i="6"/>
  <c r="AR26" i="6"/>
  <c r="AR16" i="6"/>
  <c r="P68" i="6" l="1"/>
  <c r="Q68" i="6" s="1"/>
  <c r="T68" i="6" s="1"/>
  <c r="P69" i="6"/>
  <c r="Q69" i="6" s="1"/>
  <c r="T69" i="6" s="1"/>
  <c r="G68" i="6"/>
  <c r="H702" i="6"/>
  <c r="H704" i="6"/>
  <c r="L702" i="6"/>
  <c r="L703" i="6"/>
  <c r="H703" i="6"/>
  <c r="G84" i="6"/>
  <c r="G83" i="6"/>
  <c r="G94" i="6"/>
  <c r="I221" i="8"/>
  <c r="P221" i="8"/>
  <c r="AT19" i="6"/>
  <c r="AT18" i="6"/>
  <c r="G640" i="6"/>
  <c r="G490" i="6"/>
  <c r="G521" i="6"/>
  <c r="P703" i="6"/>
  <c r="Q703" i="6" s="1"/>
  <c r="T703" i="6" s="1"/>
  <c r="G590" i="6"/>
  <c r="G532" i="6"/>
  <c r="G602" i="6" s="1"/>
  <c r="G616" i="6"/>
  <c r="G558" i="6"/>
  <c r="G357" i="6"/>
  <c r="P261" i="6"/>
  <c r="P156" i="6"/>
  <c r="BS7" i="6"/>
  <c r="G247" i="6" s="1"/>
  <c r="J289" i="8" s="1"/>
  <c r="K289" i="8" s="1"/>
  <c r="L459" i="6"/>
  <c r="H459" i="6"/>
  <c r="P190" i="6"/>
  <c r="Q190" i="6" s="1"/>
  <c r="T190" i="6" s="1"/>
  <c r="G6" i="6"/>
  <c r="P853" i="6"/>
  <c r="Q853" i="6" s="1"/>
  <c r="T853" i="6" s="1"/>
  <c r="BS30" i="6"/>
  <c r="P874" i="6"/>
  <c r="Q874" i="6" s="1"/>
  <c r="T874" i="6" s="1"/>
  <c r="P885" i="6"/>
  <c r="Q885" i="6" s="1"/>
  <c r="T885" i="6" s="1"/>
  <c r="P843" i="6"/>
  <c r="P824" i="6"/>
  <c r="G16" i="6"/>
  <c r="G131" i="6"/>
  <c r="J216" i="8" s="1"/>
  <c r="K216" i="8" s="1"/>
  <c r="Q216" i="8" s="1"/>
  <c r="P459" i="6"/>
  <c r="Q459" i="6" s="1"/>
  <c r="T459" i="6" s="1"/>
  <c r="G431" i="6"/>
  <c r="P780" i="6"/>
  <c r="P744" i="6"/>
  <c r="P762" i="6"/>
  <c r="G629" i="6"/>
  <c r="G574" i="6"/>
  <c r="G723" i="6"/>
  <c r="L721" i="6" s="1"/>
  <c r="G652" i="6"/>
  <c r="G683" i="6"/>
  <c r="G672" i="6"/>
  <c r="G505" i="6"/>
  <c r="G470" i="6"/>
  <c r="G734" i="6"/>
  <c r="L732" i="6" s="1"/>
  <c r="G694" i="6"/>
  <c r="G651" i="6"/>
  <c r="G384" i="6"/>
  <c r="G395" i="6"/>
  <c r="G414" i="6"/>
  <c r="G346" i="6"/>
  <c r="G335" i="6"/>
  <c r="G369" i="6"/>
  <c r="L369" i="6" s="1"/>
  <c r="G314" i="6"/>
  <c r="G368" i="6"/>
  <c r="P274" i="6"/>
  <c r="Q274" i="6" s="1"/>
  <c r="T274" i="6" s="1"/>
  <c r="P281" i="6"/>
  <c r="AS39" i="6"/>
  <c r="P213" i="6"/>
  <c r="Q213" i="6" s="1"/>
  <c r="T213" i="6" s="1"/>
  <c r="P212" i="6"/>
  <c r="Q212" i="6" s="1"/>
  <c r="T212" i="6" s="1"/>
  <c r="P247" i="6"/>
  <c r="Q247" i="6" s="1"/>
  <c r="T247" i="6" s="1"/>
  <c r="P191" i="6"/>
  <c r="Q191" i="6" s="1"/>
  <c r="T191" i="6" s="1"/>
  <c r="P48" i="6"/>
  <c r="Q48" i="6" s="1"/>
  <c r="T48" i="6" s="1"/>
  <c r="P214" i="6"/>
  <c r="Q214" i="6" s="1"/>
  <c r="T214" i="6" s="1"/>
  <c r="P169" i="6"/>
  <c r="Q169" i="6" s="1"/>
  <c r="P170" i="6"/>
  <c r="T170" i="6" s="1"/>
  <c r="AS37" i="6"/>
  <c r="AT37" i="6"/>
  <c r="AS38" i="6"/>
  <c r="AT38" i="6"/>
  <c r="AS36" i="6"/>
  <c r="AT36" i="6"/>
  <c r="AS35" i="6"/>
  <c r="AT17" i="6"/>
  <c r="AT16" i="6"/>
  <c r="E16" i="6" s="1"/>
  <c r="R881" i="2"/>
  <c r="C39" i="5"/>
  <c r="C79" i="5"/>
  <c r="C78" i="5"/>
  <c r="C31" i="5"/>
  <c r="C67" i="5"/>
  <c r="C75" i="5"/>
  <c r="C40" i="5"/>
  <c r="C65" i="5"/>
  <c r="C61" i="5"/>
  <c r="C16" i="5"/>
  <c r="C69" i="5"/>
  <c r="C21" i="5"/>
  <c r="B83" i="5"/>
  <c r="C93" i="5"/>
  <c r="C26" i="5"/>
  <c r="C55" i="5"/>
  <c r="C23" i="5"/>
  <c r="C84" i="5"/>
  <c r="B25" i="5"/>
  <c r="C50" i="5"/>
  <c r="C30" i="5"/>
  <c r="C76" i="5"/>
  <c r="C28" i="5"/>
  <c r="C14" i="5"/>
  <c r="C92" i="5"/>
  <c r="B57" i="5"/>
  <c r="C54" i="5"/>
  <c r="C44" i="5"/>
  <c r="C36" i="5"/>
  <c r="C87" i="5"/>
  <c r="C15" i="5"/>
  <c r="C70" i="5"/>
  <c r="C11" i="5"/>
  <c r="C71" i="5"/>
  <c r="C72" i="5"/>
  <c r="C60" i="5"/>
  <c r="C22" i="5"/>
  <c r="C56" i="5"/>
  <c r="C27" i="5"/>
  <c r="C85" i="5"/>
  <c r="B52" i="5"/>
  <c r="C73" i="5"/>
  <c r="C42" i="5"/>
  <c r="B32" i="5"/>
  <c r="C89" i="5"/>
  <c r="C45" i="5"/>
  <c r="C43" i="5"/>
  <c r="C46" i="5"/>
  <c r="C24" i="5"/>
  <c r="C51" i="5"/>
  <c r="C53" i="5"/>
  <c r="C68" i="5"/>
  <c r="C63" i="5"/>
  <c r="C58" i="5"/>
  <c r="B62" i="5"/>
  <c r="C17" i="5"/>
  <c r="B8" i="5"/>
  <c r="C74" i="5"/>
  <c r="C13" i="5"/>
  <c r="C29" i="5"/>
  <c r="C88" i="5"/>
  <c r="C19" i="5"/>
  <c r="C90" i="5"/>
  <c r="B47" i="5"/>
  <c r="C66" i="5"/>
  <c r="C20" i="5"/>
  <c r="C77" i="5"/>
  <c r="C49" i="5"/>
  <c r="C41" i="5"/>
  <c r="C48" i="5"/>
  <c r="C18" i="5"/>
  <c r="B91" i="5"/>
  <c r="C12" i="5"/>
  <c r="C38" i="5"/>
  <c r="B59" i="5"/>
  <c r="C82" i="5"/>
  <c r="B80" i="5"/>
  <c r="C35" i="5"/>
  <c r="C86" i="5"/>
  <c r="C9" i="5"/>
  <c r="C64" i="5"/>
  <c r="C81" i="5"/>
  <c r="C37" i="5"/>
  <c r="C10" i="5"/>
  <c r="J580" i="8" l="1"/>
  <c r="K580" i="8" s="1"/>
  <c r="J578" i="8"/>
  <c r="K578" i="8" s="1"/>
  <c r="J605" i="8"/>
  <c r="K605" i="8" s="1"/>
  <c r="J187" i="8"/>
  <c r="K187" i="8" s="1"/>
  <c r="M187" i="8" s="1"/>
  <c r="J177" i="8"/>
  <c r="K177" i="8" s="1"/>
  <c r="J178" i="8"/>
  <c r="K178" i="8" s="1"/>
  <c r="J603" i="8"/>
  <c r="K603" i="8" s="1"/>
  <c r="J599" i="8"/>
  <c r="K599" i="8" s="1"/>
  <c r="J601" i="8"/>
  <c r="K601" i="8" s="1"/>
  <c r="J597" i="8"/>
  <c r="K597" i="8" s="1"/>
  <c r="J583" i="8"/>
  <c r="K583" i="8" s="1"/>
  <c r="J610" i="8"/>
  <c r="K610" i="8" s="1"/>
  <c r="L670" i="6"/>
  <c r="J607" i="8"/>
  <c r="K607" i="8" s="1"/>
  <c r="J579" i="8"/>
  <c r="K579" i="8" s="1"/>
  <c r="J581" i="8"/>
  <c r="K581" i="8" s="1"/>
  <c r="G29" i="6"/>
  <c r="J184" i="8"/>
  <c r="K184" i="8" s="1"/>
  <c r="J185" i="8"/>
  <c r="K185" i="8" s="1"/>
  <c r="J182" i="8"/>
  <c r="K182" i="8" s="1"/>
  <c r="J181" i="8"/>
  <c r="K181" i="8" s="1"/>
  <c r="J183" i="8"/>
  <c r="K183" i="8" s="1"/>
  <c r="J594" i="8"/>
  <c r="K594" i="8" s="1"/>
  <c r="J590" i="8"/>
  <c r="K590" i="8" s="1"/>
  <c r="J592" i="8"/>
  <c r="K592" i="8" s="1"/>
  <c r="J588" i="8"/>
  <c r="K588" i="8" s="1"/>
  <c r="J602" i="8"/>
  <c r="K602" i="8" s="1"/>
  <c r="J598" i="8"/>
  <c r="K598" i="8" s="1"/>
  <c r="J600" i="8"/>
  <c r="K600" i="8" s="1"/>
  <c r="J596" i="8"/>
  <c r="K596" i="8" s="1"/>
  <c r="J608" i="8"/>
  <c r="K608" i="8" s="1"/>
  <c r="J606" i="8"/>
  <c r="K606" i="8" s="1"/>
  <c r="J123" i="8"/>
  <c r="K123" i="8" s="1"/>
  <c r="Q123" i="8" s="1"/>
  <c r="J112" i="8"/>
  <c r="K112" i="8" s="1"/>
  <c r="Q112" i="8" s="1"/>
  <c r="J120" i="8"/>
  <c r="K120" i="8" s="1"/>
  <c r="Q120" i="8" s="1"/>
  <c r="J124" i="8"/>
  <c r="K124" i="8" s="1"/>
  <c r="Q124" i="8" s="1"/>
  <c r="J128" i="8"/>
  <c r="K128" i="8" s="1"/>
  <c r="Q128" i="8" s="1"/>
  <c r="J132" i="8"/>
  <c r="K132" i="8" s="1"/>
  <c r="J113" i="8"/>
  <c r="K113" i="8" s="1"/>
  <c r="Q113" i="8" s="1"/>
  <c r="J117" i="8"/>
  <c r="K117" i="8" s="1"/>
  <c r="Q117" i="8" s="1"/>
  <c r="J109" i="8"/>
  <c r="K109" i="8" s="1"/>
  <c r="J121" i="8"/>
  <c r="K121" i="8" s="1"/>
  <c r="Q121" i="8" s="1"/>
  <c r="J125" i="8"/>
  <c r="K125" i="8" s="1"/>
  <c r="Q125" i="8" s="1"/>
  <c r="J129" i="8"/>
  <c r="K129" i="8" s="1"/>
  <c r="Q129" i="8" s="1"/>
  <c r="J110" i="8"/>
  <c r="K110" i="8" s="1"/>
  <c r="Q110" i="8" s="1"/>
  <c r="J114" i="8"/>
  <c r="K114" i="8" s="1"/>
  <c r="Q114" i="8" s="1"/>
  <c r="J118" i="8"/>
  <c r="K118" i="8" s="1"/>
  <c r="Q118" i="8" s="1"/>
  <c r="J122" i="8"/>
  <c r="K122" i="8" s="1"/>
  <c r="Q122" i="8" s="1"/>
  <c r="J126" i="8"/>
  <c r="K126" i="8" s="1"/>
  <c r="J130" i="8"/>
  <c r="K130" i="8" s="1"/>
  <c r="Q130" i="8" s="1"/>
  <c r="J111" i="8"/>
  <c r="K111" i="8" s="1"/>
  <c r="Q111" i="8" s="1"/>
  <c r="J115" i="8"/>
  <c r="K115" i="8" s="1"/>
  <c r="Q115" i="8" s="1"/>
  <c r="J119" i="8"/>
  <c r="K119" i="8" s="1"/>
  <c r="Q119" i="8" s="1"/>
  <c r="J127" i="8"/>
  <c r="K127" i="8" s="1"/>
  <c r="Q127" i="8" s="1"/>
  <c r="J131" i="8"/>
  <c r="K131" i="8" s="1"/>
  <c r="Q131" i="8" s="1"/>
  <c r="J116" i="8"/>
  <c r="K116" i="8" s="1"/>
  <c r="Q116" i="8" s="1"/>
  <c r="J418" i="8"/>
  <c r="K418" i="8" s="1"/>
  <c r="J417" i="8"/>
  <c r="K417" i="8" s="1"/>
  <c r="J415" i="8"/>
  <c r="K415" i="8" s="1"/>
  <c r="J420" i="8"/>
  <c r="K420" i="8" s="1"/>
  <c r="J612" i="8"/>
  <c r="K612" i="8" s="1"/>
  <c r="J585" i="8"/>
  <c r="K585" i="8" s="1"/>
  <c r="J584" i="8"/>
  <c r="K584" i="8" s="1"/>
  <c r="J613" i="8"/>
  <c r="K613" i="8" s="1"/>
  <c r="J611" i="8"/>
  <c r="K611" i="8" s="1"/>
  <c r="J593" i="8"/>
  <c r="K593" i="8" s="1"/>
  <c r="J589" i="8"/>
  <c r="K589" i="8" s="1"/>
  <c r="J591" i="8"/>
  <c r="K591" i="8" s="1"/>
  <c r="J587" i="8"/>
  <c r="K587" i="8" s="1"/>
  <c r="G874" i="6"/>
  <c r="J839" i="8" s="1"/>
  <c r="K839" i="8" s="1"/>
  <c r="G875" i="6"/>
  <c r="P680" i="6"/>
  <c r="Q680" i="6" s="1"/>
  <c r="T680" i="6" s="1"/>
  <c r="L681" i="6"/>
  <c r="P691" i="6"/>
  <c r="Q691" i="6" s="1"/>
  <c r="T691" i="6" s="1"/>
  <c r="L692" i="6"/>
  <c r="H94" i="6"/>
  <c r="L94" i="6"/>
  <c r="J197" i="8"/>
  <c r="K197" i="8" s="1"/>
  <c r="J200" i="8"/>
  <c r="K200" i="8" s="1"/>
  <c r="J196" i="8"/>
  <c r="K196" i="8" s="1"/>
  <c r="M196" i="8" s="1"/>
  <c r="J198" i="8"/>
  <c r="K198" i="8" s="1"/>
  <c r="J199" i="8"/>
  <c r="K199" i="8" s="1"/>
  <c r="H83" i="6"/>
  <c r="L83" i="6"/>
  <c r="J192" i="8"/>
  <c r="K192" i="8" s="1"/>
  <c r="J193" i="8"/>
  <c r="K193" i="8" s="1"/>
  <c r="J191" i="8"/>
  <c r="K191" i="8" s="1"/>
  <c r="H84" i="6"/>
  <c r="L84" i="6"/>
  <c r="J194" i="8"/>
  <c r="K194" i="8" s="1"/>
  <c r="J189" i="8"/>
  <c r="K189" i="8" s="1"/>
  <c r="J190" i="8"/>
  <c r="K190" i="8" s="1"/>
  <c r="J188" i="8"/>
  <c r="K188" i="8" s="1"/>
  <c r="L368" i="6"/>
  <c r="J356" i="8"/>
  <c r="K356" i="8" s="1"/>
  <c r="Q356" i="8" s="1"/>
  <c r="J423" i="8"/>
  <c r="K423" i="8" s="1"/>
  <c r="Q423" i="8" s="1"/>
  <c r="J422" i="8"/>
  <c r="K422" i="8" s="1"/>
  <c r="Q422" i="8" s="1"/>
  <c r="J425" i="8"/>
  <c r="K425" i="8" s="1"/>
  <c r="Q425" i="8" s="1"/>
  <c r="J426" i="8"/>
  <c r="K426" i="8" s="1"/>
  <c r="Q426" i="8" s="1"/>
  <c r="J424" i="8"/>
  <c r="K424" i="8" s="1"/>
  <c r="Q424" i="8" s="1"/>
  <c r="J352" i="8"/>
  <c r="K352" i="8" s="1"/>
  <c r="Q352" i="8" s="1"/>
  <c r="J348" i="8"/>
  <c r="K348" i="8" s="1"/>
  <c r="Q348" i="8" s="1"/>
  <c r="J547" i="8"/>
  <c r="K547" i="8" s="1"/>
  <c r="J562" i="8"/>
  <c r="K562" i="8" s="1"/>
  <c r="J551" i="8"/>
  <c r="K551" i="8" s="1"/>
  <c r="J542" i="8"/>
  <c r="K542" i="8" s="1"/>
  <c r="J533" i="8"/>
  <c r="K533" i="8" s="1"/>
  <c r="J555" i="8"/>
  <c r="K555" i="8" s="1"/>
  <c r="J537" i="8"/>
  <c r="K537" i="8" s="1"/>
  <c r="J442" i="8"/>
  <c r="K442" i="8" s="1"/>
  <c r="Q442" i="8" s="1"/>
  <c r="J440" i="8"/>
  <c r="K440" i="8" s="1"/>
  <c r="Q440" i="8" s="1"/>
  <c r="L420" i="6"/>
  <c r="L419" i="6"/>
  <c r="L423" i="6"/>
  <c r="L418" i="6"/>
  <c r="L422" i="6"/>
  <c r="L421" i="6"/>
  <c r="J564" i="8"/>
  <c r="K564" i="8" s="1"/>
  <c r="J557" i="8"/>
  <c r="K557" i="8" s="1"/>
  <c r="J552" i="8"/>
  <c r="K552" i="8" s="1"/>
  <c r="J546" i="8"/>
  <c r="K546" i="8" s="1"/>
  <c r="J541" i="8"/>
  <c r="K541" i="8" s="1"/>
  <c r="J534" i="8"/>
  <c r="K534" i="8" s="1"/>
  <c r="J567" i="8"/>
  <c r="K567" i="8" s="1"/>
  <c r="J565" i="8"/>
  <c r="K565" i="8" s="1"/>
  <c r="J563" i="8"/>
  <c r="K563" i="8" s="1"/>
  <c r="J560" i="8"/>
  <c r="K560" i="8" s="1"/>
  <c r="J558" i="8"/>
  <c r="K558" i="8" s="1"/>
  <c r="J556" i="8"/>
  <c r="K556" i="8" s="1"/>
  <c r="J553" i="8"/>
  <c r="K553" i="8" s="1"/>
  <c r="J550" i="8"/>
  <c r="K550" i="8" s="1"/>
  <c r="J548" i="8"/>
  <c r="K548" i="8" s="1"/>
  <c r="J545" i="8"/>
  <c r="K545" i="8" s="1"/>
  <c r="J543" i="8"/>
  <c r="K543" i="8" s="1"/>
  <c r="J540" i="8"/>
  <c r="K540" i="8" s="1"/>
  <c r="J538" i="8"/>
  <c r="K538" i="8" s="1"/>
  <c r="J536" i="8"/>
  <c r="K536" i="8" s="1"/>
  <c r="J566" i="8"/>
  <c r="K566" i="8" s="1"/>
  <c r="J561" i="8"/>
  <c r="K561" i="8" s="1"/>
  <c r="J559" i="8"/>
  <c r="K559" i="8" s="1"/>
  <c r="J554" i="8"/>
  <c r="K554" i="8" s="1"/>
  <c r="J549" i="8"/>
  <c r="K549" i="8" s="1"/>
  <c r="J544" i="8"/>
  <c r="K544" i="8" s="1"/>
  <c r="J539" i="8"/>
  <c r="K539" i="8" s="1"/>
  <c r="J535" i="8"/>
  <c r="K535" i="8" s="1"/>
  <c r="L346" i="6"/>
  <c r="J359" i="8"/>
  <c r="K359" i="8" s="1"/>
  <c r="J357" i="8"/>
  <c r="K357" i="8" s="1"/>
  <c r="Q357" i="8" s="1"/>
  <c r="J354" i="8"/>
  <c r="K354" i="8" s="1"/>
  <c r="Q354" i="8" s="1"/>
  <c r="J350" i="8"/>
  <c r="K350" i="8" s="1"/>
  <c r="Q350" i="8" s="1"/>
  <c r="J351" i="8"/>
  <c r="K351" i="8" s="1"/>
  <c r="Q351" i="8" s="1"/>
  <c r="J355" i="8"/>
  <c r="K355" i="8" s="1"/>
  <c r="Q355" i="8" s="1"/>
  <c r="J349" i="8"/>
  <c r="K349" i="8" s="1"/>
  <c r="Q349" i="8" s="1"/>
  <c r="J353" i="8"/>
  <c r="K353" i="8" s="1"/>
  <c r="Q353" i="8" s="1"/>
  <c r="Q871" i="8"/>
  <c r="T871" i="8" s="1"/>
  <c r="U871" i="8" s="1"/>
  <c r="Q870" i="8"/>
  <c r="T870" i="8" s="1"/>
  <c r="U870" i="8" s="1"/>
  <c r="J522" i="8"/>
  <c r="K522" i="8" s="1"/>
  <c r="J516" i="8"/>
  <c r="K516" i="8" s="1"/>
  <c r="J514" i="8"/>
  <c r="K514" i="8" s="1"/>
  <c r="J508" i="8"/>
  <c r="K508" i="8" s="1"/>
  <c r="J505" i="8"/>
  <c r="K505" i="8" s="1"/>
  <c r="J499" i="8"/>
  <c r="K499" i="8" s="1"/>
  <c r="J497" i="8"/>
  <c r="K497" i="8" s="1"/>
  <c r="J495" i="8"/>
  <c r="K495" i="8" s="1"/>
  <c r="J493" i="8"/>
  <c r="K493" i="8" s="1"/>
  <c r="J482" i="8"/>
  <c r="K482" i="8" s="1"/>
  <c r="J480" i="8"/>
  <c r="K480" i="8" s="1"/>
  <c r="J472" i="8"/>
  <c r="K472" i="8" s="1"/>
  <c r="J467" i="8"/>
  <c r="K467" i="8" s="1"/>
  <c r="J462" i="8"/>
  <c r="K462" i="8" s="1"/>
  <c r="J457" i="8"/>
  <c r="K457" i="8" s="1"/>
  <c r="J455" i="8"/>
  <c r="K455" i="8" s="1"/>
  <c r="J453" i="8"/>
  <c r="K453" i="8" s="1"/>
  <c r="J506" i="8"/>
  <c r="K506" i="8" s="1"/>
  <c r="J498" i="8"/>
  <c r="K498" i="8" s="1"/>
  <c r="J494" i="8"/>
  <c r="K494" i="8" s="1"/>
  <c r="J481" i="8"/>
  <c r="K481" i="8" s="1"/>
  <c r="J471" i="8"/>
  <c r="K471" i="8" s="1"/>
  <c r="J461" i="8"/>
  <c r="K461" i="8" s="1"/>
  <c r="J454" i="8"/>
  <c r="K454" i="8" s="1"/>
  <c r="J521" i="8"/>
  <c r="K521" i="8" s="1"/>
  <c r="J517" i="8"/>
  <c r="K517" i="8" s="1"/>
  <c r="J515" i="8"/>
  <c r="K515" i="8" s="1"/>
  <c r="J507" i="8"/>
  <c r="K507" i="8" s="1"/>
  <c r="J500" i="8"/>
  <c r="K500" i="8" s="1"/>
  <c r="J496" i="8"/>
  <c r="K496" i="8" s="1"/>
  <c r="J483" i="8"/>
  <c r="K483" i="8" s="1"/>
  <c r="J479" i="8"/>
  <c r="K479" i="8" s="1"/>
  <c r="J466" i="8"/>
  <c r="K466" i="8" s="1"/>
  <c r="J456" i="8"/>
  <c r="K456" i="8" s="1"/>
  <c r="J513" i="8"/>
  <c r="K513" i="8" s="1"/>
  <c r="J504" i="8"/>
  <c r="K504" i="8" s="1"/>
  <c r="J491" i="8"/>
  <c r="K491" i="8" s="1"/>
  <c r="J487" i="8"/>
  <c r="K487" i="8" s="1"/>
  <c r="J477" i="8"/>
  <c r="K477" i="8" s="1"/>
  <c r="J470" i="8"/>
  <c r="K470" i="8" s="1"/>
  <c r="J460" i="8"/>
  <c r="K460" i="8" s="1"/>
  <c r="J451" i="8"/>
  <c r="K451" i="8" s="1"/>
  <c r="J511" i="8"/>
  <c r="K511" i="8" s="1"/>
  <c r="J485" i="8"/>
  <c r="K485" i="8" s="1"/>
  <c r="J465" i="8"/>
  <c r="K465" i="8" s="1"/>
  <c r="J448" i="8"/>
  <c r="K448" i="8" s="1"/>
  <c r="J512" i="8"/>
  <c r="K512" i="8" s="1"/>
  <c r="J503" i="8"/>
  <c r="K503" i="8" s="1"/>
  <c r="J492" i="8"/>
  <c r="K492" i="8" s="1"/>
  <c r="J486" i="8"/>
  <c r="K486" i="8" s="1"/>
  <c r="J478" i="8"/>
  <c r="K478" i="8" s="1"/>
  <c r="J469" i="8"/>
  <c r="K469" i="8" s="1"/>
  <c r="J459" i="8"/>
  <c r="K459" i="8" s="1"/>
  <c r="J452" i="8"/>
  <c r="K452" i="8" s="1"/>
  <c r="J520" i="8"/>
  <c r="K520" i="8" s="1"/>
  <c r="J502" i="8"/>
  <c r="K502" i="8" s="1"/>
  <c r="J489" i="8"/>
  <c r="K489" i="8" s="1"/>
  <c r="J475" i="8"/>
  <c r="K475" i="8" s="1"/>
  <c r="J449" i="8"/>
  <c r="K449" i="8" s="1"/>
  <c r="J488" i="8"/>
  <c r="K488" i="8" s="1"/>
  <c r="J450" i="8"/>
  <c r="K450" i="8" s="1"/>
  <c r="J519" i="8"/>
  <c r="K519" i="8" s="1"/>
  <c r="J476" i="8"/>
  <c r="K476" i="8" s="1"/>
  <c r="J510" i="8"/>
  <c r="K510" i="8" s="1"/>
  <c r="J474" i="8"/>
  <c r="K474" i="8" s="1"/>
  <c r="J490" i="8"/>
  <c r="K490" i="8" s="1"/>
  <c r="J464" i="8"/>
  <c r="K464" i="8" s="1"/>
  <c r="J358" i="8"/>
  <c r="K358" i="8" s="1"/>
  <c r="J363" i="8"/>
  <c r="K363" i="8" s="1"/>
  <c r="J379" i="8"/>
  <c r="K379" i="8" s="1"/>
  <c r="J391" i="8"/>
  <c r="K391" i="8" s="1"/>
  <c r="J372" i="8"/>
  <c r="K372" i="8" s="1"/>
  <c r="J380" i="8"/>
  <c r="K380" i="8" s="1"/>
  <c r="J388" i="8"/>
  <c r="K388" i="8" s="1"/>
  <c r="J361" i="8"/>
  <c r="K361" i="8" s="1"/>
  <c r="J365" i="8"/>
  <c r="K365" i="8" s="1"/>
  <c r="J373" i="8"/>
  <c r="K373" i="8" s="1"/>
  <c r="J381" i="8"/>
  <c r="K381" i="8" s="1"/>
  <c r="J389" i="8"/>
  <c r="K389" i="8" s="1"/>
  <c r="J362" i="8"/>
  <c r="K362" i="8" s="1"/>
  <c r="J366" i="8"/>
  <c r="K366" i="8" s="1"/>
  <c r="J370" i="8"/>
  <c r="K370" i="8" s="1"/>
  <c r="J374" i="8"/>
  <c r="K374" i="8" s="1"/>
  <c r="J378" i="8"/>
  <c r="K378" i="8" s="1"/>
  <c r="J382" i="8"/>
  <c r="K382" i="8" s="1"/>
  <c r="J386" i="8"/>
  <c r="K386" i="8" s="1"/>
  <c r="J390" i="8"/>
  <c r="K390" i="8" s="1"/>
  <c r="J394" i="8"/>
  <c r="K394" i="8" s="1"/>
  <c r="J367" i="8"/>
  <c r="K367" i="8" s="1"/>
  <c r="J371" i="8"/>
  <c r="K371" i="8" s="1"/>
  <c r="J375" i="8"/>
  <c r="K375" i="8" s="1"/>
  <c r="J383" i="8"/>
  <c r="K383" i="8" s="1"/>
  <c r="J387" i="8"/>
  <c r="K387" i="8" s="1"/>
  <c r="J395" i="8"/>
  <c r="K395" i="8" s="1"/>
  <c r="J364" i="8"/>
  <c r="K364" i="8" s="1"/>
  <c r="J368" i="8"/>
  <c r="K368" i="8" s="1"/>
  <c r="J376" i="8"/>
  <c r="K376" i="8" s="1"/>
  <c r="J384" i="8"/>
  <c r="K384" i="8" s="1"/>
  <c r="J392" i="8"/>
  <c r="K392" i="8" s="1"/>
  <c r="J369" i="8"/>
  <c r="K369" i="8" s="1"/>
  <c r="J377" i="8"/>
  <c r="K377" i="8" s="1"/>
  <c r="J385" i="8"/>
  <c r="K385" i="8" s="1"/>
  <c r="J393" i="8"/>
  <c r="K393" i="8" s="1"/>
  <c r="J700" i="8"/>
  <c r="K700" i="8" s="1"/>
  <c r="J698" i="8"/>
  <c r="K698" i="8" s="1"/>
  <c r="J681" i="8"/>
  <c r="K681" i="8" s="1"/>
  <c r="J685" i="8"/>
  <c r="K685" i="8" s="1"/>
  <c r="J689" i="8"/>
  <c r="K689" i="8" s="1"/>
  <c r="J693" i="8"/>
  <c r="K693" i="8" s="1"/>
  <c r="J679" i="8"/>
  <c r="K679" i="8" s="1"/>
  <c r="J687" i="8"/>
  <c r="K687" i="8" s="1"/>
  <c r="J680" i="8"/>
  <c r="K680" i="8" s="1"/>
  <c r="J688" i="8"/>
  <c r="K688" i="8" s="1"/>
  <c r="J705" i="8"/>
  <c r="K705" i="8" s="1"/>
  <c r="J701" i="8"/>
  <c r="K701" i="8" s="1"/>
  <c r="J699" i="8"/>
  <c r="K699" i="8" s="1"/>
  <c r="J682" i="8"/>
  <c r="K682" i="8" s="1"/>
  <c r="J686" i="8"/>
  <c r="K686" i="8" s="1"/>
  <c r="J690" i="8"/>
  <c r="K690" i="8" s="1"/>
  <c r="J678" i="8"/>
  <c r="K678" i="8" s="1"/>
  <c r="J683" i="8"/>
  <c r="K683" i="8" s="1"/>
  <c r="J691" i="8"/>
  <c r="K691" i="8" s="1"/>
  <c r="J704" i="8"/>
  <c r="K704" i="8" s="1"/>
  <c r="J684" i="8"/>
  <c r="K684" i="8" s="1"/>
  <c r="J692" i="8"/>
  <c r="K692" i="8" s="1"/>
  <c r="L335" i="6"/>
  <c r="J399" i="8"/>
  <c r="K399" i="8" s="1"/>
  <c r="J403" i="8"/>
  <c r="K403" i="8" s="1"/>
  <c r="J407" i="8"/>
  <c r="J400" i="8"/>
  <c r="K400" i="8" s="1"/>
  <c r="J408" i="8"/>
  <c r="K408" i="8" s="1"/>
  <c r="J412" i="8"/>
  <c r="K412" i="8" s="1"/>
  <c r="J401" i="8"/>
  <c r="J405" i="8"/>
  <c r="K405" i="8" s="1"/>
  <c r="J409" i="8"/>
  <c r="K409" i="8" s="1"/>
  <c r="J398" i="8"/>
  <c r="K398" i="8" s="1"/>
  <c r="J402" i="8"/>
  <c r="K402" i="8" s="1"/>
  <c r="J406" i="8"/>
  <c r="K406" i="8" s="1"/>
  <c r="J410" i="8"/>
  <c r="K410" i="8" s="1"/>
  <c r="J411" i="8"/>
  <c r="K411" i="8" s="1"/>
  <c r="J404" i="8"/>
  <c r="J435" i="8"/>
  <c r="K435" i="8" s="1"/>
  <c r="Q435" i="8" s="1"/>
  <c r="J430" i="8"/>
  <c r="K430" i="8" s="1"/>
  <c r="Q430" i="8" s="1"/>
  <c r="J433" i="8"/>
  <c r="K433" i="8" s="1"/>
  <c r="Q433" i="8" s="1"/>
  <c r="J437" i="8"/>
  <c r="K437" i="8" s="1"/>
  <c r="Q437" i="8" s="1"/>
  <c r="J436" i="8"/>
  <c r="K436" i="8" s="1"/>
  <c r="Q436" i="8" s="1"/>
  <c r="J428" i="8"/>
  <c r="J429" i="8"/>
  <c r="K429" i="8" s="1"/>
  <c r="Q429" i="8" s="1"/>
  <c r="J432" i="8"/>
  <c r="J434" i="8"/>
  <c r="K434" i="8" s="1"/>
  <c r="Q434" i="8" s="1"/>
  <c r="L470" i="6"/>
  <c r="J509" i="8"/>
  <c r="K509" i="8" s="1"/>
  <c r="J468" i="8"/>
  <c r="K468" i="8" s="1"/>
  <c r="J458" i="8"/>
  <c r="K458" i="8" s="1"/>
  <c r="J501" i="8"/>
  <c r="K501" i="8" s="1"/>
  <c r="J463" i="8"/>
  <c r="K463" i="8" s="1"/>
  <c r="J484" i="8"/>
  <c r="K484" i="8" s="1"/>
  <c r="J518" i="8"/>
  <c r="K518" i="8" s="1"/>
  <c r="J473" i="8"/>
  <c r="K473" i="8" s="1"/>
  <c r="J447" i="8"/>
  <c r="K447" i="8" s="1"/>
  <c r="Q855" i="8"/>
  <c r="Q859" i="8"/>
  <c r="Q863" i="8"/>
  <c r="Q850" i="8"/>
  <c r="Q849" i="8"/>
  <c r="Q861" i="8"/>
  <c r="Q852" i="8"/>
  <c r="Q858" i="8"/>
  <c r="Q856" i="8"/>
  <c r="Q860" i="8"/>
  <c r="Q851" i="8"/>
  <c r="Q857" i="8"/>
  <c r="Q854" i="8"/>
  <c r="Q862" i="8"/>
  <c r="Q853" i="8"/>
  <c r="Q109" i="8"/>
  <c r="Q823" i="6"/>
  <c r="T823" i="6" s="1"/>
  <c r="Q824" i="6"/>
  <c r="T824" i="6" s="1"/>
  <c r="H490" i="6"/>
  <c r="L490" i="6"/>
  <c r="Q742" i="6"/>
  <c r="T742" i="6" s="1"/>
  <c r="Q744" i="6"/>
  <c r="T744" i="6" s="1"/>
  <c r="Q743" i="6"/>
  <c r="T743" i="6" s="1"/>
  <c r="Q842" i="6"/>
  <c r="T842" i="6" s="1"/>
  <c r="Q843" i="6"/>
  <c r="T843" i="6" s="1"/>
  <c r="L358" i="6"/>
  <c r="H358" i="6"/>
  <c r="H357" i="6"/>
  <c r="H590" i="6"/>
  <c r="L590" i="6"/>
  <c r="H640" i="6"/>
  <c r="L640" i="6"/>
  <c r="P669" i="6"/>
  <c r="Q669" i="6" s="1"/>
  <c r="T669" i="6" s="1"/>
  <c r="L669" i="6"/>
  <c r="Q780" i="6"/>
  <c r="T780" i="6" s="1"/>
  <c r="Q778" i="6"/>
  <c r="T778" i="6" s="1"/>
  <c r="Q779" i="6"/>
  <c r="T779" i="6" s="1"/>
  <c r="H558" i="6"/>
  <c r="L558" i="6"/>
  <c r="Q760" i="6"/>
  <c r="T760" i="6" s="1"/>
  <c r="Q762" i="6"/>
  <c r="T762" i="6" s="1"/>
  <c r="Q761" i="6"/>
  <c r="T761" i="6" s="1"/>
  <c r="H532" i="6"/>
  <c r="L532" i="6"/>
  <c r="L416" i="6"/>
  <c r="L415" i="6"/>
  <c r="L417" i="6"/>
  <c r="L357" i="6"/>
  <c r="H616" i="6"/>
  <c r="L616" i="6"/>
  <c r="H521" i="6"/>
  <c r="L521" i="6"/>
  <c r="L399" i="6"/>
  <c r="L397" i="6"/>
  <c r="L396" i="6"/>
  <c r="L400" i="6"/>
  <c r="L401" i="6"/>
  <c r="L398" i="6"/>
  <c r="Q282" i="6"/>
  <c r="T282" i="6" s="1"/>
  <c r="Q283" i="6"/>
  <c r="T283" i="6" s="1"/>
  <c r="Q284" i="6"/>
  <c r="T284" i="6" s="1"/>
  <c r="Q281" i="6"/>
  <c r="T281" i="6" s="1"/>
  <c r="Q170" i="6"/>
  <c r="L386" i="6"/>
  <c r="L387" i="6"/>
  <c r="L385" i="6"/>
  <c r="H16" i="6"/>
  <c r="H314" i="6"/>
  <c r="L314" i="6"/>
  <c r="Q261" i="6"/>
  <c r="T261" i="6" s="1"/>
  <c r="H368" i="6"/>
  <c r="H346" i="6"/>
  <c r="L691" i="6"/>
  <c r="H692" i="6"/>
  <c r="H693" i="6"/>
  <c r="H691" i="6"/>
  <c r="H505" i="6"/>
  <c r="L505" i="6"/>
  <c r="H602" i="6"/>
  <c r="L602" i="6"/>
  <c r="H629" i="6"/>
  <c r="L629" i="6"/>
  <c r="H5" i="6"/>
  <c r="P5" i="6"/>
  <c r="L5" i="6"/>
  <c r="T169" i="6"/>
  <c r="H731" i="6"/>
  <c r="H732" i="6"/>
  <c r="L731" i="6"/>
  <c r="H733" i="6"/>
  <c r="H369" i="6"/>
  <c r="H395" i="6"/>
  <c r="H470" i="6"/>
  <c r="L680" i="6"/>
  <c r="H681" i="6"/>
  <c r="H682" i="6"/>
  <c r="H680" i="6"/>
  <c r="H652" i="6"/>
  <c r="L652" i="6"/>
  <c r="H414" i="6"/>
  <c r="H669" i="6"/>
  <c r="H670" i="6"/>
  <c r="H671" i="6"/>
  <c r="H431" i="6"/>
  <c r="L431" i="6"/>
  <c r="L16" i="6"/>
  <c r="H335" i="6"/>
  <c r="H384" i="6"/>
  <c r="H651" i="6"/>
  <c r="L651" i="6"/>
  <c r="L720" i="6"/>
  <c r="H721" i="6"/>
  <c r="H722" i="6"/>
  <c r="H720" i="6"/>
  <c r="H574" i="6"/>
  <c r="L574" i="6"/>
  <c r="H131" i="6"/>
  <c r="L131" i="6"/>
  <c r="H68" i="6"/>
  <c r="L68" i="6"/>
  <c r="G274" i="6"/>
  <c r="G275" i="6"/>
  <c r="G212" i="6"/>
  <c r="G107" i="6"/>
  <c r="G303" i="6"/>
  <c r="G190" i="6"/>
  <c r="G106" i="6"/>
  <c r="G281" i="6"/>
  <c r="G170" i="6"/>
  <c r="G105" i="6"/>
  <c r="G145" i="6"/>
  <c r="G842" i="6"/>
  <c r="G744" i="6"/>
  <c r="J711" i="8" s="1"/>
  <c r="K711" i="8" s="1"/>
  <c r="G891" i="6"/>
  <c r="G825" i="6"/>
  <c r="G762" i="6"/>
  <c r="G780" i="6"/>
  <c r="J813" i="8" s="1"/>
  <c r="K813" i="8" s="1"/>
  <c r="G853" i="6"/>
  <c r="L853" i="6" s="1"/>
  <c r="AT40" i="6"/>
  <c r="P28" i="6" s="1"/>
  <c r="Q28" i="6" s="1"/>
  <c r="T28" i="6" s="1"/>
  <c r="AS41" i="6"/>
  <c r="AS40" i="6"/>
  <c r="R765" i="2"/>
  <c r="AE499" i="2"/>
  <c r="AE498" i="2"/>
  <c r="AE497" i="2"/>
  <c r="AE496" i="2"/>
  <c r="AA497" i="2"/>
  <c r="AA496" i="2"/>
  <c r="AA1294" i="2"/>
  <c r="AA1292" i="2"/>
  <c r="AA1291" i="2"/>
  <c r="AA1274" i="2"/>
  <c r="AA1272" i="2"/>
  <c r="AA1271" i="2"/>
  <c r="AA1238" i="2"/>
  <c r="AA1256" i="2"/>
  <c r="AA1254" i="2"/>
  <c r="AA1253" i="2"/>
  <c r="Q29" i="6" l="1"/>
  <c r="V46" i="6"/>
  <c r="E31" i="6" s="1"/>
  <c r="G31" i="6"/>
  <c r="L31" i="6" s="1"/>
  <c r="J838" i="8"/>
  <c r="K838" i="8" s="1"/>
  <c r="H874" i="6"/>
  <c r="J840" i="8"/>
  <c r="K840" i="8" s="1"/>
  <c r="L874" i="6"/>
  <c r="J841" i="8"/>
  <c r="K841" i="8" s="1"/>
  <c r="J174" i="8"/>
  <c r="K174" i="8" s="1"/>
  <c r="J162" i="8"/>
  <c r="K162" i="8" s="1"/>
  <c r="J166" i="8"/>
  <c r="K166" i="8" s="1"/>
  <c r="J152" i="8"/>
  <c r="J167" i="8"/>
  <c r="K167" i="8" s="1"/>
  <c r="J171" i="8"/>
  <c r="K171" i="8" s="1"/>
  <c r="J175" i="8"/>
  <c r="K175" i="8" s="1"/>
  <c r="J163" i="8"/>
  <c r="K163" i="8" s="1"/>
  <c r="J153" i="8"/>
  <c r="K153" i="8" s="1"/>
  <c r="J157" i="8"/>
  <c r="K157" i="8" s="1"/>
  <c r="J168" i="8"/>
  <c r="K168" i="8" s="1"/>
  <c r="J172" i="8"/>
  <c r="K172" i="8" s="1"/>
  <c r="J160" i="8"/>
  <c r="K160" i="8" s="1"/>
  <c r="J164" i="8"/>
  <c r="K164" i="8" s="1"/>
  <c r="J154" i="8"/>
  <c r="K154" i="8" s="1"/>
  <c r="J158" i="8"/>
  <c r="K158" i="8" s="1"/>
  <c r="J169" i="8"/>
  <c r="K169" i="8" s="1"/>
  <c r="J173" i="8"/>
  <c r="K173" i="8" s="1"/>
  <c r="J161" i="8"/>
  <c r="K161" i="8" s="1"/>
  <c r="J165" i="8"/>
  <c r="K165" i="8" s="1"/>
  <c r="J155" i="8"/>
  <c r="K155" i="8" s="1"/>
  <c r="J159" i="8"/>
  <c r="K159" i="8" s="1"/>
  <c r="J170" i="8"/>
  <c r="K170" i="8" s="1"/>
  <c r="J156" i="8"/>
  <c r="K156" i="8" s="1"/>
  <c r="J205" i="8"/>
  <c r="K205" i="8" s="1"/>
  <c r="J209" i="8"/>
  <c r="K209" i="8" s="1"/>
  <c r="J213" i="8"/>
  <c r="K213" i="8" s="1"/>
  <c r="J206" i="8"/>
  <c r="K206" i="8" s="1"/>
  <c r="J210" i="8"/>
  <c r="K210" i="8" s="1"/>
  <c r="J203" i="8"/>
  <c r="K203" i="8" s="1"/>
  <c r="J207" i="8"/>
  <c r="K207" i="8" s="1"/>
  <c r="J211" i="8"/>
  <c r="K211" i="8" s="1"/>
  <c r="J204" i="8"/>
  <c r="K204" i="8" s="1"/>
  <c r="J208" i="8"/>
  <c r="K208" i="8" s="1"/>
  <c r="J212" i="8"/>
  <c r="K212" i="8" s="1"/>
  <c r="J720" i="8"/>
  <c r="K720" i="8" s="1"/>
  <c r="J809" i="8"/>
  <c r="K809" i="8" s="1"/>
  <c r="J810" i="8"/>
  <c r="K810" i="8" s="1"/>
  <c r="J811" i="8"/>
  <c r="K811" i="8" s="1"/>
  <c r="J808" i="8"/>
  <c r="K808" i="8" s="1"/>
  <c r="J142" i="8"/>
  <c r="K142" i="8" s="1"/>
  <c r="J146" i="8"/>
  <c r="K146" i="8" s="1"/>
  <c r="J135" i="8"/>
  <c r="K135" i="8" s="1"/>
  <c r="J139" i="8"/>
  <c r="K139" i="8" s="1"/>
  <c r="J143" i="8"/>
  <c r="K143" i="8" s="1"/>
  <c r="J147" i="8"/>
  <c r="K147" i="8" s="1"/>
  <c r="J134" i="8"/>
  <c r="K134" i="8" s="1"/>
  <c r="J136" i="8"/>
  <c r="K136" i="8" s="1"/>
  <c r="J140" i="8"/>
  <c r="K140" i="8" s="1"/>
  <c r="J144" i="8"/>
  <c r="K144" i="8" s="1"/>
  <c r="J148" i="8"/>
  <c r="K148" i="8" s="1"/>
  <c r="J137" i="8"/>
  <c r="K137" i="8" s="1"/>
  <c r="J141" i="8"/>
  <c r="K141" i="8" s="1"/>
  <c r="J145" i="8"/>
  <c r="K145" i="8" s="1"/>
  <c r="J149" i="8"/>
  <c r="K149" i="8" s="1"/>
  <c r="J138" i="8"/>
  <c r="K138" i="8" s="1"/>
  <c r="J150" i="8"/>
  <c r="K150" i="8" s="1"/>
  <c r="J725" i="8"/>
  <c r="K725" i="8" s="1"/>
  <c r="J723" i="8"/>
  <c r="K723" i="8" s="1"/>
  <c r="J721" i="8"/>
  <c r="K721" i="8" s="1"/>
  <c r="J722" i="8"/>
  <c r="K722" i="8" s="1"/>
  <c r="L842" i="6"/>
  <c r="J814" i="8"/>
  <c r="K814" i="8" s="1"/>
  <c r="J815" i="8"/>
  <c r="K815" i="8" s="1"/>
  <c r="J816" i="8"/>
  <c r="K816" i="8" s="1"/>
  <c r="J724" i="8"/>
  <c r="K724" i="8" s="1"/>
  <c r="K407" i="8"/>
  <c r="K419" i="8" s="1"/>
  <c r="J419" i="8"/>
  <c r="K404" i="8"/>
  <c r="K416" i="8" s="1"/>
  <c r="J416" i="8"/>
  <c r="K401" i="8"/>
  <c r="K414" i="8" s="1"/>
  <c r="J414" i="8"/>
  <c r="J842" i="8"/>
  <c r="K842" i="8" s="1"/>
  <c r="L875" i="6"/>
  <c r="H875" i="6"/>
  <c r="J717" i="8"/>
  <c r="K717" i="8" s="1"/>
  <c r="Q193" i="8"/>
  <c r="T193" i="8" s="1"/>
  <c r="U193" i="8" s="1"/>
  <c r="M193" i="8"/>
  <c r="N193" i="8" s="1"/>
  <c r="J709" i="8"/>
  <c r="K709" i="8" s="1"/>
  <c r="M189" i="8"/>
  <c r="N189" i="8" s="1"/>
  <c r="Q189" i="8"/>
  <c r="T189" i="8" s="1"/>
  <c r="U189" i="8" s="1"/>
  <c r="Q191" i="8"/>
  <c r="T191" i="8" s="1"/>
  <c r="U191" i="8" s="1"/>
  <c r="M191" i="8"/>
  <c r="N191" i="8" s="1"/>
  <c r="Q200" i="8"/>
  <c r="T200" i="8" s="1"/>
  <c r="U200" i="8" s="1"/>
  <c r="M200" i="8"/>
  <c r="N200" i="8" s="1"/>
  <c r="M197" i="8"/>
  <c r="N197" i="8" s="1"/>
  <c r="Q197" i="8"/>
  <c r="T197" i="8" s="1"/>
  <c r="U197" i="8" s="1"/>
  <c r="Q188" i="8"/>
  <c r="T188" i="8" s="1"/>
  <c r="U188" i="8" s="1"/>
  <c r="M188" i="8"/>
  <c r="N188" i="8" s="1"/>
  <c r="Q192" i="8"/>
  <c r="T192" i="8" s="1"/>
  <c r="U192" i="8" s="1"/>
  <c r="M192" i="8"/>
  <c r="N192" i="8" s="1"/>
  <c r="Q198" i="8"/>
  <c r="T198" i="8" s="1"/>
  <c r="U198" i="8" s="1"/>
  <c r="M198" i="8"/>
  <c r="N198" i="8" s="1"/>
  <c r="Q194" i="8"/>
  <c r="T194" i="8" s="1"/>
  <c r="U194" i="8" s="1"/>
  <c r="M194" i="8"/>
  <c r="N194" i="8" s="1"/>
  <c r="Q199" i="8"/>
  <c r="T199" i="8" s="1"/>
  <c r="U199" i="8" s="1"/>
  <c r="M199" i="8"/>
  <c r="N199" i="8" s="1"/>
  <c r="Q190" i="8"/>
  <c r="T190" i="8" s="1"/>
  <c r="U190" i="8" s="1"/>
  <c r="M190" i="8"/>
  <c r="N190" i="8" s="1"/>
  <c r="J266" i="8"/>
  <c r="K266" i="8" s="1"/>
  <c r="Q266" i="8" s="1"/>
  <c r="J267" i="8"/>
  <c r="K267" i="8" s="1"/>
  <c r="Q267" i="8" s="1"/>
  <c r="J621" i="8"/>
  <c r="K621" i="8" s="1"/>
  <c r="J343" i="8"/>
  <c r="K343" i="8" s="1"/>
  <c r="Q343" i="8" s="1"/>
  <c r="J342" i="8"/>
  <c r="K342" i="8" s="1"/>
  <c r="Q342" i="8" s="1"/>
  <c r="J623" i="8"/>
  <c r="K623" i="8" s="1"/>
  <c r="J718" i="8"/>
  <c r="K718" i="8" s="1"/>
  <c r="J719" i="8"/>
  <c r="K719" i="8" s="1"/>
  <c r="J618" i="8"/>
  <c r="K618" i="8" s="1"/>
  <c r="J622" i="8"/>
  <c r="K622" i="8" s="1"/>
  <c r="J710" i="8"/>
  <c r="K710" i="8" s="1"/>
  <c r="J712" i="8"/>
  <c r="K712" i="8" s="1"/>
  <c r="J715" i="8"/>
  <c r="K715" i="8" s="1"/>
  <c r="J846" i="8"/>
  <c r="K846" i="8" s="1"/>
  <c r="J844" i="8"/>
  <c r="K844" i="8" s="1"/>
  <c r="L844" i="8" s="1"/>
  <c r="M844" i="8" s="1"/>
  <c r="J845" i="8"/>
  <c r="K845" i="8" s="1"/>
  <c r="J270" i="8"/>
  <c r="J274" i="8"/>
  <c r="J278" i="8"/>
  <c r="J272" i="8"/>
  <c r="J280" i="8"/>
  <c r="J273" i="8"/>
  <c r="J269" i="8"/>
  <c r="J271" i="8"/>
  <c r="J275" i="8"/>
  <c r="J279" i="8"/>
  <c r="J276" i="8"/>
  <c r="J277" i="8"/>
  <c r="J619" i="8"/>
  <c r="K619" i="8" s="1"/>
  <c r="J620" i="8"/>
  <c r="K620" i="8" s="1"/>
  <c r="J239" i="8"/>
  <c r="J243" i="8"/>
  <c r="J247" i="8"/>
  <c r="J251" i="8"/>
  <c r="J255" i="8"/>
  <c r="J259" i="8"/>
  <c r="J237" i="8"/>
  <c r="J240" i="8"/>
  <c r="J244" i="8"/>
  <c r="J248" i="8"/>
  <c r="J252" i="8"/>
  <c r="J256" i="8"/>
  <c r="J260" i="8"/>
  <c r="J241" i="8"/>
  <c r="J242" i="8"/>
  <c r="J258" i="8"/>
  <c r="J245" i="8"/>
  <c r="J253" i="8"/>
  <c r="J261" i="8"/>
  <c r="J238" i="8"/>
  <c r="J246" i="8"/>
  <c r="J254" i="8"/>
  <c r="J262" i="8"/>
  <c r="J249" i="8"/>
  <c r="J257" i="8"/>
  <c r="J250" i="8"/>
  <c r="L275" i="6"/>
  <c r="J314" i="8"/>
  <c r="K314" i="8" s="1"/>
  <c r="J316" i="8"/>
  <c r="K316" i="8" s="1"/>
  <c r="J315" i="8"/>
  <c r="K315" i="8" s="1"/>
  <c r="J317" i="8"/>
  <c r="K317" i="8" s="1"/>
  <c r="J441" i="8"/>
  <c r="K432" i="8"/>
  <c r="J617" i="8"/>
  <c r="K617" i="8" s="1"/>
  <c r="J716" i="8"/>
  <c r="K716" i="8" s="1"/>
  <c r="J338" i="8"/>
  <c r="K338" i="8" s="1"/>
  <c r="J339" i="8"/>
  <c r="K339" i="8" s="1"/>
  <c r="J328" i="8"/>
  <c r="K328" i="8" s="1"/>
  <c r="J332" i="8"/>
  <c r="K332" i="8" s="1"/>
  <c r="J336" i="8"/>
  <c r="K336" i="8" s="1"/>
  <c r="J330" i="8"/>
  <c r="K330" i="8" s="1"/>
  <c r="J327" i="8"/>
  <c r="K327" i="8" s="1"/>
  <c r="J329" i="8"/>
  <c r="K329" i="8" s="1"/>
  <c r="J333" i="8"/>
  <c r="K333" i="8" s="1"/>
  <c r="J337" i="8"/>
  <c r="K337" i="8" s="1"/>
  <c r="J334" i="8"/>
  <c r="K334" i="8" s="1"/>
  <c r="J331" i="8"/>
  <c r="K331" i="8" s="1"/>
  <c r="J335" i="8"/>
  <c r="K335" i="8" s="1"/>
  <c r="L823" i="6"/>
  <c r="J703" i="8"/>
  <c r="K703" i="8" s="1"/>
  <c r="J695" i="8"/>
  <c r="K695" i="8" s="1"/>
  <c r="J702" i="8"/>
  <c r="K702" i="8" s="1"/>
  <c r="J706" i="8"/>
  <c r="K706" i="8" s="1"/>
  <c r="J696" i="8"/>
  <c r="K696" i="8" s="1"/>
  <c r="J707" i="8"/>
  <c r="K707" i="8" s="1"/>
  <c r="J697" i="8"/>
  <c r="K697" i="8" s="1"/>
  <c r="J694" i="8"/>
  <c r="K694" i="8" s="1"/>
  <c r="J219" i="8"/>
  <c r="K219" i="8" s="1"/>
  <c r="J220" i="8"/>
  <c r="K220" i="8" s="1"/>
  <c r="J222" i="8"/>
  <c r="K222" i="8" s="1"/>
  <c r="J310" i="8"/>
  <c r="K310" i="8" s="1"/>
  <c r="J306" i="8"/>
  <c r="K306" i="8" s="1"/>
  <c r="J312" i="8"/>
  <c r="K312" i="8" s="1"/>
  <c r="J309" i="8"/>
  <c r="K309" i="8" s="1"/>
  <c r="J307" i="8"/>
  <c r="K307" i="8" s="1"/>
  <c r="J311" i="8"/>
  <c r="K311" i="8" s="1"/>
  <c r="J308" i="8"/>
  <c r="K308" i="8" s="1"/>
  <c r="J313" i="8"/>
  <c r="K313" i="8" s="1"/>
  <c r="J439" i="8"/>
  <c r="K428" i="8"/>
  <c r="J625" i="8"/>
  <c r="K625" i="8" s="1"/>
  <c r="J624" i="8"/>
  <c r="K624" i="8" s="1"/>
  <c r="J713" i="8"/>
  <c r="K713" i="8" s="1"/>
  <c r="J714" i="8"/>
  <c r="K714" i="8" s="1"/>
  <c r="G157" i="6"/>
  <c r="L169" i="6"/>
  <c r="L274" i="6"/>
  <c r="G262" i="6"/>
  <c r="L247" i="6"/>
  <c r="L248" i="6"/>
  <c r="L249" i="6"/>
  <c r="H248" i="6"/>
  <c r="Q289" i="8" s="1"/>
  <c r="H249" i="6"/>
  <c r="H247" i="6"/>
  <c r="H760" i="6"/>
  <c r="H761" i="6"/>
  <c r="L760" i="6"/>
  <c r="H842" i="6"/>
  <c r="H843" i="6"/>
  <c r="L282" i="6"/>
  <c r="H283" i="6"/>
  <c r="H288" i="6"/>
  <c r="H281" i="6"/>
  <c r="H289" i="6"/>
  <c r="H286" i="6"/>
  <c r="L283" i="6"/>
  <c r="L288" i="6"/>
  <c r="L281" i="6"/>
  <c r="L289" i="6"/>
  <c r="L286" i="6"/>
  <c r="H287" i="6"/>
  <c r="H285" i="6"/>
  <c r="H282" i="6"/>
  <c r="L284" i="6"/>
  <c r="L287" i="6"/>
  <c r="L285" i="6"/>
  <c r="H284" i="6"/>
  <c r="H48" i="6"/>
  <c r="H275" i="6"/>
  <c r="H853" i="6"/>
  <c r="H107" i="6"/>
  <c r="L107" i="6"/>
  <c r="H823" i="6"/>
  <c r="H824" i="6"/>
  <c r="H145" i="6"/>
  <c r="L145" i="6"/>
  <c r="H106" i="6"/>
  <c r="L106" i="6"/>
  <c r="H889" i="6"/>
  <c r="L885" i="6"/>
  <c r="L889" i="6"/>
  <c r="H887" i="6"/>
  <c r="L887" i="6"/>
  <c r="H885" i="6"/>
  <c r="H105" i="6"/>
  <c r="L105" i="6"/>
  <c r="L192" i="6"/>
  <c r="L191" i="6"/>
  <c r="L194" i="6"/>
  <c r="L195" i="6"/>
  <c r="L190" i="6"/>
  <c r="L193" i="6"/>
  <c r="H192" i="6"/>
  <c r="H191" i="6"/>
  <c r="H190" i="6"/>
  <c r="H193" i="6"/>
  <c r="H194" i="6"/>
  <c r="H195" i="6"/>
  <c r="H274" i="6"/>
  <c r="H778" i="6"/>
  <c r="H779" i="6"/>
  <c r="L778" i="6"/>
  <c r="L742" i="6"/>
  <c r="H743" i="6"/>
  <c r="H742" i="6"/>
  <c r="P171" i="6"/>
  <c r="P173" i="6"/>
  <c r="P172" i="6"/>
  <c r="H169" i="6"/>
  <c r="L305" i="6"/>
  <c r="H306" i="6"/>
  <c r="H303" i="6"/>
  <c r="H305" i="6"/>
  <c r="H304" i="6"/>
  <c r="L304" i="6"/>
  <c r="L306" i="6"/>
  <c r="L303" i="6"/>
  <c r="L213" i="6"/>
  <c r="L217" i="6"/>
  <c r="L212" i="6"/>
  <c r="L215" i="6"/>
  <c r="L214" i="6"/>
  <c r="L218" i="6"/>
  <c r="L216" i="6"/>
  <c r="L220" i="6"/>
  <c r="L219" i="6"/>
  <c r="H213" i="6"/>
  <c r="H218" i="6"/>
  <c r="H212" i="6"/>
  <c r="H215" i="6"/>
  <c r="H217" i="6"/>
  <c r="H216" i="6"/>
  <c r="H219" i="6"/>
  <c r="H220" i="6"/>
  <c r="H214" i="6"/>
  <c r="Q156" i="6"/>
  <c r="T156" i="6"/>
  <c r="AA1236" i="2"/>
  <c r="AA1235" i="2"/>
  <c r="AA1226" i="2"/>
  <c r="AA1224" i="2"/>
  <c r="AA1215" i="2"/>
  <c r="AA1213" i="2"/>
  <c r="AA1195" i="2"/>
  <c r="AA1184" i="2"/>
  <c r="AA1175" i="2"/>
  <c r="AA1173" i="2"/>
  <c r="AA1163" i="2"/>
  <c r="AA1162" i="2"/>
  <c r="R1335" i="2"/>
  <c r="R1336" i="2"/>
  <c r="R1318" i="2"/>
  <c r="R1319" i="2"/>
  <c r="R1323" i="2"/>
  <c r="R1322" i="2"/>
  <c r="R1321" i="2"/>
  <c r="R1320" i="2"/>
  <c r="R1292" i="2"/>
  <c r="R1293" i="2"/>
  <c r="R1294" i="2"/>
  <c r="R1295" i="2"/>
  <c r="R1296" i="2"/>
  <c r="R1297" i="2"/>
  <c r="R1298" i="2"/>
  <c r="R1299" i="2"/>
  <c r="R1300" i="2"/>
  <c r="R1301" i="2"/>
  <c r="R1272" i="2"/>
  <c r="R1273" i="2"/>
  <c r="R1274" i="2"/>
  <c r="R1275" i="2"/>
  <c r="R1276" i="2"/>
  <c r="R1277" i="2"/>
  <c r="R1278" i="2"/>
  <c r="R1279" i="2"/>
  <c r="R1264" i="2"/>
  <c r="R1263" i="2"/>
  <c r="R1260" i="2"/>
  <c r="R1259" i="2"/>
  <c r="R1258" i="2"/>
  <c r="R1257" i="2"/>
  <c r="R1256" i="2"/>
  <c r="R1255" i="2"/>
  <c r="R1254" i="2"/>
  <c r="R1253" i="2"/>
  <c r="R1236" i="2"/>
  <c r="R1237" i="2"/>
  <c r="R1238" i="2"/>
  <c r="R1239" i="2"/>
  <c r="R1240" i="2"/>
  <c r="R1241" i="2"/>
  <c r="R1242" i="2"/>
  <c r="R1243" i="2"/>
  <c r="AH1183" i="2"/>
  <c r="AH1184" i="2"/>
  <c r="K250" i="8" l="1"/>
  <c r="Q250" i="8"/>
  <c r="K241" i="8"/>
  <c r="Q241" i="8"/>
  <c r="K259" i="8"/>
  <c r="Q259" i="8"/>
  <c r="K257" i="8"/>
  <c r="Q257" i="8"/>
  <c r="K246" i="8"/>
  <c r="Q246" i="8"/>
  <c r="K245" i="8"/>
  <c r="Q245" i="8"/>
  <c r="K260" i="8"/>
  <c r="Q260" i="8"/>
  <c r="K244" i="8"/>
  <c r="Q244" i="8"/>
  <c r="K255" i="8"/>
  <c r="Q255" i="8"/>
  <c r="K239" i="8"/>
  <c r="Q239" i="8"/>
  <c r="K253" i="8"/>
  <c r="Q253" i="8"/>
  <c r="K248" i="8"/>
  <c r="Q248" i="8"/>
  <c r="K249" i="8"/>
  <c r="Q249" i="8"/>
  <c r="K238" i="8"/>
  <c r="Q238" i="8"/>
  <c r="K258" i="8"/>
  <c r="Q258" i="8"/>
  <c r="K256" i="8"/>
  <c r="Q256" i="8"/>
  <c r="K240" i="8"/>
  <c r="Q240" i="8"/>
  <c r="K251" i="8"/>
  <c r="Q251" i="8"/>
  <c r="K254" i="8"/>
  <c r="Q254" i="8"/>
  <c r="K243" i="8"/>
  <c r="Q243" i="8"/>
  <c r="K262" i="8"/>
  <c r="Q262" i="8"/>
  <c r="K261" i="8"/>
  <c r="Q261" i="8"/>
  <c r="K242" i="8"/>
  <c r="Q242" i="8"/>
  <c r="K252" i="8"/>
  <c r="Q252" i="8"/>
  <c r="K237" i="8"/>
  <c r="Q237" i="8"/>
  <c r="K247" i="8"/>
  <c r="Q247" i="8"/>
  <c r="Q314" i="8"/>
  <c r="Q316" i="8"/>
  <c r="Q315" i="8"/>
  <c r="Q317" i="8"/>
  <c r="J293" i="8"/>
  <c r="K293" i="8" s="1"/>
  <c r="J297" i="8"/>
  <c r="K297" i="8" s="1"/>
  <c r="J301" i="8"/>
  <c r="K301" i="8" s="1"/>
  <c r="J299" i="8"/>
  <c r="K299" i="8" s="1"/>
  <c r="J292" i="8"/>
  <c r="K292" i="8" s="1"/>
  <c r="J294" i="8"/>
  <c r="K294" i="8" s="1"/>
  <c r="J298" i="8"/>
  <c r="K298" i="8" s="1"/>
  <c r="J302" i="8"/>
  <c r="K302" i="8" s="1"/>
  <c r="J295" i="8"/>
  <c r="K295" i="8" s="1"/>
  <c r="J303" i="8"/>
  <c r="K303" i="8" s="1"/>
  <c r="J296" i="8"/>
  <c r="K296" i="8" s="1"/>
  <c r="J300" i="8"/>
  <c r="K300" i="8" s="1"/>
  <c r="K439" i="8"/>
  <c r="Q428" i="8"/>
  <c r="Q439" i="8" s="1"/>
  <c r="J288" i="8"/>
  <c r="Q273" i="8"/>
  <c r="Q288" i="8" s="1"/>
  <c r="K273" i="8"/>
  <c r="K288" i="8" s="1"/>
  <c r="Q329" i="8"/>
  <c r="Q327" i="8"/>
  <c r="Q328" i="8"/>
  <c r="Q275" i="8"/>
  <c r="K275" i="8"/>
  <c r="Q270" i="8"/>
  <c r="K270" i="8"/>
  <c r="J225" i="8"/>
  <c r="J229" i="8"/>
  <c r="J233" i="8"/>
  <c r="J230" i="8"/>
  <c r="J227" i="8"/>
  <c r="J235" i="8"/>
  <c r="J228" i="8"/>
  <c r="J232" i="8"/>
  <c r="J224" i="8"/>
  <c r="J226" i="8"/>
  <c r="J234" i="8"/>
  <c r="J231" i="8"/>
  <c r="Q432" i="8"/>
  <c r="Q441" i="8" s="1"/>
  <c r="K441" i="8"/>
  <c r="Q276" i="8"/>
  <c r="K276" i="8"/>
  <c r="Q269" i="8"/>
  <c r="K269" i="8"/>
  <c r="Q278" i="8"/>
  <c r="K278" i="8"/>
  <c r="J221" i="8"/>
  <c r="Q310" i="8"/>
  <c r="Q306" i="8"/>
  <c r="Q312" i="8"/>
  <c r="Q307" i="8"/>
  <c r="Q311" i="8"/>
  <c r="Q308" i="8"/>
  <c r="Q309" i="8"/>
  <c r="Q313" i="8"/>
  <c r="Q222" i="8"/>
  <c r="Q219" i="8"/>
  <c r="Q220" i="8"/>
  <c r="Q338" i="8"/>
  <c r="Q339" i="8"/>
  <c r="Q332" i="8"/>
  <c r="Q333" i="8"/>
  <c r="Q330" i="8"/>
  <c r="Q331" i="8"/>
  <c r="Q336" i="8"/>
  <c r="Q334" i="8"/>
  <c r="Q337" i="8"/>
  <c r="Q335" i="8"/>
  <c r="Q279" i="8"/>
  <c r="K279" i="8"/>
  <c r="Q274" i="8"/>
  <c r="K274" i="8"/>
  <c r="Q280" i="8"/>
  <c r="K280" i="8"/>
  <c r="Q126" i="8"/>
  <c r="Q132" i="8" s="1"/>
  <c r="Q277" i="8"/>
  <c r="K277" i="8"/>
  <c r="Q271" i="8"/>
  <c r="K271" i="8"/>
  <c r="Q272" i="8"/>
  <c r="K272" i="8"/>
  <c r="L261" i="6"/>
  <c r="H261" i="6"/>
  <c r="L156" i="6"/>
  <c r="H156" i="6"/>
  <c r="T172" i="6"/>
  <c r="Q172" i="6"/>
  <c r="Q173" i="6"/>
  <c r="T173" i="6"/>
  <c r="Q171" i="6"/>
  <c r="T171" i="6"/>
  <c r="R1338" i="2"/>
  <c r="K231" i="8" l="1"/>
  <c r="Q231" i="8"/>
  <c r="K234" i="8"/>
  <c r="Q234" i="8"/>
  <c r="K228" i="8"/>
  <c r="Q228" i="8"/>
  <c r="K233" i="8"/>
  <c r="Q233" i="8"/>
  <c r="K232" i="8"/>
  <c r="Q232" i="8"/>
  <c r="K226" i="8"/>
  <c r="Q226" i="8"/>
  <c r="K235" i="8"/>
  <c r="Q235" i="8"/>
  <c r="K229" i="8"/>
  <c r="Q229" i="8"/>
  <c r="K230" i="8"/>
  <c r="Q230" i="8"/>
  <c r="K224" i="8"/>
  <c r="Q224" i="8"/>
  <c r="K227" i="8"/>
  <c r="Q227" i="8"/>
  <c r="K225" i="8"/>
  <c r="Q225" i="8"/>
  <c r="K221" i="8"/>
  <c r="Q221" i="8"/>
  <c r="Q293" i="8"/>
  <c r="Q297" i="8"/>
  <c r="Q301" i="8"/>
  <c r="Q299" i="8"/>
  <c r="Q300" i="8"/>
  <c r="Q294" i="8"/>
  <c r="Q298" i="8"/>
  <c r="Q302" i="8"/>
  <c r="Q295" i="8"/>
  <c r="Q303" i="8"/>
  <c r="Q296" i="8"/>
  <c r="Q292" i="8"/>
  <c r="R1183" i="2"/>
  <c r="R498" i="2"/>
  <c r="R495" i="2"/>
  <c r="R512" i="2"/>
  <c r="R510" i="2"/>
  <c r="R504" i="2"/>
  <c r="R497" i="2"/>
  <c r="R496" i="2"/>
  <c r="Y496" i="2" l="1"/>
  <c r="AH498" i="2"/>
  <c r="AH497" i="2"/>
  <c r="AH495" i="2"/>
  <c r="AH496" i="2"/>
  <c r="Y495" i="2"/>
  <c r="Y497" i="2"/>
  <c r="R1317" i="2"/>
  <c r="R1316" i="2"/>
  <c r="R1315" i="2"/>
  <c r="R1291" i="2"/>
  <c r="R1290" i="2"/>
  <c r="Q1325" i="2"/>
  <c r="Q1324" i="2"/>
  <c r="H96" i="8" l="1"/>
  <c r="M96" i="8"/>
  <c r="Y1316" i="2"/>
  <c r="H94" i="8"/>
  <c r="M94" i="8"/>
  <c r="M95" i="8"/>
  <c r="H95" i="8"/>
  <c r="Y1317" i="2"/>
  <c r="Y1293" i="2"/>
  <c r="Y1291" i="2"/>
  <c r="Y1294" i="2"/>
  <c r="Y1292" i="2"/>
  <c r="Y1290" i="2"/>
  <c r="Y1318" i="2"/>
  <c r="Z1316" i="2"/>
  <c r="Z496" i="2"/>
  <c r="N95" i="8" s="1"/>
  <c r="Z497" i="2"/>
  <c r="N96" i="8" s="1"/>
  <c r="R1324" i="2"/>
  <c r="AH1299" i="2"/>
  <c r="AH1298" i="2"/>
  <c r="AH1297" i="2"/>
  <c r="AH1296" i="2"/>
  <c r="AH1295" i="2"/>
  <c r="AH1294" i="2"/>
  <c r="AH1293" i="2"/>
  <c r="AH1292" i="2"/>
  <c r="AH1291" i="2"/>
  <c r="AH1290" i="2"/>
  <c r="Q1313" i="2"/>
  <c r="Q1312" i="2"/>
  <c r="Q1310" i="2"/>
  <c r="Q1311" i="2"/>
  <c r="Q1309" i="2"/>
  <c r="Q1308" i="2"/>
  <c r="Q1307" i="2"/>
  <c r="Q1306" i="2"/>
  <c r="Q1305" i="2"/>
  <c r="Q1304" i="2"/>
  <c r="Q1303" i="2"/>
  <c r="Q1302" i="2"/>
  <c r="Z1318" i="2" l="1"/>
  <c r="Z1294" i="2"/>
  <c r="Z1291" i="2"/>
  <c r="Z1292" i="2"/>
  <c r="R1306" i="2"/>
  <c r="R1302" i="2"/>
  <c r="R1304" i="2"/>
  <c r="R1308" i="2"/>
  <c r="R1312" i="2"/>
  <c r="R1310" i="2"/>
  <c r="AH1279" i="2"/>
  <c r="AH1278" i="2"/>
  <c r="AH1277" i="2"/>
  <c r="AH1276" i="2"/>
  <c r="AH1275" i="2"/>
  <c r="AH1274" i="2"/>
  <c r="AH1273" i="2"/>
  <c r="AH1272" i="2"/>
  <c r="AH1271" i="2"/>
  <c r="AH1270" i="2"/>
  <c r="Q1285" i="2"/>
  <c r="Q1284" i="2"/>
  <c r="Q1283" i="2"/>
  <c r="Q1282" i="2"/>
  <c r="Q1281" i="2"/>
  <c r="Q1280" i="2"/>
  <c r="R1271" i="2"/>
  <c r="R1270" i="2"/>
  <c r="Y1270" i="2" l="1"/>
  <c r="Y1271" i="2"/>
  <c r="Y1272" i="2"/>
  <c r="Y1334" i="2"/>
  <c r="H813" i="8" s="1"/>
  <c r="M813" i="8" s="1"/>
  <c r="Y1273" i="2"/>
  <c r="Y1274" i="2"/>
  <c r="R1284" i="2"/>
  <c r="R1282" i="2"/>
  <c r="R1280" i="2"/>
  <c r="AH1261" i="2"/>
  <c r="AH1260" i="2"/>
  <c r="AH1259" i="2"/>
  <c r="AH1258" i="2"/>
  <c r="AH1257" i="2"/>
  <c r="AH1256" i="2"/>
  <c r="AH1255" i="2"/>
  <c r="AH1254" i="2"/>
  <c r="AH1253" i="2"/>
  <c r="AH1252" i="2"/>
  <c r="AH1201" i="2"/>
  <c r="AH1200" i="2"/>
  <c r="AH1199" i="2"/>
  <c r="AH1198" i="2"/>
  <c r="AH1197" i="2"/>
  <c r="AH1196" i="2"/>
  <c r="AH1195" i="2"/>
  <c r="AH1194" i="2"/>
  <c r="R1252" i="2"/>
  <c r="Q1268" i="2"/>
  <c r="Q1267" i="2"/>
  <c r="Q1266" i="2"/>
  <c r="Q1265" i="2"/>
  <c r="Q1262" i="2"/>
  <c r="Q1261" i="2"/>
  <c r="Z1274" i="2" l="1"/>
  <c r="Z1272" i="2"/>
  <c r="Z1271" i="2"/>
  <c r="Y1255" i="2"/>
  <c r="Y1253" i="2"/>
  <c r="Y1254" i="2"/>
  <c r="Y1256" i="2"/>
  <c r="Y1252" i="2"/>
  <c r="R1267" i="2"/>
  <c r="R1261" i="2"/>
  <c r="R1265" i="2"/>
  <c r="Q1249" i="2"/>
  <c r="Q1248" i="2"/>
  <c r="Q1247" i="2"/>
  <c r="Q1246" i="2"/>
  <c r="Q1245" i="2"/>
  <c r="Q1244" i="2"/>
  <c r="R1235" i="2"/>
  <c r="R1234" i="2"/>
  <c r="Y1234" i="2" l="1"/>
  <c r="Z1256" i="2"/>
  <c r="Z1253" i="2"/>
  <c r="Z1254" i="2"/>
  <c r="Y1238" i="2"/>
  <c r="Y1237" i="2"/>
  <c r="Y1236" i="2"/>
  <c r="Y1235" i="2"/>
  <c r="R1248" i="2"/>
  <c r="R1246" i="2"/>
  <c r="R1244" i="2"/>
  <c r="R1209" i="2"/>
  <c r="R1207" i="2"/>
  <c r="R1205" i="2"/>
  <c r="R1196" i="2"/>
  <c r="R1195" i="2"/>
  <c r="R1194" i="2"/>
  <c r="Q1204" i="2"/>
  <c r="Q1203" i="2"/>
  <c r="Q1202" i="2"/>
  <c r="Q1201" i="2"/>
  <c r="Q1200" i="2"/>
  <c r="Q1199" i="2"/>
  <c r="Q1198" i="2"/>
  <c r="Q1197" i="2"/>
  <c r="Z1238" i="2" l="1"/>
  <c r="Z1236" i="2"/>
  <c r="Z1235" i="2"/>
  <c r="R1197" i="2"/>
  <c r="H811" i="8" s="1"/>
  <c r="M811" i="8" s="1"/>
  <c r="R1199" i="2"/>
  <c r="R1203" i="2"/>
  <c r="R1201" i="2"/>
  <c r="R1186" i="2"/>
  <c r="R1185" i="2"/>
  <c r="R1184" i="2"/>
  <c r="Q1188" i="2"/>
  <c r="Q1187" i="2"/>
  <c r="H725" i="8" l="1"/>
  <c r="M725" i="8" s="1"/>
  <c r="H809" i="8"/>
  <c r="M809" i="8" s="1"/>
  <c r="Y1195" i="2"/>
  <c r="R1187" i="2"/>
  <c r="Y1183" i="2" s="1"/>
  <c r="H810" i="8" l="1"/>
  <c r="M810" i="8" s="1"/>
  <c r="N811" i="8" s="1"/>
  <c r="H723" i="8"/>
  <c r="M723" i="8" s="1"/>
  <c r="H722" i="8"/>
  <c r="M722" i="8" s="1"/>
  <c r="Y1184" i="2"/>
  <c r="R1175" i="2"/>
  <c r="R1174" i="2"/>
  <c r="R1173" i="2"/>
  <c r="R1172" i="2"/>
  <c r="Q1178" i="2"/>
  <c r="Q1177" i="2"/>
  <c r="N723" i="8" l="1"/>
  <c r="Y1175" i="2"/>
  <c r="Y1174" i="2"/>
  <c r="Y1173" i="2"/>
  <c r="Y1172" i="2"/>
  <c r="Z1184" i="2"/>
  <c r="R1177" i="2"/>
  <c r="AH1175" i="2" s="1"/>
  <c r="AM1175" i="2" s="1"/>
  <c r="AN1175" i="2" s="1"/>
  <c r="H720" i="8" l="1"/>
  <c r="M720" i="8" s="1"/>
  <c r="H721" i="8"/>
  <c r="M721" i="8" s="1"/>
  <c r="AH1174" i="2"/>
  <c r="AM1174" i="2" s="1"/>
  <c r="AN1174" i="2" s="1"/>
  <c r="AH1173" i="2"/>
  <c r="AM1173" i="2" s="1"/>
  <c r="AN1173" i="2" s="1"/>
  <c r="AH1172" i="2"/>
  <c r="AM1172" i="2" s="1"/>
  <c r="AN1172" i="2" s="1"/>
  <c r="Z1173" i="2"/>
  <c r="Z1175" i="2"/>
  <c r="R1164" i="2"/>
  <c r="R1163" i="2"/>
  <c r="R1162" i="2"/>
  <c r="R1161" i="2"/>
  <c r="Q1170" i="2"/>
  <c r="Q1169" i="2"/>
  <c r="Q1168" i="2"/>
  <c r="Q1167" i="2"/>
  <c r="Q1166" i="2"/>
  <c r="Q1165" i="2"/>
  <c r="N721" i="8" l="1"/>
  <c r="AE1173" i="2"/>
  <c r="AE1175" i="2"/>
  <c r="AE1174" i="2"/>
  <c r="AE1176" i="2"/>
  <c r="R1169" i="2"/>
  <c r="R1165" i="2"/>
  <c r="R1167" i="2"/>
  <c r="AJ1335" i="2"/>
  <c r="AL900" i="2"/>
  <c r="AL899" i="2"/>
  <c r="AL889" i="2"/>
  <c r="AL888" i="2"/>
  <c r="AK904" i="2"/>
  <c r="AK903" i="2"/>
  <c r="AK901" i="2"/>
  <c r="AK900" i="2"/>
  <c r="AK902" i="2"/>
  <c r="AK899" i="2"/>
  <c r="AK890" i="2"/>
  <c r="AK888" i="2"/>
  <c r="AK889" i="2"/>
  <c r="AI903" i="2"/>
  <c r="AI902" i="2"/>
  <c r="AI900" i="2"/>
  <c r="AI899" i="2"/>
  <c r="AJ903" i="2"/>
  <c r="AJ902" i="2"/>
  <c r="AJ900" i="2"/>
  <c r="AJ899" i="2"/>
  <c r="AJ889" i="2"/>
  <c r="AJ888" i="2"/>
  <c r="AI889" i="2"/>
  <c r="AI888" i="2"/>
  <c r="AJ810" i="2"/>
  <c r="AJ808" i="2"/>
  <c r="AM790" i="2"/>
  <c r="AM788" i="2"/>
  <c r="AM793" i="2"/>
  <c r="AL790" i="2"/>
  <c r="AL788" i="2"/>
  <c r="AL793" i="2"/>
  <c r="AK785" i="2"/>
  <c r="AK786" i="2"/>
  <c r="AK789" i="2"/>
  <c r="AK790" i="2"/>
  <c r="AK791" i="2"/>
  <c r="AK792" i="2"/>
  <c r="AJ787" i="2"/>
  <c r="AJ786" i="2"/>
  <c r="AJ785" i="2"/>
  <c r="Y1161" i="2" l="1"/>
  <c r="H724" i="8"/>
  <c r="M724" i="8" s="1"/>
  <c r="N725" i="8" s="1"/>
  <c r="H717" i="8"/>
  <c r="M717" i="8" s="1"/>
  <c r="H709" i="8"/>
  <c r="M709" i="8" s="1"/>
  <c r="H711" i="8"/>
  <c r="M711" i="8" s="1"/>
  <c r="H714" i="8"/>
  <c r="M714" i="8" s="1"/>
  <c r="H712" i="8"/>
  <c r="M712" i="8" s="1"/>
  <c r="H719" i="8"/>
  <c r="M719" i="8" s="1"/>
  <c r="H710" i="8"/>
  <c r="M710" i="8" s="1"/>
  <c r="H713" i="8"/>
  <c r="M713" i="8" s="1"/>
  <c r="H715" i="8"/>
  <c r="M715" i="8" s="1"/>
  <c r="H718" i="8"/>
  <c r="M718" i="8" s="1"/>
  <c r="H716" i="8"/>
  <c r="M716" i="8" s="1"/>
  <c r="AH1164" i="2"/>
  <c r="AQ1164" i="2" s="1"/>
  <c r="AR1164" i="2" s="1"/>
  <c r="AH1163" i="2"/>
  <c r="AQ1163" i="2" s="1"/>
  <c r="AR1163" i="2" s="1"/>
  <c r="AH1162" i="2"/>
  <c r="AQ1162" i="2" s="1"/>
  <c r="AR1162" i="2" s="1"/>
  <c r="Y1162" i="2"/>
  <c r="AH1161" i="2"/>
  <c r="AQ1161" i="2" s="1"/>
  <c r="AR1161" i="2" s="1"/>
  <c r="Y1163" i="2"/>
  <c r="Y1194" i="2"/>
  <c r="Z1195" i="2" s="1"/>
  <c r="AL776" i="2"/>
  <c r="AK777" i="2"/>
  <c r="AJ778" i="2"/>
  <c r="AJ776" i="2"/>
  <c r="AJ775" i="2"/>
  <c r="AJ764" i="2"/>
  <c r="AJ763" i="2"/>
  <c r="AJ753" i="2"/>
  <c r="AI753" i="2"/>
  <c r="AI752" i="2"/>
  <c r="AN747" i="2"/>
  <c r="AN745" i="2"/>
  <c r="AN749" i="2"/>
  <c r="AM745" i="2"/>
  <c r="AL744" i="2"/>
  <c r="AL750" i="2"/>
  <c r="AL747" i="2"/>
  <c r="AL748" i="2"/>
  <c r="AL746" i="2"/>
  <c r="AL749" i="2"/>
  <c r="AL745" i="2"/>
  <c r="AL742" i="2"/>
  <c r="AL740" i="2"/>
  <c r="AK745" i="2"/>
  <c r="AK746" i="2"/>
  <c r="AK749" i="2"/>
  <c r="AK750" i="2"/>
  <c r="AJ741" i="2"/>
  <c r="AJ742" i="2"/>
  <c r="AI747" i="2"/>
  <c r="AI741" i="2"/>
  <c r="AI749" i="2"/>
  <c r="AI743" i="2"/>
  <c r="AA725" i="2"/>
  <c r="AA721" i="2"/>
  <c r="AA719" i="2"/>
  <c r="AK718" i="2"/>
  <c r="AJ718" i="2"/>
  <c r="AI719" i="2"/>
  <c r="AL697" i="2"/>
  <c r="AL696" i="2"/>
  <c r="AK697" i="2"/>
  <c r="AK696" i="2"/>
  <c r="AJ696" i="2"/>
  <c r="AL686" i="2"/>
  <c r="AL685" i="2"/>
  <c r="AL684" i="2"/>
  <c r="AL683" i="2"/>
  <c r="N713" i="8" l="1"/>
  <c r="N716" i="8"/>
  <c r="N710" i="8"/>
  <c r="N711" i="8"/>
  <c r="N714" i="8"/>
  <c r="N712" i="8"/>
  <c r="N718" i="8"/>
  <c r="N719" i="8"/>
  <c r="N717" i="8"/>
  <c r="AE1165" i="2"/>
  <c r="AE1163" i="2"/>
  <c r="AE1162" i="2"/>
  <c r="AE1164" i="2"/>
  <c r="Z1162" i="2"/>
  <c r="Z1163" i="2"/>
  <c r="AJ686" i="2"/>
  <c r="AJ684" i="2"/>
  <c r="AJ685" i="2"/>
  <c r="AJ683" i="2"/>
  <c r="AL560" i="2" l="1"/>
  <c r="AL559" i="2"/>
  <c r="AK585" i="2"/>
  <c r="AK584" i="2"/>
  <c r="AK583" i="2"/>
  <c r="AK582" i="2"/>
  <c r="AK581" i="2"/>
  <c r="AK580" i="2"/>
  <c r="AK579" i="2"/>
  <c r="AK578" i="2"/>
  <c r="AK577" i="2"/>
  <c r="AJ576" i="2"/>
  <c r="AJ557" i="2"/>
  <c r="AK561" i="2"/>
  <c r="AK560" i="2"/>
  <c r="AK559" i="2"/>
  <c r="AK558" i="2"/>
  <c r="AE1366" i="2" l="1"/>
  <c r="S1339" i="2" l="1"/>
  <c r="R1337" i="2"/>
  <c r="R1334" i="2"/>
  <c r="Q1342" i="2"/>
  <c r="Q1341" i="2"/>
  <c r="Q1340" i="2"/>
  <c r="Q1339" i="2"/>
  <c r="R1339" i="2" l="1"/>
  <c r="S1369" i="2"/>
  <c r="R1364" i="2"/>
  <c r="Q1367" i="2"/>
  <c r="Q1368" i="2"/>
  <c r="Q1369" i="2"/>
  <c r="Q1370" i="2"/>
  <c r="Q1371" i="2"/>
  <c r="Q1372" i="2"/>
  <c r="Q1366" i="2"/>
  <c r="Q1365" i="2"/>
  <c r="R596" i="2"/>
  <c r="R597" i="2"/>
  <c r="R598" i="2"/>
  <c r="R595" i="2"/>
  <c r="Q605" i="2"/>
  <c r="Q601" i="2"/>
  <c r="Q602" i="2"/>
  <c r="Q600" i="2"/>
  <c r="Q599" i="2"/>
  <c r="Y1336" i="2" l="1"/>
  <c r="Y1335" i="2"/>
  <c r="Y1337" i="2"/>
  <c r="AH1335" i="2"/>
  <c r="AH1336" i="2"/>
  <c r="R1370" i="2"/>
  <c r="R1365" i="2"/>
  <c r="R599" i="2"/>
  <c r="R1367" i="2"/>
  <c r="R605" i="2"/>
  <c r="R601" i="2"/>
  <c r="R1144" i="2"/>
  <c r="R1145" i="2"/>
  <c r="R1146" i="2"/>
  <c r="R1147" i="2"/>
  <c r="R1148" i="2"/>
  <c r="R1149" i="2"/>
  <c r="R1143" i="2"/>
  <c r="R1159" i="2"/>
  <c r="R1158" i="2"/>
  <c r="Q1156" i="2"/>
  <c r="Q1157" i="2"/>
  <c r="Q1151" i="2"/>
  <c r="Q1152" i="2"/>
  <c r="Q1153" i="2"/>
  <c r="Q1154" i="2"/>
  <c r="Q1155" i="2"/>
  <c r="Q1150" i="2"/>
  <c r="R1137" i="2"/>
  <c r="R1125" i="2"/>
  <c r="R1112" i="2"/>
  <c r="R1099" i="2"/>
  <c r="R1076" i="2"/>
  <c r="R1060" i="2"/>
  <c r="R1040" i="2"/>
  <c r="R1006" i="2"/>
  <c r="R992" i="2"/>
  <c r="R976" i="2"/>
  <c r="H841" i="8" l="1"/>
  <c r="M841" i="8" s="1"/>
  <c r="N841" i="8" s="1"/>
  <c r="Z1337" i="2"/>
  <c r="H816" i="8"/>
  <c r="M816" i="8" s="1"/>
  <c r="N816" i="8" s="1"/>
  <c r="Z1335" i="2"/>
  <c r="H814" i="8"/>
  <c r="M814" i="8" s="1"/>
  <c r="N814" i="8" s="1"/>
  <c r="Z1336" i="2"/>
  <c r="H815" i="8"/>
  <c r="M815" i="8" s="1"/>
  <c r="N815" i="8" s="1"/>
  <c r="H842" i="8"/>
  <c r="M842" i="8" s="1"/>
  <c r="N842" i="8" s="1"/>
  <c r="H838" i="8"/>
  <c r="M838" i="8" s="1"/>
  <c r="N838" i="8" s="1"/>
  <c r="Y1365" i="2"/>
  <c r="Z1365" i="2" s="1"/>
  <c r="H840" i="8"/>
  <c r="M840" i="8" s="1"/>
  <c r="N840" i="8" s="1"/>
  <c r="H839" i="8"/>
  <c r="M839" i="8" s="1"/>
  <c r="N839" i="8" s="1"/>
  <c r="H177" i="8"/>
  <c r="M177" i="8" s="1"/>
  <c r="AH1365" i="2"/>
  <c r="R1156" i="2"/>
  <c r="R1153" i="2"/>
  <c r="R1150" i="2"/>
  <c r="H808" i="8" s="1"/>
  <c r="M808" i="8" s="1"/>
  <c r="N809" i="8" s="1"/>
  <c r="R1089" i="2"/>
  <c r="R1087" i="2"/>
  <c r="R1074" i="2"/>
  <c r="R1072" i="2"/>
  <c r="R1056" i="2"/>
  <c r="R1034" i="2"/>
  <c r="R1032" i="2"/>
  <c r="R1015" i="2"/>
  <c r="R1004" i="2"/>
  <c r="R1002" i="2"/>
  <c r="R990" i="2"/>
  <c r="R988" i="2"/>
  <c r="R972" i="2"/>
  <c r="R970" i="2"/>
  <c r="AH595" i="2" l="1"/>
  <c r="AH596" i="2"/>
  <c r="H178" i="8"/>
  <c r="M178" i="8" s="1"/>
  <c r="N178" i="8" s="1"/>
  <c r="H696" i="8"/>
  <c r="M696" i="8" s="1"/>
  <c r="H623" i="8"/>
  <c r="M623" i="8" s="1"/>
  <c r="H621" i="8"/>
  <c r="M621" i="8" s="1"/>
  <c r="H702" i="8"/>
  <c r="M702" i="8" s="1"/>
  <c r="H625" i="8"/>
  <c r="M625" i="8" s="1"/>
  <c r="H618" i="8"/>
  <c r="M618" i="8" s="1"/>
  <c r="H694" i="8"/>
  <c r="M694" i="8" s="1"/>
  <c r="H620" i="8"/>
  <c r="M620" i="8" s="1"/>
  <c r="H619" i="8"/>
  <c r="M619" i="8" s="1"/>
  <c r="H706" i="8"/>
  <c r="M706" i="8" s="1"/>
  <c r="H622" i="8"/>
  <c r="M622" i="8" s="1"/>
  <c r="H617" i="8"/>
  <c r="M617" i="8" s="1"/>
  <c r="H624" i="8"/>
  <c r="M624" i="8" s="1"/>
  <c r="Z596" i="2"/>
  <c r="R1127" i="2"/>
  <c r="R1128" i="2"/>
  <c r="R1117" i="2"/>
  <c r="R1116" i="2"/>
  <c r="R1115" i="2"/>
  <c r="R1114" i="2"/>
  <c r="R1104" i="2"/>
  <c r="R1103" i="2"/>
  <c r="R1102" i="2"/>
  <c r="R1101" i="2"/>
  <c r="R1080" i="2"/>
  <c r="R1079" i="2"/>
  <c r="R1078" i="2"/>
  <c r="R1058" i="2"/>
  <c r="R1059" i="2"/>
  <c r="R1062" i="2"/>
  <c r="R1063" i="2"/>
  <c r="R1030" i="2"/>
  <c r="R1031" i="2"/>
  <c r="R1036" i="2"/>
  <c r="R1037" i="2"/>
  <c r="R1038" i="2"/>
  <c r="R1039" i="2"/>
  <c r="R1042" i="2"/>
  <c r="R1043" i="2"/>
  <c r="R1044" i="2"/>
  <c r="R1045" i="2"/>
  <c r="R968" i="2"/>
  <c r="R969" i="2"/>
  <c r="R974" i="2"/>
  <c r="R975" i="2"/>
  <c r="R978" i="2"/>
  <c r="R979" i="2"/>
  <c r="R980" i="2"/>
  <c r="R994" i="2"/>
  <c r="R995" i="2"/>
  <c r="R1008" i="2"/>
  <c r="R1009" i="2"/>
  <c r="R1010" i="2"/>
  <c r="R1011" i="2"/>
  <c r="R1017" i="2"/>
  <c r="R1018" i="2"/>
  <c r="R1048" i="2"/>
  <c r="R1047" i="2"/>
  <c r="R1046" i="2"/>
  <c r="R1064" i="2"/>
  <c r="R1092" i="2"/>
  <c r="R1091" i="2"/>
  <c r="R1105" i="2"/>
  <c r="R1118" i="2"/>
  <c r="R1139" i="2"/>
  <c r="R1130" i="2"/>
  <c r="R1129" i="2"/>
  <c r="R1132" i="2"/>
  <c r="R1121" i="2"/>
  <c r="R1108" i="2"/>
  <c r="R1094" i="2"/>
  <c r="R1082" i="2"/>
  <c r="R1066" i="2"/>
  <c r="R1050" i="2"/>
  <c r="R1024" i="2"/>
  <c r="R1013" i="2"/>
  <c r="R997" i="2"/>
  <c r="R982" i="2"/>
  <c r="R962" i="2"/>
  <c r="Y1024" i="2" s="1"/>
  <c r="Y1069" i="2" l="1"/>
  <c r="H581" i="8" s="1"/>
  <c r="M581" i="8" s="1"/>
  <c r="Y1067" i="2"/>
  <c r="H579" i="8" s="1"/>
  <c r="M579" i="8" s="1"/>
  <c r="N624" i="8"/>
  <c r="N625" i="8"/>
  <c r="N622" i="8"/>
  <c r="N619" i="8"/>
  <c r="H564" i="8"/>
  <c r="M564" i="8" s="1"/>
  <c r="H559" i="8"/>
  <c r="M559" i="8" s="1"/>
  <c r="H554" i="8"/>
  <c r="M554" i="8" s="1"/>
  <c r="H549" i="8"/>
  <c r="M549" i="8" s="1"/>
  <c r="H544" i="8"/>
  <c r="M544" i="8" s="1"/>
  <c r="H539" i="8"/>
  <c r="M539" i="8" s="1"/>
  <c r="H534" i="8"/>
  <c r="M534" i="8" s="1"/>
  <c r="H567" i="8"/>
  <c r="M567" i="8" s="1"/>
  <c r="H563" i="8"/>
  <c r="M563" i="8" s="1"/>
  <c r="H558" i="8"/>
  <c r="M558" i="8" s="1"/>
  <c r="H553" i="8"/>
  <c r="M553" i="8" s="1"/>
  <c r="H548" i="8"/>
  <c r="M548" i="8" s="1"/>
  <c r="H543" i="8"/>
  <c r="M543" i="8" s="1"/>
  <c r="H538" i="8"/>
  <c r="M538" i="8" s="1"/>
  <c r="H566" i="8"/>
  <c r="M566" i="8" s="1"/>
  <c r="H561" i="8"/>
  <c r="M561" i="8" s="1"/>
  <c r="H557" i="8"/>
  <c r="M557" i="8" s="1"/>
  <c r="H552" i="8"/>
  <c r="M552" i="8" s="1"/>
  <c r="H546" i="8"/>
  <c r="M546" i="8" s="1"/>
  <c r="H541" i="8"/>
  <c r="M541" i="8" s="1"/>
  <c r="H536" i="8"/>
  <c r="M536" i="8" s="1"/>
  <c r="H565" i="8"/>
  <c r="M565" i="8" s="1"/>
  <c r="H560" i="8"/>
  <c r="M560" i="8" s="1"/>
  <c r="H556" i="8"/>
  <c r="M556" i="8" s="1"/>
  <c r="H550" i="8"/>
  <c r="M550" i="8" s="1"/>
  <c r="H545" i="8"/>
  <c r="M545" i="8" s="1"/>
  <c r="H540" i="8"/>
  <c r="M540" i="8" s="1"/>
  <c r="H535" i="8"/>
  <c r="M535" i="8" s="1"/>
  <c r="H509" i="8"/>
  <c r="M509" i="8" s="1"/>
  <c r="H468" i="8"/>
  <c r="M468" i="8" s="1"/>
  <c r="H501" i="8"/>
  <c r="M501" i="8" s="1"/>
  <c r="H463" i="8"/>
  <c r="M463" i="8" s="1"/>
  <c r="H484" i="8"/>
  <c r="M484" i="8" s="1"/>
  <c r="H458" i="8"/>
  <c r="M458" i="8" s="1"/>
  <c r="H518" i="8"/>
  <c r="M518" i="8" s="1"/>
  <c r="H473" i="8"/>
  <c r="M473" i="8" s="1"/>
  <c r="H447" i="8"/>
  <c r="M447" i="8" s="1"/>
  <c r="N621" i="8"/>
  <c r="H515" i="8"/>
  <c r="M515" i="8" s="1"/>
  <c r="H507" i="8"/>
  <c r="M507" i="8" s="1"/>
  <c r="H506" i="8"/>
  <c r="M506" i="8" s="1"/>
  <c r="H498" i="8"/>
  <c r="M498" i="8" s="1"/>
  <c r="H494" i="8"/>
  <c r="M494" i="8" s="1"/>
  <c r="H481" i="8"/>
  <c r="M481" i="8" s="1"/>
  <c r="N481" i="8" s="1"/>
  <c r="H471" i="8"/>
  <c r="M471" i="8" s="1"/>
  <c r="H461" i="8"/>
  <c r="M461" i="8" s="1"/>
  <c r="N461" i="8" s="1"/>
  <c r="H456" i="8"/>
  <c r="M456" i="8" s="1"/>
  <c r="H454" i="8"/>
  <c r="M454" i="8" s="1"/>
  <c r="H516" i="8"/>
  <c r="M516" i="8" s="1"/>
  <c r="N516" i="8" s="1"/>
  <c r="H499" i="8"/>
  <c r="M499" i="8" s="1"/>
  <c r="H495" i="8"/>
  <c r="M495" i="8" s="1"/>
  <c r="H482" i="8"/>
  <c r="M482" i="8" s="1"/>
  <c r="N482" i="8" s="1"/>
  <c r="H472" i="8"/>
  <c r="M472" i="8" s="1"/>
  <c r="H462" i="8"/>
  <c r="M462" i="8" s="1"/>
  <c r="N462" i="8" s="1"/>
  <c r="H455" i="8"/>
  <c r="M455" i="8" s="1"/>
  <c r="H522" i="8"/>
  <c r="M522" i="8" s="1"/>
  <c r="H521" i="8"/>
  <c r="M521" i="8" s="1"/>
  <c r="H517" i="8"/>
  <c r="M517" i="8" s="1"/>
  <c r="H500" i="8"/>
  <c r="M500" i="8" s="1"/>
  <c r="H496" i="8"/>
  <c r="M496" i="8" s="1"/>
  <c r="H483" i="8"/>
  <c r="M483" i="8" s="1"/>
  <c r="H479" i="8"/>
  <c r="M479" i="8" s="1"/>
  <c r="H466" i="8"/>
  <c r="M466" i="8" s="1"/>
  <c r="H514" i="8"/>
  <c r="M514" i="8" s="1"/>
  <c r="H508" i="8"/>
  <c r="M508" i="8" s="1"/>
  <c r="H505" i="8"/>
  <c r="M505" i="8" s="1"/>
  <c r="H497" i="8"/>
  <c r="M497" i="8" s="1"/>
  <c r="H493" i="8"/>
  <c r="M493" i="8" s="1"/>
  <c r="H480" i="8"/>
  <c r="M480" i="8" s="1"/>
  <c r="H467" i="8"/>
  <c r="M467" i="8" s="1"/>
  <c r="H457" i="8"/>
  <c r="M457" i="8" s="1"/>
  <c r="H453" i="8"/>
  <c r="M453" i="8" s="1"/>
  <c r="H513" i="8"/>
  <c r="M513" i="8" s="1"/>
  <c r="N513" i="8" s="1"/>
  <c r="H504" i="8"/>
  <c r="M504" i="8" s="1"/>
  <c r="H491" i="8"/>
  <c r="M491" i="8" s="1"/>
  <c r="H487" i="8"/>
  <c r="M487" i="8" s="1"/>
  <c r="H477" i="8"/>
  <c r="M477" i="8" s="1"/>
  <c r="H470" i="8"/>
  <c r="M470" i="8" s="1"/>
  <c r="N470" i="8" s="1"/>
  <c r="H460" i="8"/>
  <c r="M460" i="8" s="1"/>
  <c r="H450" i="8"/>
  <c r="M450" i="8" s="1"/>
  <c r="H512" i="8"/>
  <c r="M512" i="8" s="1"/>
  <c r="N512" i="8" s="1"/>
  <c r="H503" i="8"/>
  <c r="M503" i="8" s="1"/>
  <c r="H490" i="8"/>
  <c r="M490" i="8" s="1"/>
  <c r="H486" i="8"/>
  <c r="M486" i="8" s="1"/>
  <c r="H476" i="8"/>
  <c r="M476" i="8" s="1"/>
  <c r="H469" i="8"/>
  <c r="M469" i="8" s="1"/>
  <c r="N469" i="8" s="1"/>
  <c r="H459" i="8"/>
  <c r="M459" i="8" s="1"/>
  <c r="H449" i="8"/>
  <c r="M449" i="8" s="1"/>
  <c r="H520" i="8"/>
  <c r="M520" i="8" s="1"/>
  <c r="H511" i="8"/>
  <c r="M511" i="8" s="1"/>
  <c r="H502" i="8"/>
  <c r="M502" i="8" s="1"/>
  <c r="N502" i="8" s="1"/>
  <c r="H489" i="8"/>
  <c r="M489" i="8" s="1"/>
  <c r="H485" i="8"/>
  <c r="M485" i="8" s="1"/>
  <c r="N485" i="8" s="1"/>
  <c r="H475" i="8"/>
  <c r="M475" i="8" s="1"/>
  <c r="H465" i="8"/>
  <c r="M465" i="8" s="1"/>
  <c r="H452" i="8"/>
  <c r="M452" i="8" s="1"/>
  <c r="H448" i="8"/>
  <c r="M448" i="8" s="1"/>
  <c r="N448" i="8" s="1"/>
  <c r="H519" i="8"/>
  <c r="M519" i="8" s="1"/>
  <c r="H510" i="8"/>
  <c r="M510" i="8" s="1"/>
  <c r="H492" i="8"/>
  <c r="M492" i="8" s="1"/>
  <c r="H488" i="8"/>
  <c r="M488" i="8" s="1"/>
  <c r="N488" i="8" s="1"/>
  <c r="H478" i="8"/>
  <c r="M478" i="8" s="1"/>
  <c r="H474" i="8"/>
  <c r="M474" i="8" s="1"/>
  <c r="H464" i="8"/>
  <c r="M464" i="8" s="1"/>
  <c r="N464" i="8" s="1"/>
  <c r="H451" i="8"/>
  <c r="M451" i="8" s="1"/>
  <c r="N451" i="8" s="1"/>
  <c r="H547" i="8"/>
  <c r="M547" i="8" s="1"/>
  <c r="H562" i="8"/>
  <c r="M562" i="8" s="1"/>
  <c r="H542" i="8"/>
  <c r="M542" i="8" s="1"/>
  <c r="H555" i="8"/>
  <c r="M555" i="8" s="1"/>
  <c r="H537" i="8"/>
  <c r="M537" i="8" s="1"/>
  <c r="H551" i="8"/>
  <c r="M551" i="8" s="1"/>
  <c r="H533" i="8"/>
  <c r="M533" i="8" s="1"/>
  <c r="N618" i="8"/>
  <c r="Y1066" i="2"/>
  <c r="H578" i="8" s="1"/>
  <c r="M578" i="8" s="1"/>
  <c r="Y1121" i="2"/>
  <c r="H605" i="8" s="1"/>
  <c r="M605" i="8" s="1"/>
  <c r="Y1068" i="2"/>
  <c r="H580" i="8" s="1"/>
  <c r="M580" i="8" s="1"/>
  <c r="Y1026" i="2"/>
  <c r="Y1028" i="2"/>
  <c r="Y1025" i="2"/>
  <c r="Y1027" i="2"/>
  <c r="Y1096" i="2"/>
  <c r="H589" i="8" s="1"/>
  <c r="M589" i="8" s="1"/>
  <c r="Y1100" i="2"/>
  <c r="H593" i="8" s="1"/>
  <c r="M593" i="8" s="1"/>
  <c r="Y1029" i="2"/>
  <c r="Y1095" i="2"/>
  <c r="H588" i="8" s="1"/>
  <c r="M588" i="8" s="1"/>
  <c r="Y1101" i="2"/>
  <c r="H594" i="8" s="1"/>
  <c r="M594" i="8" s="1"/>
  <c r="Y1082" i="2"/>
  <c r="H583" i="8" s="1"/>
  <c r="M583" i="8" s="1"/>
  <c r="Y1132" i="2"/>
  <c r="H610" i="8" s="1"/>
  <c r="M610" i="8" s="1"/>
  <c r="Y1134" i="2"/>
  <c r="H612" i="8" s="1"/>
  <c r="M612" i="8" s="1"/>
  <c r="Y1084" i="2"/>
  <c r="H585" i="8" s="1"/>
  <c r="M585" i="8" s="1"/>
  <c r="Y1083" i="2"/>
  <c r="Y1123" i="2"/>
  <c r="H607" i="8" s="1"/>
  <c r="M607" i="8" s="1"/>
  <c r="Y1050" i="2"/>
  <c r="Y1052" i="2"/>
  <c r="Y1112" i="2"/>
  <c r="H600" i="8" s="1"/>
  <c r="M600" i="8" s="1"/>
  <c r="Y1108" i="2"/>
  <c r="H596" i="8" s="1"/>
  <c r="M596" i="8" s="1"/>
  <c r="Y1051" i="2"/>
  <c r="Z1051" i="2" s="1"/>
  <c r="Y1114" i="2"/>
  <c r="H602" i="8" s="1"/>
  <c r="M602" i="8" s="1"/>
  <c r="Y1110" i="2"/>
  <c r="H598" i="8" s="1"/>
  <c r="M598" i="8" s="1"/>
  <c r="Y1053" i="2"/>
  <c r="Y1094" i="2"/>
  <c r="H587" i="8" s="1"/>
  <c r="M587" i="8" s="1"/>
  <c r="Y1098" i="2"/>
  <c r="H591" i="8" s="1"/>
  <c r="M591" i="8" s="1"/>
  <c r="Y1099" i="2"/>
  <c r="H592" i="8" s="1"/>
  <c r="M592" i="8" s="1"/>
  <c r="Y1097" i="2"/>
  <c r="H590" i="8" s="1"/>
  <c r="M590" i="8" s="1"/>
  <c r="Y1133" i="2"/>
  <c r="H611" i="8" s="1"/>
  <c r="M611" i="8" s="1"/>
  <c r="Y1135" i="2"/>
  <c r="H613" i="8" s="1"/>
  <c r="M613" i="8" s="1"/>
  <c r="Y1122" i="2"/>
  <c r="H606" i="8" s="1"/>
  <c r="M606" i="8" s="1"/>
  <c r="Y1124" i="2"/>
  <c r="Y1113" i="2"/>
  <c r="H601" i="8" s="1"/>
  <c r="M601" i="8" s="1"/>
  <c r="Y1111" i="2"/>
  <c r="H599" i="8" s="1"/>
  <c r="M599" i="8" s="1"/>
  <c r="Y1115" i="2"/>
  <c r="H603" i="8" s="1"/>
  <c r="M603" i="8" s="1"/>
  <c r="Y1109" i="2"/>
  <c r="H597" i="8" s="1"/>
  <c r="M597" i="8" s="1"/>
  <c r="N597" i="8" s="1"/>
  <c r="S757" i="2"/>
  <c r="R753" i="2"/>
  <c r="R752" i="2"/>
  <c r="AI576" i="2"/>
  <c r="N613" i="8" l="1"/>
  <c r="N606" i="8"/>
  <c r="N611" i="8"/>
  <c r="N585" i="8"/>
  <c r="N599" i="8"/>
  <c r="N594" i="8"/>
  <c r="N601" i="8"/>
  <c r="N603" i="8"/>
  <c r="N590" i="8"/>
  <c r="N592" i="8"/>
  <c r="Z1083" i="2"/>
  <c r="H584" i="8"/>
  <c r="M584" i="8" s="1"/>
  <c r="N584" i="8" s="1"/>
  <c r="N588" i="8"/>
  <c r="N579" i="8"/>
  <c r="Z1124" i="2"/>
  <c r="H608" i="8"/>
  <c r="M608" i="8" s="1"/>
  <c r="N608" i="8" s="1"/>
  <c r="N581" i="8"/>
  <c r="N522" i="8"/>
  <c r="N507" i="8"/>
  <c r="N519" i="8"/>
  <c r="N503" i="8"/>
  <c r="N504" i="8"/>
  <c r="N505" i="8"/>
  <c r="N520" i="8"/>
  <c r="N508" i="8"/>
  <c r="N521" i="8"/>
  <c r="N506" i="8"/>
  <c r="N472" i="8"/>
  <c r="N471" i="8"/>
  <c r="N459" i="8"/>
  <c r="N460" i="8"/>
  <c r="N476" i="8"/>
  <c r="N477" i="8"/>
  <c r="N480" i="8"/>
  <c r="N483" i="8"/>
  <c r="N489" i="8"/>
  <c r="N486" i="8"/>
  <c r="N487" i="8"/>
  <c r="N493" i="8"/>
  <c r="N496" i="8"/>
  <c r="N478" i="8"/>
  <c r="N475" i="8"/>
  <c r="N511" i="8"/>
  <c r="N467" i="8"/>
  <c r="N479" i="8"/>
  <c r="N517" i="8"/>
  <c r="N499" i="8"/>
  <c r="N498" i="8"/>
  <c r="N492" i="8"/>
  <c r="N452" i="8"/>
  <c r="N449" i="8"/>
  <c r="N450" i="8"/>
  <c r="N453" i="8"/>
  <c r="N514" i="8"/>
  <c r="N454" i="8"/>
  <c r="N474" i="8"/>
  <c r="N510" i="8"/>
  <c r="N465" i="8"/>
  <c r="N490" i="8"/>
  <c r="N491" i="8"/>
  <c r="N457" i="8"/>
  <c r="N497" i="8"/>
  <c r="N466" i="8"/>
  <c r="N500" i="8"/>
  <c r="N455" i="8"/>
  <c r="N495" i="8"/>
  <c r="N456" i="8"/>
  <c r="N494" i="8"/>
  <c r="N515" i="8"/>
  <c r="N540" i="8"/>
  <c r="N560" i="8"/>
  <c r="N546" i="8"/>
  <c r="N566" i="8"/>
  <c r="N553" i="8"/>
  <c r="N534" i="8"/>
  <c r="N554" i="8"/>
  <c r="N545" i="8"/>
  <c r="N565" i="8"/>
  <c r="N552" i="8"/>
  <c r="N538" i="8"/>
  <c r="N558" i="8"/>
  <c r="N539" i="8"/>
  <c r="N559" i="8"/>
  <c r="N550" i="8"/>
  <c r="N536" i="8"/>
  <c r="N557" i="8"/>
  <c r="N543" i="8"/>
  <c r="N563" i="8"/>
  <c r="N544" i="8"/>
  <c r="N564" i="8"/>
  <c r="N535" i="8"/>
  <c r="N556" i="8"/>
  <c r="N541" i="8"/>
  <c r="N561" i="8"/>
  <c r="N548" i="8"/>
  <c r="N567" i="8"/>
  <c r="N549" i="8"/>
  <c r="Z1122" i="2"/>
  <c r="Z1135" i="2"/>
  <c r="Z1067" i="2"/>
  <c r="Z1133" i="2"/>
  <c r="R754" i="2"/>
  <c r="Y753" i="2" s="1"/>
  <c r="Z1053" i="2"/>
  <c r="Z1084" i="2"/>
  <c r="Z1069" i="2"/>
  <c r="Z1111" i="2"/>
  <c r="Z1115" i="2"/>
  <c r="Z1101" i="2"/>
  <c r="Z1097" i="2"/>
  <c r="Z1113" i="2"/>
  <c r="Z1109" i="2"/>
  <c r="Z1029" i="2"/>
  <c r="Z1099" i="2"/>
  <c r="Z1025" i="2"/>
  <c r="Z1095" i="2"/>
  <c r="Z1027" i="2"/>
  <c r="AA591" i="2"/>
  <c r="AA590" i="2"/>
  <c r="AA588" i="2"/>
  <c r="AA587" i="2"/>
  <c r="AA585" i="2"/>
  <c r="AA584" i="2"/>
  <c r="AA583" i="2"/>
  <c r="AA582" i="2"/>
  <c r="AA581" i="2"/>
  <c r="AA580" i="2"/>
  <c r="AA579" i="2"/>
  <c r="AA578" i="2"/>
  <c r="AA577" i="2"/>
  <c r="S581" i="2"/>
  <c r="R577" i="2"/>
  <c r="R576" i="2"/>
  <c r="Q580" i="2"/>
  <c r="Q579" i="2"/>
  <c r="Q578" i="2"/>
  <c r="H289" i="8" l="1"/>
  <c r="AH753" i="2"/>
  <c r="R578" i="2"/>
  <c r="Y581" i="2" s="1"/>
  <c r="AH581" i="2" s="1"/>
  <c r="AA472" i="2"/>
  <c r="AA471" i="2"/>
  <c r="AA444" i="2"/>
  <c r="AA443" i="2"/>
  <c r="AA398" i="2"/>
  <c r="AA397" i="2"/>
  <c r="AA362" i="2"/>
  <c r="AA361" i="2"/>
  <c r="AA322" i="2"/>
  <c r="AA321" i="2"/>
  <c r="AA259" i="2"/>
  <c r="AA258" i="2"/>
  <c r="AA229" i="2"/>
  <c r="AA228" i="2"/>
  <c r="AA190" i="2"/>
  <c r="AA189" i="2"/>
  <c r="AA165" i="2"/>
  <c r="AA164" i="2"/>
  <c r="AA130" i="2"/>
  <c r="AA129" i="2"/>
  <c r="AA290" i="2"/>
  <c r="AA289" i="2"/>
  <c r="AA98" i="2"/>
  <c r="AA97" i="2"/>
  <c r="AA63" i="2"/>
  <c r="AA62" i="2"/>
  <c r="AA61" i="2"/>
  <c r="AA59" i="2"/>
  <c r="AA58" i="2"/>
  <c r="AA57" i="2"/>
  <c r="AA35" i="2"/>
  <c r="AA34" i="2"/>
  <c r="AA31" i="2"/>
  <c r="AA30" i="2"/>
  <c r="AA33" i="2"/>
  <c r="AA29" i="2"/>
  <c r="Q318" i="2"/>
  <c r="Q317" i="2"/>
  <c r="Q316" i="2"/>
  <c r="Q315" i="2"/>
  <c r="Q314" i="2"/>
  <c r="Q313" i="2"/>
  <c r="Q312" i="2"/>
  <c r="Q311" i="2"/>
  <c r="Q310" i="2"/>
  <c r="Q309" i="2"/>
  <c r="Q308" i="2"/>
  <c r="Q307" i="2"/>
  <c r="Q306" i="2"/>
  <c r="Q305" i="2"/>
  <c r="Q304" i="2"/>
  <c r="Q303" i="2"/>
  <c r="Q302" i="2"/>
  <c r="Q301" i="2"/>
  <c r="Q300" i="2"/>
  <c r="Q299" i="2"/>
  <c r="Q298" i="2"/>
  <c r="Q297" i="2"/>
  <c r="Q296" i="2"/>
  <c r="Q295" i="2"/>
  <c r="Q294" i="2"/>
  <c r="Q293" i="2"/>
  <c r="Q292" i="2"/>
  <c r="Q291" i="2"/>
  <c r="Q290" i="2"/>
  <c r="Q358" i="2"/>
  <c r="Q357" i="2"/>
  <c r="Q356" i="2"/>
  <c r="Q355" i="2"/>
  <c r="Q354" i="2"/>
  <c r="Q353" i="2"/>
  <c r="Q352" i="2"/>
  <c r="Q351" i="2"/>
  <c r="Q350" i="2"/>
  <c r="Q349" i="2"/>
  <c r="Q348" i="2"/>
  <c r="Q347" i="2"/>
  <c r="Q346" i="2"/>
  <c r="Q345" i="2"/>
  <c r="Q344" i="2"/>
  <c r="Q343" i="2"/>
  <c r="Q342" i="2"/>
  <c r="Q341" i="2"/>
  <c r="Q340" i="2"/>
  <c r="Q339" i="2"/>
  <c r="Q338" i="2"/>
  <c r="Q337" i="2"/>
  <c r="Q336" i="2"/>
  <c r="Q335" i="2"/>
  <c r="Q334" i="2"/>
  <c r="Q333" i="2"/>
  <c r="Q332" i="2"/>
  <c r="Q331" i="2"/>
  <c r="Q330" i="2"/>
  <c r="Q329" i="2"/>
  <c r="Q328" i="2"/>
  <c r="Q327" i="2"/>
  <c r="Q326" i="2"/>
  <c r="Q325" i="2"/>
  <c r="Q324" i="2"/>
  <c r="Q323" i="2"/>
  <c r="Q322" i="2"/>
  <c r="Q394" i="2"/>
  <c r="Q393" i="2"/>
  <c r="Q392" i="2"/>
  <c r="Q391" i="2"/>
  <c r="Q390" i="2"/>
  <c r="Q389" i="2"/>
  <c r="Q388" i="2"/>
  <c r="Q387" i="2"/>
  <c r="Q386" i="2"/>
  <c r="Q385" i="2"/>
  <c r="Q384" i="2"/>
  <c r="Q383" i="2"/>
  <c r="Q382" i="2"/>
  <c r="Q381" i="2"/>
  <c r="Q380" i="2"/>
  <c r="Q379" i="2"/>
  <c r="Q378" i="2"/>
  <c r="Q377" i="2"/>
  <c r="Q376" i="2"/>
  <c r="Q375" i="2"/>
  <c r="Q374" i="2"/>
  <c r="Q373" i="2"/>
  <c r="Q372" i="2"/>
  <c r="Q371" i="2"/>
  <c r="Q370" i="2"/>
  <c r="Q369" i="2"/>
  <c r="Q368" i="2"/>
  <c r="Q367" i="2"/>
  <c r="Q366" i="2"/>
  <c r="Q365" i="2"/>
  <c r="Q364" i="2"/>
  <c r="Q363" i="2"/>
  <c r="Q362" i="2"/>
  <c r="Q440" i="2"/>
  <c r="Q439" i="2"/>
  <c r="Q438" i="2"/>
  <c r="Q437" i="2"/>
  <c r="Q436" i="2"/>
  <c r="Q435" i="2"/>
  <c r="Q434" i="2"/>
  <c r="Q433" i="2"/>
  <c r="Q432" i="2"/>
  <c r="Q431" i="2"/>
  <c r="Q430" i="2"/>
  <c r="Q429" i="2"/>
  <c r="Q428" i="2"/>
  <c r="Q427" i="2"/>
  <c r="Q426" i="2"/>
  <c r="Q425" i="2"/>
  <c r="Q424" i="2"/>
  <c r="Q423" i="2"/>
  <c r="Q422" i="2"/>
  <c r="Q421" i="2"/>
  <c r="Q420" i="2"/>
  <c r="Q419" i="2"/>
  <c r="Q418" i="2"/>
  <c r="Q417" i="2"/>
  <c r="Q416" i="2"/>
  <c r="Q415" i="2"/>
  <c r="Q414" i="2"/>
  <c r="Q413" i="2"/>
  <c r="Q412" i="2"/>
  <c r="Q411" i="2"/>
  <c r="Q410" i="2"/>
  <c r="Q409" i="2"/>
  <c r="Q408" i="2"/>
  <c r="Q407" i="2"/>
  <c r="Q406" i="2"/>
  <c r="Q405" i="2"/>
  <c r="Q404" i="2"/>
  <c r="Q403" i="2"/>
  <c r="Q402" i="2"/>
  <c r="Q401" i="2"/>
  <c r="Q400" i="2"/>
  <c r="Q399" i="2"/>
  <c r="Q398" i="2"/>
  <c r="Q468" i="2"/>
  <c r="Q467" i="2"/>
  <c r="Q466" i="2"/>
  <c r="Q465" i="2"/>
  <c r="Q464" i="2"/>
  <c r="Q463" i="2"/>
  <c r="Q462" i="2"/>
  <c r="Q461" i="2"/>
  <c r="Q460" i="2"/>
  <c r="Q459" i="2"/>
  <c r="Q458" i="2"/>
  <c r="Q457" i="2"/>
  <c r="Q456" i="2"/>
  <c r="Q455" i="2"/>
  <c r="Q454" i="2"/>
  <c r="Q453" i="2"/>
  <c r="Q452" i="2"/>
  <c r="Q451" i="2"/>
  <c r="Q450" i="2"/>
  <c r="Q449" i="2"/>
  <c r="Q448" i="2"/>
  <c r="Q447" i="2"/>
  <c r="Q446" i="2"/>
  <c r="Q445" i="2"/>
  <c r="Q444" i="2"/>
  <c r="Q493" i="2"/>
  <c r="Q492" i="2"/>
  <c r="Q491" i="2"/>
  <c r="Q490" i="2"/>
  <c r="Q489" i="2"/>
  <c r="Q488" i="2"/>
  <c r="Q487" i="2"/>
  <c r="Q486" i="2"/>
  <c r="Q485" i="2"/>
  <c r="Q484" i="2"/>
  <c r="Q483" i="2"/>
  <c r="Q482" i="2"/>
  <c r="Q481" i="2"/>
  <c r="Q480" i="2"/>
  <c r="Q479" i="2"/>
  <c r="Q478" i="2"/>
  <c r="Q477" i="2"/>
  <c r="Q476" i="2"/>
  <c r="Q475" i="2"/>
  <c r="Q474" i="2"/>
  <c r="Q473" i="2"/>
  <c r="Q472" i="2"/>
  <c r="H174" i="8" l="1"/>
  <c r="M174" i="8" s="1"/>
  <c r="H168" i="8"/>
  <c r="H162" i="8"/>
  <c r="H161" i="8"/>
  <c r="H171" i="8"/>
  <c r="H159" i="8"/>
  <c r="O289" i="8"/>
  <c r="T289" i="8" s="1"/>
  <c r="M289" i="8"/>
  <c r="H155" i="8"/>
  <c r="H158" i="8"/>
  <c r="H173" i="8"/>
  <c r="H170" i="8"/>
  <c r="H160" i="8"/>
  <c r="H167" i="8"/>
  <c r="H221" i="8" s="1"/>
  <c r="H172" i="8"/>
  <c r="H157" i="8"/>
  <c r="H164" i="8"/>
  <c r="H152" i="8"/>
  <c r="H163" i="8"/>
  <c r="H175" i="8"/>
  <c r="H154" i="8"/>
  <c r="H169" i="8"/>
  <c r="H166" i="8"/>
  <c r="H156" i="8"/>
  <c r="H165" i="8"/>
  <c r="H153" i="8"/>
  <c r="Y580" i="2"/>
  <c r="AH580" i="2" s="1"/>
  <c r="Y588" i="2"/>
  <c r="Y583" i="2"/>
  <c r="AH583" i="2" s="1"/>
  <c r="Y584" i="2"/>
  <c r="AH584" i="2" s="1"/>
  <c r="Y587" i="2"/>
  <c r="AH576" i="2"/>
  <c r="Y586" i="2"/>
  <c r="Y591" i="2"/>
  <c r="Y577" i="2"/>
  <c r="AH577" i="2" s="1"/>
  <c r="Y582" i="2"/>
  <c r="AH582" i="2" s="1"/>
  <c r="Y579" i="2"/>
  <c r="AH579" i="2" s="1"/>
  <c r="Y585" i="2"/>
  <c r="AH585" i="2" s="1"/>
  <c r="Y589" i="2"/>
  <c r="Y578" i="2"/>
  <c r="AH578" i="2" s="1"/>
  <c r="Y590" i="2"/>
  <c r="Y576" i="2"/>
  <c r="Y658" i="2" s="1"/>
  <c r="R391" i="2"/>
  <c r="R389" i="2"/>
  <c r="R387" i="2"/>
  <c r="R385" i="2"/>
  <c r="R382" i="2"/>
  <c r="R362" i="2"/>
  <c r="R353" i="2"/>
  <c r="R302" i="2"/>
  <c r="R311" i="2"/>
  <c r="R313" i="2"/>
  <c r="R290" i="2"/>
  <c r="R490" i="2"/>
  <c r="R488" i="2"/>
  <c r="R486" i="2"/>
  <c r="R472" i="2"/>
  <c r="R471" i="2"/>
  <c r="R470" i="2"/>
  <c r="R465" i="2"/>
  <c r="R463" i="2"/>
  <c r="R461" i="2"/>
  <c r="R444" i="2"/>
  <c r="R443" i="2"/>
  <c r="R442" i="2"/>
  <c r="R437" i="2"/>
  <c r="R435" i="2"/>
  <c r="R432" i="2"/>
  <c r="R430" i="2"/>
  <c r="R428" i="2"/>
  <c r="R426" i="2"/>
  <c r="R424" i="2"/>
  <c r="R398" i="2"/>
  <c r="R397" i="2"/>
  <c r="R396" i="2"/>
  <c r="R361" i="2"/>
  <c r="R360" i="2"/>
  <c r="R355" i="2"/>
  <c r="R351" i="2"/>
  <c r="R349" i="2"/>
  <c r="R347" i="2"/>
  <c r="R343" i="2"/>
  <c r="R341" i="2"/>
  <c r="R338" i="2"/>
  <c r="R322" i="2"/>
  <c r="R321" i="2"/>
  <c r="R320" i="2"/>
  <c r="R315" i="2"/>
  <c r="R309" i="2"/>
  <c r="R306" i="2"/>
  <c r="R304" i="2"/>
  <c r="R289" i="2"/>
  <c r="R288" i="2"/>
  <c r="Q286" i="2"/>
  <c r="Q285" i="2"/>
  <c r="Q284" i="2"/>
  <c r="Q283" i="2"/>
  <c r="Q282" i="2"/>
  <c r="Q281" i="2"/>
  <c r="Q280" i="2"/>
  <c r="Q279" i="2"/>
  <c r="Q278" i="2"/>
  <c r="Q277" i="2"/>
  <c r="Q276" i="2"/>
  <c r="Q275" i="2"/>
  <c r="Q274" i="2"/>
  <c r="Q273" i="2"/>
  <c r="Q272" i="2"/>
  <c r="Q271" i="2"/>
  <c r="Q270" i="2"/>
  <c r="Q269" i="2"/>
  <c r="Q268" i="2"/>
  <c r="Q267" i="2"/>
  <c r="Q266" i="2"/>
  <c r="Q265" i="2"/>
  <c r="Q264" i="2"/>
  <c r="Q263" i="2"/>
  <c r="Q262" i="2"/>
  <c r="Q261" i="2"/>
  <c r="Q260" i="2"/>
  <c r="Q259" i="2"/>
  <c r="R258" i="2"/>
  <c r="R257" i="2"/>
  <c r="Q255" i="2"/>
  <c r="Q254" i="2"/>
  <c r="Q253" i="2"/>
  <c r="Q252" i="2"/>
  <c r="Q251" i="2"/>
  <c r="Q250" i="2"/>
  <c r="Q249" i="2"/>
  <c r="Q248" i="2"/>
  <c r="Q247" i="2"/>
  <c r="Q246" i="2"/>
  <c r="Q245" i="2"/>
  <c r="Q244" i="2"/>
  <c r="Q243" i="2"/>
  <c r="Q242" i="2"/>
  <c r="Q241" i="2"/>
  <c r="Q240" i="2"/>
  <c r="Q239" i="2"/>
  <c r="Q238" i="2"/>
  <c r="Q237" i="2"/>
  <c r="Q236" i="2"/>
  <c r="Q235" i="2"/>
  <c r="Q234" i="2"/>
  <c r="Q233" i="2"/>
  <c r="Q232" i="2"/>
  <c r="Q231" i="2"/>
  <c r="Q230" i="2"/>
  <c r="Q229" i="2"/>
  <c r="R228" i="2"/>
  <c r="R227" i="2"/>
  <c r="Q225" i="2"/>
  <c r="Q224" i="2"/>
  <c r="Q223" i="2"/>
  <c r="Q222" i="2"/>
  <c r="Q221" i="2"/>
  <c r="Q220" i="2"/>
  <c r="Q219" i="2"/>
  <c r="Q218" i="2"/>
  <c r="Q217" i="2"/>
  <c r="Q216" i="2"/>
  <c r="Q215" i="2"/>
  <c r="Q214" i="2"/>
  <c r="Q213" i="2"/>
  <c r="Q212" i="2"/>
  <c r="Q211" i="2"/>
  <c r="Q210" i="2"/>
  <c r="Q209" i="2"/>
  <c r="Q208" i="2"/>
  <c r="Q207" i="2"/>
  <c r="Q206" i="2"/>
  <c r="Q205" i="2"/>
  <c r="Q204" i="2"/>
  <c r="Q203" i="2"/>
  <c r="Q202" i="2"/>
  <c r="Q201" i="2"/>
  <c r="Q200" i="2"/>
  <c r="Q199" i="2"/>
  <c r="Q198" i="2"/>
  <c r="Q197" i="2"/>
  <c r="Q196" i="2"/>
  <c r="Q195" i="2"/>
  <c r="Q194" i="2"/>
  <c r="Q193" i="2"/>
  <c r="Q192" i="2"/>
  <c r="Q191" i="2"/>
  <c r="Q190" i="2"/>
  <c r="R189" i="2"/>
  <c r="R188" i="2"/>
  <c r="M171" i="8" l="1"/>
  <c r="M162" i="8"/>
  <c r="M159" i="8"/>
  <c r="M168" i="8"/>
  <c r="M161" i="8"/>
  <c r="M156" i="8"/>
  <c r="M175" i="8"/>
  <c r="M157" i="8"/>
  <c r="M170" i="8"/>
  <c r="M163" i="8"/>
  <c r="M173" i="8"/>
  <c r="Y321" i="2"/>
  <c r="Y397" i="2"/>
  <c r="Y471" i="2"/>
  <c r="M153" i="8"/>
  <c r="M169" i="8"/>
  <c r="M152" i="8"/>
  <c r="M167" i="8"/>
  <c r="M158" i="8"/>
  <c r="M166" i="8"/>
  <c r="M172" i="8"/>
  <c r="M165" i="8"/>
  <c r="M154" i="8"/>
  <c r="M164" i="8"/>
  <c r="M160" i="8"/>
  <c r="M155" i="8"/>
  <c r="Y289" i="2"/>
  <c r="Y361" i="2"/>
  <c r="Y443" i="2"/>
  <c r="Z581" i="2"/>
  <c r="Z585" i="2"/>
  <c r="Z580" i="2"/>
  <c r="Z591" i="2"/>
  <c r="Z578" i="2"/>
  <c r="Z582" i="2"/>
  <c r="Z579" i="2"/>
  <c r="Z583" i="2"/>
  <c r="Z590" i="2"/>
  <c r="Z588" i="2"/>
  <c r="AH289" i="2"/>
  <c r="AH291" i="2"/>
  <c r="AH288" i="2"/>
  <c r="AH290" i="2"/>
  <c r="AH396" i="2"/>
  <c r="AH399" i="2"/>
  <c r="AH397" i="2"/>
  <c r="AH398" i="2"/>
  <c r="AH323" i="2"/>
  <c r="AH321" i="2"/>
  <c r="AH324" i="2"/>
  <c r="AH322" i="2"/>
  <c r="AH320" i="2"/>
  <c r="AH470" i="2"/>
  <c r="AH471" i="2"/>
  <c r="AH363" i="2"/>
  <c r="AH361" i="2"/>
  <c r="AH364" i="2"/>
  <c r="AH360" i="2"/>
  <c r="AH362" i="2"/>
  <c r="Z584" i="2"/>
  <c r="AH445" i="2"/>
  <c r="AH443" i="2"/>
  <c r="AH442" i="2"/>
  <c r="AH444" i="2"/>
  <c r="Z577" i="2"/>
  <c r="Z587" i="2"/>
  <c r="Y398" i="2"/>
  <c r="Y396" i="2"/>
  <c r="Y444" i="2"/>
  <c r="Y442" i="2"/>
  <c r="Y470" i="2"/>
  <c r="Y472" i="2"/>
  <c r="Y360" i="2"/>
  <c r="Y362" i="2"/>
  <c r="Y322" i="2"/>
  <c r="Y320" i="2"/>
  <c r="Y290" i="2"/>
  <c r="Y288" i="2"/>
  <c r="R282" i="2"/>
  <c r="R223" i="2"/>
  <c r="R243" i="2"/>
  <c r="R251" i="2"/>
  <c r="R245" i="2"/>
  <c r="R249" i="2"/>
  <c r="R247" i="2"/>
  <c r="R229" i="2"/>
  <c r="R253" i="2"/>
  <c r="R190" i="2"/>
  <c r="R214" i="2"/>
  <c r="R218" i="2"/>
  <c r="R259" i="2"/>
  <c r="R284" i="2"/>
  <c r="R210" i="2"/>
  <c r="R212" i="2"/>
  <c r="R216" i="2"/>
  <c r="R280" i="2"/>
  <c r="R221" i="2"/>
  <c r="H74" i="8" l="1"/>
  <c r="M74" i="8"/>
  <c r="H92" i="8"/>
  <c r="M92" i="8"/>
  <c r="H82" i="8"/>
  <c r="M82" i="8"/>
  <c r="M79" i="8"/>
  <c r="H79" i="8"/>
  <c r="M83" i="8"/>
  <c r="H83" i="8"/>
  <c r="H76" i="8"/>
  <c r="M76" i="8"/>
  <c r="H90" i="8"/>
  <c r="M90" i="8"/>
  <c r="H84" i="8"/>
  <c r="M84" i="8"/>
  <c r="M71" i="8"/>
  <c r="H71" i="8"/>
  <c r="M75" i="8"/>
  <c r="H75" i="8"/>
  <c r="H70" i="8"/>
  <c r="M70" i="8"/>
  <c r="H80" i="8"/>
  <c r="M80" i="8"/>
  <c r="H86" i="8"/>
  <c r="M86" i="8"/>
  <c r="H72" i="8"/>
  <c r="M72" i="8"/>
  <c r="H78" i="8"/>
  <c r="M78" i="8"/>
  <c r="H88" i="8"/>
  <c r="M88" i="8"/>
  <c r="M87" i="8"/>
  <c r="H87" i="8"/>
  <c r="M91" i="8"/>
  <c r="H91" i="8"/>
  <c r="N162" i="8"/>
  <c r="N174" i="8"/>
  <c r="M221" i="8"/>
  <c r="O221" i="8"/>
  <c r="N166" i="8"/>
  <c r="N160" i="8"/>
  <c r="N164" i="8"/>
  <c r="N169" i="8"/>
  <c r="N154" i="8"/>
  <c r="N172" i="8"/>
  <c r="N168" i="8"/>
  <c r="N171" i="8"/>
  <c r="N153" i="8"/>
  <c r="N170" i="8"/>
  <c r="N175" i="8"/>
  <c r="Y228" i="2"/>
  <c r="N159" i="8"/>
  <c r="N173" i="8"/>
  <c r="N156" i="8"/>
  <c r="N158" i="8"/>
  <c r="Y258" i="2"/>
  <c r="N157" i="8"/>
  <c r="Y189" i="2"/>
  <c r="AH190" i="2"/>
  <c r="AH191" i="2"/>
  <c r="AH188" i="2"/>
  <c r="AH189" i="2"/>
  <c r="AH229" i="2"/>
  <c r="AH230" i="2"/>
  <c r="AH258" i="2"/>
  <c r="AH257" i="2"/>
  <c r="AH228" i="2"/>
  <c r="AH227" i="2"/>
  <c r="Z290" i="2"/>
  <c r="N72" i="8" s="1"/>
  <c r="Z444" i="2"/>
  <c r="N88" i="8" s="1"/>
  <c r="Z398" i="2"/>
  <c r="N84" i="8" s="1"/>
  <c r="Z361" i="2"/>
  <c r="N79" i="8" s="1"/>
  <c r="Z397" i="2"/>
  <c r="N83" i="8" s="1"/>
  <c r="Z289" i="2"/>
  <c r="N71" i="8" s="1"/>
  <c r="Z362" i="2"/>
  <c r="N80" i="8" s="1"/>
  <c r="Z321" i="2"/>
  <c r="N75" i="8" s="1"/>
  <c r="Z472" i="2"/>
  <c r="N92" i="8" s="1"/>
  <c r="Y227" i="2"/>
  <c r="Y229" i="2"/>
  <c r="Z322" i="2"/>
  <c r="N76" i="8" s="1"/>
  <c r="Y259" i="2"/>
  <c r="Y257" i="2"/>
  <c r="Y188" i="2"/>
  <c r="Y190" i="2"/>
  <c r="Z471" i="2"/>
  <c r="N91" i="8" s="1"/>
  <c r="Z443" i="2"/>
  <c r="N87" i="8" s="1"/>
  <c r="S812" i="2"/>
  <c r="R807" i="2"/>
  <c r="Q809" i="2"/>
  <c r="Q808" i="2"/>
  <c r="Q186" i="2"/>
  <c r="Q185" i="2"/>
  <c r="Q184" i="2"/>
  <c r="Q183" i="2"/>
  <c r="Q182" i="2"/>
  <c r="Q181" i="2"/>
  <c r="Q180" i="2"/>
  <c r="Q179" i="2"/>
  <c r="Q178" i="2"/>
  <c r="Q177" i="2"/>
  <c r="Q176" i="2"/>
  <c r="Q175" i="2"/>
  <c r="Q174" i="2"/>
  <c r="Q173" i="2"/>
  <c r="Q172" i="2"/>
  <c r="Q171" i="2"/>
  <c r="Q170" i="2"/>
  <c r="Q169" i="2"/>
  <c r="Q168" i="2"/>
  <c r="Q167" i="2"/>
  <c r="Q166" i="2"/>
  <c r="Q165" i="2"/>
  <c r="R164" i="2"/>
  <c r="R163" i="2"/>
  <c r="Q161" i="2"/>
  <c r="Q160" i="2"/>
  <c r="Q159" i="2"/>
  <c r="Q158" i="2"/>
  <c r="Q157" i="2"/>
  <c r="Q156" i="2"/>
  <c r="Q155" i="2"/>
  <c r="Q154" i="2"/>
  <c r="Q153" i="2"/>
  <c r="Q152" i="2"/>
  <c r="Q151" i="2"/>
  <c r="Q150" i="2"/>
  <c r="Q149" i="2"/>
  <c r="Q148" i="2"/>
  <c r="Q147" i="2"/>
  <c r="Q146" i="2"/>
  <c r="Q145" i="2"/>
  <c r="Q144" i="2"/>
  <c r="Q143" i="2"/>
  <c r="Q142" i="2"/>
  <c r="Q141" i="2"/>
  <c r="Q140" i="2"/>
  <c r="Q139" i="2"/>
  <c r="Q138" i="2"/>
  <c r="Q137" i="2"/>
  <c r="Q136" i="2"/>
  <c r="Q135" i="2"/>
  <c r="Q134" i="2"/>
  <c r="Q133" i="2"/>
  <c r="Q132" i="2"/>
  <c r="Q131" i="2"/>
  <c r="Q130" i="2"/>
  <c r="R129" i="2"/>
  <c r="R128" i="2"/>
  <c r="Q126" i="2"/>
  <c r="Q125" i="2"/>
  <c r="Q124" i="2"/>
  <c r="Q123" i="2"/>
  <c r="Q122" i="2"/>
  <c r="Q121" i="2"/>
  <c r="Q120" i="2"/>
  <c r="Q119" i="2"/>
  <c r="Q118" i="2"/>
  <c r="Q117" i="2"/>
  <c r="Q116" i="2"/>
  <c r="Q115" i="2"/>
  <c r="Q114" i="2"/>
  <c r="Q113" i="2"/>
  <c r="Q112" i="2"/>
  <c r="Q111" i="2"/>
  <c r="Q110" i="2"/>
  <c r="Q109" i="2"/>
  <c r="Q108" i="2"/>
  <c r="Q107" i="2"/>
  <c r="Q106" i="2"/>
  <c r="Q105" i="2"/>
  <c r="Q104" i="2"/>
  <c r="Q103" i="2"/>
  <c r="Q102" i="2"/>
  <c r="Q101" i="2"/>
  <c r="Q100" i="2"/>
  <c r="Q99" i="2"/>
  <c r="Q98" i="2"/>
  <c r="R97" i="2"/>
  <c r="R96" i="2"/>
  <c r="Q54" i="2"/>
  <c r="Q53" i="2"/>
  <c r="Q52" i="2"/>
  <c r="Q51" i="2"/>
  <c r="Q50" i="2"/>
  <c r="Q49" i="2"/>
  <c r="Q48" i="2"/>
  <c r="Q47" i="2"/>
  <c r="Q46" i="2"/>
  <c r="Q45" i="2"/>
  <c r="Q44" i="2"/>
  <c r="Q43" i="2"/>
  <c r="Q42" i="2"/>
  <c r="Q41" i="2"/>
  <c r="Q39" i="2"/>
  <c r="Q38" i="2"/>
  <c r="Q37" i="2"/>
  <c r="Q36" i="2"/>
  <c r="Q35" i="2"/>
  <c r="Q34" i="2"/>
  <c r="Q33" i="2"/>
  <c r="Q32" i="2"/>
  <c r="Q31" i="2"/>
  <c r="Q30" i="2"/>
  <c r="Q94" i="2"/>
  <c r="Q93" i="2"/>
  <c r="Q92" i="2"/>
  <c r="Q91" i="2"/>
  <c r="Q90" i="2"/>
  <c r="Q89" i="2"/>
  <c r="Q88" i="2"/>
  <c r="Q87" i="2"/>
  <c r="Q86" i="2"/>
  <c r="Q85" i="2"/>
  <c r="Q84" i="2"/>
  <c r="Q83" i="2"/>
  <c r="Q82" i="2"/>
  <c r="Q81" i="2"/>
  <c r="Q80" i="2"/>
  <c r="Q79" i="2"/>
  <c r="Q78" i="2"/>
  <c r="Q77" i="2"/>
  <c r="Q76" i="2"/>
  <c r="Q75" i="2"/>
  <c r="Q74" i="2"/>
  <c r="Q73" i="2"/>
  <c r="Q72" i="2"/>
  <c r="Q71" i="2"/>
  <c r="Q70" i="2"/>
  <c r="Q69" i="2"/>
  <c r="Q68" i="2"/>
  <c r="Q67" i="2"/>
  <c r="Q66" i="2"/>
  <c r="Q65" i="2"/>
  <c r="Q64" i="2"/>
  <c r="Q63" i="2"/>
  <c r="Q62" i="2"/>
  <c r="Q61" i="2"/>
  <c r="Q60" i="2"/>
  <c r="Q59" i="2"/>
  <c r="Q58" i="2"/>
  <c r="H68" i="8" l="1"/>
  <c r="M68" i="8"/>
  <c r="H60" i="8"/>
  <c r="M60" i="8"/>
  <c r="M67" i="8"/>
  <c r="H67" i="8"/>
  <c r="H58" i="8"/>
  <c r="M58" i="8"/>
  <c r="H64" i="8"/>
  <c r="M64" i="8"/>
  <c r="M63" i="8"/>
  <c r="H63" i="8"/>
  <c r="H66" i="8"/>
  <c r="M66" i="8"/>
  <c r="H62" i="8"/>
  <c r="M62" i="8"/>
  <c r="M59" i="8"/>
  <c r="H59" i="8"/>
  <c r="T221" i="8"/>
  <c r="Z189" i="2"/>
  <c r="N59" i="8" s="1"/>
  <c r="Z190" i="2"/>
  <c r="N60" i="8" s="1"/>
  <c r="Z259" i="2"/>
  <c r="N68" i="8" s="1"/>
  <c r="Z258" i="2"/>
  <c r="N67" i="8" s="1"/>
  <c r="Z229" i="2"/>
  <c r="N64" i="8" s="1"/>
  <c r="Z228" i="2"/>
  <c r="N63" i="8" s="1"/>
  <c r="R147" i="2"/>
  <c r="R155" i="2"/>
  <c r="R116" i="2"/>
  <c r="R159" i="2"/>
  <c r="R808" i="2"/>
  <c r="Y813" i="2" s="1"/>
  <c r="R98" i="2"/>
  <c r="R182" i="2"/>
  <c r="R179" i="2"/>
  <c r="R122" i="2"/>
  <c r="R149" i="2"/>
  <c r="R153" i="2"/>
  <c r="R157" i="2"/>
  <c r="R165" i="2"/>
  <c r="R184" i="2"/>
  <c r="R130" i="2"/>
  <c r="R111" i="2"/>
  <c r="R118" i="2"/>
  <c r="R124" i="2"/>
  <c r="R144" i="2"/>
  <c r="R177" i="2"/>
  <c r="AA573" i="2"/>
  <c r="AA572" i="2"/>
  <c r="AA571" i="2"/>
  <c r="AA569" i="2"/>
  <c r="AA567" i="2"/>
  <c r="AA566" i="2"/>
  <c r="AA565" i="2"/>
  <c r="AA563" i="2"/>
  <c r="AA561" i="2"/>
  <c r="AA560" i="2"/>
  <c r="AA559" i="2"/>
  <c r="AA558" i="2"/>
  <c r="S562" i="2"/>
  <c r="R558" i="2"/>
  <c r="R557" i="2"/>
  <c r="Y129" i="2" l="1"/>
  <c r="Y811" i="2"/>
  <c r="AH811" i="2" s="1"/>
  <c r="Y814" i="2"/>
  <c r="Y812" i="2"/>
  <c r="Y164" i="2"/>
  <c r="Y808" i="2"/>
  <c r="H342" i="8" s="1"/>
  <c r="Y809" i="2"/>
  <c r="Y97" i="2"/>
  <c r="Y810" i="2"/>
  <c r="H343" i="8" s="1"/>
  <c r="Z811" i="2"/>
  <c r="AA811" i="2" s="1"/>
  <c r="AH165" i="2"/>
  <c r="AH163" i="2"/>
  <c r="AH164" i="2"/>
  <c r="AH166" i="2"/>
  <c r="AH131" i="2"/>
  <c r="AH129" i="2"/>
  <c r="AH132" i="2"/>
  <c r="AH128" i="2"/>
  <c r="AH130" i="2"/>
  <c r="AH97" i="2"/>
  <c r="AH98" i="2"/>
  <c r="AH99" i="2"/>
  <c r="AH100" i="2"/>
  <c r="AH96" i="2"/>
  <c r="Y130" i="2"/>
  <c r="Y128" i="2"/>
  <c r="Y163" i="2"/>
  <c r="Y165" i="2"/>
  <c r="Y98" i="2"/>
  <c r="Y96" i="2"/>
  <c r="R559" i="2"/>
  <c r="Y559" i="2" s="1"/>
  <c r="AH559" i="2" s="1"/>
  <c r="AI696" i="2"/>
  <c r="H56" i="8" l="1"/>
  <c r="M56" i="8"/>
  <c r="M47" i="8"/>
  <c r="H47" i="8"/>
  <c r="H54" i="8"/>
  <c r="M54" i="8"/>
  <c r="H46" i="8"/>
  <c r="M46" i="8"/>
  <c r="H50" i="8"/>
  <c r="M50" i="8"/>
  <c r="H48" i="8"/>
  <c r="M48" i="8"/>
  <c r="H52" i="8"/>
  <c r="M52" i="8"/>
  <c r="M55" i="8"/>
  <c r="H55" i="8"/>
  <c r="M51" i="8"/>
  <c r="H51" i="8"/>
  <c r="O342" i="8"/>
  <c r="T342" i="8" s="1"/>
  <c r="U342" i="8" s="1"/>
  <c r="M342" i="8"/>
  <c r="N342" i="8" s="1"/>
  <c r="O343" i="8"/>
  <c r="T343" i="8" s="1"/>
  <c r="U343" i="8" s="1"/>
  <c r="M343" i="8"/>
  <c r="N343" i="8" s="1"/>
  <c r="Y560" i="2"/>
  <c r="H146" i="8"/>
  <c r="H136" i="8"/>
  <c r="H145" i="8"/>
  <c r="H149" i="8"/>
  <c r="H144" i="8"/>
  <c r="H147" i="8"/>
  <c r="H134" i="8"/>
  <c r="H142" i="8"/>
  <c r="H143" i="8"/>
  <c r="H148" i="8"/>
  <c r="H137" i="8"/>
  <c r="H138" i="8"/>
  <c r="H135" i="8"/>
  <c r="H141" i="8"/>
  <c r="H140" i="8"/>
  <c r="H150" i="8"/>
  <c r="H139" i="8"/>
  <c r="Z810" i="2"/>
  <c r="AA810" i="2" s="1"/>
  <c r="AH810" i="2"/>
  <c r="Z809" i="2"/>
  <c r="AA809" i="2" s="1"/>
  <c r="AH809" i="2"/>
  <c r="Z812" i="2"/>
  <c r="AA812" i="2" s="1"/>
  <c r="AH812" i="2"/>
  <c r="Z813" i="2"/>
  <c r="AA813" i="2" s="1"/>
  <c r="AH813" i="2"/>
  <c r="Z814" i="2"/>
  <c r="AA814" i="2" s="1"/>
  <c r="AH814" i="2"/>
  <c r="Z808" i="2"/>
  <c r="AA808" i="2" s="1"/>
  <c r="AH808" i="2"/>
  <c r="AH557" i="2"/>
  <c r="Z130" i="2"/>
  <c r="N52" i="8" s="1"/>
  <c r="Z97" i="2"/>
  <c r="N47" i="8" s="1"/>
  <c r="Z164" i="2"/>
  <c r="N55" i="8" s="1"/>
  <c r="Z165" i="2"/>
  <c r="N56" i="8" s="1"/>
  <c r="Z98" i="2"/>
  <c r="N48" i="8" s="1"/>
  <c r="Z129" i="2"/>
  <c r="N51" i="8" s="1"/>
  <c r="Y562" i="2"/>
  <c r="Y564" i="2"/>
  <c r="Y565" i="2"/>
  <c r="Y563" i="2"/>
  <c r="Y566" i="2"/>
  <c r="Y568" i="2"/>
  <c r="Y571" i="2"/>
  <c r="Y567" i="2"/>
  <c r="Y569" i="2"/>
  <c r="Y570" i="2"/>
  <c r="Y573" i="2"/>
  <c r="Y557" i="2"/>
  <c r="Z559" i="2" s="1"/>
  <c r="Y572" i="2"/>
  <c r="Y558" i="2"/>
  <c r="AH558" i="2" s="1"/>
  <c r="AH560" i="2"/>
  <c r="Y561" i="2"/>
  <c r="AI774" i="2"/>
  <c r="M134" i="8" l="1"/>
  <c r="M149" i="8"/>
  <c r="M136" i="8"/>
  <c r="M145" i="8"/>
  <c r="M147" i="8"/>
  <c r="M143" i="8"/>
  <c r="M144" i="8"/>
  <c r="M146" i="8"/>
  <c r="M142" i="8"/>
  <c r="M150" i="8"/>
  <c r="M140" i="8"/>
  <c r="M139" i="8"/>
  <c r="M141" i="8"/>
  <c r="M148" i="8"/>
  <c r="M135" i="8"/>
  <c r="M138" i="8"/>
  <c r="M137" i="8"/>
  <c r="Z561" i="2"/>
  <c r="AH561" i="2"/>
  <c r="Z565" i="2"/>
  <c r="Z573" i="2"/>
  <c r="Z566" i="2"/>
  <c r="Z567" i="2"/>
  <c r="Z558" i="2"/>
  <c r="Z560" i="2"/>
  <c r="Z563" i="2"/>
  <c r="Z572" i="2"/>
  <c r="Z569" i="2"/>
  <c r="Z571" i="2"/>
  <c r="AI697" i="2"/>
  <c r="AA699" i="2"/>
  <c r="N138" i="8" l="1"/>
  <c r="N137" i="8"/>
  <c r="N135" i="8"/>
  <c r="N136" i="8"/>
  <c r="N149" i="8"/>
  <c r="N143" i="8"/>
  <c r="N144" i="8"/>
  <c r="N148" i="8"/>
  <c r="N150" i="8"/>
  <c r="N147" i="8"/>
  <c r="N145" i="8"/>
  <c r="N142" i="8"/>
  <c r="N141" i="8"/>
  <c r="N140" i="8"/>
  <c r="AA914" i="2"/>
  <c r="AA912" i="2"/>
  <c r="R57" i="2" l="1"/>
  <c r="R56" i="2"/>
  <c r="R29" i="2"/>
  <c r="R28" i="2"/>
  <c r="R65" i="2" l="1"/>
  <c r="R58" i="2"/>
  <c r="R69" i="2"/>
  <c r="R79" i="2"/>
  <c r="R82" i="2"/>
  <c r="R91" i="2"/>
  <c r="R30" i="2"/>
  <c r="R37" i="2"/>
  <c r="R39" i="2"/>
  <c r="R48" i="2"/>
  <c r="R33" i="2"/>
  <c r="R60" i="2"/>
  <c r="AA782" i="2"/>
  <c r="AA781" i="2"/>
  <c r="AA779" i="2"/>
  <c r="AA778" i="2"/>
  <c r="AA776" i="2"/>
  <c r="AA775" i="2"/>
  <c r="Y28" i="2" l="1"/>
  <c r="H28" i="8" s="1"/>
  <c r="M28" i="8" s="1"/>
  <c r="Y59" i="2"/>
  <c r="Y61" i="2"/>
  <c r="Y62" i="2"/>
  <c r="Y57" i="2"/>
  <c r="Y63" i="2"/>
  <c r="Y58" i="2"/>
  <c r="Y56" i="2"/>
  <c r="Y35" i="2"/>
  <c r="H35" i="8" s="1"/>
  <c r="M35" i="8" s="1"/>
  <c r="Y31" i="2"/>
  <c r="H31" i="8" s="1"/>
  <c r="M31" i="8" s="1"/>
  <c r="Y60" i="2"/>
  <c r="Y32" i="2"/>
  <c r="H32" i="8" s="1"/>
  <c r="M32" i="8" s="1"/>
  <c r="Y33" i="2"/>
  <c r="H33" i="8" s="1"/>
  <c r="M33" i="8" s="1"/>
  <c r="Y29" i="2"/>
  <c r="H29" i="8" s="1"/>
  <c r="M29" i="8" s="1"/>
  <c r="Y34" i="2"/>
  <c r="H34" i="8" s="1"/>
  <c r="M34" i="8" s="1"/>
  <c r="Y30" i="2"/>
  <c r="H30" i="8" s="1"/>
  <c r="M30" i="8" s="1"/>
  <c r="S779" i="2"/>
  <c r="R775" i="2"/>
  <c r="R774" i="2"/>
  <c r="Q777" i="2"/>
  <c r="Q778" i="2"/>
  <c r="Q779" i="2"/>
  <c r="Q780" i="2"/>
  <c r="Q781" i="2"/>
  <c r="Q782" i="2"/>
  <c r="Q776" i="2"/>
  <c r="AA766" i="2"/>
  <c r="AA765" i="2"/>
  <c r="AA764" i="2"/>
  <c r="S768" i="2"/>
  <c r="R764" i="2"/>
  <c r="R763" i="2"/>
  <c r="AA904" i="2"/>
  <c r="AA903" i="2"/>
  <c r="AA901" i="2"/>
  <c r="AA900" i="2"/>
  <c r="M37" i="8" l="1"/>
  <c r="H37" i="8"/>
  <c r="M43" i="8"/>
  <c r="H43" i="8"/>
  <c r="M41" i="8"/>
  <c r="H41" i="8"/>
  <c r="M39" i="8"/>
  <c r="H39" i="8"/>
  <c r="M42" i="8"/>
  <c r="H42" i="8"/>
  <c r="M44" i="8"/>
  <c r="H44" i="8"/>
  <c r="M40" i="8"/>
  <c r="H40" i="8"/>
  <c r="M38" i="8"/>
  <c r="H38" i="8"/>
  <c r="Z30" i="2"/>
  <c r="N30" i="8" s="1"/>
  <c r="H302" i="8"/>
  <c r="H298" i="8"/>
  <c r="H294" i="8"/>
  <c r="H301" i="8"/>
  <c r="H297" i="8"/>
  <c r="H293" i="8"/>
  <c r="H300" i="8"/>
  <c r="H296" i="8"/>
  <c r="H292" i="8"/>
  <c r="H303" i="8"/>
  <c r="H299" i="8"/>
  <c r="H295" i="8"/>
  <c r="Y763" i="2"/>
  <c r="Y766" i="2"/>
  <c r="Y764" i="2"/>
  <c r="Y765" i="2"/>
  <c r="Z34" i="2"/>
  <c r="N34" i="8" s="1"/>
  <c r="Z33" i="2"/>
  <c r="N33" i="8" s="1"/>
  <c r="Z63" i="2"/>
  <c r="N44" i="8" s="1"/>
  <c r="Z31" i="2"/>
  <c r="N31" i="8" s="1"/>
  <c r="Z59" i="2"/>
  <c r="N40" i="8" s="1"/>
  <c r="Z29" i="2"/>
  <c r="N29" i="8" s="1"/>
  <c r="Z58" i="2"/>
  <c r="N39" i="8" s="1"/>
  <c r="Z61" i="2"/>
  <c r="N42" i="8" s="1"/>
  <c r="Z62" i="2"/>
  <c r="N43" i="8" s="1"/>
  <c r="Z35" i="2"/>
  <c r="N35" i="8" s="1"/>
  <c r="Z57" i="2"/>
  <c r="N38" i="8" s="1"/>
  <c r="R776" i="2"/>
  <c r="R778" i="2"/>
  <c r="H316" i="8" l="1"/>
  <c r="O316" i="8" s="1"/>
  <c r="T316" i="8" s="1"/>
  <c r="H309" i="8"/>
  <c r="H310" i="8"/>
  <c r="H315" i="8"/>
  <c r="O295" i="8"/>
  <c r="T295" i="8" s="1"/>
  <c r="M295" i="8"/>
  <c r="O296" i="8"/>
  <c r="T296" i="8" s="1"/>
  <c r="M296" i="8"/>
  <c r="O301" i="8"/>
  <c r="T301" i="8" s="1"/>
  <c r="M301" i="8"/>
  <c r="Y781" i="2"/>
  <c r="H313" i="8"/>
  <c r="H314" i="8"/>
  <c r="H308" i="8"/>
  <c r="O299" i="8"/>
  <c r="T299" i="8" s="1"/>
  <c r="M299" i="8"/>
  <c r="O300" i="8"/>
  <c r="T300" i="8" s="1"/>
  <c r="M300" i="8"/>
  <c r="O294" i="8"/>
  <c r="T294" i="8" s="1"/>
  <c r="M294" i="8"/>
  <c r="Y779" i="2"/>
  <c r="H317" i="8"/>
  <c r="H307" i="8"/>
  <c r="H312" i="8"/>
  <c r="O303" i="8"/>
  <c r="T303" i="8" s="1"/>
  <c r="M303" i="8"/>
  <c r="O293" i="8"/>
  <c r="T293" i="8" s="1"/>
  <c r="M293" i="8"/>
  <c r="O298" i="8"/>
  <c r="T298" i="8" s="1"/>
  <c r="M298" i="8"/>
  <c r="Y782" i="2"/>
  <c r="H306" i="8"/>
  <c r="H311" i="8"/>
  <c r="O292" i="8"/>
  <c r="T292" i="8" s="1"/>
  <c r="M292" i="8"/>
  <c r="O297" i="8"/>
  <c r="T297" i="8" s="1"/>
  <c r="M297" i="8"/>
  <c r="O302" i="8"/>
  <c r="T302" i="8" s="1"/>
  <c r="M302" i="8"/>
  <c r="Y774" i="2"/>
  <c r="Y777" i="2"/>
  <c r="Y776" i="2"/>
  <c r="Y780" i="2"/>
  <c r="Y775" i="2"/>
  <c r="Y778" i="2"/>
  <c r="AH775" i="2"/>
  <c r="AH763" i="2"/>
  <c r="AH777" i="2"/>
  <c r="AH764" i="2"/>
  <c r="AH776" i="2"/>
  <c r="AH778" i="2"/>
  <c r="AH774" i="2"/>
  <c r="AH766" i="2"/>
  <c r="AH765" i="2"/>
  <c r="Z765" i="2"/>
  <c r="R674" i="2"/>
  <c r="R673" i="2"/>
  <c r="R672" i="2"/>
  <c r="Q676" i="2"/>
  <c r="Q677" i="2"/>
  <c r="Q678" i="2"/>
  <c r="Q675" i="2"/>
  <c r="Z779" i="2" l="1"/>
  <c r="M316" i="8"/>
  <c r="O312" i="8"/>
  <c r="T312" i="8" s="1"/>
  <c r="M312" i="8"/>
  <c r="O313" i="8"/>
  <c r="T313" i="8" s="1"/>
  <c r="M313" i="8"/>
  <c r="O315" i="8"/>
  <c r="T315" i="8" s="1"/>
  <c r="M315" i="8"/>
  <c r="O307" i="8"/>
  <c r="T307" i="8" s="1"/>
  <c r="M307" i="8"/>
  <c r="O310" i="8"/>
  <c r="T310" i="8" s="1"/>
  <c r="M310" i="8"/>
  <c r="O317" i="8"/>
  <c r="T317" i="8" s="1"/>
  <c r="M317" i="8"/>
  <c r="O308" i="8"/>
  <c r="T308" i="8" s="1"/>
  <c r="M308" i="8"/>
  <c r="O309" i="8"/>
  <c r="T309" i="8" s="1"/>
  <c r="M309" i="8"/>
  <c r="O311" i="8"/>
  <c r="T311" i="8" s="1"/>
  <c r="M311" i="8"/>
  <c r="O314" i="8"/>
  <c r="T314" i="8" s="1"/>
  <c r="M314" i="8"/>
  <c r="O306" i="8"/>
  <c r="T306" i="8" s="1"/>
  <c r="M306" i="8"/>
  <c r="Z775" i="2"/>
  <c r="Z781" i="2"/>
  <c r="Z776" i="2"/>
  <c r="Z764" i="2"/>
  <c r="Z766" i="2"/>
  <c r="Z782" i="2"/>
  <c r="Z778" i="2"/>
  <c r="R675" i="2"/>
  <c r="H222" i="8" s="1"/>
  <c r="AA847" i="2"/>
  <c r="AA845" i="2"/>
  <c r="AA843" i="2"/>
  <c r="AA841" i="2"/>
  <c r="AA839" i="2"/>
  <c r="R840" i="2"/>
  <c r="R839" i="2"/>
  <c r="O222" i="8" l="1"/>
  <c r="T222" i="8" s="1"/>
  <c r="U222" i="8" s="1"/>
  <c r="M222" i="8"/>
  <c r="N222" i="8" s="1"/>
  <c r="Y674" i="2"/>
  <c r="Y673" i="2"/>
  <c r="Z673" i="2" s="1"/>
  <c r="R841" i="2"/>
  <c r="Y846" i="2" s="1"/>
  <c r="AA874" i="2"/>
  <c r="AA873" i="2"/>
  <c r="R873" i="2"/>
  <c r="R874" i="2"/>
  <c r="R872" i="2"/>
  <c r="Q876" i="2"/>
  <c r="Q877" i="2"/>
  <c r="Q878" i="2"/>
  <c r="Q879" i="2"/>
  <c r="Q880" i="2"/>
  <c r="Q875" i="2"/>
  <c r="AA819" i="2"/>
  <c r="Q821" i="2"/>
  <c r="Q820" i="2"/>
  <c r="H407" i="8" l="1"/>
  <c r="Y843" i="2"/>
  <c r="H408" i="8"/>
  <c r="M408" i="8" s="1"/>
  <c r="H405" i="8"/>
  <c r="M405" i="8" s="1"/>
  <c r="H406" i="8"/>
  <c r="M406" i="8" s="1"/>
  <c r="Y848" i="2"/>
  <c r="H409" i="8"/>
  <c r="M409" i="8" s="1"/>
  <c r="H404" i="8"/>
  <c r="H410" i="8"/>
  <c r="M410" i="8" s="1"/>
  <c r="H411" i="8"/>
  <c r="M411" i="8" s="1"/>
  <c r="AH673" i="2"/>
  <c r="H220" i="8"/>
  <c r="O220" i="8" s="1"/>
  <c r="H412" i="8"/>
  <c r="M412" i="8" s="1"/>
  <c r="H400" i="8"/>
  <c r="M400" i="8" s="1"/>
  <c r="H399" i="8"/>
  <c r="M399" i="8" s="1"/>
  <c r="AH672" i="2"/>
  <c r="H219" i="8"/>
  <c r="O219" i="8" s="1"/>
  <c r="H398" i="8"/>
  <c r="M398" i="8" s="1"/>
  <c r="H401" i="8"/>
  <c r="H402" i="8"/>
  <c r="M402" i="8" s="1"/>
  <c r="H403" i="8"/>
  <c r="M403" i="8" s="1"/>
  <c r="Y842" i="2"/>
  <c r="Y841" i="2"/>
  <c r="Y861" i="2" s="1"/>
  <c r="AA673" i="2"/>
  <c r="Y847" i="2"/>
  <c r="Z847" i="2" s="1"/>
  <c r="Y845" i="2"/>
  <c r="Y839" i="2"/>
  <c r="Y840" i="2"/>
  <c r="Y844" i="2"/>
  <c r="Z674" i="2"/>
  <c r="AA674" i="2"/>
  <c r="AH842" i="2"/>
  <c r="AV842" i="2" s="1"/>
  <c r="AW842" i="2" s="1"/>
  <c r="AH844" i="2"/>
  <c r="AV844" i="2" s="1"/>
  <c r="AW844" i="2" s="1"/>
  <c r="AH846" i="2"/>
  <c r="AV846" i="2" s="1"/>
  <c r="AW846" i="2" s="1"/>
  <c r="AH841" i="2"/>
  <c r="AV841" i="2" s="1"/>
  <c r="AW841" i="2" s="1"/>
  <c r="AH839" i="2"/>
  <c r="AV839" i="2" s="1"/>
  <c r="AW839" i="2" s="1"/>
  <c r="AH845" i="2"/>
  <c r="AV845" i="2" s="1"/>
  <c r="AW845" i="2" s="1"/>
  <c r="AH840" i="2"/>
  <c r="AV840" i="2" s="1"/>
  <c r="AW840" i="2" s="1"/>
  <c r="AH843" i="2"/>
  <c r="AV843" i="2" s="1"/>
  <c r="AW843" i="2" s="1"/>
  <c r="R877" i="2"/>
  <c r="R875" i="2"/>
  <c r="R822" i="2"/>
  <c r="R913" i="2"/>
  <c r="R912" i="2"/>
  <c r="H424" i="8" l="1"/>
  <c r="O424" i="8" s="1"/>
  <c r="T424" i="8" s="1"/>
  <c r="H348" i="8"/>
  <c r="M407" i="8"/>
  <c r="M419" i="8" s="1"/>
  <c r="H419" i="8"/>
  <c r="M404" i="8"/>
  <c r="M416" i="8" s="1"/>
  <c r="H416" i="8"/>
  <c r="M401" i="8"/>
  <c r="M414" i="8" s="1"/>
  <c r="H414" i="8"/>
  <c r="Z841" i="2"/>
  <c r="H426" i="8"/>
  <c r="M426" i="8" s="1"/>
  <c r="N412" i="8"/>
  <c r="H423" i="8"/>
  <c r="O423" i="8" s="1"/>
  <c r="T423" i="8" s="1"/>
  <c r="H352" i="8"/>
  <c r="O352" i="8" s="1"/>
  <c r="T352" i="8" s="1"/>
  <c r="N411" i="8"/>
  <c r="N400" i="8"/>
  <c r="H425" i="8"/>
  <c r="Y872" i="2"/>
  <c r="T219" i="8"/>
  <c r="U219" i="8" s="1"/>
  <c r="M219" i="8"/>
  <c r="N219" i="8" s="1"/>
  <c r="H356" i="8"/>
  <c r="T220" i="8"/>
  <c r="U220" i="8" s="1"/>
  <c r="M220" i="8"/>
  <c r="N220" i="8" s="1"/>
  <c r="H422" i="8"/>
  <c r="N399" i="8"/>
  <c r="Y873" i="2"/>
  <c r="Y874" i="2"/>
  <c r="AH872" i="2"/>
  <c r="Z843" i="2"/>
  <c r="AE842" i="2"/>
  <c r="AE841" i="2"/>
  <c r="AE840" i="2"/>
  <c r="AE843" i="2"/>
  <c r="Z839" i="2"/>
  <c r="Z845" i="2"/>
  <c r="R914" i="2"/>
  <c r="Y913" i="2" s="1"/>
  <c r="M424" i="8" l="1"/>
  <c r="Z873" i="2"/>
  <c r="N406" i="8"/>
  <c r="N403" i="8"/>
  <c r="N408" i="8"/>
  <c r="N409" i="8"/>
  <c r="N405" i="8"/>
  <c r="N402" i="8"/>
  <c r="O426" i="8"/>
  <c r="T426" i="8" s="1"/>
  <c r="M352" i="8"/>
  <c r="M423" i="8"/>
  <c r="O422" i="8"/>
  <c r="T422" i="8" s="1"/>
  <c r="U424" i="8" s="1"/>
  <c r="M422" i="8"/>
  <c r="H442" i="8"/>
  <c r="O425" i="8"/>
  <c r="T425" i="8" s="1"/>
  <c r="M425" i="8"/>
  <c r="N426" i="8" s="1"/>
  <c r="H440" i="8"/>
  <c r="O356" i="8"/>
  <c r="T356" i="8" s="1"/>
  <c r="M356" i="8"/>
  <c r="O348" i="8"/>
  <c r="T348" i="8" s="1"/>
  <c r="M348" i="8"/>
  <c r="Y915" i="2"/>
  <c r="AH915" i="2"/>
  <c r="AH913" i="2"/>
  <c r="Z874" i="2"/>
  <c r="R901" i="2"/>
  <c r="R900" i="2"/>
  <c r="R899" i="2"/>
  <c r="AA890" i="2"/>
  <c r="AA889" i="2"/>
  <c r="U426" i="8" l="1"/>
  <c r="N423" i="8"/>
  <c r="U423" i="8"/>
  <c r="N424" i="8"/>
  <c r="H436" i="8"/>
  <c r="H432" i="8"/>
  <c r="H435" i="8"/>
  <c r="Y899" i="2"/>
  <c r="Y912" i="2" s="1"/>
  <c r="Z912" i="2" s="1"/>
  <c r="H434" i="8"/>
  <c r="H437" i="8"/>
  <c r="H433" i="8"/>
  <c r="O442" i="8"/>
  <c r="T442" i="8" s="1"/>
  <c r="M442" i="8"/>
  <c r="O440" i="8"/>
  <c r="T440" i="8" s="1"/>
  <c r="M440" i="8"/>
  <c r="Y904" i="2"/>
  <c r="Y900" i="2"/>
  <c r="Y901" i="2"/>
  <c r="Y903" i="2"/>
  <c r="Y902" i="2"/>
  <c r="AH901" i="2"/>
  <c r="AH900" i="2"/>
  <c r="AH903" i="2"/>
  <c r="AH899" i="2"/>
  <c r="AH912" i="2" s="1"/>
  <c r="AH904" i="2"/>
  <c r="AH902" i="2"/>
  <c r="R889" i="2"/>
  <c r="R888" i="2"/>
  <c r="AA787" i="2"/>
  <c r="AA786" i="2"/>
  <c r="AA790" i="2"/>
  <c r="AA789" i="2"/>
  <c r="AA793" i="2"/>
  <c r="AA792" i="2"/>
  <c r="R786" i="2"/>
  <c r="R785" i="2"/>
  <c r="O433" i="8" l="1"/>
  <c r="T433" i="8" s="1"/>
  <c r="M433" i="8"/>
  <c r="O435" i="8"/>
  <c r="T435" i="8" s="1"/>
  <c r="M435" i="8"/>
  <c r="H430" i="8"/>
  <c r="H429" i="8"/>
  <c r="H428" i="8"/>
  <c r="O437" i="8"/>
  <c r="T437" i="8" s="1"/>
  <c r="M437" i="8"/>
  <c r="O432" i="8"/>
  <c r="H441" i="8"/>
  <c r="M432" i="8"/>
  <c r="M441" i="8" s="1"/>
  <c r="N442" i="8" s="1"/>
  <c r="O434" i="8"/>
  <c r="T434" i="8" s="1"/>
  <c r="M434" i="8"/>
  <c r="O436" i="8"/>
  <c r="T436" i="8" s="1"/>
  <c r="U436" i="8" s="1"/>
  <c r="M436" i="8"/>
  <c r="N436" i="8" s="1"/>
  <c r="Y888" i="2"/>
  <c r="Y914" i="2" s="1"/>
  <c r="Z914" i="2" s="1"/>
  <c r="Y889" i="2"/>
  <c r="Y890" i="2"/>
  <c r="AH889" i="2"/>
  <c r="AH888" i="2"/>
  <c r="AH914" i="2" s="1"/>
  <c r="AH890" i="2"/>
  <c r="Z900" i="2"/>
  <c r="Z901" i="2"/>
  <c r="Z903" i="2"/>
  <c r="R787" i="2"/>
  <c r="AH793" i="2" s="1"/>
  <c r="U437" i="8" l="1"/>
  <c r="N434" i="8"/>
  <c r="N437" i="8"/>
  <c r="O441" i="8"/>
  <c r="T432" i="8"/>
  <c r="U434" i="8" s="1"/>
  <c r="O429" i="8"/>
  <c r="T429" i="8" s="1"/>
  <c r="M429" i="8"/>
  <c r="H335" i="8"/>
  <c r="H329" i="8"/>
  <c r="H330" i="8"/>
  <c r="O430" i="8"/>
  <c r="T430" i="8" s="1"/>
  <c r="M430" i="8"/>
  <c r="H328" i="8"/>
  <c r="H333" i="8"/>
  <c r="H334" i="8"/>
  <c r="H327" i="8"/>
  <c r="H332" i="8"/>
  <c r="H337" i="8"/>
  <c r="H338" i="8"/>
  <c r="N433" i="8"/>
  <c r="H439" i="8"/>
  <c r="O428" i="8"/>
  <c r="M428" i="8"/>
  <c r="M439" i="8" s="1"/>
  <c r="N440" i="8" s="1"/>
  <c r="H331" i="8"/>
  <c r="H336" i="8"/>
  <c r="Y791" i="2"/>
  <c r="H339" i="8"/>
  <c r="Y785" i="2"/>
  <c r="Y792" i="2"/>
  <c r="Y789" i="2"/>
  <c r="Y790" i="2"/>
  <c r="Y786" i="2"/>
  <c r="Y787" i="2"/>
  <c r="Y793" i="2"/>
  <c r="Y788" i="2"/>
  <c r="AH790" i="2"/>
  <c r="AH786" i="2"/>
  <c r="AH787" i="2"/>
  <c r="AH789" i="2"/>
  <c r="AH791" i="2"/>
  <c r="AH785" i="2"/>
  <c r="AH788" i="2"/>
  <c r="AH792" i="2"/>
  <c r="Z904" i="2"/>
  <c r="Z890" i="2"/>
  <c r="Z889" i="2"/>
  <c r="O439" i="8" l="1"/>
  <c r="T428" i="8"/>
  <c r="T439" i="8" s="1"/>
  <c r="U440" i="8" s="1"/>
  <c r="O337" i="8"/>
  <c r="T337" i="8" s="1"/>
  <c r="M337" i="8"/>
  <c r="O333" i="8"/>
  <c r="T333" i="8" s="1"/>
  <c r="M333" i="8"/>
  <c r="N429" i="8"/>
  <c r="O336" i="8"/>
  <c r="T336" i="8" s="1"/>
  <c r="M336" i="8"/>
  <c r="O332" i="8"/>
  <c r="T332" i="8" s="1"/>
  <c r="M332" i="8"/>
  <c r="O328" i="8"/>
  <c r="T328" i="8" s="1"/>
  <c r="M328" i="8"/>
  <c r="O330" i="8"/>
  <c r="T330" i="8" s="1"/>
  <c r="M330" i="8"/>
  <c r="O331" i="8"/>
  <c r="T331" i="8" s="1"/>
  <c r="M331" i="8"/>
  <c r="O327" i="8"/>
  <c r="T327" i="8" s="1"/>
  <c r="M327" i="8"/>
  <c r="N430" i="8"/>
  <c r="O329" i="8"/>
  <c r="T329" i="8" s="1"/>
  <c r="M329" i="8"/>
  <c r="U433" i="8"/>
  <c r="T441" i="8"/>
  <c r="U442" i="8" s="1"/>
  <c r="O339" i="8"/>
  <c r="T339" i="8" s="1"/>
  <c r="M339" i="8"/>
  <c r="O338" i="8"/>
  <c r="T338" i="8" s="1"/>
  <c r="M338" i="8"/>
  <c r="O334" i="8"/>
  <c r="T334" i="8" s="1"/>
  <c r="M334" i="8"/>
  <c r="O335" i="8"/>
  <c r="T335" i="8" s="1"/>
  <c r="M335" i="8"/>
  <c r="Z787" i="2"/>
  <c r="Z789" i="2"/>
  <c r="Z792" i="2"/>
  <c r="Z790" i="2"/>
  <c r="Z793" i="2"/>
  <c r="Z786" i="2"/>
  <c r="U430" i="8" l="1"/>
  <c r="U429" i="8"/>
  <c r="U328" i="8"/>
  <c r="N337" i="8"/>
  <c r="N339" i="8"/>
  <c r="N335" i="8"/>
  <c r="U329" i="8"/>
  <c r="N333" i="8"/>
  <c r="N331" i="8"/>
  <c r="N329" i="8"/>
  <c r="U337" i="8"/>
  <c r="U339" i="8"/>
  <c r="U335" i="8"/>
  <c r="U331" i="8"/>
  <c r="N328" i="8"/>
  <c r="U333" i="8"/>
  <c r="AA697" i="2"/>
  <c r="Q1230" i="2" l="1"/>
  <c r="Q1229" i="2"/>
  <c r="Q1228" i="2"/>
  <c r="Q1227" i="2"/>
  <c r="Q1226" i="2"/>
  <c r="Q1225" i="2"/>
  <c r="Z1226" i="2" l="1"/>
  <c r="R1225" i="2"/>
  <c r="R1229" i="2"/>
  <c r="R1227" i="2"/>
  <c r="Z1224" i="2"/>
  <c r="Z1215" i="2"/>
  <c r="Z1213" i="2"/>
  <c r="Q1217" i="2"/>
  <c r="Q1216" i="2"/>
  <c r="Q1215" i="2"/>
  <c r="Q1214" i="2"/>
  <c r="R1216" i="2" l="1"/>
  <c r="R1214" i="2"/>
  <c r="AA1379" i="2"/>
  <c r="AA1378" i="2"/>
  <c r="AA1377" i="2"/>
  <c r="AA1376" i="2"/>
  <c r="Q1395" i="2"/>
  <c r="Q1394" i="2"/>
  <c r="Q1393" i="2"/>
  <c r="Q1392" i="2"/>
  <c r="Q1391" i="2"/>
  <c r="Q1390" i="2"/>
  <c r="Q1389" i="2"/>
  <c r="Q1388" i="2"/>
  <c r="Q1387" i="2"/>
  <c r="Q1386" i="2"/>
  <c r="Q1385" i="2"/>
  <c r="Q1384" i="2"/>
  <c r="Q1383" i="2"/>
  <c r="Q1382" i="2"/>
  <c r="Q1381" i="2"/>
  <c r="Q1380" i="2"/>
  <c r="Q1379" i="2"/>
  <c r="Q1378" i="2"/>
  <c r="Q1377" i="2"/>
  <c r="Q1376" i="2"/>
  <c r="H703" i="8" l="1"/>
  <c r="M703" i="8" s="1"/>
  <c r="N703" i="8" s="1"/>
  <c r="H698" i="8"/>
  <c r="M698" i="8" s="1"/>
  <c r="H692" i="8"/>
  <c r="M692" i="8" s="1"/>
  <c r="H682" i="8"/>
  <c r="M682" i="8" s="1"/>
  <c r="H707" i="8"/>
  <c r="M707" i="8" s="1"/>
  <c r="N707" i="8" s="1"/>
  <c r="H701" i="8"/>
  <c r="M701" i="8" s="1"/>
  <c r="H697" i="8"/>
  <c r="M697" i="8" s="1"/>
  <c r="N697" i="8" s="1"/>
  <c r="H695" i="8"/>
  <c r="M695" i="8" s="1"/>
  <c r="N695" i="8" s="1"/>
  <c r="H691" i="8"/>
  <c r="M691" i="8" s="1"/>
  <c r="H687" i="8"/>
  <c r="M687" i="8" s="1"/>
  <c r="H680" i="8"/>
  <c r="M680" i="8" s="1"/>
  <c r="H681" i="8"/>
  <c r="M681" i="8" s="1"/>
  <c r="H693" i="8"/>
  <c r="M693" i="8" s="1"/>
  <c r="H684" i="8"/>
  <c r="M684" i="8" s="1"/>
  <c r="H688" i="8"/>
  <c r="M688" i="8" s="1"/>
  <c r="H705" i="8"/>
  <c r="M705" i="8" s="1"/>
  <c r="H700" i="8"/>
  <c r="M700" i="8" s="1"/>
  <c r="H690" i="8"/>
  <c r="M690" i="8" s="1"/>
  <c r="H686" i="8"/>
  <c r="M686" i="8" s="1"/>
  <c r="H678" i="8"/>
  <c r="M678" i="8" s="1"/>
  <c r="H679" i="8"/>
  <c r="M679" i="8" s="1"/>
  <c r="H689" i="8"/>
  <c r="M689" i="8" s="1"/>
  <c r="H685" i="8"/>
  <c r="M685" i="8" s="1"/>
  <c r="H683" i="8"/>
  <c r="M683" i="8" s="1"/>
  <c r="H704" i="8"/>
  <c r="M704" i="8" s="1"/>
  <c r="H699" i="8"/>
  <c r="M699" i="8" s="1"/>
  <c r="N699" i="8" s="1"/>
  <c r="R1388" i="2"/>
  <c r="R1378" i="2"/>
  <c r="R1390" i="2"/>
  <c r="R1394" i="2"/>
  <c r="R1382" i="2"/>
  <c r="R1386" i="2"/>
  <c r="R1380" i="2"/>
  <c r="R1376" i="2"/>
  <c r="R1384" i="2"/>
  <c r="R1392" i="2"/>
  <c r="AA955" i="2"/>
  <c r="AA954" i="2"/>
  <c r="AA953" i="2"/>
  <c r="AA952" i="2"/>
  <c r="N683" i="8" l="1"/>
  <c r="N685" i="8"/>
  <c r="N689" i="8"/>
  <c r="N679" i="8"/>
  <c r="N693" i="8"/>
  <c r="N705" i="8"/>
  <c r="N681" i="8"/>
  <c r="H846" i="8"/>
  <c r="M846" i="8" s="1"/>
  <c r="N846" i="8" s="1"/>
  <c r="H845" i="8"/>
  <c r="M845" i="8" s="1"/>
  <c r="N845" i="8" s="1"/>
  <c r="N687" i="8"/>
  <c r="N701" i="8"/>
  <c r="N691" i="8"/>
  <c r="AA749" i="2"/>
  <c r="AA747" i="2"/>
  <c r="AA745" i="2"/>
  <c r="AA743" i="2"/>
  <c r="AA741" i="2"/>
  <c r="AA739" i="2"/>
  <c r="R740" i="2"/>
  <c r="R741" i="2"/>
  <c r="R742" i="2"/>
  <c r="R743" i="2"/>
  <c r="R739" i="2"/>
  <c r="H279" i="8" l="1"/>
  <c r="H275" i="8"/>
  <c r="H271" i="8"/>
  <c r="H274" i="8"/>
  <c r="H278" i="8"/>
  <c r="H269" i="8"/>
  <c r="H277" i="8"/>
  <c r="H273" i="8"/>
  <c r="H280" i="8"/>
  <c r="H276" i="8"/>
  <c r="H272" i="8"/>
  <c r="H270" i="8"/>
  <c r="Y748" i="2"/>
  <c r="Y744" i="2"/>
  <c r="Y740" i="2"/>
  <c r="Y743" i="2"/>
  <c r="AH743" i="2" s="1"/>
  <c r="Y749" i="2"/>
  <c r="AH749" i="2" s="1"/>
  <c r="Y745" i="2"/>
  <c r="Y741" i="2"/>
  <c r="AH741" i="2" s="1"/>
  <c r="Y752" i="2"/>
  <c r="Y747" i="2"/>
  <c r="AH747" i="2" s="1"/>
  <c r="Y739" i="2"/>
  <c r="AH739" i="2" s="1"/>
  <c r="Y750" i="2"/>
  <c r="Y746" i="2"/>
  <c r="Y742" i="2"/>
  <c r="AH745" i="2"/>
  <c r="AA723" i="2"/>
  <c r="R718" i="2"/>
  <c r="R719" i="2"/>
  <c r="R720" i="2"/>
  <c r="R717" i="2"/>
  <c r="AA715" i="2"/>
  <c r="AA714" i="2"/>
  <c r="AA713" i="2"/>
  <c r="AA711" i="2"/>
  <c r="AA710" i="2"/>
  <c r="AA709" i="2"/>
  <c r="AA707" i="2"/>
  <c r="AA706" i="2"/>
  <c r="AA705" i="2"/>
  <c r="AA703" i="2"/>
  <c r="AA702" i="2"/>
  <c r="AA701" i="2"/>
  <c r="AA698" i="2"/>
  <c r="AA685" i="2"/>
  <c r="AA683" i="2"/>
  <c r="Q703" i="2"/>
  <c r="Q704" i="2"/>
  <c r="Q702" i="2"/>
  <c r="Q701" i="2"/>
  <c r="Q700" i="2"/>
  <c r="Q699" i="2"/>
  <c r="Q698" i="2"/>
  <c r="R697" i="2"/>
  <c r="R696" i="2"/>
  <c r="O270" i="8" l="1"/>
  <c r="T270" i="8" s="1"/>
  <c r="M270" i="8"/>
  <c r="O274" i="8"/>
  <c r="T274" i="8" s="1"/>
  <c r="M274" i="8"/>
  <c r="O272" i="8"/>
  <c r="T272" i="8" s="1"/>
  <c r="M272" i="8"/>
  <c r="O277" i="8"/>
  <c r="T277" i="8" s="1"/>
  <c r="M277" i="8"/>
  <c r="O271" i="8"/>
  <c r="T271" i="8" s="1"/>
  <c r="M271" i="8"/>
  <c r="O276" i="8"/>
  <c r="T276" i="8" s="1"/>
  <c r="M276" i="8"/>
  <c r="O269" i="8"/>
  <c r="T269" i="8" s="1"/>
  <c r="U270" i="8" s="1"/>
  <c r="M269" i="8"/>
  <c r="O275" i="8"/>
  <c r="T275" i="8" s="1"/>
  <c r="M275" i="8"/>
  <c r="H288" i="8"/>
  <c r="O273" i="8"/>
  <c r="M273" i="8"/>
  <c r="M288" i="8" s="1"/>
  <c r="N289" i="8" s="1"/>
  <c r="O280" i="8"/>
  <c r="T280" i="8" s="1"/>
  <c r="M280" i="8"/>
  <c r="O278" i="8"/>
  <c r="T278" i="8" s="1"/>
  <c r="M278" i="8"/>
  <c r="O279" i="8"/>
  <c r="T279" i="8" s="1"/>
  <c r="M279" i="8"/>
  <c r="AH750" i="2"/>
  <c r="Z749" i="2"/>
  <c r="AH740" i="2"/>
  <c r="Z739" i="2"/>
  <c r="AH744" i="2"/>
  <c r="Z743" i="2"/>
  <c r="AH742" i="2"/>
  <c r="Z741" i="2"/>
  <c r="Z753" i="2"/>
  <c r="AH752" i="2"/>
  <c r="AH746" i="2"/>
  <c r="Z745" i="2"/>
  <c r="AH748" i="2"/>
  <c r="Z747" i="2"/>
  <c r="R722" i="2"/>
  <c r="Y724" i="2" s="1"/>
  <c r="R700" i="2"/>
  <c r="R698" i="2"/>
  <c r="R702" i="2"/>
  <c r="H257" i="8" l="1"/>
  <c r="O257" i="8" s="1"/>
  <c r="T257" i="8" s="1"/>
  <c r="N278" i="8"/>
  <c r="U278" i="8"/>
  <c r="U280" i="8"/>
  <c r="H243" i="8"/>
  <c r="H259" i="8"/>
  <c r="H252" i="8"/>
  <c r="H240" i="8"/>
  <c r="H256" i="8"/>
  <c r="H245" i="8"/>
  <c r="H262" i="8"/>
  <c r="N276" i="8"/>
  <c r="N274" i="8"/>
  <c r="H266" i="8"/>
  <c r="H246" i="8"/>
  <c r="H239" i="8"/>
  <c r="H258" i="8"/>
  <c r="H248" i="8"/>
  <c r="H260" i="8"/>
  <c r="H250" i="8"/>
  <c r="U276" i="8"/>
  <c r="H267" i="8"/>
  <c r="H251" i="8"/>
  <c r="H244" i="8"/>
  <c r="H261" i="8"/>
  <c r="H249" i="8"/>
  <c r="H241" i="8"/>
  <c r="H254" i="8"/>
  <c r="O288" i="8"/>
  <c r="T273" i="8"/>
  <c r="T288" i="8" s="1"/>
  <c r="U289" i="8" s="1"/>
  <c r="N272" i="8"/>
  <c r="N270" i="8"/>
  <c r="N280" i="8"/>
  <c r="H238" i="8"/>
  <c r="H255" i="8"/>
  <c r="H247" i="8"/>
  <c r="H237" i="8"/>
  <c r="H253" i="8"/>
  <c r="H242" i="8"/>
  <c r="U272" i="8"/>
  <c r="Y713" i="2"/>
  <c r="Y705" i="2"/>
  <c r="Y722" i="2"/>
  <c r="Y725" i="2"/>
  <c r="AH723" i="2" s="1"/>
  <c r="Y726" i="2"/>
  <c r="Y700" i="2"/>
  <c r="Y719" i="2"/>
  <c r="Y720" i="2"/>
  <c r="AH718" i="2" s="1"/>
  <c r="Y715" i="2"/>
  <c r="Y708" i="2"/>
  <c r="Y710" i="2"/>
  <c r="Y712" i="2"/>
  <c r="Y709" i="2"/>
  <c r="Y711" i="2"/>
  <c r="Y707" i="2"/>
  <c r="Y702" i="2"/>
  <c r="Y696" i="2"/>
  <c r="Y701" i="2"/>
  <c r="Y723" i="2"/>
  <c r="AH719" i="2" s="1"/>
  <c r="Y699" i="2"/>
  <c r="Y706" i="2"/>
  <c r="Y704" i="2"/>
  <c r="Y721" i="2"/>
  <c r="AH721" i="2" s="1"/>
  <c r="Y703" i="2"/>
  <c r="Y698" i="2"/>
  <c r="Y714" i="2"/>
  <c r="Y697" i="2"/>
  <c r="AH696" i="2"/>
  <c r="AH697" i="2"/>
  <c r="AH720" i="2"/>
  <c r="AH717" i="2"/>
  <c r="R684" i="2"/>
  <c r="R683" i="2"/>
  <c r="Q688" i="2"/>
  <c r="Q687" i="2"/>
  <c r="Q686" i="2"/>
  <c r="Q685" i="2"/>
  <c r="M257" i="8" l="1"/>
  <c r="O258" i="8"/>
  <c r="T258" i="8" s="1"/>
  <c r="M258" i="8"/>
  <c r="M242" i="8"/>
  <c r="O242" i="8"/>
  <c r="T242" i="8" s="1"/>
  <c r="O255" i="8"/>
  <c r="T255" i="8" s="1"/>
  <c r="U257" i="8" s="1"/>
  <c r="M255" i="8"/>
  <c r="O241" i="8"/>
  <c r="T241" i="8" s="1"/>
  <c r="M241" i="8"/>
  <c r="O251" i="8"/>
  <c r="T251" i="8" s="1"/>
  <c r="M251" i="8"/>
  <c r="O250" i="8"/>
  <c r="T250" i="8" s="1"/>
  <c r="M250" i="8"/>
  <c r="O239" i="8"/>
  <c r="T239" i="8" s="1"/>
  <c r="M239" i="8"/>
  <c r="O240" i="8"/>
  <c r="T240" i="8" s="1"/>
  <c r="M240" i="8"/>
  <c r="O247" i="8"/>
  <c r="T247" i="8" s="1"/>
  <c r="M247" i="8"/>
  <c r="O244" i="8"/>
  <c r="T244" i="8" s="1"/>
  <c r="M244" i="8"/>
  <c r="O256" i="8"/>
  <c r="T256" i="8" s="1"/>
  <c r="U256" i="8" s="1"/>
  <c r="M256" i="8"/>
  <c r="N256" i="8" s="1"/>
  <c r="M253" i="8"/>
  <c r="O253" i="8"/>
  <c r="T253" i="8" s="1"/>
  <c r="O238" i="8"/>
  <c r="T238" i="8" s="1"/>
  <c r="M238" i="8"/>
  <c r="O249" i="8"/>
  <c r="T249" i="8" s="1"/>
  <c r="M249" i="8"/>
  <c r="O267" i="8"/>
  <c r="T267" i="8" s="1"/>
  <c r="M267" i="8"/>
  <c r="M260" i="8"/>
  <c r="O260" i="8"/>
  <c r="T260" i="8" s="1"/>
  <c r="O246" i="8"/>
  <c r="T246" i="8" s="1"/>
  <c r="M246" i="8"/>
  <c r="O262" i="8"/>
  <c r="T262" i="8" s="1"/>
  <c r="M262" i="8"/>
  <c r="O252" i="8"/>
  <c r="T252" i="8" s="1"/>
  <c r="U252" i="8" s="1"/>
  <c r="M252" i="8"/>
  <c r="N252" i="8" s="1"/>
  <c r="O254" i="8"/>
  <c r="T254" i="8" s="1"/>
  <c r="M254" i="8"/>
  <c r="O243" i="8"/>
  <c r="T243" i="8" s="1"/>
  <c r="M243" i="8"/>
  <c r="O237" i="8"/>
  <c r="T237" i="8" s="1"/>
  <c r="M237" i="8"/>
  <c r="M261" i="8"/>
  <c r="O261" i="8"/>
  <c r="T261" i="8" s="1"/>
  <c r="U274" i="8"/>
  <c r="O248" i="8"/>
  <c r="T248" i="8" s="1"/>
  <c r="M248" i="8"/>
  <c r="O266" i="8"/>
  <c r="T266" i="8" s="1"/>
  <c r="M266" i="8"/>
  <c r="M245" i="8"/>
  <c r="O245" i="8"/>
  <c r="T245" i="8" s="1"/>
  <c r="O259" i="8"/>
  <c r="T259" i="8" s="1"/>
  <c r="M259" i="8"/>
  <c r="Z723" i="2"/>
  <c r="Z719" i="2"/>
  <c r="Z721" i="2"/>
  <c r="AH722" i="2"/>
  <c r="AH724" i="2"/>
  <c r="Z725" i="2"/>
  <c r="Z703" i="2"/>
  <c r="Z701" i="2"/>
  <c r="Z711" i="2"/>
  <c r="Z702" i="2"/>
  <c r="Z707" i="2"/>
  <c r="Z710" i="2"/>
  <c r="Z709" i="2"/>
  <c r="Z706" i="2"/>
  <c r="Z705" i="2"/>
  <c r="Z715" i="2"/>
  <c r="Z698" i="2"/>
  <c r="Z714" i="2"/>
  <c r="Z697" i="2"/>
  <c r="Z699" i="2"/>
  <c r="Z713" i="2"/>
  <c r="R687" i="2"/>
  <c r="R685" i="2"/>
  <c r="R689" i="2"/>
  <c r="Q537" i="2"/>
  <c r="Q536" i="2"/>
  <c r="R536" i="2" s="1"/>
  <c r="N257" i="8" l="1"/>
  <c r="H231" i="8"/>
  <c r="M231" i="8" s="1"/>
  <c r="U249" i="8"/>
  <c r="N249" i="8"/>
  <c r="U254" i="8"/>
  <c r="U253" i="8"/>
  <c r="N243" i="8"/>
  <c r="N253" i="8"/>
  <c r="N254" i="8"/>
  <c r="H224" i="8"/>
  <c r="M224" i="8" s="1"/>
  <c r="N242" i="8"/>
  <c r="N260" i="8"/>
  <c r="U241" i="8"/>
  <c r="N246" i="8"/>
  <c r="U240" i="8"/>
  <c r="N248" i="8"/>
  <c r="N245" i="8"/>
  <c r="O231" i="8"/>
  <c r="T231" i="8" s="1"/>
  <c r="U261" i="8"/>
  <c r="H234" i="8"/>
  <c r="U262" i="8"/>
  <c r="H225" i="8"/>
  <c r="H226" i="8"/>
  <c r="H235" i="8"/>
  <c r="N262" i="8"/>
  <c r="U260" i="8"/>
  <c r="N240" i="8"/>
  <c r="N250" i="8"/>
  <c r="N241" i="8"/>
  <c r="U242" i="8"/>
  <c r="H233" i="8"/>
  <c r="U245" i="8"/>
  <c r="N261" i="8"/>
  <c r="H228" i="8"/>
  <c r="H230" i="8"/>
  <c r="H227" i="8"/>
  <c r="U243" i="8"/>
  <c r="N267" i="8"/>
  <c r="N238" i="8"/>
  <c r="N247" i="8"/>
  <c r="N239" i="8"/>
  <c r="N258" i="8"/>
  <c r="U250" i="8"/>
  <c r="Y686" i="2"/>
  <c r="U248" i="8"/>
  <c r="H232" i="8"/>
  <c r="H229" i="8"/>
  <c r="U246" i="8"/>
  <c r="U267" i="8"/>
  <c r="U238" i="8"/>
  <c r="U247" i="8"/>
  <c r="U239" i="8"/>
  <c r="U258" i="8"/>
  <c r="Y684" i="2"/>
  <c r="AH684" i="2" s="1"/>
  <c r="Y683" i="2"/>
  <c r="Y685" i="2"/>
  <c r="AH685" i="2" s="1"/>
  <c r="Y537" i="2"/>
  <c r="Y538" i="2"/>
  <c r="Y539" i="2"/>
  <c r="Y535" i="2"/>
  <c r="Y536" i="2"/>
  <c r="AH686" i="2"/>
  <c r="AH683" i="2"/>
  <c r="Q853" i="2"/>
  <c r="Q852" i="2"/>
  <c r="O224" i="8" l="1"/>
  <c r="T224" i="8" s="1"/>
  <c r="U231" i="8" s="1"/>
  <c r="M232" i="8"/>
  <c r="O232" i="8"/>
  <c r="T232" i="8" s="1"/>
  <c r="O228" i="8"/>
  <c r="T228" i="8" s="1"/>
  <c r="M228" i="8"/>
  <c r="N228" i="8" s="1"/>
  <c r="O225" i="8"/>
  <c r="T225" i="8" s="1"/>
  <c r="M225" i="8"/>
  <c r="N225" i="8" s="1"/>
  <c r="M227" i="8"/>
  <c r="N227" i="8" s="1"/>
  <c r="O227" i="8"/>
  <c r="T227" i="8" s="1"/>
  <c r="U227" i="8" s="1"/>
  <c r="O235" i="8"/>
  <c r="T235" i="8" s="1"/>
  <c r="M235" i="8"/>
  <c r="M234" i="8"/>
  <c r="O234" i="8"/>
  <c r="T234" i="8" s="1"/>
  <c r="N231" i="8"/>
  <c r="M229" i="8"/>
  <c r="N229" i="8" s="1"/>
  <c r="O229" i="8"/>
  <c r="T229" i="8" s="1"/>
  <c r="O230" i="8"/>
  <c r="T230" i="8" s="1"/>
  <c r="U230" i="8" s="1"/>
  <c r="M230" i="8"/>
  <c r="N230" i="8" s="1"/>
  <c r="O233" i="8"/>
  <c r="T233" i="8" s="1"/>
  <c r="U233" i="8" s="1"/>
  <c r="M233" i="8"/>
  <c r="M226" i="8"/>
  <c r="N226" i="8" s="1"/>
  <c r="O226" i="8"/>
  <c r="T226" i="8" s="1"/>
  <c r="H184" i="8"/>
  <c r="M184" i="8" s="1"/>
  <c r="N184" i="8" s="1"/>
  <c r="AH537" i="2"/>
  <c r="H182" i="8"/>
  <c r="M182" i="8" s="1"/>
  <c r="N182" i="8" s="1"/>
  <c r="AH535" i="2"/>
  <c r="AA536" i="2"/>
  <c r="H181" i="8"/>
  <c r="M181" i="8" s="1"/>
  <c r="N181" i="8" s="1"/>
  <c r="AH534" i="2"/>
  <c r="AA535" i="2"/>
  <c r="H183" i="8"/>
  <c r="M183" i="8" s="1"/>
  <c r="N183" i="8" s="1"/>
  <c r="AH536" i="2"/>
  <c r="H185" i="8"/>
  <c r="M185" i="8" s="1"/>
  <c r="N185" i="8" s="1"/>
  <c r="AH538" i="2"/>
  <c r="Z683" i="2"/>
  <c r="Z685" i="2"/>
  <c r="R852" i="2"/>
  <c r="Z535" i="2"/>
  <c r="AA539" i="2"/>
  <c r="Z536" i="2"/>
  <c r="F634" i="2"/>
  <c r="R851" i="2"/>
  <c r="R850" i="2"/>
  <c r="H351" i="8" l="1"/>
  <c r="H350" i="8"/>
  <c r="H349" i="8"/>
  <c r="U229" i="8"/>
  <c r="U228" i="8"/>
  <c r="U226" i="8"/>
  <c r="U225" i="8"/>
  <c r="N233" i="8"/>
  <c r="H359" i="8"/>
  <c r="M359" i="8" s="1"/>
  <c r="H355" i="8"/>
  <c r="H354" i="8"/>
  <c r="H353" i="8"/>
  <c r="H357" i="8"/>
  <c r="N235" i="8"/>
  <c r="U235" i="8"/>
  <c r="Y856" i="2"/>
  <c r="Y851" i="2"/>
  <c r="Y857" i="2"/>
  <c r="Y852" i="2"/>
  <c r="Y855" i="2"/>
  <c r="Y853" i="2"/>
  <c r="Z538" i="2"/>
  <c r="AA538" i="2"/>
  <c r="Z537" i="2"/>
  <c r="AA537" i="2"/>
  <c r="Z539" i="2"/>
  <c r="R862" i="2"/>
  <c r="R863" i="2"/>
  <c r="R864" i="2"/>
  <c r="R865" i="2"/>
  <c r="R861" i="2"/>
  <c r="R931" i="2"/>
  <c r="R930" i="2"/>
  <c r="R640" i="2"/>
  <c r="O349" i="8" l="1"/>
  <c r="T349" i="8" s="1"/>
  <c r="U349" i="8" s="1"/>
  <c r="M349" i="8"/>
  <c r="N349" i="8" s="1"/>
  <c r="O353" i="8"/>
  <c r="T353" i="8" s="1"/>
  <c r="U353" i="8" s="1"/>
  <c r="M353" i="8"/>
  <c r="N353" i="8" s="1"/>
  <c r="O350" i="8"/>
  <c r="T350" i="8" s="1"/>
  <c r="U350" i="8" s="1"/>
  <c r="M350" i="8"/>
  <c r="N350" i="8" s="1"/>
  <c r="O351" i="8"/>
  <c r="T351" i="8" s="1"/>
  <c r="U351" i="8" s="1"/>
  <c r="M351" i="8"/>
  <c r="N351" i="8" s="1"/>
  <c r="O355" i="8"/>
  <c r="T355" i="8" s="1"/>
  <c r="U355" i="8" s="1"/>
  <c r="M355" i="8"/>
  <c r="N355" i="8" s="1"/>
  <c r="O354" i="8"/>
  <c r="T354" i="8" s="1"/>
  <c r="U354" i="8" s="1"/>
  <c r="M354" i="8"/>
  <c r="N354" i="8" s="1"/>
  <c r="O357" i="8"/>
  <c r="T357" i="8" s="1"/>
  <c r="U357" i="8" s="1"/>
  <c r="M357" i="8"/>
  <c r="N357" i="8" s="1"/>
  <c r="AH852" i="2"/>
  <c r="AY852" i="2" s="1"/>
  <c r="AZ852" i="2" s="1"/>
  <c r="AA853" i="2"/>
  <c r="AH850" i="2"/>
  <c r="AY850" i="2" s="1"/>
  <c r="AZ850" i="2" s="1"/>
  <c r="AA851" i="2"/>
  <c r="Y866" i="2"/>
  <c r="Y862" i="2"/>
  <c r="H415" i="8" s="1"/>
  <c r="M415" i="8" s="1"/>
  <c r="N415" i="8" s="1"/>
  <c r="Y865" i="2"/>
  <c r="H420" i="8" s="1"/>
  <c r="M420" i="8" s="1"/>
  <c r="N420" i="8" s="1"/>
  <c r="Y867" i="2"/>
  <c r="Y863" i="2"/>
  <c r="H417" i="8" s="1"/>
  <c r="M417" i="8" s="1"/>
  <c r="N417" i="8" s="1"/>
  <c r="Y864" i="2"/>
  <c r="H418" i="8" s="1"/>
  <c r="M418" i="8" s="1"/>
  <c r="N418" i="8" s="1"/>
  <c r="AH851" i="2"/>
  <c r="AY851" i="2" s="1"/>
  <c r="AZ851" i="2" s="1"/>
  <c r="AA852" i="2"/>
  <c r="AH855" i="2"/>
  <c r="AY855" i="2" s="1"/>
  <c r="AZ855" i="2" s="1"/>
  <c r="AA857" i="2"/>
  <c r="AH853" i="2"/>
  <c r="AY853" i="2" s="1"/>
  <c r="AZ853" i="2" s="1"/>
  <c r="AA855" i="2"/>
  <c r="AH854" i="2"/>
  <c r="AY854" i="2" s="1"/>
  <c r="AZ854" i="2" s="1"/>
  <c r="AA856" i="2"/>
  <c r="R659" i="2"/>
  <c r="R658" i="2"/>
  <c r="R660" i="2"/>
  <c r="Y664" i="2" l="1"/>
  <c r="Y660" i="2"/>
  <c r="Z660" i="2" s="1"/>
  <c r="AA660" i="2" s="1"/>
  <c r="Y663" i="2"/>
  <c r="Y661" i="2"/>
  <c r="Y662" i="2"/>
  <c r="AH865" i="2"/>
  <c r="AW865" i="2" s="1"/>
  <c r="AX865" i="2" s="1"/>
  <c r="Z865" i="2"/>
  <c r="AA865" i="2"/>
  <c r="AE851" i="2"/>
  <c r="AE852" i="2"/>
  <c r="AE854" i="2"/>
  <c r="AE853" i="2"/>
  <c r="Z864" i="2"/>
  <c r="AH864" i="2"/>
  <c r="AW864" i="2" s="1"/>
  <c r="AX864" i="2" s="1"/>
  <c r="AA864" i="2"/>
  <c r="AH862" i="2"/>
  <c r="AW862" i="2" s="1"/>
  <c r="AX862" i="2" s="1"/>
  <c r="Z862" i="2"/>
  <c r="AA862" i="2"/>
  <c r="Z867" i="2"/>
  <c r="AH867" i="2"/>
  <c r="AA867" i="2"/>
  <c r="Z863" i="2"/>
  <c r="AH863" i="2"/>
  <c r="AW863" i="2" s="1"/>
  <c r="AX863" i="2" s="1"/>
  <c r="AA863" i="2"/>
  <c r="AH866" i="2"/>
  <c r="AW866" i="2" s="1"/>
  <c r="AX866" i="2" s="1"/>
  <c r="Z866" i="2"/>
  <c r="AA866" i="2"/>
  <c r="AA553" i="2"/>
  <c r="AA551" i="2"/>
  <c r="AA549" i="2"/>
  <c r="AA547" i="2"/>
  <c r="AA545" i="2"/>
  <c r="Z661" i="2" l="1"/>
  <c r="AA661" i="2" s="1"/>
  <c r="H216" i="8"/>
  <c r="AE862" i="2"/>
  <c r="AE863" i="2"/>
  <c r="AE865" i="2"/>
  <c r="AE864" i="2"/>
  <c r="AH659" i="2"/>
  <c r="Z663" i="2"/>
  <c r="AA663" i="2" s="1"/>
  <c r="AH658" i="2"/>
  <c r="Z662" i="2"/>
  <c r="AA662" i="2" s="1"/>
  <c r="AH660" i="2"/>
  <c r="Z664" i="2"/>
  <c r="AA664" i="2" s="1"/>
  <c r="AA837" i="2"/>
  <c r="AA836" i="2"/>
  <c r="AA835" i="2"/>
  <c r="AA833" i="2"/>
  <c r="AA832" i="2"/>
  <c r="AA831" i="2"/>
  <c r="AA829" i="2"/>
  <c r="AA828" i="2"/>
  <c r="AA827" i="2"/>
  <c r="AA825" i="2"/>
  <c r="AA824" i="2"/>
  <c r="AA823" i="2"/>
  <c r="AA821" i="2"/>
  <c r="AA820" i="2"/>
  <c r="R820" i="2"/>
  <c r="R819" i="2"/>
  <c r="R818" i="2"/>
  <c r="H393" i="8" l="1"/>
  <c r="M393" i="8" s="1"/>
  <c r="H389" i="8"/>
  <c r="M389" i="8" s="1"/>
  <c r="H385" i="8"/>
  <c r="M385" i="8" s="1"/>
  <c r="H381" i="8"/>
  <c r="M381" i="8" s="1"/>
  <c r="H377" i="8"/>
  <c r="M377" i="8" s="1"/>
  <c r="H373" i="8"/>
  <c r="M373" i="8" s="1"/>
  <c r="H369" i="8"/>
  <c r="M369" i="8" s="1"/>
  <c r="H365" i="8"/>
  <c r="M365" i="8" s="1"/>
  <c r="H363" i="8"/>
  <c r="M363" i="8" s="1"/>
  <c r="H392" i="8"/>
  <c r="M392" i="8" s="1"/>
  <c r="N392" i="8" s="1"/>
  <c r="H388" i="8"/>
  <c r="M388" i="8" s="1"/>
  <c r="H384" i="8"/>
  <c r="M384" i="8" s="1"/>
  <c r="H380" i="8"/>
  <c r="M380" i="8" s="1"/>
  <c r="H376" i="8"/>
  <c r="M376" i="8" s="1"/>
  <c r="H372" i="8"/>
  <c r="M372" i="8" s="1"/>
  <c r="H368" i="8"/>
  <c r="M368" i="8" s="1"/>
  <c r="H364" i="8"/>
  <c r="M364" i="8" s="1"/>
  <c r="H395" i="8"/>
  <c r="M395" i="8" s="1"/>
  <c r="N395" i="8" s="1"/>
  <c r="H391" i="8"/>
  <c r="M391" i="8" s="1"/>
  <c r="H387" i="8"/>
  <c r="M387" i="8" s="1"/>
  <c r="H383" i="8"/>
  <c r="M383" i="8" s="1"/>
  <c r="H379" i="8"/>
  <c r="M379" i="8" s="1"/>
  <c r="H375" i="8"/>
  <c r="M375" i="8" s="1"/>
  <c r="H371" i="8"/>
  <c r="M371" i="8" s="1"/>
  <c r="N371" i="8" s="1"/>
  <c r="H367" i="8"/>
  <c r="M367" i="8" s="1"/>
  <c r="H361" i="8"/>
  <c r="M361" i="8" s="1"/>
  <c r="H394" i="8"/>
  <c r="M394" i="8" s="1"/>
  <c r="H390" i="8"/>
  <c r="M390" i="8" s="1"/>
  <c r="H386" i="8"/>
  <c r="M386" i="8" s="1"/>
  <c r="H382" i="8"/>
  <c r="M382" i="8" s="1"/>
  <c r="H378" i="8"/>
  <c r="M378" i="8" s="1"/>
  <c r="N378" i="8" s="1"/>
  <c r="H374" i="8"/>
  <c r="M374" i="8" s="1"/>
  <c r="N374" i="8" s="1"/>
  <c r="H370" i="8"/>
  <c r="M370" i="8" s="1"/>
  <c r="H366" i="8"/>
  <c r="M366" i="8" s="1"/>
  <c r="H362" i="8"/>
  <c r="M362" i="8" s="1"/>
  <c r="O216" i="8"/>
  <c r="T216" i="8" s="1"/>
  <c r="U216" i="8" s="1"/>
  <c r="M216" i="8"/>
  <c r="N216" i="8" s="1"/>
  <c r="Y836" i="2"/>
  <c r="Y832" i="2"/>
  <c r="Y828" i="2"/>
  <c r="Y824" i="2"/>
  <c r="Y820" i="2"/>
  <c r="Y835" i="2"/>
  <c r="Y823" i="2"/>
  <c r="Y837" i="2"/>
  <c r="Y833" i="2"/>
  <c r="Y829" i="2"/>
  <c r="Y825" i="2"/>
  <c r="Y821" i="2"/>
  <c r="Y831" i="2"/>
  <c r="Y827" i="2"/>
  <c r="Y819" i="2"/>
  <c r="Y822" i="2"/>
  <c r="Y834" i="2"/>
  <c r="Y818" i="2"/>
  <c r="Y830" i="2"/>
  <c r="AH822" i="2" s="1"/>
  <c r="Y826" i="2"/>
  <c r="Q656" i="2"/>
  <c r="Q655" i="2"/>
  <c r="Q654" i="2"/>
  <c r="Q653" i="2"/>
  <c r="Q652" i="2"/>
  <c r="Q651" i="2"/>
  <c r="Q650" i="2"/>
  <c r="Q649" i="2"/>
  <c r="Q648" i="2"/>
  <c r="Q647" i="2"/>
  <c r="Q646" i="2"/>
  <c r="Q645" i="2"/>
  <c r="Q644" i="2"/>
  <c r="Q643" i="2"/>
  <c r="R642" i="2"/>
  <c r="R641" i="2"/>
  <c r="R639" i="2"/>
  <c r="R638" i="2"/>
  <c r="R637" i="2"/>
  <c r="R636" i="2"/>
  <c r="R635" i="2"/>
  <c r="R634" i="2"/>
  <c r="R633" i="2"/>
  <c r="R632" i="2"/>
  <c r="N366" i="8" l="1"/>
  <c r="N390" i="8"/>
  <c r="N381" i="8"/>
  <c r="N387" i="8"/>
  <c r="N384" i="8"/>
  <c r="N365" i="8"/>
  <c r="N362" i="8"/>
  <c r="N394" i="8"/>
  <c r="N391" i="8"/>
  <c r="N386" i="8"/>
  <c r="N367" i="8"/>
  <c r="N372" i="8"/>
  <c r="N388" i="8"/>
  <c r="N369" i="8"/>
  <c r="N385" i="8"/>
  <c r="N379" i="8"/>
  <c r="N376" i="8"/>
  <c r="N373" i="8"/>
  <c r="Z821" i="2"/>
  <c r="N370" i="8"/>
  <c r="N383" i="8"/>
  <c r="N364" i="8"/>
  <c r="N380" i="8"/>
  <c r="N363" i="8"/>
  <c r="N377" i="8"/>
  <c r="N393" i="8"/>
  <c r="Z828" i="2"/>
  <c r="AH823" i="2"/>
  <c r="Y854" i="2"/>
  <c r="AH818" i="2"/>
  <c r="Y850" i="2"/>
  <c r="H358" i="8" s="1"/>
  <c r="M358" i="8" s="1"/>
  <c r="N359" i="8" s="1"/>
  <c r="Z832" i="2"/>
  <c r="Z833" i="2"/>
  <c r="Z829" i="2"/>
  <c r="Z827" i="2"/>
  <c r="Z836" i="2"/>
  <c r="Z820" i="2"/>
  <c r="Z823" i="2"/>
  <c r="AH819" i="2"/>
  <c r="Z837" i="2"/>
  <c r="Z824" i="2"/>
  <c r="AH820" i="2"/>
  <c r="Z825" i="2"/>
  <c r="AH821" i="2"/>
  <c r="Z831" i="2"/>
  <c r="Z819" i="2"/>
  <c r="Z835" i="2"/>
  <c r="R643" i="2"/>
  <c r="AH632" i="2" s="1"/>
  <c r="AV632" i="2" s="1"/>
  <c r="AW632" i="2" s="1"/>
  <c r="Y642" i="2" l="1"/>
  <c r="H213" i="8" s="1"/>
  <c r="M213" i="8" s="1"/>
  <c r="N213" i="8" s="1"/>
  <c r="Z855" i="2"/>
  <c r="Z856" i="2"/>
  <c r="Z857" i="2"/>
  <c r="Z853" i="2"/>
  <c r="Z851" i="2"/>
  <c r="Z852" i="2"/>
  <c r="AE822" i="2"/>
  <c r="AE820" i="2"/>
  <c r="AE819" i="2"/>
  <c r="AE821" i="2"/>
  <c r="AH641" i="2"/>
  <c r="AV641" i="2" s="1"/>
  <c r="AW641" i="2" s="1"/>
  <c r="AH642" i="2"/>
  <c r="AV642" i="2" s="1"/>
  <c r="AW642" i="2" s="1"/>
  <c r="Y639" i="2"/>
  <c r="H210" i="8" s="1"/>
  <c r="M210" i="8" s="1"/>
  <c r="N210" i="8" s="1"/>
  <c r="AH634" i="2"/>
  <c r="AV634" i="2" s="1"/>
  <c r="AW634" i="2" s="1"/>
  <c r="Y632" i="2"/>
  <c r="AA632" i="2" s="1"/>
  <c r="Y640" i="2"/>
  <c r="H211" i="8" s="1"/>
  <c r="M211" i="8" s="1"/>
  <c r="N211" i="8" s="1"/>
  <c r="AH639" i="2"/>
  <c r="AV639" i="2" s="1"/>
  <c r="AW639" i="2" s="1"/>
  <c r="Y636" i="2"/>
  <c r="H207" i="8" s="1"/>
  <c r="M207" i="8" s="1"/>
  <c r="N207" i="8" s="1"/>
  <c r="Y637" i="2"/>
  <c r="H208" i="8" s="1"/>
  <c r="M208" i="8" s="1"/>
  <c r="N208" i="8" s="1"/>
  <c r="Y638" i="2"/>
  <c r="H209" i="8" s="1"/>
  <c r="M209" i="8" s="1"/>
  <c r="N209" i="8" s="1"/>
  <c r="AH636" i="2"/>
  <c r="AV636" i="2" s="1"/>
  <c r="AW636" i="2" s="1"/>
  <c r="AH633" i="2"/>
  <c r="AV633" i="2" s="1"/>
  <c r="AW633" i="2" s="1"/>
  <c r="Y634" i="2"/>
  <c r="H205" i="8" s="1"/>
  <c r="M205" i="8" s="1"/>
  <c r="N205" i="8" s="1"/>
  <c r="AH638" i="2"/>
  <c r="AV638" i="2" s="1"/>
  <c r="AW638" i="2" s="1"/>
  <c r="Y633" i="2"/>
  <c r="AH635" i="2"/>
  <c r="AV635" i="2" s="1"/>
  <c r="AW635" i="2" s="1"/>
  <c r="AH637" i="2"/>
  <c r="AV637" i="2" s="1"/>
  <c r="AW637" i="2" s="1"/>
  <c r="Y641" i="2"/>
  <c r="H212" i="8" s="1"/>
  <c r="M212" i="8" s="1"/>
  <c r="N212" i="8" s="1"/>
  <c r="AH640" i="2"/>
  <c r="AV640" i="2" s="1"/>
  <c r="AW640" i="2" s="1"/>
  <c r="Y635" i="2"/>
  <c r="H206" i="8" s="1"/>
  <c r="M206" i="8" s="1"/>
  <c r="N206" i="8" s="1"/>
  <c r="Q929" i="2"/>
  <c r="Q928" i="2"/>
  <c r="Q927" i="2"/>
  <c r="Q926" i="2"/>
  <c r="Q925" i="2"/>
  <c r="Q924" i="2"/>
  <c r="R923" i="2"/>
  <c r="H203" i="8" l="1"/>
  <c r="M203" i="8" s="1"/>
  <c r="N203" i="8" s="1"/>
  <c r="H204" i="8"/>
  <c r="M204" i="8" s="1"/>
  <c r="N204" i="8" s="1"/>
  <c r="AE634" i="2"/>
  <c r="Z636" i="2"/>
  <c r="AA636" i="2"/>
  <c r="AA642" i="2"/>
  <c r="Z642" i="2"/>
  <c r="AA633" i="2"/>
  <c r="Z633" i="2"/>
  <c r="AA639" i="2"/>
  <c r="Z639" i="2"/>
  <c r="AE635" i="2"/>
  <c r="AE633" i="2"/>
  <c r="Z641" i="2"/>
  <c r="AA641" i="2"/>
  <c r="AA638" i="2"/>
  <c r="Z638" i="2"/>
  <c r="AA640" i="2"/>
  <c r="Z640" i="2"/>
  <c r="AE636" i="2"/>
  <c r="AA635" i="2"/>
  <c r="Z635" i="2"/>
  <c r="AA634" i="2"/>
  <c r="Z634" i="2"/>
  <c r="AA637" i="2"/>
  <c r="Z637" i="2"/>
  <c r="Z632" i="2"/>
  <c r="R924" i="2"/>
  <c r="R926" i="2"/>
  <c r="R928" i="2"/>
  <c r="AH933" i="2" s="1"/>
  <c r="AR933" i="2" s="1"/>
  <c r="AS933" i="2" s="1"/>
  <c r="O851" i="8" l="1"/>
  <c r="T851" i="8" s="1"/>
  <c r="U851" i="8" s="1"/>
  <c r="O861" i="8"/>
  <c r="T861" i="8" s="1"/>
  <c r="U861" i="8" s="1"/>
  <c r="O860" i="8"/>
  <c r="T860" i="8" s="1"/>
  <c r="U860" i="8" s="1"/>
  <c r="O852" i="8"/>
  <c r="T852" i="8" s="1"/>
  <c r="U852" i="8" s="1"/>
  <c r="O849" i="8"/>
  <c r="T849" i="8" s="1"/>
  <c r="U849" i="8" s="1"/>
  <c r="O850" i="8"/>
  <c r="T850" i="8" s="1"/>
  <c r="U850" i="8" s="1"/>
  <c r="O855" i="8"/>
  <c r="T855" i="8" s="1"/>
  <c r="U855" i="8" s="1"/>
  <c r="O854" i="8"/>
  <c r="T854" i="8" s="1"/>
  <c r="U854" i="8" s="1"/>
  <c r="O853" i="8"/>
  <c r="T853" i="8" s="1"/>
  <c r="U853" i="8" s="1"/>
  <c r="O858" i="8"/>
  <c r="T858" i="8" s="1"/>
  <c r="U858" i="8" s="1"/>
  <c r="O859" i="8"/>
  <c r="T859" i="8" s="1"/>
  <c r="U859" i="8" s="1"/>
  <c r="O856" i="8"/>
  <c r="T856" i="8" s="1"/>
  <c r="U856" i="8" s="1"/>
  <c r="O857" i="8"/>
  <c r="T857" i="8" s="1"/>
  <c r="U857" i="8" s="1"/>
  <c r="O862" i="8"/>
  <c r="T862" i="8" s="1"/>
  <c r="U862" i="8" s="1"/>
  <c r="O863" i="8"/>
  <c r="T863" i="8" s="1"/>
  <c r="U863" i="8" s="1"/>
  <c r="AH923" i="2"/>
  <c r="AR923" i="2" s="1"/>
  <c r="AS923" i="2" s="1"/>
  <c r="Y931" i="2"/>
  <c r="Z931" i="2" s="1"/>
  <c r="AH927" i="2"/>
  <c r="AR927" i="2" s="1"/>
  <c r="AS927" i="2" s="1"/>
  <c r="Y925" i="2"/>
  <c r="AA925" i="2" s="1"/>
  <c r="AH934" i="2"/>
  <c r="AR934" i="2" s="1"/>
  <c r="AS934" i="2" s="1"/>
  <c r="AH929" i="2"/>
  <c r="AR929" i="2" s="1"/>
  <c r="AS929" i="2" s="1"/>
  <c r="AH930" i="2"/>
  <c r="AR930" i="2" s="1"/>
  <c r="AS930" i="2" s="1"/>
  <c r="Y924" i="2"/>
  <c r="Y927" i="2"/>
  <c r="Y934" i="2"/>
  <c r="Y930" i="2"/>
  <c r="AH931" i="2"/>
  <c r="AR931" i="2" s="1"/>
  <c r="AS931" i="2" s="1"/>
  <c r="Y933" i="2"/>
  <c r="Y935" i="2"/>
  <c r="Y928" i="2"/>
  <c r="AH925" i="2"/>
  <c r="AR925" i="2" s="1"/>
  <c r="AS925" i="2" s="1"/>
  <c r="Y936" i="2"/>
  <c r="Y926" i="2"/>
  <c r="AH926" i="2"/>
  <c r="AR926" i="2" s="1"/>
  <c r="AS926" i="2" s="1"/>
  <c r="Y932" i="2"/>
  <c r="Y929" i="2"/>
  <c r="AH932" i="2"/>
  <c r="AR932" i="2" s="1"/>
  <c r="AS932" i="2" s="1"/>
  <c r="AH928" i="2"/>
  <c r="AR928" i="2" s="1"/>
  <c r="AS928" i="2" s="1"/>
  <c r="AH924" i="2"/>
  <c r="AR924" i="2" s="1"/>
  <c r="AS924" i="2" s="1"/>
  <c r="R546" i="2"/>
  <c r="R545" i="2"/>
  <c r="H131" i="8" l="1"/>
  <c r="O131" i="8" s="1"/>
  <c r="Y548" i="2"/>
  <c r="H117" i="8"/>
  <c r="H121" i="8"/>
  <c r="H126" i="8"/>
  <c r="H132" i="8" s="1"/>
  <c r="H112" i="8"/>
  <c r="H120" i="8"/>
  <c r="H125" i="8"/>
  <c r="H129" i="8"/>
  <c r="H118" i="8"/>
  <c r="H115" i="8"/>
  <c r="H111" i="8"/>
  <c r="H124" i="8"/>
  <c r="H128" i="8"/>
  <c r="H119" i="8"/>
  <c r="H114" i="8"/>
  <c r="H110" i="8"/>
  <c r="H123" i="8"/>
  <c r="H127" i="8"/>
  <c r="H113" i="8"/>
  <c r="H109" i="8"/>
  <c r="H122" i="8"/>
  <c r="H130" i="8"/>
  <c r="H116" i="8"/>
  <c r="AH547" i="2"/>
  <c r="BH547" i="2" s="1"/>
  <c r="AH554" i="2"/>
  <c r="BH554" i="2" s="1"/>
  <c r="AH550" i="2"/>
  <c r="BH550" i="2" s="1"/>
  <c r="AH545" i="2"/>
  <c r="BH545" i="2" s="1"/>
  <c r="Y551" i="2"/>
  <c r="Y547" i="2"/>
  <c r="AH549" i="2"/>
  <c r="BH549" i="2" s="1"/>
  <c r="Y554" i="2"/>
  <c r="Y550" i="2"/>
  <c r="Y545" i="2"/>
  <c r="AH548" i="2"/>
  <c r="BH548" i="2" s="1"/>
  <c r="Y553" i="2"/>
  <c r="Y549" i="2"/>
  <c r="Y546" i="2"/>
  <c r="Z545" i="2" s="1"/>
  <c r="AH551" i="2"/>
  <c r="BH551" i="2" s="1"/>
  <c r="AH546" i="2"/>
  <c r="BH546" i="2" s="1"/>
  <c r="Y552" i="2"/>
  <c r="Z551" i="2" s="1"/>
  <c r="Z547" i="2"/>
  <c r="AH553" i="2"/>
  <c r="BH553" i="2" s="1"/>
  <c r="AH552" i="2"/>
  <c r="BH552" i="2" s="1"/>
  <c r="AA931" i="2"/>
  <c r="Z925" i="2"/>
  <c r="AA929" i="2"/>
  <c r="Z929" i="2"/>
  <c r="AA935" i="2"/>
  <c r="Z935" i="2"/>
  <c r="AA934" i="2"/>
  <c r="Z934" i="2"/>
  <c r="AA932" i="2"/>
  <c r="Z932" i="2"/>
  <c r="Z936" i="2"/>
  <c r="AA936" i="2"/>
  <c r="AA933" i="2"/>
  <c r="Z933" i="2"/>
  <c r="AA927" i="2"/>
  <c r="Z927" i="2"/>
  <c r="Z924" i="2"/>
  <c r="AA924" i="2"/>
  <c r="AE926" i="2"/>
  <c r="AE924" i="2"/>
  <c r="AE927" i="2"/>
  <c r="AE925" i="2"/>
  <c r="AA926" i="2"/>
  <c r="Z926" i="2"/>
  <c r="AA928" i="2"/>
  <c r="Z928" i="2"/>
  <c r="AA930" i="2"/>
  <c r="Z930" i="2"/>
  <c r="M131" i="8" l="1"/>
  <c r="T131" i="8" s="1"/>
  <c r="M109" i="8"/>
  <c r="T109" i="8" s="1"/>
  <c r="O109" i="8"/>
  <c r="M124" i="8"/>
  <c r="T124" i="8" s="1"/>
  <c r="O124" i="8"/>
  <c r="M129" i="8"/>
  <c r="T129" i="8" s="1"/>
  <c r="O129" i="8"/>
  <c r="M116" i="8"/>
  <c r="T116" i="8" s="1"/>
  <c r="O116" i="8"/>
  <c r="M113" i="8"/>
  <c r="T113" i="8" s="1"/>
  <c r="O113" i="8"/>
  <c r="M114" i="8"/>
  <c r="T114" i="8" s="1"/>
  <c r="O114" i="8"/>
  <c r="M111" i="8"/>
  <c r="T111" i="8" s="1"/>
  <c r="O111" i="8"/>
  <c r="M125" i="8"/>
  <c r="T125" i="8" s="1"/>
  <c r="O125" i="8"/>
  <c r="M121" i="8"/>
  <c r="T121" i="8" s="1"/>
  <c r="O121" i="8"/>
  <c r="M130" i="8"/>
  <c r="O130" i="8"/>
  <c r="M127" i="8"/>
  <c r="O127" i="8"/>
  <c r="M119" i="8"/>
  <c r="T119" i="8" s="1"/>
  <c r="O119" i="8"/>
  <c r="M115" i="8"/>
  <c r="T115" i="8" s="1"/>
  <c r="O115" i="8"/>
  <c r="M120" i="8"/>
  <c r="T120" i="8" s="1"/>
  <c r="O120" i="8"/>
  <c r="M117" i="8"/>
  <c r="T117" i="8" s="1"/>
  <c r="O117" i="8"/>
  <c r="M110" i="8"/>
  <c r="T110" i="8" s="1"/>
  <c r="O110" i="8"/>
  <c r="M126" i="8"/>
  <c r="O126" i="8"/>
  <c r="O132" i="8" s="1"/>
  <c r="M122" i="8"/>
  <c r="T122" i="8" s="1"/>
  <c r="O122" i="8"/>
  <c r="M123" i="8"/>
  <c r="T123" i="8" s="1"/>
  <c r="O123" i="8"/>
  <c r="M128" i="8"/>
  <c r="T128" i="8" s="1"/>
  <c r="O128" i="8"/>
  <c r="M118" i="8"/>
  <c r="T118" i="8" s="1"/>
  <c r="O118" i="8"/>
  <c r="M112" i="8"/>
  <c r="T112" i="8" s="1"/>
  <c r="O112" i="8"/>
  <c r="Z553" i="2"/>
  <c r="Z549" i="2"/>
  <c r="AA941" i="2"/>
  <c r="T126" i="8" l="1"/>
  <c r="T132" i="8" s="1"/>
  <c r="U132" i="8" s="1"/>
  <c r="M132" i="8"/>
  <c r="N132" i="8" s="1"/>
  <c r="N113" i="8"/>
  <c r="U113" i="8" s="1"/>
  <c r="N115" i="8"/>
  <c r="U115" i="8" s="1"/>
  <c r="N111" i="8"/>
  <c r="U111" i="8" s="1"/>
  <c r="N117" i="8"/>
  <c r="U117" i="8" s="1"/>
  <c r="N116" i="8"/>
  <c r="U116" i="8" s="1"/>
  <c r="N118" i="8"/>
  <c r="U118" i="8" s="1"/>
  <c r="N123" i="8"/>
  <c r="U123" i="8" s="1"/>
  <c r="N124" i="8"/>
  <c r="U124" i="8" s="1"/>
  <c r="N130" i="8"/>
  <c r="U130" i="8" s="1"/>
  <c r="T130" i="8"/>
  <c r="N121" i="8"/>
  <c r="U121" i="8" s="1"/>
  <c r="N110" i="8"/>
  <c r="U110" i="8" s="1"/>
  <c r="N126" i="8"/>
  <c r="U126" i="8" s="1"/>
  <c r="N125" i="8"/>
  <c r="U125" i="8" s="1"/>
  <c r="N114" i="8"/>
  <c r="U114" i="8" s="1"/>
  <c r="N119" i="8"/>
  <c r="U119" i="8" s="1"/>
  <c r="N128" i="8"/>
  <c r="U128" i="8" s="1"/>
  <c r="N129" i="8"/>
  <c r="U129" i="8" s="1"/>
  <c r="N112" i="8"/>
  <c r="U112" i="8" s="1"/>
  <c r="N122" i="8"/>
  <c r="U122" i="8" s="1"/>
  <c r="N127" i="8"/>
  <c r="U127" i="8" s="1"/>
  <c r="T127" i="8"/>
  <c r="Z946" i="2"/>
  <c r="AA946" i="2"/>
  <c r="Z943" i="2"/>
  <c r="AA943" i="2"/>
  <c r="Z945" i="2"/>
  <c r="AA945" i="2"/>
  <c r="Z944" i="2"/>
  <c r="AA944" i="2"/>
  <c r="Z942" i="2"/>
  <c r="AA942" i="2"/>
  <c r="AA525" i="2"/>
  <c r="AA521" i="2"/>
  <c r="AA519" i="2"/>
  <c r="AA523" i="2"/>
  <c r="AA517" i="2"/>
  <c r="AA21" i="2"/>
  <c r="AA19" i="2"/>
  <c r="AA17" i="2"/>
  <c r="AA15" i="2"/>
  <c r="AA13" i="2"/>
  <c r="Q529" i="2"/>
  <c r="Q528" i="2"/>
  <c r="Q527" i="2"/>
  <c r="Q526" i="2"/>
  <c r="Q525" i="2"/>
  <c r="Q524" i="2"/>
  <c r="Q523" i="2"/>
  <c r="Q522" i="2"/>
  <c r="Q521" i="2"/>
  <c r="Q520" i="2"/>
  <c r="Q21" i="2"/>
  <c r="Q20" i="2"/>
  <c r="Q19" i="2"/>
  <c r="Q18" i="2"/>
  <c r="Q17" i="2"/>
  <c r="Q16" i="2"/>
  <c r="Q15" i="2"/>
  <c r="Q14" i="2"/>
  <c r="Q13" i="2"/>
  <c r="Q12" i="2"/>
  <c r="R16" i="2" l="1"/>
  <c r="R520" i="2"/>
  <c r="R523" i="2"/>
  <c r="R527" i="2"/>
  <c r="R12" i="2"/>
  <c r="Y11" i="2" s="1"/>
  <c r="H25" i="8" l="1"/>
  <c r="M25" i="8" s="1"/>
  <c r="H24" i="8"/>
  <c r="M24" i="8" s="1"/>
  <c r="H23" i="8"/>
  <c r="M23" i="8" s="1"/>
  <c r="H26" i="8"/>
  <c r="M26" i="8" s="1"/>
  <c r="H11" i="8"/>
  <c r="M11" i="8" s="1"/>
  <c r="H22" i="8"/>
  <c r="M22" i="8" s="1"/>
  <c r="H18" i="8"/>
  <c r="M18" i="8" s="1"/>
  <c r="H14" i="8"/>
  <c r="M14" i="8" s="1"/>
  <c r="H10" i="8"/>
  <c r="M10" i="8" s="1"/>
  <c r="H5" i="8"/>
  <c r="M5" i="8" s="1"/>
  <c r="H17" i="8"/>
  <c r="M17" i="8" s="1"/>
  <c r="H9" i="8"/>
  <c r="M9" i="8" s="1"/>
  <c r="H6" i="8"/>
  <c r="M6" i="8" s="1"/>
  <c r="H20" i="8"/>
  <c r="M20" i="8" s="1"/>
  <c r="H16" i="8"/>
  <c r="M16" i="8" s="1"/>
  <c r="H12" i="8"/>
  <c r="M12" i="8" s="1"/>
  <c r="H8" i="8"/>
  <c r="M8" i="8" s="1"/>
  <c r="H19" i="8"/>
  <c r="M19" i="8" s="1"/>
  <c r="H15" i="8"/>
  <c r="M15" i="8" s="1"/>
  <c r="H7" i="8"/>
  <c r="M7" i="8" s="1"/>
  <c r="H21" i="8"/>
  <c r="M21" i="8" s="1"/>
  <c r="H13" i="8"/>
  <c r="M13" i="8" s="1"/>
  <c r="Y522" i="2"/>
  <c r="Y521" i="2"/>
  <c r="Y523" i="2"/>
  <c r="Y519" i="2"/>
  <c r="Y526" i="2"/>
  <c r="Y525" i="2"/>
  <c r="Y518" i="2"/>
  <c r="Y524" i="2"/>
  <c r="Y520" i="2"/>
  <c r="Y517" i="2"/>
  <c r="Y17" i="2"/>
  <c r="Y19" i="2"/>
  <c r="Y14" i="2"/>
  <c r="Y8" i="2"/>
  <c r="Y21" i="2"/>
  <c r="Y16" i="2"/>
  <c r="Y13" i="2"/>
  <c r="Y9" i="2"/>
  <c r="Y7" i="2"/>
  <c r="Y5" i="2"/>
  <c r="Y18" i="2"/>
  <c r="Y15" i="2"/>
  <c r="Y20" i="2"/>
  <c r="Y22" i="2"/>
  <c r="Y12" i="2"/>
  <c r="Z11" i="2" s="1"/>
  <c r="Y10" i="2"/>
  <c r="Z9" i="2" s="1"/>
  <c r="Y6" i="2"/>
  <c r="Z5" i="2" l="1"/>
  <c r="Z19" i="2"/>
  <c r="M98" i="8"/>
  <c r="H98" i="8"/>
  <c r="H106" i="8"/>
  <c r="M106" i="8"/>
  <c r="H102" i="8"/>
  <c r="M102" i="8"/>
  <c r="H101" i="8"/>
  <c r="M101" i="8"/>
  <c r="M107" i="8"/>
  <c r="H107" i="8"/>
  <c r="M103" i="8"/>
  <c r="H103" i="8"/>
  <c r="H105" i="8"/>
  <c r="M105" i="8"/>
  <c r="M100" i="8"/>
  <c r="H100" i="8"/>
  <c r="M99" i="8"/>
  <c r="N99" i="8" s="1"/>
  <c r="H99" i="8"/>
  <c r="M104" i="8"/>
  <c r="H104" i="8"/>
  <c r="N26" i="8"/>
  <c r="N24" i="8"/>
  <c r="Z7" i="2"/>
  <c r="N12" i="8"/>
  <c r="N14" i="8"/>
  <c r="N6" i="8"/>
  <c r="N16" i="8"/>
  <c r="N18" i="8"/>
  <c r="N20" i="8"/>
  <c r="N22" i="8"/>
  <c r="Z517" i="2"/>
  <c r="N8" i="8"/>
  <c r="N10" i="8"/>
  <c r="Z15" i="2"/>
  <c r="Z523" i="2"/>
  <c r="Z17" i="2"/>
  <c r="Z21" i="2"/>
  <c r="Z13" i="2"/>
  <c r="Z519" i="2"/>
  <c r="Z525" i="2"/>
  <c r="Z521" i="2"/>
  <c r="N103" i="8" l="1"/>
  <c r="N101" i="8"/>
  <c r="N105" i="8"/>
  <c r="N107" i="8"/>
</calcChain>
</file>

<file path=xl/comments1.xml><?xml version="1.0" encoding="utf-8"?>
<comments xmlns="http://schemas.openxmlformats.org/spreadsheetml/2006/main">
  <authors>
    <author>Lucas Scheidler</author>
    <author>Mike Ting</author>
    <author>Phillip Kelsven</author>
    <author>Dawdy, John</author>
    <author>Jeremy Eddy</author>
    <author>Stryker, Andrew</author>
  </authors>
  <commentList>
    <comment ref="AA5" authorId="0">
      <text>
        <r>
          <rPr>
            <b/>
            <sz val="9"/>
            <color indexed="81"/>
            <rFont val="Tahoma"/>
            <family val="2"/>
          </rPr>
          <t>Lucas Scheidler:</t>
        </r>
        <r>
          <rPr>
            <sz val="9"/>
            <color indexed="81"/>
            <rFont val="Tahoma"/>
            <family val="2"/>
          </rPr>
          <t xml:space="preserve">
=s.e.*(kWh_baseline - kWh_measure)</t>
        </r>
      </text>
    </comment>
    <comment ref="AD5" authorId="0">
      <text>
        <r>
          <rPr>
            <b/>
            <sz val="9"/>
            <color indexed="81"/>
            <rFont val="Tahoma"/>
            <family val="2"/>
          </rPr>
          <t>Lucas Scheidler:</t>
        </r>
        <r>
          <rPr>
            <sz val="9"/>
            <color indexed="81"/>
            <rFont val="Tahoma"/>
            <family val="2"/>
          </rPr>
          <t xml:space="preserve">
Descriptive stats are on percentage difference between modeled and actual prices ((Modeled - Actual)/Actual)</t>
        </r>
      </text>
    </comment>
    <comment ref="AD28" authorId="0">
      <text>
        <r>
          <rPr>
            <b/>
            <sz val="9"/>
            <color indexed="81"/>
            <rFont val="Tahoma"/>
            <family val="2"/>
          </rPr>
          <t>Jeremy Eddy:</t>
        </r>
        <r>
          <rPr>
            <sz val="9"/>
            <color indexed="81"/>
            <rFont val="Tahoma"/>
            <family val="2"/>
          </rPr>
          <t xml:space="preserve">
Descriptive stats are on percentage difference between modeled and actual prices ((Modeled - Actual)/Actual)</t>
        </r>
      </text>
    </comment>
    <comment ref="AD56" authorId="0">
      <text>
        <r>
          <rPr>
            <b/>
            <sz val="9"/>
            <color indexed="81"/>
            <rFont val="Tahoma"/>
            <family val="2"/>
          </rPr>
          <t>Jeremy Eddy:</t>
        </r>
        <r>
          <rPr>
            <sz val="9"/>
            <color indexed="81"/>
            <rFont val="Tahoma"/>
            <family val="2"/>
          </rPr>
          <t xml:space="preserve">
Descriptive stats are on percentage difference between modeled and actual prices ((Modeled - Actual)/Actual)</t>
        </r>
      </text>
    </comment>
    <comment ref="X96" authorId="1">
      <text>
        <r>
          <rPr>
            <b/>
            <sz val="9"/>
            <color indexed="81"/>
            <rFont val="Tahoma"/>
            <family val="2"/>
          </rPr>
          <t>Mike Ting:</t>
        </r>
        <r>
          <rPr>
            <sz val="9"/>
            <color indexed="81"/>
            <rFont val="Tahoma"/>
            <family val="2"/>
          </rPr>
          <t xml:space="preserve">
Screen area is required to determine the Title 20 baseline wattage and various ESTAR-compliant wattages. The screen area value assumed is the sales-weighted average for 55" screens in the POS dataset.</t>
        </r>
      </text>
    </comment>
    <comment ref="AD96" authorId="0">
      <text>
        <r>
          <rPr>
            <b/>
            <sz val="9"/>
            <color indexed="81"/>
            <rFont val="Tahoma"/>
            <family val="2"/>
          </rPr>
          <t>Lucas Scheidler:</t>
        </r>
        <r>
          <rPr>
            <sz val="9"/>
            <color indexed="81"/>
            <rFont val="Tahoma"/>
            <family val="2"/>
          </rPr>
          <t xml:space="preserve">
Descriptive stats are on percentage difference between modeled and actual prices ((Modeled - Actual)/Actual)</t>
        </r>
      </text>
    </comment>
    <comment ref="AI96" authorId="1">
      <text>
        <r>
          <rPr>
            <b/>
            <sz val="9"/>
            <color indexed="81"/>
            <rFont val="Tahoma"/>
            <family val="2"/>
          </rPr>
          <t>Mike Ting:</t>
        </r>
        <r>
          <rPr>
            <sz val="9"/>
            <color indexed="81"/>
            <rFont val="Tahoma"/>
            <family val="2"/>
          </rPr>
          <t xml:space="preserve">
bestbuy.com</t>
        </r>
      </text>
    </comment>
    <comment ref="AJ96" authorId="1">
      <text>
        <r>
          <rPr>
            <b/>
            <sz val="9"/>
            <color indexed="81"/>
            <rFont val="Tahoma"/>
            <family val="2"/>
          </rPr>
          <t>Mike Ting:</t>
        </r>
        <r>
          <rPr>
            <sz val="9"/>
            <color indexed="81"/>
            <rFont val="Tahoma"/>
            <family val="2"/>
          </rPr>
          <t xml:space="preserve">
sears.com</t>
        </r>
      </text>
    </comment>
    <comment ref="AK96" authorId="1">
      <text>
        <r>
          <rPr>
            <b/>
            <sz val="9"/>
            <color indexed="81"/>
            <rFont val="Tahoma"/>
            <family val="2"/>
          </rPr>
          <t>Mike Ting:</t>
        </r>
        <r>
          <rPr>
            <sz val="9"/>
            <color indexed="81"/>
            <rFont val="Tahoma"/>
            <family val="2"/>
          </rPr>
          <t xml:space="preserve">
amazon.com</t>
        </r>
      </text>
    </comment>
    <comment ref="AL96" authorId="1">
      <text>
        <r>
          <rPr>
            <b/>
            <sz val="9"/>
            <color indexed="81"/>
            <rFont val="Tahoma"/>
            <family val="2"/>
          </rPr>
          <t>Mike Ting:</t>
        </r>
        <r>
          <rPr>
            <sz val="9"/>
            <color indexed="81"/>
            <rFont val="Tahoma"/>
            <family val="2"/>
          </rPr>
          <t xml:space="preserve">
newegg.com</t>
        </r>
      </text>
    </comment>
    <comment ref="AM96" authorId="1">
      <text>
        <r>
          <rPr>
            <b/>
            <sz val="9"/>
            <color indexed="81"/>
            <rFont val="Tahoma"/>
            <family val="2"/>
          </rPr>
          <t>Mike Ting:</t>
        </r>
        <r>
          <rPr>
            <sz val="9"/>
            <color indexed="81"/>
            <rFont val="Tahoma"/>
            <family val="2"/>
          </rPr>
          <t xml:space="preserve">
frys.com</t>
        </r>
      </text>
    </comment>
    <comment ref="AN96" authorId="1">
      <text>
        <r>
          <rPr>
            <b/>
            <sz val="9"/>
            <color indexed="81"/>
            <rFont val="Tahoma"/>
            <family val="2"/>
          </rPr>
          <t>Mike Ting:</t>
        </r>
        <r>
          <rPr>
            <sz val="9"/>
            <color indexed="81"/>
            <rFont val="Tahoma"/>
            <family val="2"/>
          </rPr>
          <t xml:space="preserve">
target.com</t>
        </r>
      </text>
    </comment>
    <comment ref="X128" authorId="1">
      <text>
        <r>
          <rPr>
            <b/>
            <sz val="9"/>
            <color indexed="81"/>
            <rFont val="Tahoma"/>
            <family val="2"/>
          </rPr>
          <t>Mike Ting:</t>
        </r>
        <r>
          <rPr>
            <sz val="9"/>
            <color indexed="81"/>
            <rFont val="Tahoma"/>
            <family val="2"/>
          </rPr>
          <t xml:space="preserve">
Screen area is required to determine the Title 20 baseline wattage and various ESTAR-compliant wattages. The screen area value assumed is the sales-weighted average for 46" screens in the POS dataset.</t>
        </r>
      </text>
    </comment>
    <comment ref="AD128" authorId="0">
      <text>
        <r>
          <rPr>
            <b/>
            <sz val="9"/>
            <color indexed="81"/>
            <rFont val="Tahoma"/>
            <family val="2"/>
          </rPr>
          <t>Lucas Scheidler:</t>
        </r>
        <r>
          <rPr>
            <sz val="9"/>
            <color indexed="81"/>
            <rFont val="Tahoma"/>
            <family val="2"/>
          </rPr>
          <t xml:space="preserve">
Descriptive stats are on percentage difference between modeled and actual prices ((Modeled - Actual)/Actual)</t>
        </r>
      </text>
    </comment>
    <comment ref="AI128" authorId="1">
      <text>
        <r>
          <rPr>
            <b/>
            <sz val="9"/>
            <color indexed="81"/>
            <rFont val="Tahoma"/>
            <family val="2"/>
          </rPr>
          <t>Mike Ting:</t>
        </r>
        <r>
          <rPr>
            <sz val="9"/>
            <color indexed="81"/>
            <rFont val="Tahoma"/>
            <family val="2"/>
          </rPr>
          <t xml:space="preserve">
bestbuy.com</t>
        </r>
      </text>
    </comment>
    <comment ref="AJ128" authorId="1">
      <text>
        <r>
          <rPr>
            <b/>
            <sz val="9"/>
            <color indexed="81"/>
            <rFont val="Tahoma"/>
            <family val="2"/>
          </rPr>
          <t>Mike Ting:</t>
        </r>
        <r>
          <rPr>
            <sz val="9"/>
            <color indexed="81"/>
            <rFont val="Tahoma"/>
            <family val="2"/>
          </rPr>
          <t xml:space="preserve">
sears.com</t>
        </r>
      </text>
    </comment>
    <comment ref="AK128" authorId="1">
      <text>
        <r>
          <rPr>
            <b/>
            <sz val="9"/>
            <color indexed="81"/>
            <rFont val="Tahoma"/>
            <family val="2"/>
          </rPr>
          <t>Mike Ting:</t>
        </r>
        <r>
          <rPr>
            <sz val="9"/>
            <color indexed="81"/>
            <rFont val="Tahoma"/>
            <family val="2"/>
          </rPr>
          <t xml:space="preserve">
amazon.com</t>
        </r>
      </text>
    </comment>
    <comment ref="AL128" authorId="1">
      <text>
        <r>
          <rPr>
            <b/>
            <sz val="9"/>
            <color indexed="81"/>
            <rFont val="Tahoma"/>
            <family val="2"/>
          </rPr>
          <t>Mike Ting:</t>
        </r>
        <r>
          <rPr>
            <sz val="9"/>
            <color indexed="81"/>
            <rFont val="Tahoma"/>
            <family val="2"/>
          </rPr>
          <t xml:space="preserve">
newegg.com</t>
        </r>
      </text>
    </comment>
    <comment ref="AM128" authorId="1">
      <text>
        <r>
          <rPr>
            <b/>
            <sz val="9"/>
            <color indexed="81"/>
            <rFont val="Tahoma"/>
            <family val="2"/>
          </rPr>
          <t>Mike Ting:</t>
        </r>
        <r>
          <rPr>
            <sz val="9"/>
            <color indexed="81"/>
            <rFont val="Tahoma"/>
            <family val="2"/>
          </rPr>
          <t xml:space="preserve">
frys.com</t>
        </r>
      </text>
    </comment>
    <comment ref="AN128" authorId="1">
      <text>
        <r>
          <rPr>
            <b/>
            <sz val="9"/>
            <color indexed="81"/>
            <rFont val="Tahoma"/>
            <family val="2"/>
          </rPr>
          <t>Mike Ting:</t>
        </r>
        <r>
          <rPr>
            <sz val="9"/>
            <color indexed="81"/>
            <rFont val="Tahoma"/>
            <family val="2"/>
          </rPr>
          <t xml:space="preserve">
target.com</t>
        </r>
      </text>
    </comment>
    <comment ref="X163" authorId="1">
      <text>
        <r>
          <rPr>
            <b/>
            <sz val="9"/>
            <color indexed="81"/>
            <rFont val="Tahoma"/>
            <family val="2"/>
          </rPr>
          <t>Mike Ting:</t>
        </r>
        <r>
          <rPr>
            <sz val="9"/>
            <color indexed="81"/>
            <rFont val="Tahoma"/>
            <family val="2"/>
          </rPr>
          <t xml:space="preserve">
Screen area is required to determine the Title 20 baseline wattage and various ESTAR-compliant wattages. The screen area value assumed is the sales-weighted average for 40" screens in the POS dataset.</t>
        </r>
      </text>
    </comment>
    <comment ref="AD163" authorId="0">
      <text>
        <r>
          <rPr>
            <b/>
            <sz val="9"/>
            <color indexed="81"/>
            <rFont val="Tahoma"/>
            <family val="2"/>
          </rPr>
          <t>Lucas Scheidler:</t>
        </r>
        <r>
          <rPr>
            <sz val="9"/>
            <color indexed="81"/>
            <rFont val="Tahoma"/>
            <family val="2"/>
          </rPr>
          <t xml:space="preserve">
Descriptive stats are on percentage difference between modeled and actual prices ((Modeled - Actual)/Actual)</t>
        </r>
      </text>
    </comment>
    <comment ref="AI163" authorId="1">
      <text>
        <r>
          <rPr>
            <b/>
            <sz val="9"/>
            <color indexed="81"/>
            <rFont val="Tahoma"/>
            <family val="2"/>
          </rPr>
          <t>Mike Ting:</t>
        </r>
        <r>
          <rPr>
            <sz val="9"/>
            <color indexed="81"/>
            <rFont val="Tahoma"/>
            <family val="2"/>
          </rPr>
          <t xml:space="preserve">
bestbuy.com</t>
        </r>
      </text>
    </comment>
    <comment ref="AJ163" authorId="1">
      <text>
        <r>
          <rPr>
            <b/>
            <sz val="9"/>
            <color indexed="81"/>
            <rFont val="Tahoma"/>
            <family val="2"/>
          </rPr>
          <t>Mike Ting:</t>
        </r>
        <r>
          <rPr>
            <sz val="9"/>
            <color indexed="81"/>
            <rFont val="Tahoma"/>
            <family val="2"/>
          </rPr>
          <t xml:space="preserve">
sears.com</t>
        </r>
      </text>
    </comment>
    <comment ref="AK163" authorId="1">
      <text>
        <r>
          <rPr>
            <b/>
            <sz val="9"/>
            <color indexed="81"/>
            <rFont val="Tahoma"/>
            <family val="2"/>
          </rPr>
          <t>Mike Ting:</t>
        </r>
        <r>
          <rPr>
            <sz val="9"/>
            <color indexed="81"/>
            <rFont val="Tahoma"/>
            <family val="2"/>
          </rPr>
          <t xml:space="preserve">
amazon.com</t>
        </r>
      </text>
    </comment>
    <comment ref="AL163" authorId="1">
      <text>
        <r>
          <rPr>
            <b/>
            <sz val="9"/>
            <color indexed="81"/>
            <rFont val="Tahoma"/>
            <family val="2"/>
          </rPr>
          <t>Mike Ting:</t>
        </r>
        <r>
          <rPr>
            <sz val="9"/>
            <color indexed="81"/>
            <rFont val="Tahoma"/>
            <family val="2"/>
          </rPr>
          <t xml:space="preserve">
newegg.com</t>
        </r>
      </text>
    </comment>
    <comment ref="AM163" authorId="1">
      <text>
        <r>
          <rPr>
            <b/>
            <sz val="9"/>
            <color indexed="81"/>
            <rFont val="Tahoma"/>
            <family val="2"/>
          </rPr>
          <t>Mike Ting:</t>
        </r>
        <r>
          <rPr>
            <sz val="9"/>
            <color indexed="81"/>
            <rFont val="Tahoma"/>
            <family val="2"/>
          </rPr>
          <t xml:space="preserve">
frys.com</t>
        </r>
      </text>
    </comment>
    <comment ref="AN163" authorId="1">
      <text>
        <r>
          <rPr>
            <b/>
            <sz val="9"/>
            <color indexed="81"/>
            <rFont val="Tahoma"/>
            <family val="2"/>
          </rPr>
          <t>Mike Ting:</t>
        </r>
        <r>
          <rPr>
            <sz val="9"/>
            <color indexed="81"/>
            <rFont val="Tahoma"/>
            <family val="2"/>
          </rPr>
          <t xml:space="preserve">
target.com</t>
        </r>
      </text>
    </comment>
    <comment ref="X188" authorId="1">
      <text>
        <r>
          <rPr>
            <b/>
            <sz val="9"/>
            <color indexed="81"/>
            <rFont val="Tahoma"/>
            <family val="2"/>
          </rPr>
          <t>Mike Ting:</t>
        </r>
        <r>
          <rPr>
            <sz val="9"/>
            <color indexed="81"/>
            <rFont val="Tahoma"/>
            <family val="2"/>
          </rPr>
          <t xml:space="preserve">
Screen area is required to determine the Title 20 baseline wattage and various ESTAR-compliant wattages. The screen area value assumed is the sales-weighted average for 32" screens in the POS dataset.</t>
        </r>
      </text>
    </comment>
    <comment ref="AD188" authorId="0">
      <text>
        <r>
          <rPr>
            <b/>
            <sz val="9"/>
            <color indexed="81"/>
            <rFont val="Tahoma"/>
            <family val="2"/>
          </rPr>
          <t>Lucas Scheidler:</t>
        </r>
        <r>
          <rPr>
            <sz val="9"/>
            <color indexed="81"/>
            <rFont val="Tahoma"/>
            <family val="2"/>
          </rPr>
          <t xml:space="preserve">
Descriptive stats are on percentage difference between modeled and actual prices ((Modeled - Actual)/Actual)</t>
        </r>
      </text>
    </comment>
    <comment ref="AI188" authorId="1">
      <text>
        <r>
          <rPr>
            <b/>
            <sz val="9"/>
            <color indexed="81"/>
            <rFont val="Tahoma"/>
            <family val="2"/>
          </rPr>
          <t>Mike Ting:</t>
        </r>
        <r>
          <rPr>
            <sz val="9"/>
            <color indexed="81"/>
            <rFont val="Tahoma"/>
            <family val="2"/>
          </rPr>
          <t xml:space="preserve">
bestbuy.com</t>
        </r>
      </text>
    </comment>
    <comment ref="AJ188" authorId="1">
      <text>
        <r>
          <rPr>
            <b/>
            <sz val="9"/>
            <color indexed="81"/>
            <rFont val="Tahoma"/>
            <family val="2"/>
          </rPr>
          <t>Mike Ting:</t>
        </r>
        <r>
          <rPr>
            <sz val="9"/>
            <color indexed="81"/>
            <rFont val="Tahoma"/>
            <family val="2"/>
          </rPr>
          <t xml:space="preserve">
sears.com</t>
        </r>
      </text>
    </comment>
    <comment ref="AK188" authorId="1">
      <text>
        <r>
          <rPr>
            <b/>
            <sz val="9"/>
            <color indexed="81"/>
            <rFont val="Tahoma"/>
            <family val="2"/>
          </rPr>
          <t>Mike Ting:</t>
        </r>
        <r>
          <rPr>
            <sz val="9"/>
            <color indexed="81"/>
            <rFont val="Tahoma"/>
            <family val="2"/>
          </rPr>
          <t xml:space="preserve">
amazon.com</t>
        </r>
      </text>
    </comment>
    <comment ref="AL188" authorId="1">
      <text>
        <r>
          <rPr>
            <b/>
            <sz val="9"/>
            <color indexed="81"/>
            <rFont val="Tahoma"/>
            <family val="2"/>
          </rPr>
          <t>Mike Ting:</t>
        </r>
        <r>
          <rPr>
            <sz val="9"/>
            <color indexed="81"/>
            <rFont val="Tahoma"/>
            <family val="2"/>
          </rPr>
          <t xml:space="preserve">
newegg.com</t>
        </r>
      </text>
    </comment>
    <comment ref="AM188" authorId="1">
      <text>
        <r>
          <rPr>
            <b/>
            <sz val="9"/>
            <color indexed="81"/>
            <rFont val="Tahoma"/>
            <family val="2"/>
          </rPr>
          <t>Mike Ting:</t>
        </r>
        <r>
          <rPr>
            <sz val="9"/>
            <color indexed="81"/>
            <rFont val="Tahoma"/>
            <family val="2"/>
          </rPr>
          <t xml:space="preserve">
frys.com</t>
        </r>
      </text>
    </comment>
    <comment ref="AN188" authorId="1">
      <text>
        <r>
          <rPr>
            <b/>
            <sz val="9"/>
            <color indexed="81"/>
            <rFont val="Tahoma"/>
            <family val="2"/>
          </rPr>
          <t>Mike Ting:</t>
        </r>
        <r>
          <rPr>
            <sz val="9"/>
            <color indexed="81"/>
            <rFont val="Tahoma"/>
            <family val="2"/>
          </rPr>
          <t xml:space="preserve">
target.com</t>
        </r>
      </text>
    </comment>
    <comment ref="X227" authorId="1">
      <text>
        <r>
          <rPr>
            <b/>
            <sz val="9"/>
            <color indexed="81"/>
            <rFont val="Tahoma"/>
            <family val="2"/>
          </rPr>
          <t>Mike Ting:</t>
        </r>
        <r>
          <rPr>
            <sz val="9"/>
            <color indexed="81"/>
            <rFont val="Tahoma"/>
            <family val="2"/>
          </rPr>
          <t xml:space="preserve">
Screen area is required to determine the Title 20 baseline wattage and various ESTAR-compliant wattages. The screen area value assumed is the sales-weighted average for 22" screens in the POS dataset.</t>
        </r>
      </text>
    </comment>
    <comment ref="AD227" authorId="0">
      <text>
        <r>
          <rPr>
            <b/>
            <sz val="9"/>
            <color indexed="81"/>
            <rFont val="Tahoma"/>
            <family val="2"/>
          </rPr>
          <t>Lucas Scheidler:</t>
        </r>
        <r>
          <rPr>
            <sz val="9"/>
            <color indexed="81"/>
            <rFont val="Tahoma"/>
            <family val="2"/>
          </rPr>
          <t xml:space="preserve">
Descriptive stats are on percentage difference between modeled and actual prices ((Modeled - Actual)/Actual)</t>
        </r>
      </text>
    </comment>
    <comment ref="AI227" authorId="1">
      <text>
        <r>
          <rPr>
            <b/>
            <sz val="9"/>
            <color indexed="81"/>
            <rFont val="Tahoma"/>
            <family val="2"/>
          </rPr>
          <t>Mike Ting:</t>
        </r>
        <r>
          <rPr>
            <sz val="9"/>
            <color indexed="81"/>
            <rFont val="Tahoma"/>
            <family val="2"/>
          </rPr>
          <t xml:space="preserve">
bestbuy.com</t>
        </r>
      </text>
    </comment>
    <comment ref="AJ227" authorId="1">
      <text>
        <r>
          <rPr>
            <b/>
            <sz val="9"/>
            <color indexed="81"/>
            <rFont val="Tahoma"/>
            <family val="2"/>
          </rPr>
          <t>Mike Ting:</t>
        </r>
        <r>
          <rPr>
            <sz val="9"/>
            <color indexed="81"/>
            <rFont val="Tahoma"/>
            <family val="2"/>
          </rPr>
          <t xml:space="preserve">
sears.com</t>
        </r>
      </text>
    </comment>
    <comment ref="AK227" authorId="1">
      <text>
        <r>
          <rPr>
            <b/>
            <sz val="9"/>
            <color indexed="81"/>
            <rFont val="Tahoma"/>
            <family val="2"/>
          </rPr>
          <t>Mike Ting:</t>
        </r>
        <r>
          <rPr>
            <sz val="9"/>
            <color indexed="81"/>
            <rFont val="Tahoma"/>
            <family val="2"/>
          </rPr>
          <t xml:space="preserve">
amazon.com</t>
        </r>
      </text>
    </comment>
    <comment ref="AL227" authorId="1">
      <text>
        <r>
          <rPr>
            <b/>
            <sz val="9"/>
            <color indexed="81"/>
            <rFont val="Tahoma"/>
            <family val="2"/>
          </rPr>
          <t>Mike Ting:</t>
        </r>
        <r>
          <rPr>
            <sz val="9"/>
            <color indexed="81"/>
            <rFont val="Tahoma"/>
            <family val="2"/>
          </rPr>
          <t xml:space="preserve">
newegg.com</t>
        </r>
      </text>
    </comment>
    <comment ref="AM227" authorId="1">
      <text>
        <r>
          <rPr>
            <b/>
            <sz val="9"/>
            <color indexed="81"/>
            <rFont val="Tahoma"/>
            <family val="2"/>
          </rPr>
          <t>Mike Ting:</t>
        </r>
        <r>
          <rPr>
            <sz val="9"/>
            <color indexed="81"/>
            <rFont val="Tahoma"/>
            <family val="2"/>
          </rPr>
          <t xml:space="preserve">
frys.com</t>
        </r>
      </text>
    </comment>
    <comment ref="AN227" authorId="1">
      <text>
        <r>
          <rPr>
            <b/>
            <sz val="9"/>
            <color indexed="81"/>
            <rFont val="Tahoma"/>
            <family val="2"/>
          </rPr>
          <t>Mike Ting:</t>
        </r>
        <r>
          <rPr>
            <sz val="9"/>
            <color indexed="81"/>
            <rFont val="Tahoma"/>
            <family val="2"/>
          </rPr>
          <t xml:space="preserve">
target.com</t>
        </r>
      </text>
    </comment>
    <comment ref="X257" authorId="1">
      <text>
        <r>
          <rPr>
            <b/>
            <sz val="9"/>
            <color indexed="81"/>
            <rFont val="Tahoma"/>
            <family val="2"/>
          </rPr>
          <t>Mike Ting:</t>
        </r>
        <r>
          <rPr>
            <sz val="9"/>
            <color indexed="81"/>
            <rFont val="Tahoma"/>
            <family val="2"/>
          </rPr>
          <t xml:space="preserve">
Screen area is required to determine the Title 20 baseline wattage and various ESTAR-compliant wattages. The screen area value assumed is the sales-weighted average for 19" screens in the POS dataset.</t>
        </r>
      </text>
    </comment>
    <comment ref="AD257" authorId="0">
      <text>
        <r>
          <rPr>
            <b/>
            <sz val="9"/>
            <color indexed="81"/>
            <rFont val="Tahoma"/>
            <family val="2"/>
          </rPr>
          <t>Lucas Scheidler:</t>
        </r>
        <r>
          <rPr>
            <sz val="9"/>
            <color indexed="81"/>
            <rFont val="Tahoma"/>
            <family val="2"/>
          </rPr>
          <t xml:space="preserve">
Descriptive stats are on percentage difference between modeled and actual prices ((Modeled - Actual)/Actual)</t>
        </r>
      </text>
    </comment>
    <comment ref="AI257" authorId="1">
      <text>
        <r>
          <rPr>
            <b/>
            <sz val="9"/>
            <color indexed="81"/>
            <rFont val="Tahoma"/>
            <family val="2"/>
          </rPr>
          <t>Mike Ting:</t>
        </r>
        <r>
          <rPr>
            <sz val="9"/>
            <color indexed="81"/>
            <rFont val="Tahoma"/>
            <family val="2"/>
          </rPr>
          <t xml:space="preserve">
bestbuy.com</t>
        </r>
      </text>
    </comment>
    <comment ref="AJ257" authorId="1">
      <text>
        <r>
          <rPr>
            <b/>
            <sz val="9"/>
            <color indexed="81"/>
            <rFont val="Tahoma"/>
            <family val="2"/>
          </rPr>
          <t>Mike Ting:</t>
        </r>
        <r>
          <rPr>
            <sz val="9"/>
            <color indexed="81"/>
            <rFont val="Tahoma"/>
            <family val="2"/>
          </rPr>
          <t xml:space="preserve">
sears.com</t>
        </r>
      </text>
    </comment>
    <comment ref="AK257" authorId="1">
      <text>
        <r>
          <rPr>
            <b/>
            <sz val="9"/>
            <color indexed="81"/>
            <rFont val="Tahoma"/>
            <family val="2"/>
          </rPr>
          <t>Mike Ting:</t>
        </r>
        <r>
          <rPr>
            <sz val="9"/>
            <color indexed="81"/>
            <rFont val="Tahoma"/>
            <family val="2"/>
          </rPr>
          <t xml:space="preserve">
amazon.com</t>
        </r>
      </text>
    </comment>
    <comment ref="AL257" authorId="1">
      <text>
        <r>
          <rPr>
            <b/>
            <sz val="9"/>
            <color indexed="81"/>
            <rFont val="Tahoma"/>
            <family val="2"/>
          </rPr>
          <t>Mike Ting:</t>
        </r>
        <r>
          <rPr>
            <sz val="9"/>
            <color indexed="81"/>
            <rFont val="Tahoma"/>
            <family val="2"/>
          </rPr>
          <t xml:space="preserve">
newegg.com</t>
        </r>
      </text>
    </comment>
    <comment ref="AM257" authorId="1">
      <text>
        <r>
          <rPr>
            <b/>
            <sz val="9"/>
            <color indexed="81"/>
            <rFont val="Tahoma"/>
            <family val="2"/>
          </rPr>
          <t>Mike Ting:</t>
        </r>
        <r>
          <rPr>
            <sz val="9"/>
            <color indexed="81"/>
            <rFont val="Tahoma"/>
            <family val="2"/>
          </rPr>
          <t xml:space="preserve">
frys.com</t>
        </r>
      </text>
    </comment>
    <comment ref="AN257" authorId="1">
      <text>
        <r>
          <rPr>
            <b/>
            <sz val="9"/>
            <color indexed="81"/>
            <rFont val="Tahoma"/>
            <family val="2"/>
          </rPr>
          <t>Mike Ting:</t>
        </r>
        <r>
          <rPr>
            <sz val="9"/>
            <color indexed="81"/>
            <rFont val="Tahoma"/>
            <family val="2"/>
          </rPr>
          <t xml:space="preserve">
target.com</t>
        </r>
      </text>
    </comment>
    <comment ref="X288" authorId="1">
      <text>
        <r>
          <rPr>
            <b/>
            <sz val="9"/>
            <color indexed="81"/>
            <rFont val="Tahoma"/>
            <family val="2"/>
          </rPr>
          <t>Mike Ting:</t>
        </r>
        <r>
          <rPr>
            <sz val="9"/>
            <color indexed="81"/>
            <rFont val="Tahoma"/>
            <family val="2"/>
          </rPr>
          <t xml:space="preserve">
Screen area is required to determine the Title 20 baseline wattage and various ESTAR-compliant wattages. The screen area value assumed is the sales-weighted average for 55" screens in the POS dataset.</t>
        </r>
      </text>
    </comment>
    <comment ref="AD288" authorId="0">
      <text>
        <r>
          <rPr>
            <b/>
            <sz val="9"/>
            <color indexed="81"/>
            <rFont val="Tahoma"/>
            <family val="2"/>
          </rPr>
          <t>Lucas Scheidler:</t>
        </r>
        <r>
          <rPr>
            <sz val="9"/>
            <color indexed="81"/>
            <rFont val="Tahoma"/>
            <family val="2"/>
          </rPr>
          <t xml:space="preserve">
Descriptive stats are on percentage difference between modeled and actual prices ((Modeled - Actual)/Actual)</t>
        </r>
      </text>
    </comment>
    <comment ref="AI288" authorId="1">
      <text>
        <r>
          <rPr>
            <b/>
            <sz val="9"/>
            <color indexed="81"/>
            <rFont val="Tahoma"/>
            <family val="2"/>
          </rPr>
          <t>Mike Ting:</t>
        </r>
        <r>
          <rPr>
            <sz val="9"/>
            <color indexed="81"/>
            <rFont val="Tahoma"/>
            <family val="2"/>
          </rPr>
          <t xml:space="preserve">
bestbuy.com</t>
        </r>
      </text>
    </comment>
    <comment ref="AJ288" authorId="1">
      <text>
        <r>
          <rPr>
            <b/>
            <sz val="9"/>
            <color indexed="81"/>
            <rFont val="Tahoma"/>
            <family val="2"/>
          </rPr>
          <t>Mike Ting:</t>
        </r>
        <r>
          <rPr>
            <sz val="9"/>
            <color indexed="81"/>
            <rFont val="Tahoma"/>
            <family val="2"/>
          </rPr>
          <t xml:space="preserve">
sears.com</t>
        </r>
      </text>
    </comment>
    <comment ref="AK288" authorId="1">
      <text>
        <r>
          <rPr>
            <b/>
            <sz val="9"/>
            <color indexed="81"/>
            <rFont val="Tahoma"/>
            <family val="2"/>
          </rPr>
          <t>Mike Ting:</t>
        </r>
        <r>
          <rPr>
            <sz val="9"/>
            <color indexed="81"/>
            <rFont val="Tahoma"/>
            <family val="2"/>
          </rPr>
          <t xml:space="preserve">
amazon.com</t>
        </r>
      </text>
    </comment>
    <comment ref="AL288" authorId="1">
      <text>
        <r>
          <rPr>
            <b/>
            <sz val="9"/>
            <color indexed="81"/>
            <rFont val="Tahoma"/>
            <family val="2"/>
          </rPr>
          <t>Mike Ting:</t>
        </r>
        <r>
          <rPr>
            <sz val="9"/>
            <color indexed="81"/>
            <rFont val="Tahoma"/>
            <family val="2"/>
          </rPr>
          <t xml:space="preserve">
newegg.com</t>
        </r>
      </text>
    </comment>
    <comment ref="AM288" authorId="1">
      <text>
        <r>
          <rPr>
            <b/>
            <sz val="9"/>
            <color indexed="81"/>
            <rFont val="Tahoma"/>
            <family val="2"/>
          </rPr>
          <t>Mike Ting:</t>
        </r>
        <r>
          <rPr>
            <sz val="9"/>
            <color indexed="81"/>
            <rFont val="Tahoma"/>
            <family val="2"/>
          </rPr>
          <t xml:space="preserve">
frys.com</t>
        </r>
      </text>
    </comment>
    <comment ref="AN288" authorId="1">
      <text>
        <r>
          <rPr>
            <b/>
            <sz val="9"/>
            <color indexed="81"/>
            <rFont val="Tahoma"/>
            <family val="2"/>
          </rPr>
          <t>Mike Ting:</t>
        </r>
        <r>
          <rPr>
            <sz val="9"/>
            <color indexed="81"/>
            <rFont val="Tahoma"/>
            <family val="2"/>
          </rPr>
          <t xml:space="preserve">
target.com</t>
        </r>
      </text>
    </comment>
    <comment ref="AE289" authorId="1">
      <text>
        <r>
          <rPr>
            <b/>
            <sz val="9"/>
            <color indexed="81"/>
            <rFont val="Tahoma"/>
            <family val="2"/>
          </rPr>
          <t>Mike Ting:</t>
        </r>
        <r>
          <rPr>
            <sz val="9"/>
            <color indexed="81"/>
            <rFont val="Tahoma"/>
            <family val="2"/>
          </rPr>
          <t xml:space="preserve">
It appears that all major TV brands have stopped producing CCFL-backlit models at this screen size.</t>
        </r>
      </text>
    </comment>
    <comment ref="X320" authorId="1">
      <text>
        <r>
          <rPr>
            <b/>
            <sz val="9"/>
            <color indexed="81"/>
            <rFont val="Tahoma"/>
            <family val="2"/>
          </rPr>
          <t>Mike Ting:</t>
        </r>
        <r>
          <rPr>
            <sz val="9"/>
            <color indexed="81"/>
            <rFont val="Tahoma"/>
            <family val="2"/>
          </rPr>
          <t xml:space="preserve">
Screen area is required to determine the Title 20 baseline wattage and various ESTAR-compliant wattages. The screen area value assumed is the sales-weighted average for 46" screens in the POS dataset.</t>
        </r>
      </text>
    </comment>
    <comment ref="AD320" authorId="0">
      <text>
        <r>
          <rPr>
            <b/>
            <sz val="9"/>
            <color indexed="81"/>
            <rFont val="Tahoma"/>
            <family val="2"/>
          </rPr>
          <t>Lucas Scheidler:</t>
        </r>
        <r>
          <rPr>
            <sz val="9"/>
            <color indexed="81"/>
            <rFont val="Tahoma"/>
            <family val="2"/>
          </rPr>
          <t xml:space="preserve">
Descriptive stats are on percentage difference between modeled and actual prices ((Modeled - Actual)/Actual)</t>
        </r>
      </text>
    </comment>
    <comment ref="AI320" authorId="1">
      <text>
        <r>
          <rPr>
            <b/>
            <sz val="9"/>
            <color indexed="81"/>
            <rFont val="Tahoma"/>
            <family val="2"/>
          </rPr>
          <t>Mike Ting:</t>
        </r>
        <r>
          <rPr>
            <sz val="9"/>
            <color indexed="81"/>
            <rFont val="Tahoma"/>
            <family val="2"/>
          </rPr>
          <t xml:space="preserve">
bestbuy.com</t>
        </r>
      </text>
    </comment>
    <comment ref="AJ320" authorId="1">
      <text>
        <r>
          <rPr>
            <b/>
            <sz val="9"/>
            <color indexed="81"/>
            <rFont val="Tahoma"/>
            <family val="2"/>
          </rPr>
          <t>Mike Ting:</t>
        </r>
        <r>
          <rPr>
            <sz val="9"/>
            <color indexed="81"/>
            <rFont val="Tahoma"/>
            <family val="2"/>
          </rPr>
          <t xml:space="preserve">
sears.com</t>
        </r>
      </text>
    </comment>
    <comment ref="AK320" authorId="1">
      <text>
        <r>
          <rPr>
            <b/>
            <sz val="9"/>
            <color indexed="81"/>
            <rFont val="Tahoma"/>
            <family val="2"/>
          </rPr>
          <t>Mike Ting:</t>
        </r>
        <r>
          <rPr>
            <sz val="9"/>
            <color indexed="81"/>
            <rFont val="Tahoma"/>
            <family val="2"/>
          </rPr>
          <t xml:space="preserve">
sears.com</t>
        </r>
      </text>
    </comment>
    <comment ref="AL320" authorId="1">
      <text>
        <r>
          <rPr>
            <b/>
            <sz val="9"/>
            <color indexed="81"/>
            <rFont val="Tahoma"/>
            <family val="2"/>
          </rPr>
          <t>Mike Ting:</t>
        </r>
        <r>
          <rPr>
            <sz val="9"/>
            <color indexed="81"/>
            <rFont val="Tahoma"/>
            <family val="2"/>
          </rPr>
          <t xml:space="preserve">
newegg.com</t>
        </r>
      </text>
    </comment>
    <comment ref="AM320" authorId="1">
      <text>
        <r>
          <rPr>
            <b/>
            <sz val="9"/>
            <color indexed="81"/>
            <rFont val="Tahoma"/>
            <family val="2"/>
          </rPr>
          <t>Mike Ting:</t>
        </r>
        <r>
          <rPr>
            <sz val="9"/>
            <color indexed="81"/>
            <rFont val="Tahoma"/>
            <family val="2"/>
          </rPr>
          <t xml:space="preserve">
frys.com</t>
        </r>
      </text>
    </comment>
    <comment ref="AN320" authorId="1">
      <text>
        <r>
          <rPr>
            <b/>
            <sz val="9"/>
            <color indexed="81"/>
            <rFont val="Tahoma"/>
            <family val="2"/>
          </rPr>
          <t>Mike Ting:</t>
        </r>
        <r>
          <rPr>
            <sz val="9"/>
            <color indexed="81"/>
            <rFont val="Tahoma"/>
            <family val="2"/>
          </rPr>
          <t xml:space="preserve">
target.com</t>
        </r>
      </text>
    </comment>
    <comment ref="AE321" authorId="1">
      <text>
        <r>
          <rPr>
            <b/>
            <sz val="9"/>
            <color indexed="81"/>
            <rFont val="Tahoma"/>
            <family val="2"/>
          </rPr>
          <t>Mike Ting:</t>
        </r>
        <r>
          <rPr>
            <sz val="9"/>
            <color indexed="81"/>
            <rFont val="Tahoma"/>
            <family val="2"/>
          </rPr>
          <t xml:space="preserve">
It appears that all major TV brands have stopped producing CCFL-backlit models at this screen size. The validation prices shown to the left are almost entirely new or refurbished units from previous model years (e.g. 2012, 2011, 2010).</t>
        </r>
      </text>
    </comment>
    <comment ref="X360" authorId="1">
      <text>
        <r>
          <rPr>
            <b/>
            <sz val="9"/>
            <color indexed="81"/>
            <rFont val="Tahoma"/>
            <family val="2"/>
          </rPr>
          <t>Mike Ting:</t>
        </r>
        <r>
          <rPr>
            <sz val="9"/>
            <color indexed="81"/>
            <rFont val="Tahoma"/>
            <family val="2"/>
          </rPr>
          <t xml:space="preserve">
Screen area is required to determine the Title 20 baseline wattage and various ESTAR-compliant wattages. The screen area value assumed is the sales-weighted average for 40" screens in the POS dataset.</t>
        </r>
      </text>
    </comment>
    <comment ref="AD360" authorId="0">
      <text>
        <r>
          <rPr>
            <b/>
            <sz val="9"/>
            <color indexed="81"/>
            <rFont val="Tahoma"/>
            <family val="2"/>
          </rPr>
          <t>Lucas Scheidler:</t>
        </r>
        <r>
          <rPr>
            <sz val="9"/>
            <color indexed="81"/>
            <rFont val="Tahoma"/>
            <family val="2"/>
          </rPr>
          <t xml:space="preserve">
Descriptive stats are on percentage difference between modeled and actual prices ((Modeled - Actual)/Actual)</t>
        </r>
      </text>
    </comment>
    <comment ref="AI360" authorId="1">
      <text>
        <r>
          <rPr>
            <b/>
            <sz val="9"/>
            <color indexed="81"/>
            <rFont val="Tahoma"/>
            <family val="2"/>
          </rPr>
          <t>Mike Ting:</t>
        </r>
        <r>
          <rPr>
            <sz val="9"/>
            <color indexed="81"/>
            <rFont val="Tahoma"/>
            <family val="2"/>
          </rPr>
          <t xml:space="preserve">
bestbuy.com</t>
        </r>
      </text>
    </comment>
    <comment ref="AJ360" authorId="1">
      <text>
        <r>
          <rPr>
            <b/>
            <sz val="9"/>
            <color indexed="81"/>
            <rFont val="Tahoma"/>
            <family val="2"/>
          </rPr>
          <t>Mike Ting:</t>
        </r>
        <r>
          <rPr>
            <sz val="9"/>
            <color indexed="81"/>
            <rFont val="Tahoma"/>
            <family val="2"/>
          </rPr>
          <t xml:space="preserve">
sears.com</t>
        </r>
      </text>
    </comment>
    <comment ref="AK360" authorId="1">
      <text>
        <r>
          <rPr>
            <b/>
            <sz val="9"/>
            <color indexed="81"/>
            <rFont val="Tahoma"/>
            <family val="2"/>
          </rPr>
          <t>Mike Ting:</t>
        </r>
        <r>
          <rPr>
            <sz val="9"/>
            <color indexed="81"/>
            <rFont val="Tahoma"/>
            <family val="2"/>
          </rPr>
          <t xml:space="preserve">
amazon.com</t>
        </r>
      </text>
    </comment>
    <comment ref="AL360" authorId="1">
      <text>
        <r>
          <rPr>
            <b/>
            <sz val="9"/>
            <color indexed="81"/>
            <rFont val="Tahoma"/>
            <family val="2"/>
          </rPr>
          <t>Mike Ting:</t>
        </r>
        <r>
          <rPr>
            <sz val="9"/>
            <color indexed="81"/>
            <rFont val="Tahoma"/>
            <family val="2"/>
          </rPr>
          <t xml:space="preserve">
newegg.com</t>
        </r>
      </text>
    </comment>
    <comment ref="AM360" authorId="1">
      <text>
        <r>
          <rPr>
            <b/>
            <sz val="9"/>
            <color indexed="81"/>
            <rFont val="Tahoma"/>
            <family val="2"/>
          </rPr>
          <t>Mike Ting:</t>
        </r>
        <r>
          <rPr>
            <sz val="9"/>
            <color indexed="81"/>
            <rFont val="Tahoma"/>
            <family val="2"/>
          </rPr>
          <t xml:space="preserve">
frys.com</t>
        </r>
      </text>
    </comment>
    <comment ref="AN360" authorId="1">
      <text>
        <r>
          <rPr>
            <b/>
            <sz val="9"/>
            <color indexed="81"/>
            <rFont val="Tahoma"/>
            <family val="2"/>
          </rPr>
          <t>Mike Ting:</t>
        </r>
        <r>
          <rPr>
            <sz val="9"/>
            <color indexed="81"/>
            <rFont val="Tahoma"/>
            <family val="2"/>
          </rPr>
          <t xml:space="preserve">
target.com</t>
        </r>
      </text>
    </comment>
    <comment ref="AE361" authorId="1">
      <text>
        <r>
          <rPr>
            <b/>
            <sz val="9"/>
            <color indexed="81"/>
            <rFont val="Tahoma"/>
            <family val="2"/>
          </rPr>
          <t>Mike Ting:</t>
        </r>
        <r>
          <rPr>
            <sz val="9"/>
            <color indexed="81"/>
            <rFont val="Tahoma"/>
            <family val="2"/>
          </rPr>
          <t xml:space="preserve">
It appears that all major TV brands have stopped producing CCFL-backlit models at this screen size. The validation prices shown to the left are almost entirely new or refurbished units from previous model years (e.g. 2012, 2011, 2010).</t>
        </r>
      </text>
    </comment>
    <comment ref="X396" authorId="1">
      <text>
        <r>
          <rPr>
            <b/>
            <sz val="9"/>
            <color indexed="81"/>
            <rFont val="Tahoma"/>
            <family val="2"/>
          </rPr>
          <t>Mike Ting:</t>
        </r>
        <r>
          <rPr>
            <sz val="9"/>
            <color indexed="81"/>
            <rFont val="Tahoma"/>
            <family val="2"/>
          </rPr>
          <t xml:space="preserve">
Screen area is required to determine the Title 20 baseline wattage and various ESTAR-compliant wattages. The screen area value assumed is the sales-weighted average for 32" screens in the POS dataset.</t>
        </r>
      </text>
    </comment>
    <comment ref="AD396" authorId="0">
      <text>
        <r>
          <rPr>
            <b/>
            <sz val="9"/>
            <color indexed="81"/>
            <rFont val="Tahoma"/>
            <family val="2"/>
          </rPr>
          <t>Lucas Scheidler:</t>
        </r>
        <r>
          <rPr>
            <sz val="9"/>
            <color indexed="81"/>
            <rFont val="Tahoma"/>
            <family val="2"/>
          </rPr>
          <t xml:space="preserve">
Descriptive stats are on percentage difference between modeled and actual prices ((Modeled - Actual)/Actual)</t>
        </r>
      </text>
    </comment>
    <comment ref="AI396" authorId="1">
      <text>
        <r>
          <rPr>
            <b/>
            <sz val="9"/>
            <color indexed="81"/>
            <rFont val="Tahoma"/>
            <family val="2"/>
          </rPr>
          <t>Mike Ting:</t>
        </r>
        <r>
          <rPr>
            <sz val="9"/>
            <color indexed="81"/>
            <rFont val="Tahoma"/>
            <family val="2"/>
          </rPr>
          <t xml:space="preserve">
bestbuy.com</t>
        </r>
      </text>
    </comment>
    <comment ref="AJ396" authorId="1">
      <text>
        <r>
          <rPr>
            <b/>
            <sz val="9"/>
            <color indexed="81"/>
            <rFont val="Tahoma"/>
            <family val="2"/>
          </rPr>
          <t>Mike Ting:</t>
        </r>
        <r>
          <rPr>
            <sz val="9"/>
            <color indexed="81"/>
            <rFont val="Tahoma"/>
            <family val="2"/>
          </rPr>
          <t xml:space="preserve">
sears.com</t>
        </r>
      </text>
    </comment>
    <comment ref="AK396" authorId="1">
      <text>
        <r>
          <rPr>
            <b/>
            <sz val="9"/>
            <color indexed="81"/>
            <rFont val="Tahoma"/>
            <family val="2"/>
          </rPr>
          <t>Mike Ting:</t>
        </r>
        <r>
          <rPr>
            <sz val="9"/>
            <color indexed="81"/>
            <rFont val="Tahoma"/>
            <family val="2"/>
          </rPr>
          <t xml:space="preserve">
amazon.com</t>
        </r>
      </text>
    </comment>
    <comment ref="AL396" authorId="1">
      <text>
        <r>
          <rPr>
            <b/>
            <sz val="9"/>
            <color indexed="81"/>
            <rFont val="Tahoma"/>
            <family val="2"/>
          </rPr>
          <t>Mike Ting:</t>
        </r>
        <r>
          <rPr>
            <sz val="9"/>
            <color indexed="81"/>
            <rFont val="Tahoma"/>
            <family val="2"/>
          </rPr>
          <t xml:space="preserve">
newegg.com</t>
        </r>
      </text>
    </comment>
    <comment ref="AM396" authorId="1">
      <text>
        <r>
          <rPr>
            <b/>
            <sz val="9"/>
            <color indexed="81"/>
            <rFont val="Tahoma"/>
            <family val="2"/>
          </rPr>
          <t>Mike Ting:</t>
        </r>
        <r>
          <rPr>
            <sz val="9"/>
            <color indexed="81"/>
            <rFont val="Tahoma"/>
            <family val="2"/>
          </rPr>
          <t xml:space="preserve">
frys.com</t>
        </r>
      </text>
    </comment>
    <comment ref="AN396" authorId="1">
      <text>
        <r>
          <rPr>
            <b/>
            <sz val="9"/>
            <color indexed="81"/>
            <rFont val="Tahoma"/>
            <family val="2"/>
          </rPr>
          <t>Mike Ting:</t>
        </r>
        <r>
          <rPr>
            <sz val="9"/>
            <color indexed="81"/>
            <rFont val="Tahoma"/>
            <family val="2"/>
          </rPr>
          <t xml:space="preserve">
target.com</t>
        </r>
      </text>
    </comment>
    <comment ref="AE397" authorId="1">
      <text>
        <r>
          <rPr>
            <b/>
            <sz val="9"/>
            <color indexed="81"/>
            <rFont val="Tahoma"/>
            <family val="2"/>
          </rPr>
          <t>Mike Ting:</t>
        </r>
        <r>
          <rPr>
            <sz val="9"/>
            <color indexed="81"/>
            <rFont val="Tahoma"/>
            <family val="2"/>
          </rPr>
          <t xml:space="preserve">
It appears that all major TV brands have stopped producing CCFL-backlit models at this screen size. The validation prices shown to the left are almost entirely new or refurbished units from previous model years (e.g. 2012, 2011, 2010).</t>
        </r>
      </text>
    </comment>
    <comment ref="X442" authorId="1">
      <text>
        <r>
          <rPr>
            <b/>
            <sz val="9"/>
            <color indexed="81"/>
            <rFont val="Tahoma"/>
            <family val="2"/>
          </rPr>
          <t>Mike Ting:</t>
        </r>
        <r>
          <rPr>
            <sz val="9"/>
            <color indexed="81"/>
            <rFont val="Tahoma"/>
            <family val="2"/>
          </rPr>
          <t xml:space="preserve">
Screen area is required to determine the Title 20 baseline wattage and various ESTAR-compliant wattages. The screen area value assumed is the sales-weighted average for 22" screens in the POS dataset.</t>
        </r>
      </text>
    </comment>
    <comment ref="AD442" authorId="0">
      <text>
        <r>
          <rPr>
            <b/>
            <sz val="9"/>
            <color indexed="81"/>
            <rFont val="Tahoma"/>
            <family val="2"/>
          </rPr>
          <t>Lucas Scheidler:</t>
        </r>
        <r>
          <rPr>
            <sz val="9"/>
            <color indexed="81"/>
            <rFont val="Tahoma"/>
            <family val="2"/>
          </rPr>
          <t xml:space="preserve">
Descriptive stats are on percentage difference between modeled and actual prices ((Modeled - Actual)/Actual)</t>
        </r>
      </text>
    </comment>
    <comment ref="AI442" authorId="1">
      <text>
        <r>
          <rPr>
            <b/>
            <sz val="9"/>
            <color indexed="81"/>
            <rFont val="Tahoma"/>
            <family val="2"/>
          </rPr>
          <t>Mike Ting:</t>
        </r>
        <r>
          <rPr>
            <sz val="9"/>
            <color indexed="81"/>
            <rFont val="Tahoma"/>
            <family val="2"/>
          </rPr>
          <t xml:space="preserve">
bestbuy.com</t>
        </r>
      </text>
    </comment>
    <comment ref="AJ442" authorId="1">
      <text>
        <r>
          <rPr>
            <b/>
            <sz val="9"/>
            <color indexed="81"/>
            <rFont val="Tahoma"/>
            <family val="2"/>
          </rPr>
          <t>Mike Ting:</t>
        </r>
        <r>
          <rPr>
            <sz val="9"/>
            <color indexed="81"/>
            <rFont val="Tahoma"/>
            <family val="2"/>
          </rPr>
          <t xml:space="preserve">
sears.com</t>
        </r>
      </text>
    </comment>
    <comment ref="AK442" authorId="1">
      <text>
        <r>
          <rPr>
            <b/>
            <sz val="9"/>
            <color indexed="81"/>
            <rFont val="Tahoma"/>
            <family val="2"/>
          </rPr>
          <t>Mike Ting:</t>
        </r>
        <r>
          <rPr>
            <sz val="9"/>
            <color indexed="81"/>
            <rFont val="Tahoma"/>
            <family val="2"/>
          </rPr>
          <t xml:space="preserve">
amazon.com</t>
        </r>
      </text>
    </comment>
    <comment ref="AL442" authorId="1">
      <text>
        <r>
          <rPr>
            <b/>
            <sz val="9"/>
            <color indexed="81"/>
            <rFont val="Tahoma"/>
            <family val="2"/>
          </rPr>
          <t>Mike Ting:</t>
        </r>
        <r>
          <rPr>
            <sz val="9"/>
            <color indexed="81"/>
            <rFont val="Tahoma"/>
            <family val="2"/>
          </rPr>
          <t xml:space="preserve">
newegg.com</t>
        </r>
      </text>
    </comment>
    <comment ref="AM442" authorId="1">
      <text>
        <r>
          <rPr>
            <b/>
            <sz val="9"/>
            <color indexed="81"/>
            <rFont val="Tahoma"/>
            <family val="2"/>
          </rPr>
          <t>Mike Ting:</t>
        </r>
        <r>
          <rPr>
            <sz val="9"/>
            <color indexed="81"/>
            <rFont val="Tahoma"/>
            <family val="2"/>
          </rPr>
          <t xml:space="preserve">
frys.com</t>
        </r>
      </text>
    </comment>
    <comment ref="AN442" authorId="1">
      <text>
        <r>
          <rPr>
            <b/>
            <sz val="9"/>
            <color indexed="81"/>
            <rFont val="Tahoma"/>
            <family val="2"/>
          </rPr>
          <t>Mike Ting:</t>
        </r>
        <r>
          <rPr>
            <sz val="9"/>
            <color indexed="81"/>
            <rFont val="Tahoma"/>
            <family val="2"/>
          </rPr>
          <t xml:space="preserve">
target.com</t>
        </r>
      </text>
    </comment>
    <comment ref="AE443" authorId="1">
      <text>
        <r>
          <rPr>
            <b/>
            <sz val="9"/>
            <color indexed="81"/>
            <rFont val="Tahoma"/>
            <family val="2"/>
          </rPr>
          <t>Mike Ting:</t>
        </r>
        <r>
          <rPr>
            <sz val="9"/>
            <color indexed="81"/>
            <rFont val="Tahoma"/>
            <family val="2"/>
          </rPr>
          <t xml:space="preserve">
It appears that all major TV brands have stopped producing CCFL-backlit models at this screen size. The validation prices shown to the left are almost entirely new or refurbished units from previous model years (e.g. 2012, 2011, 2010).</t>
        </r>
      </text>
    </comment>
    <comment ref="X470" authorId="1">
      <text>
        <r>
          <rPr>
            <b/>
            <sz val="9"/>
            <color indexed="81"/>
            <rFont val="Tahoma"/>
            <family val="2"/>
          </rPr>
          <t>Mike Ting:</t>
        </r>
        <r>
          <rPr>
            <sz val="9"/>
            <color indexed="81"/>
            <rFont val="Tahoma"/>
            <family val="2"/>
          </rPr>
          <t xml:space="preserve">
Screen area is required to determine the Title 20 baseline wattage and various ESTAR-compliant wattages. The screen area value assumed is the sales-weighted average for 19" screens in the POS dataset.</t>
        </r>
      </text>
    </comment>
    <comment ref="AD470" authorId="0">
      <text>
        <r>
          <rPr>
            <b/>
            <sz val="9"/>
            <color indexed="81"/>
            <rFont val="Tahoma"/>
            <family val="2"/>
          </rPr>
          <t>Lucas Scheidler:</t>
        </r>
        <r>
          <rPr>
            <sz val="9"/>
            <color indexed="81"/>
            <rFont val="Tahoma"/>
            <family val="2"/>
          </rPr>
          <t xml:space="preserve">
Descriptive stats are on percentage difference between modeled and actual prices ((Modeled - Actual)/Actual)</t>
        </r>
      </text>
    </comment>
    <comment ref="AI470" authorId="1">
      <text>
        <r>
          <rPr>
            <b/>
            <sz val="9"/>
            <color indexed="81"/>
            <rFont val="Tahoma"/>
            <family val="2"/>
          </rPr>
          <t>Mike Ting:</t>
        </r>
        <r>
          <rPr>
            <sz val="9"/>
            <color indexed="81"/>
            <rFont val="Tahoma"/>
            <family val="2"/>
          </rPr>
          <t xml:space="preserve">
bestbuy.com</t>
        </r>
      </text>
    </comment>
    <comment ref="AJ470" authorId="1">
      <text>
        <r>
          <rPr>
            <b/>
            <sz val="9"/>
            <color indexed="81"/>
            <rFont val="Tahoma"/>
            <family val="2"/>
          </rPr>
          <t>Mike Ting:</t>
        </r>
        <r>
          <rPr>
            <sz val="9"/>
            <color indexed="81"/>
            <rFont val="Tahoma"/>
            <family val="2"/>
          </rPr>
          <t xml:space="preserve">
sears.com</t>
        </r>
      </text>
    </comment>
    <comment ref="AK470" authorId="1">
      <text>
        <r>
          <rPr>
            <b/>
            <sz val="9"/>
            <color indexed="81"/>
            <rFont val="Tahoma"/>
            <family val="2"/>
          </rPr>
          <t>Mike Ting:</t>
        </r>
        <r>
          <rPr>
            <sz val="9"/>
            <color indexed="81"/>
            <rFont val="Tahoma"/>
            <family val="2"/>
          </rPr>
          <t xml:space="preserve">
amazon.com</t>
        </r>
      </text>
    </comment>
    <comment ref="AL470" authorId="1">
      <text>
        <r>
          <rPr>
            <b/>
            <sz val="9"/>
            <color indexed="81"/>
            <rFont val="Tahoma"/>
            <family val="2"/>
          </rPr>
          <t>Mike Ting:</t>
        </r>
        <r>
          <rPr>
            <sz val="9"/>
            <color indexed="81"/>
            <rFont val="Tahoma"/>
            <family val="2"/>
          </rPr>
          <t xml:space="preserve">
newegg.com</t>
        </r>
      </text>
    </comment>
    <comment ref="AM470" authorId="1">
      <text>
        <r>
          <rPr>
            <b/>
            <sz val="9"/>
            <color indexed="81"/>
            <rFont val="Tahoma"/>
            <family val="2"/>
          </rPr>
          <t>Mike Ting:</t>
        </r>
        <r>
          <rPr>
            <sz val="9"/>
            <color indexed="81"/>
            <rFont val="Tahoma"/>
            <family val="2"/>
          </rPr>
          <t xml:space="preserve">
frys.com</t>
        </r>
      </text>
    </comment>
    <comment ref="AE471" authorId="1">
      <text>
        <r>
          <rPr>
            <b/>
            <sz val="9"/>
            <color indexed="81"/>
            <rFont val="Tahoma"/>
            <family val="2"/>
          </rPr>
          <t>Mike Ting:</t>
        </r>
        <r>
          <rPr>
            <sz val="9"/>
            <color indexed="81"/>
            <rFont val="Tahoma"/>
            <family val="2"/>
          </rPr>
          <t xml:space="preserve">
It appears that all major TV brands have stopped producing CCFL-backlit models at this screen size. The validation prices shown to the left are almost entirely new or refurbished units from previous model years (e.g. 2012, 2011, 2010).</t>
        </r>
      </text>
    </comment>
    <comment ref="X495" authorId="1">
      <text>
        <r>
          <rPr>
            <b/>
            <sz val="9"/>
            <color indexed="81"/>
            <rFont val="Tahoma"/>
            <family val="2"/>
          </rPr>
          <t>Mike Ting:</t>
        </r>
        <r>
          <rPr>
            <sz val="9"/>
            <color indexed="81"/>
            <rFont val="Tahoma"/>
            <family val="2"/>
          </rPr>
          <t xml:space="preserve">
Screen area is required to determine the Title 20 baseline wattage and various ESTAR-compliant wattages. The screen area value assumed is the sales-weighted average for all plasma TV units in the POS dataset.</t>
        </r>
      </text>
    </comment>
    <comment ref="AI495" authorId="1">
      <text>
        <r>
          <rPr>
            <b/>
            <sz val="9"/>
            <color indexed="81"/>
            <rFont val="Tahoma"/>
            <family val="2"/>
          </rPr>
          <t>Mike Ting:</t>
        </r>
        <r>
          <rPr>
            <sz val="9"/>
            <color indexed="81"/>
            <rFont val="Tahoma"/>
            <family val="2"/>
          </rPr>
          <t xml:space="preserve">
bestbuy.com</t>
        </r>
      </text>
    </comment>
    <comment ref="AJ495" authorId="1">
      <text>
        <r>
          <rPr>
            <b/>
            <sz val="9"/>
            <color indexed="81"/>
            <rFont val="Tahoma"/>
            <family val="2"/>
          </rPr>
          <t>Mike Ting:</t>
        </r>
        <r>
          <rPr>
            <sz val="9"/>
            <color indexed="81"/>
            <rFont val="Tahoma"/>
            <family val="2"/>
          </rPr>
          <t xml:space="preserve">
sears.com</t>
        </r>
      </text>
    </comment>
    <comment ref="AK495" authorId="1">
      <text>
        <r>
          <rPr>
            <b/>
            <sz val="9"/>
            <color indexed="81"/>
            <rFont val="Tahoma"/>
            <family val="2"/>
          </rPr>
          <t>Mike Ting:</t>
        </r>
        <r>
          <rPr>
            <sz val="9"/>
            <color indexed="81"/>
            <rFont val="Tahoma"/>
            <family val="2"/>
          </rPr>
          <t xml:space="preserve">
amazon.com</t>
        </r>
      </text>
    </comment>
    <comment ref="AL495" authorId="1">
      <text>
        <r>
          <rPr>
            <b/>
            <sz val="9"/>
            <color indexed="81"/>
            <rFont val="Tahoma"/>
            <family val="2"/>
          </rPr>
          <t>Mike Ting:</t>
        </r>
        <r>
          <rPr>
            <sz val="9"/>
            <color indexed="81"/>
            <rFont val="Tahoma"/>
            <family val="2"/>
          </rPr>
          <t xml:space="preserve">
newegg.com</t>
        </r>
      </text>
    </comment>
    <comment ref="AM495" authorId="1">
      <text>
        <r>
          <rPr>
            <b/>
            <sz val="9"/>
            <color indexed="81"/>
            <rFont val="Tahoma"/>
            <family val="2"/>
          </rPr>
          <t>Mike Ting:</t>
        </r>
        <r>
          <rPr>
            <sz val="9"/>
            <color indexed="81"/>
            <rFont val="Tahoma"/>
            <family val="2"/>
          </rPr>
          <t xml:space="preserve">
frys.com</t>
        </r>
      </text>
    </comment>
    <comment ref="AD517" authorId="0">
      <text>
        <r>
          <rPr>
            <b/>
            <sz val="9"/>
            <color indexed="81"/>
            <rFont val="Tahoma"/>
            <family val="2"/>
          </rPr>
          <t>Lucas Scheidler:</t>
        </r>
        <r>
          <rPr>
            <sz val="9"/>
            <color indexed="81"/>
            <rFont val="Tahoma"/>
            <family val="2"/>
          </rPr>
          <t xml:space="preserve">
Descriptive stats are on percentage difference between modeled and actual prices ((Modeled - Actual)/Actual)</t>
        </r>
      </text>
    </comment>
    <comment ref="V534" authorId="1">
      <text>
        <r>
          <rPr>
            <b/>
            <sz val="9"/>
            <color indexed="81"/>
            <rFont val="Tahoma"/>
            <family val="2"/>
          </rPr>
          <t>Mike Ting:</t>
        </r>
        <r>
          <rPr>
            <sz val="9"/>
            <color indexed="81"/>
            <rFont val="Tahoma"/>
            <family val="2"/>
          </rPr>
          <t xml:space="preserve">
No product specs specified in DEER or WPs</t>
        </r>
      </text>
    </comment>
    <comment ref="AD534" authorId="0">
      <text>
        <r>
          <rPr>
            <b/>
            <sz val="9"/>
            <color indexed="81"/>
            <rFont val="Tahoma"/>
            <family val="2"/>
          </rPr>
          <t>Lucas Scheidler:</t>
        </r>
        <r>
          <rPr>
            <sz val="9"/>
            <color indexed="81"/>
            <rFont val="Tahoma"/>
            <family val="2"/>
          </rPr>
          <t xml:space="preserve">
Descriptive stats are on percentage difference between modeled and actual prices ((Modeled - Actual)/Actual)</t>
        </r>
      </text>
    </comment>
    <comment ref="AN534" authorId="2">
      <text>
        <r>
          <rPr>
            <b/>
            <sz val="9"/>
            <color indexed="81"/>
            <rFont val="Tahoma"/>
            <family val="2"/>
          </rPr>
          <t>Phillip Kelsven:</t>
        </r>
        <r>
          <rPr>
            <sz val="9"/>
            <color indexed="81"/>
            <rFont val="Tahoma"/>
            <family val="2"/>
          </rPr>
          <t xml:space="preserve">
http://www.hvacquick.com</t>
        </r>
      </text>
    </comment>
    <comment ref="AO534" authorId="2">
      <text>
        <r>
          <rPr>
            <b/>
            <sz val="9"/>
            <color indexed="81"/>
            <rFont val="Tahoma"/>
            <family val="2"/>
          </rPr>
          <t>Phillip Kelsven:</t>
        </r>
        <r>
          <rPr>
            <sz val="9"/>
            <color indexed="81"/>
            <rFont val="Tahoma"/>
            <family val="2"/>
          </rPr>
          <t xml:space="preserve">
http://www.ventmasters.com
</t>
        </r>
      </text>
    </comment>
    <comment ref="AP534" authorId="2">
      <text>
        <r>
          <rPr>
            <b/>
            <sz val="9"/>
            <color indexed="81"/>
            <rFont val="Tahoma"/>
            <family val="2"/>
          </rPr>
          <t>Phillip Kelsven:</t>
        </r>
        <r>
          <rPr>
            <sz val="9"/>
            <color indexed="81"/>
            <rFont val="Tahoma"/>
            <family val="2"/>
          </rPr>
          <t xml:space="preserve">
http://wholehousefanman.com</t>
        </r>
      </text>
    </comment>
    <comment ref="AI535" authorId="2">
      <text>
        <r>
          <rPr>
            <b/>
            <sz val="9"/>
            <color indexed="81"/>
            <rFont val="Tahoma"/>
            <family val="2"/>
          </rPr>
          <t>Phillip Kelsven:</t>
        </r>
        <r>
          <rPr>
            <sz val="9"/>
            <color indexed="81"/>
            <rFont val="Tahoma"/>
            <family val="2"/>
          </rPr>
          <t xml:space="preserve">
http://www.amazon.com
</t>
        </r>
      </text>
    </comment>
    <comment ref="AJ535" authorId="2">
      <text>
        <r>
          <rPr>
            <b/>
            <sz val="9"/>
            <color indexed="81"/>
            <rFont val="Tahoma"/>
            <family val="2"/>
          </rPr>
          <t>Phillip Kelsven:</t>
        </r>
        <r>
          <rPr>
            <sz val="9"/>
            <color indexed="81"/>
            <rFont val="Tahoma"/>
            <family val="2"/>
          </rPr>
          <t xml:space="preserve">
http://www.rewci.com
</t>
        </r>
      </text>
    </comment>
    <comment ref="AK535" authorId="2">
      <text>
        <r>
          <rPr>
            <b/>
            <sz val="9"/>
            <color indexed="81"/>
            <rFont val="Tahoma"/>
            <family val="2"/>
          </rPr>
          <t>Phillip Kelsven:</t>
        </r>
        <r>
          <rPr>
            <sz val="9"/>
            <color indexed="81"/>
            <rFont val="Tahoma"/>
            <family val="2"/>
          </rPr>
          <t xml:space="preserve">
http://www.wholehousefansdirect.com
</t>
        </r>
      </text>
    </comment>
    <comment ref="AL535" authorId="2">
      <text>
        <r>
          <rPr>
            <b/>
            <sz val="9"/>
            <color indexed="81"/>
            <rFont val="Tahoma"/>
            <family val="2"/>
          </rPr>
          <t>Phillip Kelsven:</t>
        </r>
        <r>
          <rPr>
            <sz val="9"/>
            <color indexed="81"/>
            <rFont val="Tahoma"/>
            <family val="2"/>
          </rPr>
          <t xml:space="preserve">
http://www.homeperfect.com
</t>
        </r>
      </text>
    </comment>
    <comment ref="AM537" authorId="2">
      <text>
        <r>
          <rPr>
            <b/>
            <sz val="9"/>
            <color indexed="81"/>
            <rFont val="Tahoma"/>
            <family val="2"/>
          </rPr>
          <t>Phillip Kelsven:</t>
        </r>
        <r>
          <rPr>
            <sz val="9"/>
            <color indexed="81"/>
            <rFont val="Tahoma"/>
            <family val="2"/>
          </rPr>
          <t xml:space="preserve">
http://www.h-mac.com</t>
        </r>
      </text>
    </comment>
    <comment ref="T543" authorId="1">
      <text>
        <r>
          <rPr>
            <b/>
            <sz val="9"/>
            <color indexed="81"/>
            <rFont val="Tahoma"/>
            <family val="2"/>
          </rPr>
          <t>Mike Ting:</t>
        </r>
        <r>
          <rPr>
            <sz val="9"/>
            <color indexed="81"/>
            <rFont val="Tahoma"/>
            <family val="2"/>
          </rPr>
          <t xml:space="preserve">
placeholder value; DEG still developing markup estimate</t>
        </r>
      </text>
    </comment>
    <comment ref="AM544" authorId="0">
      <text>
        <r>
          <rPr>
            <b/>
            <sz val="9"/>
            <color indexed="81"/>
            <rFont val="Tahoma"/>
            <family val="2"/>
          </rPr>
          <t>Lucas Scheidler:</t>
        </r>
        <r>
          <rPr>
            <sz val="9"/>
            <color indexed="81"/>
            <rFont val="Tahoma"/>
            <family val="2"/>
          </rPr>
          <t xml:space="preserve">
http://heatingandairwholesale.com</t>
        </r>
      </text>
    </comment>
    <comment ref="AN544" authorId="0">
      <text>
        <r>
          <rPr>
            <b/>
            <sz val="9"/>
            <color indexed="81"/>
            <rFont val="Tahoma"/>
            <family val="2"/>
          </rPr>
          <t>Lucas Scheidler:</t>
        </r>
        <r>
          <rPr>
            <sz val="9"/>
            <color indexed="81"/>
            <rFont val="Tahoma"/>
            <family val="2"/>
          </rPr>
          <t xml:space="preserve">
http://www.theacoutlet.com</t>
        </r>
      </text>
    </comment>
    <comment ref="AO544" authorId="0">
      <text>
        <r>
          <rPr>
            <b/>
            <sz val="9"/>
            <color indexed="81"/>
            <rFont val="Tahoma"/>
            <family val="2"/>
          </rPr>
          <t>Lucas Scheidler:</t>
        </r>
        <r>
          <rPr>
            <sz val="9"/>
            <color indexed="81"/>
            <rFont val="Tahoma"/>
            <family val="2"/>
          </rPr>
          <t xml:space="preserve">
http://www.routeac.com</t>
        </r>
      </text>
    </comment>
    <comment ref="AP544" authorId="0">
      <text>
        <r>
          <rPr>
            <b/>
            <sz val="9"/>
            <color indexed="81"/>
            <rFont val="Tahoma"/>
            <family val="2"/>
          </rPr>
          <t>Lucas Scheidler:</t>
        </r>
        <r>
          <rPr>
            <sz val="9"/>
            <color indexed="81"/>
            <rFont val="Tahoma"/>
            <family val="2"/>
          </rPr>
          <t xml:space="preserve">
http://www.ecoairandwater.com</t>
        </r>
      </text>
    </comment>
    <comment ref="AQ544" authorId="0">
      <text>
        <r>
          <rPr>
            <b/>
            <sz val="9"/>
            <color indexed="81"/>
            <rFont val="Tahoma"/>
            <family val="2"/>
          </rPr>
          <t>Lucas Scheidler:</t>
        </r>
        <r>
          <rPr>
            <sz val="9"/>
            <color indexed="81"/>
            <rFont val="Tahoma"/>
            <family val="2"/>
          </rPr>
          <t xml:space="preserve">
https://www.acwholesalers.com</t>
        </r>
      </text>
    </comment>
    <comment ref="AR544" authorId="0">
      <text>
        <r>
          <rPr>
            <b/>
            <sz val="9"/>
            <color indexed="81"/>
            <rFont val="Tahoma"/>
            <family val="2"/>
          </rPr>
          <t>Lucas Scheidler:</t>
        </r>
        <r>
          <rPr>
            <sz val="9"/>
            <color indexed="81"/>
            <rFont val="Tahoma"/>
            <family val="2"/>
          </rPr>
          <t xml:space="preserve">
http://welcomehvac.com</t>
        </r>
      </text>
    </comment>
    <comment ref="AS544" authorId="0">
      <text>
        <r>
          <rPr>
            <b/>
            <sz val="9"/>
            <color indexed="81"/>
            <rFont val="Tahoma"/>
            <family val="2"/>
          </rPr>
          <t>Lucas Scheidler:</t>
        </r>
        <r>
          <rPr>
            <sz val="9"/>
            <color indexed="81"/>
            <rFont val="Tahoma"/>
            <family val="2"/>
          </rPr>
          <t xml:space="preserve">
http://acunitsdirect.com</t>
        </r>
      </text>
    </comment>
    <comment ref="AT544" authorId="0">
      <text>
        <r>
          <rPr>
            <b/>
            <sz val="9"/>
            <color indexed="81"/>
            <rFont val="Tahoma"/>
            <family val="2"/>
          </rPr>
          <t>Lucas Scheidler:</t>
        </r>
        <r>
          <rPr>
            <sz val="9"/>
            <color indexed="81"/>
            <rFont val="Tahoma"/>
            <family val="2"/>
          </rPr>
          <t xml:space="preserve">
http://shortyshvac.com</t>
        </r>
      </text>
    </comment>
    <comment ref="AD545" authorId="0">
      <text>
        <r>
          <rPr>
            <b/>
            <sz val="9"/>
            <color indexed="81"/>
            <rFont val="Tahoma"/>
            <family val="2"/>
          </rPr>
          <t>Lucas Scheidler:</t>
        </r>
        <r>
          <rPr>
            <sz val="9"/>
            <color indexed="81"/>
            <rFont val="Tahoma"/>
            <family val="2"/>
          </rPr>
          <t xml:space="preserve">
Descriptive stats are on percentage difference between modeled and actual prices ((Modeled - Actual)/Actual)</t>
        </r>
      </text>
    </comment>
    <comment ref="AI545" authorId="0">
      <text>
        <r>
          <rPr>
            <b/>
            <sz val="9"/>
            <color indexed="81"/>
            <rFont val="Tahoma"/>
            <family val="2"/>
          </rPr>
          <t>Lucas Scheidler:</t>
        </r>
        <r>
          <rPr>
            <sz val="9"/>
            <color indexed="81"/>
            <rFont val="Tahoma"/>
            <family val="2"/>
          </rPr>
          <t xml:space="preserve">
http://www.alpinehomeair.com/viewproduct.cfm?productID=453064740
Goodman GDS80603AX</t>
        </r>
      </text>
    </comment>
    <comment ref="AJ545" authorId="0">
      <text>
        <r>
          <rPr>
            <b/>
            <sz val="9"/>
            <color indexed="81"/>
            <rFont val="Tahoma"/>
            <family val="2"/>
          </rPr>
          <t>Lucas Scheidler:</t>
        </r>
        <r>
          <rPr>
            <sz val="9"/>
            <color indexed="81"/>
            <rFont val="Tahoma"/>
            <family val="2"/>
          </rPr>
          <t xml:space="preserve">
http://ecomfort.com/gds80603ax-multi-speed-gas-furnace-downflow-low-nox-80-afue-60000-btu-37134.html</t>
        </r>
      </text>
    </comment>
    <comment ref="AU545" authorId="0">
      <text>
        <r>
          <rPr>
            <b/>
            <sz val="9"/>
            <color indexed="81"/>
            <rFont val="Tahoma"/>
            <family val="2"/>
          </rPr>
          <t>Lucas Scheidler:</t>
        </r>
        <r>
          <rPr>
            <sz val="9"/>
            <color indexed="81"/>
            <rFont val="Tahoma"/>
            <family val="2"/>
          </rPr>
          <t xml:space="preserve">
http://shop.thefurnaceoutlet.com/60000-BTU-80-Downflow-Furnace-GDS80603AX.htm</t>
        </r>
      </text>
    </comment>
    <comment ref="AZ545" authorId="0">
      <text>
        <r>
          <rPr>
            <b/>
            <sz val="9"/>
            <color indexed="81"/>
            <rFont val="Tahoma"/>
            <family val="2"/>
          </rPr>
          <t>Lucas Scheidler:</t>
        </r>
        <r>
          <rPr>
            <sz val="9"/>
            <color indexed="81"/>
            <rFont val="Tahoma"/>
            <family val="2"/>
          </rPr>
          <t xml:space="preserve">
http://www.aclinesets.com/products/gds80603ax-80-afue-multi-speed-downflow-gas-furnace-60-000-btu-low-nox</t>
        </r>
      </text>
    </comment>
    <comment ref="AM546" authorId="0">
      <text>
        <r>
          <rPr>
            <b/>
            <sz val="9"/>
            <color indexed="81"/>
            <rFont val="Tahoma"/>
            <family val="2"/>
          </rPr>
          <t>Lucas Scheidler:</t>
        </r>
        <r>
          <rPr>
            <sz val="9"/>
            <color indexed="81"/>
            <rFont val="Tahoma"/>
            <family val="2"/>
          </rPr>
          <t xml:space="preserve">
http://heatingandairwholesale.com/payne-90-afue-gas-furnace-60000-btu-psc-motor-2/</t>
        </r>
      </text>
    </comment>
    <comment ref="AO546" authorId="0">
      <text>
        <r>
          <rPr>
            <b/>
            <sz val="9"/>
            <color indexed="81"/>
            <rFont val="Tahoma"/>
            <family val="2"/>
          </rPr>
          <t>Lucas Scheidler:</t>
        </r>
        <r>
          <rPr>
            <sz val="9"/>
            <color indexed="81"/>
            <rFont val="Tahoma"/>
            <family val="2"/>
          </rPr>
          <t xml:space="preserve">
http://www.routeac.com/payne-2-ton-gas-furnace-90-afue-60k-btu-multipoise.html</t>
        </r>
      </text>
    </comment>
    <comment ref="AS546" authorId="0">
      <text>
        <r>
          <rPr>
            <b/>
            <sz val="9"/>
            <color indexed="81"/>
            <rFont val="Tahoma"/>
            <family val="2"/>
          </rPr>
          <t>Lucas Scheidler:</t>
        </r>
        <r>
          <rPr>
            <sz val="9"/>
            <color indexed="81"/>
            <rFont val="Tahoma"/>
            <family val="2"/>
          </rPr>
          <t xml:space="preserve">
http://acunitsdirect.com/pg9mab024060-payne-upflow-downflow-horizontal-2-to-2-5-ton-multipoise-60k-btu-90-afue-gas-furnace.html</t>
        </r>
      </text>
    </comment>
    <comment ref="BA546" authorId="0">
      <text>
        <r>
          <rPr>
            <b/>
            <sz val="9"/>
            <color indexed="81"/>
            <rFont val="Tahoma"/>
            <family val="2"/>
          </rPr>
          <t>Lucas Scheidler:</t>
        </r>
        <r>
          <rPr>
            <sz val="9"/>
            <color indexed="81"/>
            <rFont val="Tahoma"/>
            <family val="2"/>
          </rPr>
          <t xml:space="preserve">
http://www.ductlessairunit.com/pg9mab024060-payne-upflow-downflow-horizontal-2-to-2.5-ton-multipoise-60k-btu-90-afue-gas-furnace.html</t>
        </r>
      </text>
    </comment>
    <comment ref="AK547" authorId="3">
      <text>
        <r>
          <rPr>
            <b/>
            <sz val="9"/>
            <color indexed="81"/>
            <rFont val="Tahoma"/>
            <family val="2"/>
          </rPr>
          <t>Dawdy, John:</t>
        </r>
        <r>
          <rPr>
            <sz val="9"/>
            <color indexed="81"/>
            <rFont val="Tahoma"/>
            <family val="2"/>
          </rPr>
          <t xml:space="preserve">
http://ingramswaterandair.com/goodman-furnace-gmh80903bna-upflow-p-17145.html</t>
        </r>
      </text>
    </comment>
    <comment ref="AM547" authorId="3">
      <text>
        <r>
          <rPr>
            <b/>
            <sz val="9"/>
            <color indexed="81"/>
            <rFont val="Tahoma"/>
            <family val="2"/>
          </rPr>
          <t>Dawdy, John:</t>
        </r>
        <r>
          <rPr>
            <sz val="9"/>
            <color indexed="81"/>
            <rFont val="Tahoma"/>
            <family val="2"/>
          </rPr>
          <t xml:space="preserve">
http://heatingandairwholesale.com/hvac-direct-gas-furnace-gmh80903bna-80-90k-btu-upflow/</t>
        </r>
      </text>
    </comment>
    <comment ref="AP547" authorId="3">
      <text>
        <r>
          <rPr>
            <b/>
            <sz val="9"/>
            <color indexed="81"/>
            <rFont val="Tahoma"/>
            <family val="2"/>
          </rPr>
          <t>Dawdy, John:</t>
        </r>
        <r>
          <rPr>
            <sz val="9"/>
            <color indexed="81"/>
            <rFont val="Tahoma"/>
            <family val="2"/>
          </rPr>
          <t xml:space="preserve">
http://www.ecoairandwater.com/store/90000-btu-gmh80903bna-80-efficiency-2-stage-3-ton-multi-speed-goodman-upflow-or-horizontal-flow-furnace.html</t>
        </r>
      </text>
    </comment>
    <comment ref="BB547" authorId="3">
      <text>
        <r>
          <rPr>
            <b/>
            <sz val="9"/>
            <color indexed="81"/>
            <rFont val="Tahoma"/>
            <family val="2"/>
          </rPr>
          <t>Dawdy, John:</t>
        </r>
        <r>
          <rPr>
            <sz val="9"/>
            <color indexed="81"/>
            <rFont val="Tahoma"/>
            <family val="2"/>
          </rPr>
          <t xml:space="preserve">
http://www.alloysafe.com/index.php/heating-air-conditioning/gas-furnaces/80-afue-gas-furnace/goodman-gas-furnace-gmh80903bna-80-90k-btu-upflow.html</t>
        </r>
      </text>
    </comment>
    <comment ref="AJ548" authorId="0">
      <text>
        <r>
          <rPr>
            <b/>
            <sz val="9"/>
            <color indexed="81"/>
            <rFont val="Tahoma"/>
            <family val="2"/>
          </rPr>
          <t>Lucas Scheidler:</t>
        </r>
        <r>
          <rPr>
            <sz val="9"/>
            <color indexed="81"/>
            <rFont val="Tahoma"/>
            <family val="2"/>
          </rPr>
          <t xml:space="preserve">
http://ecomfort.com/gks90904cx-multi-speed-gas-furnace-upflow-low-nox-921-afue-92000-btu-37076.html</t>
        </r>
      </text>
    </comment>
    <comment ref="AL548" authorId="0">
      <text>
        <r>
          <rPr>
            <b/>
            <sz val="9"/>
            <color indexed="81"/>
            <rFont val="Tahoma"/>
            <family val="2"/>
          </rPr>
          <t>Lucas Scheidler:</t>
        </r>
        <r>
          <rPr>
            <sz val="9"/>
            <color indexed="81"/>
            <rFont val="Tahoma"/>
            <family val="2"/>
          </rPr>
          <t xml:space="preserve">
http://www.pexsupply.com/Goodman-GKS90904CX-Goodman-90000-BTU-921-Efficiency-Single-Stage-Burner-Multi-Speed-Blower-Upflow-Application-Gas-Furnace-12595000-p</t>
        </r>
      </text>
    </comment>
    <comment ref="AN548" authorId="0">
      <text>
        <r>
          <rPr>
            <b/>
            <sz val="9"/>
            <color indexed="81"/>
            <rFont val="Tahoma"/>
            <family val="2"/>
          </rPr>
          <t>Lucas Scheidler:</t>
        </r>
        <r>
          <rPr>
            <sz val="9"/>
            <color indexed="81"/>
            <rFont val="Tahoma"/>
            <family val="2"/>
          </rPr>
          <t xml:space="preserve">
http://www.theacoutlet.com/GKS90904CX-90000-Btu-92-Percent-Afue-Goodman-Gas-Furnace.htm?gclid=CNj1saeDg7gCFaN7Qgodg3UACw</t>
        </r>
      </text>
    </comment>
    <comment ref="AV548" authorId="0">
      <text>
        <r>
          <rPr>
            <b/>
            <sz val="9"/>
            <color indexed="81"/>
            <rFont val="Tahoma"/>
            <family val="2"/>
          </rPr>
          <t>Lucas Scheidler:</t>
        </r>
        <r>
          <rPr>
            <sz val="9"/>
            <color indexed="81"/>
            <rFont val="Tahoma"/>
            <family val="2"/>
          </rPr>
          <t xml:space="preserve">
http://www.greendroplet.com/goodman-gks90904cx-gas-furnace-upflow-horizontal-single-stage-burner-93-90-000-btu.html</t>
        </r>
      </text>
    </comment>
    <comment ref="Q549" authorId="0">
      <text>
        <r>
          <rPr>
            <b/>
            <sz val="9"/>
            <color indexed="81"/>
            <rFont val="Tahoma"/>
            <family val="2"/>
          </rPr>
          <t>Lucas Scheidler:</t>
        </r>
        <r>
          <rPr>
            <sz val="9"/>
            <color indexed="81"/>
            <rFont val="Tahoma"/>
            <family val="2"/>
          </rPr>
          <t xml:space="preserve">
These weights are from 2006 - 2012 CLASS. Weights are the following: Bryant 13.39%, Day&amp;*Night 1.46%, Goodman 6.05% and Ruud 5.13%. Only weights for day and night and goodman were applied, as these were the only  brands in the model that had a significant/marginally significant coefficient.</t>
        </r>
      </text>
    </comment>
    <comment ref="AI549" authorId="3">
      <text>
        <r>
          <rPr>
            <b/>
            <sz val="9"/>
            <color indexed="81"/>
            <rFont val="Tahoma"/>
            <family val="2"/>
          </rPr>
          <t>Dawdy, John:</t>
        </r>
        <r>
          <rPr>
            <sz val="9"/>
            <color indexed="81"/>
            <rFont val="Tahoma"/>
            <family val="2"/>
          </rPr>
          <t xml:space="preserve">
http://www.alpinehomeair.com/viewproduct.cfm?productID=453064684</t>
        </r>
      </text>
    </comment>
    <comment ref="AJ549" authorId="3">
      <text>
        <r>
          <rPr>
            <b/>
            <sz val="9"/>
            <color indexed="81"/>
            <rFont val="Tahoma"/>
            <family val="2"/>
          </rPr>
          <t>Dawdy, John:</t>
        </r>
        <r>
          <rPr>
            <sz val="9"/>
            <color indexed="81"/>
            <rFont val="Tahoma"/>
            <family val="2"/>
          </rPr>
          <t xml:space="preserve">
http://ecomfort.com/gmh81205dn-2-stage-multi-speed-gas-furnace-upflow-horizontal-high-air-flow-80-afue-120000-btu-37107.html</t>
        </r>
      </text>
    </comment>
    <comment ref="AK549" authorId="3">
      <text>
        <r>
          <rPr>
            <b/>
            <sz val="9"/>
            <color indexed="81"/>
            <rFont val="Tahoma"/>
            <family val="2"/>
          </rPr>
          <t>Dawdy, John:</t>
        </r>
        <r>
          <rPr>
            <sz val="9"/>
            <color indexed="81"/>
            <rFont val="Tahoma"/>
            <family val="2"/>
          </rPr>
          <t xml:space="preserve">
http://ingramswaterandair.com/goodman-furnace-gmh81205dn-afue-120k-upflowhorizontal-stage-multispeed-p-18563.html</t>
        </r>
      </text>
    </comment>
    <comment ref="BC549" authorId="3">
      <text>
        <r>
          <rPr>
            <b/>
            <sz val="9"/>
            <color indexed="81"/>
            <rFont val="Tahoma"/>
            <family val="2"/>
          </rPr>
          <t>Dawdy, John:</t>
        </r>
        <r>
          <rPr>
            <sz val="9"/>
            <color indexed="81"/>
            <rFont val="Tahoma"/>
            <family val="2"/>
          </rPr>
          <t xml:space="preserve">
http://www.godirectappliance.com/ac-heat/gas-furnaces/goodman-120-000-btu-80-multi-position-gas-furnace-gmh81205dn.html</t>
        </r>
      </text>
    </comment>
    <comment ref="AK550" authorId="3">
      <text>
        <r>
          <rPr>
            <b/>
            <sz val="9"/>
            <color indexed="81"/>
            <rFont val="Tahoma"/>
            <family val="2"/>
          </rPr>
          <t>Dawdy, John:</t>
        </r>
        <r>
          <rPr>
            <sz val="9"/>
            <color indexed="81"/>
            <rFont val="Tahoma"/>
            <family val="2"/>
          </rPr>
          <t xml:space="preserve">
http://ingramswaterandair.com/rheem-furnaces-120k-afue-upflow-p-16375.html</t>
        </r>
      </text>
    </comment>
    <comment ref="AQ550" authorId="3">
      <text>
        <r>
          <rPr>
            <b/>
            <sz val="9"/>
            <color indexed="81"/>
            <rFont val="Tahoma"/>
            <family val="2"/>
          </rPr>
          <t>Dawdy, John:</t>
        </r>
        <r>
          <rPr>
            <sz val="9"/>
            <color indexed="81"/>
            <rFont val="Tahoma"/>
            <family val="2"/>
          </rPr>
          <t xml:space="preserve">
https://www.acwholesalers.com/Rheem/RGRA12ERAJS-93-5-AFUE-120000-BTU-Upflow-Gas-Furnace-Classic-Series/19956.ac?gclid=CPTej736hLgCFUlxQgod0BcARw</t>
        </r>
      </text>
    </comment>
    <comment ref="AW550" authorId="3">
      <text>
        <r>
          <rPr>
            <b/>
            <sz val="9"/>
            <color indexed="81"/>
            <rFont val="Tahoma"/>
            <family val="2"/>
          </rPr>
          <t>Dawdy, John:</t>
        </r>
        <r>
          <rPr>
            <sz val="9"/>
            <color indexed="81"/>
            <rFont val="Tahoma"/>
            <family val="2"/>
          </rPr>
          <t xml:space="preserve">
https://www.expresshvac.com/res_components/gas_furnace/hvac_rheem.asp</t>
        </r>
      </text>
    </comment>
    <comment ref="BD550" authorId="3">
      <text>
        <r>
          <rPr>
            <b/>
            <sz val="9"/>
            <color indexed="81"/>
            <rFont val="Tahoma"/>
            <family val="2"/>
          </rPr>
          <t>Dawdy, John:</t>
        </r>
        <r>
          <rPr>
            <sz val="9"/>
            <color indexed="81"/>
            <rFont val="Tahoma"/>
            <family val="2"/>
          </rPr>
          <t xml:space="preserve">
http://www.nationalairwarehouse.com/gas-systems/furnaces/rheem-93-5-afue-120-000-btu-upflow-gas-furnace.html</t>
        </r>
      </text>
    </comment>
    <comment ref="AK551" authorId="3">
      <text>
        <r>
          <rPr>
            <b/>
            <sz val="9"/>
            <color indexed="81"/>
            <rFont val="Tahoma"/>
            <family val="2"/>
          </rPr>
          <t>Dawdy, John:</t>
        </r>
        <r>
          <rPr>
            <sz val="9"/>
            <color indexed="81"/>
            <rFont val="Tahoma"/>
            <family val="2"/>
          </rPr>
          <t xml:space="preserve">
http://ingramswaterandair.com/payne-afue-furnace-deluxe-multipoise-88000-motor-p-18263.html</t>
        </r>
      </text>
    </comment>
    <comment ref="AO551" authorId="3">
      <text>
        <r>
          <rPr>
            <b/>
            <sz val="9"/>
            <color indexed="81"/>
            <rFont val="Tahoma"/>
            <family val="2"/>
          </rPr>
          <t>Dawdy, John:</t>
        </r>
        <r>
          <rPr>
            <sz val="9"/>
            <color indexed="81"/>
            <rFont val="Tahoma"/>
            <family val="2"/>
          </rPr>
          <t xml:space="preserve">
http://www.routeac.com/payne-3.5-ton-gas-furnace-80-afue-88k-btu-multipoise.html</t>
        </r>
      </text>
    </comment>
    <comment ref="AR551" authorId="3">
      <text>
        <r>
          <rPr>
            <b/>
            <sz val="9"/>
            <color indexed="81"/>
            <rFont val="Tahoma"/>
            <family val="2"/>
          </rPr>
          <t>Dawdy, John:</t>
        </r>
        <r>
          <rPr>
            <sz val="9"/>
            <color indexed="81"/>
            <rFont val="Tahoma"/>
            <family val="2"/>
          </rPr>
          <t xml:space="preserve">
http://welcomehvac.com/shop/article_PG8MAA042090/Payne-Upflow_Downflow_Horizontal-3-1_2-Ton-Multi-Positional-90K-BTU-80%25-AFUE-Gas-Furnace.html?sessid=15rWwz6oRD6EbsKslzgJMrWfw7YWg4e5Oj0QSiI8caB0Et4ZAGWPEE00qcOPwnwn&amp;shop_param=cid%3D255%26aid%3DPG8MAA042090%26</t>
        </r>
      </text>
    </comment>
    <comment ref="AT551" authorId="3">
      <text>
        <r>
          <rPr>
            <b/>
            <sz val="9"/>
            <color indexed="81"/>
            <rFont val="Tahoma"/>
            <family val="2"/>
          </rPr>
          <t>Dawdy, John:</t>
        </r>
        <r>
          <rPr>
            <sz val="9"/>
            <color indexed="81"/>
            <rFont val="Tahoma"/>
            <family val="2"/>
          </rPr>
          <t xml:space="preserve">
http://shortyshvac.com/index.php?main_page=product_info&amp;products_id=202</t>
        </r>
      </text>
    </comment>
    <comment ref="AI552" authorId="0">
      <text>
        <r>
          <rPr>
            <b/>
            <sz val="9"/>
            <color indexed="81"/>
            <rFont val="Tahoma"/>
            <family val="2"/>
          </rPr>
          <t>Lucas Scheidler:</t>
        </r>
        <r>
          <rPr>
            <sz val="9"/>
            <color indexed="81"/>
            <rFont val="Tahoma"/>
            <family val="2"/>
          </rPr>
          <t xml:space="preserve">
http://www.alpinehomeair.com/viewproduct.cfm?productID=453063474</t>
        </r>
      </text>
    </comment>
    <comment ref="AJ552" authorId="0">
      <text>
        <r>
          <rPr>
            <b/>
            <sz val="9"/>
            <color indexed="81"/>
            <rFont val="Tahoma"/>
            <family val="2"/>
          </rPr>
          <t>Lucas Scheidler:</t>
        </r>
        <r>
          <rPr>
            <sz val="9"/>
            <color indexed="81"/>
            <rFont val="Tahoma"/>
            <family val="2"/>
          </rPr>
          <t xml:space="preserve">
http://ecomfort.com/gcvc950915dx-2-stage-variable-speed-gas-furnace-comfortnet-controls-downflow-horizontal-low-nox-95-afue-92000-btu-37054.html</t>
        </r>
      </text>
    </comment>
    <comment ref="AX552" authorId="0">
      <text>
        <r>
          <rPr>
            <b/>
            <sz val="9"/>
            <color indexed="81"/>
            <rFont val="Tahoma"/>
            <family val="2"/>
          </rPr>
          <t>Lucas Scheidler:</t>
        </r>
        <r>
          <rPr>
            <sz val="9"/>
            <color indexed="81"/>
            <rFont val="Tahoma"/>
            <family val="2"/>
          </rPr>
          <t xml:space="preserve">
http://www.amanadealer.com/product.sc?productId=279</t>
        </r>
      </text>
    </comment>
    <comment ref="BE552" authorId="0">
      <text>
        <r>
          <rPr>
            <b/>
            <sz val="9"/>
            <color indexed="81"/>
            <rFont val="Tahoma"/>
            <family val="2"/>
          </rPr>
          <t>Lucas Scheidler:</t>
        </r>
        <r>
          <rPr>
            <sz val="9"/>
            <color indexed="81"/>
            <rFont val="Tahoma"/>
            <family val="2"/>
          </rPr>
          <t xml:space="preserve">
http://libertywholesalesupply.com/goodman-gcvc950915dx-92-000-btu-gas-furnace-95-efficient-two-stage-burner-down-flow-direct-drive-variable-speed-ecm-blower.html</t>
        </r>
      </text>
    </comment>
    <comment ref="AI553" authorId="3">
      <text>
        <r>
          <rPr>
            <b/>
            <sz val="9"/>
            <color indexed="81"/>
            <rFont val="Tahoma"/>
            <family val="2"/>
          </rPr>
          <t>Dawdy, John:</t>
        </r>
        <r>
          <rPr>
            <sz val="9"/>
            <color indexed="81"/>
            <rFont val="Tahoma"/>
            <family val="2"/>
          </rPr>
          <t xml:space="preserve">
http://www.alpinehomeair.com/viewproduct.cfm?productID=453064683</t>
        </r>
      </text>
    </comment>
    <comment ref="AL553" authorId="3">
      <text>
        <r>
          <rPr>
            <b/>
            <sz val="9"/>
            <color indexed="81"/>
            <rFont val="Tahoma"/>
            <family val="2"/>
          </rPr>
          <t>Dawdy, John:</t>
        </r>
        <r>
          <rPr>
            <sz val="9"/>
            <color indexed="81"/>
            <rFont val="Tahoma"/>
            <family val="2"/>
          </rPr>
          <t xml:space="preserve">
http://www.pexsupply.com/Goodman-GMH81005CN-Goodman-100000-BTU-80-Efficiency-Two-Stage-Burner-Multi-Speed-Blower-Upflow-Horizontal-Application-Gas-Furnace</t>
        </r>
      </text>
    </comment>
    <comment ref="AM553" authorId="3">
      <text>
        <r>
          <rPr>
            <b/>
            <sz val="9"/>
            <color indexed="81"/>
            <rFont val="Tahoma"/>
            <family val="2"/>
          </rPr>
          <t>Dawdy, John:</t>
        </r>
        <r>
          <rPr>
            <sz val="9"/>
            <color indexed="81"/>
            <rFont val="Tahoma"/>
            <family val="2"/>
          </rPr>
          <t xml:space="preserve">
http://heatingandairwholesale.com/goodman-gas-furnace-gmh81005cn-80-afue-100k-btu-upflowhorizontal-2-stage-multi-speed-gas/</t>
        </r>
      </text>
    </comment>
    <comment ref="BF553" authorId="3">
      <text>
        <r>
          <rPr>
            <b/>
            <sz val="9"/>
            <color indexed="81"/>
            <rFont val="Tahoma"/>
            <family val="2"/>
          </rPr>
          <t>Dawdy, John:</t>
        </r>
        <r>
          <rPr>
            <sz val="9"/>
            <color indexed="81"/>
            <rFont val="Tahoma"/>
            <family val="2"/>
          </rPr>
          <t xml:space="preserve">
http://www.budgetheating.com/80-Single-Stage-100K-BTU-Gas-Furnace-up-to-5-Ton-p/90004.htm</t>
        </r>
      </text>
    </comment>
    <comment ref="AJ554" authorId="3">
      <text>
        <r>
          <rPr>
            <b/>
            <sz val="9"/>
            <color indexed="81"/>
            <rFont val="Tahoma"/>
            <family val="2"/>
          </rPr>
          <t>Dawdy, John:</t>
        </r>
        <r>
          <rPr>
            <sz val="9"/>
            <color indexed="81"/>
            <rFont val="Tahoma"/>
            <family val="2"/>
          </rPr>
          <t xml:space="preserve">
http://ecomfort.com/amvm961005dx-dual-stage-variable-speed-gas-furnace-96-100000-btu-40627.html</t>
        </r>
      </text>
    </comment>
    <comment ref="AN554" authorId="3">
      <text>
        <r>
          <rPr>
            <b/>
            <sz val="9"/>
            <color indexed="81"/>
            <rFont val="Tahoma"/>
            <family val="2"/>
          </rPr>
          <t>Dawdy, John:</t>
        </r>
        <r>
          <rPr>
            <sz val="9"/>
            <color indexed="81"/>
            <rFont val="Tahoma"/>
            <family val="2"/>
          </rPr>
          <t xml:space="preserve">
https://www.theacoutlet.com/AMVM961005DX-100000-Btu-96-Percent-Afue-Amana-Modulating-Gas-Furnace.htm</t>
        </r>
      </text>
    </comment>
    <comment ref="AY554" authorId="3">
      <text>
        <r>
          <rPr>
            <b/>
            <sz val="9"/>
            <color indexed="81"/>
            <rFont val="Tahoma"/>
            <family val="2"/>
          </rPr>
          <t>Dawdy, John:</t>
        </r>
        <r>
          <rPr>
            <sz val="9"/>
            <color indexed="81"/>
            <rFont val="Tahoma"/>
            <family val="2"/>
          </rPr>
          <t xml:space="preserve">
http://acforsale.com/index.php?dispatch=products.view&amp;product_id=29929</t>
        </r>
      </text>
    </comment>
    <comment ref="BG554" authorId="3">
      <text>
        <r>
          <rPr>
            <b/>
            <sz val="9"/>
            <color indexed="81"/>
            <rFont val="Tahoma"/>
            <family val="2"/>
          </rPr>
          <t>Dawdy, John:</t>
        </r>
        <r>
          <rPr>
            <sz val="9"/>
            <color indexed="81"/>
            <rFont val="Tahoma"/>
            <family val="2"/>
          </rPr>
          <t xml:space="preserve">
http://www.djsonline.com/amana_amvm96furnaces.htm</t>
        </r>
      </text>
    </comment>
    <comment ref="AI557" authorId="0">
      <text>
        <r>
          <rPr>
            <b/>
            <sz val="9"/>
            <color indexed="81"/>
            <rFont val="Tahoma"/>
            <family val="2"/>
          </rPr>
          <t>Lucas Scheidler:</t>
        </r>
        <r>
          <rPr>
            <sz val="9"/>
            <color indexed="81"/>
            <rFont val="Tahoma"/>
            <family val="2"/>
          </rPr>
          <t xml:space="preserve">
EMCOR artificial bid</t>
        </r>
      </text>
    </comment>
    <comment ref="AJ557" authorId="0">
      <text>
        <r>
          <rPr>
            <b/>
            <sz val="9"/>
            <color indexed="81"/>
            <rFont val="Tahoma"/>
            <family val="2"/>
          </rPr>
          <t>Lucas Scheidler:</t>
        </r>
        <r>
          <rPr>
            <sz val="9"/>
            <color indexed="81"/>
            <rFont val="Tahoma"/>
            <family val="2"/>
          </rPr>
          <t xml:space="preserve">
DEER 2001 Update average of 3 ton, 12 SEER and 3 ton, 13 SEER</t>
        </r>
      </text>
    </comment>
    <comment ref="AK558" authorId="0">
      <text>
        <r>
          <rPr>
            <b/>
            <sz val="9"/>
            <color indexed="81"/>
            <rFont val="Tahoma"/>
            <family val="2"/>
          </rPr>
          <t>Lucas Scheidler:</t>
        </r>
        <r>
          <rPr>
            <sz val="9"/>
            <color indexed="81"/>
            <rFont val="Tahoma"/>
            <family val="2"/>
          </rPr>
          <t xml:space="preserve">
DEER 2008
13 SEER(11.07 EER)/8.1 HSPF(3.28 COP) A/C Heat pump (Code Case)
</t>
        </r>
      </text>
    </comment>
    <comment ref="Q559" authorId="0">
      <text>
        <r>
          <rPr>
            <b/>
            <sz val="9"/>
            <color indexed="81"/>
            <rFont val="Tahoma"/>
            <family val="2"/>
          </rPr>
          <t>Lucas Scheidler:</t>
        </r>
        <r>
          <rPr>
            <sz val="9"/>
            <color indexed="81"/>
            <rFont val="Tahoma"/>
            <family val="2"/>
          </rPr>
          <t xml:space="preserve">
These weights are from CMST. These four brands made up 43% of total record counts in CMST. Cross checking with CSS provided similar weighting.</t>
        </r>
      </text>
    </comment>
    <comment ref="AK559" authorId="0">
      <text>
        <r>
          <rPr>
            <b/>
            <sz val="9"/>
            <color indexed="81"/>
            <rFont val="Tahoma"/>
            <family val="2"/>
          </rPr>
          <t>Lucas Scheidler:</t>
        </r>
        <r>
          <rPr>
            <sz val="9"/>
            <color indexed="81"/>
            <rFont val="Tahoma"/>
            <family val="2"/>
          </rPr>
          <t xml:space="preserve">
DEER 2008
14 SEER(12.19 EER)/8.6 HSPF(3.52 COP) A/C Heat Pump</t>
        </r>
      </text>
    </comment>
    <comment ref="AL559" authorId="0">
      <text>
        <r>
          <rPr>
            <b/>
            <sz val="9"/>
            <color indexed="81"/>
            <rFont val="Tahoma"/>
            <family val="2"/>
          </rPr>
          <t>Lucas Scheidler:</t>
        </r>
        <r>
          <rPr>
            <sz val="9"/>
            <color indexed="81"/>
            <rFont val="Tahoma"/>
            <family val="2"/>
          </rPr>
          <t xml:space="preserve">
Workpaper SCE13HC019.0 for 14 SEER (12.19EER) HP - referencing 2005 DEER
</t>
        </r>
      </text>
    </comment>
    <comment ref="AK560" authorId="0">
      <text>
        <r>
          <rPr>
            <b/>
            <sz val="9"/>
            <color indexed="81"/>
            <rFont val="Tahoma"/>
            <family val="2"/>
          </rPr>
          <t>Lucas Scheidler:</t>
        </r>
        <r>
          <rPr>
            <sz val="9"/>
            <color indexed="81"/>
            <rFont val="Tahoma"/>
            <family val="2"/>
          </rPr>
          <t xml:space="preserve">
DEER2008
15 SEER(12.70 EER)/8.8 HSPF(3.74 COP) A/C Heat Pump</t>
        </r>
      </text>
    </comment>
    <comment ref="AL560" authorId="0">
      <text>
        <r>
          <rPr>
            <b/>
            <sz val="9"/>
            <color indexed="81"/>
            <rFont val="Tahoma"/>
            <family val="2"/>
          </rPr>
          <t>Lucas Scheidler:</t>
        </r>
        <r>
          <rPr>
            <sz val="9"/>
            <color indexed="81"/>
            <rFont val="Tahoma"/>
            <family val="2"/>
          </rPr>
          <t xml:space="preserve">
Workpaper SCE13HC019.0 for 15 SEER (12.5 EER) HP - extrapolating from 2005 DEER</t>
        </r>
      </text>
    </comment>
    <comment ref="AK561" authorId="0">
      <text>
        <r>
          <rPr>
            <b/>
            <sz val="9"/>
            <color indexed="81"/>
            <rFont val="Tahoma"/>
            <family val="2"/>
          </rPr>
          <t>Lucas Scheidler:</t>
        </r>
        <r>
          <rPr>
            <sz val="9"/>
            <color indexed="81"/>
            <rFont val="Tahoma"/>
            <family val="2"/>
          </rPr>
          <t xml:space="preserve">
DEER2008
16 SEER (12.06 EER) / 8.4 HSPF (3.48 COP) A/C Heat Pump</t>
        </r>
      </text>
    </comment>
    <comment ref="B563" authorId="0">
      <text>
        <r>
          <rPr>
            <b/>
            <sz val="9"/>
            <color indexed="81"/>
            <rFont val="Tahoma"/>
            <family val="2"/>
          </rPr>
          <t>Lucas Scheidler:</t>
        </r>
        <r>
          <rPr>
            <sz val="9"/>
            <color indexed="81"/>
            <rFont val="Tahoma"/>
            <family val="2"/>
          </rPr>
          <t xml:space="preserve">
HSPF and EER,are colinear with  SEER. Heating capacity is also colinear with cooling capacity.</t>
        </r>
      </text>
    </comment>
    <comment ref="T566" authorId="0">
      <text>
        <r>
          <rPr>
            <b/>
            <sz val="9"/>
            <color indexed="81"/>
            <rFont val="Tahoma"/>
            <family val="2"/>
          </rPr>
          <t>Lucas Scheidler:</t>
        </r>
        <r>
          <rPr>
            <sz val="9"/>
            <color indexed="81"/>
            <rFont val="Tahoma"/>
            <family val="2"/>
          </rPr>
          <t xml:space="preserve">
contractor markup estimate  from EMCOR</t>
        </r>
      </text>
    </comment>
    <comment ref="AI576" authorId="0">
      <text>
        <r>
          <rPr>
            <b/>
            <sz val="9"/>
            <color indexed="81"/>
            <rFont val="Tahoma"/>
            <family val="2"/>
          </rPr>
          <t>Lucas Scheidler:</t>
        </r>
        <r>
          <rPr>
            <sz val="9"/>
            <color indexed="81"/>
            <rFont val="Tahoma"/>
            <family val="2"/>
          </rPr>
          <t xml:space="preserve">
EMCOR artificial bid</t>
        </r>
      </text>
    </comment>
    <comment ref="AJ576" authorId="0">
      <text>
        <r>
          <rPr>
            <b/>
            <sz val="9"/>
            <color indexed="81"/>
            <rFont val="Tahoma"/>
            <family val="2"/>
          </rPr>
          <t>Lucas Scheidler:</t>
        </r>
        <r>
          <rPr>
            <sz val="9"/>
            <color indexed="81"/>
            <rFont val="Tahoma"/>
            <family val="2"/>
          </rPr>
          <t xml:space="preserve">
DEER 2001 Update average of 3 ton, 12 SEER and 3 ton, 13 SEER</t>
        </r>
      </text>
    </comment>
    <comment ref="AJ577" authorId="0">
      <text>
        <r>
          <rPr>
            <b/>
            <sz val="9"/>
            <color indexed="81"/>
            <rFont val="Tahoma"/>
            <family val="2"/>
          </rPr>
          <t>Lucas Scheidler:</t>
        </r>
        <r>
          <rPr>
            <sz val="9"/>
            <color indexed="81"/>
            <rFont val="Tahoma"/>
            <family val="2"/>
          </rPr>
          <t xml:space="preserve">
DEER2001 update 3 ton, 13 SEER</t>
        </r>
      </text>
    </comment>
    <comment ref="AK577" authorId="0">
      <text>
        <r>
          <rPr>
            <b/>
            <sz val="9"/>
            <color indexed="81"/>
            <rFont val="Tahoma"/>
            <family val="2"/>
          </rPr>
          <t>Lucas Scheidler:</t>
        </r>
        <r>
          <rPr>
            <sz val="9"/>
            <color indexed="81"/>
            <rFont val="Tahoma"/>
            <family val="2"/>
          </rPr>
          <t xml:space="preserve">
DEER2008 
3 ton 13 SEER(11.09 EER) Split System Air Conditioner (Code Case)</t>
        </r>
      </text>
    </comment>
    <comment ref="AJ578" authorId="0">
      <text>
        <r>
          <rPr>
            <b/>
            <sz val="9"/>
            <color indexed="81"/>
            <rFont val="Tahoma"/>
            <family val="2"/>
          </rPr>
          <t>Lucas Scheidler:</t>
        </r>
        <r>
          <rPr>
            <sz val="9"/>
            <color indexed="81"/>
            <rFont val="Tahoma"/>
            <family val="2"/>
          </rPr>
          <t xml:space="preserve">
DEER2001 update 3 ton, 14+ SEER</t>
        </r>
      </text>
    </comment>
    <comment ref="AK578" authorId="0">
      <text>
        <r>
          <rPr>
            <b/>
            <sz val="9"/>
            <color indexed="81"/>
            <rFont val="Tahoma"/>
            <family val="2"/>
          </rPr>
          <t>Lucas Scheidler:</t>
        </r>
        <r>
          <rPr>
            <sz val="9"/>
            <color indexed="81"/>
            <rFont val="Tahoma"/>
            <family val="2"/>
          </rPr>
          <t xml:space="preserve">
DEER2008 
3 ton 14 SEER(12.15 EER) Split-System Air Conditioner</t>
        </r>
      </text>
    </comment>
    <comment ref="AK579" authorId="0">
      <text>
        <r>
          <rPr>
            <b/>
            <sz val="9"/>
            <color indexed="81"/>
            <rFont val="Tahoma"/>
            <family val="2"/>
          </rPr>
          <t>Lucas Scheidler:</t>
        </r>
        <r>
          <rPr>
            <sz val="9"/>
            <color indexed="81"/>
            <rFont val="Tahoma"/>
            <family val="2"/>
          </rPr>
          <t xml:space="preserve">
DEER2008 
3 ton 15 SEER(12.72 EER) Split-System Air Conditioner</t>
        </r>
      </text>
    </comment>
    <comment ref="AK580" authorId="0">
      <text>
        <r>
          <rPr>
            <b/>
            <sz val="9"/>
            <color indexed="81"/>
            <rFont val="Tahoma"/>
            <family val="2"/>
          </rPr>
          <t>Lucas Scheidler:</t>
        </r>
        <r>
          <rPr>
            <sz val="9"/>
            <color indexed="81"/>
            <rFont val="Tahoma"/>
            <family val="2"/>
          </rPr>
          <t xml:space="preserve">
DEER2008 
3 ton 16 SEER (11.61 EER) Split System Air Conditioner</t>
        </r>
      </text>
    </comment>
    <comment ref="AK581" authorId="0">
      <text>
        <r>
          <rPr>
            <b/>
            <sz val="9"/>
            <color indexed="81"/>
            <rFont val="Tahoma"/>
            <family val="2"/>
          </rPr>
          <t>Lucas Scheidler:</t>
        </r>
        <r>
          <rPr>
            <sz val="9"/>
            <color indexed="81"/>
            <rFont val="Tahoma"/>
            <family val="2"/>
          </rPr>
          <t xml:space="preserve">
DEER2008 
3 ton, 17 SEER (12.28 EER) Split-System Air Conditioner
</t>
        </r>
      </text>
    </comment>
    <comment ref="AK582" authorId="0">
      <text>
        <r>
          <rPr>
            <b/>
            <sz val="9"/>
            <color indexed="81"/>
            <rFont val="Tahoma"/>
            <family val="2"/>
          </rPr>
          <t>Lucas Scheidler:</t>
        </r>
        <r>
          <rPr>
            <sz val="9"/>
            <color indexed="81"/>
            <rFont val="Tahoma"/>
            <family val="2"/>
          </rPr>
          <t xml:space="preserve">
DEER2008 
3 ton 18 SEER (13.37 EER) Split-System Air Conditioner</t>
        </r>
      </text>
    </comment>
    <comment ref="AK583" authorId="0">
      <text>
        <r>
          <rPr>
            <b/>
            <sz val="9"/>
            <color indexed="81"/>
            <rFont val="Tahoma"/>
            <family val="2"/>
          </rPr>
          <t>Lucas Scheidler:</t>
        </r>
        <r>
          <rPr>
            <sz val="9"/>
            <color indexed="81"/>
            <rFont val="Tahoma"/>
            <family val="2"/>
          </rPr>
          <t xml:space="preserve">
DEER2008 
3 ton 19 SEER Split-System Air Conditioner</t>
        </r>
      </text>
    </comment>
    <comment ref="AK584" authorId="0">
      <text>
        <r>
          <rPr>
            <b/>
            <sz val="9"/>
            <color indexed="81"/>
            <rFont val="Tahoma"/>
            <family val="2"/>
          </rPr>
          <t>Lucas Scheidler:</t>
        </r>
        <r>
          <rPr>
            <sz val="9"/>
            <color indexed="81"/>
            <rFont val="Tahoma"/>
            <family val="2"/>
          </rPr>
          <t xml:space="preserve">
DEER2008 
3 ton 20 SEER Split-System Air Conditioner</t>
        </r>
      </text>
    </comment>
    <comment ref="T585" authorId="0">
      <text>
        <r>
          <rPr>
            <b/>
            <sz val="9"/>
            <color indexed="81"/>
            <rFont val="Tahoma"/>
            <family val="2"/>
          </rPr>
          <t>Lucas Scheidler:</t>
        </r>
        <r>
          <rPr>
            <sz val="9"/>
            <color indexed="81"/>
            <rFont val="Tahoma"/>
            <family val="2"/>
          </rPr>
          <t xml:space="preserve">
contractor markup estimate  from EMCOR</t>
        </r>
      </text>
    </comment>
    <comment ref="AK585" authorId="0">
      <text>
        <r>
          <rPr>
            <b/>
            <sz val="9"/>
            <color indexed="81"/>
            <rFont val="Tahoma"/>
            <family val="2"/>
          </rPr>
          <t>Lucas Scheidler:</t>
        </r>
        <r>
          <rPr>
            <sz val="9"/>
            <color indexed="81"/>
            <rFont val="Tahoma"/>
            <family val="2"/>
          </rPr>
          <t xml:space="preserve">
DEER2008 
3 ton 21 SEER Split-System Air Conditioner</t>
        </r>
      </text>
    </comment>
    <comment ref="AD595" authorId="0">
      <text>
        <r>
          <rPr>
            <b/>
            <sz val="9"/>
            <color indexed="81"/>
            <rFont val="Tahoma"/>
            <family val="2"/>
          </rPr>
          <t>Lucas Scheidler:</t>
        </r>
        <r>
          <rPr>
            <sz val="9"/>
            <color indexed="81"/>
            <rFont val="Tahoma"/>
            <family val="2"/>
          </rPr>
          <t xml:space="preserve">
Descriptive stats are on percentage difference between modeled and actual prices ((Modeled - Actual)/Actual)</t>
        </r>
      </text>
    </comment>
    <comment ref="AI595" authorId="0">
      <text>
        <r>
          <rPr>
            <b/>
            <sz val="9"/>
            <color indexed="81"/>
            <rFont val="Tahoma"/>
            <family val="2"/>
          </rPr>
          <t>Lucas Scheidler:</t>
        </r>
        <r>
          <rPr>
            <sz val="9"/>
            <color indexed="81"/>
            <rFont val="Tahoma"/>
            <family val="2"/>
          </rPr>
          <t xml:space="preserve">
Workpaper SCE13HC028.0 - average of online distributors</t>
        </r>
      </text>
    </comment>
    <comment ref="AJ595" authorId="0">
      <text>
        <r>
          <rPr>
            <b/>
            <sz val="9"/>
            <color indexed="81"/>
            <rFont val="Tahoma"/>
            <family val="2"/>
          </rPr>
          <t>Lucas Scheidler:</t>
        </r>
        <r>
          <rPr>
            <sz val="9"/>
            <color indexed="81"/>
            <rFont val="Tahoma"/>
            <family val="2"/>
          </rPr>
          <t xml:space="preserve">
http://www.pexsupply.com/Rheem-51-102500-01-1-2-HP-1075-RPM-4-Speed-Motor-120V</t>
        </r>
      </text>
    </comment>
    <comment ref="AK595" authorId="0">
      <text>
        <r>
          <rPr>
            <b/>
            <sz val="9"/>
            <color indexed="81"/>
            <rFont val="Tahoma"/>
            <family val="2"/>
          </rPr>
          <t>Lucas Scheidler:</t>
        </r>
        <r>
          <rPr>
            <sz val="9"/>
            <color indexed="81"/>
            <rFont val="Tahoma"/>
            <family val="2"/>
          </rPr>
          <t xml:space="preserve">
http://www.pexsupply.com/Rheem-51-22858-01-1-2-HP-1075-RPM-3-Speed-Motor-120V</t>
        </r>
      </text>
    </comment>
    <comment ref="AL595" authorId="0">
      <text>
        <r>
          <rPr>
            <b/>
            <sz val="9"/>
            <color indexed="81"/>
            <rFont val="Tahoma"/>
            <family val="2"/>
          </rPr>
          <t>Lucas Scheidler:</t>
        </r>
        <r>
          <rPr>
            <sz val="9"/>
            <color indexed="81"/>
            <rFont val="Tahoma"/>
            <family val="2"/>
          </rPr>
          <t xml:space="preserve">
http://www.pexsupply.com/Rheem-51-23102-08-1-2-HP-825-RPM-Motor-208-230V</t>
        </r>
      </text>
    </comment>
    <comment ref="AM595" authorId="0">
      <text>
        <r>
          <rPr>
            <b/>
            <sz val="9"/>
            <color indexed="81"/>
            <rFont val="Tahoma"/>
            <family val="2"/>
          </rPr>
          <t>Lucas Scheidler:</t>
        </r>
        <r>
          <rPr>
            <sz val="9"/>
            <color indexed="81"/>
            <rFont val="Tahoma"/>
            <family val="2"/>
          </rPr>
          <t xml:space="preserve">
http://www.pexsupply.com/Rheem-51-23609-04-1-2-HP-1075-RPM-CCW-Motor-208-230V</t>
        </r>
      </text>
    </comment>
    <comment ref="AN595" authorId="0">
      <text>
        <r>
          <rPr>
            <b/>
            <sz val="9"/>
            <color indexed="81"/>
            <rFont val="Tahoma"/>
            <family val="2"/>
          </rPr>
          <t>Lucas Scheidler:</t>
        </r>
        <r>
          <rPr>
            <sz val="9"/>
            <color indexed="81"/>
            <rFont val="Tahoma"/>
            <family val="2"/>
          </rPr>
          <t xml:space="preserve">
http://www.pexsupply.com/Rheem-51-23679-01-1-2-HP-1075-RPM-Motor-208-230V</t>
        </r>
      </text>
    </comment>
    <comment ref="AO595" authorId="0">
      <text>
        <r>
          <rPr>
            <b/>
            <sz val="9"/>
            <color indexed="81"/>
            <rFont val="Tahoma"/>
            <family val="2"/>
          </rPr>
          <t>Lucas Scheidler:</t>
        </r>
        <r>
          <rPr>
            <sz val="9"/>
            <color indexed="81"/>
            <rFont val="Tahoma"/>
            <family val="2"/>
          </rPr>
          <t xml:space="preserve">
http://www.grainger.com/Grainger/DAYTON-Direct-Drive-Blower-Motor-3M714?Pid=search</t>
        </r>
      </text>
    </comment>
    <comment ref="AI596" authorId="0">
      <text>
        <r>
          <rPr>
            <b/>
            <sz val="9"/>
            <color indexed="81"/>
            <rFont val="Tahoma"/>
            <family val="2"/>
          </rPr>
          <t>Lucas Scheidler:</t>
        </r>
        <r>
          <rPr>
            <sz val="9"/>
            <color indexed="81"/>
            <rFont val="Tahoma"/>
            <family val="2"/>
          </rPr>
          <t xml:space="preserve">
Workpaper SCE13HC028.0 -  provided by one distributor for EFI Concept 3 brushless fan motor. </t>
        </r>
      </text>
    </comment>
    <comment ref="AJ596" authorId="0">
      <text>
        <r>
          <rPr>
            <b/>
            <sz val="9"/>
            <color indexed="81"/>
            <rFont val="Tahoma"/>
            <family val="2"/>
          </rPr>
          <t>Lucas Scheidler:</t>
        </r>
        <r>
          <rPr>
            <sz val="9"/>
            <color indexed="81"/>
            <rFont val="Tahoma"/>
            <family val="2"/>
          </rPr>
          <t xml:space="preserve">
http://www.pexsupply.com/Rheem-51-24374-05-1-2-HP-Variable-Speed-ECM-Motor</t>
        </r>
      </text>
    </comment>
    <comment ref="AK596" authorId="0">
      <text>
        <r>
          <rPr>
            <b/>
            <sz val="9"/>
            <color indexed="81"/>
            <rFont val="Tahoma"/>
            <family val="2"/>
          </rPr>
          <t>Lucas Scheidler:</t>
        </r>
        <r>
          <rPr>
            <sz val="9"/>
            <color indexed="81"/>
            <rFont val="Tahoma"/>
            <family val="2"/>
          </rPr>
          <t xml:space="preserve">
http://www.northamericahvac.com/servlet/the-9279/OEM-GE-Carrier-Bryant/Detail?gclid=CPat_qzSsLoCFco9Qgod9w0AKw</t>
        </r>
      </text>
    </comment>
    <comment ref="AL596" authorId="0">
      <text>
        <r>
          <rPr>
            <b/>
            <sz val="9"/>
            <color indexed="81"/>
            <rFont val="Tahoma"/>
            <family val="2"/>
          </rPr>
          <t>Lucas Scheidler:</t>
        </r>
        <r>
          <rPr>
            <sz val="9"/>
            <color indexed="81"/>
            <rFont val="Tahoma"/>
            <family val="2"/>
          </rPr>
          <t xml:space="preserve">
http://www.grainger.com/Grainger/DAYTON-ECM-DirectDrive-Motor-43Y137?Pid=search</t>
        </r>
      </text>
    </comment>
    <comment ref="AD610" authorId="0">
      <text>
        <r>
          <rPr>
            <b/>
            <sz val="9"/>
            <color indexed="81"/>
            <rFont val="Tahoma"/>
            <family val="2"/>
          </rPr>
          <t>Lucas Scheidler:</t>
        </r>
        <r>
          <rPr>
            <sz val="9"/>
            <color indexed="81"/>
            <rFont val="Tahoma"/>
            <family val="2"/>
          </rPr>
          <t xml:space="preserve">
Descriptive stats are on percentage difference between modeled and actual prices ((Modeled - Actual)/Actual)</t>
        </r>
      </text>
    </comment>
    <comment ref="AI610" authorId="1">
      <text>
        <r>
          <rPr>
            <b/>
            <sz val="9"/>
            <color indexed="81"/>
            <rFont val="Tahoma"/>
            <family val="2"/>
          </rPr>
          <t>Mike Ting:</t>
        </r>
        <r>
          <rPr>
            <sz val="9"/>
            <color indexed="81"/>
            <rFont val="Tahoma"/>
            <family val="2"/>
          </rPr>
          <t xml:space="preserve">
http://www.procureline.net</t>
        </r>
      </text>
    </comment>
    <comment ref="AJ610" authorId="1">
      <text>
        <r>
          <rPr>
            <b/>
            <sz val="9"/>
            <color indexed="81"/>
            <rFont val="Tahoma"/>
            <family val="2"/>
          </rPr>
          <t>Mike Ting:</t>
        </r>
        <r>
          <rPr>
            <sz val="9"/>
            <color indexed="81"/>
            <rFont val="Tahoma"/>
            <family val="2"/>
          </rPr>
          <t xml:space="preserve">
http://www.partsguy.com</t>
        </r>
      </text>
    </comment>
    <comment ref="AK610" authorId="1">
      <text>
        <r>
          <rPr>
            <b/>
            <sz val="9"/>
            <color indexed="81"/>
            <rFont val="Tahoma"/>
            <family val="2"/>
          </rPr>
          <t>Mike Ting:</t>
        </r>
        <r>
          <rPr>
            <sz val="9"/>
            <color indexed="81"/>
            <rFont val="Tahoma"/>
            <family val="2"/>
          </rPr>
          <t xml:space="preserve">
http://www.galco.com</t>
        </r>
      </text>
    </comment>
    <comment ref="AL610" authorId="1">
      <text>
        <r>
          <rPr>
            <b/>
            <sz val="9"/>
            <color indexed="81"/>
            <rFont val="Tahoma"/>
            <family val="2"/>
          </rPr>
          <t>Mike Ting:</t>
        </r>
        <r>
          <rPr>
            <sz val="9"/>
            <color indexed="81"/>
            <rFont val="Tahoma"/>
            <family val="2"/>
          </rPr>
          <t xml:space="preserve">
http://www.apexcontrols.com</t>
        </r>
      </text>
    </comment>
    <comment ref="AA611" authorId="1">
      <text>
        <r>
          <rPr>
            <b/>
            <sz val="9"/>
            <color indexed="81"/>
            <rFont val="Tahoma"/>
            <family val="2"/>
          </rPr>
          <t>Mike Ting:</t>
        </r>
        <r>
          <rPr>
            <sz val="9"/>
            <color indexed="81"/>
            <rFont val="Tahoma"/>
            <family val="2"/>
          </rPr>
          <t xml:space="preserve">
= (MAE/sample mean) * predicted measure cost</t>
        </r>
      </text>
    </comment>
    <comment ref="T619" authorId="1">
      <text>
        <r>
          <rPr>
            <b/>
            <sz val="9"/>
            <color indexed="81"/>
            <rFont val="Tahoma"/>
            <family val="2"/>
          </rPr>
          <t>Mike Ting:</t>
        </r>
        <r>
          <rPr>
            <sz val="9"/>
            <color indexed="81"/>
            <rFont val="Tahoma"/>
            <family val="2"/>
          </rPr>
          <t xml:space="preserve">
placeholder value; EMCOR still developing markup estimate</t>
        </r>
      </text>
    </comment>
    <comment ref="AI621" authorId="1">
      <text>
        <r>
          <rPr>
            <b/>
            <sz val="9"/>
            <color indexed="81"/>
            <rFont val="Tahoma"/>
            <family val="2"/>
          </rPr>
          <t>Mike Ting:</t>
        </r>
        <r>
          <rPr>
            <sz val="9"/>
            <color indexed="81"/>
            <rFont val="Tahoma"/>
            <family val="2"/>
          </rPr>
          <t xml:space="preserve">
http://www.procureline.net</t>
        </r>
      </text>
    </comment>
    <comment ref="AJ621" authorId="1">
      <text>
        <r>
          <rPr>
            <b/>
            <sz val="9"/>
            <color indexed="81"/>
            <rFont val="Tahoma"/>
            <family val="2"/>
          </rPr>
          <t>Mike Ting:</t>
        </r>
        <r>
          <rPr>
            <sz val="9"/>
            <color indexed="81"/>
            <rFont val="Tahoma"/>
            <family val="2"/>
          </rPr>
          <t xml:space="preserve">
http://www.partsguy.com</t>
        </r>
      </text>
    </comment>
    <comment ref="AK621" authorId="1">
      <text>
        <r>
          <rPr>
            <b/>
            <sz val="9"/>
            <color indexed="81"/>
            <rFont val="Tahoma"/>
            <family val="2"/>
          </rPr>
          <t>Mike Ting:</t>
        </r>
        <r>
          <rPr>
            <sz val="9"/>
            <color indexed="81"/>
            <rFont val="Tahoma"/>
            <family val="2"/>
          </rPr>
          <t xml:space="preserve">
http://www.galco.com</t>
        </r>
      </text>
    </comment>
    <comment ref="AL621" authorId="1">
      <text>
        <r>
          <rPr>
            <b/>
            <sz val="9"/>
            <color indexed="81"/>
            <rFont val="Tahoma"/>
            <family val="2"/>
          </rPr>
          <t>Mike Ting:</t>
        </r>
        <r>
          <rPr>
            <sz val="9"/>
            <color indexed="81"/>
            <rFont val="Tahoma"/>
            <family val="2"/>
          </rPr>
          <t xml:space="preserve">
http://www.apexcontrols.com</t>
        </r>
      </text>
    </comment>
    <comment ref="AA622" authorId="1">
      <text>
        <r>
          <rPr>
            <b/>
            <sz val="9"/>
            <color indexed="81"/>
            <rFont val="Tahoma"/>
            <family val="2"/>
          </rPr>
          <t>Mike Ting:</t>
        </r>
        <r>
          <rPr>
            <sz val="9"/>
            <color indexed="81"/>
            <rFont val="Tahoma"/>
            <family val="2"/>
          </rPr>
          <t xml:space="preserve">
= (MAE/sample mean) * predicted measure cost</t>
        </r>
      </text>
    </comment>
    <comment ref="T630" authorId="1">
      <text>
        <r>
          <rPr>
            <b/>
            <sz val="9"/>
            <color indexed="81"/>
            <rFont val="Tahoma"/>
            <family val="2"/>
          </rPr>
          <t>Mike Ting:</t>
        </r>
        <r>
          <rPr>
            <sz val="9"/>
            <color indexed="81"/>
            <rFont val="Tahoma"/>
            <family val="2"/>
          </rPr>
          <t xml:space="preserve">
placeholder value; EMCOR still developing markup estimate</t>
        </r>
      </text>
    </comment>
    <comment ref="AI631" authorId="3">
      <text>
        <r>
          <rPr>
            <b/>
            <sz val="9"/>
            <color indexed="81"/>
            <rFont val="Tahoma"/>
            <family val="2"/>
          </rPr>
          <t>Dawdy, John:</t>
        </r>
        <r>
          <rPr>
            <sz val="9"/>
            <color indexed="81"/>
            <rFont val="Tahoma"/>
            <family val="2"/>
          </rPr>
          <t xml:space="preserve">
www.bapihvac.com</t>
        </r>
      </text>
    </comment>
    <comment ref="AJ631" authorId="3">
      <text>
        <r>
          <rPr>
            <b/>
            <sz val="9"/>
            <color indexed="81"/>
            <rFont val="Tahoma"/>
            <family val="2"/>
          </rPr>
          <t>Dawdy, John:</t>
        </r>
        <r>
          <rPr>
            <sz val="9"/>
            <color indexed="81"/>
            <rFont val="Tahoma"/>
            <family val="2"/>
          </rPr>
          <t xml:space="preserve">
www.veris.com</t>
        </r>
      </text>
    </comment>
    <comment ref="AK631" authorId="3">
      <text>
        <r>
          <rPr>
            <b/>
            <sz val="9"/>
            <color indexed="81"/>
            <rFont val="Tahoma"/>
            <family val="2"/>
          </rPr>
          <t>Dawdy, John:</t>
        </r>
        <r>
          <rPr>
            <sz val="9"/>
            <color indexed="81"/>
            <rFont val="Tahoma"/>
            <family val="2"/>
          </rPr>
          <t xml:space="preserve">
www.ge-mcs.com</t>
        </r>
      </text>
    </comment>
    <comment ref="AL631" authorId="3">
      <text>
        <r>
          <rPr>
            <b/>
            <sz val="9"/>
            <color indexed="81"/>
            <rFont val="Tahoma"/>
            <family val="2"/>
          </rPr>
          <t>Dawdy, John:</t>
        </r>
        <r>
          <rPr>
            <sz val="9"/>
            <color indexed="81"/>
            <rFont val="Tahoma"/>
            <family val="2"/>
          </rPr>
          <t xml:space="preserve">
www.e-controls.net</t>
        </r>
      </text>
    </comment>
    <comment ref="AM631" authorId="3">
      <text>
        <r>
          <rPr>
            <b/>
            <sz val="9"/>
            <color indexed="81"/>
            <rFont val="Tahoma"/>
            <family val="2"/>
          </rPr>
          <t>Dawdy, John:</t>
        </r>
        <r>
          <rPr>
            <sz val="9"/>
            <color indexed="81"/>
            <rFont val="Tahoma"/>
            <family val="2"/>
          </rPr>
          <t xml:space="preserve">
www.cgproducts.johnsoncontrols.com</t>
        </r>
      </text>
    </comment>
    <comment ref="AN631" authorId="3">
      <text>
        <r>
          <rPr>
            <b/>
            <sz val="9"/>
            <color indexed="81"/>
            <rFont val="Tahoma"/>
            <family val="2"/>
          </rPr>
          <t>Dawdy, John:</t>
        </r>
        <r>
          <rPr>
            <sz val="9"/>
            <color indexed="81"/>
            <rFont val="Tahoma"/>
            <family val="2"/>
          </rPr>
          <t xml:space="preserve">
www.grainger.com</t>
        </r>
      </text>
    </comment>
    <comment ref="AO631" authorId="3">
      <text>
        <r>
          <rPr>
            <b/>
            <sz val="9"/>
            <color indexed="81"/>
            <rFont val="Tahoma"/>
            <family val="2"/>
          </rPr>
          <t>Dawdy, John:</t>
        </r>
        <r>
          <rPr>
            <sz val="9"/>
            <color indexed="81"/>
            <rFont val="Tahoma"/>
            <family val="2"/>
          </rPr>
          <t xml:space="preserve">
www.commercial.carrier.com</t>
        </r>
      </text>
    </comment>
    <comment ref="AP631" authorId="3">
      <text>
        <r>
          <rPr>
            <b/>
            <sz val="9"/>
            <color indexed="81"/>
            <rFont val="Tahoma"/>
            <family val="2"/>
          </rPr>
          <t>Dawdy, John:</t>
        </r>
        <r>
          <rPr>
            <sz val="9"/>
            <color indexed="81"/>
            <rFont val="Tahoma"/>
            <family val="2"/>
          </rPr>
          <t xml:space="preserve">
www.dwyer-inst.com</t>
        </r>
      </text>
    </comment>
    <comment ref="AQ631" authorId="3">
      <text>
        <r>
          <rPr>
            <b/>
            <sz val="9"/>
            <color indexed="81"/>
            <rFont val="Tahoma"/>
            <family val="2"/>
          </rPr>
          <t>Dawdy, John:</t>
        </r>
        <r>
          <rPr>
            <sz val="9"/>
            <color indexed="81"/>
            <rFont val="Tahoma"/>
            <family val="2"/>
          </rPr>
          <t xml:space="preserve">
www.global-controls.net</t>
        </r>
      </text>
    </comment>
    <comment ref="AR631" authorId="3">
      <text>
        <r>
          <rPr>
            <b/>
            <sz val="9"/>
            <color indexed="81"/>
            <rFont val="Tahoma"/>
            <family val="2"/>
          </rPr>
          <t>Dawdy, John:</t>
        </r>
        <r>
          <rPr>
            <sz val="9"/>
            <color indexed="81"/>
            <rFont val="Tahoma"/>
            <family val="2"/>
          </rPr>
          <t xml:space="preserve">
www.kele.com</t>
        </r>
      </text>
    </comment>
    <comment ref="AS631" authorId="3">
      <text>
        <r>
          <rPr>
            <b/>
            <sz val="9"/>
            <color indexed="81"/>
            <rFont val="Tahoma"/>
            <family val="2"/>
          </rPr>
          <t>Dawdy, John:</t>
        </r>
        <r>
          <rPr>
            <sz val="9"/>
            <color indexed="81"/>
            <rFont val="Tahoma"/>
            <family val="2"/>
          </rPr>
          <t xml:space="preserve">
www.trane.com</t>
        </r>
      </text>
    </comment>
    <comment ref="AT631" authorId="3">
      <text>
        <r>
          <rPr>
            <b/>
            <sz val="9"/>
            <color indexed="81"/>
            <rFont val="Tahoma"/>
            <family val="2"/>
          </rPr>
          <t>Dawdy, John:</t>
        </r>
        <r>
          <rPr>
            <sz val="9"/>
            <color indexed="81"/>
            <rFont val="Tahoma"/>
            <family val="2"/>
          </rPr>
          <t xml:space="preserve">
www.vaisala.com</t>
        </r>
      </text>
    </comment>
    <comment ref="V632" authorId="1">
      <text>
        <r>
          <rPr>
            <b/>
            <sz val="9"/>
            <color indexed="81"/>
            <rFont val="Tahoma"/>
            <family val="2"/>
          </rPr>
          <t>Mike Ting:</t>
        </r>
        <r>
          <rPr>
            <sz val="9"/>
            <color indexed="81"/>
            <rFont val="Tahoma"/>
            <family val="2"/>
          </rPr>
          <t xml:space="preserve">
No product specs specified in DEER or WPs</t>
        </r>
      </text>
    </comment>
    <comment ref="AA632" authorId="1">
      <text>
        <r>
          <rPr>
            <b/>
            <sz val="9"/>
            <color indexed="81"/>
            <rFont val="Tahoma"/>
            <family val="2"/>
          </rPr>
          <t>Mike Ting:</t>
        </r>
        <r>
          <rPr>
            <sz val="9"/>
            <color indexed="81"/>
            <rFont val="Tahoma"/>
            <family val="2"/>
          </rPr>
          <t xml:space="preserve">
= (MAE/sample mean) * predicted measure cost</t>
        </r>
      </text>
    </comment>
    <comment ref="AD632" authorId="4">
      <text>
        <r>
          <rPr>
            <b/>
            <sz val="9"/>
            <color indexed="81"/>
            <rFont val="Tahoma"/>
            <family val="2"/>
          </rPr>
          <t>Jeremy Eddy:</t>
        </r>
        <r>
          <rPr>
            <sz val="9"/>
            <color indexed="81"/>
            <rFont val="Tahoma"/>
            <family val="2"/>
          </rPr>
          <t xml:space="preserve">
Descriptive stats are of the percentage difference between the two costs (Modeled-Actual / Actual)</t>
        </r>
      </text>
    </comment>
    <comment ref="V658" authorId="1">
      <text>
        <r>
          <rPr>
            <b/>
            <sz val="9"/>
            <color indexed="81"/>
            <rFont val="Tahoma"/>
            <family val="2"/>
          </rPr>
          <t>Mike Ting:</t>
        </r>
        <r>
          <rPr>
            <sz val="9"/>
            <color indexed="81"/>
            <rFont val="Tahoma"/>
            <family val="2"/>
          </rPr>
          <t xml:space="preserve">
No product specs specified in DEER or WPs</t>
        </r>
      </text>
    </comment>
    <comment ref="Y658" authorId="1">
      <text>
        <r>
          <rPr>
            <b/>
            <sz val="9"/>
            <color indexed="81"/>
            <rFont val="Tahoma"/>
            <family val="2"/>
          </rPr>
          <t>Mike Ting:</t>
        </r>
        <r>
          <rPr>
            <sz val="9"/>
            <color indexed="81"/>
            <rFont val="Tahoma"/>
            <family val="2"/>
          </rPr>
          <t xml:space="preserve">
Appropriate cross-technology baseline currently undefined; need guidance from DEER team</t>
        </r>
      </text>
    </comment>
    <comment ref="AI658" authorId="0">
      <text>
        <r>
          <rPr>
            <b/>
            <sz val="9"/>
            <color indexed="81"/>
            <rFont val="Tahoma"/>
            <family val="2"/>
          </rPr>
          <t>Lucas Scheidler:</t>
        </r>
        <r>
          <rPr>
            <sz val="9"/>
            <color indexed="81"/>
            <rFont val="Tahoma"/>
            <family val="2"/>
          </rPr>
          <t xml:space="preserve">
DEER 2001 update for 6000 CFM unit</t>
        </r>
      </text>
    </comment>
    <comment ref="AJ658" authorId="0">
      <text>
        <r>
          <rPr>
            <b/>
            <sz val="9"/>
            <color indexed="81"/>
            <rFont val="Tahoma"/>
            <family val="2"/>
          </rPr>
          <t>Lucas Scheidler:</t>
        </r>
        <r>
          <rPr>
            <sz val="9"/>
            <color indexed="81"/>
            <rFont val="Tahoma"/>
            <family val="2"/>
          </rPr>
          <t xml:space="preserve">
Workpaper SCE13HC013.0
Based on $/CFM calculation derived from RSMeans converted to $/ton based on 1300cfm/ton</t>
        </r>
      </text>
    </comment>
    <comment ref="AK658" authorId="0">
      <text>
        <r>
          <rPr>
            <b/>
            <sz val="9"/>
            <color indexed="81"/>
            <rFont val="Tahoma"/>
            <family val="2"/>
          </rPr>
          <t>Lucas Scheidler:</t>
        </r>
        <r>
          <rPr>
            <sz val="9"/>
            <color indexed="81"/>
            <rFont val="Tahoma"/>
            <family val="2"/>
          </rPr>
          <t xml:space="preserve">
RSMeans Online for 6000 CFM unit</t>
        </r>
      </text>
    </comment>
    <comment ref="B659" authorId="0">
      <text>
        <r>
          <rPr>
            <b/>
            <sz val="9"/>
            <color indexed="81"/>
            <rFont val="Tahoma"/>
            <family val="2"/>
          </rPr>
          <t>Lucas Scheidler:</t>
        </r>
        <r>
          <rPr>
            <sz val="9"/>
            <color indexed="81"/>
            <rFont val="Tahoma"/>
            <family val="2"/>
          </rPr>
          <t xml:space="preserve">
CEC Title 20 test procedures specify performance for DEC at 0.3" of external static pressure (s.p.).</t>
        </r>
      </text>
    </comment>
    <comment ref="AI659" authorId="0">
      <text>
        <r>
          <rPr>
            <b/>
            <sz val="9"/>
            <color indexed="81"/>
            <rFont val="Tahoma"/>
            <family val="2"/>
          </rPr>
          <t>Lucas Scheidler:</t>
        </r>
        <r>
          <rPr>
            <sz val="9"/>
            <color indexed="81"/>
            <rFont val="Tahoma"/>
            <family val="2"/>
          </rPr>
          <t xml:space="preserve">
DEER 2001 update for 12,000 CFM unit</t>
        </r>
      </text>
    </comment>
    <comment ref="AJ659" authorId="0">
      <text>
        <r>
          <rPr>
            <b/>
            <sz val="9"/>
            <color indexed="81"/>
            <rFont val="Tahoma"/>
            <family val="2"/>
          </rPr>
          <t>Lucas Scheidler:
Workpaper SCE13HC013.0
Based on $/CFM calculation derived from RSMeans converted to $/ton based on 1300cfm/ton</t>
        </r>
        <r>
          <rPr>
            <sz val="9"/>
            <color indexed="81"/>
            <rFont val="Tahoma"/>
            <family val="2"/>
          </rPr>
          <t xml:space="preserve">
</t>
        </r>
      </text>
    </comment>
    <comment ref="AK659" authorId="0">
      <text>
        <r>
          <rPr>
            <b/>
            <sz val="9"/>
            <color indexed="81"/>
            <rFont val="Tahoma"/>
            <family val="2"/>
          </rPr>
          <t>Lucas Scheidler:</t>
        </r>
        <r>
          <rPr>
            <sz val="9"/>
            <color indexed="81"/>
            <rFont val="Tahoma"/>
            <family val="2"/>
          </rPr>
          <t xml:space="preserve">
RSMeans Online for 11,715 CFM unit</t>
        </r>
      </text>
    </comment>
    <comment ref="X660" authorId="0">
      <text>
        <r>
          <rPr>
            <b/>
            <sz val="9"/>
            <color indexed="81"/>
            <rFont val="Tahoma"/>
            <family val="2"/>
          </rPr>
          <t>Lucas Scheidler:</t>
        </r>
        <r>
          <rPr>
            <sz val="9"/>
            <color indexed="81"/>
            <rFont val="Tahoma"/>
            <family val="2"/>
          </rPr>
          <t xml:space="preserve">
Workpapers specify 1,300 CFM is approximately equivalent to 1 cooling ton at 0.1" static pressure.  Title 20 requires performance metrics for DEC to be specified at 0.3" static pressure. On average, it was found that the difference between CFM delivered at 0.1" static pressure and 0.3" static pressure was a factor of 0.9 (CFM@0.1"x0.9=CFM@0.3")</t>
        </r>
      </text>
    </comment>
    <comment ref="Z660" authorId="1">
      <text>
        <r>
          <rPr>
            <b/>
            <sz val="9"/>
            <color indexed="81"/>
            <rFont val="Tahoma"/>
            <family val="2"/>
          </rPr>
          <t>Mike Ting:</t>
        </r>
        <r>
          <rPr>
            <sz val="9"/>
            <color indexed="81"/>
            <rFont val="Tahoma"/>
            <family val="2"/>
          </rPr>
          <t xml:space="preserve">
when considered as add-on measure; cross-technology baseline as ROB application still TBD pending feedback from DEER team</t>
        </r>
      </text>
    </comment>
    <comment ref="AA660" authorId="1">
      <text>
        <r>
          <rPr>
            <b/>
            <sz val="9"/>
            <color indexed="81"/>
            <rFont val="Tahoma"/>
            <family val="2"/>
          </rPr>
          <t>Mike Ting:</t>
        </r>
        <r>
          <rPr>
            <sz val="9"/>
            <color indexed="81"/>
            <rFont val="Tahoma"/>
            <family val="2"/>
          </rPr>
          <t xml:space="preserve">
when considered as add-on measure; cross-technology baseline as ROB application still TBD pending feedback from DEER team</t>
        </r>
      </text>
    </comment>
    <comment ref="AJ660" authorId="0">
      <text>
        <r>
          <rPr>
            <b/>
            <sz val="9"/>
            <color indexed="81"/>
            <rFont val="Tahoma"/>
            <family val="2"/>
          </rPr>
          <t>Lucas Scheidler:</t>
        </r>
        <r>
          <rPr>
            <sz val="9"/>
            <color indexed="81"/>
            <rFont val="Tahoma"/>
            <family val="2"/>
          </rPr>
          <t xml:space="preserve">
Workpaper SCE13HC013.0
Based on $/CFM calculation derived from RSMeans converted to $/ton based on 1300cfm/ton</t>
        </r>
      </text>
    </comment>
    <comment ref="Z661" authorId="1">
      <text>
        <r>
          <rPr>
            <b/>
            <sz val="9"/>
            <color indexed="81"/>
            <rFont val="Tahoma"/>
            <family val="2"/>
          </rPr>
          <t>Mike Ting:</t>
        </r>
        <r>
          <rPr>
            <sz val="9"/>
            <color indexed="81"/>
            <rFont val="Tahoma"/>
            <family val="2"/>
          </rPr>
          <t xml:space="preserve">
when considered as add-on measure; cross-technology baseline as ROB application still TBD pending feedback from DEER team</t>
        </r>
      </text>
    </comment>
    <comment ref="AA661" authorId="1">
      <text>
        <r>
          <rPr>
            <b/>
            <sz val="9"/>
            <color indexed="81"/>
            <rFont val="Tahoma"/>
            <family val="2"/>
          </rPr>
          <t>Mike Ting:</t>
        </r>
        <r>
          <rPr>
            <sz val="9"/>
            <color indexed="81"/>
            <rFont val="Tahoma"/>
            <family val="2"/>
          </rPr>
          <t xml:space="preserve">
when considered as add-on measure; cross-technology baseline as ROB application still TBD pending feedback from DEER team</t>
        </r>
      </text>
    </comment>
    <comment ref="Z662" authorId="1">
      <text>
        <r>
          <rPr>
            <b/>
            <sz val="9"/>
            <color indexed="81"/>
            <rFont val="Tahoma"/>
            <family val="2"/>
          </rPr>
          <t>Mike Ting:</t>
        </r>
        <r>
          <rPr>
            <sz val="9"/>
            <color indexed="81"/>
            <rFont val="Tahoma"/>
            <family val="2"/>
          </rPr>
          <t xml:space="preserve">
when considered as add-on measure; cross-technology baseline as ROB application still TBD pending feedback from DEER team</t>
        </r>
      </text>
    </comment>
    <comment ref="AA662" authorId="1">
      <text>
        <r>
          <rPr>
            <b/>
            <sz val="9"/>
            <color indexed="81"/>
            <rFont val="Tahoma"/>
            <family val="2"/>
          </rPr>
          <t>Mike Ting:</t>
        </r>
        <r>
          <rPr>
            <sz val="9"/>
            <color indexed="81"/>
            <rFont val="Tahoma"/>
            <family val="2"/>
          </rPr>
          <t xml:space="preserve">
when considered as add-on measure; cross-technology baseline as ROB application still TBD pending feedback from DEER team</t>
        </r>
      </text>
    </comment>
    <comment ref="Z663" authorId="1">
      <text>
        <r>
          <rPr>
            <b/>
            <sz val="9"/>
            <color indexed="81"/>
            <rFont val="Tahoma"/>
            <family val="2"/>
          </rPr>
          <t>Mike Ting:</t>
        </r>
        <r>
          <rPr>
            <sz val="9"/>
            <color indexed="81"/>
            <rFont val="Tahoma"/>
            <family val="2"/>
          </rPr>
          <t xml:space="preserve">
when considered as add-on measure; cross-technology baseline as ROB application still TBD pending feedback from DEER team</t>
        </r>
      </text>
    </comment>
    <comment ref="AA663" authorId="1">
      <text>
        <r>
          <rPr>
            <b/>
            <sz val="9"/>
            <color indexed="81"/>
            <rFont val="Tahoma"/>
            <family val="2"/>
          </rPr>
          <t>Mike Ting:</t>
        </r>
        <r>
          <rPr>
            <sz val="9"/>
            <color indexed="81"/>
            <rFont val="Tahoma"/>
            <family val="2"/>
          </rPr>
          <t xml:space="preserve">
when considered as add-on measure; cross-technology baseline as ROB application still TBD pending feedback from DEER team</t>
        </r>
      </text>
    </comment>
    <comment ref="Z664" authorId="1">
      <text>
        <r>
          <rPr>
            <b/>
            <sz val="9"/>
            <color indexed="81"/>
            <rFont val="Tahoma"/>
            <family val="2"/>
          </rPr>
          <t>Mike Ting:</t>
        </r>
        <r>
          <rPr>
            <sz val="9"/>
            <color indexed="81"/>
            <rFont val="Tahoma"/>
            <family val="2"/>
          </rPr>
          <t xml:space="preserve">
when considered as add-on measure; cross-technology baseline as ROB application still TBD pending feedback from DEER team</t>
        </r>
      </text>
    </comment>
    <comment ref="AA664" authorId="1">
      <text>
        <r>
          <rPr>
            <b/>
            <sz val="9"/>
            <color indexed="81"/>
            <rFont val="Tahoma"/>
            <family val="2"/>
          </rPr>
          <t>Mike Ting:</t>
        </r>
        <r>
          <rPr>
            <sz val="9"/>
            <color indexed="81"/>
            <rFont val="Tahoma"/>
            <family val="2"/>
          </rPr>
          <t xml:space="preserve">
when considered as add-on measure; cross-technology baseline as ROB application still TBD pending feedback from DEER team</t>
        </r>
      </text>
    </comment>
    <comment ref="T667" authorId="0">
      <text>
        <r>
          <rPr>
            <b/>
            <sz val="9"/>
            <color indexed="81"/>
            <rFont val="Tahoma"/>
            <family val="2"/>
          </rPr>
          <t>Lucas Scheidler:</t>
        </r>
        <r>
          <rPr>
            <sz val="9"/>
            <color indexed="81"/>
            <rFont val="Tahoma"/>
            <family val="2"/>
          </rPr>
          <t xml:space="preserve">
placeholder until we get contractor markups from EMCOR</t>
        </r>
      </text>
    </comment>
    <comment ref="AG672" authorId="0">
      <text>
        <r>
          <rPr>
            <b/>
            <sz val="9"/>
            <color indexed="81"/>
            <rFont val="Tahoma"/>
            <family val="2"/>
          </rPr>
          <t>Lucas Scheidler:</t>
        </r>
        <r>
          <rPr>
            <sz val="9"/>
            <color indexed="81"/>
            <rFont val="Tahoma"/>
            <family val="2"/>
          </rPr>
          <t xml:space="preserve">
The cost dataset we obtained had very little variation in the cooling effectiveness parameter. The little variation that existed was 100% colinear with brand. As such, effectiveness was excluded from the model. All data points except 3 had a cooling effectiveness of 0.7 or 0.75.</t>
        </r>
      </text>
    </comment>
    <comment ref="AI672" authorId="0">
      <text>
        <r>
          <rPr>
            <b/>
            <sz val="9"/>
            <color indexed="81"/>
            <rFont val="Tahoma"/>
            <family val="2"/>
          </rPr>
          <t>Lucas Scheidler:</t>
        </r>
        <r>
          <rPr>
            <sz val="9"/>
            <color indexed="81"/>
            <rFont val="Tahoma"/>
            <family val="2"/>
          </rPr>
          <t xml:space="preserve">
DEER 2001 Update for 4000 CFM unit</t>
        </r>
      </text>
    </comment>
    <comment ref="AJ672" authorId="0">
      <text>
        <r>
          <rPr>
            <b/>
            <sz val="9"/>
            <color indexed="81"/>
            <rFont val="Tahoma"/>
            <family val="2"/>
          </rPr>
          <t>Lucas Scheidler:</t>
        </r>
        <r>
          <rPr>
            <sz val="9"/>
            <color indexed="81"/>
            <rFont val="Tahoma"/>
            <family val="2"/>
          </rPr>
          <t xml:space="preserve">
DEER 2008 
D08-NE-HVAC-EvapCool-Indir-Pkg
651.57/ton *7.5 tons</t>
        </r>
      </text>
    </comment>
    <comment ref="AK672" authorId="0">
      <text>
        <r>
          <rPr>
            <b/>
            <sz val="9"/>
            <color indexed="81"/>
            <rFont val="Tahoma"/>
            <family val="2"/>
          </rPr>
          <t>Lucas Scheidler:</t>
        </r>
        <r>
          <rPr>
            <sz val="9"/>
            <color indexed="81"/>
            <rFont val="Tahoma"/>
            <family val="2"/>
          </rPr>
          <t xml:space="preserve">
DEER 2005 $515.74/ ton *7.5 tons</t>
        </r>
      </text>
    </comment>
    <comment ref="X673" authorId="0">
      <text>
        <r>
          <rPr>
            <b/>
            <sz val="9"/>
            <color indexed="81"/>
            <rFont val="Tahoma"/>
            <family val="2"/>
          </rPr>
          <t>Lucas Scheidler:</t>
        </r>
        <r>
          <rPr>
            <sz val="9"/>
            <color indexed="81"/>
            <rFont val="Tahoma"/>
            <family val="2"/>
          </rPr>
          <t xml:space="preserve">
The cost dataset we obtained had very little variation in the cooling effectiveness parameter. The little variation that existed was 100% colinear with brand. As such, effectiveness was excluded from the model. All data points except 3 had a cooling effectiveness of 0.7 or 0.75.</t>
        </r>
      </text>
    </comment>
    <comment ref="AG673" authorId="0">
      <text>
        <r>
          <rPr>
            <b/>
            <sz val="9"/>
            <color indexed="81"/>
            <rFont val="Tahoma"/>
            <family val="2"/>
          </rPr>
          <t>Lucas Scheidler:</t>
        </r>
        <r>
          <rPr>
            <sz val="9"/>
            <color indexed="81"/>
            <rFont val="Tahoma"/>
            <family val="2"/>
          </rPr>
          <t xml:space="preserve">
The cost dataset we obtained had very little variation in the cooling effectiveness parameter. The little variation that existed was 100% colinear with brand. As such, effectiveness was excluded from the model. All data points except 3 had a cooling effectiveness of 0.7 or 0.75.</t>
        </r>
      </text>
    </comment>
    <comment ref="AJ673" authorId="0">
      <text>
        <r>
          <rPr>
            <b/>
            <sz val="9"/>
            <color indexed="81"/>
            <rFont val="Tahoma"/>
            <family val="2"/>
          </rPr>
          <t>Lucas Scheidler:</t>
        </r>
        <r>
          <rPr>
            <sz val="9"/>
            <color indexed="81"/>
            <rFont val="Tahoma"/>
            <family val="2"/>
          </rPr>
          <t xml:space="preserve">
DEER 2008 
D08-NE-HVAC-EvapCool-Indir-Pkg
651.57/ton *7.5 tons</t>
        </r>
      </text>
    </comment>
    <comment ref="AK673" authorId="0">
      <text>
        <r>
          <rPr>
            <b/>
            <sz val="9"/>
            <color indexed="81"/>
            <rFont val="Tahoma"/>
            <family val="2"/>
          </rPr>
          <t>Lucas Scheidler:</t>
        </r>
        <r>
          <rPr>
            <sz val="9"/>
            <color indexed="81"/>
            <rFont val="Tahoma"/>
            <family val="2"/>
          </rPr>
          <t xml:space="preserve">
DEER 2005 $515.75/ton * 112.5 tons</t>
        </r>
      </text>
    </comment>
    <comment ref="X674" authorId="0">
      <text>
        <r>
          <rPr>
            <b/>
            <sz val="9"/>
            <color indexed="81"/>
            <rFont val="Tahoma"/>
            <family val="2"/>
          </rPr>
          <t>Lucas Scheidler:</t>
        </r>
        <r>
          <rPr>
            <sz val="9"/>
            <color indexed="81"/>
            <rFont val="Tahoma"/>
            <family val="2"/>
          </rPr>
          <t xml:space="preserve">
The cost dataset we obtained had very little variation in the cooling effectiveness parameter. The little variation that existed was 100% colinear with brand. As such, effectiveness was excluded from the model. All data points except 3 had a cooling effectiveness of 0.7 or 0.75.</t>
        </r>
      </text>
    </comment>
    <comment ref="T681" authorId="0">
      <text>
        <r>
          <rPr>
            <b/>
            <sz val="9"/>
            <color indexed="81"/>
            <rFont val="Tahoma"/>
            <family val="2"/>
          </rPr>
          <t>Lucas Scheidler:</t>
        </r>
        <r>
          <rPr>
            <sz val="9"/>
            <color indexed="81"/>
            <rFont val="Tahoma"/>
            <family val="2"/>
          </rPr>
          <t xml:space="preserve">
placeholder until we get contractor markups from EMCOR</t>
        </r>
      </text>
    </comment>
    <comment ref="AI683" authorId="0">
      <text>
        <r>
          <rPr>
            <b/>
            <sz val="9"/>
            <color indexed="81"/>
            <rFont val="Tahoma"/>
            <family val="2"/>
          </rPr>
          <t>Lucas Scheidler:</t>
        </r>
        <r>
          <rPr>
            <sz val="9"/>
            <color indexed="81"/>
            <rFont val="Tahoma"/>
            <family val="2"/>
          </rPr>
          <t xml:space="preserve">
DEER 2001 Update 2 ton 13 SEER</t>
        </r>
      </text>
    </comment>
    <comment ref="AJ683" authorId="0">
      <text>
        <r>
          <rPr>
            <b/>
            <sz val="9"/>
            <color indexed="81"/>
            <rFont val="Tahoma"/>
            <family val="2"/>
          </rPr>
          <t>Lucas Scheidler:</t>
        </r>
        <r>
          <rPr>
            <sz val="9"/>
            <color indexed="81"/>
            <rFont val="Tahoma"/>
            <family val="2"/>
          </rPr>
          <t xml:space="preserve">
DEER 2008 average of single and three phase package A/C 13 SEER $/ton 
airAC-Pkg-lt65kBtuh1phs-13p0seer
airAC-Pkg-lt65kBtuh3phs-13p0seer</t>
        </r>
      </text>
    </comment>
    <comment ref="AK683" authorId="0">
      <text>
        <r>
          <rPr>
            <b/>
            <sz val="9"/>
            <color indexed="81"/>
            <rFont val="Tahoma"/>
            <family val="2"/>
          </rPr>
          <t>Lucas Scheidler:</t>
        </r>
        <r>
          <rPr>
            <sz val="9"/>
            <color indexed="81"/>
            <rFont val="Tahoma"/>
            <family val="2"/>
          </rPr>
          <t xml:space="preserve">
RS Means Online for 2 ton unit. No efficiency information given.</t>
        </r>
      </text>
    </comment>
    <comment ref="AL683" authorId="0">
      <text>
        <r>
          <rPr>
            <b/>
            <sz val="9"/>
            <color indexed="81"/>
            <rFont val="Tahoma"/>
            <family val="2"/>
          </rPr>
          <t>Lucas Scheidler:</t>
        </r>
        <r>
          <rPr>
            <sz val="9"/>
            <color indexed="81"/>
            <rFont val="Tahoma"/>
            <family val="2"/>
          </rPr>
          <t xml:space="preserve">
DEER 2005  13 SEER packaged ac $/ton
</t>
        </r>
      </text>
    </comment>
    <comment ref="X684" authorId="0">
      <text>
        <r>
          <rPr>
            <b/>
            <sz val="9"/>
            <color indexed="81"/>
            <rFont val="Tahoma"/>
            <family val="2"/>
          </rPr>
          <t>Lucas Scheidler:</t>
        </r>
        <r>
          <rPr>
            <sz val="9"/>
            <color indexed="81"/>
            <rFont val="Tahoma"/>
            <family val="2"/>
          </rPr>
          <t xml:space="preserve">
Modified SEER for this measure from 13 to 14 based on a conversation with Kevin Madison on 7/30/13</t>
        </r>
      </text>
    </comment>
    <comment ref="AG684" authorId="0">
      <text>
        <r>
          <rPr>
            <b/>
            <sz val="9"/>
            <color indexed="81"/>
            <rFont val="Tahoma"/>
            <family val="2"/>
          </rPr>
          <t>Lucas Scheidler:</t>
        </r>
        <r>
          <rPr>
            <sz val="9"/>
            <color indexed="81"/>
            <rFont val="Tahoma"/>
            <family val="2"/>
          </rPr>
          <t xml:space="preserve">
Modified SEER for this measure from 13 to 14 based on a conversation with Kevin Madison on 7/30/13</t>
        </r>
      </text>
    </comment>
    <comment ref="AI684" authorId="0">
      <text>
        <r>
          <rPr>
            <b/>
            <sz val="9"/>
            <color indexed="81"/>
            <rFont val="Tahoma"/>
            <family val="2"/>
          </rPr>
          <t>Lucas Scheidler:</t>
        </r>
        <r>
          <rPr>
            <sz val="9"/>
            <color indexed="81"/>
            <rFont val="Tahoma"/>
            <family val="2"/>
          </rPr>
          <t xml:space="preserve">
DEER 2001 Update 2 ton 14+ SEER</t>
        </r>
      </text>
    </comment>
    <comment ref="AJ684" authorId="0">
      <text>
        <r>
          <rPr>
            <b/>
            <sz val="9"/>
            <color indexed="81"/>
            <rFont val="Tahoma"/>
            <family val="2"/>
          </rPr>
          <t>Lucas Scheidler:</t>
        </r>
        <r>
          <rPr>
            <sz val="9"/>
            <color indexed="81"/>
            <rFont val="Tahoma"/>
            <family val="2"/>
          </rPr>
          <t xml:space="preserve">
DEER 2008 14 SEER package AC 
airAC-Pkg-lt65kBtuh1phs-14p0seer</t>
        </r>
      </text>
    </comment>
    <comment ref="AL684" authorId="0">
      <text>
        <r>
          <rPr>
            <b/>
            <sz val="9"/>
            <color indexed="81"/>
            <rFont val="Tahoma"/>
            <family val="2"/>
          </rPr>
          <t>Lucas Scheidler:</t>
        </r>
        <r>
          <rPr>
            <sz val="9"/>
            <color indexed="81"/>
            <rFont val="Tahoma"/>
            <family val="2"/>
          </rPr>
          <t xml:space="preserve">
DEER 2005 14 SEER $/ton</t>
        </r>
      </text>
    </comment>
    <comment ref="AI685" authorId="0">
      <text>
        <r>
          <rPr>
            <b/>
            <sz val="9"/>
            <color indexed="81"/>
            <rFont val="Tahoma"/>
            <family val="2"/>
          </rPr>
          <t>Lucas Scheidler:</t>
        </r>
        <r>
          <rPr>
            <sz val="9"/>
            <color indexed="81"/>
            <rFont val="Tahoma"/>
            <family val="2"/>
          </rPr>
          <t xml:space="preserve">
DEER 2001 Update 5 ton 13 SEER</t>
        </r>
      </text>
    </comment>
    <comment ref="AJ685" authorId="0">
      <text>
        <r>
          <rPr>
            <b/>
            <sz val="9"/>
            <color indexed="81"/>
            <rFont val="Tahoma"/>
            <family val="2"/>
          </rPr>
          <t>Lucas Scheidler:</t>
        </r>
        <r>
          <rPr>
            <sz val="9"/>
            <color indexed="81"/>
            <rFont val="Tahoma"/>
            <family val="2"/>
          </rPr>
          <t xml:space="preserve">
DEER 2008 average of single and three phase package A/C 13 SEER $/ton 
airAC-Pkg-lt65kBtuh1phs-13p0seer
airAC-Pkg-lt65kBtuh3phs-13p0seer</t>
        </r>
      </text>
    </comment>
    <comment ref="AK685" authorId="0">
      <text>
        <r>
          <rPr>
            <b/>
            <sz val="9"/>
            <color indexed="81"/>
            <rFont val="Tahoma"/>
            <family val="2"/>
          </rPr>
          <t>Lucas Scheidler:</t>
        </r>
        <r>
          <rPr>
            <sz val="9"/>
            <color indexed="81"/>
            <rFont val="Tahoma"/>
            <family val="2"/>
          </rPr>
          <t xml:space="preserve">
RS Means Online for 5 ton unit. No efficiency information given.</t>
        </r>
      </text>
    </comment>
    <comment ref="AL685" authorId="0">
      <text>
        <r>
          <rPr>
            <b/>
            <sz val="9"/>
            <color indexed="81"/>
            <rFont val="Tahoma"/>
            <family val="2"/>
          </rPr>
          <t>Lucas Scheidler:</t>
        </r>
        <r>
          <rPr>
            <sz val="9"/>
            <color indexed="81"/>
            <rFont val="Tahoma"/>
            <family val="2"/>
          </rPr>
          <t xml:space="preserve">
DEER 2005  13 SEER packaged ac $/ton
</t>
        </r>
      </text>
    </comment>
    <comment ref="AI686" authorId="0">
      <text>
        <r>
          <rPr>
            <b/>
            <sz val="9"/>
            <color indexed="81"/>
            <rFont val="Tahoma"/>
            <family val="2"/>
          </rPr>
          <t>Lucas Scheidler:</t>
        </r>
        <r>
          <rPr>
            <sz val="9"/>
            <color indexed="81"/>
            <rFont val="Tahoma"/>
            <family val="2"/>
          </rPr>
          <t xml:space="preserve">
DEER 2001 Update 5 ton 14+ SEER</t>
        </r>
      </text>
    </comment>
    <comment ref="AJ686" authorId="0">
      <text>
        <r>
          <rPr>
            <b/>
            <sz val="9"/>
            <color indexed="81"/>
            <rFont val="Tahoma"/>
            <family val="2"/>
          </rPr>
          <t>Lucas Scheidler:</t>
        </r>
        <r>
          <rPr>
            <sz val="9"/>
            <color indexed="81"/>
            <rFont val="Tahoma"/>
            <family val="2"/>
          </rPr>
          <t xml:space="preserve">
DEER 2008 14 SEER package AC 
airAC-Pkg-lt65kBtuh1phs-14p0seer</t>
        </r>
      </text>
    </comment>
    <comment ref="AL686" authorId="0">
      <text>
        <r>
          <rPr>
            <b/>
            <sz val="9"/>
            <color indexed="81"/>
            <rFont val="Tahoma"/>
            <family val="2"/>
          </rPr>
          <t>Lucas Scheidler:</t>
        </r>
        <r>
          <rPr>
            <sz val="9"/>
            <color indexed="81"/>
            <rFont val="Tahoma"/>
            <family val="2"/>
          </rPr>
          <t xml:space="preserve">
DEER 2005 14 SEER $/ton</t>
        </r>
      </text>
    </comment>
    <comment ref="Q689" authorId="0">
      <text>
        <r>
          <rPr>
            <b/>
            <sz val="9"/>
            <color indexed="81"/>
            <rFont val="Tahoma"/>
            <family val="2"/>
          </rPr>
          <t>Lucas Scheidler:</t>
        </r>
        <r>
          <rPr>
            <sz val="9"/>
            <color indexed="81"/>
            <rFont val="Tahoma"/>
            <family val="2"/>
          </rPr>
          <t xml:space="preserve">
These weights are from CMST. These three brands made up 51% of total record counts in CMST. Cross checking with CSS provided similar weighting. Of these brands, Carrier had the biggest market share in CMST (32%), but the weighting here has been adjusted to zero because the coefficient is not statistically significant for this brand.</t>
        </r>
      </text>
    </comment>
    <comment ref="T692" authorId="0">
      <text>
        <r>
          <rPr>
            <b/>
            <sz val="9"/>
            <color indexed="81"/>
            <rFont val="Tahoma"/>
            <family val="2"/>
          </rPr>
          <t>Lucas Scheidler:</t>
        </r>
        <r>
          <rPr>
            <sz val="9"/>
            <color indexed="81"/>
            <rFont val="Tahoma"/>
            <family val="2"/>
          </rPr>
          <t xml:space="preserve">
placeholder until we get contractor markups from EMCOR</t>
        </r>
      </text>
    </comment>
    <comment ref="AI696" authorId="0">
      <text>
        <r>
          <rPr>
            <b/>
            <sz val="9"/>
            <color indexed="81"/>
            <rFont val="Tahoma"/>
            <family val="2"/>
          </rPr>
          <t>Lucas Scheidler:</t>
        </r>
        <r>
          <rPr>
            <sz val="9"/>
            <color indexed="81"/>
            <rFont val="Tahoma"/>
            <family val="2"/>
          </rPr>
          <t xml:space="preserve">
EMCOR artifical bid</t>
        </r>
      </text>
    </comment>
    <comment ref="AJ696" authorId="0">
      <text>
        <r>
          <rPr>
            <b/>
            <sz val="9"/>
            <color indexed="81"/>
            <rFont val="Tahoma"/>
            <family val="2"/>
          </rPr>
          <t>Lucas Scheidler:</t>
        </r>
        <r>
          <rPr>
            <sz val="9"/>
            <color indexed="81"/>
            <rFont val="Tahoma"/>
            <family val="2"/>
          </rPr>
          <t xml:space="preserve">
DEER 2001 for Pkg AC 10.5 EER @ $709/ton</t>
        </r>
      </text>
    </comment>
    <comment ref="AK696" authorId="0">
      <text>
        <r>
          <rPr>
            <b/>
            <sz val="9"/>
            <color indexed="81"/>
            <rFont val="Tahoma"/>
            <family val="2"/>
          </rPr>
          <t>Lucas Scheidler:</t>
        </r>
        <r>
          <rPr>
            <sz val="9"/>
            <color indexed="81"/>
            <rFont val="Tahoma"/>
            <family val="2"/>
          </rPr>
          <t xml:space="preserve">
DEER 2005 for 239k btuh 10.8 EER Pkg AC at $785.77/ton</t>
        </r>
      </text>
    </comment>
    <comment ref="AL696" authorId="0">
      <text>
        <r>
          <rPr>
            <b/>
            <sz val="9"/>
            <color indexed="81"/>
            <rFont val="Tahoma"/>
            <family val="2"/>
          </rPr>
          <t>Lucas Scheidler:</t>
        </r>
        <r>
          <rPr>
            <sz val="9"/>
            <color indexed="81"/>
            <rFont val="Tahoma"/>
            <family val="2"/>
          </rPr>
          <t xml:space="preserve">
2008 DEER for 240-759 kbtuh 10.8 EER pkg AC @ $765.86/ton</t>
        </r>
      </text>
    </comment>
    <comment ref="AM696" authorId="0">
      <text>
        <r>
          <rPr>
            <b/>
            <sz val="9"/>
            <color indexed="81"/>
            <rFont val="Tahoma"/>
            <family val="2"/>
          </rPr>
          <t>Lucas Scheidler:</t>
        </r>
        <r>
          <rPr>
            <sz val="9"/>
            <color indexed="81"/>
            <rFont val="Tahoma"/>
            <family val="2"/>
          </rPr>
          <t xml:space="preserve">
RSMeans Online for 20 ton air cooled - no efficiency provided</t>
        </r>
      </text>
    </comment>
    <comment ref="Z697" authorId="0">
      <text>
        <r>
          <rPr>
            <b/>
            <sz val="9"/>
            <color indexed="81"/>
            <rFont val="Tahoma"/>
            <family val="2"/>
          </rPr>
          <t>Lucas Scheidler:</t>
        </r>
        <r>
          <rPr>
            <sz val="9"/>
            <color indexed="81"/>
            <rFont val="Tahoma"/>
            <family val="2"/>
          </rPr>
          <t xml:space="preserve">
Incremental costs of $0 for this measure results from DEER measure definitions from READI having the same efficiency rating. Kevin Madison indicated in a call on 7/30/13 that these measure definitions need revision.</t>
        </r>
      </text>
    </comment>
    <comment ref="AI697" authorId="0">
      <text>
        <r>
          <rPr>
            <b/>
            <sz val="9"/>
            <color indexed="81"/>
            <rFont val="Tahoma"/>
            <family val="2"/>
          </rPr>
          <t>Lucas Scheidler:</t>
        </r>
        <r>
          <rPr>
            <sz val="9"/>
            <color indexed="81"/>
            <rFont val="Tahoma"/>
            <family val="2"/>
          </rPr>
          <t xml:space="preserve">
EMCOR Artificial Bid
</t>
        </r>
      </text>
    </comment>
    <comment ref="AK697" authorId="0">
      <text>
        <r>
          <rPr>
            <b/>
            <sz val="9"/>
            <color indexed="81"/>
            <rFont val="Tahoma"/>
            <family val="2"/>
          </rPr>
          <t>Lucas Scheidler:</t>
        </r>
        <r>
          <rPr>
            <sz val="9"/>
            <color indexed="81"/>
            <rFont val="Tahoma"/>
            <family val="2"/>
          </rPr>
          <t xml:space="preserve">
DEER 2005 for &gt; 760,000 k btuh 10 EER @ $555.15/ton
</t>
        </r>
      </text>
    </comment>
    <comment ref="AL697" authorId="0">
      <text>
        <r>
          <rPr>
            <b/>
            <sz val="9"/>
            <color indexed="81"/>
            <rFont val="Tahoma"/>
            <family val="2"/>
          </rPr>
          <t>Lucas Scheidler:</t>
        </r>
        <r>
          <rPr>
            <sz val="9"/>
            <color indexed="81"/>
            <rFont val="Tahoma"/>
            <family val="2"/>
          </rPr>
          <t xml:space="preserve">
DEER 2008 for &gt; 760 kBtuh 10 EER pkg AC @ $ $663.09/ton</t>
        </r>
      </text>
    </comment>
    <comment ref="AM697" authorId="0">
      <text>
        <r>
          <rPr>
            <b/>
            <sz val="9"/>
            <color indexed="81"/>
            <rFont val="Tahoma"/>
            <family val="2"/>
          </rPr>
          <t>Lucas Scheidler:</t>
        </r>
        <r>
          <rPr>
            <sz val="9"/>
            <color indexed="81"/>
            <rFont val="Tahoma"/>
            <family val="2"/>
          </rPr>
          <t xml:space="preserve">
RSMeans Online for 7
0 ton air cooled - no efficiency provided</t>
        </r>
      </text>
    </comment>
    <comment ref="T705" authorId="0">
      <text>
        <r>
          <rPr>
            <b/>
            <sz val="9"/>
            <color indexed="81"/>
            <rFont val="Tahoma"/>
            <family val="2"/>
          </rPr>
          <t>Lucas Scheidler:</t>
        </r>
        <r>
          <rPr>
            <sz val="9"/>
            <color indexed="81"/>
            <rFont val="Tahoma"/>
            <family val="2"/>
          </rPr>
          <t xml:space="preserve">
based on contractor markups from EMCOR</t>
        </r>
      </text>
    </comment>
    <comment ref="Y717" authorId="0">
      <text>
        <r>
          <rPr>
            <b/>
            <sz val="9"/>
            <color indexed="81"/>
            <rFont val="Tahoma"/>
            <family val="2"/>
          </rPr>
          <t>Lucas Scheidler:</t>
        </r>
        <r>
          <rPr>
            <sz val="9"/>
            <color indexed="81"/>
            <rFont val="Tahoma"/>
            <family val="2"/>
          </rPr>
          <t xml:space="preserve">
EMCOR indicated this is not a technology that is used in the market</t>
        </r>
      </text>
    </comment>
    <comment ref="Y718" authorId="0">
      <text>
        <r>
          <rPr>
            <b/>
            <sz val="9"/>
            <color indexed="81"/>
            <rFont val="Tahoma"/>
            <family val="2"/>
          </rPr>
          <t>Lucas Scheidler:</t>
        </r>
        <r>
          <rPr>
            <sz val="9"/>
            <color indexed="81"/>
            <rFont val="Tahoma"/>
            <family val="2"/>
          </rPr>
          <t xml:space="preserve">
EMCOR indicated this is not a technology that is used in the market</t>
        </r>
      </text>
    </comment>
    <comment ref="AJ718" authorId="0">
      <text>
        <r>
          <rPr>
            <b/>
            <sz val="9"/>
            <color indexed="81"/>
            <rFont val="Tahoma"/>
            <family val="2"/>
          </rPr>
          <t>Lucas Scheidler:</t>
        </r>
        <r>
          <rPr>
            <sz val="9"/>
            <color indexed="81"/>
            <rFont val="Tahoma"/>
            <family val="2"/>
          </rPr>
          <t xml:space="preserve">
DEER 2005 1.008 kW/ton air cooled screw chiller @$488/ton</t>
        </r>
      </text>
    </comment>
    <comment ref="AK718" authorId="0">
      <text>
        <r>
          <rPr>
            <b/>
            <sz val="9"/>
            <color indexed="81"/>
            <rFont val="Tahoma"/>
            <family val="2"/>
          </rPr>
          <t>Lucas Scheidler:</t>
        </r>
        <r>
          <rPr>
            <sz val="9"/>
            <color indexed="81"/>
            <rFont val="Tahoma"/>
            <family val="2"/>
          </rPr>
          <t xml:space="preserve">
DEER 2008 
Chlr-AirScrew-AllSizes-1p008kwpton @ $552.09/ton</t>
        </r>
      </text>
    </comment>
    <comment ref="AI719" authorId="0">
      <text>
        <r>
          <rPr>
            <b/>
            <sz val="9"/>
            <color indexed="81"/>
            <rFont val="Tahoma"/>
            <family val="2"/>
          </rPr>
          <t>Lucas Scheidler:</t>
        </r>
        <r>
          <rPr>
            <sz val="9"/>
            <color indexed="81"/>
            <rFont val="Tahoma"/>
            <family val="2"/>
          </rPr>
          <t xml:space="preserve">
EMCOR artificial bid. 100 ton air cooled unit. Efficiency and technology type not provided.</t>
        </r>
      </text>
    </comment>
    <comment ref="AL721" authorId="0">
      <text>
        <r>
          <rPr>
            <b/>
            <sz val="9"/>
            <color indexed="81"/>
            <rFont val="Tahoma"/>
            <family val="2"/>
          </rPr>
          <t>Lucas Scheidler:</t>
        </r>
        <r>
          <rPr>
            <sz val="9"/>
            <color indexed="81"/>
            <rFont val="Tahoma"/>
            <family val="2"/>
          </rPr>
          <t xml:space="preserve">
RS Means Online - no efficiecny procided</t>
        </r>
      </text>
    </comment>
    <comment ref="Q722" authorId="0">
      <text>
        <r>
          <rPr>
            <b/>
            <sz val="9"/>
            <color indexed="81"/>
            <rFont val="Tahoma"/>
            <family val="2"/>
          </rPr>
          <t>Lucas Scheidler:</t>
        </r>
        <r>
          <rPr>
            <sz val="9"/>
            <color indexed="81"/>
            <rFont val="Tahoma"/>
            <family val="2"/>
          </rPr>
          <t xml:space="preserve">
These weights are from CEUS for air cooled chillers. CEUS weights were also benchmarked to CSS. Brand weights from the two studies are similar, but given the smaller sample size for CSS and no differentiantion between air cooled and water cooled units in the data, CEUS weights were applied.</t>
        </r>
      </text>
    </comment>
    <comment ref="AL723" authorId="0">
      <text>
        <r>
          <rPr>
            <b/>
            <sz val="9"/>
            <color indexed="81"/>
            <rFont val="Tahoma"/>
            <family val="2"/>
          </rPr>
          <t>Lucas Scheidler:</t>
        </r>
        <r>
          <rPr>
            <sz val="9"/>
            <color indexed="81"/>
            <rFont val="Tahoma"/>
            <family val="2"/>
          </rPr>
          <t xml:space="preserve">
RS Means Online - no efficiecny procided</t>
        </r>
      </text>
    </comment>
    <comment ref="T726" authorId="0">
      <text>
        <r>
          <rPr>
            <b/>
            <sz val="9"/>
            <color indexed="81"/>
            <rFont val="Tahoma"/>
            <family val="2"/>
          </rPr>
          <t>Lucas Scheidler:</t>
        </r>
        <r>
          <rPr>
            <sz val="9"/>
            <color indexed="81"/>
            <rFont val="Tahoma"/>
            <family val="2"/>
          </rPr>
          <t xml:space="preserve">
placeholder until we get contractor markups from EMCOR</t>
        </r>
      </text>
    </comment>
    <comment ref="AL740" authorId="0">
      <text>
        <r>
          <rPr>
            <b/>
            <sz val="9"/>
            <color indexed="81"/>
            <rFont val="Tahoma"/>
            <family val="2"/>
          </rPr>
          <t>Lucas Scheidler:</t>
        </r>
        <r>
          <rPr>
            <sz val="9"/>
            <color indexed="81"/>
            <rFont val="Tahoma"/>
            <family val="2"/>
          </rPr>
          <t xml:space="preserve">
DEER 2008 
Chlr-Cent-150to299tons-0p507kwpton-ConstSpd @$591.08/ton</t>
        </r>
      </text>
    </comment>
    <comment ref="AI741" authorId="0">
      <text>
        <r>
          <rPr>
            <b/>
            <sz val="9"/>
            <color indexed="81"/>
            <rFont val="Tahoma"/>
            <family val="2"/>
          </rPr>
          <t>Lucas Scheidler:</t>
        </r>
        <r>
          <rPr>
            <sz val="9"/>
            <color indexed="81"/>
            <rFont val="Tahoma"/>
            <family val="2"/>
          </rPr>
          <t xml:space="preserve">
EMCOR artificial bid - no efficiency or technology type provided</t>
        </r>
      </text>
    </comment>
    <comment ref="AJ741" authorId="0">
      <text>
        <r>
          <rPr>
            <b/>
            <sz val="9"/>
            <color indexed="81"/>
            <rFont val="Tahoma"/>
            <family val="2"/>
          </rPr>
          <t>Lucas Scheidler:</t>
        </r>
        <r>
          <rPr>
            <sz val="9"/>
            <color indexed="81"/>
            <rFont val="Tahoma"/>
            <family val="2"/>
          </rPr>
          <t xml:space="preserve">
DEER 2001 300 ton 0.54 kw/ton  @$337/ton</t>
        </r>
      </text>
    </comment>
    <comment ref="AJ742" authorId="0">
      <text>
        <r>
          <rPr>
            <b/>
            <sz val="9"/>
            <color indexed="81"/>
            <rFont val="Tahoma"/>
            <family val="2"/>
          </rPr>
          <t>Lucas Scheidler:</t>
        </r>
        <r>
          <rPr>
            <sz val="9"/>
            <color indexed="81"/>
            <rFont val="Tahoma"/>
            <family val="2"/>
          </rPr>
          <t xml:space="preserve">
DEER 2001 300 ton 0.47 kw/ton  @$353/ton</t>
        </r>
      </text>
    </comment>
    <comment ref="AL742" authorId="0">
      <text>
        <r>
          <rPr>
            <b/>
            <sz val="9"/>
            <color indexed="81"/>
            <rFont val="Tahoma"/>
            <family val="2"/>
          </rPr>
          <t>Lucas Scheidler:</t>
        </r>
        <r>
          <rPr>
            <sz val="9"/>
            <color indexed="81"/>
            <rFont val="Tahoma"/>
            <family val="2"/>
          </rPr>
          <t xml:space="preserve">
DEER 2008 
Chlr-Cent-gte300tons-0p461kwpton-ConstSpd
@ $279.01/ton</t>
        </r>
      </text>
    </comment>
    <comment ref="AI743" authorId="0">
      <text>
        <r>
          <rPr>
            <b/>
            <sz val="9"/>
            <color indexed="81"/>
            <rFont val="Tahoma"/>
            <family val="2"/>
          </rPr>
          <t>Lucas Scheidler:</t>
        </r>
        <r>
          <rPr>
            <sz val="9"/>
            <color indexed="81"/>
            <rFont val="Tahoma"/>
            <family val="2"/>
          </rPr>
          <t xml:space="preserve">
EMCOR artificial bid - no efficiency or technology type provided</t>
        </r>
      </text>
    </comment>
    <comment ref="AL744" authorId="0">
      <text>
        <r>
          <rPr>
            <b/>
            <sz val="9"/>
            <color indexed="81"/>
            <rFont val="Tahoma"/>
            <family val="2"/>
          </rPr>
          <t>Lucas Scheidler:</t>
        </r>
        <r>
          <rPr>
            <sz val="9"/>
            <color indexed="81"/>
            <rFont val="Tahoma"/>
            <family val="2"/>
          </rPr>
          <t xml:space="preserve">
DEER 2008
Chlr-Cent-lt150tons-0p560kwpton-ConstSpd
@ $670.26</t>
        </r>
      </text>
    </comment>
    <comment ref="AK745" authorId="0">
      <text>
        <r>
          <rPr>
            <b/>
            <sz val="9"/>
            <color indexed="81"/>
            <rFont val="Tahoma"/>
            <family val="2"/>
          </rPr>
          <t>Lucas Scheidler:
DEER 2005 same efficiency @$347/ton</t>
        </r>
      </text>
    </comment>
    <comment ref="AL745" authorId="0">
      <text>
        <r>
          <rPr>
            <b/>
            <sz val="9"/>
            <color indexed="81"/>
            <rFont val="Tahoma"/>
            <family val="2"/>
          </rPr>
          <t>Lucas Scheidler:</t>
        </r>
        <r>
          <rPr>
            <sz val="9"/>
            <color indexed="81"/>
            <rFont val="Tahoma"/>
            <family val="2"/>
          </rPr>
          <t xml:space="preserve">
DEER 2008 
Chlr-Screw-150to299tons-0p718kwpton
@$361.01/ton</t>
        </r>
      </text>
    </comment>
    <comment ref="AM745" authorId="0">
      <text>
        <r>
          <rPr>
            <b/>
            <sz val="9"/>
            <color indexed="81"/>
            <rFont val="Tahoma"/>
            <family val="2"/>
          </rPr>
          <t>Lucas Scheidler:</t>
        </r>
        <r>
          <rPr>
            <sz val="9"/>
            <color indexed="81"/>
            <rFont val="Tahoma"/>
            <family val="2"/>
          </rPr>
          <t xml:space="preserve">
RS Means Online - average of 200 and 250 ton unit - no efficieny provided</t>
        </r>
      </text>
    </comment>
    <comment ref="AN745" authorId="0">
      <text>
        <r>
          <rPr>
            <b/>
            <sz val="9"/>
            <color indexed="81"/>
            <rFont val="Tahoma"/>
            <family val="2"/>
          </rPr>
          <t>Lucas Scheidler:</t>
        </r>
        <r>
          <rPr>
            <sz val="9"/>
            <color indexed="81"/>
            <rFont val="Tahoma"/>
            <family val="2"/>
          </rPr>
          <t xml:space="preserve">
Workpaper SCE13HC043
@ $363.24/ton
</t>
        </r>
      </text>
    </comment>
    <comment ref="AK746" authorId="0">
      <text>
        <r>
          <rPr>
            <b/>
            <sz val="9"/>
            <color indexed="81"/>
            <rFont val="Tahoma"/>
            <family val="2"/>
          </rPr>
          <t>Lucas Scheidler:</t>
        </r>
        <r>
          <rPr>
            <sz val="9"/>
            <color indexed="81"/>
            <rFont val="Tahoma"/>
            <family val="2"/>
          </rPr>
          <t xml:space="preserve">
DEER 2005 same efficiency @$372/ton</t>
        </r>
      </text>
    </comment>
    <comment ref="AL746" authorId="0">
      <text>
        <r>
          <rPr>
            <b/>
            <sz val="9"/>
            <color indexed="81"/>
            <rFont val="Tahoma"/>
            <family val="2"/>
          </rPr>
          <t>Lucas Scheidler:</t>
        </r>
        <r>
          <rPr>
            <sz val="9"/>
            <color indexed="81"/>
            <rFont val="Tahoma"/>
            <family val="2"/>
          </rPr>
          <t xml:space="preserve">
DEER 2008
Chlr-Screw-150to299tons-0p574kwpton
@ $431.02/ton</t>
        </r>
      </text>
    </comment>
    <comment ref="AI747" authorId="0">
      <text>
        <r>
          <rPr>
            <b/>
            <sz val="9"/>
            <color indexed="81"/>
            <rFont val="Tahoma"/>
            <family val="2"/>
          </rPr>
          <t>Lucas Scheidler:</t>
        </r>
        <r>
          <rPr>
            <sz val="9"/>
            <color indexed="81"/>
            <rFont val="Tahoma"/>
            <family val="2"/>
          </rPr>
          <t xml:space="preserve">
EMCOR artificial bid - no efficiency or technology type provided</t>
        </r>
      </text>
    </comment>
    <comment ref="AL747" authorId="0">
      <text>
        <r>
          <rPr>
            <b/>
            <sz val="9"/>
            <color indexed="81"/>
            <rFont val="Tahoma"/>
            <family val="2"/>
          </rPr>
          <t>Lucas Scheidler:</t>
        </r>
        <r>
          <rPr>
            <sz val="9"/>
            <color indexed="81"/>
            <rFont val="Tahoma"/>
            <family val="2"/>
          </rPr>
          <t xml:space="preserve">
DEER 2008
Chlr-Screw-gte300tons-0p639kwpton
@$293.32/ton</t>
        </r>
      </text>
    </comment>
    <comment ref="AM747" authorId="0">
      <text>
        <r>
          <rPr>
            <b/>
            <sz val="9"/>
            <color indexed="81"/>
            <rFont val="Tahoma"/>
            <family val="2"/>
          </rPr>
          <t>Lucas Scheidler:</t>
        </r>
        <r>
          <rPr>
            <sz val="9"/>
            <color indexed="81"/>
            <rFont val="Tahoma"/>
            <family val="2"/>
          </rPr>
          <t xml:space="preserve">
RS Means Online - no efficiency procided</t>
        </r>
      </text>
    </comment>
    <comment ref="AN747" authorId="0">
      <text>
        <r>
          <rPr>
            <b/>
            <sz val="9"/>
            <color indexed="81"/>
            <rFont val="Tahoma"/>
            <family val="2"/>
          </rPr>
          <t>Lucas Scheidler:</t>
        </r>
        <r>
          <rPr>
            <sz val="9"/>
            <color indexed="81"/>
            <rFont val="Tahoma"/>
            <family val="2"/>
          </rPr>
          <t xml:space="preserve">
Workpaper SCE13HC043
@ $288.81/ton</t>
        </r>
      </text>
    </comment>
    <comment ref="T748" authorId="0">
      <text>
        <r>
          <rPr>
            <b/>
            <sz val="9"/>
            <color indexed="81"/>
            <rFont val="Tahoma"/>
            <family val="2"/>
          </rPr>
          <t>Lucas Scheidler:</t>
        </r>
        <r>
          <rPr>
            <sz val="9"/>
            <color indexed="81"/>
            <rFont val="Tahoma"/>
            <family val="2"/>
          </rPr>
          <t xml:space="preserve">
markup from EMCOR</t>
        </r>
      </text>
    </comment>
    <comment ref="AL748" authorId="0">
      <text>
        <r>
          <rPr>
            <b/>
            <sz val="9"/>
            <color indexed="81"/>
            <rFont val="Tahoma"/>
            <family val="2"/>
          </rPr>
          <t>Lucas Scheidler:</t>
        </r>
        <r>
          <rPr>
            <sz val="9"/>
            <color indexed="81"/>
            <rFont val="Tahoma"/>
            <family val="2"/>
          </rPr>
          <t xml:space="preserve">
DEER 2008 
Chlr-Screw-gte300tons-0p511kwpton
@ $341.32/ton</t>
        </r>
      </text>
    </comment>
    <comment ref="AI749" authorId="0">
      <text>
        <r>
          <rPr>
            <b/>
            <sz val="9"/>
            <color indexed="81"/>
            <rFont val="Tahoma"/>
            <family val="2"/>
          </rPr>
          <t>Lucas Scheidler:</t>
        </r>
        <r>
          <rPr>
            <sz val="9"/>
            <color indexed="81"/>
            <rFont val="Tahoma"/>
            <family val="2"/>
          </rPr>
          <t xml:space="preserve">
EMCOR artificial bid - no efficiency or technology type provided</t>
        </r>
      </text>
    </comment>
    <comment ref="AK749" authorId="0">
      <text>
        <r>
          <rPr>
            <b/>
            <sz val="9"/>
            <color indexed="81"/>
            <rFont val="Tahoma"/>
            <family val="2"/>
          </rPr>
          <t>Lucas Scheidler:</t>
        </r>
        <r>
          <rPr>
            <sz val="9"/>
            <color indexed="81"/>
            <rFont val="Tahoma"/>
            <family val="2"/>
          </rPr>
          <t xml:space="preserve">
DEER 2005 same efficiency @$443/ton</t>
        </r>
      </text>
    </comment>
    <comment ref="AL749" authorId="0">
      <text>
        <r>
          <rPr>
            <b/>
            <sz val="9"/>
            <color indexed="81"/>
            <rFont val="Tahoma"/>
            <family val="2"/>
          </rPr>
          <t>Lucas Scheidler:</t>
        </r>
        <r>
          <rPr>
            <sz val="9"/>
            <color indexed="81"/>
            <rFont val="Tahoma"/>
            <family val="2"/>
          </rPr>
          <t xml:space="preserve">
DEER 2008
Chlr-Screw-lt150tons-0p790kwpton
@ $475.38 / ton</t>
        </r>
      </text>
    </comment>
    <comment ref="AM749" authorId="0">
      <text>
        <r>
          <rPr>
            <b/>
            <sz val="9"/>
            <color indexed="81"/>
            <rFont val="Tahoma"/>
            <family val="2"/>
          </rPr>
          <t>Lucas Scheidler:</t>
        </r>
        <r>
          <rPr>
            <sz val="9"/>
            <color indexed="81"/>
            <rFont val="Tahoma"/>
            <family val="2"/>
          </rPr>
          <t xml:space="preserve">
RS Means Online - no efficiency procided</t>
        </r>
      </text>
    </comment>
    <comment ref="AN749" authorId="0">
      <text>
        <r>
          <rPr>
            <b/>
            <sz val="9"/>
            <color indexed="81"/>
            <rFont val="Tahoma"/>
            <family val="2"/>
          </rPr>
          <t>Lucas Scheidler:</t>
        </r>
        <r>
          <rPr>
            <sz val="9"/>
            <color indexed="81"/>
            <rFont val="Tahoma"/>
            <family val="2"/>
          </rPr>
          <t xml:space="preserve">
Workpaper SCE13HC043
@ $454.88/ton</t>
        </r>
      </text>
    </comment>
    <comment ref="AK750" authorId="0">
      <text>
        <r>
          <rPr>
            <b/>
            <sz val="9"/>
            <color indexed="81"/>
            <rFont val="Tahoma"/>
            <family val="2"/>
          </rPr>
          <t>Lucas Scheidler:</t>
        </r>
        <r>
          <rPr>
            <sz val="9"/>
            <color indexed="81"/>
            <rFont val="Tahoma"/>
            <family val="2"/>
          </rPr>
          <t xml:space="preserve">
DEER 2005 same efficiency @$492/ton</t>
        </r>
      </text>
    </comment>
    <comment ref="AL750" authorId="0">
      <text>
        <r>
          <rPr>
            <b/>
            <sz val="9"/>
            <color indexed="81"/>
            <rFont val="Tahoma"/>
            <family val="2"/>
          </rPr>
          <t>Lucas Scheidler:</t>
        </r>
        <r>
          <rPr>
            <sz val="9"/>
            <color indexed="81"/>
            <rFont val="Tahoma"/>
            <family val="2"/>
          </rPr>
          <t xml:space="preserve">
DEER 2008
Chlr-Screw-lt150tons-0p632kwpton
@ $ 603.51/ton</t>
        </r>
      </text>
    </comment>
    <comment ref="A752" authorId="0">
      <text>
        <r>
          <rPr>
            <b/>
            <sz val="9"/>
            <color indexed="81"/>
            <rFont val="Tahoma"/>
            <family val="2"/>
          </rPr>
          <t>Lucas Scheidler:</t>
        </r>
        <r>
          <rPr>
            <sz val="9"/>
            <color indexed="81"/>
            <rFont val="Tahoma"/>
            <family val="2"/>
          </rPr>
          <t xml:space="preserve">
Workpapers indicate there are no centrifugal VSD chillers &lt; 150 tons in the market. Our research confirms this. Additionally, our subcontractors found very few (4) units less than 300 tons. Given the small sample size, a regression model could only be developed for units &gt;= 300 tons.</t>
        </r>
      </text>
    </comment>
    <comment ref="AI752" authorId="0">
      <text>
        <r>
          <rPr>
            <b/>
            <sz val="9"/>
            <color indexed="81"/>
            <rFont val="Tahoma"/>
            <family val="2"/>
          </rPr>
          <t>Lucas Scheidler:</t>
        </r>
        <r>
          <rPr>
            <sz val="9"/>
            <color indexed="81"/>
            <rFont val="Tahoma"/>
            <family val="2"/>
          </rPr>
          <t xml:space="preserve">
2005 DEER 0.576 kw/ton @$290/ton</t>
        </r>
      </text>
    </comment>
    <comment ref="AI753" authorId="0">
      <text>
        <r>
          <rPr>
            <b/>
            <sz val="9"/>
            <color indexed="81"/>
            <rFont val="Tahoma"/>
            <family val="2"/>
          </rPr>
          <t>Lucas Scheidler:</t>
        </r>
        <r>
          <rPr>
            <sz val="9"/>
            <color indexed="81"/>
            <rFont val="Tahoma"/>
            <family val="2"/>
          </rPr>
          <t xml:space="preserve">
2005 DEER 0.461 kw/ton @$373/ton</t>
        </r>
      </text>
    </comment>
    <comment ref="AJ753" authorId="0">
      <text>
        <r>
          <rPr>
            <b/>
            <sz val="9"/>
            <color indexed="81"/>
            <rFont val="Tahoma"/>
            <family val="2"/>
          </rPr>
          <t>Lucas Scheidler:</t>
        </r>
        <r>
          <rPr>
            <sz val="9"/>
            <color indexed="81"/>
            <rFont val="Tahoma"/>
            <family val="2"/>
          </rPr>
          <t xml:space="preserve">
2008 DEER 
Chlr-Cent-gte300tons-0p461kwpton-VSD
@ $475.46/ton</t>
        </r>
      </text>
    </comment>
    <comment ref="Q754" authorId="0">
      <text>
        <r>
          <rPr>
            <b/>
            <sz val="9"/>
            <color indexed="81"/>
            <rFont val="Tahoma"/>
            <family val="2"/>
          </rPr>
          <t>Lucas Scheidler:</t>
        </r>
        <r>
          <rPr>
            <sz val="9"/>
            <color indexed="81"/>
            <rFont val="Tahoma"/>
            <family val="2"/>
          </rPr>
          <t xml:space="preserve">
These weights are from CEUS for water cooled chillers. CEUS weights were also benchmarked to CSS. Brand weights from the two studies are similar, but given the smaller sample size for CSS and no differentiantion between air cooled and water cooled units in the data, CEUS weights were applied.</t>
        </r>
      </text>
    </comment>
    <comment ref="T761" authorId="0">
      <text>
        <r>
          <rPr>
            <b/>
            <sz val="9"/>
            <color indexed="81"/>
            <rFont val="Tahoma"/>
            <family val="2"/>
          </rPr>
          <t>Lucas Scheidler:</t>
        </r>
        <r>
          <rPr>
            <sz val="9"/>
            <color indexed="81"/>
            <rFont val="Tahoma"/>
            <family val="2"/>
          </rPr>
          <t xml:space="preserve">
 markups from EMCOR</t>
        </r>
      </text>
    </comment>
    <comment ref="AI763" authorId="0">
      <text>
        <r>
          <rPr>
            <b/>
            <sz val="9"/>
            <color indexed="81"/>
            <rFont val="Tahoma"/>
            <family val="2"/>
          </rPr>
          <t>Lucas Scheidler:</t>
        </r>
        <r>
          <rPr>
            <sz val="9"/>
            <color indexed="81"/>
            <rFont val="Tahoma"/>
            <family val="2"/>
          </rPr>
          <t xml:space="preserve">
DEER 2001 for 5 ton 12.7 SEER</t>
        </r>
      </text>
    </comment>
    <comment ref="AJ763" authorId="0">
      <text>
        <r>
          <rPr>
            <b/>
            <sz val="9"/>
            <color indexed="81"/>
            <rFont val="Tahoma"/>
            <family val="2"/>
          </rPr>
          <t>Lucas Scheidler:</t>
        </r>
        <r>
          <rPr>
            <sz val="9"/>
            <color indexed="81"/>
            <rFont val="Tahoma"/>
            <family val="2"/>
          </rPr>
          <t xml:space="preserve">
DEER 2005
13 SEER / 7.7 HSPF three phase package A/C Heat Pump
@$959/ton</t>
        </r>
      </text>
    </comment>
    <comment ref="AJ764" authorId="0">
      <text>
        <r>
          <rPr>
            <b/>
            <sz val="9"/>
            <color indexed="81"/>
            <rFont val="Tahoma"/>
            <family val="2"/>
          </rPr>
          <t>Lucas Scheidler:</t>
        </r>
        <r>
          <rPr>
            <sz val="9"/>
            <color indexed="81"/>
            <rFont val="Tahoma"/>
            <family val="2"/>
          </rPr>
          <t xml:space="preserve">
DEER 2005
14 SEER(12.19 EER)/8.6 HSPF(3.52 COP) Package A/C Heat Pump
@$995/ton</t>
        </r>
      </text>
    </comment>
    <comment ref="Q765" authorId="0">
      <text>
        <r>
          <rPr>
            <b/>
            <sz val="9"/>
            <color indexed="81"/>
            <rFont val="Tahoma"/>
            <family val="2"/>
          </rPr>
          <t>Lucas Scheidler:</t>
        </r>
        <r>
          <rPr>
            <sz val="9"/>
            <color indexed="81"/>
            <rFont val="Tahoma"/>
            <family val="2"/>
          </rPr>
          <t xml:space="preserve">
These weights are from CMST. These four  brands made up 40% of total record counts in CMST. Cross checking with CSS provided similar weighting. </t>
        </r>
      </text>
    </comment>
    <comment ref="T772" authorId="0">
      <text>
        <r>
          <rPr>
            <b/>
            <sz val="9"/>
            <color indexed="81"/>
            <rFont val="Tahoma"/>
            <family val="2"/>
          </rPr>
          <t>Lucas Scheidler:</t>
        </r>
        <r>
          <rPr>
            <sz val="9"/>
            <color indexed="81"/>
            <rFont val="Tahoma"/>
            <family val="2"/>
          </rPr>
          <t xml:space="preserve">
placeholder until we get contractor markups from EMCOR</t>
        </r>
      </text>
    </comment>
    <comment ref="AH774" authorId="0">
      <text>
        <r>
          <rPr>
            <b/>
            <sz val="9"/>
            <color indexed="81"/>
            <rFont val="Tahoma"/>
            <family val="2"/>
          </rPr>
          <t>Lucas Scheidler:</t>
        </r>
        <r>
          <rPr>
            <sz val="9"/>
            <color indexed="81"/>
            <rFont val="Tahoma"/>
            <family val="2"/>
          </rPr>
          <t xml:space="preserve">
Products meeting this description in the cost data set range from approximately $4000 to $8600 before contractor markup</t>
        </r>
      </text>
    </comment>
    <comment ref="AI774" authorId="0">
      <text>
        <r>
          <rPr>
            <b/>
            <sz val="9"/>
            <color indexed="81"/>
            <rFont val="Tahoma"/>
            <family val="2"/>
          </rPr>
          <t>Lucas Scheidler:</t>
        </r>
        <r>
          <rPr>
            <sz val="9"/>
            <color indexed="81"/>
            <rFont val="Tahoma"/>
            <family val="2"/>
          </rPr>
          <t xml:space="preserve">
Emcor artifical bid</t>
        </r>
      </text>
    </comment>
    <comment ref="AJ775" authorId="0">
      <text>
        <r>
          <rPr>
            <b/>
            <sz val="9"/>
            <color indexed="81"/>
            <rFont val="Tahoma"/>
            <family val="2"/>
          </rPr>
          <t>Lucas Scheidler:</t>
        </r>
        <r>
          <rPr>
            <sz val="9"/>
            <color indexed="81"/>
            <rFont val="Tahoma"/>
            <family val="2"/>
          </rPr>
          <t xml:space="preserve">
DEER 2001 
10 ton 10.9 EER</t>
        </r>
      </text>
    </comment>
    <comment ref="AJ776" authorId="0">
      <text>
        <r>
          <rPr>
            <b/>
            <sz val="9"/>
            <color indexed="81"/>
            <rFont val="Tahoma"/>
            <family val="2"/>
          </rPr>
          <t>Lucas Scheidler:</t>
        </r>
        <r>
          <rPr>
            <sz val="9"/>
            <color indexed="81"/>
            <rFont val="Tahoma"/>
            <family val="2"/>
          </rPr>
          <t xml:space="preserve">
DEER 2001 
15 ton 10.5 EER</t>
        </r>
      </text>
    </comment>
    <comment ref="AL776" authorId="0">
      <text>
        <r>
          <rPr>
            <b/>
            <sz val="9"/>
            <color indexed="81"/>
            <rFont val="Tahoma"/>
            <family val="2"/>
          </rPr>
          <t>Lucas Scheidler:</t>
        </r>
        <r>
          <rPr>
            <sz val="9"/>
            <color indexed="81"/>
            <rFont val="Tahoma"/>
            <family val="2"/>
          </rPr>
          <t xml:space="preserve">
DEER 2008 15 ton EER 10.8</t>
        </r>
      </text>
    </comment>
    <comment ref="S777" authorId="0">
      <text>
        <r>
          <rPr>
            <b/>
            <sz val="9"/>
            <color indexed="81"/>
            <rFont val="Tahoma"/>
            <family val="2"/>
          </rPr>
          <t>Lucas Scheidler:</t>
        </r>
        <r>
          <rPr>
            <sz val="9"/>
            <color indexed="81"/>
            <rFont val="Tahoma"/>
            <family val="2"/>
          </rPr>
          <t xml:space="preserve">
CMST and CSS weights are available for large pkg heat pump. However, the brand information was not consistently available in the raw data for our model. One distributor, pacific coast trane, likely only sells Trane equipment. Trane has a market share of 13.45% in CMST. However, because the coefficient on the brand for Pacific coast trane is not significant, this weighting was not applied. Currently, only sample weights are used.</t>
        </r>
      </text>
    </comment>
    <comment ref="AK777" authorId="0">
      <text>
        <r>
          <rPr>
            <b/>
            <sz val="9"/>
            <color indexed="81"/>
            <rFont val="Tahoma"/>
            <family val="2"/>
          </rPr>
          <t>Lucas Scheidler:</t>
        </r>
        <r>
          <rPr>
            <sz val="9"/>
            <color indexed="81"/>
            <rFont val="Tahoma"/>
            <family val="2"/>
          </rPr>
          <t xml:space="preserve">
2005 DEER 10 ton 11 EER</t>
        </r>
      </text>
    </comment>
    <comment ref="AJ778" authorId="0">
      <text>
        <r>
          <rPr>
            <b/>
            <sz val="9"/>
            <color indexed="81"/>
            <rFont val="Tahoma"/>
            <family val="2"/>
          </rPr>
          <t>Lucas Scheidler:</t>
        </r>
        <r>
          <rPr>
            <sz val="9"/>
            <color indexed="81"/>
            <rFont val="Tahoma"/>
            <family val="2"/>
          </rPr>
          <t xml:space="preserve">
DEER 2001 30 ton 10.5 EER</t>
        </r>
      </text>
    </comment>
    <comment ref="T783" authorId="0">
      <text>
        <r>
          <rPr>
            <b/>
            <sz val="9"/>
            <color indexed="81"/>
            <rFont val="Tahoma"/>
            <family val="2"/>
          </rPr>
          <t>Lucas Scheidler:</t>
        </r>
        <r>
          <rPr>
            <sz val="9"/>
            <color indexed="81"/>
            <rFont val="Tahoma"/>
            <family val="2"/>
          </rPr>
          <t xml:space="preserve">
contractor markup estimate  from EMCOR</t>
        </r>
      </text>
    </comment>
    <comment ref="X785" authorId="0">
      <text>
        <r>
          <rPr>
            <b/>
            <sz val="9"/>
            <color indexed="81"/>
            <rFont val="Tahoma"/>
            <family val="2"/>
          </rPr>
          <t>Lucas Scheidler:</t>
        </r>
        <r>
          <rPr>
            <sz val="9"/>
            <color indexed="81"/>
            <rFont val="Tahoma"/>
            <family val="2"/>
          </rPr>
          <t xml:space="preserve">
Measure definition efficiency updated to reflect DEER 2013 Code changes</t>
        </r>
      </text>
    </comment>
    <comment ref="AJ785" authorId="0">
      <text>
        <r>
          <rPr>
            <b/>
            <sz val="9"/>
            <color indexed="81"/>
            <rFont val="Tahoma"/>
            <family val="2"/>
          </rPr>
          <t>Lucas Scheidler:</t>
        </r>
        <r>
          <rPr>
            <sz val="9"/>
            <color indexed="81"/>
            <rFont val="Tahoma"/>
            <family val="2"/>
          </rPr>
          <t xml:space="preserve">
DEER 2005 central steam boiler with efficiency of 80% - analysis seems to have done with mixed boiler types (steam, HW), mixed fuel types, and mixed efficiency types not conrolled for</t>
        </r>
      </text>
    </comment>
    <comment ref="AK785" authorId="0">
      <text>
        <r>
          <rPr>
            <b/>
            <sz val="9"/>
            <color indexed="81"/>
            <rFont val="Tahoma"/>
            <family val="2"/>
          </rPr>
          <t>Lucas Scheidler:</t>
        </r>
        <r>
          <rPr>
            <sz val="9"/>
            <color indexed="81"/>
            <rFont val="Tahoma"/>
            <family val="2"/>
          </rPr>
          <t xml:space="preserve">
DEER 2008 3000 kBtuh 75% thermal efficiency steam boiler</t>
        </r>
      </text>
    </comment>
    <comment ref="B786" authorId="0">
      <text>
        <r>
          <rPr>
            <b/>
            <sz val="9"/>
            <color indexed="81"/>
            <rFont val="Tahoma"/>
            <family val="2"/>
          </rPr>
          <t>Lucas Scheidler:</t>
        </r>
        <r>
          <rPr>
            <sz val="9"/>
            <color indexed="81"/>
            <rFont val="Tahoma"/>
            <family val="2"/>
          </rPr>
          <t xml:space="preserve">
DEER measures are rated by AFUE, thermal efficiency, or combustion efficiency, depending on capacity range. These specific ratings were not available for all models in the cost dataset. The efficiency rating here for all capacities is equal to max output / rated input</t>
        </r>
      </text>
    </comment>
    <comment ref="AJ786" authorId="0">
      <text>
        <r>
          <rPr>
            <b/>
            <sz val="9"/>
            <color indexed="81"/>
            <rFont val="Tahoma"/>
            <family val="2"/>
          </rPr>
          <t>Lucas Scheidler:</t>
        </r>
        <r>
          <rPr>
            <sz val="9"/>
            <color indexed="81"/>
            <rFont val="Tahoma"/>
            <family val="2"/>
          </rPr>
          <t xml:space="preserve">
DEER 2005 central steam boiler with efficiency of 85%
</t>
        </r>
      </text>
    </comment>
    <comment ref="AK786" authorId="0">
      <text>
        <r>
          <rPr>
            <b/>
            <sz val="9"/>
            <color indexed="81"/>
            <rFont val="Tahoma"/>
            <family val="2"/>
          </rPr>
          <t>Lucas Scheidler:</t>
        </r>
        <r>
          <rPr>
            <sz val="9"/>
            <color indexed="81"/>
            <rFont val="Tahoma"/>
            <family val="2"/>
          </rPr>
          <t xml:space="preserve">
DEER 2008 3000 kBtuh 85
% thermal efficiency steam boiler
</t>
        </r>
      </text>
    </comment>
    <comment ref="AN786" authorId="0">
      <text>
        <r>
          <rPr>
            <b/>
            <sz val="9"/>
            <color indexed="81"/>
            <rFont val="Tahoma"/>
            <family val="2"/>
          </rPr>
          <t>Lucas Scheidler:</t>
        </r>
        <r>
          <rPr>
            <sz val="9"/>
            <color indexed="81"/>
            <rFont val="Tahoma"/>
            <family val="2"/>
          </rPr>
          <t xml:space="preserve">
RS Means Online for 1360 kBtuh Cast Iron Steam boiler - no efficiency provided</t>
        </r>
      </text>
    </comment>
    <comment ref="Q787" authorId="0">
      <text>
        <r>
          <rPr>
            <b/>
            <sz val="9"/>
            <color indexed="81"/>
            <rFont val="Tahoma"/>
            <family val="2"/>
          </rPr>
          <t>Lucas Scheidler:</t>
        </r>
        <r>
          <rPr>
            <sz val="9"/>
            <color indexed="81"/>
            <rFont val="Tahoma"/>
            <family val="2"/>
          </rPr>
          <t xml:space="preserve">
These weights are from CEUS forsteam boilers. CEUS weights were also benchmarked to CSS. Brand weights from the two studies are considerably different, but given the smaller sample size for CSS and no differentiantion between steam and SHW units in the data, CEUS weights were applied.</t>
        </r>
      </text>
    </comment>
    <comment ref="AI787" authorId="0">
      <text>
        <r>
          <rPr>
            <b/>
            <sz val="9"/>
            <color indexed="81"/>
            <rFont val="Tahoma"/>
            <family val="2"/>
          </rPr>
          <t>Lucas Scheidler:</t>
        </r>
        <r>
          <rPr>
            <sz val="9"/>
            <color indexed="81"/>
            <rFont val="Tahoma"/>
            <family val="2"/>
          </rPr>
          <t xml:space="preserve">
DEER 2001 
600 kBtuh 97% AFUE boiler</t>
        </r>
      </text>
    </comment>
    <comment ref="AJ787" authorId="0">
      <text>
        <r>
          <rPr>
            <b/>
            <sz val="9"/>
            <color indexed="81"/>
            <rFont val="Tahoma"/>
            <family val="2"/>
          </rPr>
          <t>Lucas Scheidler:</t>
        </r>
        <r>
          <rPr>
            <sz val="9"/>
            <color indexed="81"/>
            <rFont val="Tahoma"/>
            <family val="2"/>
          </rPr>
          <t xml:space="preserve">
DEER 2005 central steam boiler with efficiency of 85%</t>
        </r>
      </text>
    </comment>
    <comment ref="AL788" authorId="0">
      <text>
        <r>
          <rPr>
            <b/>
            <sz val="9"/>
            <color indexed="81"/>
            <rFont val="Tahoma"/>
            <family val="2"/>
          </rPr>
          <t>Lucas Scheidler:</t>
        </r>
        <r>
          <rPr>
            <sz val="9"/>
            <color indexed="81"/>
            <rFont val="Tahoma"/>
            <family val="2"/>
          </rPr>
          <t xml:space="preserve">
EMCOR artificial bid for 1000 kBtuh steam boiler - no efficiency specified</t>
        </r>
      </text>
    </comment>
    <comment ref="AM788" authorId="0">
      <text>
        <r>
          <rPr>
            <b/>
            <sz val="9"/>
            <color indexed="81"/>
            <rFont val="Tahoma"/>
            <family val="2"/>
          </rPr>
          <t>Lucas Scheidler:</t>
        </r>
        <r>
          <rPr>
            <sz val="9"/>
            <color indexed="81"/>
            <rFont val="Tahoma"/>
            <family val="2"/>
          </rPr>
          <t xml:space="preserve">
EMCOR artificial bid for 1000 kBtuh steam boiler - no efficiency specified</t>
        </r>
      </text>
    </comment>
    <comment ref="AN788" authorId="0">
      <text>
        <r>
          <rPr>
            <b/>
            <sz val="9"/>
            <color indexed="81"/>
            <rFont val="Tahoma"/>
            <family val="2"/>
          </rPr>
          <t>Lucas Scheidler:</t>
        </r>
        <r>
          <rPr>
            <sz val="9"/>
            <color indexed="81"/>
            <rFont val="Tahoma"/>
            <family val="2"/>
          </rPr>
          <t xml:space="preserve">
RS Means Online for 3000 kBtuh Cast Iron Steam boiler - no efficiency provided</t>
        </r>
      </text>
    </comment>
    <comment ref="AK789" authorId="0">
      <text>
        <r>
          <rPr>
            <b/>
            <sz val="9"/>
            <color indexed="81"/>
            <rFont val="Tahoma"/>
            <family val="2"/>
          </rPr>
          <t>Lucas Scheidler:</t>
        </r>
        <r>
          <rPr>
            <sz val="9"/>
            <color indexed="81"/>
            <rFont val="Tahoma"/>
            <family val="2"/>
          </rPr>
          <t xml:space="preserve">
DEER 2008 3000 kBtuh 80
% combustion efficiency steam boiler
</t>
        </r>
      </text>
    </comment>
    <comment ref="AN789" authorId="0">
      <text>
        <r>
          <rPr>
            <b/>
            <sz val="9"/>
            <color indexed="81"/>
            <rFont val="Tahoma"/>
            <family val="2"/>
          </rPr>
          <t>Lucas Scheidler:</t>
        </r>
        <r>
          <rPr>
            <sz val="9"/>
            <color indexed="81"/>
            <rFont val="Tahoma"/>
            <family val="2"/>
          </rPr>
          <t xml:space="preserve">
RS Means Online for 1084 kBtuh Cast Iron Steam boiler - no efficiency provided</t>
        </r>
      </text>
    </comment>
    <comment ref="AK790" authorId="0">
      <text>
        <r>
          <rPr>
            <b/>
            <sz val="9"/>
            <color indexed="81"/>
            <rFont val="Tahoma"/>
            <family val="2"/>
          </rPr>
          <t>Lucas Scheidler:</t>
        </r>
        <r>
          <rPr>
            <sz val="9"/>
            <color indexed="81"/>
            <rFont val="Tahoma"/>
            <family val="2"/>
          </rPr>
          <t xml:space="preserve">
DEER 2008 3000 kBtuh 85% combustion efficiency steam boiler
</t>
        </r>
      </text>
    </comment>
    <comment ref="AL790" authorId="0">
      <text>
        <r>
          <rPr>
            <b/>
            <sz val="9"/>
            <color indexed="81"/>
            <rFont val="Tahoma"/>
            <family val="2"/>
          </rPr>
          <t>Lucas Scheidler:</t>
        </r>
        <r>
          <rPr>
            <sz val="9"/>
            <color indexed="81"/>
            <rFont val="Tahoma"/>
            <family val="2"/>
          </rPr>
          <t xml:space="preserve">
EMCOR artificial bid for 3000 kBtuh steam boiler - no efficiency specified</t>
        </r>
      </text>
    </comment>
    <comment ref="AM790" authorId="0">
      <text>
        <r>
          <rPr>
            <b/>
            <sz val="9"/>
            <color indexed="81"/>
            <rFont val="Tahoma"/>
            <family val="2"/>
          </rPr>
          <t>Lucas Scheidler:</t>
        </r>
        <r>
          <rPr>
            <sz val="9"/>
            <color indexed="81"/>
            <rFont val="Tahoma"/>
            <family val="2"/>
          </rPr>
          <t xml:space="preserve">
EMCOR artificial bid for 3000 kBtuh steam boiler - no efficiency specified</t>
        </r>
      </text>
    </comment>
    <comment ref="AI791" authorId="0">
      <text>
        <r>
          <rPr>
            <b/>
            <sz val="9"/>
            <color indexed="81"/>
            <rFont val="Tahoma"/>
            <family val="2"/>
          </rPr>
          <t>Lucas Scheidler:
DEER 2001 
Boiler 200 kBtuh 85% AFUE</t>
        </r>
      </text>
    </comment>
    <comment ref="AK791" authorId="0">
      <text>
        <r>
          <rPr>
            <b/>
            <sz val="9"/>
            <color indexed="81"/>
            <rFont val="Tahoma"/>
            <family val="2"/>
          </rPr>
          <t>Lucas Scheidler:</t>
        </r>
        <r>
          <rPr>
            <sz val="9"/>
            <color indexed="81"/>
            <rFont val="Tahoma"/>
            <family val="2"/>
          </rPr>
          <t xml:space="preserve">
DEER 2008 250 kBtuh 75% AFUE atmospheric steam boiler</t>
        </r>
      </text>
    </comment>
    <comment ref="AN791" authorId="0">
      <text>
        <r>
          <rPr>
            <b/>
            <sz val="9"/>
            <color indexed="81"/>
            <rFont val="Tahoma"/>
            <family val="2"/>
          </rPr>
          <t>Lucas Scheidler:</t>
        </r>
        <r>
          <rPr>
            <sz val="9"/>
            <color indexed="81"/>
            <rFont val="Tahoma"/>
            <family val="2"/>
          </rPr>
          <t xml:space="preserve">
RS Means Online for 240 kBtuh Cast Iron Steam boiler - no efficiency provided</t>
        </r>
      </text>
    </comment>
    <comment ref="AK792" authorId="0">
      <text>
        <r>
          <rPr>
            <b/>
            <sz val="9"/>
            <color indexed="81"/>
            <rFont val="Tahoma"/>
            <family val="2"/>
          </rPr>
          <t>Lucas Scheidler:</t>
        </r>
        <r>
          <rPr>
            <sz val="9"/>
            <color indexed="81"/>
            <rFont val="Tahoma"/>
            <family val="2"/>
          </rPr>
          <t xml:space="preserve">
DEER 2008 250 kBtuh 82% AFUE atmospheric steam boiler</t>
        </r>
      </text>
    </comment>
    <comment ref="AL793" authorId="0">
      <text>
        <r>
          <rPr>
            <b/>
            <sz val="9"/>
            <color indexed="81"/>
            <rFont val="Tahoma"/>
            <family val="2"/>
          </rPr>
          <t>Lucas Scheidler:</t>
        </r>
        <r>
          <rPr>
            <sz val="9"/>
            <color indexed="81"/>
            <rFont val="Tahoma"/>
            <family val="2"/>
          </rPr>
          <t xml:space="preserve">
EMCOR artificial bid for 200 kBtuh steam boiler - no efficiency specified</t>
        </r>
      </text>
    </comment>
    <comment ref="AM793" authorId="0">
      <text>
        <r>
          <rPr>
            <b/>
            <sz val="9"/>
            <color indexed="81"/>
            <rFont val="Tahoma"/>
            <family val="2"/>
          </rPr>
          <t>Lucas Scheidler:</t>
        </r>
        <r>
          <rPr>
            <sz val="9"/>
            <color indexed="81"/>
            <rFont val="Tahoma"/>
            <family val="2"/>
          </rPr>
          <t xml:space="preserve">
EMCOR artificial bid for 200 kBtuh steam boiler - no efficiency specified</t>
        </r>
      </text>
    </comment>
    <comment ref="T794" authorId="0">
      <text>
        <r>
          <rPr>
            <b/>
            <sz val="9"/>
            <color indexed="81"/>
            <rFont val="Tahoma"/>
            <family val="2"/>
          </rPr>
          <t>Lucas Scheidler:</t>
        </r>
        <r>
          <rPr>
            <sz val="9"/>
            <color indexed="81"/>
            <rFont val="Tahoma"/>
            <family val="2"/>
          </rPr>
          <t xml:space="preserve">
 contractor markups from EMCOR</t>
        </r>
      </text>
    </comment>
    <comment ref="AJ808" authorId="0">
      <text>
        <r>
          <rPr>
            <b/>
            <sz val="9"/>
            <color indexed="81"/>
            <rFont val="Tahoma"/>
            <family val="2"/>
          </rPr>
          <t>Lucas Scheidler:</t>
        </r>
        <r>
          <rPr>
            <sz val="9"/>
            <color indexed="81"/>
            <rFont val="Tahoma"/>
            <family val="2"/>
          </rPr>
          <t xml:space="preserve">
EMCOR artificial bid 100 ton HX</t>
        </r>
      </text>
    </comment>
    <comment ref="AI810" authorId="0">
      <text>
        <r>
          <rPr>
            <b/>
            <sz val="9"/>
            <color indexed="81"/>
            <rFont val="Tahoma"/>
            <family val="2"/>
          </rPr>
          <t>Lucas Scheidler:</t>
        </r>
        <r>
          <rPr>
            <sz val="9"/>
            <color indexed="81"/>
            <rFont val="Tahoma"/>
            <family val="2"/>
          </rPr>
          <t xml:space="preserve">
DEER 2005 Costs for 267 ton waterside economizer addition. Includes HX, piping, valves, and labor. These costs were not itemized.</t>
        </r>
      </text>
    </comment>
    <comment ref="AJ810" authorId="0">
      <text>
        <r>
          <rPr>
            <b/>
            <sz val="9"/>
            <color indexed="81"/>
            <rFont val="Tahoma"/>
            <family val="2"/>
          </rPr>
          <t>Lucas Scheidler:</t>
        </r>
        <r>
          <rPr>
            <sz val="9"/>
            <color indexed="81"/>
            <rFont val="Tahoma"/>
            <family val="2"/>
          </rPr>
          <t xml:space="preserve">
EMCOR artificial bid 3
00 ton HX</t>
        </r>
      </text>
    </comment>
    <comment ref="AI811" authorId="0">
      <text>
        <r>
          <rPr>
            <b/>
            <sz val="9"/>
            <color indexed="81"/>
            <rFont val="Tahoma"/>
            <family val="2"/>
          </rPr>
          <t>Lucas Scheidler:</t>
        </r>
        <r>
          <rPr>
            <sz val="9"/>
            <color indexed="81"/>
            <rFont val="Tahoma"/>
            <family val="2"/>
          </rPr>
          <t xml:space="preserve">
DEER 2005 Costs for 267 ton waterside economizer addition. Includes HX, piping, valves, and labor. These costs were not itemized.</t>
        </r>
      </text>
    </comment>
    <comment ref="AI813" authorId="0">
      <text>
        <r>
          <rPr>
            <b/>
            <sz val="9"/>
            <color indexed="81"/>
            <rFont val="Tahoma"/>
            <family val="2"/>
          </rPr>
          <t>Lucas Scheidler:</t>
        </r>
        <r>
          <rPr>
            <sz val="9"/>
            <color indexed="81"/>
            <rFont val="Tahoma"/>
            <family val="2"/>
          </rPr>
          <t xml:space="preserve">
DEER 2005 Costs for 267 ton waterside economizer addition. Includes HX, piping, valves, and labor. These costs were not itemized.</t>
        </r>
      </text>
    </comment>
    <comment ref="T816" authorId="0">
      <text>
        <r>
          <rPr>
            <b/>
            <sz val="9"/>
            <color indexed="81"/>
            <rFont val="Tahoma"/>
            <family val="2"/>
          </rPr>
          <t>Lucas Scheidler:</t>
        </r>
        <r>
          <rPr>
            <sz val="9"/>
            <color indexed="81"/>
            <rFont val="Tahoma"/>
            <family val="2"/>
          </rPr>
          <t xml:space="preserve">
placeholder until we get contractor markups from EMCOR</t>
        </r>
      </text>
    </comment>
    <comment ref="AM817" authorId="3">
      <text>
        <r>
          <rPr>
            <b/>
            <sz val="9"/>
            <color indexed="81"/>
            <rFont val="Tahoma"/>
            <family val="2"/>
          </rPr>
          <t>Dawdy, John:</t>
        </r>
        <r>
          <rPr>
            <sz val="9"/>
            <color indexed="81"/>
            <rFont val="Tahoma"/>
            <family val="2"/>
          </rPr>
          <t xml:space="preserve">
www.sears.com</t>
        </r>
      </text>
    </comment>
    <comment ref="AN817" authorId="3">
      <text>
        <r>
          <rPr>
            <b/>
            <sz val="9"/>
            <color indexed="81"/>
            <rFont val="Tahoma"/>
            <family val="2"/>
          </rPr>
          <t xml:space="preserve">Dawdy, John:
</t>
        </r>
        <r>
          <rPr>
            <sz val="9"/>
            <color indexed="81"/>
            <rFont val="Tahoma"/>
            <family val="2"/>
          </rPr>
          <t>www.wallingtonplumbingsupply.com</t>
        </r>
      </text>
    </comment>
    <comment ref="AO817" authorId="3">
      <text>
        <r>
          <rPr>
            <b/>
            <sz val="9"/>
            <color indexed="81"/>
            <rFont val="Tahoma"/>
            <family val="2"/>
          </rPr>
          <t>Dawdy, John:</t>
        </r>
        <r>
          <rPr>
            <sz val="9"/>
            <color indexed="81"/>
            <rFont val="Tahoma"/>
            <family val="2"/>
          </rPr>
          <t xml:space="preserve">
www.jupiterheating.com</t>
        </r>
      </text>
    </comment>
    <comment ref="AP817" authorId="3">
      <text>
        <r>
          <rPr>
            <b/>
            <sz val="9"/>
            <color indexed="81"/>
            <rFont val="Tahoma"/>
            <family val="2"/>
          </rPr>
          <t>Dawdy, John:</t>
        </r>
        <r>
          <rPr>
            <sz val="9"/>
            <color indexed="81"/>
            <rFont val="Tahoma"/>
            <family val="2"/>
          </rPr>
          <t xml:space="preserve">
www.ronshomeandhardware.com</t>
        </r>
      </text>
    </comment>
    <comment ref="AQ817" authorId="3">
      <text>
        <r>
          <rPr>
            <b/>
            <sz val="9"/>
            <color indexed="81"/>
            <rFont val="Tahoma"/>
            <family val="2"/>
          </rPr>
          <t>Dawdy, John:</t>
        </r>
        <r>
          <rPr>
            <sz val="9"/>
            <color indexed="81"/>
            <rFont val="Tahoma"/>
            <family val="2"/>
          </rPr>
          <t xml:space="preserve">
www.plumbersurplus.com</t>
        </r>
      </text>
    </comment>
    <comment ref="AR817" authorId="3">
      <text>
        <r>
          <rPr>
            <b/>
            <sz val="9"/>
            <color indexed="81"/>
            <rFont val="Tahoma"/>
            <family val="2"/>
          </rPr>
          <t xml:space="preserve">Dawdy, John:
</t>
        </r>
        <r>
          <rPr>
            <sz val="9"/>
            <color indexed="81"/>
            <rFont val="Tahoma"/>
            <family val="2"/>
          </rPr>
          <t>www.menards.com</t>
        </r>
      </text>
    </comment>
    <comment ref="AS817" authorId="0">
      <text>
        <r>
          <rPr>
            <b/>
            <sz val="9"/>
            <color indexed="81"/>
            <rFont val="Tahoma"/>
            <family val="2"/>
          </rPr>
          <t>Lucas Scheidler:</t>
        </r>
        <r>
          <rPr>
            <sz val="9"/>
            <color indexed="81"/>
            <rFont val="Tahoma"/>
            <family val="2"/>
          </rPr>
          <t xml:space="preserve">
RSMeans Online item 223430</t>
        </r>
      </text>
    </comment>
    <comment ref="Y818" authorId="0">
      <text>
        <r>
          <rPr>
            <b/>
            <sz val="9"/>
            <color indexed="81"/>
            <rFont val="Tahoma"/>
            <family val="2"/>
          </rPr>
          <t>Lucas Scheidler:</t>
        </r>
        <r>
          <rPr>
            <sz val="9"/>
            <color indexed="81"/>
            <rFont val="Tahoma"/>
            <family val="2"/>
          </rPr>
          <t xml:space="preserve">
For all measures, Baseline units modeled as atmospheric draft. Measure units modeled with the rolled up forced draft coefficient.</t>
        </r>
      </text>
    </comment>
    <comment ref="AD818" authorId="4">
      <text>
        <r>
          <rPr>
            <b/>
            <sz val="9"/>
            <color indexed="81"/>
            <rFont val="Tahoma"/>
            <family val="2"/>
          </rPr>
          <t>Jeremy Eddy:</t>
        </r>
        <r>
          <rPr>
            <sz val="9"/>
            <color indexed="81"/>
            <rFont val="Tahoma"/>
            <family val="2"/>
          </rPr>
          <t xml:space="preserve">
Descriptive stats are of the percentage difference between the two costs (Modeled-Actual / Actual)</t>
        </r>
      </text>
    </comment>
    <comment ref="AI818" authorId="3">
      <text>
        <r>
          <rPr>
            <b/>
            <sz val="9"/>
            <color indexed="81"/>
            <rFont val="Tahoma"/>
            <family val="2"/>
          </rPr>
          <t>Dawdy, John:</t>
        </r>
        <r>
          <rPr>
            <sz val="9"/>
            <color indexed="81"/>
            <rFont val="Tahoma"/>
            <family val="2"/>
          </rPr>
          <t xml:space="preserve">
http://www.pexsupply.com/AO-Smith-GCVL-40-40-Gallon-ProMax-6-Yr-Warranty-Residential-Gas-Water-Heater-Short-Model</t>
        </r>
      </text>
    </comment>
    <comment ref="AJ818" authorId="3">
      <text>
        <r>
          <rPr>
            <b/>
            <sz val="9"/>
            <color indexed="81"/>
            <rFont val="Tahoma"/>
            <family val="2"/>
          </rPr>
          <t>Dawdy, John:</t>
        </r>
        <r>
          <rPr>
            <sz val="9"/>
            <color indexed="81"/>
            <rFont val="Tahoma"/>
            <family val="2"/>
          </rPr>
          <t xml:space="preserve">
http://www.lowes.com/pd_333578-135-NU40T61-403_0__?productId=3284918&amp;Ntt=gas+water+heater&amp;pl=1&amp;currentURL=%3FNtt%3Dgas%2Bwater%2Bheater&amp;facetInfo=</t>
        </r>
      </text>
    </comment>
    <comment ref="AK818" authorId="3">
      <text>
        <r>
          <rPr>
            <b/>
            <sz val="9"/>
            <color indexed="81"/>
            <rFont val="Tahoma"/>
            <family val="2"/>
          </rPr>
          <t>Dawdy, John:</t>
        </r>
        <r>
          <rPr>
            <sz val="9"/>
            <color indexed="81"/>
            <rFont val="Tahoma"/>
            <family val="2"/>
          </rPr>
          <t xml:space="preserve">
http://www.ventingdirect.com/rheem-22v40f1-40-gallon-tall-natural-gas-residential-water-heater-38000-max-btu-input/p2143047</t>
        </r>
      </text>
    </comment>
    <comment ref="AL818" authorId="3">
      <text>
        <r>
          <rPr>
            <b/>
            <sz val="9"/>
            <color indexed="81"/>
            <rFont val="Tahoma"/>
            <family val="2"/>
          </rPr>
          <t>Dawdy, John:</t>
        </r>
        <r>
          <rPr>
            <sz val="9"/>
            <color indexed="81"/>
            <rFont val="Tahoma"/>
            <family val="2"/>
          </rPr>
          <t xml:space="preserve">
http://www.homedepot.com/p/GE-40-Gal-Tall-6-Year-36-000-BTU-Natural-Gas-Water-Heater-GG40T06AVG01/100013742</t>
        </r>
      </text>
    </comment>
    <comment ref="AI819" authorId="3">
      <text>
        <r>
          <rPr>
            <b/>
            <sz val="9"/>
            <color indexed="81"/>
            <rFont val="Tahoma"/>
            <family val="2"/>
          </rPr>
          <t>Dawdy, John:</t>
        </r>
        <r>
          <rPr>
            <sz val="9"/>
            <color indexed="81"/>
            <rFont val="Tahoma"/>
            <family val="2"/>
          </rPr>
          <t xml:space="preserve">
http://www.pexsupply.com/AO-Smith-GVR-40-40-Gallon-40000-BTU-ProMax-Plus-High-Efficiency-Residential-Gas-Water-Heater-Tall-Model-Nat-Gas</t>
        </r>
      </text>
    </comment>
    <comment ref="AJ819" authorId="3">
      <text>
        <r>
          <rPr>
            <b/>
            <sz val="9"/>
            <color indexed="81"/>
            <rFont val="Tahoma"/>
            <family val="2"/>
          </rPr>
          <t>Dawdy, John:</t>
        </r>
        <r>
          <rPr>
            <sz val="9"/>
            <color indexed="81"/>
            <rFont val="Tahoma"/>
            <family val="2"/>
          </rPr>
          <t xml:space="preserve">
http://www.lowes.com/pd_333591-135-NU40T62-403_0__?productId=3284924&amp;Ntt=gas+water+heater&amp;pl=1&amp;currentURL=%3FNtt%3Dgas%2Bwater%2Bheater&amp;facetInfo=</t>
        </r>
      </text>
    </comment>
    <comment ref="AK819" authorId="3">
      <text>
        <r>
          <rPr>
            <b/>
            <sz val="9"/>
            <color indexed="81"/>
            <rFont val="Tahoma"/>
            <family val="2"/>
          </rPr>
          <t>Dawdy, John:</t>
        </r>
        <r>
          <rPr>
            <sz val="9"/>
            <color indexed="81"/>
            <rFont val="Tahoma"/>
            <family val="2"/>
          </rPr>
          <t xml:space="preserve">
http://www.ventingdirect.com/rheem-rhgpro40-40f-professional-40-gallon-tall-natural-gas-residential-water-heater-40000-max-btu-input/p2143123</t>
        </r>
      </text>
    </comment>
    <comment ref="AL819" authorId="3">
      <text>
        <r>
          <rPr>
            <b/>
            <sz val="9"/>
            <color indexed="81"/>
            <rFont val="Tahoma"/>
            <family val="2"/>
          </rPr>
          <t>Dawdy, John:</t>
        </r>
        <r>
          <rPr>
            <sz val="9"/>
            <color indexed="81"/>
            <rFont val="Tahoma"/>
            <family val="2"/>
          </rPr>
          <t xml:space="preserve">
http://www.homedepot.com/p/GE-40-Gal-Tall-6-Year-38-000-BTU-Natural-Gas-High-Efficiency-Ultra-Low-NOx-Water-Heater-GG40T06TXK00/100614634</t>
        </r>
      </text>
    </comment>
    <comment ref="AI820" authorId="3">
      <text>
        <r>
          <rPr>
            <b/>
            <sz val="9"/>
            <color indexed="81"/>
            <rFont val="Tahoma"/>
            <family val="2"/>
          </rPr>
          <t>Dawdy, John:</t>
        </r>
        <r>
          <rPr>
            <sz val="9"/>
            <color indexed="81"/>
            <rFont val="Tahoma"/>
            <family val="2"/>
          </rPr>
          <t xml:space="preserve">
http://www.pexsupply.com/AO-Smith-GCFL-40-40-Gallon-40000-BTU-Series-100-High-Efficiency-Residential-Water-Heater-Short-Model-Nat-Gas</t>
        </r>
      </text>
    </comment>
    <comment ref="AJ820" authorId="3">
      <text>
        <r>
          <rPr>
            <b/>
            <sz val="9"/>
            <color indexed="81"/>
            <rFont val="Tahoma"/>
            <family val="2"/>
          </rPr>
          <t>Dawdy, John:</t>
        </r>
        <r>
          <rPr>
            <sz val="9"/>
            <color indexed="81"/>
            <rFont val="Tahoma"/>
            <family val="2"/>
          </rPr>
          <t xml:space="preserve">
http://www.lowes.com/pd_89263-135-PDVG62-40T42-PV_0__?productId=3046938&amp;Ntt=gas+water+heater&amp;pl=1&amp;currentURL=%3FNtt%3Dgas%2Bwater%2Bheater&amp;facetInfo=</t>
        </r>
      </text>
    </comment>
    <comment ref="AK820" authorId="3">
      <text>
        <r>
          <rPr>
            <b/>
            <sz val="9"/>
            <color indexed="81"/>
            <rFont val="Tahoma"/>
            <family val="2"/>
          </rPr>
          <t>Dawdy, John:</t>
        </r>
        <r>
          <rPr>
            <sz val="9"/>
            <color indexed="81"/>
            <rFont val="Tahoma"/>
            <family val="2"/>
          </rPr>
          <t xml:space="preserve">
http://www.ventingdirect.com/rheem-pdv40ng-power-direct-vent-40-gallon-tall-natural-gas-residential-water-heater-40000-max-btu-input/p2143110</t>
        </r>
      </text>
    </comment>
    <comment ref="AP820" authorId="3">
      <text>
        <r>
          <rPr>
            <b/>
            <sz val="9"/>
            <color indexed="81"/>
            <rFont val="Tahoma"/>
            <family val="2"/>
          </rPr>
          <t>Dawdy, John:</t>
        </r>
        <r>
          <rPr>
            <sz val="9"/>
            <color indexed="81"/>
            <rFont val="Tahoma"/>
            <family val="2"/>
          </rPr>
          <t xml:space="preserve">
http://www.ronshomeandhardware.com/Reliance-6-40-GBFT-40GAL-NATGas-WTR-Heater-p/138302.htm</t>
        </r>
      </text>
    </comment>
    <comment ref="AI821" authorId="3">
      <text>
        <r>
          <rPr>
            <b/>
            <sz val="9"/>
            <color indexed="81"/>
            <rFont val="Tahoma"/>
            <family val="2"/>
          </rPr>
          <t>Dawdy, John:</t>
        </r>
        <r>
          <rPr>
            <sz val="9"/>
            <color indexed="81"/>
            <rFont val="Tahoma"/>
            <family val="2"/>
          </rPr>
          <t xml:space="preserve">
http://www.pexsupply.com/AO-Smith-GAHH-40-40-Gallon-40000-BTU-Effex-High-Efficiency-Residential-Gas-Water-Heater</t>
        </r>
      </text>
    </comment>
    <comment ref="AM821" authorId="3">
      <text>
        <r>
          <rPr>
            <b/>
            <sz val="9"/>
            <color indexed="81"/>
            <rFont val="Tahoma"/>
            <family val="2"/>
          </rPr>
          <t>Dawdy, John:</t>
        </r>
        <r>
          <rPr>
            <sz val="9"/>
            <color indexed="81"/>
            <rFont val="Tahoma"/>
            <family val="2"/>
          </rPr>
          <t xml:space="preserve">
http://www.sears.com/kenmore-elite-40-gal-12-year-natural-gas/p-04233262000P?prdNo=9</t>
        </r>
      </text>
    </comment>
    <comment ref="AO821" authorId="3">
      <text>
        <r>
          <rPr>
            <b/>
            <sz val="9"/>
            <color indexed="81"/>
            <rFont val="Tahoma"/>
            <family val="2"/>
          </rPr>
          <t>Dawdy, John:</t>
        </r>
        <r>
          <rPr>
            <sz val="9"/>
            <color indexed="81"/>
            <rFont val="Tahoma"/>
            <family val="2"/>
          </rPr>
          <t xml:space="preserve">
http://www.jupiterheating.com/a-o-smith/gahh-effex.html</t>
        </r>
      </text>
    </comment>
    <comment ref="Q822" authorId="0">
      <text>
        <r>
          <rPr>
            <b/>
            <sz val="9"/>
            <color indexed="81"/>
            <rFont val="Tahoma"/>
            <family val="2"/>
          </rPr>
          <t>Lucas Scheidler:</t>
        </r>
        <r>
          <rPr>
            <sz val="9"/>
            <color indexed="81"/>
            <rFont val="Tahoma"/>
            <family val="2"/>
          </rPr>
          <t xml:space="preserve">
These weights are from 2006 - 2012 CLASS. Weights are the following: AO Smith 10.79%, Bradford White 16.75%, Rheem 10.97% and State 3.77%. No weights were applied, as none of the brands in the model had a significant coefficient.</t>
        </r>
      </text>
    </comment>
    <comment ref="AI822" authorId="3">
      <text>
        <r>
          <rPr>
            <b/>
            <sz val="9"/>
            <color indexed="81"/>
            <rFont val="Tahoma"/>
            <family val="2"/>
          </rPr>
          <t>Dawdy, John:</t>
        </r>
        <r>
          <rPr>
            <sz val="9"/>
            <color indexed="81"/>
            <rFont val="Tahoma"/>
            <family val="2"/>
          </rPr>
          <t xml:space="preserve">
http://www.pexsupply.com/Bradford-White-M-I-60T6FBN-60-Gallon-40000-BTU-Defender-Safety-System-Atmospheric-Vent-Energy-Saver-Residential-Water-Heater-Nat-Gas</t>
        </r>
      </text>
    </comment>
    <comment ref="AK822" authorId="3">
      <text>
        <r>
          <rPr>
            <b/>
            <sz val="9"/>
            <color indexed="81"/>
            <rFont val="Tahoma"/>
            <family val="2"/>
          </rPr>
          <t>Dawdy, John:</t>
        </r>
        <r>
          <rPr>
            <sz val="9"/>
            <color indexed="81"/>
            <rFont val="Tahoma"/>
            <family val="2"/>
          </rPr>
          <t xml:space="preserve">
http://www.ventingdirect.com/rheem-42v60f-60-gallon-tall-natural-gas-residential-water-heater-50000-max-btu-input/p2143063</t>
        </r>
      </text>
    </comment>
    <comment ref="AL822" authorId="3">
      <text>
        <r>
          <rPr>
            <b/>
            <sz val="9"/>
            <color indexed="81"/>
            <rFont val="Tahoma"/>
            <family val="2"/>
          </rPr>
          <t>Dawdy, John:</t>
        </r>
        <r>
          <rPr>
            <sz val="9"/>
            <color indexed="81"/>
            <rFont val="Tahoma"/>
            <family val="2"/>
          </rPr>
          <t xml:space="preserve">
http://www.homedepot.com/p/GE-60-Gal-Tall-12-Year-45-000-BTU-Natural-Gas-Ultra-Low-NOx-Water-Heater-SG60T12YXS10/202020646#specifications</t>
        </r>
      </text>
    </comment>
    <comment ref="AN822" authorId="3">
      <text>
        <r>
          <rPr>
            <b/>
            <sz val="9"/>
            <color indexed="81"/>
            <rFont val="Tahoma"/>
            <family val="2"/>
          </rPr>
          <t>Dawdy, John:</t>
        </r>
        <r>
          <rPr>
            <sz val="9"/>
            <color indexed="81"/>
            <rFont val="Tahoma"/>
            <family val="2"/>
          </rPr>
          <t xml:space="preserve">
http://www.wallingtonplumbingsupply.com/index.jsp?path=product&amp;part=663951&amp;ds=dept&amp;process=search&amp;qdx=0&amp;text=Rheem</t>
        </r>
      </text>
    </comment>
    <comment ref="AK823" authorId="3">
      <text>
        <r>
          <rPr>
            <b/>
            <sz val="9"/>
            <color indexed="81"/>
            <rFont val="Tahoma"/>
            <family val="2"/>
          </rPr>
          <t>Dawdy, John:</t>
        </r>
        <r>
          <rPr>
            <sz val="9"/>
            <color indexed="81"/>
            <rFont val="Tahoma"/>
            <family val="2"/>
          </rPr>
          <t xml:space="preserve">
http://www.ventingdirect.com/rheem-rhgpro75f-75-gallon-tall-natural-gas-residential-heavy-duty-water-heater-75100-max-btu-input/p2143131</t>
        </r>
      </text>
    </comment>
    <comment ref="AP823" authorId="3">
      <text>
        <r>
          <rPr>
            <b/>
            <sz val="9"/>
            <color indexed="81"/>
            <rFont val="Tahoma"/>
            <family val="2"/>
          </rPr>
          <t>Dawdy, John:</t>
        </r>
        <r>
          <rPr>
            <sz val="9"/>
            <color indexed="81"/>
            <rFont val="Tahoma"/>
            <family val="2"/>
          </rPr>
          <t xml:space="preserve">
http://www.ronshomeandhardware.com/6-75-XRRS-75GAL-Natural-GasWater-Heater-p/747124.htm</t>
        </r>
      </text>
    </comment>
    <comment ref="AQ823" authorId="3">
      <text>
        <r>
          <rPr>
            <b/>
            <sz val="9"/>
            <color indexed="81"/>
            <rFont val="Tahoma"/>
            <family val="2"/>
          </rPr>
          <t>Dawdy, John:</t>
        </r>
        <r>
          <rPr>
            <sz val="9"/>
            <color indexed="81"/>
            <rFont val="Tahoma"/>
            <family val="2"/>
          </rPr>
          <t xml:space="preserve">
http://www.plumbersurplus.com/Prod/Reliance-6-75-XRRS-75-Gallon-Gas-Water-Heater/168648/Cat/771</t>
        </r>
      </text>
    </comment>
    <comment ref="AR823" authorId="3">
      <text>
        <r>
          <rPr>
            <b/>
            <sz val="9"/>
            <color indexed="81"/>
            <rFont val="Tahoma"/>
            <family val="2"/>
          </rPr>
          <t>Dawdy, John:</t>
        </r>
        <r>
          <rPr>
            <sz val="9"/>
            <color indexed="81"/>
            <rFont val="Tahoma"/>
            <family val="2"/>
          </rPr>
          <t xml:space="preserve">
http://www.menards.com/main/plumbing/water-heaters/residential-water-heaters/richmond-75-gal-lp-gas-6-year-tall-heavy-duty-water-heater/p-1494283-c-8690.htm</t>
        </r>
      </text>
    </comment>
    <comment ref="AI838" authorId="0">
      <text>
        <r>
          <rPr>
            <b/>
            <sz val="9"/>
            <color indexed="81"/>
            <rFont val="Tahoma"/>
            <family val="2"/>
          </rPr>
          <t>Lucas Scheidler:</t>
        </r>
        <r>
          <rPr>
            <sz val="9"/>
            <color indexed="81"/>
            <rFont val="Tahoma"/>
            <family val="2"/>
          </rPr>
          <t xml:space="preserve">
www.homedepot.com</t>
        </r>
      </text>
    </comment>
    <comment ref="AJ838" authorId="0">
      <text>
        <r>
          <rPr>
            <b/>
            <sz val="9"/>
            <color indexed="81"/>
            <rFont val="Tahoma"/>
            <family val="2"/>
          </rPr>
          <t>Lucas Scheidler:</t>
        </r>
        <r>
          <rPr>
            <sz val="9"/>
            <color indexed="81"/>
            <rFont val="Tahoma"/>
            <family val="2"/>
          </rPr>
          <t xml:space="preserve">
www.lowes.com</t>
        </r>
      </text>
    </comment>
    <comment ref="AK838" authorId="0">
      <text>
        <r>
          <rPr>
            <b/>
            <sz val="9"/>
            <color indexed="81"/>
            <rFont val="Tahoma"/>
            <family val="2"/>
          </rPr>
          <t>Lucas Scheidler:</t>
        </r>
        <r>
          <rPr>
            <sz val="9"/>
            <color indexed="81"/>
            <rFont val="Tahoma"/>
            <family val="2"/>
          </rPr>
          <t xml:space="preserve">
www.build.com</t>
        </r>
      </text>
    </comment>
    <comment ref="AL838" authorId="0">
      <text>
        <r>
          <rPr>
            <b/>
            <sz val="9"/>
            <color indexed="81"/>
            <rFont val="Tahoma"/>
            <family val="2"/>
          </rPr>
          <t>Lucas Scheidler:</t>
        </r>
        <r>
          <rPr>
            <sz val="9"/>
            <color indexed="81"/>
            <rFont val="Tahoma"/>
            <family val="2"/>
          </rPr>
          <t xml:space="preserve">
www.buyplumbingsupply.com</t>
        </r>
      </text>
    </comment>
    <comment ref="AM838" authorId="0">
      <text>
        <r>
          <rPr>
            <b/>
            <sz val="9"/>
            <color indexed="81"/>
            <rFont val="Tahoma"/>
            <family val="2"/>
          </rPr>
          <t>Lucas Scheidler:</t>
        </r>
        <r>
          <rPr>
            <sz val="9"/>
            <color indexed="81"/>
            <rFont val="Tahoma"/>
            <family val="2"/>
          </rPr>
          <t xml:space="preserve">
www.globalindustrial.com</t>
        </r>
      </text>
    </comment>
    <comment ref="AN838" authorId="0">
      <text>
        <r>
          <rPr>
            <b/>
            <sz val="9"/>
            <color indexed="81"/>
            <rFont val="Tahoma"/>
            <family val="2"/>
          </rPr>
          <t>Lucas Scheidler:</t>
        </r>
        <r>
          <rPr>
            <sz val="9"/>
            <color indexed="81"/>
            <rFont val="Tahoma"/>
            <family val="2"/>
          </rPr>
          <t xml:space="preserve">
www.pexsupply.com</t>
        </r>
      </text>
    </comment>
    <comment ref="AO838" authorId="0">
      <text>
        <r>
          <rPr>
            <b/>
            <sz val="9"/>
            <color indexed="81"/>
            <rFont val="Tahoma"/>
            <family val="2"/>
          </rPr>
          <t>Lucas Scheidler:</t>
        </r>
        <r>
          <rPr>
            <sz val="9"/>
            <color indexed="81"/>
            <rFont val="Tahoma"/>
            <family val="2"/>
          </rPr>
          <t xml:space="preserve">
www.plumbersurplus.com</t>
        </r>
      </text>
    </comment>
    <comment ref="AP838" authorId="0">
      <text>
        <r>
          <rPr>
            <b/>
            <sz val="9"/>
            <color indexed="81"/>
            <rFont val="Tahoma"/>
            <family val="2"/>
          </rPr>
          <t>Lucas Scheidler:</t>
        </r>
        <r>
          <rPr>
            <sz val="9"/>
            <color indexed="81"/>
            <rFont val="Tahoma"/>
            <family val="2"/>
          </rPr>
          <t xml:space="preserve">
www.tools2parts.com</t>
        </r>
      </text>
    </comment>
    <comment ref="AQ838" authorId="0">
      <text>
        <r>
          <rPr>
            <b/>
            <sz val="9"/>
            <color indexed="81"/>
            <rFont val="Tahoma"/>
            <family val="2"/>
          </rPr>
          <t>Lucas Scheidler:</t>
        </r>
        <r>
          <rPr>
            <sz val="9"/>
            <color indexed="81"/>
            <rFont val="Tahoma"/>
            <family val="2"/>
          </rPr>
          <t xml:space="preserve">
www.firstelectric.coop</t>
        </r>
      </text>
    </comment>
    <comment ref="AR838" authorId="0">
      <text>
        <r>
          <rPr>
            <b/>
            <sz val="9"/>
            <color indexed="81"/>
            <rFont val="Tahoma"/>
            <family val="2"/>
          </rPr>
          <t>Lucas Scheidler:</t>
        </r>
        <r>
          <rPr>
            <sz val="9"/>
            <color indexed="81"/>
            <rFont val="Tahoma"/>
            <family val="2"/>
          </rPr>
          <t xml:space="preserve">
www.gpconservation.com</t>
        </r>
      </text>
    </comment>
    <comment ref="AS838" authorId="0">
      <text>
        <r>
          <rPr>
            <b/>
            <sz val="9"/>
            <color indexed="81"/>
            <rFont val="Tahoma"/>
            <family val="2"/>
          </rPr>
          <t>Lucas Scheidler:</t>
        </r>
        <r>
          <rPr>
            <sz val="9"/>
            <color indexed="81"/>
            <rFont val="Tahoma"/>
            <family val="2"/>
          </rPr>
          <t xml:space="preserve">
www.ctec.coop</t>
        </r>
      </text>
    </comment>
    <comment ref="AT838" authorId="0">
      <text>
        <r>
          <rPr>
            <b/>
            <sz val="9"/>
            <color indexed="81"/>
            <rFont val="Tahoma"/>
            <family val="2"/>
          </rPr>
          <t>Lucas Scheidler:</t>
        </r>
        <r>
          <rPr>
            <sz val="9"/>
            <color indexed="81"/>
            <rFont val="Tahoma"/>
            <family val="2"/>
          </rPr>
          <t xml:space="preserve">
www.sbec.org</t>
        </r>
      </text>
    </comment>
    <comment ref="AU838" authorId="0">
      <text>
        <r>
          <rPr>
            <b/>
            <sz val="9"/>
            <color indexed="81"/>
            <rFont val="Tahoma"/>
            <family val="2"/>
          </rPr>
          <t>Lucas Scheidler:</t>
        </r>
        <r>
          <rPr>
            <sz val="9"/>
            <color indexed="81"/>
            <rFont val="Tahoma"/>
            <family val="2"/>
          </rPr>
          <t xml:space="preserve">
www.wayfair.com</t>
        </r>
      </text>
    </comment>
    <comment ref="K839" authorId="0">
      <text>
        <r>
          <rPr>
            <b/>
            <sz val="9"/>
            <color indexed="81"/>
            <rFont val="Tahoma"/>
            <family val="2"/>
          </rPr>
          <t>Lucas Scheidler:</t>
        </r>
        <r>
          <rPr>
            <sz val="9"/>
            <color indexed="81"/>
            <rFont val="Tahoma"/>
            <family val="2"/>
          </rPr>
          <t xml:space="preserve">
DEER 2013 update</t>
        </r>
      </text>
    </comment>
    <comment ref="X839" authorId="0">
      <text>
        <r>
          <rPr>
            <b/>
            <sz val="9"/>
            <color indexed="81"/>
            <rFont val="Tahoma"/>
            <family val="2"/>
          </rPr>
          <t>Lucas Scheidler:</t>
        </r>
        <r>
          <rPr>
            <sz val="9"/>
            <color indexed="81"/>
            <rFont val="Tahoma"/>
            <family val="2"/>
          </rPr>
          <t xml:space="preserve">
Baseline Efs adjusted according to DEER 2013 update</t>
        </r>
      </text>
    </comment>
    <comment ref="AD839" authorId="4">
      <text>
        <r>
          <rPr>
            <b/>
            <sz val="9"/>
            <color indexed="81"/>
            <rFont val="Tahoma"/>
            <family val="2"/>
          </rPr>
          <t>Jeremy Eddy:</t>
        </r>
        <r>
          <rPr>
            <sz val="9"/>
            <color indexed="81"/>
            <rFont val="Tahoma"/>
            <family val="2"/>
          </rPr>
          <t xml:space="preserve">
Descriptive stats are of the percentage difference between the two costs (Modeled-Actual / Actual)</t>
        </r>
      </text>
    </comment>
    <comment ref="Q841" authorId="0">
      <text>
        <r>
          <rPr>
            <b/>
            <sz val="9"/>
            <color indexed="81"/>
            <rFont val="Tahoma"/>
            <family val="2"/>
          </rPr>
          <t>Lucas Scheidler:</t>
        </r>
        <r>
          <rPr>
            <sz val="9"/>
            <color indexed="81"/>
            <rFont val="Tahoma"/>
            <family val="2"/>
          </rPr>
          <t xml:space="preserve">
These weights are from 2006 - 2012 CLASS. Weights are the following: AO Smith 7.19%, Bradford White 16.49%, Rheem 7.71% and State 7.68%. Only the weight for Rheem is applied, as it is the only brand with a significant coefficient.</t>
        </r>
      </text>
    </comment>
    <comment ref="AD850" authorId="4">
      <text>
        <r>
          <rPr>
            <b/>
            <sz val="9"/>
            <color indexed="81"/>
            <rFont val="Tahoma"/>
            <family val="2"/>
          </rPr>
          <t>Jeremy Eddy:</t>
        </r>
        <r>
          <rPr>
            <sz val="9"/>
            <color indexed="81"/>
            <rFont val="Tahoma"/>
            <family val="2"/>
          </rPr>
          <t xml:space="preserve">
Descriptive stats are of the percentage difference between the two costs (Modeled-Actual / Actual)</t>
        </r>
      </text>
    </comment>
    <comment ref="AI850" authorId="2">
      <text>
        <r>
          <rPr>
            <sz val="9"/>
            <color indexed="81"/>
            <rFont val="Tahoma"/>
            <family val="2"/>
          </rPr>
          <t xml:space="preserve">http://www.tanklessking.com
</t>
        </r>
      </text>
    </comment>
    <comment ref="AM850" authorId="2">
      <text>
        <r>
          <rPr>
            <b/>
            <sz val="9"/>
            <color indexed="81"/>
            <rFont val="Tahoma"/>
            <family val="2"/>
          </rPr>
          <t>Phillip Kelsven:</t>
        </r>
        <r>
          <rPr>
            <sz val="9"/>
            <color indexed="81"/>
            <rFont val="Tahoma"/>
            <family val="2"/>
          </rPr>
          <t xml:space="preserve">
http://www.ecodirect.com
</t>
        </r>
      </text>
    </comment>
    <comment ref="AN850" authorId="2">
      <text>
        <r>
          <rPr>
            <b/>
            <sz val="9"/>
            <color indexed="81"/>
            <rFont val="Tahoma"/>
            <family val="2"/>
          </rPr>
          <t>Phillip Kelsven:</t>
        </r>
        <r>
          <rPr>
            <sz val="9"/>
            <color indexed="81"/>
            <rFont val="Tahoma"/>
            <family val="2"/>
          </rPr>
          <t xml:space="preserve">
https://www.acwholesalers.com
</t>
        </r>
      </text>
    </comment>
    <comment ref="AR850" authorId="2">
      <text>
        <r>
          <rPr>
            <b/>
            <sz val="9"/>
            <color indexed="81"/>
            <rFont val="Tahoma"/>
            <family val="2"/>
          </rPr>
          <t>Phillip Kelsven:</t>
        </r>
        <r>
          <rPr>
            <sz val="9"/>
            <color indexed="81"/>
            <rFont val="Tahoma"/>
            <family val="2"/>
          </rPr>
          <t xml:space="preserve">
http://www.westsidewholesale.com</t>
        </r>
      </text>
    </comment>
    <comment ref="X851" authorId="0">
      <text>
        <r>
          <rPr>
            <b/>
            <sz val="9"/>
            <color indexed="81"/>
            <rFont val="Tahoma"/>
            <family val="2"/>
          </rPr>
          <t>Lucas Scheidler:</t>
        </r>
        <r>
          <rPr>
            <sz val="9"/>
            <color indexed="81"/>
            <rFont val="Tahoma"/>
            <family val="2"/>
          </rPr>
          <t xml:space="preserve">
Assume TE is approximately equal to EF for instantaneous heaters due to no standby losses. AHRI database confirms that recovery efficiency is equal to EF for most units.</t>
        </r>
      </text>
    </comment>
    <comment ref="AJ851" authorId="2">
      <text>
        <r>
          <rPr>
            <b/>
            <sz val="9"/>
            <color indexed="81"/>
            <rFont val="Tahoma"/>
            <family val="2"/>
          </rPr>
          <t>Phillip Kelsven:</t>
        </r>
        <r>
          <rPr>
            <sz val="9"/>
            <color indexed="81"/>
            <rFont val="Tahoma"/>
            <family val="2"/>
          </rPr>
          <t xml:space="preserve">
http://www.amazon.com</t>
        </r>
      </text>
    </comment>
    <comment ref="AK851" authorId="2">
      <text>
        <r>
          <rPr>
            <b/>
            <sz val="9"/>
            <color indexed="81"/>
            <rFont val="Tahoma"/>
            <family val="2"/>
          </rPr>
          <t>Phillip Kelsven:</t>
        </r>
        <r>
          <rPr>
            <sz val="9"/>
            <color indexed="81"/>
            <rFont val="Tahoma"/>
            <family val="2"/>
          </rPr>
          <t xml:space="preserve">
http://www.pexsupply.com</t>
        </r>
      </text>
    </comment>
    <comment ref="AT851" authorId="2">
      <text>
        <r>
          <rPr>
            <b/>
            <sz val="9"/>
            <color indexed="81"/>
            <rFont val="Tahoma"/>
            <family val="2"/>
          </rPr>
          <t>Phillip Kelsven:</t>
        </r>
        <r>
          <rPr>
            <sz val="9"/>
            <color indexed="81"/>
            <rFont val="Tahoma"/>
            <family val="2"/>
          </rPr>
          <t xml:space="preserve">
http://www.buyzillion.com/1117179175620356/takagi-t-h2s-osng-8-0-gpm-outdoor-condensing-tankless-water-heater
</t>
        </r>
      </text>
    </comment>
    <comment ref="AO852" authorId="2">
      <text>
        <r>
          <rPr>
            <b/>
            <sz val="9"/>
            <color indexed="81"/>
            <rFont val="Tahoma"/>
            <family val="2"/>
          </rPr>
          <t>Phillip Kelsven:</t>
        </r>
        <r>
          <rPr>
            <sz val="9"/>
            <color indexed="81"/>
            <rFont val="Tahoma"/>
            <family val="2"/>
          </rPr>
          <t xml:space="preserve">
http://www.faucetdepot.com/prod/Noritz-NRC98-OD-NG-Outdoor-9.8-Gpm-Natural-Gas-Condensing-Tankless-Water-Heater-141451.asp
</t>
        </r>
      </text>
    </comment>
    <comment ref="AP852" authorId="2">
      <text>
        <r>
          <rPr>
            <b/>
            <sz val="9"/>
            <color indexed="81"/>
            <rFont val="Tahoma"/>
            <family val="2"/>
          </rPr>
          <t>Phillip Kelsven:</t>
        </r>
        <r>
          <rPr>
            <sz val="9"/>
            <color indexed="81"/>
            <rFont val="Tahoma"/>
            <family val="2"/>
          </rPr>
          <t xml:space="preserve">
http://www.pricegrabber.com
</t>
        </r>
      </text>
    </comment>
    <comment ref="AU852" authorId="2">
      <text>
        <r>
          <rPr>
            <b/>
            <sz val="9"/>
            <color indexed="81"/>
            <rFont val="Tahoma"/>
            <family val="2"/>
          </rPr>
          <t>Phillip Kelsven:</t>
        </r>
        <r>
          <rPr>
            <sz val="9"/>
            <color indexed="81"/>
            <rFont val="Tahoma"/>
            <family val="2"/>
          </rPr>
          <t xml:space="preserve">
http://www.theenergyconscious.com</t>
        </r>
      </text>
    </comment>
    <comment ref="AL853" authorId="2">
      <text>
        <r>
          <rPr>
            <b/>
            <sz val="9"/>
            <color indexed="81"/>
            <rFont val="Tahoma"/>
            <family val="2"/>
          </rPr>
          <t>Phillip Kelsven:</t>
        </r>
        <r>
          <rPr>
            <sz val="9"/>
            <color indexed="81"/>
            <rFont val="Tahoma"/>
            <family val="2"/>
          </rPr>
          <t xml:space="preserve">
http://ecomfort.com
</t>
        </r>
      </text>
    </comment>
    <comment ref="AS853" authorId="2">
      <text>
        <r>
          <rPr>
            <b/>
            <sz val="9"/>
            <color indexed="81"/>
            <rFont val="Tahoma"/>
            <family val="2"/>
          </rPr>
          <t>Phillip Kelsven:</t>
        </r>
        <r>
          <rPr>
            <sz val="9"/>
            <color indexed="81"/>
            <rFont val="Tahoma"/>
            <family val="2"/>
          </rPr>
          <t xml:space="preserve">
http://shop.designerplumbing.com</t>
        </r>
      </text>
    </comment>
    <comment ref="AV853" authorId="2">
      <text>
        <r>
          <rPr>
            <b/>
            <sz val="9"/>
            <color indexed="81"/>
            <rFont val="Tahoma"/>
            <family val="2"/>
          </rPr>
          <t>Phillip Kelsven:</t>
        </r>
        <r>
          <rPr>
            <sz val="9"/>
            <color indexed="81"/>
            <rFont val="Tahoma"/>
            <family val="2"/>
          </rPr>
          <t xml:space="preserve">
http://www.sears.com/noritz-protough-nr981-dvc-lp-residential-tankless-water/p-SP102A18042S6999341109?prdNo=17
</t>
        </r>
      </text>
    </comment>
    <comment ref="AQ854" authorId="2">
      <text>
        <r>
          <rPr>
            <b/>
            <sz val="9"/>
            <color indexed="81"/>
            <rFont val="Tahoma"/>
            <family val="2"/>
          </rPr>
          <t>Phillip Kelsven:</t>
        </r>
        <r>
          <rPr>
            <sz val="9"/>
            <color indexed="81"/>
            <rFont val="Tahoma"/>
            <family val="2"/>
          </rPr>
          <t xml:space="preserve">
http://www.alpinehomeair.com/viewproduct.cfm?productID=453061611&amp;displaytab=instructions_brochures
</t>
        </r>
      </text>
    </comment>
    <comment ref="AW854" authorId="2">
      <text>
        <r>
          <rPr>
            <b/>
            <sz val="9"/>
            <color indexed="81"/>
            <rFont val="Tahoma"/>
            <family val="2"/>
          </rPr>
          <t>Phillip Kelsven:</t>
        </r>
        <r>
          <rPr>
            <sz val="9"/>
            <color indexed="81"/>
            <rFont val="Tahoma"/>
            <family val="2"/>
          </rPr>
          <t xml:space="preserve">
http://www.homeclick.com
</t>
        </r>
      </text>
    </comment>
    <comment ref="AX855" authorId="2">
      <text>
        <r>
          <rPr>
            <b/>
            <sz val="9"/>
            <color indexed="81"/>
            <rFont val="Tahoma"/>
            <family val="2"/>
          </rPr>
          <t>Phillip Kelsven:</t>
        </r>
        <r>
          <rPr>
            <sz val="9"/>
            <color indexed="81"/>
            <rFont val="Tahoma"/>
            <family val="2"/>
          </rPr>
          <t xml:space="preserve">
http://www.atanklesslife.com
</t>
        </r>
      </text>
    </comment>
    <comment ref="V861" authorId="1">
      <text>
        <r>
          <rPr>
            <b/>
            <sz val="9"/>
            <color indexed="81"/>
            <rFont val="Tahoma"/>
            <family val="2"/>
          </rPr>
          <t>Mike Ting:</t>
        </r>
        <r>
          <rPr>
            <sz val="9"/>
            <color indexed="81"/>
            <rFont val="Tahoma"/>
            <family val="2"/>
          </rPr>
          <t xml:space="preserve">
No product specs specified in DEER or WPs</t>
        </r>
      </text>
    </comment>
    <comment ref="AD861" authorId="0">
      <text>
        <r>
          <rPr>
            <b/>
            <sz val="9"/>
            <color indexed="81"/>
            <rFont val="Tahoma"/>
            <family val="2"/>
          </rPr>
          <t>Lucas Scheidler:</t>
        </r>
        <r>
          <rPr>
            <sz val="9"/>
            <color indexed="81"/>
            <rFont val="Tahoma"/>
            <family val="2"/>
          </rPr>
          <t xml:space="preserve">
Descriptive stats are on percentage difference between modeled and actual prices ((Modeled - Actual)/Actual)</t>
        </r>
      </text>
    </comment>
    <comment ref="AI861" authorId="2">
      <text>
        <r>
          <rPr>
            <b/>
            <sz val="9"/>
            <color indexed="81"/>
            <rFont val="Tahoma"/>
            <family val="2"/>
          </rPr>
          <t>Phillip Kelsven:</t>
        </r>
        <r>
          <rPr>
            <sz val="9"/>
            <color indexed="81"/>
            <rFont val="Tahoma"/>
            <family val="2"/>
          </rPr>
          <t xml:space="preserve">
http://www.lowes.com
</t>
        </r>
      </text>
    </comment>
    <comment ref="AJ861" authorId="2">
      <text>
        <r>
          <rPr>
            <b/>
            <sz val="9"/>
            <color indexed="81"/>
            <rFont val="Tahoma"/>
            <family val="2"/>
          </rPr>
          <t>Phillip Kelsven:</t>
        </r>
        <r>
          <rPr>
            <sz val="9"/>
            <color indexed="81"/>
            <rFont val="Tahoma"/>
            <family val="2"/>
          </rPr>
          <t xml:space="preserve">
http://www.sears.com
</t>
        </r>
      </text>
    </comment>
    <comment ref="AK861" authorId="2">
      <text>
        <r>
          <rPr>
            <b/>
            <sz val="9"/>
            <color indexed="81"/>
            <rFont val="Tahoma"/>
            <family val="2"/>
          </rPr>
          <t>Phillip Kelsven:</t>
        </r>
        <r>
          <rPr>
            <sz val="9"/>
            <color indexed="81"/>
            <rFont val="Tahoma"/>
            <family val="2"/>
          </rPr>
          <t xml:space="preserve">
http://www.appliancesconnection.com
</t>
        </r>
      </text>
    </comment>
    <comment ref="AL861" authorId="2">
      <text>
        <r>
          <rPr>
            <b/>
            <sz val="9"/>
            <color indexed="81"/>
            <rFont val="Tahoma"/>
            <family val="2"/>
          </rPr>
          <t>Phillip Kelsven:</t>
        </r>
        <r>
          <rPr>
            <sz val="9"/>
            <color indexed="81"/>
            <rFont val="Tahoma"/>
            <family val="2"/>
          </rPr>
          <t xml:space="preserve">
Phillip Kelsven:
http://www.amazon.com</t>
        </r>
      </text>
    </comment>
    <comment ref="AP862" authorId="2">
      <text>
        <r>
          <rPr>
            <b/>
            <sz val="9"/>
            <color indexed="81"/>
            <rFont val="Tahoma"/>
            <family val="2"/>
          </rPr>
          <t>Phillip Kelsven:</t>
        </r>
        <r>
          <rPr>
            <sz val="9"/>
            <color indexed="81"/>
            <rFont val="Tahoma"/>
            <family val="2"/>
          </rPr>
          <t xml:space="preserve">
http://www.pexsupply.com
</t>
        </r>
      </text>
    </comment>
    <comment ref="AQ862" authorId="2">
      <text>
        <r>
          <rPr>
            <b/>
            <sz val="9"/>
            <color indexed="81"/>
            <rFont val="Tahoma"/>
            <family val="2"/>
          </rPr>
          <t>Phillip Kelsven:</t>
        </r>
        <r>
          <rPr>
            <sz val="9"/>
            <color indexed="81"/>
            <rFont val="Tahoma"/>
            <family val="2"/>
          </rPr>
          <t xml:space="preserve">
http://hotwater1.com
</t>
        </r>
      </text>
    </comment>
    <comment ref="AM863" authorId="2">
      <text>
        <r>
          <rPr>
            <b/>
            <sz val="9"/>
            <color indexed="81"/>
            <rFont val="Tahoma"/>
            <family val="2"/>
          </rPr>
          <t>Phillip Kelsven:</t>
        </r>
        <r>
          <rPr>
            <sz val="9"/>
            <color indexed="81"/>
            <rFont val="Tahoma"/>
            <family val="2"/>
          </rPr>
          <t xml:space="preserve">
http://www.theenergyconscious.com</t>
        </r>
      </text>
    </comment>
    <comment ref="AR863" authorId="2">
      <text>
        <r>
          <rPr>
            <b/>
            <sz val="9"/>
            <color indexed="81"/>
            <rFont val="Tahoma"/>
            <family val="2"/>
          </rPr>
          <t>Phillip Kelsven:</t>
        </r>
        <r>
          <rPr>
            <sz val="9"/>
            <color indexed="81"/>
            <rFont val="Tahoma"/>
            <family val="2"/>
          </rPr>
          <t xml:space="preserve">
http://www.buyplumbingsupply.com
</t>
        </r>
      </text>
    </comment>
    <comment ref="AV863" authorId="2">
      <text>
        <r>
          <rPr>
            <b/>
            <sz val="9"/>
            <color indexed="81"/>
            <rFont val="Tahoma"/>
            <family val="2"/>
          </rPr>
          <t>Phillip Kelsven:</t>
        </r>
        <r>
          <rPr>
            <sz val="9"/>
            <color indexed="81"/>
            <rFont val="Tahoma"/>
            <family val="2"/>
          </rPr>
          <t xml:space="preserve">
http://www.homedepot.com
</t>
        </r>
      </text>
    </comment>
    <comment ref="AN864" authorId="2">
      <text>
        <r>
          <rPr>
            <b/>
            <sz val="9"/>
            <color indexed="81"/>
            <rFont val="Tahoma"/>
            <family val="2"/>
          </rPr>
          <t>Phillip Kelsven:</t>
        </r>
        <r>
          <rPr>
            <sz val="9"/>
            <color indexed="81"/>
            <rFont val="Tahoma"/>
            <family val="2"/>
          </rPr>
          <t xml:space="preserve">
http://www.ventingdirect.com</t>
        </r>
      </text>
    </comment>
    <comment ref="AO864" authorId="2">
      <text>
        <r>
          <rPr>
            <b/>
            <sz val="9"/>
            <color indexed="81"/>
            <rFont val="Tahoma"/>
            <family val="2"/>
          </rPr>
          <t>Phillip Kelsven:</t>
        </r>
        <r>
          <rPr>
            <sz val="9"/>
            <color indexed="81"/>
            <rFont val="Tahoma"/>
            <family val="2"/>
          </rPr>
          <t xml:space="preserve">
Phillip Kelsven:
http://www.google.com/url?sa=t&amp;rct=j&amp;q=&amp;esrc=s&amp;source=web&amp;cd=24&amp;ved=0CE4QFjADOBQ&amp;url=http%3A%2F%2Fcatalog.standardsupplyco.com%2Fdefault.aspx%3Fpage%3Ditem%2520detail%26itemcode%3DRHEEM%2BHP40RH&amp;ei=M7fuUab3CoL-iQLu4ICYDg&amp;usg=AFQjCNHfolrh9rVB2jL-_By7Nh-qBfO2Bg&amp;sig2=aWc9Va2Ht1gaxLX7QxUp1w&amp;bvm=bv.49641647,d.cGE
</t>
        </r>
      </text>
    </comment>
    <comment ref="AS865" authorId="2">
      <text>
        <r>
          <rPr>
            <b/>
            <sz val="9"/>
            <color indexed="81"/>
            <rFont val="Tahoma"/>
            <family val="2"/>
          </rPr>
          <t>Phillip Kelsven:</t>
        </r>
        <r>
          <rPr>
            <sz val="9"/>
            <color indexed="81"/>
            <rFont val="Tahoma"/>
            <family val="2"/>
          </rPr>
          <t xml:space="preserve">
http://www.homeperfect.com/ao-smith-phpt-80-80-gallon-voltex-residential-hybrid-electric-heat-pump-water-heater.html
</t>
        </r>
      </text>
    </comment>
    <comment ref="AT865" authorId="2">
      <text>
        <r>
          <rPr>
            <b/>
            <sz val="9"/>
            <color indexed="81"/>
            <rFont val="Tahoma"/>
            <family val="2"/>
          </rPr>
          <t>Phillip Kelsven:</t>
        </r>
        <r>
          <rPr>
            <sz val="9"/>
            <color indexed="81"/>
            <rFont val="Tahoma"/>
            <family val="2"/>
          </rPr>
          <t xml:space="preserve">
http://www.acsuperstore.com</t>
        </r>
      </text>
    </comment>
    <comment ref="AU866" authorId="2">
      <text>
        <r>
          <rPr>
            <b/>
            <sz val="9"/>
            <color indexed="81"/>
            <rFont val="Tahoma"/>
            <family val="2"/>
          </rPr>
          <t>Phillip Kelsven:</t>
        </r>
        <r>
          <rPr>
            <sz val="9"/>
            <color indexed="81"/>
            <rFont val="Tahoma"/>
            <family val="2"/>
          </rPr>
          <t xml:space="preserve">
http://www.buyplumbing.net</t>
        </r>
      </text>
    </comment>
    <comment ref="AI871" authorId="0">
      <text>
        <r>
          <rPr>
            <b/>
            <sz val="9"/>
            <color indexed="81"/>
            <rFont val="Tahoma"/>
            <family val="2"/>
          </rPr>
          <t>Lucas Scheidler:</t>
        </r>
        <r>
          <rPr>
            <sz val="9"/>
            <color indexed="81"/>
            <rFont val="Tahoma"/>
            <family val="2"/>
          </rPr>
          <t xml:space="preserve">
www.build.com</t>
        </r>
      </text>
    </comment>
    <comment ref="AJ871" authorId="0">
      <text>
        <r>
          <rPr>
            <b/>
            <sz val="9"/>
            <color indexed="81"/>
            <rFont val="Tahoma"/>
            <family val="2"/>
          </rPr>
          <t>Lucas Scheidler:</t>
        </r>
        <r>
          <rPr>
            <sz val="9"/>
            <color indexed="81"/>
            <rFont val="Tahoma"/>
            <family val="2"/>
          </rPr>
          <t xml:space="preserve">
www.buyplumbingsupply.com</t>
        </r>
      </text>
    </comment>
    <comment ref="AK871" authorId="0">
      <text>
        <r>
          <rPr>
            <b/>
            <sz val="9"/>
            <color indexed="81"/>
            <rFont val="Tahoma"/>
            <family val="2"/>
          </rPr>
          <t>Lucas Scheidler:
www.globalindustrial.com</t>
        </r>
      </text>
    </comment>
    <comment ref="AL871" authorId="0">
      <text>
        <r>
          <rPr>
            <b/>
            <sz val="9"/>
            <color indexed="81"/>
            <rFont val="Tahoma"/>
            <family val="2"/>
          </rPr>
          <t>Lucas Scheidler:</t>
        </r>
        <r>
          <rPr>
            <sz val="9"/>
            <color indexed="81"/>
            <rFont val="Tahoma"/>
            <family val="2"/>
          </rPr>
          <t xml:space="preserve">
www.pexsupply.com</t>
        </r>
      </text>
    </comment>
    <comment ref="AM871" authorId="0">
      <text>
        <r>
          <rPr>
            <b/>
            <sz val="9"/>
            <color indexed="81"/>
            <rFont val="Tahoma"/>
            <family val="2"/>
          </rPr>
          <t>Lucas Scheidler:</t>
        </r>
        <r>
          <rPr>
            <sz val="9"/>
            <color indexed="81"/>
            <rFont val="Tahoma"/>
            <family val="2"/>
          </rPr>
          <t xml:space="preserve">
waterheaterstore.com</t>
        </r>
      </text>
    </comment>
    <comment ref="AN871" authorId="0">
      <text>
        <r>
          <rPr>
            <b/>
            <sz val="9"/>
            <color indexed="81"/>
            <rFont val="Tahoma"/>
            <family val="2"/>
          </rPr>
          <t>Lucas Scheidler:</t>
        </r>
        <r>
          <rPr>
            <sz val="9"/>
            <color indexed="81"/>
            <rFont val="Tahoma"/>
            <family val="2"/>
          </rPr>
          <t xml:space="preserve">
www.wayfair.com</t>
        </r>
      </text>
    </comment>
    <comment ref="AO871" authorId="0">
      <text>
        <r>
          <rPr>
            <b/>
            <sz val="9"/>
            <color indexed="81"/>
            <rFont val="Tahoma"/>
            <family val="2"/>
          </rPr>
          <t>Lucas Scheidler:</t>
        </r>
        <r>
          <rPr>
            <sz val="9"/>
            <color indexed="81"/>
            <rFont val="Tahoma"/>
            <family val="2"/>
          </rPr>
          <t xml:space="preserve">
www.wallingfordsales.com</t>
        </r>
      </text>
    </comment>
    <comment ref="AP871" authorId="0">
      <text>
        <r>
          <rPr>
            <b/>
            <sz val="9"/>
            <color indexed="81"/>
            <rFont val="Tahoma"/>
            <family val="2"/>
          </rPr>
          <t>Lucas Scheidler:</t>
        </r>
        <r>
          <rPr>
            <sz val="9"/>
            <color indexed="81"/>
            <rFont val="Tahoma"/>
            <family val="2"/>
          </rPr>
          <t xml:space="preserve">
www.commercialwaterheaters.com</t>
        </r>
      </text>
    </comment>
    <comment ref="AQ871" authorId="0">
      <text>
        <r>
          <rPr>
            <b/>
            <sz val="9"/>
            <color indexed="81"/>
            <rFont val="Tahoma"/>
            <family val="2"/>
          </rPr>
          <t>Lucas Scheidler:</t>
        </r>
        <r>
          <rPr>
            <sz val="9"/>
            <color indexed="81"/>
            <rFont val="Tahoma"/>
            <family val="2"/>
          </rPr>
          <t xml:space="preserve">
www.bostonheatingsupply.com</t>
        </r>
      </text>
    </comment>
    <comment ref="AR871" authorId="0">
      <text>
        <r>
          <rPr>
            <b/>
            <sz val="9"/>
            <color indexed="81"/>
            <rFont val="Tahoma"/>
            <family val="2"/>
          </rPr>
          <t>Lucas Scheidler:</t>
        </r>
        <r>
          <rPr>
            <sz val="9"/>
            <color indexed="81"/>
            <rFont val="Tahoma"/>
            <family val="2"/>
          </rPr>
          <t xml:space="preserve">
www.grainger.com</t>
        </r>
      </text>
    </comment>
    <comment ref="AS871" authorId="0">
      <text>
        <r>
          <rPr>
            <b/>
            <sz val="9"/>
            <color indexed="81"/>
            <rFont val="Tahoma"/>
            <family val="2"/>
          </rPr>
          <t>Lucas Scheidler:</t>
        </r>
        <r>
          <rPr>
            <sz val="9"/>
            <color indexed="81"/>
            <rFont val="Tahoma"/>
            <family val="2"/>
          </rPr>
          <t xml:space="preserve">
faucet.com</t>
        </r>
      </text>
    </comment>
    <comment ref="AT871" authorId="0">
      <text>
        <r>
          <rPr>
            <b/>
            <sz val="9"/>
            <color indexed="81"/>
            <rFont val="Tahoma"/>
            <family val="2"/>
          </rPr>
          <t>Lucas Scheidler:</t>
        </r>
        <r>
          <rPr>
            <sz val="9"/>
            <color indexed="81"/>
            <rFont val="Tahoma"/>
            <family val="2"/>
          </rPr>
          <t xml:space="preserve">
newyorkwaterheaters.com</t>
        </r>
      </text>
    </comment>
    <comment ref="AU871" authorId="0">
      <text>
        <r>
          <rPr>
            <b/>
            <sz val="9"/>
            <color indexed="81"/>
            <rFont val="Tahoma"/>
            <family val="2"/>
          </rPr>
          <t>Lucas Scheidler:</t>
        </r>
        <r>
          <rPr>
            <sz val="9"/>
            <color indexed="81"/>
            <rFont val="Tahoma"/>
            <family val="2"/>
          </rPr>
          <t xml:space="preserve">
plumbersurplus.com</t>
        </r>
      </text>
    </comment>
    <comment ref="AV871" authorId="0">
      <text>
        <r>
          <rPr>
            <b/>
            <sz val="9"/>
            <color indexed="81"/>
            <rFont val="Tahoma"/>
            <family val="2"/>
          </rPr>
          <t>Lucas Scheidler:</t>
        </r>
        <r>
          <rPr>
            <sz val="9"/>
            <color indexed="81"/>
            <rFont val="Tahoma"/>
            <family val="2"/>
          </rPr>
          <t xml:space="preserve">
drillspot.com</t>
        </r>
      </text>
    </comment>
    <comment ref="AW871" authorId="0">
      <text>
        <r>
          <rPr>
            <b/>
            <sz val="9"/>
            <color indexed="81"/>
            <rFont val="Tahoma"/>
            <family val="2"/>
          </rPr>
          <t>Lucas Scheidler:</t>
        </r>
        <r>
          <rPr>
            <sz val="9"/>
            <color indexed="81"/>
            <rFont val="Tahoma"/>
            <family val="2"/>
          </rPr>
          <t xml:space="preserve">
saberandsons.com</t>
        </r>
      </text>
    </comment>
    <comment ref="AX871" authorId="0">
      <text>
        <r>
          <rPr>
            <b/>
            <sz val="9"/>
            <color indexed="81"/>
            <rFont val="Tahoma"/>
            <family val="2"/>
          </rPr>
          <t>Lucas Scheidler:</t>
        </r>
        <r>
          <rPr>
            <sz val="9"/>
            <color indexed="81"/>
            <rFont val="Tahoma"/>
            <family val="2"/>
          </rPr>
          <t xml:space="preserve">
amazon.com</t>
        </r>
      </text>
    </comment>
    <comment ref="AY871" authorId="0">
      <text>
        <r>
          <rPr>
            <b/>
            <sz val="9"/>
            <color indexed="81"/>
            <rFont val="Tahoma"/>
            <family val="2"/>
          </rPr>
          <t>Lucas Scheidler:</t>
        </r>
        <r>
          <rPr>
            <sz val="9"/>
            <color indexed="81"/>
            <rFont val="Tahoma"/>
            <family val="2"/>
          </rPr>
          <t xml:space="preserve">
designerplumbing.com</t>
        </r>
      </text>
    </comment>
    <comment ref="AZ871" authorId="0">
      <text>
        <r>
          <rPr>
            <b/>
            <sz val="9"/>
            <color indexed="81"/>
            <rFont val="Tahoma"/>
            <family val="2"/>
          </rPr>
          <t>Lucas Scheidler:</t>
        </r>
        <r>
          <rPr>
            <sz val="9"/>
            <color indexed="81"/>
            <rFont val="Tahoma"/>
            <family val="2"/>
          </rPr>
          <t xml:space="preserve">
homedepot.com</t>
        </r>
      </text>
    </comment>
    <comment ref="BA871" authorId="0">
      <text>
        <r>
          <rPr>
            <b/>
            <sz val="9"/>
            <color indexed="81"/>
            <rFont val="Tahoma"/>
            <family val="2"/>
          </rPr>
          <t>Lucas Scheidler:</t>
        </r>
        <r>
          <rPr>
            <sz val="9"/>
            <color indexed="81"/>
            <rFont val="Tahoma"/>
            <family val="2"/>
          </rPr>
          <t xml:space="preserve">
consumersplumbing.com</t>
        </r>
      </text>
    </comment>
    <comment ref="AD872" authorId="4">
      <text>
        <r>
          <rPr>
            <b/>
            <sz val="9"/>
            <color indexed="81"/>
            <rFont val="Tahoma"/>
            <family val="2"/>
          </rPr>
          <t>Jeremy Eddy:</t>
        </r>
        <r>
          <rPr>
            <sz val="9"/>
            <color indexed="81"/>
            <rFont val="Tahoma"/>
            <family val="2"/>
          </rPr>
          <t xml:space="preserve">
Descriptive stats are of the percentage difference between the two costs (Modeled-Actual / Actual)</t>
        </r>
      </text>
    </comment>
    <comment ref="Q881" authorId="0">
      <text>
        <r>
          <rPr>
            <b/>
            <sz val="9"/>
            <color indexed="81"/>
            <rFont val="Tahoma"/>
            <family val="2"/>
          </rPr>
          <t>Lucas Scheidler:</t>
        </r>
        <r>
          <rPr>
            <sz val="9"/>
            <color indexed="81"/>
            <rFont val="Tahoma"/>
            <family val="2"/>
          </rPr>
          <t xml:space="preserve">
These weights are from 2006 - 2012 CLASS. Weights are the following: AO Smith 30.92%,  and State 8.83%. No weighting  is applied, as it no brand had a significant coefficient.</t>
        </r>
      </text>
    </comment>
    <comment ref="AI888" authorId="0">
      <text>
        <r>
          <rPr>
            <b/>
            <sz val="9"/>
            <color indexed="81"/>
            <rFont val="Tahoma"/>
            <family val="2"/>
          </rPr>
          <t>Lucas Scheidler:</t>
        </r>
        <r>
          <rPr>
            <sz val="9"/>
            <color indexed="81"/>
            <rFont val="Tahoma"/>
            <family val="2"/>
          </rPr>
          <t xml:space="preserve">
DEER 2001 for 250 kBtu boiler 82% efficient (efficiency type not specified)</t>
        </r>
      </text>
    </comment>
    <comment ref="AJ888" authorId="0">
      <text>
        <r>
          <rPr>
            <b/>
            <sz val="9"/>
            <color indexed="81"/>
            <rFont val="Tahoma"/>
            <family val="2"/>
          </rPr>
          <t>Lucas Scheidler:</t>
        </r>
        <r>
          <rPr>
            <sz val="9"/>
            <color indexed="81"/>
            <rFont val="Tahoma"/>
            <family val="2"/>
          </rPr>
          <t xml:space="preserve">
DEER 2005 250 kBtuh hot water boiler with efficiency of 80% </t>
        </r>
      </text>
    </comment>
    <comment ref="AK888" authorId="0">
      <text>
        <r>
          <rPr>
            <b/>
            <sz val="9"/>
            <color indexed="81"/>
            <rFont val="Tahoma"/>
            <family val="2"/>
          </rPr>
          <t>Lucas Scheidler:</t>
        </r>
        <r>
          <rPr>
            <sz val="9"/>
            <color indexed="81"/>
            <rFont val="Tahoma"/>
            <family val="2"/>
          </rPr>
          <t xml:space="preserve">
DEER 2008
Code Standard - Hot water boiler (&lt;300 kBtuh, 80% AFUE, atmospheric)
</t>
        </r>
      </text>
    </comment>
    <comment ref="AL888" authorId="0">
      <text>
        <r>
          <rPr>
            <b/>
            <sz val="9"/>
            <color indexed="81"/>
            <rFont val="Tahoma"/>
            <family val="2"/>
          </rPr>
          <t>Lucas Scheidler:</t>
        </r>
        <r>
          <rPr>
            <sz val="9"/>
            <color indexed="81"/>
            <rFont val="Tahoma"/>
            <family val="2"/>
          </rPr>
          <t xml:space="preserve">
SDGE workpaper WPSDGENRWH1207 - TE = 80%</t>
        </r>
      </text>
    </comment>
    <comment ref="AI889" authorId="0">
      <text>
        <r>
          <rPr>
            <b/>
            <sz val="9"/>
            <color indexed="81"/>
            <rFont val="Tahoma"/>
            <family val="2"/>
          </rPr>
          <t>Lucas Scheidler:</t>
        </r>
        <r>
          <rPr>
            <sz val="9"/>
            <color indexed="81"/>
            <rFont val="Tahoma"/>
            <family val="2"/>
          </rPr>
          <t xml:space="preserve">
DEER 2001 for 250 kBtu boiler 95% efficient (efficiency type not specified)</t>
        </r>
      </text>
    </comment>
    <comment ref="AJ889" authorId="0">
      <text>
        <r>
          <rPr>
            <b/>
            <sz val="9"/>
            <color indexed="81"/>
            <rFont val="Tahoma"/>
            <family val="2"/>
          </rPr>
          <t>Lucas Scheidler:</t>
        </r>
        <r>
          <rPr>
            <sz val="9"/>
            <color indexed="81"/>
            <rFont val="Tahoma"/>
            <family val="2"/>
          </rPr>
          <t xml:space="preserve">
DEER 2005 250 kBtuh hot water boiler with efficiency of 84.5%
</t>
        </r>
      </text>
    </comment>
    <comment ref="AK889" authorId="0">
      <text>
        <r>
          <rPr>
            <b/>
            <sz val="9"/>
            <color indexed="81"/>
            <rFont val="Tahoma"/>
            <family val="2"/>
          </rPr>
          <t>Lucas Scheidler:</t>
        </r>
        <r>
          <rPr>
            <sz val="9"/>
            <color indexed="81"/>
            <rFont val="Tahoma"/>
            <family val="2"/>
          </rPr>
          <t xml:space="preserve">
DEER 2008
D08-NG-HVAC-Blr-HW-lt300kBtuh-84p5AFUE-Atm</t>
        </r>
      </text>
    </comment>
    <comment ref="AL889" authorId="0">
      <text>
        <r>
          <rPr>
            <b/>
            <sz val="9"/>
            <color indexed="81"/>
            <rFont val="Tahoma"/>
            <family val="2"/>
          </rPr>
          <t>Lucas Scheidler:</t>
        </r>
        <r>
          <rPr>
            <sz val="9"/>
            <color indexed="81"/>
            <rFont val="Tahoma"/>
            <family val="2"/>
          </rPr>
          <t xml:space="preserve">
SDGE workpaper WPSDGENRWH1207 - TE = 84%</t>
        </r>
      </text>
    </comment>
    <comment ref="AK890" authorId="0">
      <text>
        <r>
          <rPr>
            <b/>
            <sz val="9"/>
            <color indexed="81"/>
            <rFont val="Tahoma"/>
            <family val="2"/>
          </rPr>
          <t>Lucas Scheidler:</t>
        </r>
        <r>
          <rPr>
            <sz val="9"/>
            <color indexed="81"/>
            <rFont val="Tahoma"/>
            <family val="2"/>
          </rPr>
          <t xml:space="preserve">
DEER2008
D08-NG-HVAC-Blr-HW-lt300kBtuh-84p5EC-Drft
</t>
        </r>
      </text>
    </comment>
    <comment ref="T897" authorId="0">
      <text>
        <r>
          <rPr>
            <b/>
            <sz val="9"/>
            <color indexed="81"/>
            <rFont val="Tahoma"/>
            <family val="2"/>
          </rPr>
          <t>Lucas Scheidler:</t>
        </r>
        <r>
          <rPr>
            <sz val="9"/>
            <color indexed="81"/>
            <rFont val="Tahoma"/>
            <family val="2"/>
          </rPr>
          <t xml:space="preserve">
placeholder until we get contractor markups from EMCOR</t>
        </r>
      </text>
    </comment>
    <comment ref="AI899" authorId="0">
      <text>
        <r>
          <rPr>
            <b/>
            <sz val="9"/>
            <color indexed="81"/>
            <rFont val="Tahoma"/>
            <family val="2"/>
          </rPr>
          <t>Lucas Scheidler:</t>
        </r>
        <r>
          <rPr>
            <sz val="9"/>
            <color indexed="81"/>
            <rFont val="Tahoma"/>
            <family val="2"/>
          </rPr>
          <t xml:space="preserve">
DEER 2001 for 1400 kBtu boiler 82% efficient (efficiency type not specified)</t>
        </r>
      </text>
    </comment>
    <comment ref="AJ899" authorId="0">
      <text>
        <r>
          <rPr>
            <b/>
            <sz val="9"/>
            <color indexed="81"/>
            <rFont val="Tahoma"/>
            <family val="2"/>
          </rPr>
          <t>Lucas Scheidler:</t>
        </r>
        <r>
          <rPr>
            <sz val="9"/>
            <color indexed="81"/>
            <rFont val="Tahoma"/>
            <family val="2"/>
          </rPr>
          <t xml:space="preserve">
DEER 2005 1400 kBtuh hot water boiler with efficiency of 80% </t>
        </r>
      </text>
    </comment>
    <comment ref="AK899" authorId="0">
      <text>
        <r>
          <rPr>
            <b/>
            <sz val="9"/>
            <color indexed="81"/>
            <rFont val="Tahoma"/>
            <family val="2"/>
          </rPr>
          <t>Lucas Scheidler:</t>
        </r>
        <r>
          <rPr>
            <sz val="9"/>
            <color indexed="81"/>
            <rFont val="Tahoma"/>
            <family val="2"/>
          </rPr>
          <t xml:space="preserve">
DEER 2008
Code Standard - Hot water boiler (300-2500 kBtuh, 75% thermal efficiency, atmospheric)
</t>
        </r>
      </text>
    </comment>
    <comment ref="AL899" authorId="0">
      <text>
        <r>
          <rPr>
            <b/>
            <sz val="9"/>
            <color indexed="81"/>
            <rFont val="Tahoma"/>
            <family val="2"/>
          </rPr>
          <t>Lucas Scheidler:</t>
        </r>
        <r>
          <rPr>
            <sz val="9"/>
            <color indexed="81"/>
            <rFont val="Tahoma"/>
            <family val="2"/>
          </rPr>
          <t xml:space="preserve">
SDGE workpaper WPSDGENRWH1207 - TE = 80%</t>
        </r>
      </text>
    </comment>
    <comment ref="B900" authorId="0">
      <text>
        <r>
          <rPr>
            <b/>
            <sz val="9"/>
            <color indexed="81"/>
            <rFont val="Tahoma"/>
            <family val="2"/>
          </rPr>
          <t>Lucas Scheidler:</t>
        </r>
        <r>
          <rPr>
            <sz val="9"/>
            <color indexed="81"/>
            <rFont val="Tahoma"/>
            <family val="2"/>
          </rPr>
          <t xml:space="preserve">
DEER measures are rated by thermal efficiency or combustion efficiency, depending on capacity range. These specific ratings were not available for all models in the cost dataset. The efficiency rating here for all capacities is equal to max output / rated input</t>
        </r>
      </text>
    </comment>
    <comment ref="AI900" authorId="0">
      <text>
        <r>
          <rPr>
            <b/>
            <sz val="9"/>
            <color indexed="81"/>
            <rFont val="Tahoma"/>
            <family val="2"/>
          </rPr>
          <t>Lucas Scheidler:</t>
        </r>
        <r>
          <rPr>
            <sz val="9"/>
            <color indexed="81"/>
            <rFont val="Tahoma"/>
            <family val="2"/>
          </rPr>
          <t xml:space="preserve">
DEER 2001 for 1400 kBtu boiler 95% efficient (efficiency type not specified)</t>
        </r>
      </text>
    </comment>
    <comment ref="AJ900" authorId="0">
      <text>
        <r>
          <rPr>
            <b/>
            <sz val="9"/>
            <color indexed="81"/>
            <rFont val="Tahoma"/>
            <family val="2"/>
          </rPr>
          <t>Lucas Scheidler:</t>
        </r>
        <r>
          <rPr>
            <sz val="9"/>
            <color indexed="81"/>
            <rFont val="Tahoma"/>
            <family val="2"/>
          </rPr>
          <t xml:space="preserve">
DEER 2005 1400 kBtuh hot water boiler with efficiency of 85% </t>
        </r>
      </text>
    </comment>
    <comment ref="AK900" authorId="0">
      <text>
        <r>
          <rPr>
            <b/>
            <sz val="9"/>
            <color indexed="81"/>
            <rFont val="Tahoma"/>
            <family val="2"/>
          </rPr>
          <t>Lucas Scheidler:</t>
        </r>
        <r>
          <rPr>
            <sz val="9"/>
            <color indexed="81"/>
            <rFont val="Tahoma"/>
            <family val="2"/>
          </rPr>
          <t xml:space="preserve">
DEER 2008
D08-NG-HVAC-Blr-HW-300to2500kBtuh-85p0ET-Atm</t>
        </r>
      </text>
    </comment>
    <comment ref="AL900" authorId="0">
      <text>
        <r>
          <rPr>
            <b/>
            <sz val="9"/>
            <color indexed="81"/>
            <rFont val="Tahoma"/>
            <family val="2"/>
          </rPr>
          <t>Lucas Scheidler:</t>
        </r>
        <r>
          <rPr>
            <sz val="9"/>
            <color indexed="81"/>
            <rFont val="Tahoma"/>
            <family val="2"/>
          </rPr>
          <t xml:space="preserve">
SDGE workpaper WPSDGENRWH1207 - TE = 84%</t>
        </r>
      </text>
    </comment>
    <comment ref="Q901" authorId="0">
      <text>
        <r>
          <rPr>
            <b/>
            <sz val="9"/>
            <color indexed="81"/>
            <rFont val="Tahoma"/>
            <family val="2"/>
          </rPr>
          <t>Lucas Scheidler:</t>
        </r>
        <r>
          <rPr>
            <sz val="9"/>
            <color indexed="81"/>
            <rFont val="Tahoma"/>
            <family val="2"/>
          </rPr>
          <t xml:space="preserve">
These weights are from CEUS for SHW boilers &gt; 300 kBtuh. CEUS weights were also benchmarked to CSS. Brand weights from the two studies are considerably different, but given the smaller sample size for CSS and no differentiantion between steam and SHW units in the data, CEUS weights were applied. CEUS weights were available for ajax, laars, PK, and RBI, however, only the PK weight was applied given it was the only significant coefficient in the model.</t>
        </r>
      </text>
    </comment>
    <comment ref="AK901" authorId="0">
      <text>
        <r>
          <rPr>
            <b/>
            <sz val="9"/>
            <color indexed="81"/>
            <rFont val="Tahoma"/>
            <family val="2"/>
          </rPr>
          <t>Lucas Scheidler:</t>
        </r>
        <r>
          <rPr>
            <sz val="9"/>
            <color indexed="81"/>
            <rFont val="Tahoma"/>
            <family val="2"/>
          </rPr>
          <t xml:space="preserve">
DEER 2008
D08-NG-HVAC-Blr-HW-300to2500kBtuh-85p0ET-Drft
</t>
        </r>
      </text>
    </comment>
    <comment ref="AI902" authorId="0">
      <text>
        <r>
          <rPr>
            <b/>
            <sz val="9"/>
            <color indexed="81"/>
            <rFont val="Tahoma"/>
            <family val="2"/>
          </rPr>
          <t>Lucas Scheidler:</t>
        </r>
        <r>
          <rPr>
            <sz val="9"/>
            <color indexed="81"/>
            <rFont val="Tahoma"/>
            <family val="2"/>
          </rPr>
          <t xml:space="preserve">
DEER 2001 for 3000 kBtu boiler 82% efficient (efficiency type not specified)</t>
        </r>
      </text>
    </comment>
    <comment ref="AJ902" authorId="0">
      <text>
        <r>
          <rPr>
            <b/>
            <sz val="9"/>
            <color indexed="81"/>
            <rFont val="Tahoma"/>
            <family val="2"/>
          </rPr>
          <t>Lucas Scheidler:</t>
        </r>
        <r>
          <rPr>
            <sz val="9"/>
            <color indexed="81"/>
            <rFont val="Tahoma"/>
            <family val="2"/>
          </rPr>
          <t xml:space="preserve">
DEER 2005 3000 kBtuh hot water boiler with efficiency of 80% </t>
        </r>
      </text>
    </comment>
    <comment ref="AK902" authorId="0">
      <text>
        <r>
          <rPr>
            <b/>
            <sz val="9"/>
            <color indexed="81"/>
            <rFont val="Tahoma"/>
            <family val="2"/>
          </rPr>
          <t>Lucas Scheidler:</t>
        </r>
        <r>
          <rPr>
            <sz val="9"/>
            <color indexed="81"/>
            <rFont val="Tahoma"/>
            <family val="2"/>
          </rPr>
          <t xml:space="preserve">
DEER 2008
Code Standard - Hot water boiler (&gt; 2500 kBtuh, 80% combustion efficiency, atmospheric)
</t>
        </r>
      </text>
    </comment>
    <comment ref="AI903" authorId="0">
      <text>
        <r>
          <rPr>
            <b/>
            <sz val="9"/>
            <color indexed="81"/>
            <rFont val="Tahoma"/>
            <family val="2"/>
          </rPr>
          <t>Lucas Scheidler:</t>
        </r>
        <r>
          <rPr>
            <sz val="9"/>
            <color indexed="81"/>
            <rFont val="Tahoma"/>
            <family val="2"/>
          </rPr>
          <t xml:space="preserve">
DEER 2001 for 3000 kBtu boiler 95% efficient (efficiency type not specified)</t>
        </r>
      </text>
    </comment>
    <comment ref="AJ903" authorId="0">
      <text>
        <r>
          <rPr>
            <b/>
            <sz val="9"/>
            <color indexed="81"/>
            <rFont val="Tahoma"/>
            <family val="2"/>
          </rPr>
          <t>Lucas Scheidler:</t>
        </r>
        <r>
          <rPr>
            <sz val="9"/>
            <color indexed="81"/>
            <rFont val="Tahoma"/>
            <family val="2"/>
          </rPr>
          <t xml:space="preserve">
DEER 2005 3000 kBtuh hot water boiler with efficiency of 85% </t>
        </r>
      </text>
    </comment>
    <comment ref="AK903" authorId="0">
      <text>
        <r>
          <rPr>
            <b/>
            <sz val="9"/>
            <color indexed="81"/>
            <rFont val="Tahoma"/>
            <family val="2"/>
          </rPr>
          <t>Lucas Scheidler:</t>
        </r>
        <r>
          <rPr>
            <sz val="9"/>
            <color indexed="81"/>
            <rFont val="Tahoma"/>
            <family val="2"/>
          </rPr>
          <t xml:space="preserve">
D08-NG-HVAC-Blr-HW-gt2500kBtuh-85p0EC-Atm</t>
        </r>
      </text>
    </comment>
    <comment ref="AK904" authorId="0">
      <text>
        <r>
          <rPr>
            <b/>
            <sz val="9"/>
            <color indexed="81"/>
            <rFont val="Tahoma"/>
            <family val="2"/>
          </rPr>
          <t>Lucas Scheidler:</t>
        </r>
        <r>
          <rPr>
            <sz val="9"/>
            <color indexed="81"/>
            <rFont val="Tahoma"/>
            <family val="2"/>
          </rPr>
          <t xml:space="preserve">
D08-NG-HVAC-Blr-HW-gt2500kBtuh-85p0EC-Drft</t>
        </r>
      </text>
    </comment>
    <comment ref="T908" authorId="0">
      <text>
        <r>
          <rPr>
            <b/>
            <sz val="9"/>
            <color indexed="81"/>
            <rFont val="Tahoma"/>
            <family val="2"/>
          </rPr>
          <t>Lucas Scheidler:</t>
        </r>
        <r>
          <rPr>
            <sz val="9"/>
            <color indexed="81"/>
            <rFont val="Tahoma"/>
            <family val="2"/>
          </rPr>
          <t xml:space="preserve">
placeholder until we get contractor markups from EMCOR</t>
        </r>
      </text>
    </comment>
    <comment ref="B913" authorId="0">
      <text>
        <r>
          <rPr>
            <b/>
            <sz val="9"/>
            <color indexed="81"/>
            <rFont val="Tahoma"/>
            <family val="2"/>
          </rPr>
          <t>Lucas Scheidler:</t>
        </r>
        <r>
          <rPr>
            <sz val="9"/>
            <color indexed="81"/>
            <rFont val="Tahoma"/>
            <family val="2"/>
          </rPr>
          <t xml:space="preserve">
DEER measures are rated by AFUE, thermal efficiency, or combustion efficiency, depending on capacity range. These specific ratings were not available for all models in the cost dataset. The efficiency rating here for all capacities is equal to max output / rated input</t>
        </r>
      </text>
    </comment>
    <comment ref="Q914" authorId="0">
      <text>
        <r>
          <rPr>
            <b/>
            <sz val="9"/>
            <color indexed="81"/>
            <rFont val="Tahoma"/>
            <family val="2"/>
          </rPr>
          <t>Lucas Scheidler:</t>
        </r>
        <r>
          <rPr>
            <sz val="9"/>
            <color indexed="81"/>
            <rFont val="Tahoma"/>
            <family val="2"/>
          </rPr>
          <t xml:space="preserve">
These weights are from CEUS for SHW boilers . CEUS weights were also benchmarked to CSS. Brand weights from the two studies are considerably different, but given the smaller sample size for CSS and no differentiantion between steam and SHW units in the data, CEUS weights were applied. CEUS weights were only available for Laars and PK.</t>
        </r>
      </text>
    </comment>
    <comment ref="T921" authorId="0">
      <text>
        <r>
          <rPr>
            <b/>
            <sz val="9"/>
            <color indexed="81"/>
            <rFont val="Tahoma"/>
            <family val="2"/>
          </rPr>
          <t>Lucas Scheidler:</t>
        </r>
        <r>
          <rPr>
            <sz val="9"/>
            <color indexed="81"/>
            <rFont val="Tahoma"/>
            <family val="2"/>
          </rPr>
          <t xml:space="preserve">
placeholder until we get contractor markups from EMCOR</t>
        </r>
      </text>
    </comment>
    <comment ref="AI922" authorId="1">
      <text>
        <r>
          <rPr>
            <b/>
            <sz val="9"/>
            <color indexed="81"/>
            <rFont val="Tahoma"/>
            <family val="2"/>
          </rPr>
          <t>Mike Ting:</t>
        </r>
        <r>
          <rPr>
            <sz val="9"/>
            <color indexed="81"/>
            <rFont val="Tahoma"/>
            <family val="2"/>
          </rPr>
          <t xml:space="preserve">
homedepot.com</t>
        </r>
      </text>
    </comment>
    <comment ref="AJ922" authorId="1">
      <text>
        <r>
          <rPr>
            <b/>
            <sz val="9"/>
            <color indexed="81"/>
            <rFont val="Tahoma"/>
            <family val="2"/>
          </rPr>
          <t>Mike Ting:</t>
        </r>
        <r>
          <rPr>
            <sz val="9"/>
            <color indexed="81"/>
            <rFont val="Tahoma"/>
            <family val="2"/>
          </rPr>
          <t xml:space="preserve">
lowes.com</t>
        </r>
      </text>
    </comment>
    <comment ref="AK922" authorId="1">
      <text>
        <r>
          <rPr>
            <b/>
            <sz val="9"/>
            <color indexed="81"/>
            <rFont val="Tahoma"/>
            <family val="2"/>
          </rPr>
          <t>Mike Ting:</t>
        </r>
        <r>
          <rPr>
            <sz val="9"/>
            <color indexed="81"/>
            <rFont val="Tahoma"/>
            <family val="2"/>
          </rPr>
          <t xml:space="preserve">
Milo.com</t>
        </r>
      </text>
    </comment>
    <comment ref="AL922" authorId="1">
      <text>
        <r>
          <rPr>
            <b/>
            <sz val="9"/>
            <color indexed="81"/>
            <rFont val="Tahoma"/>
            <family val="2"/>
          </rPr>
          <t>Mike Ting:</t>
        </r>
        <r>
          <rPr>
            <sz val="9"/>
            <color indexed="81"/>
            <rFont val="Tahoma"/>
            <family val="2"/>
          </rPr>
          <t xml:space="preserve">
menards.com</t>
        </r>
      </text>
    </comment>
    <comment ref="AM922" authorId="3">
      <text>
        <r>
          <rPr>
            <b/>
            <sz val="9"/>
            <color indexed="81"/>
            <rFont val="Tahoma"/>
            <family val="2"/>
          </rPr>
          <t>Dawdy, John:</t>
        </r>
        <r>
          <rPr>
            <sz val="9"/>
            <color indexed="81"/>
            <rFont val="Tahoma"/>
            <family val="2"/>
          </rPr>
          <t xml:space="preserve">
www.ggreendesign.com</t>
        </r>
      </text>
    </comment>
    <comment ref="AN922" authorId="3">
      <text>
        <r>
          <rPr>
            <b/>
            <sz val="9"/>
            <color indexed="81"/>
            <rFont val="Tahoma"/>
            <family val="2"/>
          </rPr>
          <t>Dawdy, John:</t>
        </r>
        <r>
          <rPr>
            <sz val="9"/>
            <color indexed="81"/>
            <rFont val="Tahoma"/>
            <family val="2"/>
          </rPr>
          <t xml:space="preserve">
www.truevalue.com</t>
        </r>
      </text>
    </comment>
    <comment ref="AO922" authorId="3">
      <text>
        <r>
          <rPr>
            <b/>
            <sz val="9"/>
            <color indexed="81"/>
            <rFont val="Tahoma"/>
            <family val="2"/>
          </rPr>
          <t>Dawdy, John:</t>
        </r>
        <r>
          <rPr>
            <sz val="9"/>
            <color indexed="81"/>
            <rFont val="Tahoma"/>
            <family val="2"/>
          </rPr>
          <t xml:space="preserve">
www.insulationsaver.com</t>
        </r>
      </text>
    </comment>
    <comment ref="AP922" authorId="3">
      <text>
        <r>
          <rPr>
            <b/>
            <sz val="9"/>
            <color indexed="81"/>
            <rFont val="Tahoma"/>
            <family val="2"/>
          </rPr>
          <t>Dawdy, John:</t>
        </r>
        <r>
          <rPr>
            <sz val="9"/>
            <color indexed="81"/>
            <rFont val="Tahoma"/>
            <family val="2"/>
          </rPr>
          <t xml:space="preserve">
www.knaufinsulation.us</t>
        </r>
      </text>
    </comment>
    <comment ref="H923" authorId="1">
      <text>
        <r>
          <rPr>
            <b/>
            <sz val="9"/>
            <color indexed="81"/>
            <rFont val="Tahoma"/>
            <family val="2"/>
          </rPr>
          <t>Mike Ting:</t>
        </r>
        <r>
          <rPr>
            <sz val="9"/>
            <color indexed="81"/>
            <rFont val="Tahoma"/>
            <family val="2"/>
          </rPr>
          <t xml:space="preserve">
prices for batt insulation are per ft2</t>
        </r>
      </text>
    </comment>
    <comment ref="AD923" authorId="4">
      <text>
        <r>
          <rPr>
            <b/>
            <sz val="9"/>
            <color indexed="81"/>
            <rFont val="Tahoma"/>
            <family val="2"/>
          </rPr>
          <t>Jeremy Eddy:</t>
        </r>
        <r>
          <rPr>
            <sz val="9"/>
            <color indexed="81"/>
            <rFont val="Tahoma"/>
            <family val="2"/>
          </rPr>
          <t xml:space="preserve">
Descriptive stats are of the percentage difference between the two costs (Modeled-Actual) / Actual)</t>
        </r>
      </text>
    </comment>
    <comment ref="AA924" authorId="1">
      <text>
        <r>
          <rPr>
            <b/>
            <sz val="9"/>
            <color indexed="81"/>
            <rFont val="Tahoma"/>
            <family val="2"/>
          </rPr>
          <t>Mike Ting:</t>
        </r>
        <r>
          <rPr>
            <sz val="9"/>
            <color indexed="81"/>
            <rFont val="Tahoma"/>
            <family val="2"/>
          </rPr>
          <t xml:space="preserve">
= (MAE/sample mean) * predicted measure cost</t>
        </r>
      </text>
    </comment>
    <comment ref="H940" authorId="1">
      <text>
        <r>
          <rPr>
            <b/>
            <sz val="9"/>
            <color indexed="81"/>
            <rFont val="Tahoma"/>
            <family val="2"/>
          </rPr>
          <t>Mike Ting:</t>
        </r>
        <r>
          <rPr>
            <sz val="9"/>
            <color indexed="81"/>
            <rFont val="Tahoma"/>
            <family val="2"/>
          </rPr>
          <t xml:space="preserve">
prices for thermal curtains are per ft2</t>
        </r>
      </text>
    </comment>
    <comment ref="V940" authorId="1">
      <text>
        <r>
          <rPr>
            <b/>
            <sz val="9"/>
            <color indexed="81"/>
            <rFont val="Tahoma"/>
            <family val="2"/>
          </rPr>
          <t>Mike Ting:</t>
        </r>
        <r>
          <rPr>
            <sz val="9"/>
            <color indexed="81"/>
            <rFont val="Tahoma"/>
            <family val="2"/>
          </rPr>
          <t xml:space="preserve">
No product specs specified in DEER or WPs</t>
        </r>
      </text>
    </comment>
    <comment ref="AD940" authorId="0">
      <text>
        <r>
          <rPr>
            <b/>
            <sz val="9"/>
            <color indexed="81"/>
            <rFont val="Tahoma"/>
            <family val="2"/>
          </rPr>
          <t>Lucas Scheidler:</t>
        </r>
        <r>
          <rPr>
            <sz val="9"/>
            <color indexed="81"/>
            <rFont val="Tahoma"/>
            <family val="2"/>
          </rPr>
          <t xml:space="preserve">
Descriptive stats are on percentage difference between modeled and actual prices ((Modeled - Actual)/Actual)</t>
        </r>
      </text>
    </comment>
    <comment ref="AA941" authorId="1">
      <text>
        <r>
          <rPr>
            <b/>
            <sz val="9"/>
            <color indexed="81"/>
            <rFont val="Tahoma"/>
            <family val="2"/>
          </rPr>
          <t>Mike Ting:</t>
        </r>
        <r>
          <rPr>
            <sz val="9"/>
            <color indexed="81"/>
            <rFont val="Tahoma"/>
            <family val="2"/>
          </rPr>
          <t xml:space="preserve">
= (MAE/sample mean) * predicted measure cost</t>
        </r>
      </text>
    </comment>
    <comment ref="AI941" authorId="1">
      <text>
        <r>
          <rPr>
            <b/>
            <sz val="9"/>
            <color indexed="81"/>
            <rFont val="Tahoma"/>
            <family val="2"/>
          </rPr>
          <t>Jeremy Eddy:</t>
        </r>
        <r>
          <rPr>
            <sz val="9"/>
            <color indexed="81"/>
            <rFont val="Tahoma"/>
            <family val="2"/>
          </rPr>
          <t xml:space="preserve">
NOTE:  Only one of the four contractors providing artificial bids for this end use was willing to disaggregate cost for the curtain itself from other material costs.  This contractor's bid showed thermal curtain cost of $0.312 where the regression model would predict a price of a $0.20 for the same model without contractor markup and $0.30/sqft with the expected 50% contractor markup.  This is regarded as corroboration of the model.  The same contractor provided a second bid for a different thermal blanket material that yielded a cost of $0.612/sqft where the regression model would predict $0.40/sqft without contractor markup and $0.60 with contractor markup.  This is also regarded as corroboration of the model. </t>
        </r>
      </text>
    </comment>
    <comment ref="H951" authorId="1">
      <text>
        <r>
          <rPr>
            <b/>
            <sz val="9"/>
            <color indexed="81"/>
            <rFont val="Tahoma"/>
            <family val="2"/>
          </rPr>
          <t>Mike Ting:</t>
        </r>
        <r>
          <rPr>
            <sz val="9"/>
            <color indexed="81"/>
            <rFont val="Tahoma"/>
            <family val="2"/>
          </rPr>
          <t xml:space="preserve">
prices for reflective film are per ft2</t>
        </r>
      </text>
    </comment>
    <comment ref="AD951" authorId="0">
      <text>
        <r>
          <rPr>
            <b/>
            <sz val="9"/>
            <color indexed="81"/>
            <rFont val="Tahoma"/>
            <family val="2"/>
          </rPr>
          <t>Lucas Scheidler:</t>
        </r>
        <r>
          <rPr>
            <sz val="9"/>
            <color indexed="81"/>
            <rFont val="Tahoma"/>
            <family val="2"/>
          </rPr>
          <t xml:space="preserve">
Descriptive stats are on percentage difference between modeled and actual prices ((Modeled - Actual)/Actual)</t>
        </r>
      </text>
    </comment>
    <comment ref="AI951" authorId="2">
      <text>
        <r>
          <rPr>
            <b/>
            <sz val="9"/>
            <color indexed="81"/>
            <rFont val="Tahoma"/>
            <family val="2"/>
          </rPr>
          <t>Phillip Kelsven:</t>
        </r>
        <r>
          <rPr>
            <sz val="9"/>
            <color indexed="81"/>
            <rFont val="Tahoma"/>
            <family val="2"/>
          </rPr>
          <t xml:space="preserve">
quest artificial bid</t>
        </r>
      </text>
    </comment>
    <comment ref="AJ951" authorId="2">
      <text>
        <r>
          <rPr>
            <b/>
            <sz val="9"/>
            <color indexed="81"/>
            <rFont val="Tahoma"/>
            <family val="2"/>
          </rPr>
          <t>Phillip Kelsven:</t>
        </r>
        <r>
          <rPr>
            <sz val="9"/>
            <color indexed="81"/>
            <rFont val="Tahoma"/>
            <family val="2"/>
          </rPr>
          <t xml:space="preserve">
quest artificial bid</t>
        </r>
      </text>
    </comment>
    <comment ref="AK951" authorId="2">
      <text>
        <r>
          <rPr>
            <b/>
            <sz val="9"/>
            <color indexed="81"/>
            <rFont val="Tahoma"/>
            <family val="2"/>
          </rPr>
          <t>Phillip Kelsven:</t>
        </r>
        <r>
          <rPr>
            <sz val="9"/>
            <color indexed="81"/>
            <rFont val="Tahoma"/>
            <family val="2"/>
          </rPr>
          <t xml:space="preserve">
quest artificial bid
</t>
        </r>
      </text>
    </comment>
    <comment ref="E1047" authorId="5">
      <text>
        <r>
          <rPr>
            <b/>
            <sz val="9"/>
            <color indexed="81"/>
            <rFont val="Tahoma"/>
            <family val="2"/>
          </rPr>
          <t>Stryker, Andrew:</t>
        </r>
        <r>
          <rPr>
            <sz val="9"/>
            <color indexed="81"/>
            <rFont val="Tahoma"/>
            <family val="2"/>
          </rPr>
          <t xml:space="preserve">
Count does not include dimmables and therefore is less than the total number of observations.</t>
        </r>
      </text>
    </comment>
    <comment ref="AD1161" authorId="4">
      <text>
        <r>
          <rPr>
            <b/>
            <sz val="9"/>
            <color indexed="81"/>
            <rFont val="Tahoma"/>
            <family val="2"/>
          </rPr>
          <t>Jeremy Eddy:</t>
        </r>
        <r>
          <rPr>
            <sz val="9"/>
            <color indexed="81"/>
            <rFont val="Tahoma"/>
            <family val="2"/>
          </rPr>
          <t xml:space="preserve">
Descriptive stats are of the percentage difference between the two costs (Modeled-Actual / Actual)
Modeled prices include 25% markup</t>
        </r>
      </text>
    </comment>
    <comment ref="AI1161" authorId="2">
      <text>
        <r>
          <rPr>
            <b/>
            <sz val="9"/>
            <color indexed="81"/>
            <rFont val="Tahoma"/>
            <family val="2"/>
          </rPr>
          <t>Phillip Kelsven:</t>
        </r>
        <r>
          <rPr>
            <sz val="9"/>
            <color indexed="81"/>
            <rFont val="Tahoma"/>
            <family val="2"/>
          </rPr>
          <t xml:space="preserve">
www.platt.com
</t>
        </r>
      </text>
    </comment>
    <comment ref="AK1161" authorId="2">
      <text>
        <r>
          <rPr>
            <b/>
            <sz val="9"/>
            <color indexed="81"/>
            <rFont val="Tahoma"/>
            <family val="2"/>
          </rPr>
          <t>Phillip Kelsven:</t>
        </r>
        <r>
          <rPr>
            <sz val="9"/>
            <color indexed="81"/>
            <rFont val="Tahoma"/>
            <family val="2"/>
          </rPr>
          <t xml:space="preserve">
www.bulbs.com</t>
        </r>
      </text>
    </comment>
    <comment ref="AM1161" authorId="2">
      <text>
        <r>
          <rPr>
            <b/>
            <sz val="9"/>
            <color indexed="81"/>
            <rFont val="Tahoma"/>
            <family val="2"/>
          </rPr>
          <t>Phillip Kelsven:</t>
        </r>
        <r>
          <rPr>
            <sz val="9"/>
            <color indexed="81"/>
            <rFont val="Tahoma"/>
            <family val="2"/>
          </rPr>
          <t xml:space="preserve">
www.elightbulbs.com</t>
        </r>
      </text>
    </comment>
    <comment ref="AO1161" authorId="2">
      <text>
        <r>
          <rPr>
            <b/>
            <sz val="9"/>
            <color indexed="81"/>
            <rFont val="Tahoma"/>
            <family val="2"/>
          </rPr>
          <t>Phillip Kelsven:</t>
        </r>
        <r>
          <rPr>
            <sz val="9"/>
            <color indexed="81"/>
            <rFont val="Tahoma"/>
            <family val="2"/>
          </rPr>
          <t xml:space="preserve">
www.bulbtronics.com
</t>
        </r>
      </text>
    </comment>
    <comment ref="AJ1162" authorId="2">
      <text>
        <r>
          <rPr>
            <b/>
            <sz val="9"/>
            <color indexed="81"/>
            <rFont val="Tahoma"/>
            <family val="2"/>
          </rPr>
          <t>Phillip Kelsven:</t>
        </r>
        <r>
          <rPr>
            <sz val="9"/>
            <color indexed="81"/>
            <rFont val="Tahoma"/>
            <family val="2"/>
          </rPr>
          <t xml:space="preserve">
www.lightbulbemporium.com</t>
        </r>
      </text>
    </comment>
    <comment ref="AM1163" authorId="2">
      <text>
        <r>
          <rPr>
            <b/>
            <sz val="9"/>
            <color indexed="81"/>
            <rFont val="Tahoma"/>
            <family val="2"/>
          </rPr>
          <t>Phillip Kelsven:</t>
        </r>
        <r>
          <rPr>
            <sz val="9"/>
            <color indexed="81"/>
            <rFont val="Tahoma"/>
            <family val="2"/>
          </rPr>
          <t xml:space="preserve">
www.elightbulbs.com</t>
        </r>
      </text>
    </comment>
    <comment ref="AN1163" authorId="2">
      <text>
        <r>
          <rPr>
            <b/>
            <sz val="9"/>
            <color indexed="81"/>
            <rFont val="Tahoma"/>
            <family val="2"/>
          </rPr>
          <t>Phillip Kelsven:</t>
        </r>
        <r>
          <rPr>
            <sz val="9"/>
            <color indexed="81"/>
            <rFont val="Tahoma"/>
            <family val="2"/>
          </rPr>
          <t xml:space="preserve">
http://www.lightingsupply.com
</t>
        </r>
      </text>
    </comment>
    <comment ref="AP1163" authorId="2">
      <text>
        <r>
          <rPr>
            <b/>
            <sz val="9"/>
            <color indexed="81"/>
            <rFont val="Tahoma"/>
            <family val="2"/>
          </rPr>
          <t>Phillip Kelsven:</t>
        </r>
        <r>
          <rPr>
            <sz val="9"/>
            <color indexed="81"/>
            <rFont val="Tahoma"/>
            <family val="2"/>
          </rPr>
          <t xml:space="preserve">
www.newegg.com</t>
        </r>
      </text>
    </comment>
    <comment ref="AL1164" authorId="2">
      <text>
        <r>
          <rPr>
            <b/>
            <sz val="9"/>
            <color indexed="81"/>
            <rFont val="Tahoma"/>
            <family val="2"/>
          </rPr>
          <t>Phillip Kelsven:</t>
        </r>
        <r>
          <rPr>
            <sz val="9"/>
            <color indexed="81"/>
            <rFont val="Tahoma"/>
            <family val="2"/>
          </rPr>
          <t xml:space="preserve">
www.amazon.com</t>
        </r>
      </text>
    </comment>
    <comment ref="B1167" authorId="1">
      <text>
        <r>
          <rPr>
            <b/>
            <sz val="9"/>
            <color indexed="81"/>
            <rFont val="Tahoma"/>
            <family val="2"/>
          </rPr>
          <t>Mike Ting:</t>
        </r>
        <r>
          <rPr>
            <sz val="9"/>
            <color indexed="81"/>
            <rFont val="Tahoma"/>
            <family val="2"/>
          </rPr>
          <t xml:space="preserve">
various trade names for this, including Tuff Guard</t>
        </r>
      </text>
    </comment>
    <comment ref="B1169" authorId="1">
      <text>
        <r>
          <rPr>
            <b/>
            <sz val="9"/>
            <color indexed="81"/>
            <rFont val="Tahoma"/>
            <family val="2"/>
          </rPr>
          <t>Mike Ting:</t>
        </r>
        <r>
          <rPr>
            <sz val="9"/>
            <color indexed="81"/>
            <rFont val="Tahoma"/>
            <family val="2"/>
          </rPr>
          <t xml:space="preserve">
various trade names for this, including "ECO"</t>
        </r>
      </text>
    </comment>
    <comment ref="AD1172" authorId="4">
      <text>
        <r>
          <rPr>
            <b/>
            <sz val="9"/>
            <color indexed="81"/>
            <rFont val="Tahoma"/>
            <family val="2"/>
          </rPr>
          <t>Jeremy Eddy:</t>
        </r>
        <r>
          <rPr>
            <sz val="9"/>
            <color indexed="81"/>
            <rFont val="Tahoma"/>
            <family val="2"/>
          </rPr>
          <t xml:space="preserve">
Descriptive stats are of the percentage difference between the two costs (Modeled-Actual / Actual)
Modeled prices include 25% markup
</t>
        </r>
      </text>
    </comment>
    <comment ref="AI1172" authorId="2">
      <text>
        <r>
          <rPr>
            <b/>
            <sz val="9"/>
            <color indexed="81"/>
            <rFont val="Tahoma"/>
            <family val="2"/>
          </rPr>
          <t>Phillip Kelsven:</t>
        </r>
        <r>
          <rPr>
            <sz val="9"/>
            <color indexed="81"/>
            <rFont val="Tahoma"/>
            <family val="2"/>
          </rPr>
          <t xml:space="preserve">
http://www.amazon.com
</t>
        </r>
      </text>
    </comment>
    <comment ref="AL1172" authorId="2">
      <text>
        <r>
          <rPr>
            <b/>
            <sz val="9"/>
            <color indexed="81"/>
            <rFont val="Tahoma"/>
            <family val="2"/>
          </rPr>
          <t>Phillip Kelsven:</t>
        </r>
        <r>
          <rPr>
            <sz val="9"/>
            <color indexed="81"/>
            <rFont val="Tahoma"/>
            <family val="2"/>
          </rPr>
          <t xml:space="preserve">
http://www.globalindustrial.com
</t>
        </r>
      </text>
    </comment>
    <comment ref="AJ1173" authorId="2">
      <text>
        <r>
          <rPr>
            <b/>
            <sz val="9"/>
            <color indexed="81"/>
            <rFont val="Tahoma"/>
            <family val="2"/>
          </rPr>
          <t>Phillip Kelsven:</t>
        </r>
        <r>
          <rPr>
            <sz val="9"/>
            <color indexed="81"/>
            <rFont val="Tahoma"/>
            <family val="2"/>
          </rPr>
          <t xml:space="preserve">
http://www.newegg.com</t>
        </r>
      </text>
    </comment>
    <comment ref="AK1174" authorId="2">
      <text>
        <r>
          <rPr>
            <b/>
            <sz val="9"/>
            <color indexed="81"/>
            <rFont val="Tahoma"/>
            <family val="2"/>
          </rPr>
          <t>Phillip Kelsven:</t>
        </r>
        <r>
          <rPr>
            <sz val="9"/>
            <color indexed="81"/>
            <rFont val="Tahoma"/>
            <family val="2"/>
          </rPr>
          <t xml:space="preserve">
http://www.elightbulbs.com</t>
        </r>
      </text>
    </comment>
    <comment ref="B1177" authorId="1">
      <text>
        <r>
          <rPr>
            <b/>
            <sz val="9"/>
            <color indexed="81"/>
            <rFont val="Tahoma"/>
            <family val="2"/>
          </rPr>
          <t>Mike Ting:</t>
        </r>
        <r>
          <rPr>
            <sz val="9"/>
            <color indexed="81"/>
            <rFont val="Tahoma"/>
            <family val="2"/>
          </rPr>
          <t xml:space="preserve">
defined as &gt;=35,000 hours</t>
        </r>
      </text>
    </comment>
    <comment ref="AD1183" authorId="4">
      <text>
        <r>
          <rPr>
            <b/>
            <sz val="9"/>
            <color indexed="81"/>
            <rFont val="Tahoma"/>
            <family val="2"/>
          </rPr>
          <t>Jeremy Eddy:</t>
        </r>
        <r>
          <rPr>
            <sz val="9"/>
            <color indexed="81"/>
            <rFont val="Tahoma"/>
            <family val="2"/>
          </rPr>
          <t xml:space="preserve">
Descriptive stats are of the percentage difference between the two costs (Modeled-Actual / Actual)
Modeled prices include 25% markup.  There are only two to validate here these are the actual differences
</t>
        </r>
      </text>
    </comment>
    <comment ref="AI1183" authorId="2">
      <text>
        <r>
          <rPr>
            <b/>
            <sz val="9"/>
            <color indexed="81"/>
            <rFont val="Tahoma"/>
            <family val="2"/>
          </rPr>
          <t>Phillip Kelsven:</t>
        </r>
        <r>
          <rPr>
            <sz val="9"/>
            <color indexed="81"/>
            <rFont val="Tahoma"/>
            <family val="2"/>
          </rPr>
          <t xml:space="preserve">
http://www.bulbs.com
</t>
        </r>
      </text>
    </comment>
    <comment ref="AJ1183" authorId="2">
      <text>
        <r>
          <rPr>
            <b/>
            <sz val="9"/>
            <color indexed="81"/>
            <rFont val="Tahoma"/>
            <family val="2"/>
          </rPr>
          <t>Phillip Kelsven:</t>
        </r>
        <r>
          <rPr>
            <sz val="9"/>
            <color indexed="81"/>
            <rFont val="Tahoma"/>
            <family val="2"/>
          </rPr>
          <t xml:space="preserve">
www.platt.com
</t>
        </r>
      </text>
    </comment>
    <comment ref="AK1183" authorId="2">
      <text>
        <r>
          <rPr>
            <b/>
            <sz val="9"/>
            <color indexed="81"/>
            <rFont val="Tahoma"/>
            <family val="2"/>
          </rPr>
          <t>Phillip Kelsven:</t>
        </r>
        <r>
          <rPr>
            <sz val="9"/>
            <color indexed="81"/>
            <rFont val="Tahoma"/>
            <family val="2"/>
          </rPr>
          <t xml:space="preserve">
http://www.codale.com</t>
        </r>
      </text>
    </comment>
    <comment ref="AL1184" authorId="2">
      <text>
        <r>
          <rPr>
            <b/>
            <sz val="9"/>
            <color indexed="81"/>
            <rFont val="Tahoma"/>
            <family val="2"/>
          </rPr>
          <t>Phillip Kelsven:</t>
        </r>
        <r>
          <rPr>
            <sz val="9"/>
            <color indexed="81"/>
            <rFont val="Tahoma"/>
            <family val="2"/>
          </rPr>
          <t xml:space="preserve">
http://www.amazon.com
</t>
        </r>
      </text>
    </comment>
    <comment ref="AM1184" authorId="2">
      <text>
        <r>
          <rPr>
            <b/>
            <sz val="9"/>
            <color indexed="81"/>
            <rFont val="Tahoma"/>
            <family val="2"/>
          </rPr>
          <t>Phillip Kelsven:</t>
        </r>
        <r>
          <rPr>
            <sz val="9"/>
            <color indexed="81"/>
            <rFont val="Tahoma"/>
            <family val="2"/>
          </rPr>
          <t xml:space="preserve">
http://www.gordonelectricsupply.com
</t>
        </r>
      </text>
    </comment>
    <comment ref="AN1184" authorId="2">
      <text>
        <r>
          <rPr>
            <b/>
            <sz val="9"/>
            <color indexed="81"/>
            <rFont val="Tahoma"/>
            <family val="2"/>
          </rPr>
          <t>Phillip Kelsven:</t>
        </r>
        <r>
          <rPr>
            <sz val="9"/>
            <color indexed="81"/>
            <rFont val="Tahoma"/>
            <family val="2"/>
          </rPr>
          <t xml:space="preserve">
www.munroelectric.com
</t>
        </r>
      </text>
    </comment>
    <comment ref="B1187" authorId="1">
      <text>
        <r>
          <rPr>
            <b/>
            <sz val="9"/>
            <color indexed="81"/>
            <rFont val="Tahoma"/>
            <family val="2"/>
          </rPr>
          <t>Mike Ting:</t>
        </r>
        <r>
          <rPr>
            <sz val="9"/>
            <color indexed="81"/>
            <rFont val="Tahoma"/>
            <family val="2"/>
          </rPr>
          <t xml:space="preserve">
various trade names for this, including Tuff Guard</t>
        </r>
      </text>
    </comment>
    <comment ref="AD1194" authorId="4">
      <text>
        <r>
          <rPr>
            <b/>
            <sz val="9"/>
            <color indexed="81"/>
            <rFont val="Tahoma"/>
            <family val="2"/>
          </rPr>
          <t>Jeremy Eddy:</t>
        </r>
        <r>
          <rPr>
            <sz val="9"/>
            <color indexed="81"/>
            <rFont val="Tahoma"/>
            <family val="2"/>
          </rPr>
          <t xml:space="preserve">
Descriptive stats are of the percentage difference between the two costs (Modeled-Actual / Actual)
modeled prics inlcude 25% markup</t>
        </r>
      </text>
    </comment>
    <comment ref="AI1194" authorId="3">
      <text>
        <r>
          <rPr>
            <b/>
            <sz val="9"/>
            <color indexed="81"/>
            <rFont val="Tahoma"/>
            <family val="2"/>
          </rPr>
          <t>Dawdy, John:</t>
        </r>
        <r>
          <rPr>
            <sz val="9"/>
            <color indexed="81"/>
            <rFont val="Tahoma"/>
            <family val="2"/>
          </rPr>
          <t xml:space="preserve">
https://www.platt.com/platt-electric-supply/Fluorescent-Tube-T5-High-Output/Philips/F24T5-830-HO-ALTO/product.aspx?zpid=418463</t>
        </r>
      </text>
    </comment>
    <comment ref="AK1194" authorId="3">
      <text>
        <r>
          <rPr>
            <b/>
            <sz val="9"/>
            <color indexed="81"/>
            <rFont val="Tahoma"/>
            <family val="2"/>
          </rPr>
          <t>Dawdy, John:</t>
        </r>
        <r>
          <rPr>
            <sz val="9"/>
            <color indexed="81"/>
            <rFont val="Tahoma"/>
            <family val="2"/>
          </rPr>
          <t xml:space="preserve">
http://www.bulbs.com/espec.aspx?ID=11758</t>
        </r>
      </text>
    </comment>
    <comment ref="AM1194" authorId="3">
      <text>
        <r>
          <rPr>
            <b/>
            <sz val="9"/>
            <color indexed="81"/>
            <rFont val="Tahoma"/>
            <family val="2"/>
          </rPr>
          <t>Dawdy, John:</t>
        </r>
        <r>
          <rPr>
            <sz val="9"/>
            <color indexed="81"/>
            <rFont val="Tahoma"/>
            <family val="2"/>
          </rPr>
          <t xml:space="preserve">
http://www.elightbulbs.com/Philips-290197-F24T5-830-HO-Straight-T5-Fluorescent-Tube</t>
        </r>
      </text>
    </comment>
    <comment ref="AP1194" authorId="3">
      <text>
        <r>
          <rPr>
            <b/>
            <sz val="9"/>
            <color indexed="81"/>
            <rFont val="Tahoma"/>
            <family val="2"/>
          </rPr>
          <t>Dawdy, John:</t>
        </r>
        <r>
          <rPr>
            <sz val="9"/>
            <color indexed="81"/>
            <rFont val="Tahoma"/>
            <family val="2"/>
          </rPr>
          <t xml:space="preserve">
http://www.bulbtronics.com/Search-The-Warehouse/ProductDetail.aspx?sid=0029197&amp;pid=PHF24T5830HO&amp;Source=SearchResults</t>
        </r>
      </text>
    </comment>
    <comment ref="AN1195" authorId="3">
      <text>
        <r>
          <rPr>
            <b/>
            <sz val="9"/>
            <color indexed="81"/>
            <rFont val="Tahoma"/>
            <family val="2"/>
          </rPr>
          <t>Dawdy, John:</t>
        </r>
        <r>
          <rPr>
            <sz val="9"/>
            <color indexed="81"/>
            <rFont val="Tahoma"/>
            <family val="2"/>
          </rPr>
          <t xml:space="preserve">
http://www.lightbulbplanet.com/t5-14w-2ft-3500k-85cri-philips.html</t>
        </r>
      </text>
    </comment>
    <comment ref="AJ1196" authorId="3">
      <text>
        <r>
          <rPr>
            <b/>
            <sz val="9"/>
            <color indexed="81"/>
            <rFont val="Tahoma"/>
            <family val="2"/>
          </rPr>
          <t>Dawdy, John:</t>
        </r>
        <r>
          <rPr>
            <sz val="9"/>
            <color indexed="81"/>
            <rFont val="Tahoma"/>
            <family val="2"/>
          </rPr>
          <t xml:space="preserve">
http://www.lightbulbdistrict.com/linear-fluorescent/f24t5-865-ho-env.html</t>
        </r>
      </text>
    </comment>
    <comment ref="AL1196" authorId="3">
      <text>
        <r>
          <rPr>
            <b/>
            <sz val="9"/>
            <color indexed="81"/>
            <rFont val="Tahoma"/>
            <family val="2"/>
          </rPr>
          <t>Dawdy, John:</t>
        </r>
        <r>
          <rPr>
            <sz val="9"/>
            <color indexed="81"/>
            <rFont val="Tahoma"/>
            <family val="2"/>
          </rPr>
          <t xml:space="preserve">
http://www.satcolightbulbs.com/satco-s8119-f24t5-865-ho-env.asp</t>
        </r>
      </text>
    </comment>
    <comment ref="AO1196" authorId="3">
      <text>
        <r>
          <rPr>
            <b/>
            <sz val="9"/>
            <color indexed="81"/>
            <rFont val="Tahoma"/>
            <family val="2"/>
          </rPr>
          <t>Dawdy, John:</t>
        </r>
        <r>
          <rPr>
            <sz val="9"/>
            <color indexed="81"/>
            <rFont val="Tahoma"/>
            <family val="2"/>
          </rPr>
          <t xml:space="preserve">
http://www.globalindustrial.com/p/electrical/bulbs/fluorescent-linear/f24vt5-865-ho-env-24vw-fluorescent-w-minature-bi-pin-base-cool-white</t>
        </r>
      </text>
    </comment>
    <comment ref="AQ1196" authorId="3">
      <text>
        <r>
          <rPr>
            <b/>
            <sz val="9"/>
            <color indexed="81"/>
            <rFont val="Tahoma"/>
            <family val="2"/>
          </rPr>
          <t>Dawdy, John:</t>
        </r>
        <r>
          <rPr>
            <sz val="9"/>
            <color indexed="81"/>
            <rFont val="Tahoma"/>
            <family val="2"/>
          </rPr>
          <t xml:space="preserve">
http://www.superiorlighting.com/24_Watt_Fluorescent_T5_Minature_BiPin_Light_Bulb_p/s8119-sat.htm</t>
        </r>
      </text>
    </comment>
    <comment ref="B1197" authorId="1">
      <text>
        <r>
          <rPr>
            <b/>
            <sz val="9"/>
            <color indexed="81"/>
            <rFont val="Tahoma"/>
            <family val="2"/>
          </rPr>
          <t>Mike Ting:</t>
        </r>
        <r>
          <rPr>
            <sz val="9"/>
            <color indexed="81"/>
            <rFont val="Tahoma"/>
            <family val="2"/>
          </rPr>
          <t xml:space="preserve">
various trade names for this, including "ECO"</t>
        </r>
      </text>
    </comment>
    <comment ref="B1199" authorId="1">
      <text>
        <r>
          <rPr>
            <b/>
            <sz val="9"/>
            <color indexed="81"/>
            <rFont val="Tahoma"/>
            <family val="2"/>
          </rPr>
          <t>Mike Ting:</t>
        </r>
        <r>
          <rPr>
            <sz val="9"/>
            <color indexed="81"/>
            <rFont val="Tahoma"/>
            <family val="2"/>
          </rPr>
          <t xml:space="preserve">
various trade names for this, including Tuff Guard</t>
        </r>
      </text>
    </comment>
    <comment ref="AS1199" authorId="2">
      <text>
        <r>
          <rPr>
            <b/>
            <sz val="9"/>
            <color indexed="81"/>
            <rFont val="Tahoma"/>
            <family val="2"/>
          </rPr>
          <t>Phillip Kelsven:</t>
        </r>
        <r>
          <rPr>
            <sz val="9"/>
            <color indexed="81"/>
            <rFont val="Tahoma"/>
            <family val="2"/>
          </rPr>
          <t xml:space="preserve">
http://www.alldaylighting.com
</t>
        </r>
      </text>
    </comment>
    <comment ref="AU1199" authorId="2">
      <text>
        <r>
          <rPr>
            <b/>
            <sz val="9"/>
            <color indexed="81"/>
            <rFont val="Tahoma"/>
            <family val="2"/>
          </rPr>
          <t>Phillip Kelsven:</t>
        </r>
        <r>
          <rPr>
            <sz val="9"/>
            <color indexed="81"/>
            <rFont val="Tahoma"/>
            <family val="2"/>
          </rPr>
          <t xml:space="preserve">
http://www.adlsupply.com
</t>
        </r>
      </text>
    </comment>
    <comment ref="AR1200" authorId="2">
      <text>
        <r>
          <rPr>
            <b/>
            <sz val="9"/>
            <color indexed="81"/>
            <rFont val="Tahoma"/>
            <family val="2"/>
          </rPr>
          <t>Phillip Kelsven:</t>
        </r>
        <r>
          <rPr>
            <sz val="9"/>
            <color indexed="81"/>
            <rFont val="Tahoma"/>
            <family val="2"/>
          </rPr>
          <t xml:space="preserve">
http://www.lightingsupply.com</t>
        </r>
      </text>
    </comment>
    <comment ref="AT1200" authorId="2">
      <text>
        <r>
          <rPr>
            <b/>
            <sz val="9"/>
            <color indexed="81"/>
            <rFont val="Tahoma"/>
            <family val="2"/>
          </rPr>
          <t>Phillip Kelsven:</t>
        </r>
        <r>
          <rPr>
            <sz val="9"/>
            <color indexed="81"/>
            <rFont val="Tahoma"/>
            <family val="2"/>
          </rPr>
          <t xml:space="preserve">
www.amazon.com
</t>
        </r>
      </text>
    </comment>
    <comment ref="B1201" authorId="1">
      <text>
        <r>
          <rPr>
            <b/>
            <sz val="9"/>
            <color indexed="81"/>
            <rFont val="Tahoma"/>
            <family val="2"/>
          </rPr>
          <t>Mike Ting:</t>
        </r>
        <r>
          <rPr>
            <sz val="9"/>
            <color indexed="81"/>
            <rFont val="Tahoma"/>
            <family val="2"/>
          </rPr>
          <t xml:space="preserve">
defined as &gt;=35,000 hours</t>
        </r>
      </text>
    </comment>
    <comment ref="AD1212" authorId="0">
      <text>
        <r>
          <rPr>
            <b/>
            <sz val="9"/>
            <color indexed="81"/>
            <rFont val="Tahoma"/>
            <family val="2"/>
          </rPr>
          <t>Lucas Scheidler:</t>
        </r>
        <r>
          <rPr>
            <sz val="9"/>
            <color indexed="81"/>
            <rFont val="Tahoma"/>
            <family val="2"/>
          </rPr>
          <t xml:space="preserve">
Descriptive stats are on percentage difference between modeled and actual prices ((Modeled - Actual)/Actual)</t>
        </r>
      </text>
    </comment>
    <comment ref="AI1212" authorId="2">
      <text>
        <r>
          <rPr>
            <b/>
            <sz val="9"/>
            <color indexed="81"/>
            <rFont val="Tahoma"/>
            <family val="2"/>
          </rPr>
          <t>Phillip Kelsven:</t>
        </r>
        <r>
          <rPr>
            <sz val="9"/>
            <color indexed="81"/>
            <rFont val="Tahoma"/>
            <family val="2"/>
          </rPr>
          <t xml:space="preserve">
www.platt.com</t>
        </r>
      </text>
    </comment>
    <comment ref="AJ1212" authorId="2">
      <text>
        <r>
          <rPr>
            <b/>
            <sz val="9"/>
            <color indexed="81"/>
            <rFont val="Tahoma"/>
            <family val="2"/>
          </rPr>
          <t>Phillip Kelsven:</t>
        </r>
        <r>
          <rPr>
            <sz val="9"/>
            <color indexed="81"/>
            <rFont val="Tahoma"/>
            <family val="2"/>
          </rPr>
          <t xml:space="preserve">
http://1000bulbs.com</t>
        </r>
      </text>
    </comment>
    <comment ref="AQ1212" authorId="2">
      <text>
        <r>
          <rPr>
            <b/>
            <sz val="9"/>
            <color indexed="81"/>
            <rFont val="Tahoma"/>
            <family val="2"/>
          </rPr>
          <t>Phillip Kelsven:</t>
        </r>
        <r>
          <rPr>
            <sz val="9"/>
            <color indexed="81"/>
            <rFont val="Tahoma"/>
            <family val="2"/>
          </rPr>
          <t xml:space="preserve">
http://www.lightbulbplanet.com</t>
        </r>
      </text>
    </comment>
    <comment ref="AR1212" authorId="2">
      <text>
        <r>
          <rPr>
            <b/>
            <sz val="9"/>
            <color indexed="81"/>
            <rFont val="Tahoma"/>
            <family val="2"/>
          </rPr>
          <t>Phillip Kelsven:</t>
        </r>
        <r>
          <rPr>
            <sz val="9"/>
            <color indexed="81"/>
            <rFont val="Tahoma"/>
            <family val="2"/>
          </rPr>
          <t xml:space="preserve">
http://www.capitalelectricalsupply.com
</t>
        </r>
      </text>
    </comment>
    <comment ref="AM1213" authorId="2">
      <text>
        <r>
          <rPr>
            <b/>
            <sz val="9"/>
            <color indexed="81"/>
            <rFont val="Tahoma"/>
            <family val="2"/>
          </rPr>
          <t>Phillip Kelsven:</t>
        </r>
        <r>
          <rPr>
            <sz val="9"/>
            <color indexed="81"/>
            <rFont val="Tahoma"/>
            <family val="2"/>
          </rPr>
          <t xml:space="preserve">
munro electric
</t>
        </r>
      </text>
    </comment>
    <comment ref="AN1213" authorId="2">
      <text>
        <r>
          <rPr>
            <b/>
            <sz val="9"/>
            <color indexed="81"/>
            <rFont val="Tahoma"/>
            <family val="2"/>
          </rPr>
          <t>Phillip Kelsven:</t>
        </r>
        <r>
          <rPr>
            <sz val="9"/>
            <color indexed="81"/>
            <rFont val="Tahoma"/>
            <family val="2"/>
          </rPr>
          <t xml:space="preserve">
ideal electric
</t>
        </r>
      </text>
    </comment>
    <comment ref="AO1213" authorId="2">
      <text>
        <r>
          <rPr>
            <b/>
            <sz val="9"/>
            <color indexed="81"/>
            <rFont val="Tahoma"/>
            <family val="2"/>
          </rPr>
          <t>Phillip Kelsven:</t>
        </r>
        <r>
          <rPr>
            <sz val="9"/>
            <color indexed="81"/>
            <rFont val="Tahoma"/>
            <family val="2"/>
          </rPr>
          <t xml:space="preserve">
frontier lighting
</t>
        </r>
      </text>
    </comment>
    <comment ref="AS1214" authorId="2">
      <text>
        <r>
          <rPr>
            <b/>
            <sz val="9"/>
            <color indexed="81"/>
            <rFont val="Tahoma"/>
            <family val="2"/>
          </rPr>
          <t>Phillip Kelsven:</t>
        </r>
        <r>
          <rPr>
            <sz val="9"/>
            <color indexed="81"/>
            <rFont val="Tahoma"/>
            <family val="2"/>
          </rPr>
          <t xml:space="preserve">
http://www.ballastshop.com</t>
        </r>
      </text>
    </comment>
    <comment ref="AT1214" authorId="2">
      <text>
        <r>
          <rPr>
            <b/>
            <sz val="9"/>
            <color indexed="81"/>
            <rFont val="Tahoma"/>
            <family val="2"/>
          </rPr>
          <t>Phillip Kelsven:</t>
        </r>
        <r>
          <rPr>
            <sz val="9"/>
            <color indexed="81"/>
            <rFont val="Tahoma"/>
            <family val="2"/>
          </rPr>
          <t xml:space="preserve">
www.elliottelectric.com</t>
        </r>
      </text>
    </comment>
    <comment ref="AK1215" authorId="2">
      <text>
        <r>
          <rPr>
            <b/>
            <sz val="9"/>
            <color indexed="81"/>
            <rFont val="Tahoma"/>
            <family val="2"/>
          </rPr>
          <t>Phillip Kelsven:</t>
        </r>
        <r>
          <rPr>
            <sz val="9"/>
            <color indexed="81"/>
            <rFont val="Tahoma"/>
            <family val="2"/>
          </rPr>
          <t xml:space="preserve">
ballastdiscount.com</t>
        </r>
      </text>
    </comment>
    <comment ref="AL1215" authorId="2">
      <text>
        <r>
          <rPr>
            <b/>
            <sz val="9"/>
            <color indexed="81"/>
            <rFont val="Tahoma"/>
            <family val="2"/>
          </rPr>
          <t>Phillip Kelsven:</t>
        </r>
        <r>
          <rPr>
            <sz val="9"/>
            <color indexed="81"/>
            <rFont val="Tahoma"/>
            <family val="2"/>
          </rPr>
          <t xml:space="preserve">
</t>
        </r>
      </text>
    </comment>
    <comment ref="AP1215" authorId="2">
      <text>
        <r>
          <rPr>
            <b/>
            <sz val="9"/>
            <color indexed="81"/>
            <rFont val="Tahoma"/>
            <family val="2"/>
          </rPr>
          <t>Phillip Kelsven:</t>
        </r>
        <r>
          <rPr>
            <sz val="9"/>
            <color indexed="81"/>
            <rFont val="Tahoma"/>
            <family val="2"/>
          </rPr>
          <t xml:space="preserve">
elightbulbs.com
</t>
        </r>
      </text>
    </comment>
    <comment ref="AD1223" authorId="0">
      <text>
        <r>
          <rPr>
            <b/>
            <sz val="9"/>
            <color indexed="81"/>
            <rFont val="Tahoma"/>
            <family val="2"/>
          </rPr>
          <t>Lucas Scheidler:</t>
        </r>
        <r>
          <rPr>
            <sz val="9"/>
            <color indexed="81"/>
            <rFont val="Tahoma"/>
            <family val="2"/>
          </rPr>
          <t xml:space="preserve">
Descriptive stats are on percentage difference between modeled and actual prices ((Modeled - Actual)/Actual)</t>
        </r>
      </text>
    </comment>
    <comment ref="AI1223" authorId="2">
      <text>
        <r>
          <rPr>
            <b/>
            <sz val="9"/>
            <color indexed="81"/>
            <rFont val="Tahoma"/>
            <family val="2"/>
          </rPr>
          <t>Phillip Kelsven:</t>
        </r>
        <r>
          <rPr>
            <sz val="9"/>
            <color indexed="81"/>
            <rFont val="Tahoma"/>
            <family val="2"/>
          </rPr>
          <t xml:space="preserve">
www.platt.com</t>
        </r>
      </text>
    </comment>
    <comment ref="AK1223" authorId="2">
      <text>
        <r>
          <rPr>
            <b/>
            <sz val="9"/>
            <color indexed="81"/>
            <rFont val="Tahoma"/>
            <family val="2"/>
          </rPr>
          <t>Phillip Kelsven:</t>
        </r>
        <r>
          <rPr>
            <sz val="9"/>
            <color indexed="81"/>
            <rFont val="Tahoma"/>
            <family val="2"/>
          </rPr>
          <t xml:space="preserve">
plccenter.com</t>
        </r>
      </text>
    </comment>
    <comment ref="AL1223" authorId="2">
      <text>
        <r>
          <rPr>
            <b/>
            <sz val="9"/>
            <color indexed="81"/>
            <rFont val="Tahoma"/>
            <family val="2"/>
          </rPr>
          <t>Phillip Kelsven:</t>
        </r>
        <r>
          <rPr>
            <sz val="9"/>
            <color indexed="81"/>
            <rFont val="Tahoma"/>
            <family val="2"/>
          </rPr>
          <t xml:space="preserve">
lightbulbandballastsupply.com
</t>
        </r>
      </text>
    </comment>
    <comment ref="AM1223" authorId="2">
      <text>
        <r>
          <rPr>
            <b/>
            <sz val="9"/>
            <color indexed="81"/>
            <rFont val="Tahoma"/>
            <family val="2"/>
          </rPr>
          <t>Phillip Kelsven:</t>
        </r>
        <r>
          <rPr>
            <sz val="9"/>
            <color indexed="81"/>
            <rFont val="Tahoma"/>
            <family val="2"/>
          </rPr>
          <t xml:space="preserve">
iballast.com
</t>
        </r>
      </text>
    </comment>
    <comment ref="AJ1224" authorId="2">
      <text>
        <r>
          <rPr>
            <b/>
            <sz val="9"/>
            <color indexed="81"/>
            <rFont val="Tahoma"/>
            <family val="2"/>
          </rPr>
          <t>Phillip Kelsven:</t>
        </r>
        <r>
          <rPr>
            <sz val="9"/>
            <color indexed="81"/>
            <rFont val="Tahoma"/>
            <family val="2"/>
          </rPr>
          <t xml:space="preserve">
elliot electric</t>
        </r>
      </text>
    </comment>
    <comment ref="AN1224" authorId="2">
      <text>
        <r>
          <rPr>
            <b/>
            <sz val="9"/>
            <color indexed="81"/>
            <rFont val="Tahoma"/>
            <family val="2"/>
          </rPr>
          <t>Phillip Kelsven:</t>
        </r>
        <r>
          <rPr>
            <sz val="9"/>
            <color indexed="81"/>
            <rFont val="Tahoma"/>
            <family val="2"/>
          </rPr>
          <t xml:space="preserve">
http://1000bulbs.com
</t>
        </r>
      </text>
    </comment>
    <comment ref="AO1224" authorId="2">
      <text>
        <r>
          <rPr>
            <b/>
            <sz val="9"/>
            <color indexed="81"/>
            <rFont val="Tahoma"/>
            <family val="2"/>
          </rPr>
          <t>Phillip Kelsven:</t>
        </r>
        <r>
          <rPr>
            <sz val="9"/>
            <color indexed="81"/>
            <rFont val="Tahoma"/>
            <family val="2"/>
          </rPr>
          <t xml:space="preserve">
www.ballastshop.com</t>
        </r>
      </text>
    </comment>
    <comment ref="AP1224" authorId="2">
      <text>
        <r>
          <rPr>
            <b/>
            <sz val="9"/>
            <color indexed="81"/>
            <rFont val="Tahoma"/>
            <family val="2"/>
          </rPr>
          <t>Phillip Kelsven:</t>
        </r>
        <r>
          <rPr>
            <sz val="9"/>
            <color indexed="81"/>
            <rFont val="Tahoma"/>
            <family val="2"/>
          </rPr>
          <t xml:space="preserve">
http://www.prolighting.com</t>
        </r>
      </text>
    </comment>
    <comment ref="AR1225" authorId="2">
      <text>
        <r>
          <rPr>
            <b/>
            <sz val="9"/>
            <color indexed="81"/>
            <rFont val="Tahoma"/>
            <family val="2"/>
          </rPr>
          <t>Phillip Kelsven:</t>
        </r>
        <r>
          <rPr>
            <sz val="9"/>
            <color indexed="81"/>
            <rFont val="Tahoma"/>
            <family val="2"/>
          </rPr>
          <t xml:space="preserve">
http://www.amazon.com</t>
        </r>
      </text>
    </comment>
    <comment ref="AQ1226" authorId="2">
      <text>
        <r>
          <rPr>
            <b/>
            <sz val="9"/>
            <color indexed="81"/>
            <rFont val="Tahoma"/>
            <family val="2"/>
          </rPr>
          <t>Phillip Kelsven:</t>
        </r>
        <r>
          <rPr>
            <sz val="9"/>
            <color indexed="81"/>
            <rFont val="Tahoma"/>
            <family val="2"/>
          </rPr>
          <t xml:space="preserve">
www2.citywholesaleelectric.com</t>
        </r>
      </text>
    </comment>
    <comment ref="AD1234" authorId="4">
      <text>
        <r>
          <rPr>
            <b/>
            <sz val="9"/>
            <color indexed="81"/>
            <rFont val="Tahoma"/>
            <family val="2"/>
          </rPr>
          <t>Jeremy Eddy:</t>
        </r>
        <r>
          <rPr>
            <sz val="9"/>
            <color indexed="81"/>
            <rFont val="Tahoma"/>
            <family val="2"/>
          </rPr>
          <t xml:space="preserve">
Descriptive stats are of the percentage difference between the two costs (Modeled-Actual / Actual)</t>
        </r>
      </text>
    </comment>
    <comment ref="AI1236" authorId="2">
      <text>
        <r>
          <rPr>
            <b/>
            <sz val="9"/>
            <color indexed="81"/>
            <rFont val="Tahoma"/>
            <family val="2"/>
          </rPr>
          <t>Phillip Kelsven:</t>
        </r>
        <r>
          <rPr>
            <sz val="9"/>
            <color indexed="81"/>
            <rFont val="Tahoma"/>
            <family val="2"/>
          </rPr>
          <t xml:space="preserve">
https://west.westburne.ca
</t>
        </r>
      </text>
    </comment>
    <comment ref="AJ1238" authorId="2">
      <text>
        <r>
          <rPr>
            <b/>
            <sz val="9"/>
            <color indexed="81"/>
            <rFont val="Tahoma"/>
            <family val="2"/>
          </rPr>
          <t>Phillip Kelsven:</t>
        </r>
        <r>
          <rPr>
            <sz val="9"/>
            <color indexed="81"/>
            <rFont val="Tahoma"/>
            <family val="2"/>
          </rPr>
          <t xml:space="preserve">
http://www.munroelectric.com
</t>
        </r>
      </text>
    </comment>
    <comment ref="AK1238" authorId="2">
      <text>
        <r>
          <rPr>
            <b/>
            <sz val="9"/>
            <color indexed="81"/>
            <rFont val="Tahoma"/>
            <family val="2"/>
          </rPr>
          <t>Phillip Kelsven:</t>
        </r>
        <r>
          <rPr>
            <sz val="9"/>
            <color indexed="81"/>
            <rFont val="Tahoma"/>
            <family val="2"/>
          </rPr>
          <t xml:space="preserve">
https://west.nedco.c
</t>
        </r>
      </text>
    </comment>
    <comment ref="AM1243" authorId="0">
      <text>
        <r>
          <rPr>
            <b/>
            <sz val="9"/>
            <color indexed="81"/>
            <rFont val="Tahoma"/>
            <family val="2"/>
          </rPr>
          <t>Lucas Scheidler:</t>
        </r>
        <r>
          <rPr>
            <sz val="9"/>
            <color indexed="81"/>
            <rFont val="Tahoma"/>
            <family val="2"/>
          </rPr>
          <t xml:space="preserve">
Average of 6 artificial bids for new T8 lighting fixture with 2 4ft lamps and electronic ballast (NEMA premium)</t>
        </r>
      </text>
    </comment>
    <comment ref="AL1244" authorId="2">
      <text>
        <r>
          <rPr>
            <b/>
            <sz val="9"/>
            <color indexed="81"/>
            <rFont val="Tahoma"/>
            <family val="2"/>
          </rPr>
          <t>Phillip Kelsven:</t>
        </r>
        <r>
          <rPr>
            <sz val="9"/>
            <color indexed="81"/>
            <rFont val="Tahoma"/>
            <family val="2"/>
          </rPr>
          <t xml:space="preserve">
http://www.frostelectric.com
</t>
        </r>
      </text>
    </comment>
    <comment ref="AM1244" authorId="2">
      <text>
        <r>
          <rPr>
            <b/>
            <sz val="9"/>
            <color indexed="81"/>
            <rFont val="Tahoma"/>
            <family val="2"/>
          </rPr>
          <t>Phillip Kelsven:</t>
        </r>
        <r>
          <rPr>
            <sz val="9"/>
            <color indexed="81"/>
            <rFont val="Tahoma"/>
            <family val="2"/>
          </rPr>
          <t xml:space="preserve">
http://www.cesco.com
</t>
        </r>
      </text>
    </comment>
    <comment ref="AD1252" authorId="4">
      <text>
        <r>
          <rPr>
            <b/>
            <sz val="9"/>
            <color indexed="81"/>
            <rFont val="Tahoma"/>
            <family val="2"/>
          </rPr>
          <t>Jeremy Eddy:</t>
        </r>
        <r>
          <rPr>
            <sz val="9"/>
            <color indexed="81"/>
            <rFont val="Tahoma"/>
            <family val="2"/>
          </rPr>
          <t xml:space="preserve">
Descriptive stats are of the percentage difference between the two costs (Modeled-Actual / Actual)</t>
        </r>
      </text>
    </comment>
    <comment ref="AI1256" authorId="2">
      <text>
        <r>
          <rPr>
            <b/>
            <sz val="9"/>
            <color indexed="81"/>
            <rFont val="Tahoma"/>
            <family val="2"/>
          </rPr>
          <t>Phillip Kelsven:</t>
        </r>
        <r>
          <rPr>
            <sz val="9"/>
            <color indexed="81"/>
            <rFont val="Tahoma"/>
            <family val="2"/>
          </rPr>
          <t xml:space="preserve">
http://www.cesco.com
</t>
        </r>
      </text>
    </comment>
    <comment ref="AD1270" authorId="4">
      <text>
        <r>
          <rPr>
            <b/>
            <sz val="9"/>
            <color indexed="81"/>
            <rFont val="Tahoma"/>
            <family val="2"/>
          </rPr>
          <t>Jeremy Eddy:</t>
        </r>
        <r>
          <rPr>
            <sz val="9"/>
            <color indexed="81"/>
            <rFont val="Tahoma"/>
            <family val="2"/>
          </rPr>
          <t xml:space="preserve">
Descriptive stats are of the percentage difference between the two costs (Modeled-Actual / Actual)</t>
        </r>
      </text>
    </comment>
    <comment ref="AI1270" authorId="2">
      <text>
        <r>
          <rPr>
            <b/>
            <sz val="9"/>
            <color indexed="81"/>
            <rFont val="Tahoma"/>
            <family val="2"/>
          </rPr>
          <t>Phillip Kelsven:</t>
        </r>
        <r>
          <rPr>
            <sz val="9"/>
            <color indexed="81"/>
            <rFont val="Tahoma"/>
            <family val="2"/>
          </rPr>
          <t xml:space="preserve">
https://www.platt.com</t>
        </r>
      </text>
    </comment>
    <comment ref="AJ1272" authorId="2">
      <text>
        <r>
          <rPr>
            <b/>
            <sz val="9"/>
            <color indexed="81"/>
            <rFont val="Tahoma"/>
            <family val="2"/>
          </rPr>
          <t>Phillip Kelsven:</t>
        </r>
        <r>
          <rPr>
            <sz val="9"/>
            <color indexed="81"/>
            <rFont val="Tahoma"/>
            <family val="2"/>
          </rPr>
          <t xml:space="preserve">
www.amazon.com</t>
        </r>
      </text>
    </comment>
    <comment ref="AK1274" authorId="2">
      <text>
        <r>
          <rPr>
            <b/>
            <sz val="9"/>
            <color indexed="81"/>
            <rFont val="Tahoma"/>
            <family val="2"/>
          </rPr>
          <t>Phillip Kelsven:</t>
        </r>
        <r>
          <rPr>
            <sz val="9"/>
            <color indexed="81"/>
            <rFont val="Tahoma"/>
            <family val="2"/>
          </rPr>
          <t xml:space="preserve">
http://www.lbclighting.com
</t>
        </r>
      </text>
    </comment>
    <comment ref="AL1278" authorId="2">
      <text>
        <r>
          <rPr>
            <b/>
            <sz val="9"/>
            <color indexed="81"/>
            <rFont val="Tahoma"/>
            <family val="2"/>
          </rPr>
          <t>Phillip Kelsven:</t>
        </r>
        <r>
          <rPr>
            <sz val="9"/>
            <color indexed="81"/>
            <rFont val="Tahoma"/>
            <family val="2"/>
          </rPr>
          <t xml:space="preserve">
http://shop.kendallelectric.com</t>
        </r>
      </text>
    </comment>
    <comment ref="AM1278" authorId="2">
      <text>
        <r>
          <rPr>
            <b/>
            <sz val="9"/>
            <color indexed="81"/>
            <rFont val="Tahoma"/>
            <family val="2"/>
          </rPr>
          <t>Phillip Kelsven:</t>
        </r>
        <r>
          <rPr>
            <sz val="9"/>
            <color indexed="81"/>
            <rFont val="Tahoma"/>
            <family val="2"/>
          </rPr>
          <t xml:space="preserve">
http://www.mayerelectric.com</t>
        </r>
      </text>
    </comment>
    <comment ref="AD1290" authorId="4">
      <text>
        <r>
          <rPr>
            <b/>
            <sz val="9"/>
            <color indexed="81"/>
            <rFont val="Tahoma"/>
            <family val="2"/>
          </rPr>
          <t>Jeremy Eddy:</t>
        </r>
        <r>
          <rPr>
            <sz val="9"/>
            <color indexed="81"/>
            <rFont val="Tahoma"/>
            <family val="2"/>
          </rPr>
          <t xml:space="preserve">
Descriptive stats are of the percentage difference between the two costs (Modeled-Actual / Actual)</t>
        </r>
      </text>
    </comment>
    <comment ref="AI1335" authorId="0">
      <text>
        <r>
          <rPr>
            <b/>
            <sz val="9"/>
            <color indexed="81"/>
            <rFont val="Tahoma"/>
            <family val="2"/>
          </rPr>
          <t>Lucas Scheidler:</t>
        </r>
        <r>
          <rPr>
            <sz val="9"/>
            <color indexed="81"/>
            <rFont val="Tahoma"/>
            <family val="2"/>
          </rPr>
          <t xml:space="preserve">
Workpaper WPSDGENRL0076</t>
        </r>
      </text>
    </comment>
    <comment ref="AJ1335" authorId="0">
      <text>
        <r>
          <rPr>
            <b/>
            <sz val="9"/>
            <color indexed="81"/>
            <rFont val="Tahoma"/>
            <family val="2"/>
          </rPr>
          <t>Lucas Scheidler:</t>
        </r>
        <r>
          <rPr>
            <sz val="9"/>
            <color indexed="81"/>
            <rFont val="Tahoma"/>
            <family val="2"/>
          </rPr>
          <t xml:space="preserve">
Workpaper SCE13LG089.0</t>
        </r>
      </text>
    </comment>
    <comment ref="AK1335" authorId="0">
      <text>
        <r>
          <rPr>
            <b/>
            <sz val="9"/>
            <color indexed="81"/>
            <rFont val="Tahoma"/>
            <family val="2"/>
          </rPr>
          <t>Lucas Scheidler:</t>
        </r>
        <r>
          <rPr>
            <sz val="9"/>
            <color indexed="81"/>
            <rFont val="Tahoma"/>
            <family val="2"/>
          </rPr>
          <t xml:space="preserve">
average of artificial bids</t>
        </r>
      </text>
    </comment>
    <comment ref="AJ1336" authorId="0">
      <text>
        <r>
          <rPr>
            <b/>
            <sz val="9"/>
            <color indexed="81"/>
            <rFont val="Tahoma"/>
            <family val="2"/>
          </rPr>
          <t>Lucas Scheidler:</t>
        </r>
        <r>
          <rPr>
            <sz val="9"/>
            <color indexed="81"/>
            <rFont val="Tahoma"/>
            <family val="2"/>
          </rPr>
          <t xml:space="preserve">
Workpaper SCE13LG089.0</t>
        </r>
      </text>
    </comment>
    <comment ref="AI1365" authorId="0">
      <text>
        <r>
          <rPr>
            <b/>
            <sz val="9"/>
            <color indexed="81"/>
            <rFont val="Tahoma"/>
            <family val="2"/>
          </rPr>
          <t>Lucas Scheidler:</t>
        </r>
        <r>
          <rPr>
            <sz val="9"/>
            <color indexed="81"/>
            <rFont val="Tahoma"/>
            <family val="2"/>
          </rPr>
          <t xml:space="preserve">
DEER 2001</t>
        </r>
      </text>
    </comment>
    <comment ref="AJ1365" authorId="0">
      <text>
        <r>
          <rPr>
            <b/>
            <sz val="9"/>
            <color indexed="81"/>
            <rFont val="Tahoma"/>
            <family val="2"/>
          </rPr>
          <t>Lucas Scheidler:</t>
        </r>
        <r>
          <rPr>
            <sz val="9"/>
            <color indexed="81"/>
            <rFont val="Tahoma"/>
            <family val="2"/>
          </rPr>
          <t xml:space="preserve">
DEER 2005</t>
        </r>
      </text>
    </comment>
    <comment ref="AK1365" authorId="0">
      <text>
        <r>
          <rPr>
            <b/>
            <sz val="9"/>
            <color indexed="81"/>
            <rFont val="Tahoma"/>
            <family val="2"/>
          </rPr>
          <t>Lucas Scheidler:</t>
        </r>
        <r>
          <rPr>
            <sz val="9"/>
            <color indexed="81"/>
            <rFont val="Tahoma"/>
            <family val="2"/>
          </rPr>
          <t xml:space="preserve">
DEER 2008</t>
        </r>
      </text>
    </comment>
    <comment ref="AL1365" authorId="0">
      <text>
        <r>
          <rPr>
            <b/>
            <sz val="9"/>
            <color indexed="81"/>
            <rFont val="Tahoma"/>
            <family val="2"/>
          </rPr>
          <t>Lucas Scheidler:</t>
        </r>
        <r>
          <rPr>
            <sz val="9"/>
            <color indexed="81"/>
            <rFont val="Tahoma"/>
            <family val="2"/>
          </rPr>
          <t xml:space="preserve">
Workpaper SCE13LG110.0
Timeclock with photocell controls</t>
        </r>
      </text>
    </comment>
    <comment ref="AM1365" authorId="0">
      <text>
        <r>
          <rPr>
            <b/>
            <sz val="9"/>
            <color indexed="81"/>
            <rFont val="Tahoma"/>
            <family val="2"/>
          </rPr>
          <t>Lucas Scheidler:</t>
        </r>
        <r>
          <rPr>
            <sz val="9"/>
            <color indexed="81"/>
            <rFont val="Tahoma"/>
            <family val="2"/>
          </rPr>
          <t xml:space="preserve">
Workpaper PGECOLTG129 R3 Photocell exterior lighting</t>
        </r>
      </text>
    </comment>
    <comment ref="AD1375" authorId="0">
      <text>
        <r>
          <rPr>
            <b/>
            <sz val="9"/>
            <color indexed="81"/>
            <rFont val="Tahoma"/>
            <family val="2"/>
          </rPr>
          <t>Lucas Scheidler:</t>
        </r>
        <r>
          <rPr>
            <sz val="9"/>
            <color indexed="81"/>
            <rFont val="Tahoma"/>
            <family val="2"/>
          </rPr>
          <t xml:space="preserve">
Descriptive stats are on percentage difference between modeled and actual prices ((Modeled - Actual)/Actual)</t>
        </r>
      </text>
    </comment>
    <comment ref="AG1375" authorId="1">
      <text>
        <r>
          <rPr>
            <b/>
            <sz val="9"/>
            <color indexed="81"/>
            <rFont val="Tahoma"/>
            <family val="2"/>
          </rPr>
          <t>Mike Ting:</t>
        </r>
        <r>
          <rPr>
            <sz val="9"/>
            <color indexed="81"/>
            <rFont val="Tahoma"/>
            <family val="2"/>
          </rPr>
          <t xml:space="preserve">
unable to find 200 sqft coverage products</t>
        </r>
      </text>
    </comment>
    <comment ref="AK1375" authorId="2">
      <text>
        <r>
          <rPr>
            <b/>
            <sz val="9"/>
            <color indexed="81"/>
            <rFont val="Tahoma"/>
            <family val="2"/>
          </rPr>
          <t>Phillip Kelsven:</t>
        </r>
        <r>
          <rPr>
            <sz val="9"/>
            <color indexed="81"/>
            <rFont val="Tahoma"/>
            <family val="2"/>
          </rPr>
          <t xml:space="preserve">
http://shop.kendallelectric.com
</t>
        </r>
      </text>
    </comment>
    <comment ref="AL1375" authorId="2">
      <text>
        <r>
          <rPr>
            <b/>
            <sz val="9"/>
            <color indexed="81"/>
            <rFont val="Tahoma"/>
            <family val="2"/>
          </rPr>
          <t>Phillip Kelsven:</t>
        </r>
        <r>
          <rPr>
            <sz val="9"/>
            <color indexed="81"/>
            <rFont val="Tahoma"/>
            <family val="2"/>
          </rPr>
          <t xml:space="preserve">
webstore.servelectric.com
</t>
        </r>
      </text>
    </comment>
    <comment ref="AM1375" authorId="2">
      <text>
        <r>
          <rPr>
            <b/>
            <sz val="9"/>
            <color indexed="81"/>
            <rFont val="Tahoma"/>
            <family val="2"/>
          </rPr>
          <t>Phillip Kelsven:</t>
        </r>
        <r>
          <rPr>
            <sz val="9"/>
            <color indexed="81"/>
            <rFont val="Tahoma"/>
            <family val="2"/>
          </rPr>
          <t xml:space="preserve">
www.platt.com
</t>
        </r>
      </text>
    </comment>
    <comment ref="X1376" authorId="1">
      <text>
        <r>
          <rPr>
            <b/>
            <sz val="9"/>
            <color indexed="81"/>
            <rFont val="Tahoma"/>
            <family val="2"/>
          </rPr>
          <t>Mike Ting:</t>
        </r>
        <r>
          <rPr>
            <sz val="9"/>
            <color indexed="81"/>
            <rFont val="Tahoma"/>
            <family val="2"/>
          </rPr>
          <t xml:space="preserve">
unable to find 200 sqft coverage products</t>
        </r>
      </text>
    </comment>
    <comment ref="AJ1376" authorId="2">
      <text>
        <r>
          <rPr>
            <b/>
            <sz val="9"/>
            <color indexed="81"/>
            <rFont val="Tahoma"/>
            <family val="2"/>
          </rPr>
          <t>Phillip Kelsven:</t>
        </r>
        <r>
          <rPr>
            <sz val="9"/>
            <color indexed="81"/>
            <rFont val="Tahoma"/>
            <family val="2"/>
          </rPr>
          <t xml:space="preserve">
http://www.warehouse-lighting.com
</t>
        </r>
      </text>
    </comment>
    <comment ref="AR1376" authorId="2">
      <text>
        <r>
          <rPr>
            <b/>
            <sz val="9"/>
            <color indexed="81"/>
            <rFont val="Tahoma"/>
            <family val="2"/>
          </rPr>
          <t>Phillip Kelsven:</t>
        </r>
        <r>
          <rPr>
            <sz val="9"/>
            <color indexed="81"/>
            <rFont val="Tahoma"/>
            <family val="2"/>
          </rPr>
          <t xml:space="preserve">
http://www.readywholesaleelectric.com
</t>
        </r>
      </text>
    </comment>
    <comment ref="AI1377" authorId="2">
      <text>
        <r>
          <rPr>
            <b/>
            <sz val="9"/>
            <color indexed="81"/>
            <rFont val="Tahoma"/>
            <family val="2"/>
          </rPr>
          <t>Phillip Kelsven:</t>
        </r>
        <r>
          <rPr>
            <sz val="9"/>
            <color indexed="81"/>
            <rFont val="Tahoma"/>
            <family val="2"/>
          </rPr>
          <t xml:space="preserve">
http://www.kele.com</t>
        </r>
      </text>
    </comment>
    <comment ref="AJ1377" authorId="2">
      <text>
        <r>
          <rPr>
            <b/>
            <sz val="9"/>
            <color indexed="81"/>
            <rFont val="Tahoma"/>
            <family val="2"/>
          </rPr>
          <t>Phillip Kelsven:</t>
        </r>
        <r>
          <rPr>
            <sz val="9"/>
            <color indexed="81"/>
            <rFont val="Tahoma"/>
            <family val="2"/>
          </rPr>
          <t xml:space="preserve">
http://www.shamrocksupply.com</t>
        </r>
      </text>
    </comment>
    <comment ref="AS1377" authorId="2">
      <text>
        <r>
          <rPr>
            <b/>
            <sz val="9"/>
            <color indexed="81"/>
            <rFont val="Tahoma"/>
            <family val="2"/>
          </rPr>
          <t>Phillip Kelsven:</t>
        </r>
        <r>
          <rPr>
            <sz val="9"/>
            <color indexed="81"/>
            <rFont val="Tahoma"/>
            <family val="2"/>
          </rPr>
          <t xml:space="preserve">
http://www.goodmart.com</t>
        </r>
      </text>
    </comment>
    <comment ref="AT1377" authorId="2">
      <text>
        <r>
          <rPr>
            <b/>
            <sz val="9"/>
            <color indexed="81"/>
            <rFont val="Tahoma"/>
            <family val="2"/>
          </rPr>
          <t>Phillip Kelsven:</t>
        </r>
        <r>
          <rPr>
            <sz val="9"/>
            <color indexed="81"/>
            <rFont val="Tahoma"/>
            <family val="2"/>
          </rPr>
          <t xml:space="preserve">
www.northcoastelectric.com</t>
        </r>
      </text>
    </comment>
    <comment ref="AU1377" authorId="0">
      <text>
        <r>
          <rPr>
            <b/>
            <sz val="9"/>
            <color indexed="81"/>
            <rFont val="Tahoma"/>
            <family val="2"/>
          </rPr>
          <t>Lucas Scheidler:</t>
        </r>
        <r>
          <rPr>
            <sz val="9"/>
            <color indexed="81"/>
            <rFont val="Tahoma"/>
            <family val="2"/>
          </rPr>
          <t xml:space="preserve">
Average of artificial bids</t>
        </r>
      </text>
    </comment>
    <comment ref="AN1378" authorId="2">
      <text>
        <r>
          <rPr>
            <b/>
            <sz val="9"/>
            <color indexed="81"/>
            <rFont val="Tahoma"/>
            <family val="2"/>
          </rPr>
          <t>Phillip Kelsven:</t>
        </r>
        <r>
          <rPr>
            <sz val="9"/>
            <color indexed="81"/>
            <rFont val="Tahoma"/>
            <family val="2"/>
          </rPr>
          <t xml:space="preserve">
quest artificial bid</t>
        </r>
      </text>
    </comment>
    <comment ref="AO1378" authorId="2">
      <text>
        <r>
          <rPr>
            <b/>
            <sz val="9"/>
            <color indexed="81"/>
            <rFont val="Tahoma"/>
            <family val="2"/>
          </rPr>
          <t>Phillip Kelsven:</t>
        </r>
        <r>
          <rPr>
            <sz val="9"/>
            <color indexed="81"/>
            <rFont val="Tahoma"/>
            <family val="2"/>
          </rPr>
          <t xml:space="preserve">
quest artificial bid</t>
        </r>
      </text>
    </comment>
    <comment ref="AP1378" authorId="2">
      <text>
        <r>
          <rPr>
            <b/>
            <sz val="9"/>
            <color indexed="81"/>
            <rFont val="Tahoma"/>
            <family val="2"/>
          </rPr>
          <t>Phillip Kelsven:</t>
        </r>
        <r>
          <rPr>
            <sz val="9"/>
            <color indexed="81"/>
            <rFont val="Tahoma"/>
            <family val="2"/>
          </rPr>
          <t xml:space="preserve">
quest artificial bid</t>
        </r>
      </text>
    </comment>
    <comment ref="AQ1378" authorId="2">
      <text>
        <r>
          <rPr>
            <b/>
            <sz val="9"/>
            <color indexed="81"/>
            <rFont val="Tahoma"/>
            <family val="2"/>
          </rPr>
          <t>Phillip Kelsven:</t>
        </r>
        <r>
          <rPr>
            <sz val="9"/>
            <color indexed="81"/>
            <rFont val="Tahoma"/>
            <family val="2"/>
          </rPr>
          <t xml:space="preserve">
quest artificial bid</t>
        </r>
      </text>
    </comment>
    <comment ref="AU1378" authorId="0">
      <text>
        <r>
          <rPr>
            <b/>
            <sz val="9"/>
            <color indexed="81"/>
            <rFont val="Tahoma"/>
            <family val="2"/>
          </rPr>
          <t>Lucas Scheidler:</t>
        </r>
        <r>
          <rPr>
            <sz val="9"/>
            <color indexed="81"/>
            <rFont val="Tahoma"/>
            <family val="2"/>
          </rPr>
          <t xml:space="preserve">
Average of artificial bids</t>
        </r>
      </text>
    </comment>
    <comment ref="T1384" authorId="0">
      <text>
        <r>
          <rPr>
            <b/>
            <sz val="9"/>
            <color indexed="81"/>
            <rFont val="Tahoma"/>
            <family val="2"/>
          </rPr>
          <t>Lucas Scheidler:</t>
        </r>
        <r>
          <rPr>
            <sz val="9"/>
            <color indexed="81"/>
            <rFont val="Tahoma"/>
            <family val="2"/>
          </rPr>
          <t xml:space="preserve">
placeholder until we get contractor markups from EMCOR</t>
        </r>
      </text>
    </comment>
  </commentList>
</comments>
</file>

<file path=xl/comments2.xml><?xml version="1.0" encoding="utf-8"?>
<comments xmlns="http://schemas.openxmlformats.org/spreadsheetml/2006/main">
  <authors>
    <author>Lucas Scheidler</author>
  </authors>
  <commentList>
    <comment ref="AO2" authorId="0">
      <text>
        <r>
          <rPr>
            <b/>
            <sz val="9"/>
            <color indexed="81"/>
            <rFont val="Tahoma"/>
            <family val="2"/>
          </rPr>
          <t>Lucas Scheidler:</t>
        </r>
        <r>
          <rPr>
            <sz val="9"/>
            <color indexed="81"/>
            <rFont val="Tahoma"/>
            <family val="2"/>
          </rPr>
          <t xml:space="preserve">
Labor hours and rates are from Q4 2013 RSMeans</t>
        </r>
      </text>
    </comment>
    <comment ref="G3" authorId="0">
      <text>
        <r>
          <rPr>
            <b/>
            <sz val="9"/>
            <color indexed="81"/>
            <rFont val="Tahoma"/>
            <family val="2"/>
          </rPr>
          <t>Lucas Scheidler:</t>
        </r>
        <r>
          <rPr>
            <sz val="9"/>
            <color indexed="81"/>
            <rFont val="Tahoma"/>
            <family val="2"/>
          </rPr>
          <t xml:space="preserve">
Bare Labor - CA statewide</t>
        </r>
      </text>
    </comment>
    <comment ref="P3" authorId="0">
      <text>
        <r>
          <rPr>
            <b/>
            <sz val="9"/>
            <color indexed="81"/>
            <rFont val="Tahoma"/>
            <family val="2"/>
          </rPr>
          <t>Lucas Scheidler:</t>
        </r>
        <r>
          <rPr>
            <sz val="9"/>
            <color indexed="81"/>
            <rFont val="Tahoma"/>
            <family val="2"/>
          </rPr>
          <t xml:space="preserve">
Bare Labor</t>
        </r>
      </text>
    </comment>
    <comment ref="C5" authorId="0">
      <text>
        <r>
          <rPr>
            <b/>
            <sz val="9"/>
            <color indexed="81"/>
            <rFont val="Tahoma"/>
            <family val="2"/>
          </rPr>
          <t>Lucas Scheidler:</t>
        </r>
        <r>
          <rPr>
            <sz val="9"/>
            <color indexed="81"/>
            <rFont val="Tahoma"/>
            <family val="2"/>
          </rPr>
          <t xml:space="preserve">
This is specified as unit rather than "Fan" because some whole house fans have multiple fans in one unit. In this case, installing 2 fans (1 unit) would take the same time as installing a single fan.</t>
        </r>
      </text>
    </comment>
    <comment ref="K5" authorId="0">
      <text>
        <r>
          <rPr>
            <b/>
            <sz val="9"/>
            <color indexed="81"/>
            <rFont val="Tahoma"/>
            <family val="2"/>
          </rPr>
          <t>Lucas Scheidler:</t>
        </r>
        <r>
          <rPr>
            <sz val="9"/>
            <color indexed="81"/>
            <rFont val="Tahoma"/>
            <family val="2"/>
          </rPr>
          <t xml:space="preserve">
RSMeans average</t>
        </r>
      </text>
    </comment>
    <comment ref="R6" authorId="0">
      <text>
        <r>
          <rPr>
            <b/>
            <sz val="9"/>
            <color indexed="81"/>
            <rFont val="Tahoma"/>
            <family val="2"/>
          </rPr>
          <t>Lucas Scheidler:</t>
        </r>
        <r>
          <rPr>
            <sz val="9"/>
            <color indexed="81"/>
            <rFont val="Tahoma"/>
            <family val="2"/>
          </rPr>
          <t xml:space="preserve">
Cost of supplies that may be required to install whole house fan including: fittings, fasteners and mounting hardware.</t>
        </r>
      </text>
    </comment>
    <comment ref="U6" authorId="0">
      <text>
        <r>
          <rPr>
            <b/>
            <sz val="9"/>
            <color indexed="81"/>
            <rFont val="Tahoma"/>
            <family val="2"/>
          </rPr>
          <t>Lucas Scheidler:</t>
        </r>
        <r>
          <rPr>
            <sz val="9"/>
            <color indexed="81"/>
            <rFont val="Tahoma"/>
            <family val="2"/>
          </rPr>
          <t xml:space="preserve">
RSMeans item 233423108020</t>
        </r>
      </text>
    </comment>
    <comment ref="AP6" authorId="0">
      <text>
        <r>
          <rPr>
            <b/>
            <sz val="9"/>
            <color indexed="81"/>
            <rFont val="Tahoma"/>
            <family val="2"/>
          </rPr>
          <t>Lucas Scheidler:</t>
        </r>
        <r>
          <rPr>
            <sz val="9"/>
            <color indexed="81"/>
            <rFont val="Tahoma"/>
            <family val="2"/>
          </rPr>
          <t xml:space="preserve">
National Average - 1 electrician</t>
        </r>
      </text>
    </comment>
    <comment ref="K16" authorId="0">
      <text>
        <r>
          <rPr>
            <b/>
            <sz val="9"/>
            <color indexed="81"/>
            <rFont val="Tahoma"/>
            <family val="2"/>
          </rPr>
          <t>Lucas Scheidler:</t>
        </r>
        <r>
          <rPr>
            <sz val="9"/>
            <color indexed="81"/>
            <rFont val="Tahoma"/>
            <family val="2"/>
          </rPr>
          <t xml:space="preserve">
RSMeasns average</t>
        </r>
      </text>
    </comment>
    <comment ref="U16" authorId="0">
      <text>
        <r>
          <rPr>
            <b/>
            <sz val="9"/>
            <color indexed="81"/>
            <rFont val="Tahoma"/>
            <family val="2"/>
          </rPr>
          <t>Lucas Scheidler:</t>
        </r>
        <r>
          <rPr>
            <sz val="9"/>
            <color indexed="81"/>
            <rFont val="Tahoma"/>
            <family val="2"/>
          </rPr>
          <t xml:space="preserve">
RSMeans item 235416.13</t>
        </r>
      </text>
    </comment>
    <comment ref="AP16" authorId="0">
      <text>
        <r>
          <rPr>
            <b/>
            <sz val="9"/>
            <color indexed="81"/>
            <rFont val="Tahoma"/>
            <family val="2"/>
          </rPr>
          <t>Lucas Scheidler:</t>
        </r>
        <r>
          <rPr>
            <sz val="9"/>
            <color indexed="81"/>
            <rFont val="Tahoma"/>
            <family val="2"/>
          </rPr>
          <t xml:space="preserve">
National Average - crew Q-9</t>
        </r>
      </text>
    </comment>
    <comment ref="E28" authorId="0">
      <text>
        <r>
          <rPr>
            <b/>
            <sz val="9"/>
            <color indexed="81"/>
            <rFont val="Tahoma"/>
            <family val="2"/>
          </rPr>
          <t>Lucas Scheidler:</t>
        </r>
        <r>
          <rPr>
            <sz val="9"/>
            <color indexed="81"/>
            <rFont val="Tahoma"/>
            <family val="2"/>
          </rPr>
          <t xml:space="preserve">
Based on 5 ton unit</t>
        </r>
      </text>
    </comment>
    <comment ref="I28" authorId="0">
      <text>
        <r>
          <rPr>
            <b/>
            <sz val="9"/>
            <color indexed="81"/>
            <rFont val="Tahoma"/>
            <family val="2"/>
          </rPr>
          <t>Lucas Scheidler:</t>
        </r>
        <r>
          <rPr>
            <sz val="9"/>
            <color indexed="81"/>
            <rFont val="Tahoma"/>
            <family val="2"/>
          </rPr>
          <t xml:space="preserve">
disposal - based on a 5 ton unit</t>
        </r>
      </text>
    </comment>
    <comment ref="J28" authorId="0">
      <text>
        <r>
          <rPr>
            <b/>
            <sz val="9"/>
            <color indexed="81"/>
            <rFont val="Tahoma"/>
            <family val="2"/>
          </rPr>
          <t>Lucas Scheidler:</t>
        </r>
        <r>
          <rPr>
            <sz val="9"/>
            <color indexed="81"/>
            <rFont val="Tahoma"/>
            <family val="2"/>
          </rPr>
          <t xml:space="preserve">
Crane rental  - based on 5 ton unit</t>
        </r>
      </text>
    </comment>
    <comment ref="O28" authorId="0">
      <text>
        <r>
          <rPr>
            <b/>
            <sz val="9"/>
            <color indexed="81"/>
            <rFont val="Tahoma"/>
            <family val="2"/>
          </rPr>
          <t>Lucas Scheidler:</t>
        </r>
        <r>
          <rPr>
            <sz val="9"/>
            <color indexed="81"/>
            <rFont val="Tahoma"/>
            <family val="2"/>
          </rPr>
          <t xml:space="preserve">
Based on 3
 ton unit</t>
        </r>
      </text>
    </comment>
    <comment ref="W28" authorId="0">
      <text>
        <r>
          <rPr>
            <b/>
            <sz val="9"/>
            <color indexed="81"/>
            <rFont val="Tahoma"/>
            <family val="2"/>
          </rPr>
          <t>Lucas Scheidler:
EMCOR - does not include markup</t>
        </r>
      </text>
    </comment>
    <comment ref="X28" authorId="0">
      <text>
        <r>
          <rPr>
            <b/>
            <sz val="9"/>
            <color indexed="81"/>
            <rFont val="Tahoma"/>
            <family val="2"/>
          </rPr>
          <t>Lucas Scheidler:</t>
        </r>
        <r>
          <rPr>
            <sz val="9"/>
            <color indexed="81"/>
            <rFont val="Tahoma"/>
            <family val="2"/>
          </rPr>
          <t xml:space="preserve">
EMCOR - does not include markup</t>
        </r>
      </text>
    </comment>
    <comment ref="Y28" authorId="0">
      <text>
        <r>
          <rPr>
            <b/>
            <sz val="9"/>
            <color indexed="81"/>
            <rFont val="Tahoma"/>
            <family val="2"/>
          </rPr>
          <t>Lucas Scheidler:</t>
        </r>
        <r>
          <rPr>
            <sz val="9"/>
            <color indexed="81"/>
            <rFont val="Tahoma"/>
            <family val="2"/>
          </rPr>
          <t xml:space="preserve">
Misc - includes tubing/wiring, misc elec, mis sheet metal - does not include markup</t>
        </r>
      </text>
    </comment>
    <comment ref="Z28" authorId="0">
      <text>
        <r>
          <rPr>
            <b/>
            <sz val="9"/>
            <color indexed="81"/>
            <rFont val="Tahoma"/>
            <family val="2"/>
          </rPr>
          <t>Lucas Scheidler:</t>
        </r>
        <r>
          <rPr>
            <sz val="9"/>
            <color indexed="81"/>
            <rFont val="Tahoma"/>
            <family val="2"/>
          </rPr>
          <t xml:space="preserve">
EMCOR - includes sign  crane / set condenser - does not include markup</t>
        </r>
      </text>
    </comment>
    <comment ref="AA28"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28" authorId="0">
      <text>
        <r>
          <rPr>
            <b/>
            <sz val="9"/>
            <color indexed="81"/>
            <rFont val="Tahoma"/>
            <family val="2"/>
          </rPr>
          <t>Lucas Scheidler:
EMCOR - does not include markup</t>
        </r>
      </text>
    </comment>
    <comment ref="AD28" authorId="0">
      <text>
        <r>
          <rPr>
            <b/>
            <sz val="9"/>
            <color indexed="81"/>
            <rFont val="Tahoma"/>
            <family val="2"/>
          </rPr>
          <t>Lucas Scheidler:</t>
        </r>
        <r>
          <rPr>
            <sz val="9"/>
            <color indexed="81"/>
            <rFont val="Tahoma"/>
            <family val="2"/>
          </rPr>
          <t xml:space="preserve">
EMCOR - does not include markup</t>
        </r>
      </text>
    </comment>
    <comment ref="AE28" authorId="0">
      <text>
        <r>
          <rPr>
            <b/>
            <sz val="9"/>
            <color indexed="81"/>
            <rFont val="Tahoma"/>
            <family val="2"/>
          </rPr>
          <t>Lucas Scheidler:</t>
        </r>
        <r>
          <rPr>
            <sz val="9"/>
            <color indexed="81"/>
            <rFont val="Tahoma"/>
            <family val="2"/>
          </rPr>
          <t xml:space="preserve">
Misc - includes tubing/wiring, misc elec, mis sheet metal - does not include markup</t>
        </r>
      </text>
    </comment>
    <comment ref="AF28" authorId="0">
      <text>
        <r>
          <rPr>
            <b/>
            <sz val="9"/>
            <color indexed="81"/>
            <rFont val="Tahoma"/>
            <family val="2"/>
          </rPr>
          <t>Lucas Scheidler:</t>
        </r>
        <r>
          <rPr>
            <sz val="9"/>
            <color indexed="81"/>
            <rFont val="Tahoma"/>
            <family val="2"/>
          </rPr>
          <t xml:space="preserve">
EMCOR - includes sign  crane / set condenser - does not include markup</t>
        </r>
      </text>
    </comment>
    <comment ref="AG28" authorId="0">
      <text>
        <r>
          <rPr>
            <b/>
            <sz val="9"/>
            <color indexed="81"/>
            <rFont val="Tahoma"/>
            <family val="2"/>
          </rPr>
          <t>Lucas Scheidler:</t>
        </r>
        <r>
          <rPr>
            <sz val="9"/>
            <color indexed="81"/>
            <rFont val="Tahoma"/>
            <family val="2"/>
          </rPr>
          <t xml:space="preserve">
EMCOR - project mgmt, warranty - Does not include markup
</t>
        </r>
      </text>
    </comment>
    <comment ref="K29" authorId="0">
      <text>
        <r>
          <rPr>
            <b/>
            <sz val="9"/>
            <color indexed="81"/>
            <rFont val="Tahoma"/>
            <family val="2"/>
          </rPr>
          <t>Lucas Scheidler:</t>
        </r>
        <r>
          <rPr>
            <sz val="9"/>
            <color indexed="81"/>
            <rFont val="Tahoma"/>
            <family val="2"/>
          </rPr>
          <t xml:space="preserve">
average markup of bids</t>
        </r>
      </text>
    </comment>
    <comment ref="O29" authorId="0">
      <text>
        <r>
          <rPr>
            <b/>
            <sz val="9"/>
            <color indexed="81"/>
            <rFont val="Tahoma"/>
            <family val="2"/>
          </rPr>
          <t>Lucas Scheidler:</t>
        </r>
        <r>
          <rPr>
            <sz val="9"/>
            <color indexed="81"/>
            <rFont val="Tahoma"/>
            <family val="2"/>
          </rPr>
          <t xml:space="preserve">
Based on 3 ton unit</t>
        </r>
      </text>
    </comment>
    <comment ref="U29" authorId="0">
      <text>
        <r>
          <rPr>
            <b/>
            <sz val="9"/>
            <color indexed="81"/>
            <rFont val="Tahoma"/>
            <family val="2"/>
          </rPr>
          <t>Lucas Scheidler:</t>
        </r>
        <r>
          <rPr>
            <sz val="9"/>
            <color indexed="81"/>
            <rFont val="Tahoma"/>
            <family val="2"/>
          </rPr>
          <t xml:space="preserve">
MCS HVAC contractor survey: The following questions apply to retrofitting a split DX or packaged DX system on a low rise, flat roof, commercial building.  On average, how much does it cost to rent a crane to remove an old outdoor unit and install a new unit?  Please exclude any costs related to required permits.</t>
        </r>
      </text>
    </comment>
    <comment ref="I30" authorId="0">
      <text>
        <r>
          <rPr>
            <b/>
            <sz val="9"/>
            <color indexed="81"/>
            <rFont val="Tahoma"/>
            <family val="2"/>
          </rPr>
          <t>Lucas Scheidler:</t>
        </r>
        <r>
          <rPr>
            <sz val="9"/>
            <color indexed="81"/>
            <rFont val="Tahoma"/>
            <family val="2"/>
          </rPr>
          <t xml:space="preserve">
based on a 3 ton unit
</t>
        </r>
      </text>
    </comment>
    <comment ref="O30" authorId="0">
      <text>
        <r>
          <rPr>
            <b/>
            <sz val="9"/>
            <color indexed="81"/>
            <rFont val="Tahoma"/>
            <family val="2"/>
          </rPr>
          <t>Lucas Scheidler:</t>
        </r>
        <r>
          <rPr>
            <sz val="9"/>
            <color indexed="81"/>
            <rFont val="Tahoma"/>
            <family val="2"/>
          </rPr>
          <t xml:space="preserve">
based on a 3 ton unit</t>
        </r>
      </text>
    </comment>
    <comment ref="U30" authorId="0">
      <text>
        <r>
          <rPr>
            <b/>
            <sz val="9"/>
            <color indexed="81"/>
            <rFont val="Tahoma"/>
            <family val="2"/>
          </rPr>
          <t>Lucas Scheidler:</t>
        </r>
        <r>
          <rPr>
            <sz val="9"/>
            <color indexed="81"/>
            <rFont val="Tahoma"/>
            <family val="2"/>
          </rPr>
          <t xml:space="preserve">
MCS HVAC contractor survey: The following questions apply to retrofitting a split DX or packaged DX system on a low rise, flat roof, commercial building. On average, how many man-hours does it take to install a new 5 ton unit?  Please include the time required for preparing the curb and installing new curb gaskets, moving the unit into place with the crane, attaching refrigerant piping, connecting electrical and gas as necessary, and connecting ductwork.  Assume no new curb is required and no new screen is required to conceal the unit.</t>
        </r>
      </text>
    </comment>
    <comment ref="U31" authorId="0">
      <text>
        <r>
          <rPr>
            <b/>
            <sz val="9"/>
            <color indexed="81"/>
            <rFont val="Tahoma"/>
            <family val="2"/>
          </rPr>
          <t>Lucas Scheidler:</t>
        </r>
        <r>
          <rPr>
            <sz val="9"/>
            <color indexed="81"/>
            <rFont val="Tahoma"/>
            <family val="2"/>
          </rPr>
          <t xml:space="preserve">
MCS HVAC contractor survey: The following questions apply to retrofitting a split DX or packaged DX system on a low rise, flat roof, commercial building. On average, how many man-hours does it take to remove an old unit, assuming a crane is used for the removal?  Please include time associated with pulling refrigerant out, disconnecting electrical and controls, disconnecting the unit from the curb, removal of the unit by crane, and taking the unit to the recycler.</t>
        </r>
      </text>
    </comment>
    <comment ref="U32" authorId="0">
      <text>
        <r>
          <rPr>
            <b/>
            <sz val="9"/>
            <color indexed="81"/>
            <rFont val="Tahoma"/>
            <family val="2"/>
          </rPr>
          <t>Lucas Scheidler:</t>
        </r>
        <r>
          <rPr>
            <sz val="9"/>
            <color indexed="81"/>
            <rFont val="Tahoma"/>
            <family val="2"/>
          </rPr>
          <t xml:space="preserve">
MCS HVAC contractor survey: The following questions apply to retrofitting a split DX or packaged DX system on a low rise, flat roof, commercial building.  On average, what is the disposal fee for the old unit?</t>
        </r>
      </text>
    </comment>
    <comment ref="U33" authorId="0">
      <text>
        <r>
          <rPr>
            <b/>
            <sz val="9"/>
            <color indexed="81"/>
            <rFont val="Tahoma"/>
            <family val="2"/>
          </rPr>
          <t>Lucas Scheidler:</t>
        </r>
        <r>
          <rPr>
            <sz val="9"/>
            <color indexed="81"/>
            <rFont val="Tahoma"/>
            <family val="2"/>
          </rPr>
          <t xml:space="preserve">
MCS HVAC contractor survey: The following questions apply to retrofitting a split DX or packaged DX system on a low rise, flat roof, commercial building. On average, how many man-hours does it take to perform testing/commissioning on a newly installed 5 ton unit to ensure it is running properly?  Please include time required for checking belt alignment, starting compressors and making sure pressure is correct, checking combustion efficiency (in the case of gas units), checking for air leaks in the ductwork, making sure amperage is in the acceptable range, and balancing air flow.</t>
        </r>
      </text>
    </comment>
    <comment ref="U34" authorId="0">
      <text>
        <r>
          <rPr>
            <b/>
            <sz val="9"/>
            <color indexed="81"/>
            <rFont val="Tahoma"/>
            <family val="2"/>
          </rPr>
          <t>Lucas Scheidler:</t>
        </r>
        <r>
          <rPr>
            <sz val="9"/>
            <color indexed="81"/>
            <rFont val="Tahoma"/>
            <family val="2"/>
          </rPr>
          <t xml:space="preserve">
RSMeans item 238143</t>
        </r>
      </text>
    </comment>
    <comment ref="AP34" authorId="0">
      <text>
        <r>
          <rPr>
            <b/>
            <sz val="9"/>
            <color indexed="81"/>
            <rFont val="Tahoma"/>
            <family val="2"/>
          </rPr>
          <t>Lucas Scheidler:</t>
        </r>
        <r>
          <rPr>
            <sz val="9"/>
            <color indexed="81"/>
            <rFont val="Tahoma"/>
            <family val="2"/>
          </rPr>
          <t xml:space="preserve">
National Average - crew Q-5
</t>
        </r>
      </text>
    </comment>
    <comment ref="U41" authorId="0">
      <text>
        <r>
          <rPr>
            <b/>
            <sz val="9"/>
            <color indexed="81"/>
            <rFont val="Tahoma"/>
            <family val="2"/>
          </rPr>
          <t>Lucas Scheidler:</t>
        </r>
        <r>
          <rPr>
            <sz val="9"/>
            <color indexed="81"/>
            <rFont val="Tahoma"/>
            <family val="2"/>
          </rPr>
          <t xml:space="preserve">
Rsmean item 238219.2</t>
        </r>
      </text>
    </comment>
    <comment ref="AP41" authorId="0">
      <text>
        <r>
          <rPr>
            <b/>
            <sz val="9"/>
            <color indexed="81"/>
            <rFont val="Tahoma"/>
            <family val="2"/>
          </rPr>
          <t>Lucas Scheidler:</t>
        </r>
        <r>
          <rPr>
            <sz val="9"/>
            <color indexed="81"/>
            <rFont val="Tahoma"/>
            <family val="2"/>
          </rPr>
          <t xml:space="preserve">
National Average - crew Q-6
</t>
        </r>
      </text>
    </comment>
    <comment ref="V46" authorId="0">
      <text>
        <r>
          <rPr>
            <b/>
            <sz val="9"/>
            <color indexed="81"/>
            <rFont val="Tahoma"/>
            <family val="2"/>
          </rPr>
          <t>Lucas Scheidler:</t>
        </r>
        <r>
          <rPr>
            <sz val="9"/>
            <color indexed="81"/>
            <rFont val="Tahoma"/>
            <family val="2"/>
          </rPr>
          <t xml:space="preserve">
implied hours based on DOE TSD installed cost and artificial bid hourly rate
</t>
        </r>
      </text>
    </comment>
    <comment ref="W46" authorId="0">
      <text>
        <r>
          <rPr>
            <b/>
            <sz val="9"/>
            <color indexed="81"/>
            <rFont val="Tahoma"/>
            <family val="2"/>
          </rPr>
          <t>Lucas Scheidler:</t>
        </r>
        <r>
          <rPr>
            <sz val="9"/>
            <color indexed="81"/>
            <rFont val="Tahoma"/>
            <family val="2"/>
          </rPr>
          <t xml:space="preserve">
average from artificial bids
</t>
        </r>
      </text>
    </comment>
    <comment ref="X46" authorId="0">
      <text>
        <r>
          <rPr>
            <b/>
            <sz val="9"/>
            <color indexed="81"/>
            <rFont val="Tahoma"/>
            <family val="2"/>
          </rPr>
          <t>Lucas Scheidler:</t>
        </r>
        <r>
          <rPr>
            <sz val="9"/>
            <color indexed="81"/>
            <rFont val="Tahoma"/>
            <family val="2"/>
          </rPr>
          <t xml:space="preserve">
DOE TSD base cost national average cost of $561 times the CA state multiplier 1.297</t>
        </r>
      </text>
    </comment>
    <comment ref="E48" authorId="0">
      <text>
        <r>
          <rPr>
            <b/>
            <sz val="9"/>
            <color indexed="81"/>
            <rFont val="Tahoma"/>
            <family val="2"/>
          </rPr>
          <t>Lucas Scheidler:</t>
        </r>
        <r>
          <rPr>
            <sz val="9"/>
            <color indexed="81"/>
            <rFont val="Tahoma"/>
            <family val="2"/>
          </rPr>
          <t xml:space="preserve">
Based on 5 ton unit</t>
        </r>
      </text>
    </comment>
    <comment ref="I48" authorId="0">
      <text>
        <r>
          <rPr>
            <b/>
            <sz val="9"/>
            <color indexed="81"/>
            <rFont val="Tahoma"/>
            <family val="2"/>
          </rPr>
          <t>Lucas Scheidler:</t>
        </r>
        <r>
          <rPr>
            <sz val="9"/>
            <color indexed="81"/>
            <rFont val="Tahoma"/>
            <family val="2"/>
          </rPr>
          <t xml:space="preserve">
disposal - based on a 5 ton unit</t>
        </r>
      </text>
    </comment>
    <comment ref="J48" authorId="0">
      <text>
        <r>
          <rPr>
            <b/>
            <sz val="9"/>
            <color indexed="81"/>
            <rFont val="Tahoma"/>
            <family val="2"/>
          </rPr>
          <t>Lucas Scheidler:</t>
        </r>
        <r>
          <rPr>
            <sz val="9"/>
            <color indexed="81"/>
            <rFont val="Tahoma"/>
            <family val="2"/>
          </rPr>
          <t xml:space="preserve">
Crane rental  - based on 5 ton unit</t>
        </r>
      </text>
    </comment>
    <comment ref="O48" authorId="0">
      <text>
        <r>
          <rPr>
            <b/>
            <sz val="9"/>
            <color indexed="81"/>
            <rFont val="Tahoma"/>
            <family val="2"/>
          </rPr>
          <t>Lucas Scheidler:</t>
        </r>
        <r>
          <rPr>
            <sz val="9"/>
            <color indexed="81"/>
            <rFont val="Tahoma"/>
            <family val="2"/>
          </rPr>
          <t xml:space="preserve">
Based on 3 ton unit</t>
        </r>
      </text>
    </comment>
    <comment ref="W48" authorId="0">
      <text>
        <r>
          <rPr>
            <b/>
            <sz val="9"/>
            <color indexed="81"/>
            <rFont val="Tahoma"/>
            <family val="2"/>
          </rPr>
          <t>Lucas Scheidler:
EMCOR - does not include markup</t>
        </r>
      </text>
    </comment>
    <comment ref="X48" authorId="0">
      <text>
        <r>
          <rPr>
            <b/>
            <sz val="9"/>
            <color indexed="81"/>
            <rFont val="Tahoma"/>
            <family val="2"/>
          </rPr>
          <t>Lucas Scheidler:</t>
        </r>
        <r>
          <rPr>
            <sz val="9"/>
            <color indexed="81"/>
            <rFont val="Tahoma"/>
            <family val="2"/>
          </rPr>
          <t xml:space="preserve">
EMCOR - does not include markup</t>
        </r>
      </text>
    </comment>
    <comment ref="Y48" authorId="0">
      <text>
        <r>
          <rPr>
            <b/>
            <sz val="9"/>
            <color indexed="81"/>
            <rFont val="Tahoma"/>
            <family val="2"/>
          </rPr>
          <t>Lucas Scheidler:</t>
        </r>
        <r>
          <rPr>
            <sz val="9"/>
            <color indexed="81"/>
            <rFont val="Tahoma"/>
            <family val="2"/>
          </rPr>
          <t xml:space="preserve">
Misc - includes tubing/wiring, misc elec, mis sheet metal - does not include markup</t>
        </r>
      </text>
    </comment>
    <comment ref="Z48" authorId="0">
      <text>
        <r>
          <rPr>
            <b/>
            <sz val="9"/>
            <color indexed="81"/>
            <rFont val="Tahoma"/>
            <family val="2"/>
          </rPr>
          <t>Lucas Scheidler:</t>
        </r>
        <r>
          <rPr>
            <sz val="9"/>
            <color indexed="81"/>
            <rFont val="Tahoma"/>
            <family val="2"/>
          </rPr>
          <t xml:space="preserve">
EMCOR - includes sign  crane / set condenser - does not include markup</t>
        </r>
      </text>
    </comment>
    <comment ref="AA48"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48" authorId="0">
      <text>
        <r>
          <rPr>
            <b/>
            <sz val="9"/>
            <color indexed="81"/>
            <rFont val="Tahoma"/>
            <family val="2"/>
          </rPr>
          <t>Lucas Scheidler:
EMCOR - does not include markup</t>
        </r>
      </text>
    </comment>
    <comment ref="AD48" authorId="0">
      <text>
        <r>
          <rPr>
            <b/>
            <sz val="9"/>
            <color indexed="81"/>
            <rFont val="Tahoma"/>
            <family val="2"/>
          </rPr>
          <t>Lucas Scheidler:</t>
        </r>
        <r>
          <rPr>
            <sz val="9"/>
            <color indexed="81"/>
            <rFont val="Tahoma"/>
            <family val="2"/>
          </rPr>
          <t xml:space="preserve">
EMCOR - does not include markup</t>
        </r>
      </text>
    </comment>
    <comment ref="AE48" authorId="0">
      <text>
        <r>
          <rPr>
            <b/>
            <sz val="9"/>
            <color indexed="81"/>
            <rFont val="Tahoma"/>
            <family val="2"/>
          </rPr>
          <t>Lucas Scheidler:</t>
        </r>
        <r>
          <rPr>
            <sz val="9"/>
            <color indexed="81"/>
            <rFont val="Tahoma"/>
            <family val="2"/>
          </rPr>
          <t xml:space="preserve">
Misc - includes tubing/wiring, misc elec, mis sheet metal - does not include markup</t>
        </r>
      </text>
    </comment>
    <comment ref="AF48" authorId="0">
      <text>
        <r>
          <rPr>
            <b/>
            <sz val="9"/>
            <color indexed="81"/>
            <rFont val="Tahoma"/>
            <family val="2"/>
          </rPr>
          <t>Lucas Scheidler:</t>
        </r>
        <r>
          <rPr>
            <sz val="9"/>
            <color indexed="81"/>
            <rFont val="Tahoma"/>
            <family val="2"/>
          </rPr>
          <t xml:space="preserve">
EMCOR - includes sign  crane / set condenser - does not include markup</t>
        </r>
      </text>
    </comment>
    <comment ref="AG48" authorId="0">
      <text>
        <r>
          <rPr>
            <b/>
            <sz val="9"/>
            <color indexed="81"/>
            <rFont val="Tahoma"/>
            <family val="2"/>
          </rPr>
          <t>Lucas Scheidler:</t>
        </r>
        <r>
          <rPr>
            <sz val="9"/>
            <color indexed="81"/>
            <rFont val="Tahoma"/>
            <family val="2"/>
          </rPr>
          <t xml:space="preserve">
EMCOR - project mgmt, warranty - Does not include markup
</t>
        </r>
      </text>
    </comment>
    <comment ref="K49" authorId="0">
      <text>
        <r>
          <rPr>
            <b/>
            <sz val="9"/>
            <color indexed="81"/>
            <rFont val="Tahoma"/>
            <family val="2"/>
          </rPr>
          <t>Lucas Scheidler:</t>
        </r>
        <r>
          <rPr>
            <sz val="9"/>
            <color indexed="81"/>
            <rFont val="Tahoma"/>
            <family val="2"/>
          </rPr>
          <t xml:space="preserve">
average markup of bids</t>
        </r>
      </text>
    </comment>
    <comment ref="O49" authorId="0">
      <text>
        <r>
          <rPr>
            <b/>
            <sz val="9"/>
            <color indexed="81"/>
            <rFont val="Tahoma"/>
            <family val="2"/>
          </rPr>
          <t>Lucas Scheidler:</t>
        </r>
        <r>
          <rPr>
            <sz val="9"/>
            <color indexed="81"/>
            <rFont val="Tahoma"/>
            <family val="2"/>
          </rPr>
          <t xml:space="preserve">
Based on 3 ton unit</t>
        </r>
      </text>
    </comment>
    <comment ref="U49" authorId="0">
      <text>
        <r>
          <rPr>
            <b/>
            <sz val="9"/>
            <color indexed="81"/>
            <rFont val="Tahoma"/>
            <family val="2"/>
          </rPr>
          <t>Lucas Scheidler:</t>
        </r>
        <r>
          <rPr>
            <sz val="9"/>
            <color indexed="81"/>
            <rFont val="Tahoma"/>
            <family val="2"/>
          </rPr>
          <t xml:space="preserve">
MCS HVAC contractor survey: The following questions apply to retrofitting a split DX or packaged DX system on a low rise, flat roof, commercial building.  On average, how much does it cost to rent a crane to remove an old outdoor unit and install a new unit?  Please exclude any costs related to required permits.</t>
        </r>
      </text>
    </comment>
    <comment ref="I50" authorId="0">
      <text>
        <r>
          <rPr>
            <b/>
            <sz val="9"/>
            <color indexed="81"/>
            <rFont val="Tahoma"/>
            <family val="2"/>
          </rPr>
          <t>Lucas Scheidler:</t>
        </r>
        <r>
          <rPr>
            <sz val="9"/>
            <color indexed="81"/>
            <rFont val="Tahoma"/>
            <family val="2"/>
          </rPr>
          <t xml:space="preserve">
based on a 3 ton unit
</t>
        </r>
      </text>
    </comment>
    <comment ref="O50" authorId="0">
      <text>
        <r>
          <rPr>
            <b/>
            <sz val="9"/>
            <color indexed="81"/>
            <rFont val="Tahoma"/>
            <family val="2"/>
          </rPr>
          <t>Lucas Scheidler:</t>
        </r>
        <r>
          <rPr>
            <sz val="9"/>
            <color indexed="81"/>
            <rFont val="Tahoma"/>
            <family val="2"/>
          </rPr>
          <t xml:space="preserve">
based on a 3 ton unit</t>
        </r>
      </text>
    </comment>
    <comment ref="U50" authorId="0">
      <text>
        <r>
          <rPr>
            <b/>
            <sz val="9"/>
            <color indexed="81"/>
            <rFont val="Tahoma"/>
            <family val="2"/>
          </rPr>
          <t>Lucas Scheidler:</t>
        </r>
        <r>
          <rPr>
            <sz val="9"/>
            <color indexed="81"/>
            <rFont val="Tahoma"/>
            <family val="2"/>
          </rPr>
          <t xml:space="preserve">
MCS HVAC contractor survey: The following questions apply to retrofitting a split DX or packaged DX system on a low rise, flat roof, commercial building. On average, how many man-hours does it take to install a new 5 ton unit?  Please include the time required for preparing the curb and installing new curb gaskets, moving the unit into place with the crane, attaching refrigerant piping, connecting electrical and gas as necessary, and connecting ductwork.  Assume no new curb is required and no new screen is required to conceal the unit.</t>
        </r>
      </text>
    </comment>
    <comment ref="U51" authorId="0">
      <text>
        <r>
          <rPr>
            <b/>
            <sz val="9"/>
            <color indexed="81"/>
            <rFont val="Tahoma"/>
            <family val="2"/>
          </rPr>
          <t>Lucas Scheidler:</t>
        </r>
        <r>
          <rPr>
            <sz val="9"/>
            <color indexed="81"/>
            <rFont val="Tahoma"/>
            <family val="2"/>
          </rPr>
          <t xml:space="preserve">
MCS HVAC contractor survey: The following questions apply to retrofitting a split DX or packaged DX system on a low rise, flat roof, commercial building. On average, how many man-hours does it take to remove an old unit, assuming a crane is used for the removal?  Please include time associated with pulling refrigerant out, disconnecting electrical and controls, disconnecting the unit from the curb, removal of the unit by crane, and taking the unit to the recycler.</t>
        </r>
      </text>
    </comment>
    <comment ref="U52" authorId="0">
      <text>
        <r>
          <rPr>
            <b/>
            <sz val="9"/>
            <color indexed="81"/>
            <rFont val="Tahoma"/>
            <family val="2"/>
          </rPr>
          <t>Lucas Scheidler:</t>
        </r>
        <r>
          <rPr>
            <sz val="9"/>
            <color indexed="81"/>
            <rFont val="Tahoma"/>
            <family val="2"/>
          </rPr>
          <t xml:space="preserve">
MCS HVAC contractor survey: The following questions apply to retrofitting a split DX or packaged DX system on a low rise, flat roof, commercial building.  On average, what is the disposal fee for the old unit?</t>
        </r>
      </text>
    </comment>
    <comment ref="U53" authorId="0">
      <text>
        <r>
          <rPr>
            <b/>
            <sz val="9"/>
            <color indexed="81"/>
            <rFont val="Tahoma"/>
            <family val="2"/>
          </rPr>
          <t>Lucas Scheidler:</t>
        </r>
        <r>
          <rPr>
            <sz val="9"/>
            <color indexed="81"/>
            <rFont val="Tahoma"/>
            <family val="2"/>
          </rPr>
          <t xml:space="preserve">
MCS HVAC contractor survey: The following questions apply to retrofitting a split DX or packaged DX system on a low rise, flat roof, commercial building. On average, how many man-hours does it take to perform testing/commissioning on a newly installed 5 ton unit to ensure it is running properly?  Please include time required for checking belt alignment, starting compressors and making sure pressure is correct, checking combustion efficiency (in the case of gas units), checking for air leaks in the ductwork, making sure amperage is in the acceptable range, and balancing air flow.</t>
        </r>
      </text>
    </comment>
    <comment ref="U54" authorId="0">
      <text>
        <r>
          <rPr>
            <b/>
            <sz val="9"/>
            <color indexed="81"/>
            <rFont val="Tahoma"/>
            <family val="2"/>
          </rPr>
          <t>Lucas Scheidler:</t>
        </r>
        <r>
          <rPr>
            <sz val="9"/>
            <color indexed="81"/>
            <rFont val="Tahoma"/>
            <family val="2"/>
          </rPr>
          <t xml:space="preserve">
RSMeans item 238126</t>
        </r>
      </text>
    </comment>
    <comment ref="AP54" authorId="0">
      <text>
        <r>
          <rPr>
            <b/>
            <sz val="9"/>
            <color indexed="81"/>
            <rFont val="Tahoma"/>
            <family val="2"/>
          </rPr>
          <t>Lucas Scheidler:</t>
        </r>
        <r>
          <rPr>
            <sz val="9"/>
            <color indexed="81"/>
            <rFont val="Tahoma"/>
            <family val="2"/>
          </rPr>
          <t xml:space="preserve">
National Average - crew Q-5
</t>
        </r>
      </text>
    </comment>
    <comment ref="U59" authorId="0">
      <text>
        <r>
          <rPr>
            <b/>
            <sz val="9"/>
            <color indexed="81"/>
            <rFont val="Tahoma"/>
            <family val="2"/>
          </rPr>
          <t>Lucas Scheidler:</t>
        </r>
        <r>
          <rPr>
            <sz val="9"/>
            <color indexed="81"/>
            <rFont val="Tahoma"/>
            <family val="2"/>
          </rPr>
          <t xml:space="preserve">
RSMeans item 238219.1</t>
        </r>
      </text>
    </comment>
    <comment ref="V66" authorId="0">
      <text>
        <r>
          <rPr>
            <b/>
            <sz val="9"/>
            <color indexed="81"/>
            <rFont val="Tahoma"/>
            <family val="2"/>
          </rPr>
          <t>Lucas Scheidler:</t>
        </r>
        <r>
          <rPr>
            <sz val="9"/>
            <color indexed="81"/>
            <rFont val="Tahoma"/>
            <family val="2"/>
          </rPr>
          <t xml:space="preserve">
implied hours based on DOE TSD installed cost and artificial bid hourly rate
</t>
        </r>
      </text>
    </comment>
    <comment ref="W66" authorId="0">
      <text>
        <r>
          <rPr>
            <b/>
            <sz val="9"/>
            <color indexed="81"/>
            <rFont val="Tahoma"/>
            <family val="2"/>
          </rPr>
          <t>Lucas Scheidler:</t>
        </r>
        <r>
          <rPr>
            <sz val="9"/>
            <color indexed="81"/>
            <rFont val="Tahoma"/>
            <family val="2"/>
          </rPr>
          <t xml:space="preserve">
average from artificial bids
</t>
        </r>
      </text>
    </comment>
    <comment ref="X66" authorId="0">
      <text>
        <r>
          <rPr>
            <b/>
            <sz val="9"/>
            <color indexed="81"/>
            <rFont val="Tahoma"/>
            <family val="2"/>
          </rPr>
          <t>Lucas Scheidler:</t>
        </r>
        <r>
          <rPr>
            <sz val="9"/>
            <color indexed="81"/>
            <rFont val="Tahoma"/>
            <family val="2"/>
          </rPr>
          <t xml:space="preserve">
DOE TSD base cost national average cost of $511 times the CA state multiplier 1.297</t>
        </r>
      </text>
    </comment>
    <comment ref="K68" authorId="0">
      <text>
        <r>
          <rPr>
            <b/>
            <sz val="9"/>
            <color indexed="81"/>
            <rFont val="Tahoma"/>
            <family val="2"/>
          </rPr>
          <t>Lucas Scheidler:
RSMeans average</t>
        </r>
      </text>
    </comment>
    <comment ref="U68" authorId="0">
      <text>
        <r>
          <rPr>
            <b/>
            <sz val="9"/>
            <color indexed="81"/>
            <rFont val="Tahoma"/>
            <family val="2"/>
          </rPr>
          <t>Lucas Scheidler:</t>
        </r>
        <r>
          <rPr>
            <sz val="9"/>
            <color indexed="81"/>
            <rFont val="Tahoma"/>
            <family val="2"/>
          </rPr>
          <t xml:space="preserve">
RSMeans item 233414</t>
        </r>
      </text>
    </comment>
    <comment ref="AP68" authorId="0">
      <text>
        <r>
          <rPr>
            <b/>
            <sz val="9"/>
            <color indexed="81"/>
            <rFont val="Tahoma"/>
            <family val="2"/>
          </rPr>
          <t>Lucas Scheidler:</t>
        </r>
        <r>
          <rPr>
            <sz val="9"/>
            <color indexed="81"/>
            <rFont val="Tahoma"/>
            <family val="2"/>
          </rPr>
          <t xml:space="preserve">
National Average crew Q-20</t>
        </r>
      </text>
    </comment>
    <comment ref="U77" authorId="0">
      <text>
        <r>
          <rPr>
            <b/>
            <sz val="9"/>
            <color indexed="81"/>
            <rFont val="Tahoma"/>
            <family val="2"/>
          </rPr>
          <t>Lucas Scheidler:</t>
        </r>
        <r>
          <rPr>
            <sz val="9"/>
            <color indexed="81"/>
            <rFont val="Tahoma"/>
            <family val="2"/>
          </rPr>
          <t xml:space="preserve">
NREL, Jan, 2014. Evaluation of Retrofit Variable-Speed Furnace Fan Motors. http://www.nrel.gov/docs/fy14osti/60760.pdf</t>
        </r>
      </text>
    </comment>
    <comment ref="V77" authorId="0">
      <text>
        <r>
          <rPr>
            <b/>
            <sz val="9"/>
            <color indexed="81"/>
            <rFont val="Tahoma"/>
            <family val="2"/>
          </rPr>
          <t>Lucas Scheidler:</t>
        </r>
        <r>
          <rPr>
            <sz val="9"/>
            <color indexed="81"/>
            <rFont val="Tahoma"/>
            <family val="2"/>
          </rPr>
          <t xml:space="preserve">
Simple Average of 8 data points for retrofits of PSM motors with Concept 3 motors</t>
        </r>
      </text>
    </comment>
    <comment ref="K83" authorId="0">
      <text>
        <r>
          <rPr>
            <b/>
            <sz val="9"/>
            <color indexed="81"/>
            <rFont val="Tahoma"/>
            <family val="2"/>
          </rPr>
          <t>Lucas Scheidler:</t>
        </r>
        <r>
          <rPr>
            <sz val="9"/>
            <color indexed="81"/>
            <rFont val="Tahoma"/>
            <family val="2"/>
          </rPr>
          <t xml:space="preserve">
average RSMeans</t>
        </r>
      </text>
    </comment>
    <comment ref="M83" authorId="0">
      <text>
        <r>
          <rPr>
            <b/>
            <sz val="9"/>
            <color indexed="81"/>
            <rFont val="Tahoma"/>
            <family val="2"/>
          </rPr>
          <t>Lucas Scheidler:</t>
        </r>
        <r>
          <rPr>
            <sz val="9"/>
            <color indexed="81"/>
            <rFont val="Tahoma"/>
            <family val="2"/>
          </rPr>
          <t xml:space="preserve">
workpapers refer to DEER 2011, which refers to Means and gives the same values at left</t>
        </r>
      </text>
    </comment>
    <comment ref="U83" authorId="0">
      <text>
        <r>
          <rPr>
            <b/>
            <sz val="9"/>
            <color indexed="81"/>
            <rFont val="Tahoma"/>
            <family val="2"/>
          </rPr>
          <t>Lucas Scheidler:</t>
        </r>
        <r>
          <rPr>
            <sz val="9"/>
            <color indexed="81"/>
            <rFont val="Tahoma"/>
            <family val="2"/>
          </rPr>
          <t xml:space="preserve">
RSMeans item 2629231001</t>
        </r>
      </text>
    </comment>
    <comment ref="AP83" authorId="0">
      <text>
        <r>
          <rPr>
            <b/>
            <sz val="9"/>
            <color indexed="81"/>
            <rFont val="Tahoma"/>
            <family val="2"/>
          </rPr>
          <t>Lucas Scheidler:</t>
        </r>
        <r>
          <rPr>
            <sz val="9"/>
            <color indexed="81"/>
            <rFont val="Tahoma"/>
            <family val="2"/>
          </rPr>
          <t xml:space="preserve">
National Average - 1 electrician</t>
        </r>
      </text>
    </comment>
    <comment ref="AP88" authorId="0">
      <text>
        <r>
          <rPr>
            <b/>
            <sz val="9"/>
            <color indexed="81"/>
            <rFont val="Tahoma"/>
            <family val="2"/>
          </rPr>
          <t>Lucas Scheidler:</t>
        </r>
        <r>
          <rPr>
            <sz val="9"/>
            <color indexed="81"/>
            <rFont val="Tahoma"/>
            <family val="2"/>
          </rPr>
          <t xml:space="preserve">
National Average crew R-3</t>
        </r>
      </text>
    </comment>
    <comment ref="K94" authorId="0">
      <text>
        <r>
          <rPr>
            <b/>
            <sz val="9"/>
            <color indexed="81"/>
            <rFont val="Tahoma"/>
            <family val="2"/>
          </rPr>
          <t>Lucas Scheidler:</t>
        </r>
        <r>
          <rPr>
            <sz val="9"/>
            <color indexed="81"/>
            <rFont val="Tahoma"/>
            <family val="2"/>
          </rPr>
          <t xml:space="preserve">
RSMeans average</t>
        </r>
      </text>
    </comment>
    <comment ref="M94" authorId="0">
      <text>
        <r>
          <rPr>
            <b/>
            <sz val="9"/>
            <color indexed="81"/>
            <rFont val="Tahoma"/>
            <family val="2"/>
          </rPr>
          <t>Lucas Scheidler:</t>
        </r>
        <r>
          <rPr>
            <sz val="9"/>
            <color indexed="81"/>
            <rFont val="Tahoma"/>
            <family val="2"/>
          </rPr>
          <t xml:space="preserve">
workpapers refer to DEER 2011, which refers to Means and gives the same values at left</t>
        </r>
      </text>
    </comment>
    <comment ref="U94" authorId="0">
      <text>
        <r>
          <rPr>
            <b/>
            <sz val="9"/>
            <color indexed="81"/>
            <rFont val="Tahoma"/>
            <family val="2"/>
          </rPr>
          <t>Lucas Scheidler:</t>
        </r>
        <r>
          <rPr>
            <sz val="9"/>
            <color indexed="81"/>
            <rFont val="Tahoma"/>
            <family val="2"/>
          </rPr>
          <t xml:space="preserve">
RSMeans item 2629231001</t>
        </r>
      </text>
    </comment>
    <comment ref="AP94" authorId="0">
      <text>
        <r>
          <rPr>
            <b/>
            <sz val="9"/>
            <color indexed="81"/>
            <rFont val="Tahoma"/>
            <family val="2"/>
          </rPr>
          <t>Lucas Scheidler:</t>
        </r>
        <r>
          <rPr>
            <sz val="9"/>
            <color indexed="81"/>
            <rFont val="Tahoma"/>
            <family val="2"/>
          </rPr>
          <t xml:space="preserve">
National Average - 1 electrician</t>
        </r>
      </text>
    </comment>
    <comment ref="K105" authorId="0">
      <text>
        <r>
          <rPr>
            <b/>
            <sz val="9"/>
            <color indexed="81"/>
            <rFont val="Tahoma"/>
            <family val="2"/>
          </rPr>
          <t>Lucas Scheidler:</t>
        </r>
        <r>
          <rPr>
            <sz val="9"/>
            <color indexed="81"/>
            <rFont val="Tahoma"/>
            <family val="2"/>
          </rPr>
          <t xml:space="preserve">
artificial bids average</t>
        </r>
      </text>
    </comment>
    <comment ref="W105" authorId="0">
      <text>
        <r>
          <rPr>
            <b/>
            <sz val="9"/>
            <color indexed="81"/>
            <rFont val="Tahoma"/>
            <family val="2"/>
          </rPr>
          <t>Lucas Scheidler:
EMCOR - does not include markup</t>
        </r>
      </text>
    </comment>
    <comment ref="X105" authorId="0">
      <text>
        <r>
          <rPr>
            <b/>
            <sz val="9"/>
            <color indexed="81"/>
            <rFont val="Tahoma"/>
            <family val="2"/>
          </rPr>
          <t>Lucas Scheidler:</t>
        </r>
        <r>
          <rPr>
            <sz val="9"/>
            <color indexed="81"/>
            <rFont val="Tahoma"/>
            <family val="2"/>
          </rPr>
          <t xml:space="preserve">
EMCOR - does not include markup</t>
        </r>
      </text>
    </comment>
    <comment ref="Y105" authorId="0">
      <text>
        <r>
          <rPr>
            <b/>
            <sz val="9"/>
            <color indexed="81"/>
            <rFont val="Tahoma"/>
            <family val="2"/>
          </rPr>
          <t>Lucas Scheidler:</t>
        </r>
        <r>
          <rPr>
            <sz val="9"/>
            <color indexed="81"/>
            <rFont val="Tahoma"/>
            <family val="2"/>
          </rPr>
          <t xml:space="preserve">
Misc - does not include markup</t>
        </r>
      </text>
    </comment>
    <comment ref="AA105"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105" authorId="0">
      <text>
        <r>
          <rPr>
            <b/>
            <sz val="9"/>
            <color indexed="81"/>
            <rFont val="Tahoma"/>
            <family val="2"/>
          </rPr>
          <t>Lucas Scheidler:
EMCOR - does not include markup</t>
        </r>
      </text>
    </comment>
    <comment ref="AD105" authorId="0">
      <text>
        <r>
          <rPr>
            <b/>
            <sz val="9"/>
            <color indexed="81"/>
            <rFont val="Tahoma"/>
            <family val="2"/>
          </rPr>
          <t>Lucas Scheidler:</t>
        </r>
        <r>
          <rPr>
            <sz val="9"/>
            <color indexed="81"/>
            <rFont val="Tahoma"/>
            <family val="2"/>
          </rPr>
          <t xml:space="preserve">
EMCOR - does not include markup</t>
        </r>
      </text>
    </comment>
    <comment ref="W106" authorId="0">
      <text>
        <r>
          <rPr>
            <b/>
            <sz val="9"/>
            <color indexed="81"/>
            <rFont val="Tahoma"/>
            <family val="2"/>
          </rPr>
          <t>Lucas Scheidler:
EMCOR - does not include markup</t>
        </r>
      </text>
    </comment>
    <comment ref="X106" authorId="0">
      <text>
        <r>
          <rPr>
            <b/>
            <sz val="9"/>
            <color indexed="81"/>
            <rFont val="Tahoma"/>
            <family val="2"/>
          </rPr>
          <t>Lucas Scheidler:</t>
        </r>
        <r>
          <rPr>
            <sz val="9"/>
            <color indexed="81"/>
            <rFont val="Tahoma"/>
            <family val="2"/>
          </rPr>
          <t xml:space="preserve">
EMCOR - does not include markup</t>
        </r>
      </text>
    </comment>
    <comment ref="Y106" authorId="0">
      <text>
        <r>
          <rPr>
            <b/>
            <sz val="9"/>
            <color indexed="81"/>
            <rFont val="Tahoma"/>
            <family val="2"/>
          </rPr>
          <t>Lucas Scheidler:</t>
        </r>
        <r>
          <rPr>
            <sz val="9"/>
            <color indexed="81"/>
            <rFont val="Tahoma"/>
            <family val="2"/>
          </rPr>
          <t xml:space="preserve">
Misc - does not include markup</t>
        </r>
      </text>
    </comment>
    <comment ref="AA106"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106" authorId="0">
      <text>
        <r>
          <rPr>
            <b/>
            <sz val="9"/>
            <color indexed="81"/>
            <rFont val="Tahoma"/>
            <family val="2"/>
          </rPr>
          <t>Lucas Scheidler:
EMCOR - does not include markup</t>
        </r>
      </text>
    </comment>
    <comment ref="AD106" authorId="0">
      <text>
        <r>
          <rPr>
            <b/>
            <sz val="9"/>
            <color indexed="81"/>
            <rFont val="Tahoma"/>
            <family val="2"/>
          </rPr>
          <t>Lucas Scheidler:</t>
        </r>
        <r>
          <rPr>
            <sz val="9"/>
            <color indexed="81"/>
            <rFont val="Tahoma"/>
            <family val="2"/>
          </rPr>
          <t xml:space="preserve">
EMCOR - does not include markup</t>
        </r>
      </text>
    </comment>
    <comment ref="W107" authorId="0">
      <text>
        <r>
          <rPr>
            <b/>
            <sz val="9"/>
            <color indexed="81"/>
            <rFont val="Tahoma"/>
            <family val="2"/>
          </rPr>
          <t>Lucas Scheidler:
EMCOR - does not include markup</t>
        </r>
      </text>
    </comment>
    <comment ref="X107" authorId="0">
      <text>
        <r>
          <rPr>
            <b/>
            <sz val="9"/>
            <color indexed="81"/>
            <rFont val="Tahoma"/>
            <family val="2"/>
          </rPr>
          <t>Lucas Scheidler:</t>
        </r>
        <r>
          <rPr>
            <sz val="9"/>
            <color indexed="81"/>
            <rFont val="Tahoma"/>
            <family val="2"/>
          </rPr>
          <t xml:space="preserve">
EMCOR - does not include markup</t>
        </r>
      </text>
    </comment>
    <comment ref="Y107" authorId="0">
      <text>
        <r>
          <rPr>
            <b/>
            <sz val="9"/>
            <color indexed="81"/>
            <rFont val="Tahoma"/>
            <family val="2"/>
          </rPr>
          <t>Lucas Scheidler:</t>
        </r>
        <r>
          <rPr>
            <sz val="9"/>
            <color indexed="81"/>
            <rFont val="Tahoma"/>
            <family val="2"/>
          </rPr>
          <t xml:space="preserve">
Misc - does not include markup</t>
        </r>
      </text>
    </comment>
    <comment ref="AA107"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107" authorId="0">
      <text>
        <r>
          <rPr>
            <b/>
            <sz val="9"/>
            <color indexed="81"/>
            <rFont val="Tahoma"/>
            <family val="2"/>
          </rPr>
          <t>Lucas Scheidler:
EMCOR - does not include markup</t>
        </r>
      </text>
    </comment>
    <comment ref="AD107" authorId="0">
      <text>
        <r>
          <rPr>
            <b/>
            <sz val="9"/>
            <color indexed="81"/>
            <rFont val="Tahoma"/>
            <family val="2"/>
          </rPr>
          <t>Lucas Scheidler:</t>
        </r>
        <r>
          <rPr>
            <sz val="9"/>
            <color indexed="81"/>
            <rFont val="Tahoma"/>
            <family val="2"/>
          </rPr>
          <t xml:space="preserve">
EMCOR - does not include markup</t>
        </r>
      </text>
    </comment>
    <comment ref="E131" authorId="0">
      <text>
        <r>
          <rPr>
            <b/>
            <sz val="9"/>
            <color indexed="81"/>
            <rFont val="Tahoma"/>
            <family val="2"/>
          </rPr>
          <t>Lucas Scheidler:</t>
        </r>
        <r>
          <rPr>
            <sz val="9"/>
            <color indexed="81"/>
            <rFont val="Tahoma"/>
            <family val="2"/>
          </rPr>
          <t xml:space="preserve">
Average hours per ton across the 1.5 - 12 ton range</t>
        </r>
      </text>
    </comment>
    <comment ref="K131" authorId="0">
      <text>
        <r>
          <rPr>
            <b/>
            <sz val="9"/>
            <color indexed="81"/>
            <rFont val="Tahoma"/>
            <family val="2"/>
          </rPr>
          <t>Lucas Scheidler:</t>
        </r>
        <r>
          <rPr>
            <sz val="9"/>
            <color indexed="81"/>
            <rFont val="Tahoma"/>
            <family val="2"/>
          </rPr>
          <t xml:space="preserve">
RSMeans average</t>
        </r>
      </text>
    </comment>
    <comment ref="O131" authorId="0">
      <text>
        <r>
          <rPr>
            <b/>
            <sz val="9"/>
            <color indexed="81"/>
            <rFont val="Tahoma"/>
            <family val="2"/>
          </rPr>
          <t>Lucas Scheidler:</t>
        </r>
        <r>
          <rPr>
            <sz val="9"/>
            <color indexed="81"/>
            <rFont val="Tahoma"/>
            <family val="2"/>
          </rPr>
          <t xml:space="preserve">
Variation here is dependent on building type and vintage, which affects the conversion of $/cfm --&gt;$/ton--&gt; $/1000sqft</t>
        </r>
      </text>
    </comment>
    <comment ref="U132" authorId="0">
      <text>
        <r>
          <rPr>
            <b/>
            <sz val="9"/>
            <color indexed="81"/>
            <rFont val="Tahoma"/>
            <family val="2"/>
          </rPr>
          <t>Lucas Scheidler:</t>
        </r>
        <r>
          <rPr>
            <sz val="9"/>
            <color indexed="81"/>
            <rFont val="Tahoma"/>
            <family val="2"/>
          </rPr>
          <t xml:space="preserve">
RS Means item 237613</t>
        </r>
      </text>
    </comment>
    <comment ref="AP132" authorId="0">
      <text>
        <r>
          <rPr>
            <b/>
            <sz val="9"/>
            <color indexed="81"/>
            <rFont val="Tahoma"/>
            <family val="2"/>
          </rPr>
          <t>Lucas Scheidler:</t>
        </r>
        <r>
          <rPr>
            <sz val="9"/>
            <color indexed="81"/>
            <rFont val="Tahoma"/>
            <family val="2"/>
          </rPr>
          <t xml:space="preserve">
National Average - crew Q-9</t>
        </r>
      </text>
    </comment>
    <comment ref="K145" authorId="0">
      <text>
        <r>
          <rPr>
            <b/>
            <sz val="9"/>
            <color indexed="81"/>
            <rFont val="Tahoma"/>
            <family val="2"/>
          </rPr>
          <t>Lucas Scheidler:</t>
        </r>
        <r>
          <rPr>
            <sz val="9"/>
            <color indexed="81"/>
            <rFont val="Tahoma"/>
            <family val="2"/>
          </rPr>
          <t xml:space="preserve">
Artificial bids</t>
        </r>
      </text>
    </comment>
    <comment ref="AB145" authorId="0">
      <text>
        <r>
          <rPr>
            <b/>
            <sz val="9"/>
            <color indexed="81"/>
            <rFont val="Tahoma"/>
            <family val="2"/>
          </rPr>
          <t>Lucas Scheidler:</t>
        </r>
        <r>
          <rPr>
            <sz val="9"/>
            <color indexed="81"/>
            <rFont val="Tahoma"/>
            <family val="2"/>
          </rPr>
          <t xml:space="preserve">
EMCOR</t>
        </r>
      </text>
    </comment>
    <comment ref="AC145" authorId="0">
      <text>
        <r>
          <rPr>
            <b/>
            <sz val="9"/>
            <color indexed="81"/>
            <rFont val="Tahoma"/>
            <family val="2"/>
          </rPr>
          <t>Lucas Scheidler:</t>
        </r>
        <r>
          <rPr>
            <sz val="9"/>
            <color indexed="81"/>
            <rFont val="Tahoma"/>
            <family val="2"/>
          </rPr>
          <t xml:space="preserve">
EMCOR - Weighted average of all laborers. Does not include markup</t>
        </r>
      </text>
    </comment>
    <comment ref="AD145" authorId="0">
      <text>
        <r>
          <rPr>
            <b/>
            <sz val="9"/>
            <color indexed="81"/>
            <rFont val="Tahoma"/>
            <family val="2"/>
          </rPr>
          <t>Lucas Scheidler:</t>
        </r>
        <r>
          <rPr>
            <sz val="9"/>
            <color indexed="81"/>
            <rFont val="Tahoma"/>
            <family val="2"/>
          </rPr>
          <t xml:space="preserve">
EMCOR - Does not include markup</t>
        </r>
      </text>
    </comment>
    <comment ref="AE145" authorId="0">
      <text>
        <r>
          <rPr>
            <b/>
            <sz val="9"/>
            <color indexed="81"/>
            <rFont val="Tahoma"/>
            <family val="2"/>
          </rPr>
          <t>Lucas Scheidler:</t>
        </r>
        <r>
          <rPr>
            <sz val="9"/>
            <color indexed="81"/>
            <rFont val="Tahoma"/>
            <family val="2"/>
          </rPr>
          <t xml:space="preserve">
EMCOR - small tools / etc, pipes and fittings- Does not include markup or tax</t>
        </r>
      </text>
    </comment>
    <comment ref="AF145" authorId="0">
      <text>
        <r>
          <rPr>
            <b/>
            <sz val="9"/>
            <color indexed="81"/>
            <rFont val="Tahoma"/>
            <family val="2"/>
          </rPr>
          <t>Lucas Scheidler:</t>
        </r>
        <r>
          <rPr>
            <sz val="9"/>
            <color indexed="81"/>
            <rFont val="Tahoma"/>
            <family val="2"/>
          </rPr>
          <t xml:space="preserve">
EMCOR - Rigging/crane,  - Does not include markup</t>
        </r>
      </text>
    </comment>
    <comment ref="AG145" authorId="0">
      <text>
        <r>
          <rPr>
            <b/>
            <sz val="9"/>
            <color indexed="81"/>
            <rFont val="Tahoma"/>
            <family val="2"/>
          </rPr>
          <t>Lucas Scheidler:</t>
        </r>
        <r>
          <rPr>
            <sz val="9"/>
            <color indexed="81"/>
            <rFont val="Tahoma"/>
            <family val="2"/>
          </rPr>
          <t xml:space="preserve">
EMCOR - Engineering/survey, project mgmt,warranty - Does not include markup
</t>
        </r>
      </text>
    </comment>
    <comment ref="E156" authorId="0">
      <text>
        <r>
          <rPr>
            <b/>
            <sz val="9"/>
            <color indexed="81"/>
            <rFont val="Tahoma"/>
            <family val="2"/>
          </rPr>
          <t>Lucas Scheidler:</t>
        </r>
        <r>
          <rPr>
            <sz val="9"/>
            <color indexed="81"/>
            <rFont val="Tahoma"/>
            <family val="2"/>
          </rPr>
          <t xml:space="preserve">
Based on 5 ton unit</t>
        </r>
      </text>
    </comment>
    <comment ref="I156" authorId="0">
      <text>
        <r>
          <rPr>
            <b/>
            <sz val="9"/>
            <color indexed="81"/>
            <rFont val="Tahoma"/>
            <family val="2"/>
          </rPr>
          <t>Lucas Scheidler:</t>
        </r>
        <r>
          <rPr>
            <sz val="9"/>
            <color indexed="81"/>
            <rFont val="Tahoma"/>
            <family val="2"/>
          </rPr>
          <t xml:space="preserve">
disposal - based on a 5 ton unit</t>
        </r>
      </text>
    </comment>
    <comment ref="J156" authorId="0">
      <text>
        <r>
          <rPr>
            <b/>
            <sz val="9"/>
            <color indexed="81"/>
            <rFont val="Tahoma"/>
            <family val="2"/>
          </rPr>
          <t>Lucas Scheidler:</t>
        </r>
        <r>
          <rPr>
            <sz val="9"/>
            <color indexed="81"/>
            <rFont val="Tahoma"/>
            <family val="2"/>
          </rPr>
          <t xml:space="preserve">
Crane rental  - based on 5 ton unit</t>
        </r>
      </text>
    </comment>
    <comment ref="K156" authorId="0">
      <text>
        <r>
          <rPr>
            <b/>
            <sz val="9"/>
            <color indexed="81"/>
            <rFont val="Tahoma"/>
            <family val="2"/>
          </rPr>
          <t>Lucas Scheidler:</t>
        </r>
        <r>
          <rPr>
            <sz val="9"/>
            <color indexed="81"/>
            <rFont val="Tahoma"/>
            <family val="2"/>
          </rPr>
          <t xml:space="preserve">
artificial bids average</t>
        </r>
      </text>
    </comment>
    <comment ref="O156" authorId="0">
      <text>
        <r>
          <rPr>
            <b/>
            <sz val="9"/>
            <color indexed="81"/>
            <rFont val="Tahoma"/>
            <family val="2"/>
          </rPr>
          <t>Lucas Scheidler:</t>
        </r>
        <r>
          <rPr>
            <sz val="9"/>
            <color indexed="81"/>
            <rFont val="Tahoma"/>
            <family val="2"/>
          </rPr>
          <t xml:space="preserve">
based on a 5 ton unit</t>
        </r>
      </text>
    </comment>
    <comment ref="U156" authorId="0">
      <text>
        <r>
          <rPr>
            <b/>
            <sz val="9"/>
            <color indexed="81"/>
            <rFont val="Tahoma"/>
            <family val="2"/>
          </rPr>
          <t>Lucas Scheidler:</t>
        </r>
        <r>
          <rPr>
            <sz val="9"/>
            <color indexed="81"/>
            <rFont val="Tahoma"/>
            <family val="2"/>
          </rPr>
          <t xml:space="preserve">
MCS HVAC contractor survey: The following questions apply to retrofitting a split DX or packaged DX system on a low rise, flat roof, commercial building.  On average, how much does it cost to rent a crane to remove an old outdoor unit and install a new unit?  Please exclude any costs related to required permits.</t>
        </r>
      </text>
    </comment>
    <comment ref="G157" authorId="0">
      <text>
        <r>
          <rPr>
            <b/>
            <sz val="9"/>
            <color indexed="81"/>
            <rFont val="Tahoma"/>
            <family val="2"/>
          </rPr>
          <t>Lucas Scheidler:</t>
        </r>
        <r>
          <rPr>
            <sz val="9"/>
            <color indexed="81"/>
            <rFont val="Tahoma"/>
            <family val="2"/>
          </rPr>
          <t xml:space="preserve">
There was no artificial bids for small package units so the labor rate for large packaged DX is used.</t>
        </r>
      </text>
    </comment>
    <comment ref="U157" authorId="0">
      <text>
        <r>
          <rPr>
            <b/>
            <sz val="9"/>
            <color indexed="81"/>
            <rFont val="Tahoma"/>
            <family val="2"/>
          </rPr>
          <t>Lucas Scheidler:</t>
        </r>
        <r>
          <rPr>
            <sz val="9"/>
            <color indexed="81"/>
            <rFont val="Tahoma"/>
            <family val="2"/>
          </rPr>
          <t xml:space="preserve">
MCS HVAC contractor survey: The following questions apply to retrofitting a split DX or packaged DX system on a low rise, flat roof, commercial building. On average, how many man-hours does it take to install a new 5 ton unit?  Please include the time required for preparing the curb and installing new curb gaskets, moving the unit into place with the crane, attaching refrigerant piping, connecting electrical and gas as necessary, and connecting ductwork.  Assume no new curb is required and no new screen is required to conceal the unit.</t>
        </r>
      </text>
    </comment>
    <comment ref="I158" authorId="0">
      <text>
        <r>
          <rPr>
            <b/>
            <sz val="9"/>
            <color indexed="81"/>
            <rFont val="Tahoma"/>
            <family val="2"/>
          </rPr>
          <t>Lucas Scheidler:</t>
        </r>
        <r>
          <rPr>
            <sz val="9"/>
            <color indexed="81"/>
            <rFont val="Tahoma"/>
            <family val="2"/>
          </rPr>
          <t xml:space="preserve">
No artificial bids to draw miscellaneous costs from for small packaged units. Given the similarity in miscellaneous costs per ton for 20 to 70 ton units, the average miscellaneous costs per ton from the large package units was used here.
</t>
        </r>
      </text>
    </comment>
    <comment ref="U158" authorId="0">
      <text>
        <r>
          <rPr>
            <b/>
            <sz val="9"/>
            <color indexed="81"/>
            <rFont val="Tahoma"/>
            <family val="2"/>
          </rPr>
          <t>Lucas Scheidler:</t>
        </r>
        <r>
          <rPr>
            <sz val="9"/>
            <color indexed="81"/>
            <rFont val="Tahoma"/>
            <family val="2"/>
          </rPr>
          <t xml:space="preserve">
MCS HVAC contractor survey: The following questions apply to retrofitting a split DX or packaged DX system on a low rise, flat roof, commercial building. On average, how many man-hours does it take to remove an old unit, assuming a crane is used for the removal?  Please include time associated with pulling refrigerant out, disconnecting electrical and controls, disconnecting the unit from the curb, removal of the unit by crane, and taking the unit to the recycler.</t>
        </r>
      </text>
    </comment>
    <comment ref="U159" authorId="0">
      <text>
        <r>
          <rPr>
            <b/>
            <sz val="9"/>
            <color indexed="81"/>
            <rFont val="Tahoma"/>
            <family val="2"/>
          </rPr>
          <t>Lucas Scheidler:</t>
        </r>
        <r>
          <rPr>
            <sz val="9"/>
            <color indexed="81"/>
            <rFont val="Tahoma"/>
            <family val="2"/>
          </rPr>
          <t xml:space="preserve">
MCS HVAC contractor survey: The following questions apply to retrofitting a split DX or packaged DX system on a low rise, flat roof, commercial building.  On average, what is the disposal fee for the old unit?</t>
        </r>
      </text>
    </comment>
    <comment ref="U160" authorId="0">
      <text>
        <r>
          <rPr>
            <b/>
            <sz val="9"/>
            <color indexed="81"/>
            <rFont val="Tahoma"/>
            <family val="2"/>
          </rPr>
          <t>Lucas Scheidler:</t>
        </r>
        <r>
          <rPr>
            <sz val="9"/>
            <color indexed="81"/>
            <rFont val="Tahoma"/>
            <family val="2"/>
          </rPr>
          <t xml:space="preserve">
MCS HVAC contractor survey: The following questions apply to retrofitting a split DX or packaged DX system on a low rise, flat roof, commercial building. On average, how many man-hours does it take to perform testing/commissioning on a newly installed 5 ton unit to ensure it is running properly?  Please include time required for checking belt alignment, starting compressors and making sure pressure is correct, checking combustion efficiency (in the case of gas units), checking for air leaks in the ductwork, making sure amperage is in the acceptable range, and balancing air flow.</t>
        </r>
      </text>
    </comment>
    <comment ref="U161" authorId="0">
      <text>
        <r>
          <rPr>
            <b/>
            <sz val="9"/>
            <color indexed="81"/>
            <rFont val="Tahoma"/>
            <family val="2"/>
          </rPr>
          <t>Lucas Scheidler:</t>
        </r>
        <r>
          <rPr>
            <sz val="9"/>
            <color indexed="81"/>
            <rFont val="Tahoma"/>
            <family val="2"/>
          </rPr>
          <t xml:space="preserve">
RSMeans item 236213. Item number 2374 provides additional estimates for units with heating option and multi-zone + curb</t>
        </r>
      </text>
    </comment>
    <comment ref="AP161" authorId="0">
      <text>
        <r>
          <rPr>
            <b/>
            <sz val="9"/>
            <color indexed="81"/>
            <rFont val="Tahoma"/>
            <family val="2"/>
          </rPr>
          <t>Lucas Scheidler:</t>
        </r>
        <r>
          <rPr>
            <sz val="9"/>
            <color indexed="81"/>
            <rFont val="Tahoma"/>
            <family val="2"/>
          </rPr>
          <t xml:space="preserve">
National Average - crew Q-5
</t>
        </r>
      </text>
    </comment>
    <comment ref="E169" authorId="0">
      <text>
        <r>
          <rPr>
            <b/>
            <sz val="9"/>
            <color indexed="81"/>
            <rFont val="Tahoma"/>
            <family val="2"/>
          </rPr>
          <t>Lucas Scheidler:</t>
        </r>
        <r>
          <rPr>
            <sz val="9"/>
            <color indexed="81"/>
            <rFont val="Tahoma"/>
            <family val="2"/>
          </rPr>
          <t xml:space="preserve">
Based on 40 ton unit</t>
        </r>
      </text>
    </comment>
    <comment ref="I169" authorId="0">
      <text>
        <r>
          <rPr>
            <b/>
            <sz val="9"/>
            <color indexed="81"/>
            <rFont val="Tahoma"/>
            <family val="2"/>
          </rPr>
          <t>Lucas Scheidler:</t>
        </r>
        <r>
          <rPr>
            <sz val="9"/>
            <color indexed="81"/>
            <rFont val="Tahoma"/>
            <family val="2"/>
          </rPr>
          <t xml:space="preserve">
disposal - based on a 40 
ton unit</t>
        </r>
      </text>
    </comment>
    <comment ref="J169" authorId="0">
      <text>
        <r>
          <rPr>
            <b/>
            <sz val="9"/>
            <color indexed="81"/>
            <rFont val="Tahoma"/>
            <family val="2"/>
          </rPr>
          <t>Lucas Scheidler:</t>
        </r>
        <r>
          <rPr>
            <sz val="9"/>
            <color indexed="81"/>
            <rFont val="Tahoma"/>
            <family val="2"/>
          </rPr>
          <t xml:space="preserve">
Crane rental  - based on 5 ton unit</t>
        </r>
      </text>
    </comment>
    <comment ref="K169" authorId="0">
      <text>
        <r>
          <rPr>
            <b/>
            <sz val="9"/>
            <color indexed="81"/>
            <rFont val="Tahoma"/>
            <family val="2"/>
          </rPr>
          <t>Lucas Scheidler:</t>
        </r>
        <r>
          <rPr>
            <sz val="9"/>
            <color indexed="81"/>
            <rFont val="Tahoma"/>
            <family val="2"/>
          </rPr>
          <t xml:space="preserve">
Average artificial bids</t>
        </r>
      </text>
    </comment>
    <comment ref="O169" authorId="0">
      <text>
        <r>
          <rPr>
            <b/>
            <sz val="9"/>
            <color indexed="81"/>
            <rFont val="Tahoma"/>
            <family val="2"/>
          </rPr>
          <t>Lucas Scheidler:</t>
        </r>
        <r>
          <rPr>
            <sz val="9"/>
            <color indexed="81"/>
            <rFont val="Tahoma"/>
            <family val="2"/>
          </rPr>
          <t xml:space="preserve">
average hours/ton for 7.5 to 15 ton unit</t>
        </r>
      </text>
    </comment>
    <comment ref="W169" authorId="0">
      <text>
        <r>
          <rPr>
            <b/>
            <sz val="9"/>
            <color indexed="81"/>
            <rFont val="Tahoma"/>
            <family val="2"/>
          </rPr>
          <t>Lucas Scheidler:</t>
        </r>
        <r>
          <rPr>
            <sz val="9"/>
            <color indexed="81"/>
            <rFont val="Tahoma"/>
            <family val="2"/>
          </rPr>
          <t xml:space="preserve">
Weighted average of all laborers. Does not include markup</t>
        </r>
      </text>
    </comment>
    <comment ref="X169" authorId="0">
      <text>
        <r>
          <rPr>
            <b/>
            <sz val="9"/>
            <color indexed="81"/>
            <rFont val="Tahoma"/>
            <family val="2"/>
          </rPr>
          <t>Lucas Scheidler:</t>
        </r>
        <r>
          <rPr>
            <sz val="9"/>
            <color indexed="81"/>
            <rFont val="Tahoma"/>
            <family val="2"/>
          </rPr>
          <t xml:space="preserve">
Does not include markup</t>
        </r>
      </text>
    </comment>
    <comment ref="Y169" authorId="0">
      <text>
        <r>
          <rPr>
            <b/>
            <sz val="9"/>
            <color indexed="81"/>
            <rFont val="Tahoma"/>
            <family val="2"/>
          </rPr>
          <t>Lucas Scheidler:</t>
        </r>
        <r>
          <rPr>
            <sz val="9"/>
            <color indexed="81"/>
            <rFont val="Tahoma"/>
            <family val="2"/>
          </rPr>
          <t xml:space="preserve">
EMCOR -misc electrical and plumbing, misc sheet metal - Does not include markup or tax</t>
        </r>
      </text>
    </comment>
    <comment ref="Z169" authorId="0">
      <text>
        <r>
          <rPr>
            <b/>
            <sz val="9"/>
            <color indexed="81"/>
            <rFont val="Tahoma"/>
            <family val="2"/>
          </rPr>
          <t>Lucas Scheidler:</t>
        </r>
        <r>
          <rPr>
            <sz val="9"/>
            <color indexed="81"/>
            <rFont val="Tahoma"/>
            <family val="2"/>
          </rPr>
          <t xml:space="preserve">
EMCOR - Crane - Does not include markup</t>
        </r>
      </text>
    </comment>
    <comment ref="AA169"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169" authorId="0">
      <text>
        <r>
          <rPr>
            <b/>
            <sz val="9"/>
            <color indexed="81"/>
            <rFont val="Tahoma"/>
            <family val="2"/>
          </rPr>
          <t>Lucas Scheidler:</t>
        </r>
        <r>
          <rPr>
            <sz val="9"/>
            <color indexed="81"/>
            <rFont val="Tahoma"/>
            <family val="2"/>
          </rPr>
          <t xml:space="preserve">
Weighted average of all laborers. Does not include markup</t>
        </r>
      </text>
    </comment>
    <comment ref="AD169" authorId="0">
      <text>
        <r>
          <rPr>
            <b/>
            <sz val="9"/>
            <color indexed="81"/>
            <rFont val="Tahoma"/>
            <family val="2"/>
          </rPr>
          <t>Lucas Scheidler:</t>
        </r>
        <r>
          <rPr>
            <sz val="9"/>
            <color indexed="81"/>
            <rFont val="Tahoma"/>
            <family val="2"/>
          </rPr>
          <t xml:space="preserve">
Does not include markup</t>
        </r>
      </text>
    </comment>
    <comment ref="AE169" authorId="0">
      <text>
        <r>
          <rPr>
            <b/>
            <sz val="9"/>
            <color indexed="81"/>
            <rFont val="Tahoma"/>
            <family val="2"/>
          </rPr>
          <t>Lucas Scheidler:</t>
        </r>
        <r>
          <rPr>
            <sz val="9"/>
            <color indexed="81"/>
            <rFont val="Tahoma"/>
            <family val="2"/>
          </rPr>
          <t xml:space="preserve">
EMCOR - small tools / etc- Does not include markup or tax</t>
        </r>
      </text>
    </comment>
    <comment ref="AF169" authorId="0">
      <text>
        <r>
          <rPr>
            <b/>
            <sz val="9"/>
            <color indexed="81"/>
            <rFont val="Tahoma"/>
            <family val="2"/>
          </rPr>
          <t>Lucas Scheidler:</t>
        </r>
        <r>
          <rPr>
            <sz val="9"/>
            <color indexed="81"/>
            <rFont val="Tahoma"/>
            <family val="2"/>
          </rPr>
          <t xml:space="preserve">
EMCOR - Rigging/crane,  - Does not include markup</t>
        </r>
      </text>
    </comment>
    <comment ref="AG169" authorId="0">
      <text>
        <r>
          <rPr>
            <b/>
            <sz val="9"/>
            <color indexed="81"/>
            <rFont val="Tahoma"/>
            <family val="2"/>
          </rPr>
          <t>Lucas Scheidler:</t>
        </r>
        <r>
          <rPr>
            <sz val="9"/>
            <color indexed="81"/>
            <rFont val="Tahoma"/>
            <family val="2"/>
          </rPr>
          <t xml:space="preserve">
EMCOR - Engineering/survey, project mgmt,warranty - Does not include markup
</t>
        </r>
      </text>
    </comment>
    <comment ref="O170" authorId="0">
      <text>
        <r>
          <rPr>
            <b/>
            <sz val="9"/>
            <color indexed="81"/>
            <rFont val="Tahoma"/>
            <family val="2"/>
          </rPr>
          <t>Lucas Scheidler:</t>
        </r>
        <r>
          <rPr>
            <sz val="9"/>
            <color indexed="81"/>
            <rFont val="Tahoma"/>
            <family val="2"/>
          </rPr>
          <t xml:space="preserve">
average hours/ton for 20 to 100 ton unit</t>
        </r>
      </text>
    </comment>
    <comment ref="W170" authorId="0">
      <text>
        <r>
          <rPr>
            <b/>
            <sz val="9"/>
            <color indexed="81"/>
            <rFont val="Tahoma"/>
            <family val="2"/>
          </rPr>
          <t>Lucas Scheidler:</t>
        </r>
        <r>
          <rPr>
            <sz val="9"/>
            <color indexed="81"/>
            <rFont val="Tahoma"/>
            <family val="2"/>
          </rPr>
          <t xml:space="preserve">
Weighted average of all laborers. Does not include markup</t>
        </r>
      </text>
    </comment>
    <comment ref="X170" authorId="0">
      <text>
        <r>
          <rPr>
            <b/>
            <sz val="9"/>
            <color indexed="81"/>
            <rFont val="Tahoma"/>
            <family val="2"/>
          </rPr>
          <t>Lucas Scheidler:</t>
        </r>
        <r>
          <rPr>
            <sz val="9"/>
            <color indexed="81"/>
            <rFont val="Tahoma"/>
            <family val="2"/>
          </rPr>
          <t xml:space="preserve">
Does not include markup</t>
        </r>
      </text>
    </comment>
    <comment ref="Y170" authorId="0">
      <text>
        <r>
          <rPr>
            <b/>
            <sz val="9"/>
            <color indexed="81"/>
            <rFont val="Tahoma"/>
            <family val="2"/>
          </rPr>
          <t>Lucas Scheidler:</t>
        </r>
        <r>
          <rPr>
            <sz val="9"/>
            <color indexed="81"/>
            <rFont val="Tahoma"/>
            <family val="2"/>
          </rPr>
          <t xml:space="preserve">
EMCOR -misc electrical and plumbing, misc sheet metal - Does not include markup or tax</t>
        </r>
      </text>
    </comment>
    <comment ref="Z170" authorId="0">
      <text>
        <r>
          <rPr>
            <b/>
            <sz val="9"/>
            <color indexed="81"/>
            <rFont val="Tahoma"/>
            <family val="2"/>
          </rPr>
          <t>Lucas Scheidler:</t>
        </r>
        <r>
          <rPr>
            <sz val="9"/>
            <color indexed="81"/>
            <rFont val="Tahoma"/>
            <family val="2"/>
          </rPr>
          <t xml:space="preserve">
EMCOR - Crane - Does not include markup</t>
        </r>
      </text>
    </comment>
    <comment ref="AA170"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170" authorId="0">
      <text>
        <r>
          <rPr>
            <b/>
            <sz val="9"/>
            <color indexed="81"/>
            <rFont val="Tahoma"/>
            <family val="2"/>
          </rPr>
          <t>Lucas Scheidler:</t>
        </r>
        <r>
          <rPr>
            <sz val="9"/>
            <color indexed="81"/>
            <rFont val="Tahoma"/>
            <family val="2"/>
          </rPr>
          <t xml:space="preserve">
Weighted average of all laborers. Does not include markup</t>
        </r>
      </text>
    </comment>
    <comment ref="AD170" authorId="0">
      <text>
        <r>
          <rPr>
            <b/>
            <sz val="9"/>
            <color indexed="81"/>
            <rFont val="Tahoma"/>
            <family val="2"/>
          </rPr>
          <t>Lucas Scheidler:</t>
        </r>
        <r>
          <rPr>
            <sz val="9"/>
            <color indexed="81"/>
            <rFont val="Tahoma"/>
            <family val="2"/>
          </rPr>
          <t xml:space="preserve">
Does not include markup</t>
        </r>
      </text>
    </comment>
    <comment ref="AE170" authorId="0">
      <text>
        <r>
          <rPr>
            <b/>
            <sz val="9"/>
            <color indexed="81"/>
            <rFont val="Tahoma"/>
            <family val="2"/>
          </rPr>
          <t>Lucas Scheidler:</t>
        </r>
        <r>
          <rPr>
            <sz val="9"/>
            <color indexed="81"/>
            <rFont val="Tahoma"/>
            <family val="2"/>
          </rPr>
          <t xml:space="preserve">
EMCOR - small tools / etc- Does not include markup or tax</t>
        </r>
      </text>
    </comment>
    <comment ref="AF170" authorId="0">
      <text>
        <r>
          <rPr>
            <b/>
            <sz val="9"/>
            <color indexed="81"/>
            <rFont val="Tahoma"/>
            <family val="2"/>
          </rPr>
          <t>Lucas Scheidler:</t>
        </r>
        <r>
          <rPr>
            <sz val="9"/>
            <color indexed="81"/>
            <rFont val="Tahoma"/>
            <family val="2"/>
          </rPr>
          <t xml:space="preserve">
EMCOR - Rigging/crane,  - Does not include markup</t>
        </r>
      </text>
    </comment>
    <comment ref="AG170" authorId="0">
      <text>
        <r>
          <rPr>
            <b/>
            <sz val="9"/>
            <color indexed="81"/>
            <rFont val="Tahoma"/>
            <family val="2"/>
          </rPr>
          <t>Lucas Scheidler:</t>
        </r>
        <r>
          <rPr>
            <sz val="9"/>
            <color indexed="81"/>
            <rFont val="Tahoma"/>
            <family val="2"/>
          </rPr>
          <t xml:space="preserve">
EMCOR - Engineering/survey, project mgmt,warranty - Does not include markup
</t>
        </r>
      </text>
    </comment>
    <comment ref="I171" authorId="0">
      <text>
        <r>
          <rPr>
            <b/>
            <sz val="9"/>
            <color indexed="81"/>
            <rFont val="Tahoma"/>
            <family val="2"/>
          </rPr>
          <t>Lucas Scheidler:</t>
        </r>
        <r>
          <rPr>
            <sz val="9"/>
            <color indexed="81"/>
            <rFont val="Tahoma"/>
            <family val="2"/>
          </rPr>
          <t xml:space="preserve">
average miscellaneous costs per ton for 20 to 70 ton units
</t>
        </r>
      </text>
    </comment>
    <comment ref="R171" authorId="0">
      <text>
        <r>
          <rPr>
            <b/>
            <sz val="9"/>
            <color indexed="81"/>
            <rFont val="Tahoma"/>
            <family val="2"/>
          </rPr>
          <t>Lucas Scheidler:</t>
        </r>
        <r>
          <rPr>
            <sz val="9"/>
            <color indexed="81"/>
            <rFont val="Tahoma"/>
            <family val="2"/>
          </rPr>
          <t xml:space="preserve">
Based on 20 ton unit</t>
        </r>
      </text>
    </comment>
    <comment ref="W171" authorId="0">
      <text>
        <r>
          <rPr>
            <b/>
            <sz val="9"/>
            <color indexed="81"/>
            <rFont val="Tahoma"/>
            <family val="2"/>
          </rPr>
          <t>Lucas Scheidler:</t>
        </r>
        <r>
          <rPr>
            <sz val="9"/>
            <color indexed="81"/>
            <rFont val="Tahoma"/>
            <family val="2"/>
          </rPr>
          <t xml:space="preserve">
Weighted average of all laborers. Does not include markup</t>
        </r>
      </text>
    </comment>
    <comment ref="X171" authorId="0">
      <text>
        <r>
          <rPr>
            <b/>
            <sz val="9"/>
            <color indexed="81"/>
            <rFont val="Tahoma"/>
            <family val="2"/>
          </rPr>
          <t>Lucas Scheidler:</t>
        </r>
        <r>
          <rPr>
            <sz val="9"/>
            <color indexed="81"/>
            <rFont val="Tahoma"/>
            <family val="2"/>
          </rPr>
          <t xml:space="preserve">
Does not include markup</t>
        </r>
      </text>
    </comment>
    <comment ref="Y171" authorId="0">
      <text>
        <r>
          <rPr>
            <b/>
            <sz val="9"/>
            <color indexed="81"/>
            <rFont val="Tahoma"/>
            <family val="2"/>
          </rPr>
          <t>Lucas Scheidler:</t>
        </r>
        <r>
          <rPr>
            <sz val="9"/>
            <color indexed="81"/>
            <rFont val="Tahoma"/>
            <family val="2"/>
          </rPr>
          <t xml:space="preserve">
EMCOR -misc electrical and plumbing, curb/adaptor - Does not include markup or tax</t>
        </r>
      </text>
    </comment>
    <comment ref="Z171" authorId="0">
      <text>
        <r>
          <rPr>
            <b/>
            <sz val="9"/>
            <color indexed="81"/>
            <rFont val="Tahoma"/>
            <family val="2"/>
          </rPr>
          <t>Lucas Scheidler:</t>
        </r>
        <r>
          <rPr>
            <sz val="9"/>
            <color indexed="81"/>
            <rFont val="Tahoma"/>
            <family val="2"/>
          </rPr>
          <t xml:space="preserve">
EMCOR - Crane - Does not include markup</t>
        </r>
      </text>
    </comment>
    <comment ref="AA171"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171" authorId="0">
      <text>
        <r>
          <rPr>
            <b/>
            <sz val="9"/>
            <color indexed="81"/>
            <rFont val="Tahoma"/>
            <family val="2"/>
          </rPr>
          <t>Lucas Scheidler:</t>
        </r>
        <r>
          <rPr>
            <sz val="9"/>
            <color indexed="81"/>
            <rFont val="Tahoma"/>
            <family val="2"/>
          </rPr>
          <t xml:space="preserve">
Weighted average of all laborers. Does not include markup</t>
        </r>
      </text>
    </comment>
    <comment ref="AD171" authorId="0">
      <text>
        <r>
          <rPr>
            <b/>
            <sz val="9"/>
            <color indexed="81"/>
            <rFont val="Tahoma"/>
            <family val="2"/>
          </rPr>
          <t>Lucas Scheidler:</t>
        </r>
        <r>
          <rPr>
            <sz val="9"/>
            <color indexed="81"/>
            <rFont val="Tahoma"/>
            <family val="2"/>
          </rPr>
          <t xml:space="preserve">
Does not include markup</t>
        </r>
      </text>
    </comment>
    <comment ref="AE171" authorId="0">
      <text>
        <r>
          <rPr>
            <b/>
            <sz val="9"/>
            <color indexed="81"/>
            <rFont val="Tahoma"/>
            <family val="2"/>
          </rPr>
          <t>Lucas Scheidler:</t>
        </r>
        <r>
          <rPr>
            <sz val="9"/>
            <color indexed="81"/>
            <rFont val="Tahoma"/>
            <family val="2"/>
          </rPr>
          <t xml:space="preserve">
EMCOR - small tools / etc, curb/adapter- Does not include markup or tax</t>
        </r>
      </text>
    </comment>
    <comment ref="AF171" authorId="0">
      <text>
        <r>
          <rPr>
            <b/>
            <sz val="9"/>
            <color indexed="81"/>
            <rFont val="Tahoma"/>
            <family val="2"/>
          </rPr>
          <t>Lucas Scheidler:</t>
        </r>
        <r>
          <rPr>
            <sz val="9"/>
            <color indexed="81"/>
            <rFont val="Tahoma"/>
            <family val="2"/>
          </rPr>
          <t xml:space="preserve">
EMCOR - Rigging/crane,  - Does not include markup</t>
        </r>
      </text>
    </comment>
    <comment ref="AG171" authorId="0">
      <text>
        <r>
          <rPr>
            <b/>
            <sz val="9"/>
            <color indexed="81"/>
            <rFont val="Tahoma"/>
            <family val="2"/>
          </rPr>
          <t>Lucas Scheidler:</t>
        </r>
        <r>
          <rPr>
            <sz val="9"/>
            <color indexed="81"/>
            <rFont val="Tahoma"/>
            <family val="2"/>
          </rPr>
          <t xml:space="preserve">
EMCOR - Engineering/survey, project mgmt,warranty - Does not include markup
</t>
        </r>
      </text>
    </comment>
    <comment ref="R172" authorId="0">
      <text>
        <r>
          <rPr>
            <b/>
            <sz val="9"/>
            <color indexed="81"/>
            <rFont val="Tahoma"/>
            <family val="2"/>
          </rPr>
          <t>Lucas Scheidler:</t>
        </r>
        <r>
          <rPr>
            <sz val="9"/>
            <color indexed="81"/>
            <rFont val="Tahoma"/>
            <family val="2"/>
          </rPr>
          <t xml:space="preserve">
Based on 20 ton unit</t>
        </r>
      </text>
    </comment>
    <comment ref="W172" authorId="0">
      <text>
        <r>
          <rPr>
            <b/>
            <sz val="9"/>
            <color indexed="81"/>
            <rFont val="Tahoma"/>
            <family val="2"/>
          </rPr>
          <t>Lucas Scheidler:</t>
        </r>
        <r>
          <rPr>
            <sz val="9"/>
            <color indexed="81"/>
            <rFont val="Tahoma"/>
            <family val="2"/>
          </rPr>
          <t xml:space="preserve">
Weighted average of all laborers. Does not include markup</t>
        </r>
      </text>
    </comment>
    <comment ref="X172" authorId="0">
      <text>
        <r>
          <rPr>
            <b/>
            <sz val="9"/>
            <color indexed="81"/>
            <rFont val="Tahoma"/>
            <family val="2"/>
          </rPr>
          <t>Lucas Scheidler:</t>
        </r>
        <r>
          <rPr>
            <sz val="9"/>
            <color indexed="81"/>
            <rFont val="Tahoma"/>
            <family val="2"/>
          </rPr>
          <t xml:space="preserve">
Does not include markup</t>
        </r>
      </text>
    </comment>
    <comment ref="Y172" authorId="0">
      <text>
        <r>
          <rPr>
            <b/>
            <sz val="9"/>
            <color indexed="81"/>
            <rFont val="Tahoma"/>
            <family val="2"/>
          </rPr>
          <t>Lucas Scheidler:</t>
        </r>
        <r>
          <rPr>
            <sz val="9"/>
            <color indexed="81"/>
            <rFont val="Tahoma"/>
            <family val="2"/>
          </rPr>
          <t xml:space="preserve">
EMCOR -misc electrical and plumbing, curb/adaptor - Does not include markup or tax</t>
        </r>
      </text>
    </comment>
    <comment ref="Z172" authorId="0">
      <text>
        <r>
          <rPr>
            <b/>
            <sz val="9"/>
            <color indexed="81"/>
            <rFont val="Tahoma"/>
            <family val="2"/>
          </rPr>
          <t>Lucas Scheidler:</t>
        </r>
        <r>
          <rPr>
            <sz val="9"/>
            <color indexed="81"/>
            <rFont val="Tahoma"/>
            <family val="2"/>
          </rPr>
          <t xml:space="preserve">
EMCOR - Crane - Does not include markup</t>
        </r>
      </text>
    </comment>
    <comment ref="AA172"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172" authorId="0">
      <text>
        <r>
          <rPr>
            <b/>
            <sz val="9"/>
            <color indexed="81"/>
            <rFont val="Tahoma"/>
            <family val="2"/>
          </rPr>
          <t>Lucas Scheidler:</t>
        </r>
        <r>
          <rPr>
            <sz val="9"/>
            <color indexed="81"/>
            <rFont val="Tahoma"/>
            <family val="2"/>
          </rPr>
          <t xml:space="preserve">
Weighted average of all laborers. Does not include markup</t>
        </r>
      </text>
    </comment>
    <comment ref="AD172" authorId="0">
      <text>
        <r>
          <rPr>
            <b/>
            <sz val="9"/>
            <color indexed="81"/>
            <rFont val="Tahoma"/>
            <family val="2"/>
          </rPr>
          <t>Lucas Scheidler:</t>
        </r>
        <r>
          <rPr>
            <sz val="9"/>
            <color indexed="81"/>
            <rFont val="Tahoma"/>
            <family val="2"/>
          </rPr>
          <t xml:space="preserve">
Does not include markup</t>
        </r>
      </text>
    </comment>
    <comment ref="AE172" authorId="0">
      <text>
        <r>
          <rPr>
            <b/>
            <sz val="9"/>
            <color indexed="81"/>
            <rFont val="Tahoma"/>
            <family val="2"/>
          </rPr>
          <t>Lucas Scheidler:</t>
        </r>
        <r>
          <rPr>
            <sz val="9"/>
            <color indexed="81"/>
            <rFont val="Tahoma"/>
            <family val="2"/>
          </rPr>
          <t xml:space="preserve">
EMCOR - small tools / etc, curb/adapter- Does not include markup or tax</t>
        </r>
      </text>
    </comment>
    <comment ref="AF172" authorId="0">
      <text>
        <r>
          <rPr>
            <b/>
            <sz val="9"/>
            <color indexed="81"/>
            <rFont val="Tahoma"/>
            <family val="2"/>
          </rPr>
          <t>Lucas Scheidler:</t>
        </r>
        <r>
          <rPr>
            <sz val="9"/>
            <color indexed="81"/>
            <rFont val="Tahoma"/>
            <family val="2"/>
          </rPr>
          <t xml:space="preserve">
EMCOR - Rigging/crane,  - Does not include markup</t>
        </r>
      </text>
    </comment>
    <comment ref="AG172" authorId="0">
      <text>
        <r>
          <rPr>
            <b/>
            <sz val="9"/>
            <color indexed="81"/>
            <rFont val="Tahoma"/>
            <family val="2"/>
          </rPr>
          <t>Lucas Scheidler:</t>
        </r>
        <r>
          <rPr>
            <sz val="9"/>
            <color indexed="81"/>
            <rFont val="Tahoma"/>
            <family val="2"/>
          </rPr>
          <t xml:space="preserve">
EMCOR - Engineering/survey, project mgmt,warranty - Does not include markup
</t>
        </r>
      </text>
    </comment>
    <comment ref="R173" authorId="0">
      <text>
        <r>
          <rPr>
            <b/>
            <sz val="9"/>
            <color indexed="81"/>
            <rFont val="Tahoma"/>
            <family val="2"/>
          </rPr>
          <t>Lucas Scheidler:</t>
        </r>
        <r>
          <rPr>
            <sz val="9"/>
            <color indexed="81"/>
            <rFont val="Tahoma"/>
            <family val="2"/>
          </rPr>
          <t xml:space="preserve">
Based on 70 ton unit</t>
        </r>
      </text>
    </comment>
    <comment ref="U173" authorId="0">
      <text>
        <r>
          <rPr>
            <b/>
            <sz val="9"/>
            <color indexed="81"/>
            <rFont val="Tahoma"/>
            <family val="2"/>
          </rPr>
          <t>Lucas Scheidler:</t>
        </r>
        <r>
          <rPr>
            <sz val="9"/>
            <color indexed="81"/>
            <rFont val="Tahoma"/>
            <family val="2"/>
          </rPr>
          <t xml:space="preserve">
MCS HVAC contractor survey: The following questions apply to retrofitting a split DX or packaged DX system on a low rise, flat roof, commercial building.  On average, how much does it cost to rent a crane to remove an old outdoor unit and install a new unit?  Please exclude any costs related to required permits.</t>
        </r>
      </text>
    </comment>
    <comment ref="U174" authorId="0">
      <text>
        <r>
          <rPr>
            <b/>
            <sz val="9"/>
            <color indexed="81"/>
            <rFont val="Tahoma"/>
            <family val="2"/>
          </rPr>
          <t>Lucas Scheidler:</t>
        </r>
        <r>
          <rPr>
            <sz val="9"/>
            <color indexed="81"/>
            <rFont val="Tahoma"/>
            <family val="2"/>
          </rPr>
          <t xml:space="preserve">
MCS HVAC contractor survey: The following questions apply to retrofitting a split DX or packaged DX system on a low rise, flat roof, commercial building. On average, how many man-hours does it take to install a new 40 ton unit?  Please include the time required for preparing the curb and installing new curb gaskets, moving the unit into place with the crane, attaching refrigerant piping, connecting electrical and gas as necessary, and connecting ductwork.  Assume no new curb is required and no new screen is required to conceal the unit.</t>
        </r>
      </text>
    </comment>
    <comment ref="U175" authorId="0">
      <text>
        <r>
          <rPr>
            <b/>
            <sz val="9"/>
            <color indexed="81"/>
            <rFont val="Tahoma"/>
            <family val="2"/>
          </rPr>
          <t>Lucas Scheidler:</t>
        </r>
        <r>
          <rPr>
            <sz val="9"/>
            <color indexed="81"/>
            <rFont val="Tahoma"/>
            <family val="2"/>
          </rPr>
          <t xml:space="preserve">
MCS HVAC contractor survey: The following questions apply to retrofitting a split DX or packaged DX system on a low rise, flat roof, commercial building. On average, how many man-hours does it take to remove an old unit, assuming a crane is used for the removal?  Please include time associated with pulling refrigerant out, disconnecting electrical and controls, disconnecting the unit from the curb, removal of the unit by crane, and taking the unit to the recycler.</t>
        </r>
      </text>
    </comment>
    <comment ref="U176" authorId="0">
      <text>
        <r>
          <rPr>
            <b/>
            <sz val="9"/>
            <color indexed="81"/>
            <rFont val="Tahoma"/>
            <family val="2"/>
          </rPr>
          <t>Lucas Scheidler:</t>
        </r>
        <r>
          <rPr>
            <sz val="9"/>
            <color indexed="81"/>
            <rFont val="Tahoma"/>
            <family val="2"/>
          </rPr>
          <t xml:space="preserve">
MCS HVAC contractor survey: The following questions apply to retrofitting a split DX or packaged DX system on a low rise, flat roof, commercial building.  On average, what is the disposal fee for the old unit?</t>
        </r>
      </text>
    </comment>
    <comment ref="U177" authorId="0">
      <text>
        <r>
          <rPr>
            <b/>
            <sz val="9"/>
            <color indexed="81"/>
            <rFont val="Tahoma"/>
            <family val="2"/>
          </rPr>
          <t>Lucas Scheidler:</t>
        </r>
        <r>
          <rPr>
            <sz val="9"/>
            <color indexed="81"/>
            <rFont val="Tahoma"/>
            <family val="2"/>
          </rPr>
          <t xml:space="preserve">
MCS HVAC contractor survey: The following questions apply to retrofitting a split DX or packaged DX system on a low rise, flat roof, commercial building. On average, how many man-hours does it take to perform testing/commissioning on a newly installed 40 ton unit to ensure it is running properly?  Please include time required for checking belt alignment, starting compressors and making sure pressure is correct, checking combustion efficiency (in the case of gas units), checking for air leaks in the ductwork, making sure amperage is in the acceptable range, and balancing air flow.</t>
        </r>
      </text>
    </comment>
    <comment ref="U178" authorId="0">
      <text>
        <r>
          <rPr>
            <b/>
            <sz val="9"/>
            <color indexed="81"/>
            <rFont val="Tahoma"/>
            <family val="2"/>
          </rPr>
          <t>Lucas Scheidler:</t>
        </r>
        <r>
          <rPr>
            <sz val="9"/>
            <color indexed="81"/>
            <rFont val="Tahoma"/>
            <family val="2"/>
          </rPr>
          <t xml:space="preserve">
RSMeans item 236213. Item number 2374 provides additional estimates for units with heating option and multi-zone + curb</t>
        </r>
      </text>
    </comment>
    <comment ref="AP178" authorId="0">
      <text>
        <r>
          <rPr>
            <b/>
            <sz val="9"/>
            <color indexed="81"/>
            <rFont val="Tahoma"/>
            <family val="2"/>
          </rPr>
          <t>Lucas Scheidler:</t>
        </r>
        <r>
          <rPr>
            <sz val="9"/>
            <color indexed="81"/>
            <rFont val="Tahoma"/>
            <family val="2"/>
          </rPr>
          <t xml:space="preserve">
National Average - crew Q-5
</t>
        </r>
      </text>
    </comment>
    <comment ref="AP181" authorId="0">
      <text>
        <r>
          <rPr>
            <b/>
            <sz val="9"/>
            <color indexed="81"/>
            <rFont val="Tahoma"/>
            <family val="2"/>
          </rPr>
          <t>Lucas Scheidler:</t>
        </r>
        <r>
          <rPr>
            <sz val="9"/>
            <color indexed="81"/>
            <rFont val="Tahoma"/>
            <family val="2"/>
          </rPr>
          <t xml:space="preserve">
National Average - crew Q-6
</t>
        </r>
      </text>
    </comment>
    <comment ref="K190" authorId="0">
      <text>
        <r>
          <rPr>
            <b/>
            <sz val="9"/>
            <color indexed="81"/>
            <rFont val="Tahoma"/>
            <family val="2"/>
          </rPr>
          <t>Lucas Scheidler:</t>
        </r>
        <r>
          <rPr>
            <sz val="9"/>
            <color indexed="81"/>
            <rFont val="Tahoma"/>
            <family val="2"/>
          </rPr>
          <t xml:space="preserve">
average artificial bids</t>
        </r>
      </text>
    </comment>
    <comment ref="O190" authorId="0">
      <text>
        <r>
          <rPr>
            <b/>
            <sz val="9"/>
            <color indexed="81"/>
            <rFont val="Tahoma"/>
            <family val="2"/>
          </rPr>
          <t>Lucas Scheidler:</t>
        </r>
        <r>
          <rPr>
            <sz val="9"/>
            <color indexed="81"/>
            <rFont val="Tahoma"/>
            <family val="2"/>
          </rPr>
          <t xml:space="preserve">
Average hours/ton for 130 to 320 ton screw</t>
        </r>
      </text>
    </comment>
    <comment ref="W190" authorId="0">
      <text>
        <r>
          <rPr>
            <b/>
            <sz val="9"/>
            <color indexed="81"/>
            <rFont val="Tahoma"/>
            <family val="2"/>
          </rPr>
          <t>Lucas Scheidler:</t>
        </r>
        <r>
          <rPr>
            <sz val="9"/>
            <color indexed="81"/>
            <rFont val="Tahoma"/>
            <family val="2"/>
          </rPr>
          <t xml:space="preserve">
Weighted average of all laborers. Does not include markup</t>
        </r>
      </text>
    </comment>
    <comment ref="X190" authorId="0">
      <text>
        <r>
          <rPr>
            <b/>
            <sz val="9"/>
            <color indexed="81"/>
            <rFont val="Tahoma"/>
            <family val="2"/>
          </rPr>
          <t>Lucas Scheidler:</t>
        </r>
        <r>
          <rPr>
            <sz val="9"/>
            <color indexed="81"/>
            <rFont val="Tahoma"/>
            <family val="2"/>
          </rPr>
          <t xml:space="preserve">
Does not include markup</t>
        </r>
      </text>
    </comment>
    <comment ref="Y190" authorId="0">
      <text>
        <r>
          <rPr>
            <b/>
            <sz val="9"/>
            <color indexed="81"/>
            <rFont val="Tahoma"/>
            <family val="2"/>
          </rPr>
          <t>Lucas Scheidler:</t>
        </r>
        <r>
          <rPr>
            <sz val="9"/>
            <color indexed="81"/>
            <rFont val="Tahoma"/>
            <family val="2"/>
          </rPr>
          <t xml:space="preserve">
EMCOR - piping and electrical and insulation - Does not include markup or tax</t>
        </r>
      </text>
    </comment>
    <comment ref="Z190" authorId="0">
      <text>
        <r>
          <rPr>
            <b/>
            <sz val="9"/>
            <color indexed="81"/>
            <rFont val="Tahoma"/>
            <family val="2"/>
          </rPr>
          <t>Lucas Scheidler:</t>
        </r>
        <r>
          <rPr>
            <sz val="9"/>
            <color indexed="81"/>
            <rFont val="Tahoma"/>
            <family val="2"/>
          </rPr>
          <t xml:space="preserve">
EMCOR - Crane rental - Does not include markup</t>
        </r>
      </text>
    </comment>
    <comment ref="AA190"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190" authorId="0">
      <text>
        <r>
          <rPr>
            <b/>
            <sz val="9"/>
            <color indexed="81"/>
            <rFont val="Tahoma"/>
            <family val="2"/>
          </rPr>
          <t>Lucas Scheidler:</t>
        </r>
        <r>
          <rPr>
            <sz val="9"/>
            <color indexed="81"/>
            <rFont val="Tahoma"/>
            <family val="2"/>
          </rPr>
          <t xml:space="preserve">
Weighted average of all laborers. Does not include markup</t>
        </r>
      </text>
    </comment>
    <comment ref="AD190" authorId="0">
      <text>
        <r>
          <rPr>
            <b/>
            <sz val="9"/>
            <color indexed="81"/>
            <rFont val="Tahoma"/>
            <family val="2"/>
          </rPr>
          <t>Lucas Scheidler:</t>
        </r>
        <r>
          <rPr>
            <sz val="9"/>
            <color indexed="81"/>
            <rFont val="Tahoma"/>
            <family val="2"/>
          </rPr>
          <t xml:space="preserve">
Does not include markup</t>
        </r>
      </text>
    </comment>
    <comment ref="AE190" authorId="0">
      <text>
        <r>
          <rPr>
            <b/>
            <sz val="9"/>
            <color indexed="81"/>
            <rFont val="Tahoma"/>
            <family val="2"/>
          </rPr>
          <t>Lucas Scheidler:</t>
        </r>
        <r>
          <rPr>
            <sz val="9"/>
            <color indexed="81"/>
            <rFont val="Tahoma"/>
            <family val="2"/>
          </rPr>
          <t xml:space="preserve">
EMCOR - piping and electrical, small tools, consumables, insulation, chemical treatment - Does not include markup or tax</t>
        </r>
      </text>
    </comment>
    <comment ref="AF190" authorId="0">
      <text>
        <r>
          <rPr>
            <b/>
            <sz val="9"/>
            <color indexed="81"/>
            <rFont val="Tahoma"/>
            <family val="2"/>
          </rPr>
          <t>Lucas Scheidler:</t>
        </r>
        <r>
          <rPr>
            <sz val="9"/>
            <color indexed="81"/>
            <rFont val="Tahoma"/>
            <family val="2"/>
          </rPr>
          <t xml:space="preserve">
EMCOR - Rigging/crane,  - Does not include markup</t>
        </r>
      </text>
    </comment>
    <comment ref="AG190" authorId="0">
      <text>
        <r>
          <rPr>
            <b/>
            <sz val="9"/>
            <color indexed="81"/>
            <rFont val="Tahoma"/>
            <family val="2"/>
          </rPr>
          <t>Lucas Scheidler:</t>
        </r>
        <r>
          <rPr>
            <sz val="9"/>
            <color indexed="81"/>
            <rFont val="Tahoma"/>
            <family val="2"/>
          </rPr>
          <t xml:space="preserve">
EMCOR - Engineering/survey, project mgmt,warranty - Does not include markup
</t>
        </r>
      </text>
    </comment>
    <comment ref="O191" authorId="0">
      <text>
        <r>
          <rPr>
            <b/>
            <sz val="9"/>
            <color indexed="81"/>
            <rFont val="Tahoma"/>
            <family val="2"/>
          </rPr>
          <t>Lucas Scheidler:</t>
        </r>
        <r>
          <rPr>
            <sz val="9"/>
            <color indexed="81"/>
            <rFont val="Tahoma"/>
            <family val="2"/>
          </rPr>
          <t xml:space="preserve">
Average hours/ton for 10 to 50 ton scroll</t>
        </r>
      </text>
    </comment>
    <comment ref="W191" authorId="0">
      <text>
        <r>
          <rPr>
            <b/>
            <sz val="9"/>
            <color indexed="81"/>
            <rFont val="Tahoma"/>
            <family val="2"/>
          </rPr>
          <t>Lucas Scheidler:</t>
        </r>
        <r>
          <rPr>
            <sz val="9"/>
            <color indexed="81"/>
            <rFont val="Tahoma"/>
            <family val="2"/>
          </rPr>
          <t xml:space="preserve">
Weighted average of all laborers. Does not include markup</t>
        </r>
      </text>
    </comment>
    <comment ref="X191" authorId="0">
      <text>
        <r>
          <rPr>
            <b/>
            <sz val="9"/>
            <color indexed="81"/>
            <rFont val="Tahoma"/>
            <family val="2"/>
          </rPr>
          <t>Lucas Scheidler:</t>
        </r>
        <r>
          <rPr>
            <sz val="9"/>
            <color indexed="81"/>
            <rFont val="Tahoma"/>
            <family val="2"/>
          </rPr>
          <t xml:space="preserve">
Does not include markup</t>
        </r>
      </text>
    </comment>
    <comment ref="Y191" authorId="0">
      <text>
        <r>
          <rPr>
            <b/>
            <sz val="9"/>
            <color indexed="81"/>
            <rFont val="Tahoma"/>
            <family val="2"/>
          </rPr>
          <t>Lucas Scheidler:</t>
        </r>
        <r>
          <rPr>
            <sz val="9"/>
            <color indexed="81"/>
            <rFont val="Tahoma"/>
            <family val="2"/>
          </rPr>
          <t xml:space="preserve">
EMCOR - piping and electrical and insulation - Does not include markup or tax</t>
        </r>
      </text>
    </comment>
    <comment ref="Z191" authorId="0">
      <text>
        <r>
          <rPr>
            <b/>
            <sz val="9"/>
            <color indexed="81"/>
            <rFont val="Tahoma"/>
            <family val="2"/>
          </rPr>
          <t>Lucas Scheidler:</t>
        </r>
        <r>
          <rPr>
            <sz val="9"/>
            <color indexed="81"/>
            <rFont val="Tahoma"/>
            <family val="2"/>
          </rPr>
          <t xml:space="preserve">
EMCOR - Crane rental - Does not include markup</t>
        </r>
      </text>
    </comment>
    <comment ref="AA191"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191" authorId="0">
      <text>
        <r>
          <rPr>
            <b/>
            <sz val="9"/>
            <color indexed="81"/>
            <rFont val="Tahoma"/>
            <family val="2"/>
          </rPr>
          <t>Lucas Scheidler:</t>
        </r>
        <r>
          <rPr>
            <sz val="9"/>
            <color indexed="81"/>
            <rFont val="Tahoma"/>
            <family val="2"/>
          </rPr>
          <t xml:space="preserve">
Weighted average of all laborers. Does not include markup</t>
        </r>
      </text>
    </comment>
    <comment ref="AD191" authorId="0">
      <text>
        <r>
          <rPr>
            <b/>
            <sz val="9"/>
            <color indexed="81"/>
            <rFont val="Tahoma"/>
            <family val="2"/>
          </rPr>
          <t>Lucas Scheidler:</t>
        </r>
        <r>
          <rPr>
            <sz val="9"/>
            <color indexed="81"/>
            <rFont val="Tahoma"/>
            <family val="2"/>
          </rPr>
          <t xml:space="preserve">
Does not include markup</t>
        </r>
      </text>
    </comment>
    <comment ref="AE191" authorId="0">
      <text>
        <r>
          <rPr>
            <b/>
            <sz val="9"/>
            <color indexed="81"/>
            <rFont val="Tahoma"/>
            <family val="2"/>
          </rPr>
          <t>Lucas Scheidler:</t>
        </r>
        <r>
          <rPr>
            <sz val="9"/>
            <color indexed="81"/>
            <rFont val="Tahoma"/>
            <family val="2"/>
          </rPr>
          <t xml:space="preserve">
 EMCOR - piping and electrical, small tools, consumables, insulation, chemical treatment - Does not include markup or tax</t>
        </r>
      </text>
    </comment>
    <comment ref="AF191" authorId="0">
      <text>
        <r>
          <rPr>
            <b/>
            <sz val="9"/>
            <color indexed="81"/>
            <rFont val="Tahoma"/>
            <family val="2"/>
          </rPr>
          <t>Lucas Scheidler:</t>
        </r>
        <r>
          <rPr>
            <sz val="9"/>
            <color indexed="81"/>
            <rFont val="Tahoma"/>
            <family val="2"/>
          </rPr>
          <t xml:space="preserve">
EMCOR - Rigging/crane,  - Does not include markup</t>
        </r>
      </text>
    </comment>
    <comment ref="AG191" authorId="0">
      <text>
        <r>
          <rPr>
            <b/>
            <sz val="9"/>
            <color indexed="81"/>
            <rFont val="Tahoma"/>
            <family val="2"/>
          </rPr>
          <t>Lucas Scheidler:</t>
        </r>
        <r>
          <rPr>
            <sz val="9"/>
            <color indexed="81"/>
            <rFont val="Tahoma"/>
            <family val="2"/>
          </rPr>
          <t xml:space="preserve">
EMCOR - Engineering/survey, project mgmt,warranty - Does not include markup
</t>
        </r>
      </text>
    </comment>
    <comment ref="W192" authorId="0">
      <text>
        <r>
          <rPr>
            <b/>
            <sz val="9"/>
            <color indexed="81"/>
            <rFont val="Tahoma"/>
            <family val="2"/>
          </rPr>
          <t>Lucas Scheidler:</t>
        </r>
        <r>
          <rPr>
            <sz val="9"/>
            <color indexed="81"/>
            <rFont val="Tahoma"/>
            <family val="2"/>
          </rPr>
          <t xml:space="preserve">
Weighted average of all laborers. Does not include markup</t>
        </r>
      </text>
    </comment>
    <comment ref="X192" authorId="0">
      <text>
        <r>
          <rPr>
            <b/>
            <sz val="9"/>
            <color indexed="81"/>
            <rFont val="Tahoma"/>
            <family val="2"/>
          </rPr>
          <t>Lucas Scheidler:</t>
        </r>
        <r>
          <rPr>
            <sz val="9"/>
            <color indexed="81"/>
            <rFont val="Tahoma"/>
            <family val="2"/>
          </rPr>
          <t xml:space="preserve">
Does not include markup</t>
        </r>
      </text>
    </comment>
    <comment ref="Y192" authorId="0">
      <text>
        <r>
          <rPr>
            <b/>
            <sz val="9"/>
            <color indexed="81"/>
            <rFont val="Tahoma"/>
            <family val="2"/>
          </rPr>
          <t>Lucas Scheidler:</t>
        </r>
        <r>
          <rPr>
            <sz val="9"/>
            <color indexed="81"/>
            <rFont val="Tahoma"/>
            <family val="2"/>
          </rPr>
          <t xml:space="preserve">
EMCOR - piping and electrical and insulation - Does not include markup or tax</t>
        </r>
      </text>
    </comment>
    <comment ref="Z192" authorId="0">
      <text>
        <r>
          <rPr>
            <b/>
            <sz val="9"/>
            <color indexed="81"/>
            <rFont val="Tahoma"/>
            <family val="2"/>
          </rPr>
          <t>Lucas Scheidler:</t>
        </r>
        <r>
          <rPr>
            <sz val="9"/>
            <color indexed="81"/>
            <rFont val="Tahoma"/>
            <family val="2"/>
          </rPr>
          <t xml:space="preserve">
EMCOR - Crane rental - Does not include markup</t>
        </r>
      </text>
    </comment>
    <comment ref="AA192"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192" authorId="0">
      <text>
        <r>
          <rPr>
            <b/>
            <sz val="9"/>
            <color indexed="81"/>
            <rFont val="Tahoma"/>
            <family val="2"/>
          </rPr>
          <t>Lucas Scheidler:</t>
        </r>
        <r>
          <rPr>
            <sz val="9"/>
            <color indexed="81"/>
            <rFont val="Tahoma"/>
            <family val="2"/>
          </rPr>
          <t xml:space="preserve">
Weighted average of all laborers. Does not include markup</t>
        </r>
      </text>
    </comment>
    <comment ref="AD192" authorId="0">
      <text>
        <r>
          <rPr>
            <b/>
            <sz val="9"/>
            <color indexed="81"/>
            <rFont val="Tahoma"/>
            <family val="2"/>
          </rPr>
          <t>Lucas Scheidler:</t>
        </r>
        <r>
          <rPr>
            <sz val="9"/>
            <color indexed="81"/>
            <rFont val="Tahoma"/>
            <family val="2"/>
          </rPr>
          <t xml:space="preserve">
Does not include markup</t>
        </r>
      </text>
    </comment>
    <comment ref="AE192" authorId="0">
      <text>
        <r>
          <rPr>
            <b/>
            <sz val="9"/>
            <color indexed="81"/>
            <rFont val="Tahoma"/>
            <family val="2"/>
          </rPr>
          <t>Lucas Scheidler:</t>
        </r>
        <r>
          <rPr>
            <sz val="9"/>
            <color indexed="81"/>
            <rFont val="Tahoma"/>
            <family val="2"/>
          </rPr>
          <t xml:space="preserve">
EMCOR - piping and electrical, small tools, consumables, insulation, chemical treatment - Does not include markup or tax</t>
        </r>
      </text>
    </comment>
    <comment ref="AF192" authorId="0">
      <text>
        <r>
          <rPr>
            <b/>
            <sz val="9"/>
            <color indexed="81"/>
            <rFont val="Tahoma"/>
            <family val="2"/>
          </rPr>
          <t>Lucas Scheidler:</t>
        </r>
        <r>
          <rPr>
            <sz val="9"/>
            <color indexed="81"/>
            <rFont val="Tahoma"/>
            <family val="2"/>
          </rPr>
          <t xml:space="preserve">
EMCOR - Rigging/crane, - Does not include markup</t>
        </r>
      </text>
    </comment>
    <comment ref="AG192" authorId="0">
      <text>
        <r>
          <rPr>
            <b/>
            <sz val="9"/>
            <color indexed="81"/>
            <rFont val="Tahoma"/>
            <family val="2"/>
          </rPr>
          <t>Lucas Scheidler:</t>
        </r>
        <r>
          <rPr>
            <sz val="9"/>
            <color indexed="81"/>
            <rFont val="Tahoma"/>
            <family val="2"/>
          </rPr>
          <t xml:space="preserve">
EMCOR - Engineering/survey, project mgmt,warranty - Does not include markup
</t>
        </r>
      </text>
    </comment>
    <comment ref="W193" authorId="0">
      <text>
        <r>
          <rPr>
            <b/>
            <sz val="9"/>
            <color indexed="81"/>
            <rFont val="Tahoma"/>
            <family val="2"/>
          </rPr>
          <t>Lucas Scheidler:</t>
        </r>
        <r>
          <rPr>
            <sz val="9"/>
            <color indexed="81"/>
            <rFont val="Tahoma"/>
            <family val="2"/>
          </rPr>
          <t xml:space="preserve">
Weighted average of all laborers. Does not include markup</t>
        </r>
      </text>
    </comment>
    <comment ref="X193" authorId="0">
      <text>
        <r>
          <rPr>
            <b/>
            <sz val="9"/>
            <color indexed="81"/>
            <rFont val="Tahoma"/>
            <family val="2"/>
          </rPr>
          <t>Lucas Scheidler:</t>
        </r>
        <r>
          <rPr>
            <sz val="9"/>
            <color indexed="81"/>
            <rFont val="Tahoma"/>
            <family val="2"/>
          </rPr>
          <t xml:space="preserve">
Does not include markup</t>
        </r>
      </text>
    </comment>
    <comment ref="Y193" authorId="0">
      <text>
        <r>
          <rPr>
            <b/>
            <sz val="9"/>
            <color indexed="81"/>
            <rFont val="Tahoma"/>
            <family val="2"/>
          </rPr>
          <t>Lucas Scheidler:</t>
        </r>
        <r>
          <rPr>
            <sz val="9"/>
            <color indexed="81"/>
            <rFont val="Tahoma"/>
            <family val="2"/>
          </rPr>
          <t xml:space="preserve">
EMCOR - piping and electrical and insulation - Does not include markup or tax</t>
        </r>
      </text>
    </comment>
    <comment ref="Z193" authorId="0">
      <text>
        <r>
          <rPr>
            <b/>
            <sz val="9"/>
            <color indexed="81"/>
            <rFont val="Tahoma"/>
            <family val="2"/>
          </rPr>
          <t>Lucas Scheidler:</t>
        </r>
        <r>
          <rPr>
            <sz val="9"/>
            <color indexed="81"/>
            <rFont val="Tahoma"/>
            <family val="2"/>
          </rPr>
          <t xml:space="preserve">
EMCOR - Crane rental - Does not include markup</t>
        </r>
      </text>
    </comment>
    <comment ref="AA193"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193" authorId="0">
      <text>
        <r>
          <rPr>
            <b/>
            <sz val="9"/>
            <color indexed="81"/>
            <rFont val="Tahoma"/>
            <family val="2"/>
          </rPr>
          <t>Lucas Scheidler:</t>
        </r>
        <r>
          <rPr>
            <sz val="9"/>
            <color indexed="81"/>
            <rFont val="Tahoma"/>
            <family val="2"/>
          </rPr>
          <t xml:space="preserve">
Weighted average of all laborers. Does not include markup</t>
        </r>
      </text>
    </comment>
    <comment ref="AD193" authorId="0">
      <text>
        <r>
          <rPr>
            <b/>
            <sz val="9"/>
            <color indexed="81"/>
            <rFont val="Tahoma"/>
            <family val="2"/>
          </rPr>
          <t>Lucas Scheidler:</t>
        </r>
        <r>
          <rPr>
            <sz val="9"/>
            <color indexed="81"/>
            <rFont val="Tahoma"/>
            <family val="2"/>
          </rPr>
          <t xml:space="preserve">
Does not include markup</t>
        </r>
      </text>
    </comment>
    <comment ref="AE193" authorId="0">
      <text>
        <r>
          <rPr>
            <b/>
            <sz val="9"/>
            <color indexed="81"/>
            <rFont val="Tahoma"/>
            <family val="2"/>
          </rPr>
          <t>Lucas Scheidler:</t>
        </r>
        <r>
          <rPr>
            <sz val="9"/>
            <color indexed="81"/>
            <rFont val="Tahoma"/>
            <family val="2"/>
          </rPr>
          <t xml:space="preserve">
EMCOR - piping and electrical, small tools, consumables, insulation, chemical treatment - Does not include markup or tax</t>
        </r>
      </text>
    </comment>
    <comment ref="AF193" authorId="0">
      <text>
        <r>
          <rPr>
            <b/>
            <sz val="9"/>
            <color indexed="81"/>
            <rFont val="Tahoma"/>
            <family val="2"/>
          </rPr>
          <t>Lucas Scheidler:</t>
        </r>
        <r>
          <rPr>
            <sz val="9"/>
            <color indexed="81"/>
            <rFont val="Tahoma"/>
            <family val="2"/>
          </rPr>
          <t xml:space="preserve">
EMCOR - Rigging/crane,  - Does not include markup</t>
        </r>
      </text>
    </comment>
    <comment ref="AG193" authorId="0">
      <text>
        <r>
          <rPr>
            <b/>
            <sz val="9"/>
            <color indexed="81"/>
            <rFont val="Tahoma"/>
            <family val="2"/>
          </rPr>
          <t>Lucas Scheidler:</t>
        </r>
        <r>
          <rPr>
            <sz val="9"/>
            <color indexed="81"/>
            <rFont val="Tahoma"/>
            <family val="2"/>
          </rPr>
          <t xml:space="preserve">
EMCOR - Engineering/survey, project mgmt,warranty - Does not include markup
</t>
        </r>
      </text>
    </comment>
    <comment ref="W194" authorId="0">
      <text>
        <r>
          <rPr>
            <b/>
            <sz val="9"/>
            <color indexed="81"/>
            <rFont val="Tahoma"/>
            <family val="2"/>
          </rPr>
          <t>Lucas Scheidler:</t>
        </r>
        <r>
          <rPr>
            <sz val="9"/>
            <color indexed="81"/>
            <rFont val="Tahoma"/>
            <family val="2"/>
          </rPr>
          <t xml:space="preserve">
Weighted average of all laborers. Does not include markup</t>
        </r>
      </text>
    </comment>
    <comment ref="X194" authorId="0">
      <text>
        <r>
          <rPr>
            <b/>
            <sz val="9"/>
            <color indexed="81"/>
            <rFont val="Tahoma"/>
            <family val="2"/>
          </rPr>
          <t>Lucas Scheidler:</t>
        </r>
        <r>
          <rPr>
            <sz val="9"/>
            <color indexed="81"/>
            <rFont val="Tahoma"/>
            <family val="2"/>
          </rPr>
          <t xml:space="preserve">
Does not include markup</t>
        </r>
      </text>
    </comment>
    <comment ref="Y194" authorId="0">
      <text>
        <r>
          <rPr>
            <b/>
            <sz val="9"/>
            <color indexed="81"/>
            <rFont val="Tahoma"/>
            <family val="2"/>
          </rPr>
          <t>Lucas Scheidler:</t>
        </r>
        <r>
          <rPr>
            <sz val="9"/>
            <color indexed="81"/>
            <rFont val="Tahoma"/>
            <family val="2"/>
          </rPr>
          <t xml:space="preserve">
EMCOR - piping and electrical and insulation - Does not include markup or tax</t>
        </r>
      </text>
    </comment>
    <comment ref="Z194" authorId="0">
      <text>
        <r>
          <rPr>
            <b/>
            <sz val="9"/>
            <color indexed="81"/>
            <rFont val="Tahoma"/>
            <family val="2"/>
          </rPr>
          <t>Lucas Scheidler:</t>
        </r>
        <r>
          <rPr>
            <sz val="9"/>
            <color indexed="81"/>
            <rFont val="Tahoma"/>
            <family val="2"/>
          </rPr>
          <t xml:space="preserve">
EMCOR - Crane rental - Does not include markup</t>
        </r>
      </text>
    </comment>
    <comment ref="AA194"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194" authorId="0">
      <text>
        <r>
          <rPr>
            <b/>
            <sz val="9"/>
            <color indexed="81"/>
            <rFont val="Tahoma"/>
            <family val="2"/>
          </rPr>
          <t>Lucas Scheidler:</t>
        </r>
        <r>
          <rPr>
            <sz val="9"/>
            <color indexed="81"/>
            <rFont val="Tahoma"/>
            <family val="2"/>
          </rPr>
          <t xml:space="preserve">
Weighted average of all laborers. Does not include markup</t>
        </r>
      </text>
    </comment>
    <comment ref="AD194" authorId="0">
      <text>
        <r>
          <rPr>
            <b/>
            <sz val="9"/>
            <color indexed="81"/>
            <rFont val="Tahoma"/>
            <family val="2"/>
          </rPr>
          <t>Lucas Scheidler:</t>
        </r>
        <r>
          <rPr>
            <sz val="9"/>
            <color indexed="81"/>
            <rFont val="Tahoma"/>
            <family val="2"/>
          </rPr>
          <t xml:space="preserve">
Does not include markup</t>
        </r>
      </text>
    </comment>
    <comment ref="AE194" authorId="0">
      <text>
        <r>
          <rPr>
            <b/>
            <sz val="9"/>
            <color indexed="81"/>
            <rFont val="Tahoma"/>
            <family val="2"/>
          </rPr>
          <t>Lucas Scheidler:</t>
        </r>
        <r>
          <rPr>
            <sz val="9"/>
            <color indexed="81"/>
            <rFont val="Tahoma"/>
            <family val="2"/>
          </rPr>
          <t xml:space="preserve">
EMCOR - piping and electrical, small tools, consumables, insulation, chemical treatment - Does not include markup or tax</t>
        </r>
      </text>
    </comment>
    <comment ref="AF194" authorId="0">
      <text>
        <r>
          <rPr>
            <b/>
            <sz val="9"/>
            <color indexed="81"/>
            <rFont val="Tahoma"/>
            <family val="2"/>
          </rPr>
          <t>Lucas Scheidler:</t>
        </r>
        <r>
          <rPr>
            <sz val="9"/>
            <color indexed="81"/>
            <rFont val="Tahoma"/>
            <family val="2"/>
          </rPr>
          <t xml:space="preserve">
EMCOR - Rigging/crane,  - Does not include markup</t>
        </r>
      </text>
    </comment>
    <comment ref="AG194" authorId="0">
      <text>
        <r>
          <rPr>
            <b/>
            <sz val="9"/>
            <color indexed="81"/>
            <rFont val="Tahoma"/>
            <family val="2"/>
          </rPr>
          <t>Lucas Scheidler:</t>
        </r>
        <r>
          <rPr>
            <sz val="9"/>
            <color indexed="81"/>
            <rFont val="Tahoma"/>
            <family val="2"/>
          </rPr>
          <t xml:space="preserve">
EMCOR - Engineering/survey, project mgmt,warranty - Does not include markup
</t>
        </r>
      </text>
    </comment>
    <comment ref="W195" authorId="0">
      <text>
        <r>
          <rPr>
            <b/>
            <sz val="9"/>
            <color indexed="81"/>
            <rFont val="Tahoma"/>
            <family val="2"/>
          </rPr>
          <t>Lucas Scheidler:</t>
        </r>
        <r>
          <rPr>
            <sz val="9"/>
            <color indexed="81"/>
            <rFont val="Tahoma"/>
            <family val="2"/>
          </rPr>
          <t xml:space="preserve">
Weighted average of all laborers. Does not include markup</t>
        </r>
      </text>
    </comment>
    <comment ref="X195" authorId="0">
      <text>
        <r>
          <rPr>
            <b/>
            <sz val="9"/>
            <color indexed="81"/>
            <rFont val="Tahoma"/>
            <family val="2"/>
          </rPr>
          <t>Lucas Scheidler:</t>
        </r>
        <r>
          <rPr>
            <sz val="9"/>
            <color indexed="81"/>
            <rFont val="Tahoma"/>
            <family val="2"/>
          </rPr>
          <t xml:space="preserve">
Does not include markup</t>
        </r>
      </text>
    </comment>
    <comment ref="Y195" authorId="0">
      <text>
        <r>
          <rPr>
            <b/>
            <sz val="9"/>
            <color indexed="81"/>
            <rFont val="Tahoma"/>
            <family val="2"/>
          </rPr>
          <t>Lucas Scheidler:</t>
        </r>
        <r>
          <rPr>
            <sz val="9"/>
            <color indexed="81"/>
            <rFont val="Tahoma"/>
            <family val="2"/>
          </rPr>
          <t xml:space="preserve">
EMCOR - piping and electrical and insulation - Does not include markup or tax</t>
        </r>
      </text>
    </comment>
    <comment ref="Z195" authorId="0">
      <text>
        <r>
          <rPr>
            <b/>
            <sz val="9"/>
            <color indexed="81"/>
            <rFont val="Tahoma"/>
            <family val="2"/>
          </rPr>
          <t>Lucas Scheidler:</t>
        </r>
        <r>
          <rPr>
            <sz val="9"/>
            <color indexed="81"/>
            <rFont val="Tahoma"/>
            <family val="2"/>
          </rPr>
          <t xml:space="preserve">
EMCOR - Crane rental - Does not include markup</t>
        </r>
      </text>
    </comment>
    <comment ref="AA195"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195" authorId="0">
      <text>
        <r>
          <rPr>
            <b/>
            <sz val="9"/>
            <color indexed="81"/>
            <rFont val="Tahoma"/>
            <family val="2"/>
          </rPr>
          <t>Lucas Scheidler:</t>
        </r>
        <r>
          <rPr>
            <sz val="9"/>
            <color indexed="81"/>
            <rFont val="Tahoma"/>
            <family val="2"/>
          </rPr>
          <t xml:space="preserve">
Weighted average of all laborers. Does not include markup</t>
        </r>
      </text>
    </comment>
    <comment ref="AD195" authorId="0">
      <text>
        <r>
          <rPr>
            <b/>
            <sz val="9"/>
            <color indexed="81"/>
            <rFont val="Tahoma"/>
            <family val="2"/>
          </rPr>
          <t>Lucas Scheidler:</t>
        </r>
        <r>
          <rPr>
            <sz val="9"/>
            <color indexed="81"/>
            <rFont val="Tahoma"/>
            <family val="2"/>
          </rPr>
          <t xml:space="preserve">
Does not include markup</t>
        </r>
      </text>
    </comment>
    <comment ref="AE195" authorId="0">
      <text>
        <r>
          <rPr>
            <b/>
            <sz val="9"/>
            <color indexed="81"/>
            <rFont val="Tahoma"/>
            <family val="2"/>
          </rPr>
          <t>Lucas Scheidler:</t>
        </r>
        <r>
          <rPr>
            <sz val="9"/>
            <color indexed="81"/>
            <rFont val="Tahoma"/>
            <family val="2"/>
          </rPr>
          <t xml:space="preserve">
EMCOR - piping and electrical, small tools, consumables, insulation, chemical treatment - Does not include markup or tax</t>
        </r>
      </text>
    </comment>
    <comment ref="AF195" authorId="0">
      <text>
        <r>
          <rPr>
            <b/>
            <sz val="9"/>
            <color indexed="81"/>
            <rFont val="Tahoma"/>
            <family val="2"/>
          </rPr>
          <t>Lucas Scheidler:</t>
        </r>
        <r>
          <rPr>
            <sz val="9"/>
            <color indexed="81"/>
            <rFont val="Tahoma"/>
            <family val="2"/>
          </rPr>
          <t xml:space="preserve">
EMCOR - Rigging/crane, - Does not include markup</t>
        </r>
      </text>
    </comment>
    <comment ref="AG195" authorId="0">
      <text>
        <r>
          <rPr>
            <b/>
            <sz val="9"/>
            <color indexed="81"/>
            <rFont val="Tahoma"/>
            <family val="2"/>
          </rPr>
          <t>Lucas Scheidler:</t>
        </r>
        <r>
          <rPr>
            <sz val="9"/>
            <color indexed="81"/>
            <rFont val="Tahoma"/>
            <family val="2"/>
          </rPr>
          <t xml:space="preserve">
EMCOR - Engineering/survey, project mgmt,warranty - Does not include markup
</t>
        </r>
      </text>
    </comment>
    <comment ref="AP196" authorId="0">
      <text>
        <r>
          <rPr>
            <b/>
            <sz val="9"/>
            <color indexed="81"/>
            <rFont val="Tahoma"/>
            <family val="2"/>
          </rPr>
          <t>Lucas Scheidler:</t>
        </r>
        <r>
          <rPr>
            <sz val="9"/>
            <color indexed="81"/>
            <rFont val="Tahoma"/>
            <family val="2"/>
          </rPr>
          <t xml:space="preserve">
National average crew Q-7</t>
        </r>
      </text>
    </comment>
    <comment ref="K212" authorId="0">
      <text>
        <r>
          <rPr>
            <b/>
            <sz val="9"/>
            <color indexed="81"/>
            <rFont val="Tahoma"/>
            <family val="2"/>
          </rPr>
          <t>Lucas Scheidler:</t>
        </r>
        <r>
          <rPr>
            <sz val="9"/>
            <color indexed="81"/>
            <rFont val="Tahoma"/>
            <family val="2"/>
          </rPr>
          <t xml:space="preserve">
average artificial bids</t>
        </r>
      </text>
    </comment>
    <comment ref="O212" authorId="0">
      <text>
        <r>
          <rPr>
            <b/>
            <sz val="9"/>
            <color indexed="81"/>
            <rFont val="Tahoma"/>
            <family val="2"/>
          </rPr>
          <t>Lucas Scheidler:</t>
        </r>
        <r>
          <rPr>
            <sz val="9"/>
            <color indexed="81"/>
            <rFont val="Tahoma"/>
            <family val="2"/>
          </rPr>
          <t xml:space="preserve">
average hours/ton for 80 - 350 ton screw</t>
        </r>
      </text>
    </comment>
    <comment ref="W212" authorId="0">
      <text>
        <r>
          <rPr>
            <b/>
            <sz val="9"/>
            <color indexed="81"/>
            <rFont val="Tahoma"/>
            <family val="2"/>
          </rPr>
          <t>Lucas Scheidler:</t>
        </r>
        <r>
          <rPr>
            <sz val="9"/>
            <color indexed="81"/>
            <rFont val="Tahoma"/>
            <family val="2"/>
          </rPr>
          <t xml:space="preserve">
Weighted average of all laborers. Does not include markup</t>
        </r>
      </text>
    </comment>
    <comment ref="X212" authorId="0">
      <text>
        <r>
          <rPr>
            <b/>
            <sz val="9"/>
            <color indexed="81"/>
            <rFont val="Tahoma"/>
            <family val="2"/>
          </rPr>
          <t>Lucas Scheidler:</t>
        </r>
        <r>
          <rPr>
            <sz val="9"/>
            <color indexed="81"/>
            <rFont val="Tahoma"/>
            <family val="2"/>
          </rPr>
          <t xml:space="preserve">
Does not include markup</t>
        </r>
      </text>
    </comment>
    <comment ref="Y212" authorId="0">
      <text>
        <r>
          <rPr>
            <b/>
            <sz val="9"/>
            <color indexed="81"/>
            <rFont val="Tahoma"/>
            <family val="2"/>
          </rPr>
          <t>Lucas Scheidler:</t>
        </r>
        <r>
          <rPr>
            <sz val="9"/>
            <color indexed="81"/>
            <rFont val="Tahoma"/>
            <family val="2"/>
          </rPr>
          <t xml:space="preserve">
EMCOR - piping and electrical and insulation - Does not include markup or tax</t>
        </r>
      </text>
    </comment>
    <comment ref="Z212" authorId="0">
      <text>
        <r>
          <rPr>
            <b/>
            <sz val="9"/>
            <color indexed="81"/>
            <rFont val="Tahoma"/>
            <family val="2"/>
          </rPr>
          <t>Lucas Scheidler:</t>
        </r>
        <r>
          <rPr>
            <sz val="9"/>
            <color indexed="81"/>
            <rFont val="Tahoma"/>
            <family val="2"/>
          </rPr>
          <t xml:space="preserve">
EMCOR - Crane rental - Does not include markup</t>
        </r>
      </text>
    </comment>
    <comment ref="AA212"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212" authorId="0">
      <text>
        <r>
          <rPr>
            <b/>
            <sz val="9"/>
            <color indexed="81"/>
            <rFont val="Tahoma"/>
            <family val="2"/>
          </rPr>
          <t>Lucas Scheidler:</t>
        </r>
        <r>
          <rPr>
            <sz val="9"/>
            <color indexed="81"/>
            <rFont val="Tahoma"/>
            <family val="2"/>
          </rPr>
          <t xml:space="preserve">
Weighted average of all laborers. Does not include markup</t>
        </r>
      </text>
    </comment>
    <comment ref="AD212" authorId="0">
      <text>
        <r>
          <rPr>
            <b/>
            <sz val="9"/>
            <color indexed="81"/>
            <rFont val="Tahoma"/>
            <family val="2"/>
          </rPr>
          <t>Lucas Scheidler:</t>
        </r>
        <r>
          <rPr>
            <sz val="9"/>
            <color indexed="81"/>
            <rFont val="Tahoma"/>
            <family val="2"/>
          </rPr>
          <t xml:space="preserve">
Does not include markup</t>
        </r>
      </text>
    </comment>
    <comment ref="AE212" authorId="0">
      <text>
        <r>
          <rPr>
            <b/>
            <sz val="9"/>
            <color indexed="81"/>
            <rFont val="Tahoma"/>
            <family val="2"/>
          </rPr>
          <t>Lucas Scheidler:</t>
        </r>
        <r>
          <rPr>
            <sz val="9"/>
            <color indexed="81"/>
            <rFont val="Tahoma"/>
            <family val="2"/>
          </rPr>
          <t xml:space="preserve">
EMCOR - field material, small tools, consumables, insulation, and water treatment Does not include markup or tax</t>
        </r>
      </text>
    </comment>
    <comment ref="AF212" authorId="0">
      <text>
        <r>
          <rPr>
            <b/>
            <sz val="9"/>
            <color indexed="81"/>
            <rFont val="Tahoma"/>
            <family val="2"/>
          </rPr>
          <t>Lucas Scheidler:</t>
        </r>
        <r>
          <rPr>
            <sz val="9"/>
            <color indexed="81"/>
            <rFont val="Tahoma"/>
            <family val="2"/>
          </rPr>
          <t xml:space="preserve">
EMCOR - Crane rental- Does not include markup</t>
        </r>
      </text>
    </comment>
    <comment ref="AG212"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O213" authorId="0">
      <text>
        <r>
          <rPr>
            <b/>
            <sz val="9"/>
            <color indexed="81"/>
            <rFont val="Tahoma"/>
            <family val="2"/>
          </rPr>
          <t>Lucas Scheidler:</t>
        </r>
        <r>
          <rPr>
            <sz val="9"/>
            <color indexed="81"/>
            <rFont val="Tahoma"/>
            <family val="2"/>
          </rPr>
          <t xml:space="preserve">
average hours/ton for 2 - 30 ton scroll</t>
        </r>
      </text>
    </comment>
    <comment ref="W213" authorId="0">
      <text>
        <r>
          <rPr>
            <b/>
            <sz val="9"/>
            <color indexed="81"/>
            <rFont val="Tahoma"/>
            <family val="2"/>
          </rPr>
          <t>Lucas Scheidler:</t>
        </r>
        <r>
          <rPr>
            <sz val="9"/>
            <color indexed="81"/>
            <rFont val="Tahoma"/>
            <family val="2"/>
          </rPr>
          <t xml:space="preserve">
Weighted average of all laborers. Does not include markup</t>
        </r>
      </text>
    </comment>
    <comment ref="X213" authorId="0">
      <text>
        <r>
          <rPr>
            <b/>
            <sz val="9"/>
            <color indexed="81"/>
            <rFont val="Tahoma"/>
            <family val="2"/>
          </rPr>
          <t>Lucas Scheidler:</t>
        </r>
        <r>
          <rPr>
            <sz val="9"/>
            <color indexed="81"/>
            <rFont val="Tahoma"/>
            <family val="2"/>
          </rPr>
          <t xml:space="preserve">
Does not include markup</t>
        </r>
      </text>
    </comment>
    <comment ref="Y213" authorId="0">
      <text>
        <r>
          <rPr>
            <b/>
            <sz val="9"/>
            <color indexed="81"/>
            <rFont val="Tahoma"/>
            <family val="2"/>
          </rPr>
          <t>Lucas Scheidler:</t>
        </r>
        <r>
          <rPr>
            <sz val="9"/>
            <color indexed="81"/>
            <rFont val="Tahoma"/>
            <family val="2"/>
          </rPr>
          <t xml:space="preserve">
EMCOR - piping and electrical and insulation - Does not include markup or tax</t>
        </r>
      </text>
    </comment>
    <comment ref="Z213" authorId="0">
      <text>
        <r>
          <rPr>
            <b/>
            <sz val="9"/>
            <color indexed="81"/>
            <rFont val="Tahoma"/>
            <family val="2"/>
          </rPr>
          <t>Lucas Scheidler:</t>
        </r>
        <r>
          <rPr>
            <sz val="9"/>
            <color indexed="81"/>
            <rFont val="Tahoma"/>
            <family val="2"/>
          </rPr>
          <t xml:space="preserve">
EMCOR - Crane rental - Does not include markup</t>
        </r>
      </text>
    </comment>
    <comment ref="AA213"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213" authorId="0">
      <text>
        <r>
          <rPr>
            <b/>
            <sz val="9"/>
            <color indexed="81"/>
            <rFont val="Tahoma"/>
            <family val="2"/>
          </rPr>
          <t>Lucas Scheidler:</t>
        </r>
        <r>
          <rPr>
            <sz val="9"/>
            <color indexed="81"/>
            <rFont val="Tahoma"/>
            <family val="2"/>
          </rPr>
          <t xml:space="preserve">
Weighted average of all laborers. Does not include markup</t>
        </r>
      </text>
    </comment>
    <comment ref="AD213" authorId="0">
      <text>
        <r>
          <rPr>
            <b/>
            <sz val="9"/>
            <color indexed="81"/>
            <rFont val="Tahoma"/>
            <family val="2"/>
          </rPr>
          <t>Lucas Scheidler:</t>
        </r>
        <r>
          <rPr>
            <sz val="9"/>
            <color indexed="81"/>
            <rFont val="Tahoma"/>
            <family val="2"/>
          </rPr>
          <t xml:space="preserve">
Does not include markup</t>
        </r>
      </text>
    </comment>
    <comment ref="AE213" authorId="0">
      <text>
        <r>
          <rPr>
            <b/>
            <sz val="9"/>
            <color indexed="81"/>
            <rFont val="Tahoma"/>
            <family val="2"/>
          </rPr>
          <t>Lucas Scheidler:</t>
        </r>
        <r>
          <rPr>
            <sz val="9"/>
            <color indexed="81"/>
            <rFont val="Tahoma"/>
            <family val="2"/>
          </rPr>
          <t xml:space="preserve">
EMCOR - field material, small tools, consumables, insulation, and water treatment Does not include markup or tax</t>
        </r>
      </text>
    </comment>
    <comment ref="AF213" authorId="0">
      <text>
        <r>
          <rPr>
            <b/>
            <sz val="9"/>
            <color indexed="81"/>
            <rFont val="Tahoma"/>
            <family val="2"/>
          </rPr>
          <t>Lucas Scheidler:</t>
        </r>
        <r>
          <rPr>
            <sz val="9"/>
            <color indexed="81"/>
            <rFont val="Tahoma"/>
            <family val="2"/>
          </rPr>
          <t xml:space="preserve">
EMCOR - Crane rental- Does not include markup</t>
        </r>
      </text>
    </comment>
    <comment ref="AG213"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O214" authorId="0">
      <text>
        <r>
          <rPr>
            <b/>
            <sz val="9"/>
            <color indexed="81"/>
            <rFont val="Tahoma"/>
            <family val="2"/>
          </rPr>
          <t>Lucas Scheidler:</t>
        </r>
        <r>
          <rPr>
            <sz val="9"/>
            <color indexed="81"/>
            <rFont val="Tahoma"/>
            <family val="2"/>
          </rPr>
          <t xml:space="preserve">
average hours/ton for 400 - 2500 ton centrifugal</t>
        </r>
      </text>
    </comment>
    <comment ref="W214" authorId="0">
      <text>
        <r>
          <rPr>
            <b/>
            <sz val="9"/>
            <color indexed="81"/>
            <rFont val="Tahoma"/>
            <family val="2"/>
          </rPr>
          <t>Lucas Scheidler:</t>
        </r>
        <r>
          <rPr>
            <sz val="9"/>
            <color indexed="81"/>
            <rFont val="Tahoma"/>
            <family val="2"/>
          </rPr>
          <t xml:space="preserve">
Weighted average of all laborers. Does not include markup</t>
        </r>
      </text>
    </comment>
    <comment ref="X214" authorId="0">
      <text>
        <r>
          <rPr>
            <b/>
            <sz val="9"/>
            <color indexed="81"/>
            <rFont val="Tahoma"/>
            <family val="2"/>
          </rPr>
          <t>Lucas Scheidler:</t>
        </r>
        <r>
          <rPr>
            <sz val="9"/>
            <color indexed="81"/>
            <rFont val="Tahoma"/>
            <family val="2"/>
          </rPr>
          <t xml:space="preserve">
Does not include markup</t>
        </r>
      </text>
    </comment>
    <comment ref="Y214" authorId="0">
      <text>
        <r>
          <rPr>
            <b/>
            <sz val="9"/>
            <color indexed="81"/>
            <rFont val="Tahoma"/>
            <family val="2"/>
          </rPr>
          <t>Lucas Scheidler:</t>
        </r>
        <r>
          <rPr>
            <sz val="9"/>
            <color indexed="81"/>
            <rFont val="Tahoma"/>
            <family val="2"/>
          </rPr>
          <t xml:space="preserve">
EMCOR - piping and electrical and insulation - Does not include markup or tax</t>
        </r>
      </text>
    </comment>
    <comment ref="Z214" authorId="0">
      <text>
        <r>
          <rPr>
            <b/>
            <sz val="9"/>
            <color indexed="81"/>
            <rFont val="Tahoma"/>
            <family val="2"/>
          </rPr>
          <t>Lucas Scheidler:</t>
        </r>
        <r>
          <rPr>
            <sz val="9"/>
            <color indexed="81"/>
            <rFont val="Tahoma"/>
            <family val="2"/>
          </rPr>
          <t xml:space="preserve">
EMCOR - Crane rental - Does not include markup</t>
        </r>
      </text>
    </comment>
    <comment ref="AA214"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214" authorId="0">
      <text>
        <r>
          <rPr>
            <b/>
            <sz val="9"/>
            <color indexed="81"/>
            <rFont val="Tahoma"/>
            <family val="2"/>
          </rPr>
          <t>Lucas Scheidler:</t>
        </r>
        <r>
          <rPr>
            <sz val="9"/>
            <color indexed="81"/>
            <rFont val="Tahoma"/>
            <family val="2"/>
          </rPr>
          <t xml:space="preserve">
Weighted average of all laborers. Does not include markup</t>
        </r>
      </text>
    </comment>
    <comment ref="AD214" authorId="0">
      <text>
        <r>
          <rPr>
            <b/>
            <sz val="9"/>
            <color indexed="81"/>
            <rFont val="Tahoma"/>
            <family val="2"/>
          </rPr>
          <t>Lucas Scheidler:</t>
        </r>
        <r>
          <rPr>
            <sz val="9"/>
            <color indexed="81"/>
            <rFont val="Tahoma"/>
            <family val="2"/>
          </rPr>
          <t xml:space="preserve">
Does not include markup</t>
        </r>
      </text>
    </comment>
    <comment ref="AE214" authorId="0">
      <text>
        <r>
          <rPr>
            <b/>
            <sz val="9"/>
            <color indexed="81"/>
            <rFont val="Tahoma"/>
            <family val="2"/>
          </rPr>
          <t>Lucas Scheidler:</t>
        </r>
        <r>
          <rPr>
            <sz val="9"/>
            <color indexed="81"/>
            <rFont val="Tahoma"/>
            <family val="2"/>
          </rPr>
          <t xml:space="preserve">
EMCOR - field material, small tools, consumables, insulation, and water treatment Does not include markup or tax</t>
        </r>
      </text>
    </comment>
    <comment ref="AF214" authorId="0">
      <text>
        <r>
          <rPr>
            <b/>
            <sz val="9"/>
            <color indexed="81"/>
            <rFont val="Tahoma"/>
            <family val="2"/>
          </rPr>
          <t>Lucas Scheidler:</t>
        </r>
        <r>
          <rPr>
            <sz val="9"/>
            <color indexed="81"/>
            <rFont val="Tahoma"/>
            <family val="2"/>
          </rPr>
          <t xml:space="preserve">
EMCOR - Crane rental- Does not include markup</t>
        </r>
      </text>
    </comment>
    <comment ref="AG214"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W215" authorId="0">
      <text>
        <r>
          <rPr>
            <b/>
            <sz val="9"/>
            <color indexed="81"/>
            <rFont val="Tahoma"/>
            <family val="2"/>
          </rPr>
          <t>Lucas Scheidler:</t>
        </r>
        <r>
          <rPr>
            <sz val="9"/>
            <color indexed="81"/>
            <rFont val="Tahoma"/>
            <family val="2"/>
          </rPr>
          <t xml:space="preserve">
Weighted average of all laborers. Does not include markup</t>
        </r>
      </text>
    </comment>
    <comment ref="X215" authorId="0">
      <text>
        <r>
          <rPr>
            <b/>
            <sz val="9"/>
            <color indexed="81"/>
            <rFont val="Tahoma"/>
            <family val="2"/>
          </rPr>
          <t>Lucas Scheidler:</t>
        </r>
        <r>
          <rPr>
            <sz val="9"/>
            <color indexed="81"/>
            <rFont val="Tahoma"/>
            <family val="2"/>
          </rPr>
          <t xml:space="preserve">
Does not include markup</t>
        </r>
      </text>
    </comment>
    <comment ref="Y215" authorId="0">
      <text>
        <r>
          <rPr>
            <b/>
            <sz val="9"/>
            <color indexed="81"/>
            <rFont val="Tahoma"/>
            <family val="2"/>
          </rPr>
          <t>Lucas Scheidler:</t>
        </r>
        <r>
          <rPr>
            <sz val="9"/>
            <color indexed="81"/>
            <rFont val="Tahoma"/>
            <family val="2"/>
          </rPr>
          <t xml:space="preserve">
EMCOR - piping and electrical and insulation - Does not include markup or tax</t>
        </r>
      </text>
    </comment>
    <comment ref="Z215" authorId="0">
      <text>
        <r>
          <rPr>
            <b/>
            <sz val="9"/>
            <color indexed="81"/>
            <rFont val="Tahoma"/>
            <family val="2"/>
          </rPr>
          <t>Lucas Scheidler:</t>
        </r>
        <r>
          <rPr>
            <sz val="9"/>
            <color indexed="81"/>
            <rFont val="Tahoma"/>
            <family val="2"/>
          </rPr>
          <t xml:space="preserve">
EMCOR - Crane rental - Does not include markup</t>
        </r>
      </text>
    </comment>
    <comment ref="AA215"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215" authorId="0">
      <text>
        <r>
          <rPr>
            <b/>
            <sz val="9"/>
            <color indexed="81"/>
            <rFont val="Tahoma"/>
            <family val="2"/>
          </rPr>
          <t>Lucas Scheidler:</t>
        </r>
        <r>
          <rPr>
            <sz val="9"/>
            <color indexed="81"/>
            <rFont val="Tahoma"/>
            <family val="2"/>
          </rPr>
          <t xml:space="preserve">
Weighted average of all laborers. Does not include markup</t>
        </r>
      </text>
    </comment>
    <comment ref="AD215" authorId="0">
      <text>
        <r>
          <rPr>
            <b/>
            <sz val="9"/>
            <color indexed="81"/>
            <rFont val="Tahoma"/>
            <family val="2"/>
          </rPr>
          <t>Lucas Scheidler:</t>
        </r>
        <r>
          <rPr>
            <sz val="9"/>
            <color indexed="81"/>
            <rFont val="Tahoma"/>
            <family val="2"/>
          </rPr>
          <t xml:space="preserve">
Does not include markup</t>
        </r>
      </text>
    </comment>
    <comment ref="AE215" authorId="0">
      <text>
        <r>
          <rPr>
            <b/>
            <sz val="9"/>
            <color indexed="81"/>
            <rFont val="Tahoma"/>
            <family val="2"/>
          </rPr>
          <t>Lucas Scheidler:</t>
        </r>
        <r>
          <rPr>
            <sz val="9"/>
            <color indexed="81"/>
            <rFont val="Tahoma"/>
            <family val="2"/>
          </rPr>
          <t xml:space="preserve">
EMCOR - field material, small tools, consumables, insulation, and water treatment Does not include markup or tax</t>
        </r>
      </text>
    </comment>
    <comment ref="AF215" authorId="0">
      <text>
        <r>
          <rPr>
            <b/>
            <sz val="9"/>
            <color indexed="81"/>
            <rFont val="Tahoma"/>
            <family val="2"/>
          </rPr>
          <t>Lucas Scheidler:</t>
        </r>
        <r>
          <rPr>
            <sz val="9"/>
            <color indexed="81"/>
            <rFont val="Tahoma"/>
            <family val="2"/>
          </rPr>
          <t xml:space="preserve">
EMCOR - Crane rental- Does not include markup</t>
        </r>
      </text>
    </comment>
    <comment ref="AG215"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W216" authorId="0">
      <text>
        <r>
          <rPr>
            <b/>
            <sz val="9"/>
            <color indexed="81"/>
            <rFont val="Tahoma"/>
            <family val="2"/>
          </rPr>
          <t>Lucas Scheidler:</t>
        </r>
        <r>
          <rPr>
            <sz val="9"/>
            <color indexed="81"/>
            <rFont val="Tahoma"/>
            <family val="2"/>
          </rPr>
          <t xml:space="preserve">
Weighted average of all laborers. Does not include markup</t>
        </r>
      </text>
    </comment>
    <comment ref="X216" authorId="0">
      <text>
        <r>
          <rPr>
            <b/>
            <sz val="9"/>
            <color indexed="81"/>
            <rFont val="Tahoma"/>
            <family val="2"/>
          </rPr>
          <t>Lucas Scheidler:</t>
        </r>
        <r>
          <rPr>
            <sz val="9"/>
            <color indexed="81"/>
            <rFont val="Tahoma"/>
            <family val="2"/>
          </rPr>
          <t xml:space="preserve">
Does not include markup</t>
        </r>
      </text>
    </comment>
    <comment ref="Y216" authorId="0">
      <text>
        <r>
          <rPr>
            <b/>
            <sz val="9"/>
            <color indexed="81"/>
            <rFont val="Tahoma"/>
            <family val="2"/>
          </rPr>
          <t>Lucas Scheidler:</t>
        </r>
        <r>
          <rPr>
            <sz val="9"/>
            <color indexed="81"/>
            <rFont val="Tahoma"/>
            <family val="2"/>
          </rPr>
          <t xml:space="preserve">
EMCOR - piping and electrical and insulation - Does not include markup or tax</t>
        </r>
      </text>
    </comment>
    <comment ref="Z216" authorId="0">
      <text>
        <r>
          <rPr>
            <b/>
            <sz val="9"/>
            <color indexed="81"/>
            <rFont val="Tahoma"/>
            <family val="2"/>
          </rPr>
          <t>Lucas Scheidler:</t>
        </r>
        <r>
          <rPr>
            <sz val="9"/>
            <color indexed="81"/>
            <rFont val="Tahoma"/>
            <family val="2"/>
          </rPr>
          <t xml:space="preserve">
EMCOR - Crane rental - Does not include markup</t>
        </r>
      </text>
    </comment>
    <comment ref="AA216"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216" authorId="0">
      <text>
        <r>
          <rPr>
            <b/>
            <sz val="9"/>
            <color indexed="81"/>
            <rFont val="Tahoma"/>
            <family val="2"/>
          </rPr>
          <t>Lucas Scheidler:</t>
        </r>
        <r>
          <rPr>
            <sz val="9"/>
            <color indexed="81"/>
            <rFont val="Tahoma"/>
            <family val="2"/>
          </rPr>
          <t xml:space="preserve">
Weighted average of all laborers. Does not include markup</t>
        </r>
      </text>
    </comment>
    <comment ref="AD216" authorId="0">
      <text>
        <r>
          <rPr>
            <b/>
            <sz val="9"/>
            <color indexed="81"/>
            <rFont val="Tahoma"/>
            <family val="2"/>
          </rPr>
          <t>Lucas Scheidler:</t>
        </r>
        <r>
          <rPr>
            <sz val="9"/>
            <color indexed="81"/>
            <rFont val="Tahoma"/>
            <family val="2"/>
          </rPr>
          <t xml:space="preserve">
Does not include markup</t>
        </r>
      </text>
    </comment>
    <comment ref="AE216" authorId="0">
      <text>
        <r>
          <rPr>
            <b/>
            <sz val="9"/>
            <color indexed="81"/>
            <rFont val="Tahoma"/>
            <family val="2"/>
          </rPr>
          <t>Lucas Scheidler:</t>
        </r>
        <r>
          <rPr>
            <sz val="9"/>
            <color indexed="81"/>
            <rFont val="Tahoma"/>
            <family val="2"/>
          </rPr>
          <t xml:space="preserve">
EMCOR - field material, small tools, consumables, insulation, and water treatment Does not include markup or tax</t>
        </r>
      </text>
    </comment>
    <comment ref="AF216" authorId="0">
      <text>
        <r>
          <rPr>
            <b/>
            <sz val="9"/>
            <color indexed="81"/>
            <rFont val="Tahoma"/>
            <family val="2"/>
          </rPr>
          <t>Lucas Scheidler:</t>
        </r>
        <r>
          <rPr>
            <sz val="9"/>
            <color indexed="81"/>
            <rFont val="Tahoma"/>
            <family val="2"/>
          </rPr>
          <t xml:space="preserve">
EMCOR - Crane rental- Does not include markup</t>
        </r>
      </text>
    </comment>
    <comment ref="AG216"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W217" authorId="0">
      <text>
        <r>
          <rPr>
            <b/>
            <sz val="9"/>
            <color indexed="81"/>
            <rFont val="Tahoma"/>
            <family val="2"/>
          </rPr>
          <t>Lucas Scheidler:</t>
        </r>
        <r>
          <rPr>
            <sz val="9"/>
            <color indexed="81"/>
            <rFont val="Tahoma"/>
            <family val="2"/>
          </rPr>
          <t xml:space="preserve">
Weighted average of all laborers. Does not include markup</t>
        </r>
      </text>
    </comment>
    <comment ref="X217" authorId="0">
      <text>
        <r>
          <rPr>
            <b/>
            <sz val="9"/>
            <color indexed="81"/>
            <rFont val="Tahoma"/>
            <family val="2"/>
          </rPr>
          <t>Lucas Scheidler:</t>
        </r>
        <r>
          <rPr>
            <sz val="9"/>
            <color indexed="81"/>
            <rFont val="Tahoma"/>
            <family val="2"/>
          </rPr>
          <t xml:space="preserve">
Does not include markup</t>
        </r>
      </text>
    </comment>
    <comment ref="Y217" authorId="0">
      <text>
        <r>
          <rPr>
            <b/>
            <sz val="9"/>
            <color indexed="81"/>
            <rFont val="Tahoma"/>
            <family val="2"/>
          </rPr>
          <t>Lucas Scheidler:</t>
        </r>
        <r>
          <rPr>
            <sz val="9"/>
            <color indexed="81"/>
            <rFont val="Tahoma"/>
            <family val="2"/>
          </rPr>
          <t xml:space="preserve">
EMCOR - piping and electrical and insulation - Does not include markup or tax</t>
        </r>
      </text>
    </comment>
    <comment ref="Z217" authorId="0">
      <text>
        <r>
          <rPr>
            <b/>
            <sz val="9"/>
            <color indexed="81"/>
            <rFont val="Tahoma"/>
            <family val="2"/>
          </rPr>
          <t>Lucas Scheidler:</t>
        </r>
        <r>
          <rPr>
            <sz val="9"/>
            <color indexed="81"/>
            <rFont val="Tahoma"/>
            <family val="2"/>
          </rPr>
          <t xml:space="preserve">
EMCOR - Crane rental - Does not include markup</t>
        </r>
      </text>
    </comment>
    <comment ref="AA217"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217" authorId="0">
      <text>
        <r>
          <rPr>
            <b/>
            <sz val="9"/>
            <color indexed="81"/>
            <rFont val="Tahoma"/>
            <family val="2"/>
          </rPr>
          <t>Lucas Scheidler:</t>
        </r>
        <r>
          <rPr>
            <sz val="9"/>
            <color indexed="81"/>
            <rFont val="Tahoma"/>
            <family val="2"/>
          </rPr>
          <t xml:space="preserve">
Weighted average of all laborers. Does not include markup</t>
        </r>
      </text>
    </comment>
    <comment ref="AD217" authorId="0">
      <text>
        <r>
          <rPr>
            <b/>
            <sz val="9"/>
            <color indexed="81"/>
            <rFont val="Tahoma"/>
            <family val="2"/>
          </rPr>
          <t>Lucas Scheidler:</t>
        </r>
        <r>
          <rPr>
            <sz val="9"/>
            <color indexed="81"/>
            <rFont val="Tahoma"/>
            <family val="2"/>
          </rPr>
          <t xml:space="preserve">
Does not include markup</t>
        </r>
      </text>
    </comment>
    <comment ref="AE217" authorId="0">
      <text>
        <r>
          <rPr>
            <b/>
            <sz val="9"/>
            <color indexed="81"/>
            <rFont val="Tahoma"/>
            <family val="2"/>
          </rPr>
          <t>Lucas Scheidler:</t>
        </r>
        <r>
          <rPr>
            <sz val="9"/>
            <color indexed="81"/>
            <rFont val="Tahoma"/>
            <family val="2"/>
          </rPr>
          <t xml:space="preserve">
EMCOR - field material, small tools, consumables, insulation, and water treatment Does not include markup or tax</t>
        </r>
      </text>
    </comment>
    <comment ref="AF217" authorId="0">
      <text>
        <r>
          <rPr>
            <b/>
            <sz val="9"/>
            <color indexed="81"/>
            <rFont val="Tahoma"/>
            <family val="2"/>
          </rPr>
          <t>Lucas Scheidler:</t>
        </r>
        <r>
          <rPr>
            <sz val="9"/>
            <color indexed="81"/>
            <rFont val="Tahoma"/>
            <family val="2"/>
          </rPr>
          <t xml:space="preserve">
EMCOR - Crane rental- Does not include markup</t>
        </r>
      </text>
    </comment>
    <comment ref="AG217"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W218" authorId="0">
      <text>
        <r>
          <rPr>
            <b/>
            <sz val="9"/>
            <color indexed="81"/>
            <rFont val="Tahoma"/>
            <family val="2"/>
          </rPr>
          <t>Lucas Scheidler:</t>
        </r>
        <r>
          <rPr>
            <sz val="9"/>
            <color indexed="81"/>
            <rFont val="Tahoma"/>
            <family val="2"/>
          </rPr>
          <t xml:space="preserve">
Weighted average of all laborers. Does not include markup</t>
        </r>
      </text>
    </comment>
    <comment ref="X218" authorId="0">
      <text>
        <r>
          <rPr>
            <b/>
            <sz val="9"/>
            <color indexed="81"/>
            <rFont val="Tahoma"/>
            <family val="2"/>
          </rPr>
          <t>Lucas Scheidler:</t>
        </r>
        <r>
          <rPr>
            <sz val="9"/>
            <color indexed="81"/>
            <rFont val="Tahoma"/>
            <family val="2"/>
          </rPr>
          <t xml:space="preserve">
Does not include markup</t>
        </r>
      </text>
    </comment>
    <comment ref="Y218" authorId="0">
      <text>
        <r>
          <rPr>
            <b/>
            <sz val="9"/>
            <color indexed="81"/>
            <rFont val="Tahoma"/>
            <family val="2"/>
          </rPr>
          <t>Lucas Scheidler:</t>
        </r>
        <r>
          <rPr>
            <sz val="9"/>
            <color indexed="81"/>
            <rFont val="Tahoma"/>
            <family val="2"/>
          </rPr>
          <t xml:space="preserve">
EMCOR - piping and electrical and insulation - Does not include markup or tax</t>
        </r>
      </text>
    </comment>
    <comment ref="Z218" authorId="0">
      <text>
        <r>
          <rPr>
            <b/>
            <sz val="9"/>
            <color indexed="81"/>
            <rFont val="Tahoma"/>
            <family val="2"/>
          </rPr>
          <t>Lucas Scheidler:</t>
        </r>
        <r>
          <rPr>
            <sz val="9"/>
            <color indexed="81"/>
            <rFont val="Tahoma"/>
            <family val="2"/>
          </rPr>
          <t xml:space="preserve">
EMCOR - Crane rental - Does not include markup</t>
        </r>
      </text>
    </comment>
    <comment ref="AA218"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218" authorId="0">
      <text>
        <r>
          <rPr>
            <b/>
            <sz val="9"/>
            <color indexed="81"/>
            <rFont val="Tahoma"/>
            <family val="2"/>
          </rPr>
          <t>Lucas Scheidler:</t>
        </r>
        <r>
          <rPr>
            <sz val="9"/>
            <color indexed="81"/>
            <rFont val="Tahoma"/>
            <family val="2"/>
          </rPr>
          <t xml:space="preserve">
Weighted average of all laborers. Does not include markup</t>
        </r>
      </text>
    </comment>
    <comment ref="AD218" authorId="0">
      <text>
        <r>
          <rPr>
            <b/>
            <sz val="9"/>
            <color indexed="81"/>
            <rFont val="Tahoma"/>
            <family val="2"/>
          </rPr>
          <t>Lucas Scheidler:</t>
        </r>
        <r>
          <rPr>
            <sz val="9"/>
            <color indexed="81"/>
            <rFont val="Tahoma"/>
            <family val="2"/>
          </rPr>
          <t xml:space="preserve">
Does not include markup</t>
        </r>
      </text>
    </comment>
    <comment ref="AE218" authorId="0">
      <text>
        <r>
          <rPr>
            <b/>
            <sz val="9"/>
            <color indexed="81"/>
            <rFont val="Tahoma"/>
            <family val="2"/>
          </rPr>
          <t>Lucas Scheidler:</t>
        </r>
        <r>
          <rPr>
            <sz val="9"/>
            <color indexed="81"/>
            <rFont val="Tahoma"/>
            <family val="2"/>
          </rPr>
          <t xml:space="preserve">
EMCOR - field material, small tools, consumables, insulation, and water treatment Does not include markup or tax</t>
        </r>
      </text>
    </comment>
    <comment ref="AF218" authorId="0">
      <text>
        <r>
          <rPr>
            <b/>
            <sz val="9"/>
            <color indexed="81"/>
            <rFont val="Tahoma"/>
            <family val="2"/>
          </rPr>
          <t>Lucas Scheidler:</t>
        </r>
        <r>
          <rPr>
            <sz val="9"/>
            <color indexed="81"/>
            <rFont val="Tahoma"/>
            <family val="2"/>
          </rPr>
          <t xml:space="preserve">
EMCOR - Crane rental- Does not include markup</t>
        </r>
      </text>
    </comment>
    <comment ref="AG218"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W219" authorId="0">
      <text>
        <r>
          <rPr>
            <b/>
            <sz val="9"/>
            <color indexed="81"/>
            <rFont val="Tahoma"/>
            <family val="2"/>
          </rPr>
          <t>Lucas Scheidler:</t>
        </r>
        <r>
          <rPr>
            <sz val="9"/>
            <color indexed="81"/>
            <rFont val="Tahoma"/>
            <family val="2"/>
          </rPr>
          <t xml:space="preserve">
Weighted average of all laborers. Does not include markup</t>
        </r>
      </text>
    </comment>
    <comment ref="X219" authorId="0">
      <text>
        <r>
          <rPr>
            <b/>
            <sz val="9"/>
            <color indexed="81"/>
            <rFont val="Tahoma"/>
            <family val="2"/>
          </rPr>
          <t>Lucas Scheidler:</t>
        </r>
        <r>
          <rPr>
            <sz val="9"/>
            <color indexed="81"/>
            <rFont val="Tahoma"/>
            <family val="2"/>
          </rPr>
          <t xml:space="preserve">
Does not include markup</t>
        </r>
      </text>
    </comment>
    <comment ref="Y219" authorId="0">
      <text>
        <r>
          <rPr>
            <b/>
            <sz val="9"/>
            <color indexed="81"/>
            <rFont val="Tahoma"/>
            <family val="2"/>
          </rPr>
          <t>Lucas Scheidler:</t>
        </r>
        <r>
          <rPr>
            <sz val="9"/>
            <color indexed="81"/>
            <rFont val="Tahoma"/>
            <family val="2"/>
          </rPr>
          <t xml:space="preserve">
EMCOR - piping and electrical and insulation - Does not include markup or tax</t>
        </r>
      </text>
    </comment>
    <comment ref="Z219" authorId="0">
      <text>
        <r>
          <rPr>
            <b/>
            <sz val="9"/>
            <color indexed="81"/>
            <rFont val="Tahoma"/>
            <family val="2"/>
          </rPr>
          <t>Lucas Scheidler:</t>
        </r>
        <r>
          <rPr>
            <sz val="9"/>
            <color indexed="81"/>
            <rFont val="Tahoma"/>
            <family val="2"/>
          </rPr>
          <t xml:space="preserve">
EMCOR - Crane rental - Does not include markup</t>
        </r>
      </text>
    </comment>
    <comment ref="AA219"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219" authorId="0">
      <text>
        <r>
          <rPr>
            <b/>
            <sz val="9"/>
            <color indexed="81"/>
            <rFont val="Tahoma"/>
            <family val="2"/>
          </rPr>
          <t>Lucas Scheidler:</t>
        </r>
        <r>
          <rPr>
            <sz val="9"/>
            <color indexed="81"/>
            <rFont val="Tahoma"/>
            <family val="2"/>
          </rPr>
          <t xml:space="preserve">
Weighted average of all laborers. Does not include markup</t>
        </r>
      </text>
    </comment>
    <comment ref="AD219" authorId="0">
      <text>
        <r>
          <rPr>
            <b/>
            <sz val="9"/>
            <color indexed="81"/>
            <rFont val="Tahoma"/>
            <family val="2"/>
          </rPr>
          <t>Lucas Scheidler:</t>
        </r>
        <r>
          <rPr>
            <sz val="9"/>
            <color indexed="81"/>
            <rFont val="Tahoma"/>
            <family val="2"/>
          </rPr>
          <t xml:space="preserve">
Does not include markup</t>
        </r>
      </text>
    </comment>
    <comment ref="AE219" authorId="0">
      <text>
        <r>
          <rPr>
            <b/>
            <sz val="9"/>
            <color indexed="81"/>
            <rFont val="Tahoma"/>
            <family val="2"/>
          </rPr>
          <t>Lucas Scheidler:</t>
        </r>
        <r>
          <rPr>
            <sz val="9"/>
            <color indexed="81"/>
            <rFont val="Tahoma"/>
            <family val="2"/>
          </rPr>
          <t xml:space="preserve">
EMCOR - field material, small tools, consumables, insulation, and water treatment Does not include markup or tax</t>
        </r>
      </text>
    </comment>
    <comment ref="AF219" authorId="0">
      <text>
        <r>
          <rPr>
            <b/>
            <sz val="9"/>
            <color indexed="81"/>
            <rFont val="Tahoma"/>
            <family val="2"/>
          </rPr>
          <t>Lucas Scheidler:</t>
        </r>
        <r>
          <rPr>
            <sz val="9"/>
            <color indexed="81"/>
            <rFont val="Tahoma"/>
            <family val="2"/>
          </rPr>
          <t xml:space="preserve">
EMCOR - Crane rental- Does not include markup</t>
        </r>
      </text>
    </comment>
    <comment ref="AG219"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W220" authorId="0">
      <text>
        <r>
          <rPr>
            <b/>
            <sz val="9"/>
            <color indexed="81"/>
            <rFont val="Tahoma"/>
            <family val="2"/>
          </rPr>
          <t>Lucas Scheidler:</t>
        </r>
        <r>
          <rPr>
            <sz val="9"/>
            <color indexed="81"/>
            <rFont val="Tahoma"/>
            <family val="2"/>
          </rPr>
          <t xml:space="preserve">
Weighted average of all laborers. Does not include markup</t>
        </r>
      </text>
    </comment>
    <comment ref="X220" authorId="0">
      <text>
        <r>
          <rPr>
            <b/>
            <sz val="9"/>
            <color indexed="81"/>
            <rFont val="Tahoma"/>
            <family val="2"/>
          </rPr>
          <t>Lucas Scheidler:</t>
        </r>
        <r>
          <rPr>
            <sz val="9"/>
            <color indexed="81"/>
            <rFont val="Tahoma"/>
            <family val="2"/>
          </rPr>
          <t xml:space="preserve">
Does not include markup</t>
        </r>
      </text>
    </comment>
    <comment ref="Y220" authorId="0">
      <text>
        <r>
          <rPr>
            <b/>
            <sz val="9"/>
            <color indexed="81"/>
            <rFont val="Tahoma"/>
            <family val="2"/>
          </rPr>
          <t>Lucas Scheidler:</t>
        </r>
        <r>
          <rPr>
            <sz val="9"/>
            <color indexed="81"/>
            <rFont val="Tahoma"/>
            <family val="2"/>
          </rPr>
          <t xml:space="preserve">
EMCOR - piping and electrical and insulation - Does not include markup or tax</t>
        </r>
      </text>
    </comment>
    <comment ref="Z220" authorId="0">
      <text>
        <r>
          <rPr>
            <b/>
            <sz val="9"/>
            <color indexed="81"/>
            <rFont val="Tahoma"/>
            <family val="2"/>
          </rPr>
          <t>Lucas Scheidler:</t>
        </r>
        <r>
          <rPr>
            <sz val="9"/>
            <color indexed="81"/>
            <rFont val="Tahoma"/>
            <family val="2"/>
          </rPr>
          <t xml:space="preserve">
EMCOR - Crane rental - Does not include markup</t>
        </r>
      </text>
    </comment>
    <comment ref="AA220"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220" authorId="0">
      <text>
        <r>
          <rPr>
            <b/>
            <sz val="9"/>
            <color indexed="81"/>
            <rFont val="Tahoma"/>
            <family val="2"/>
          </rPr>
          <t>Lucas Scheidler:</t>
        </r>
        <r>
          <rPr>
            <sz val="9"/>
            <color indexed="81"/>
            <rFont val="Tahoma"/>
            <family val="2"/>
          </rPr>
          <t xml:space="preserve">
Weighted average of all laborers. Does not include markup</t>
        </r>
      </text>
    </comment>
    <comment ref="AD220" authorId="0">
      <text>
        <r>
          <rPr>
            <b/>
            <sz val="9"/>
            <color indexed="81"/>
            <rFont val="Tahoma"/>
            <family val="2"/>
          </rPr>
          <t>Lucas Scheidler:</t>
        </r>
        <r>
          <rPr>
            <sz val="9"/>
            <color indexed="81"/>
            <rFont val="Tahoma"/>
            <family val="2"/>
          </rPr>
          <t xml:space="preserve">
Does not include markup</t>
        </r>
      </text>
    </comment>
    <comment ref="AE220" authorId="0">
      <text>
        <r>
          <rPr>
            <b/>
            <sz val="9"/>
            <color indexed="81"/>
            <rFont val="Tahoma"/>
            <family val="2"/>
          </rPr>
          <t>Lucas Scheidler:</t>
        </r>
        <r>
          <rPr>
            <sz val="9"/>
            <color indexed="81"/>
            <rFont val="Tahoma"/>
            <family val="2"/>
          </rPr>
          <t xml:space="preserve">
EMCOR - field material, small tools, consumables, insulation, and water treatment Does not include markup or tax</t>
        </r>
      </text>
    </comment>
    <comment ref="AF220" authorId="0">
      <text>
        <r>
          <rPr>
            <b/>
            <sz val="9"/>
            <color indexed="81"/>
            <rFont val="Tahoma"/>
            <family val="2"/>
          </rPr>
          <t>Lucas Scheidler:</t>
        </r>
        <r>
          <rPr>
            <sz val="9"/>
            <color indexed="81"/>
            <rFont val="Tahoma"/>
            <family val="2"/>
          </rPr>
          <t xml:space="preserve">
EMCOR - Crane rental- Does not include markup</t>
        </r>
      </text>
    </comment>
    <comment ref="AG220"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U221" authorId="0">
      <text>
        <r>
          <rPr>
            <b/>
            <sz val="9"/>
            <color indexed="81"/>
            <rFont val="Tahoma"/>
            <family val="2"/>
          </rPr>
          <t>Lucas Scheidler:</t>
        </r>
        <r>
          <rPr>
            <sz val="9"/>
            <color indexed="81"/>
            <rFont val="Tahoma"/>
            <family val="2"/>
          </rPr>
          <t xml:space="preserve">
RSMeans iteam 236426</t>
        </r>
      </text>
    </comment>
    <comment ref="AP221" authorId="0">
      <text>
        <r>
          <rPr>
            <b/>
            <sz val="9"/>
            <color indexed="81"/>
            <rFont val="Tahoma"/>
            <family val="2"/>
          </rPr>
          <t>Lucas Scheidler:</t>
        </r>
        <r>
          <rPr>
            <sz val="9"/>
            <color indexed="81"/>
            <rFont val="Tahoma"/>
            <family val="2"/>
          </rPr>
          <t xml:space="preserve">
National average crew Q-7</t>
        </r>
      </text>
    </comment>
    <comment ref="U228" authorId="0">
      <text>
        <r>
          <rPr>
            <b/>
            <sz val="9"/>
            <color indexed="81"/>
            <rFont val="Tahoma"/>
            <family val="2"/>
          </rPr>
          <t>Lucas Scheidler:</t>
        </r>
        <r>
          <rPr>
            <sz val="9"/>
            <color indexed="81"/>
            <rFont val="Tahoma"/>
            <family val="2"/>
          </rPr>
          <t xml:space="preserve">
RSMeans iteam 236423</t>
        </r>
      </text>
    </comment>
    <comment ref="AP228" authorId="0">
      <text>
        <r>
          <rPr>
            <b/>
            <sz val="9"/>
            <color indexed="81"/>
            <rFont val="Tahoma"/>
            <family val="2"/>
          </rPr>
          <t>Lucas Scheidler:</t>
        </r>
        <r>
          <rPr>
            <sz val="9"/>
            <color indexed="81"/>
            <rFont val="Tahoma"/>
            <family val="2"/>
          </rPr>
          <t xml:space="preserve">
National average crew Q-5</t>
        </r>
      </text>
    </comment>
    <comment ref="AP232" authorId="0">
      <text>
        <r>
          <rPr>
            <b/>
            <sz val="9"/>
            <color indexed="81"/>
            <rFont val="Tahoma"/>
            <family val="2"/>
          </rPr>
          <t>Lucas Scheidler:</t>
        </r>
        <r>
          <rPr>
            <sz val="9"/>
            <color indexed="81"/>
            <rFont val="Tahoma"/>
            <family val="2"/>
          </rPr>
          <t xml:space="preserve">
National average crew Q-6</t>
        </r>
      </text>
    </comment>
    <comment ref="AP234" authorId="0">
      <text>
        <r>
          <rPr>
            <b/>
            <sz val="9"/>
            <color indexed="81"/>
            <rFont val="Tahoma"/>
            <family val="2"/>
          </rPr>
          <t>Lucas Scheidler:</t>
        </r>
        <r>
          <rPr>
            <sz val="9"/>
            <color indexed="81"/>
            <rFont val="Tahoma"/>
            <family val="2"/>
          </rPr>
          <t xml:space="preserve">
National average crew Q-7</t>
        </r>
      </text>
    </comment>
    <comment ref="U236" authorId="0">
      <text>
        <r>
          <rPr>
            <b/>
            <sz val="9"/>
            <color indexed="81"/>
            <rFont val="Tahoma"/>
            <family val="2"/>
          </rPr>
          <t>Lucas Scheidler:</t>
        </r>
        <r>
          <rPr>
            <sz val="9"/>
            <color indexed="81"/>
            <rFont val="Tahoma"/>
            <family val="2"/>
          </rPr>
          <t xml:space="preserve">
RSMeans item 236416</t>
        </r>
      </text>
    </comment>
    <comment ref="A247" authorId="0">
      <text>
        <r>
          <rPr>
            <b/>
            <sz val="9"/>
            <color indexed="81"/>
            <rFont val="Tahoma"/>
            <family val="2"/>
          </rPr>
          <t>Lucas Scheidler:</t>
        </r>
        <r>
          <rPr>
            <sz val="9"/>
            <color indexed="81"/>
            <rFont val="Tahoma"/>
            <family val="2"/>
          </rPr>
          <t xml:space="preserve">
Workpapers indicate there are no centrifugal VSD chillers &lt; 150 tons in the market. Our research confirms this. Additionally, our subcontractors found very few (4) units less than 300 tons. Given the small sample size, a regression model could only be developed for units &gt;= 300 tons.</t>
        </r>
      </text>
    </comment>
    <comment ref="K247" authorId="0">
      <text>
        <r>
          <rPr>
            <b/>
            <sz val="9"/>
            <color indexed="81"/>
            <rFont val="Tahoma"/>
            <family val="2"/>
          </rPr>
          <t>Lucas Scheidler:</t>
        </r>
        <r>
          <rPr>
            <sz val="9"/>
            <color indexed="81"/>
            <rFont val="Tahoma"/>
            <family val="2"/>
          </rPr>
          <t xml:space="preserve">
average artificial bids</t>
        </r>
      </text>
    </comment>
    <comment ref="O247" authorId="0">
      <text>
        <r>
          <rPr>
            <b/>
            <sz val="9"/>
            <color indexed="81"/>
            <rFont val="Tahoma"/>
            <family val="2"/>
          </rPr>
          <t>Lucas Scheidler:</t>
        </r>
        <r>
          <rPr>
            <sz val="9"/>
            <color indexed="81"/>
            <rFont val="Tahoma"/>
            <family val="2"/>
          </rPr>
          <t xml:space="preserve">
average hours/ton for 400 - 2500 ton centrifugal</t>
        </r>
      </text>
    </comment>
    <comment ref="W247" authorId="0">
      <text>
        <r>
          <rPr>
            <b/>
            <sz val="9"/>
            <color indexed="81"/>
            <rFont val="Tahoma"/>
            <family val="2"/>
          </rPr>
          <t>Lucas Scheidler:</t>
        </r>
        <r>
          <rPr>
            <sz val="9"/>
            <color indexed="81"/>
            <rFont val="Tahoma"/>
            <family val="2"/>
          </rPr>
          <t xml:space="preserve">
Weighted average of all laborers. Does not include markup</t>
        </r>
      </text>
    </comment>
    <comment ref="X247" authorId="0">
      <text>
        <r>
          <rPr>
            <b/>
            <sz val="9"/>
            <color indexed="81"/>
            <rFont val="Tahoma"/>
            <family val="2"/>
          </rPr>
          <t>Lucas Scheidler:</t>
        </r>
        <r>
          <rPr>
            <sz val="9"/>
            <color indexed="81"/>
            <rFont val="Tahoma"/>
            <family val="2"/>
          </rPr>
          <t xml:space="preserve">
Does not include markup</t>
        </r>
      </text>
    </comment>
    <comment ref="Y247" authorId="0">
      <text>
        <r>
          <rPr>
            <b/>
            <sz val="9"/>
            <color indexed="81"/>
            <rFont val="Tahoma"/>
            <family val="2"/>
          </rPr>
          <t>Lucas Scheidler:</t>
        </r>
        <r>
          <rPr>
            <sz val="9"/>
            <color indexed="81"/>
            <rFont val="Tahoma"/>
            <family val="2"/>
          </rPr>
          <t xml:space="preserve">
EMCOR - piping and electrical and insulation - Does not include markup or tax</t>
        </r>
      </text>
    </comment>
    <comment ref="Z247" authorId="0">
      <text>
        <r>
          <rPr>
            <b/>
            <sz val="9"/>
            <color indexed="81"/>
            <rFont val="Tahoma"/>
            <family val="2"/>
          </rPr>
          <t>Lucas Scheidler:</t>
        </r>
        <r>
          <rPr>
            <sz val="9"/>
            <color indexed="81"/>
            <rFont val="Tahoma"/>
            <family val="2"/>
          </rPr>
          <t xml:space="preserve">
EMCOR - Crane rental - Does not include markup</t>
        </r>
      </text>
    </comment>
    <comment ref="AA247"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247" authorId="0">
      <text>
        <r>
          <rPr>
            <b/>
            <sz val="9"/>
            <color indexed="81"/>
            <rFont val="Tahoma"/>
            <family val="2"/>
          </rPr>
          <t>Lucas Scheidler:</t>
        </r>
        <r>
          <rPr>
            <sz val="9"/>
            <color indexed="81"/>
            <rFont val="Tahoma"/>
            <family val="2"/>
          </rPr>
          <t xml:space="preserve">
Weighted average of all laborers. Does not include markup</t>
        </r>
      </text>
    </comment>
    <comment ref="AD247" authorId="0">
      <text>
        <r>
          <rPr>
            <b/>
            <sz val="9"/>
            <color indexed="81"/>
            <rFont val="Tahoma"/>
            <family val="2"/>
          </rPr>
          <t>Lucas Scheidler:</t>
        </r>
        <r>
          <rPr>
            <sz val="9"/>
            <color indexed="81"/>
            <rFont val="Tahoma"/>
            <family val="2"/>
          </rPr>
          <t xml:space="preserve">
Does not include markup</t>
        </r>
      </text>
    </comment>
    <comment ref="AE247" authorId="0">
      <text>
        <r>
          <rPr>
            <b/>
            <sz val="9"/>
            <color indexed="81"/>
            <rFont val="Tahoma"/>
            <family val="2"/>
          </rPr>
          <t>Lucas Scheidler:</t>
        </r>
        <r>
          <rPr>
            <sz val="9"/>
            <color indexed="81"/>
            <rFont val="Tahoma"/>
            <family val="2"/>
          </rPr>
          <t xml:space="preserve">
EMCOR - field material, small tools, consumables, insulation, and water treatment Does not include markup or tax</t>
        </r>
      </text>
    </comment>
    <comment ref="AF247" authorId="0">
      <text>
        <r>
          <rPr>
            <b/>
            <sz val="9"/>
            <color indexed="81"/>
            <rFont val="Tahoma"/>
            <family val="2"/>
          </rPr>
          <t>Lucas Scheidler:</t>
        </r>
        <r>
          <rPr>
            <sz val="9"/>
            <color indexed="81"/>
            <rFont val="Tahoma"/>
            <family val="2"/>
          </rPr>
          <t xml:space="preserve">
EMCOR - Crane rental- Does not include markup</t>
        </r>
      </text>
    </comment>
    <comment ref="AG247"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W248" authorId="0">
      <text>
        <r>
          <rPr>
            <b/>
            <sz val="9"/>
            <color indexed="81"/>
            <rFont val="Tahoma"/>
            <family val="2"/>
          </rPr>
          <t>Lucas Scheidler:</t>
        </r>
        <r>
          <rPr>
            <sz val="9"/>
            <color indexed="81"/>
            <rFont val="Tahoma"/>
            <family val="2"/>
          </rPr>
          <t xml:space="preserve">
Weighted average of all laborers. Does not include markup</t>
        </r>
      </text>
    </comment>
    <comment ref="X248" authorId="0">
      <text>
        <r>
          <rPr>
            <b/>
            <sz val="9"/>
            <color indexed="81"/>
            <rFont val="Tahoma"/>
            <family val="2"/>
          </rPr>
          <t>Lucas Scheidler:</t>
        </r>
        <r>
          <rPr>
            <sz val="9"/>
            <color indexed="81"/>
            <rFont val="Tahoma"/>
            <family val="2"/>
          </rPr>
          <t xml:space="preserve">
Does not include markup</t>
        </r>
      </text>
    </comment>
    <comment ref="Y248" authorId="0">
      <text>
        <r>
          <rPr>
            <b/>
            <sz val="9"/>
            <color indexed="81"/>
            <rFont val="Tahoma"/>
            <family val="2"/>
          </rPr>
          <t>Lucas Scheidler:</t>
        </r>
        <r>
          <rPr>
            <sz val="9"/>
            <color indexed="81"/>
            <rFont val="Tahoma"/>
            <family val="2"/>
          </rPr>
          <t xml:space="preserve">
EMCOR - piping and electrical and insulation - Does not include markup or tax</t>
        </r>
      </text>
    </comment>
    <comment ref="Z248" authorId="0">
      <text>
        <r>
          <rPr>
            <b/>
            <sz val="9"/>
            <color indexed="81"/>
            <rFont val="Tahoma"/>
            <family val="2"/>
          </rPr>
          <t>Lucas Scheidler:</t>
        </r>
        <r>
          <rPr>
            <sz val="9"/>
            <color indexed="81"/>
            <rFont val="Tahoma"/>
            <family val="2"/>
          </rPr>
          <t xml:space="preserve">
EMCOR - Crane rental - Does not include markup</t>
        </r>
      </text>
    </comment>
    <comment ref="AA248"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248" authorId="0">
      <text>
        <r>
          <rPr>
            <b/>
            <sz val="9"/>
            <color indexed="81"/>
            <rFont val="Tahoma"/>
            <family val="2"/>
          </rPr>
          <t>Lucas Scheidler:</t>
        </r>
        <r>
          <rPr>
            <sz val="9"/>
            <color indexed="81"/>
            <rFont val="Tahoma"/>
            <family val="2"/>
          </rPr>
          <t xml:space="preserve">
Weighted average of all laborers. Does not include markup</t>
        </r>
      </text>
    </comment>
    <comment ref="AD248" authorId="0">
      <text>
        <r>
          <rPr>
            <b/>
            <sz val="9"/>
            <color indexed="81"/>
            <rFont val="Tahoma"/>
            <family val="2"/>
          </rPr>
          <t>Lucas Scheidler:</t>
        </r>
        <r>
          <rPr>
            <sz val="9"/>
            <color indexed="81"/>
            <rFont val="Tahoma"/>
            <family val="2"/>
          </rPr>
          <t xml:space="preserve">
Does not include markup</t>
        </r>
      </text>
    </comment>
    <comment ref="AE248" authorId="0">
      <text>
        <r>
          <rPr>
            <b/>
            <sz val="9"/>
            <color indexed="81"/>
            <rFont val="Tahoma"/>
            <family val="2"/>
          </rPr>
          <t>Lucas Scheidler:</t>
        </r>
        <r>
          <rPr>
            <sz val="9"/>
            <color indexed="81"/>
            <rFont val="Tahoma"/>
            <family val="2"/>
          </rPr>
          <t xml:space="preserve">
EMCOR - field material, small tools, consumables, insulation, and water treatment Does not include markup or tax</t>
        </r>
      </text>
    </comment>
    <comment ref="AF248" authorId="0">
      <text>
        <r>
          <rPr>
            <b/>
            <sz val="9"/>
            <color indexed="81"/>
            <rFont val="Tahoma"/>
            <family val="2"/>
          </rPr>
          <t>Lucas Scheidler:</t>
        </r>
        <r>
          <rPr>
            <sz val="9"/>
            <color indexed="81"/>
            <rFont val="Tahoma"/>
            <family val="2"/>
          </rPr>
          <t xml:space="preserve">
EMCOR - Crane rental- Does not include markup</t>
        </r>
      </text>
    </comment>
    <comment ref="AG248"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W249" authorId="0">
      <text>
        <r>
          <rPr>
            <b/>
            <sz val="9"/>
            <color indexed="81"/>
            <rFont val="Tahoma"/>
            <family val="2"/>
          </rPr>
          <t>Lucas Scheidler:</t>
        </r>
        <r>
          <rPr>
            <sz val="9"/>
            <color indexed="81"/>
            <rFont val="Tahoma"/>
            <family val="2"/>
          </rPr>
          <t xml:space="preserve">
Weighted average of all laborers. Does not include markup</t>
        </r>
      </text>
    </comment>
    <comment ref="X249" authorId="0">
      <text>
        <r>
          <rPr>
            <b/>
            <sz val="9"/>
            <color indexed="81"/>
            <rFont val="Tahoma"/>
            <family val="2"/>
          </rPr>
          <t>Lucas Scheidler:</t>
        </r>
        <r>
          <rPr>
            <sz val="9"/>
            <color indexed="81"/>
            <rFont val="Tahoma"/>
            <family val="2"/>
          </rPr>
          <t xml:space="preserve">
Does not include markup</t>
        </r>
      </text>
    </comment>
    <comment ref="Y249" authorId="0">
      <text>
        <r>
          <rPr>
            <b/>
            <sz val="9"/>
            <color indexed="81"/>
            <rFont val="Tahoma"/>
            <family val="2"/>
          </rPr>
          <t>Lucas Scheidler:</t>
        </r>
        <r>
          <rPr>
            <sz val="9"/>
            <color indexed="81"/>
            <rFont val="Tahoma"/>
            <family val="2"/>
          </rPr>
          <t xml:space="preserve">
EMCOR - piping and electrical and insulation - Does not include markup or tax</t>
        </r>
      </text>
    </comment>
    <comment ref="Z249" authorId="0">
      <text>
        <r>
          <rPr>
            <b/>
            <sz val="9"/>
            <color indexed="81"/>
            <rFont val="Tahoma"/>
            <family val="2"/>
          </rPr>
          <t>Lucas Scheidler:</t>
        </r>
        <r>
          <rPr>
            <sz val="9"/>
            <color indexed="81"/>
            <rFont val="Tahoma"/>
            <family val="2"/>
          </rPr>
          <t xml:space="preserve">
EMCOR - Crane rental - Does not include markup</t>
        </r>
      </text>
    </comment>
    <comment ref="AA249"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249" authorId="0">
      <text>
        <r>
          <rPr>
            <b/>
            <sz val="9"/>
            <color indexed="81"/>
            <rFont val="Tahoma"/>
            <family val="2"/>
          </rPr>
          <t>Lucas Scheidler:</t>
        </r>
        <r>
          <rPr>
            <sz val="9"/>
            <color indexed="81"/>
            <rFont val="Tahoma"/>
            <family val="2"/>
          </rPr>
          <t xml:space="preserve">
Weighted average of all laborers. Does not include markup</t>
        </r>
      </text>
    </comment>
    <comment ref="AD249" authorId="0">
      <text>
        <r>
          <rPr>
            <b/>
            <sz val="9"/>
            <color indexed="81"/>
            <rFont val="Tahoma"/>
            <family val="2"/>
          </rPr>
          <t>Lucas Scheidler:</t>
        </r>
        <r>
          <rPr>
            <sz val="9"/>
            <color indexed="81"/>
            <rFont val="Tahoma"/>
            <family val="2"/>
          </rPr>
          <t xml:space="preserve">
Does not include markup</t>
        </r>
      </text>
    </comment>
    <comment ref="AE249" authorId="0">
      <text>
        <r>
          <rPr>
            <b/>
            <sz val="9"/>
            <color indexed="81"/>
            <rFont val="Tahoma"/>
            <family val="2"/>
          </rPr>
          <t>Lucas Scheidler:</t>
        </r>
        <r>
          <rPr>
            <sz val="9"/>
            <color indexed="81"/>
            <rFont val="Tahoma"/>
            <family val="2"/>
          </rPr>
          <t xml:space="preserve">
EMCOR - field material, small tools, consumables, insulation, and water treatment Does not include markup or tax</t>
        </r>
      </text>
    </comment>
    <comment ref="AF249" authorId="0">
      <text>
        <r>
          <rPr>
            <b/>
            <sz val="9"/>
            <color indexed="81"/>
            <rFont val="Tahoma"/>
            <family val="2"/>
          </rPr>
          <t>Lucas Scheidler:</t>
        </r>
        <r>
          <rPr>
            <sz val="9"/>
            <color indexed="81"/>
            <rFont val="Tahoma"/>
            <family val="2"/>
          </rPr>
          <t xml:space="preserve">
EMCOR - Crane rental- Does not include markup</t>
        </r>
      </text>
    </comment>
    <comment ref="AG249"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U250" authorId="0">
      <text>
        <r>
          <rPr>
            <b/>
            <sz val="9"/>
            <color indexed="81"/>
            <rFont val="Tahoma"/>
            <family val="2"/>
          </rPr>
          <t>Lucas Scheidler:</t>
        </r>
        <r>
          <rPr>
            <sz val="9"/>
            <color indexed="81"/>
            <rFont val="Tahoma"/>
            <family val="2"/>
          </rPr>
          <t xml:space="preserve">
RSMeans item 236416</t>
        </r>
      </text>
    </comment>
    <comment ref="AP250" authorId="0">
      <text>
        <r>
          <rPr>
            <b/>
            <sz val="9"/>
            <color indexed="81"/>
            <rFont val="Tahoma"/>
            <family val="2"/>
          </rPr>
          <t>Lucas Scheidler:</t>
        </r>
        <r>
          <rPr>
            <sz val="9"/>
            <color indexed="81"/>
            <rFont val="Tahoma"/>
            <family val="2"/>
          </rPr>
          <t xml:space="preserve">
National average crew Q-7</t>
        </r>
      </text>
    </comment>
    <comment ref="E261" authorId="0">
      <text>
        <r>
          <rPr>
            <b/>
            <sz val="9"/>
            <color indexed="81"/>
            <rFont val="Tahoma"/>
            <family val="2"/>
          </rPr>
          <t>Lucas Scheidler:</t>
        </r>
        <r>
          <rPr>
            <sz val="9"/>
            <color indexed="81"/>
            <rFont val="Tahoma"/>
            <family val="2"/>
          </rPr>
          <t xml:space="preserve">
Based on 5 ton unit</t>
        </r>
      </text>
    </comment>
    <comment ref="I261" authorId="0">
      <text>
        <r>
          <rPr>
            <b/>
            <sz val="9"/>
            <color indexed="81"/>
            <rFont val="Tahoma"/>
            <family val="2"/>
          </rPr>
          <t>Lucas Scheidler:</t>
        </r>
        <r>
          <rPr>
            <sz val="9"/>
            <color indexed="81"/>
            <rFont val="Tahoma"/>
            <family val="2"/>
          </rPr>
          <t xml:space="preserve">
disposal - based on a 5 ton unit</t>
        </r>
      </text>
    </comment>
    <comment ref="J261" authorId="0">
      <text>
        <r>
          <rPr>
            <b/>
            <sz val="9"/>
            <color indexed="81"/>
            <rFont val="Tahoma"/>
            <family val="2"/>
          </rPr>
          <t>Lucas Scheidler:</t>
        </r>
        <r>
          <rPr>
            <sz val="9"/>
            <color indexed="81"/>
            <rFont val="Tahoma"/>
            <family val="2"/>
          </rPr>
          <t xml:space="preserve">
Crane rental  </t>
        </r>
      </text>
    </comment>
    <comment ref="K261" authorId="0">
      <text>
        <r>
          <rPr>
            <b/>
            <sz val="9"/>
            <color indexed="81"/>
            <rFont val="Tahoma"/>
            <family val="2"/>
          </rPr>
          <t>Lucas Scheidler:</t>
        </r>
        <r>
          <rPr>
            <sz val="9"/>
            <color indexed="81"/>
            <rFont val="Tahoma"/>
            <family val="2"/>
          </rPr>
          <t xml:space="preserve">
average artificial bids</t>
        </r>
      </text>
    </comment>
    <comment ref="O261" authorId="0">
      <text>
        <r>
          <rPr>
            <b/>
            <sz val="9"/>
            <color indexed="81"/>
            <rFont val="Tahoma"/>
            <family val="2"/>
          </rPr>
          <t>Lucas Scheidler:</t>
        </r>
        <r>
          <rPr>
            <sz val="9"/>
            <color indexed="81"/>
            <rFont val="Tahoma"/>
            <family val="2"/>
          </rPr>
          <t xml:space="preserve">
average hrs/ton for 1.5 to 5 ton units (from RS means for small packaged DX)</t>
        </r>
      </text>
    </comment>
    <comment ref="U261" authorId="0">
      <text>
        <r>
          <rPr>
            <b/>
            <sz val="9"/>
            <color indexed="81"/>
            <rFont val="Tahoma"/>
            <family val="2"/>
          </rPr>
          <t>Lucas Scheidler:</t>
        </r>
        <r>
          <rPr>
            <sz val="9"/>
            <color indexed="81"/>
            <rFont val="Tahoma"/>
            <family val="2"/>
          </rPr>
          <t xml:space="preserve">
MCS HVAC contractor survey: The following questions apply to retrofitting a split DX or packaged DX system on a low rise, flat roof, commercial building.  On average, how much does it cost to rent a crane to remove an old outdoor unit and install a new unit?  Please exclude any costs related to required permits.</t>
        </r>
      </text>
    </comment>
    <comment ref="I262" authorId="0">
      <text>
        <r>
          <rPr>
            <b/>
            <sz val="9"/>
            <color indexed="81"/>
            <rFont val="Tahoma"/>
            <family val="2"/>
          </rPr>
          <t>Lucas Scheidler:</t>
        </r>
        <r>
          <rPr>
            <sz val="9"/>
            <color indexed="81"/>
            <rFont val="Tahoma"/>
            <family val="2"/>
          </rPr>
          <t xml:space="preserve">
There were no artificial bids for small packaged HP. Miscellaneous costs per ton are assumed to be the same as for large package HP)</t>
        </r>
      </text>
    </comment>
    <comment ref="U262" authorId="0">
      <text>
        <r>
          <rPr>
            <b/>
            <sz val="9"/>
            <color indexed="81"/>
            <rFont val="Tahoma"/>
            <family val="2"/>
          </rPr>
          <t>Lucas Scheidler:</t>
        </r>
        <r>
          <rPr>
            <sz val="9"/>
            <color indexed="81"/>
            <rFont val="Tahoma"/>
            <family val="2"/>
          </rPr>
          <t xml:space="preserve">
MCS HVAC contractor survey: The following questions apply to retrofitting a split DX or packaged DX system on a low rise, flat roof, commercial building. On average, how many man-hours does it take to install a new 5 ton unit?  Please include the time required for preparing the curb and installing new curb gaskets, moving the unit into place with the crane, attaching refrigerant piping, connecting electrical and gas as necessary, and connecting ductwork.  Assume no new curb is required and no new screen is required to conceal the unit.</t>
        </r>
      </text>
    </comment>
    <comment ref="U263" authorId="0">
      <text>
        <r>
          <rPr>
            <b/>
            <sz val="9"/>
            <color indexed="81"/>
            <rFont val="Tahoma"/>
            <family val="2"/>
          </rPr>
          <t>Lucas Scheidler:</t>
        </r>
        <r>
          <rPr>
            <sz val="9"/>
            <color indexed="81"/>
            <rFont val="Tahoma"/>
            <family val="2"/>
          </rPr>
          <t xml:space="preserve">
MCS HVAC contractor survey: The following questions apply to retrofitting a split DX or packaged DX system on a low rise, flat roof, commercial building. On average, how many man-hours does it take to remove an old unit, assuming a crane is used for the removal?  Please include time associated with pulling refrigerant out, disconnecting electrical and controls, disconnecting the unit from the curb, removal of the unit by crane, and taking the unit to the recycler.</t>
        </r>
      </text>
    </comment>
    <comment ref="U264" authorId="0">
      <text>
        <r>
          <rPr>
            <b/>
            <sz val="9"/>
            <color indexed="81"/>
            <rFont val="Tahoma"/>
            <family val="2"/>
          </rPr>
          <t>Lucas Scheidler:</t>
        </r>
        <r>
          <rPr>
            <sz val="9"/>
            <color indexed="81"/>
            <rFont val="Tahoma"/>
            <family val="2"/>
          </rPr>
          <t xml:space="preserve">
MCS HVAC contractor survey: The following questions apply to retrofitting a split DX or packaged DX system on a low rise, flat roof, commercial building.  On average, what is the disposal fee for the old unit?</t>
        </r>
      </text>
    </comment>
    <comment ref="U265" authorId="0">
      <text>
        <r>
          <rPr>
            <b/>
            <sz val="9"/>
            <color indexed="81"/>
            <rFont val="Tahoma"/>
            <family val="2"/>
          </rPr>
          <t>Lucas Scheidler:</t>
        </r>
        <r>
          <rPr>
            <sz val="9"/>
            <color indexed="81"/>
            <rFont val="Tahoma"/>
            <family val="2"/>
          </rPr>
          <t xml:space="preserve">
MCS HVAC contractor survey: The following questions apply to retrofitting a split DX or packaged DX system on a low rise, flat roof, commercial building. On average, how many man-hours does it take to perform testing/commissioning on a newly installed 5 ton unit to ensure it is running properly?  Please include time required for checking belt alignment, starting compressors and making sure pressure is correct, checking combustion efficiency (in the case of gas units), checking for air leaks in the ductwork, making sure amperage is in the acceptable range, and balancing air flow.</t>
        </r>
      </text>
    </comment>
    <comment ref="U266" authorId="0">
      <text>
        <r>
          <rPr>
            <b/>
            <sz val="9"/>
            <color indexed="81"/>
            <rFont val="Tahoma"/>
            <family val="2"/>
          </rPr>
          <t>Lucas Scheidler:</t>
        </r>
        <r>
          <rPr>
            <sz val="9"/>
            <color indexed="81"/>
            <rFont val="Tahoma"/>
            <family val="2"/>
          </rPr>
          <t xml:space="preserve">
RSMeans item 236213. Item number 2374 provides additional estimates for units with heating option and multi-zone + curb - These are the small packaged DX entries from RS means - assume the labor hours for small packaged air source heat pumps are similar.</t>
        </r>
      </text>
    </comment>
    <comment ref="AP266" authorId="0">
      <text>
        <r>
          <rPr>
            <b/>
            <sz val="9"/>
            <color indexed="81"/>
            <rFont val="Tahoma"/>
            <family val="2"/>
          </rPr>
          <t>Lucas Scheidler:</t>
        </r>
        <r>
          <rPr>
            <sz val="9"/>
            <color indexed="81"/>
            <rFont val="Tahoma"/>
            <family val="2"/>
          </rPr>
          <t xml:space="preserve">
National Average - crew Q-5
</t>
        </r>
      </text>
    </comment>
    <comment ref="K274" authorId="0">
      <text>
        <r>
          <rPr>
            <b/>
            <sz val="9"/>
            <color indexed="81"/>
            <rFont val="Tahoma"/>
            <family val="2"/>
          </rPr>
          <t>Lucas Scheidler:</t>
        </r>
        <r>
          <rPr>
            <sz val="9"/>
            <color indexed="81"/>
            <rFont val="Tahoma"/>
            <family val="2"/>
          </rPr>
          <t xml:space="preserve">
Average artificial bids</t>
        </r>
      </text>
    </comment>
    <comment ref="O274" authorId="0">
      <text>
        <r>
          <rPr>
            <b/>
            <sz val="9"/>
            <color indexed="81"/>
            <rFont val="Tahoma"/>
            <family val="2"/>
          </rPr>
          <t>Lucas Scheidler:</t>
        </r>
        <r>
          <rPr>
            <sz val="9"/>
            <color indexed="81"/>
            <rFont val="Tahoma"/>
            <family val="2"/>
          </rPr>
          <t xml:space="preserve">
average hours/ton for 7.5 to 20 ton unit</t>
        </r>
      </text>
    </comment>
    <comment ref="W274" authorId="0">
      <text>
        <r>
          <rPr>
            <b/>
            <sz val="9"/>
            <color indexed="81"/>
            <rFont val="Tahoma"/>
            <family val="2"/>
          </rPr>
          <t>Lucas Scheidler:</t>
        </r>
        <r>
          <rPr>
            <sz val="9"/>
            <color indexed="81"/>
            <rFont val="Tahoma"/>
            <family val="2"/>
          </rPr>
          <t xml:space="preserve">
Weighted average of all laborers. Does not include markup</t>
        </r>
      </text>
    </comment>
    <comment ref="X274" authorId="0">
      <text>
        <r>
          <rPr>
            <b/>
            <sz val="9"/>
            <color indexed="81"/>
            <rFont val="Tahoma"/>
            <family val="2"/>
          </rPr>
          <t>Lucas Scheidler:</t>
        </r>
        <r>
          <rPr>
            <sz val="9"/>
            <color indexed="81"/>
            <rFont val="Tahoma"/>
            <family val="2"/>
          </rPr>
          <t xml:space="preserve">
Does not include markup</t>
        </r>
      </text>
    </comment>
    <comment ref="Y274" authorId="0">
      <text>
        <r>
          <rPr>
            <b/>
            <sz val="9"/>
            <color indexed="81"/>
            <rFont val="Tahoma"/>
            <family val="2"/>
          </rPr>
          <t>Lucas Scheidler:</t>
        </r>
        <r>
          <rPr>
            <sz val="9"/>
            <color indexed="81"/>
            <rFont val="Tahoma"/>
            <family val="2"/>
          </rPr>
          <t xml:space="preserve">
EMCOR -misc electrical and plumbing, misc sheet metal - Does not include markup or tax</t>
        </r>
      </text>
    </comment>
    <comment ref="Z274" authorId="0">
      <text>
        <r>
          <rPr>
            <b/>
            <sz val="9"/>
            <color indexed="81"/>
            <rFont val="Tahoma"/>
            <family val="2"/>
          </rPr>
          <t>Lucas Scheidler:</t>
        </r>
        <r>
          <rPr>
            <sz val="9"/>
            <color indexed="81"/>
            <rFont val="Tahoma"/>
            <family val="2"/>
          </rPr>
          <t xml:space="preserve">
EMCOR - Crane - Does not include markup</t>
        </r>
      </text>
    </comment>
    <comment ref="AA274"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274" authorId="0">
      <text>
        <r>
          <rPr>
            <b/>
            <sz val="9"/>
            <color indexed="81"/>
            <rFont val="Tahoma"/>
            <family val="2"/>
          </rPr>
          <t>Lucas Scheidler:</t>
        </r>
        <r>
          <rPr>
            <sz val="9"/>
            <color indexed="81"/>
            <rFont val="Tahoma"/>
            <family val="2"/>
          </rPr>
          <t xml:space="preserve">
Weighted average of all laborers. Does not include markup</t>
        </r>
      </text>
    </comment>
    <comment ref="AD274" authorId="0">
      <text>
        <r>
          <rPr>
            <b/>
            <sz val="9"/>
            <color indexed="81"/>
            <rFont val="Tahoma"/>
            <family val="2"/>
          </rPr>
          <t>Lucas Scheidler:</t>
        </r>
        <r>
          <rPr>
            <sz val="9"/>
            <color indexed="81"/>
            <rFont val="Tahoma"/>
            <family val="2"/>
          </rPr>
          <t xml:space="preserve">
Does not include markup</t>
        </r>
      </text>
    </comment>
    <comment ref="AE274" authorId="0">
      <text>
        <r>
          <rPr>
            <b/>
            <sz val="9"/>
            <color indexed="81"/>
            <rFont val="Tahoma"/>
            <family val="2"/>
          </rPr>
          <t>Lucas Scheidler:</t>
        </r>
        <r>
          <rPr>
            <sz val="9"/>
            <color indexed="81"/>
            <rFont val="Tahoma"/>
            <family val="2"/>
          </rPr>
          <t xml:space="preserve">
EMCOR - small tools / etc- Does not include markup or tax</t>
        </r>
      </text>
    </comment>
    <comment ref="AF274" authorId="0">
      <text>
        <r>
          <rPr>
            <b/>
            <sz val="9"/>
            <color indexed="81"/>
            <rFont val="Tahoma"/>
            <family val="2"/>
          </rPr>
          <t>Lucas Scheidler:</t>
        </r>
        <r>
          <rPr>
            <sz val="9"/>
            <color indexed="81"/>
            <rFont val="Tahoma"/>
            <family val="2"/>
          </rPr>
          <t xml:space="preserve">
EMCOR - Rigging/crane,  - Does not include markup</t>
        </r>
      </text>
    </comment>
    <comment ref="AG274" authorId="0">
      <text>
        <r>
          <rPr>
            <b/>
            <sz val="9"/>
            <color indexed="81"/>
            <rFont val="Tahoma"/>
            <family val="2"/>
          </rPr>
          <t>Lucas Scheidler:</t>
        </r>
        <r>
          <rPr>
            <sz val="9"/>
            <color indexed="81"/>
            <rFont val="Tahoma"/>
            <family val="2"/>
          </rPr>
          <t xml:space="preserve">
EMCOR - Engineering/survey, project mgmt,warranty - Does not include markup
</t>
        </r>
      </text>
    </comment>
    <comment ref="S275" authorId="0">
      <text>
        <r>
          <rPr>
            <b/>
            <sz val="9"/>
            <color indexed="81"/>
            <rFont val="Tahoma"/>
            <family val="2"/>
          </rPr>
          <t>Lucas Scheidler:</t>
        </r>
        <r>
          <rPr>
            <sz val="9"/>
            <color indexed="81"/>
            <rFont val="Tahoma"/>
            <family val="2"/>
          </rPr>
          <t xml:space="preserve">
Crane rental  - based on 7.5 ton unit</t>
        </r>
      </text>
    </comment>
    <comment ref="W275" authorId="0">
      <text>
        <r>
          <rPr>
            <b/>
            <sz val="9"/>
            <color indexed="81"/>
            <rFont val="Tahoma"/>
            <family val="2"/>
          </rPr>
          <t>Lucas Scheidler:</t>
        </r>
        <r>
          <rPr>
            <sz val="9"/>
            <color indexed="81"/>
            <rFont val="Tahoma"/>
            <family val="2"/>
          </rPr>
          <t xml:space="preserve">
Weighted average of all laborers. Does not include markup</t>
        </r>
      </text>
    </comment>
    <comment ref="X275" authorId="0">
      <text>
        <r>
          <rPr>
            <b/>
            <sz val="9"/>
            <color indexed="81"/>
            <rFont val="Tahoma"/>
            <family val="2"/>
          </rPr>
          <t>Lucas Scheidler:</t>
        </r>
        <r>
          <rPr>
            <sz val="9"/>
            <color indexed="81"/>
            <rFont val="Tahoma"/>
            <family val="2"/>
          </rPr>
          <t xml:space="preserve">
Does not include markup</t>
        </r>
      </text>
    </comment>
    <comment ref="Y275" authorId="0">
      <text>
        <r>
          <rPr>
            <b/>
            <sz val="9"/>
            <color indexed="81"/>
            <rFont val="Tahoma"/>
            <family val="2"/>
          </rPr>
          <t>Lucas Scheidler:</t>
        </r>
        <r>
          <rPr>
            <sz val="9"/>
            <color indexed="81"/>
            <rFont val="Tahoma"/>
            <family val="2"/>
          </rPr>
          <t xml:space="preserve">
EMCOR -misc electrical and plumbing, misc sheet metal, curb - Does not include markup or tax</t>
        </r>
      </text>
    </comment>
    <comment ref="Z275" authorId="0">
      <text>
        <r>
          <rPr>
            <b/>
            <sz val="9"/>
            <color indexed="81"/>
            <rFont val="Tahoma"/>
            <family val="2"/>
          </rPr>
          <t>Lucas Scheidler:</t>
        </r>
        <r>
          <rPr>
            <sz val="9"/>
            <color indexed="81"/>
            <rFont val="Tahoma"/>
            <family val="2"/>
          </rPr>
          <t xml:space="preserve">
EMCOR - Crane - Does not include markup</t>
        </r>
      </text>
    </comment>
    <comment ref="AA275"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275" authorId="0">
      <text>
        <r>
          <rPr>
            <b/>
            <sz val="9"/>
            <color indexed="81"/>
            <rFont val="Tahoma"/>
            <family val="2"/>
          </rPr>
          <t>Lucas Scheidler:</t>
        </r>
        <r>
          <rPr>
            <sz val="9"/>
            <color indexed="81"/>
            <rFont val="Tahoma"/>
            <family val="2"/>
          </rPr>
          <t xml:space="preserve">
Weighted average of all laborers. Does not include markup</t>
        </r>
      </text>
    </comment>
    <comment ref="AD275" authorId="0">
      <text>
        <r>
          <rPr>
            <b/>
            <sz val="9"/>
            <color indexed="81"/>
            <rFont val="Tahoma"/>
            <family val="2"/>
          </rPr>
          <t>Lucas Scheidler:</t>
        </r>
        <r>
          <rPr>
            <sz val="9"/>
            <color indexed="81"/>
            <rFont val="Tahoma"/>
            <family val="2"/>
          </rPr>
          <t xml:space="preserve">
Does not include markup</t>
        </r>
      </text>
    </comment>
    <comment ref="AE275" authorId="0">
      <text>
        <r>
          <rPr>
            <b/>
            <sz val="9"/>
            <color indexed="81"/>
            <rFont val="Tahoma"/>
            <family val="2"/>
          </rPr>
          <t>Lucas Scheidler:</t>
        </r>
        <r>
          <rPr>
            <sz val="9"/>
            <color indexed="81"/>
            <rFont val="Tahoma"/>
            <family val="2"/>
          </rPr>
          <t xml:space="preserve">
EMCOR - small tools / etc- Does not include markup or tax</t>
        </r>
      </text>
    </comment>
    <comment ref="AF275" authorId="0">
      <text>
        <r>
          <rPr>
            <b/>
            <sz val="9"/>
            <color indexed="81"/>
            <rFont val="Tahoma"/>
            <family val="2"/>
          </rPr>
          <t>Lucas Scheidler:</t>
        </r>
        <r>
          <rPr>
            <sz val="9"/>
            <color indexed="81"/>
            <rFont val="Tahoma"/>
            <family val="2"/>
          </rPr>
          <t xml:space="preserve">
EMCOR - Rigging/crane,  - Does not include markup</t>
        </r>
      </text>
    </comment>
    <comment ref="AG275" authorId="0">
      <text>
        <r>
          <rPr>
            <b/>
            <sz val="9"/>
            <color indexed="81"/>
            <rFont val="Tahoma"/>
            <family val="2"/>
          </rPr>
          <t>Lucas Scheidler:</t>
        </r>
        <r>
          <rPr>
            <sz val="9"/>
            <color indexed="81"/>
            <rFont val="Tahoma"/>
            <family val="2"/>
          </rPr>
          <t xml:space="preserve">
EMCOR - Engineering/survey, project mgmt,warranty - Does not include markup
</t>
        </r>
      </text>
    </comment>
    <comment ref="J276" authorId="0">
      <text>
        <r>
          <rPr>
            <b/>
            <sz val="9"/>
            <color indexed="81"/>
            <rFont val="Tahoma"/>
            <family val="2"/>
          </rPr>
          <t>Lucas Scheidler:</t>
        </r>
        <r>
          <rPr>
            <sz val="9"/>
            <color indexed="81"/>
            <rFont val="Tahoma"/>
            <family val="2"/>
          </rPr>
          <t xml:space="preserve">
Crane rental  -
</t>
        </r>
      </text>
    </comment>
    <comment ref="S276" authorId="0">
      <text>
        <r>
          <rPr>
            <b/>
            <sz val="9"/>
            <color indexed="81"/>
            <rFont val="Tahoma"/>
            <family val="2"/>
          </rPr>
          <t>Lucas Scheidler:</t>
        </r>
        <r>
          <rPr>
            <sz val="9"/>
            <color indexed="81"/>
            <rFont val="Tahoma"/>
            <family val="2"/>
          </rPr>
          <t xml:space="preserve">
Crane rental  - based on 7.5 ton unit</t>
        </r>
      </text>
    </comment>
    <comment ref="U276" authorId="0">
      <text>
        <r>
          <rPr>
            <b/>
            <sz val="9"/>
            <color indexed="81"/>
            <rFont val="Tahoma"/>
            <family val="2"/>
          </rPr>
          <t>Lucas Scheidler:</t>
        </r>
        <r>
          <rPr>
            <sz val="9"/>
            <color indexed="81"/>
            <rFont val="Tahoma"/>
            <family val="2"/>
          </rPr>
          <t xml:space="preserve">
RSMeans item 236213. Item number 2374 provides additional estimates for units with heating option and multi-zone + curb - These are for large package dx - assume package HP labor hours and rates are similar</t>
        </r>
      </text>
    </comment>
    <comment ref="AP276" authorId="0">
      <text>
        <r>
          <rPr>
            <b/>
            <sz val="9"/>
            <color indexed="81"/>
            <rFont val="Tahoma"/>
            <family val="2"/>
          </rPr>
          <t>Lucas Scheidler:</t>
        </r>
        <r>
          <rPr>
            <sz val="9"/>
            <color indexed="81"/>
            <rFont val="Tahoma"/>
            <family val="2"/>
          </rPr>
          <t xml:space="preserve">
National Average - crew Q-5
</t>
        </r>
      </text>
    </comment>
    <comment ref="AP279" authorId="0">
      <text>
        <r>
          <rPr>
            <b/>
            <sz val="9"/>
            <color indexed="81"/>
            <rFont val="Tahoma"/>
            <family val="2"/>
          </rPr>
          <t>Lucas Scheidler:</t>
        </r>
        <r>
          <rPr>
            <sz val="9"/>
            <color indexed="81"/>
            <rFont val="Tahoma"/>
            <family val="2"/>
          </rPr>
          <t xml:space="preserve">
National Average - crew Q-6
</t>
        </r>
      </text>
    </comment>
    <comment ref="J281" authorId="0">
      <text>
        <r>
          <rPr>
            <b/>
            <sz val="9"/>
            <color indexed="81"/>
            <rFont val="Tahoma"/>
            <family val="2"/>
          </rPr>
          <t>Lucas Scheidler:</t>
        </r>
        <r>
          <rPr>
            <sz val="9"/>
            <color indexed="81"/>
            <rFont val="Tahoma"/>
            <family val="2"/>
          </rPr>
          <t xml:space="preserve">
Crane rental  - based on 200 ton unit</t>
        </r>
      </text>
    </comment>
    <comment ref="K281" authorId="0">
      <text>
        <r>
          <rPr>
            <b/>
            <sz val="9"/>
            <color indexed="81"/>
            <rFont val="Tahoma"/>
            <family val="2"/>
          </rPr>
          <t>Lucas Scheidler:</t>
        </r>
        <r>
          <rPr>
            <sz val="9"/>
            <color indexed="81"/>
            <rFont val="Tahoma"/>
            <family val="2"/>
          </rPr>
          <t xml:space="preserve">
average artificial bids</t>
        </r>
      </text>
    </comment>
    <comment ref="W281" authorId="0">
      <text>
        <r>
          <rPr>
            <b/>
            <sz val="9"/>
            <color indexed="81"/>
            <rFont val="Tahoma"/>
            <family val="2"/>
          </rPr>
          <t>Lucas Scheidler:</t>
        </r>
        <r>
          <rPr>
            <sz val="9"/>
            <color indexed="81"/>
            <rFont val="Tahoma"/>
            <family val="2"/>
          </rPr>
          <t xml:space="preserve">
Weighted average of all laborers. Does not include markup</t>
        </r>
      </text>
    </comment>
    <comment ref="X281" authorId="0">
      <text>
        <r>
          <rPr>
            <b/>
            <sz val="9"/>
            <color indexed="81"/>
            <rFont val="Tahoma"/>
            <family val="2"/>
          </rPr>
          <t>Lucas Scheidler:</t>
        </r>
        <r>
          <rPr>
            <sz val="9"/>
            <color indexed="81"/>
            <rFont val="Tahoma"/>
            <family val="2"/>
          </rPr>
          <t xml:space="preserve">
Does not include markup</t>
        </r>
      </text>
    </comment>
    <comment ref="Y281" authorId="0">
      <text>
        <r>
          <rPr>
            <b/>
            <sz val="9"/>
            <color indexed="81"/>
            <rFont val="Tahoma"/>
            <family val="2"/>
          </rPr>
          <t>Lucas Scheidler:</t>
        </r>
        <r>
          <rPr>
            <sz val="9"/>
            <color indexed="81"/>
            <rFont val="Tahoma"/>
            <family val="2"/>
          </rPr>
          <t xml:space="preserve">
EMCOR - piping and electrical and insulation - Does not include markup or tax</t>
        </r>
      </text>
    </comment>
    <comment ref="Z281" authorId="0">
      <text>
        <r>
          <rPr>
            <b/>
            <sz val="9"/>
            <color indexed="81"/>
            <rFont val="Tahoma"/>
            <family val="2"/>
          </rPr>
          <t>Lucas Scheidler:</t>
        </r>
        <r>
          <rPr>
            <sz val="9"/>
            <color indexed="81"/>
            <rFont val="Tahoma"/>
            <family val="2"/>
          </rPr>
          <t xml:space="preserve">
EMCOR -crane/Rigging/forklift </t>
        </r>
      </text>
    </comment>
    <comment ref="AA281"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281" authorId="0">
      <text>
        <r>
          <rPr>
            <b/>
            <sz val="9"/>
            <color indexed="81"/>
            <rFont val="Tahoma"/>
            <family val="2"/>
          </rPr>
          <t>Lucas Scheidler:</t>
        </r>
        <r>
          <rPr>
            <sz val="9"/>
            <color indexed="81"/>
            <rFont val="Tahoma"/>
            <family val="2"/>
          </rPr>
          <t xml:space="preserve">
Weighted average of all laborers. Does not include markup</t>
        </r>
      </text>
    </comment>
    <comment ref="AD281" authorId="0">
      <text>
        <r>
          <rPr>
            <b/>
            <sz val="9"/>
            <color indexed="81"/>
            <rFont val="Tahoma"/>
            <family val="2"/>
          </rPr>
          <t>Lucas Scheidler:</t>
        </r>
        <r>
          <rPr>
            <sz val="9"/>
            <color indexed="81"/>
            <rFont val="Tahoma"/>
            <family val="2"/>
          </rPr>
          <t xml:space="preserve">
Does not include markup</t>
        </r>
      </text>
    </comment>
    <comment ref="AE281" authorId="0">
      <text>
        <r>
          <rPr>
            <b/>
            <sz val="9"/>
            <color indexed="81"/>
            <rFont val="Tahoma"/>
            <family val="2"/>
          </rPr>
          <t>Lucas Scheidler:</t>
        </r>
        <r>
          <rPr>
            <sz val="9"/>
            <color indexed="81"/>
            <rFont val="Tahoma"/>
            <family val="2"/>
          </rPr>
          <t xml:space="preserve">
EMCOR - field material, small tools consumables and insulation - Does not include markup or tax</t>
        </r>
      </text>
    </comment>
    <comment ref="AF281" authorId="0">
      <text>
        <r>
          <rPr>
            <b/>
            <sz val="9"/>
            <color indexed="81"/>
            <rFont val="Tahoma"/>
            <family val="2"/>
          </rPr>
          <t>Lucas Scheidler:</t>
        </r>
        <r>
          <rPr>
            <sz val="9"/>
            <color indexed="81"/>
            <rFont val="Tahoma"/>
            <family val="2"/>
          </rPr>
          <t xml:space="preserve">
EMCOR -crane/Rigging  - Does not include markup</t>
        </r>
      </text>
    </comment>
    <comment ref="AG281"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J282" authorId="0">
      <text>
        <r>
          <rPr>
            <b/>
            <sz val="9"/>
            <color indexed="81"/>
            <rFont val="Tahoma"/>
            <family val="2"/>
          </rPr>
          <t>Lucas Scheidler:</t>
        </r>
        <r>
          <rPr>
            <sz val="9"/>
            <color indexed="81"/>
            <rFont val="Tahoma"/>
            <family val="2"/>
          </rPr>
          <t xml:space="preserve">
Crane rental  - based on 1000 ton unit</t>
        </r>
      </text>
    </comment>
    <comment ref="W282" authorId="0">
      <text>
        <r>
          <rPr>
            <b/>
            <sz val="9"/>
            <color indexed="81"/>
            <rFont val="Tahoma"/>
            <family val="2"/>
          </rPr>
          <t>Lucas Scheidler:</t>
        </r>
        <r>
          <rPr>
            <sz val="9"/>
            <color indexed="81"/>
            <rFont val="Tahoma"/>
            <family val="2"/>
          </rPr>
          <t xml:space="preserve">
Weighted average of all laborers. Does not include markup</t>
        </r>
      </text>
    </comment>
    <comment ref="X282" authorId="0">
      <text>
        <r>
          <rPr>
            <b/>
            <sz val="9"/>
            <color indexed="81"/>
            <rFont val="Tahoma"/>
            <family val="2"/>
          </rPr>
          <t>Lucas Scheidler:</t>
        </r>
        <r>
          <rPr>
            <sz val="9"/>
            <color indexed="81"/>
            <rFont val="Tahoma"/>
            <family val="2"/>
          </rPr>
          <t xml:space="preserve">
Does not include markup</t>
        </r>
      </text>
    </comment>
    <comment ref="Y282" authorId="0">
      <text>
        <r>
          <rPr>
            <b/>
            <sz val="9"/>
            <color indexed="81"/>
            <rFont val="Tahoma"/>
            <family val="2"/>
          </rPr>
          <t>Lucas Scheidler:</t>
        </r>
        <r>
          <rPr>
            <sz val="9"/>
            <color indexed="81"/>
            <rFont val="Tahoma"/>
            <family val="2"/>
          </rPr>
          <t xml:space="preserve">
EMCOR - piping and electrical - Does not include markup or tax</t>
        </r>
      </text>
    </comment>
    <comment ref="Z282" authorId="0">
      <text>
        <r>
          <rPr>
            <b/>
            <sz val="9"/>
            <color indexed="81"/>
            <rFont val="Tahoma"/>
            <family val="2"/>
          </rPr>
          <t>Lucas Scheidler:</t>
        </r>
        <r>
          <rPr>
            <sz val="9"/>
            <color indexed="81"/>
            <rFont val="Tahoma"/>
            <family val="2"/>
          </rPr>
          <t xml:space="preserve">
EMCOR -Rigging and insulation - Does not include markup</t>
        </r>
      </text>
    </comment>
    <comment ref="AA282"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282" authorId="0">
      <text>
        <r>
          <rPr>
            <b/>
            <sz val="9"/>
            <color indexed="81"/>
            <rFont val="Tahoma"/>
            <family val="2"/>
          </rPr>
          <t>Lucas Scheidler:</t>
        </r>
        <r>
          <rPr>
            <sz val="9"/>
            <color indexed="81"/>
            <rFont val="Tahoma"/>
            <family val="2"/>
          </rPr>
          <t xml:space="preserve">
Weighted average of all laborers. Does not include markup</t>
        </r>
      </text>
    </comment>
    <comment ref="AD282" authorId="0">
      <text>
        <r>
          <rPr>
            <b/>
            <sz val="9"/>
            <color indexed="81"/>
            <rFont val="Tahoma"/>
            <family val="2"/>
          </rPr>
          <t>Lucas Scheidler:</t>
        </r>
        <r>
          <rPr>
            <sz val="9"/>
            <color indexed="81"/>
            <rFont val="Tahoma"/>
            <family val="2"/>
          </rPr>
          <t xml:space="preserve">
Does not include markup</t>
        </r>
      </text>
    </comment>
    <comment ref="AE282" authorId="0">
      <text>
        <r>
          <rPr>
            <b/>
            <sz val="9"/>
            <color indexed="81"/>
            <rFont val="Tahoma"/>
            <family val="2"/>
          </rPr>
          <t>Lucas Scheidler:</t>
        </r>
        <r>
          <rPr>
            <sz val="9"/>
            <color indexed="81"/>
            <rFont val="Tahoma"/>
            <family val="2"/>
          </rPr>
          <t xml:space="preserve">
EMCOR - field material, small tools consumables and insulation - Does not include markup or tax</t>
        </r>
      </text>
    </comment>
    <comment ref="AF282" authorId="0">
      <text>
        <r>
          <rPr>
            <b/>
            <sz val="9"/>
            <color indexed="81"/>
            <rFont val="Tahoma"/>
            <family val="2"/>
          </rPr>
          <t>Lucas Scheidler:</t>
        </r>
        <r>
          <rPr>
            <sz val="9"/>
            <color indexed="81"/>
            <rFont val="Tahoma"/>
            <family val="2"/>
          </rPr>
          <t xml:space="preserve">
EMCOR -crane/Rigging  - Does not include markup</t>
        </r>
      </text>
    </comment>
    <comment ref="AG282"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J283" authorId="0">
      <text>
        <r>
          <rPr>
            <b/>
            <sz val="9"/>
            <color indexed="81"/>
            <rFont val="Tahoma"/>
            <family val="2"/>
          </rPr>
          <t>Lucas Scheidler:</t>
        </r>
        <r>
          <rPr>
            <sz val="9"/>
            <color indexed="81"/>
            <rFont val="Tahoma"/>
            <family val="2"/>
          </rPr>
          <t xml:space="preserve">
Crane rental  - based on 3000 ton unit</t>
        </r>
      </text>
    </comment>
    <comment ref="W283" authorId="0">
      <text>
        <r>
          <rPr>
            <b/>
            <sz val="9"/>
            <color indexed="81"/>
            <rFont val="Tahoma"/>
            <family val="2"/>
          </rPr>
          <t>Lucas Scheidler:</t>
        </r>
        <r>
          <rPr>
            <sz val="9"/>
            <color indexed="81"/>
            <rFont val="Tahoma"/>
            <family val="2"/>
          </rPr>
          <t xml:space="preserve">
Weighted average of all laborers. Does not include markup</t>
        </r>
      </text>
    </comment>
    <comment ref="X283" authorId="0">
      <text>
        <r>
          <rPr>
            <b/>
            <sz val="9"/>
            <color indexed="81"/>
            <rFont val="Tahoma"/>
            <family val="2"/>
          </rPr>
          <t>Lucas Scheidler:</t>
        </r>
        <r>
          <rPr>
            <sz val="9"/>
            <color indexed="81"/>
            <rFont val="Tahoma"/>
            <family val="2"/>
          </rPr>
          <t xml:space="preserve">
Does not include markup</t>
        </r>
      </text>
    </comment>
    <comment ref="Y283" authorId="0">
      <text>
        <r>
          <rPr>
            <b/>
            <sz val="9"/>
            <color indexed="81"/>
            <rFont val="Tahoma"/>
            <family val="2"/>
          </rPr>
          <t>Lucas Scheidler:</t>
        </r>
        <r>
          <rPr>
            <sz val="9"/>
            <color indexed="81"/>
            <rFont val="Tahoma"/>
            <family val="2"/>
          </rPr>
          <t xml:space="preserve">
EMCOR - piping and electrical - Does not include markup or tax</t>
        </r>
      </text>
    </comment>
    <comment ref="Z283" authorId="0">
      <text>
        <r>
          <rPr>
            <b/>
            <sz val="9"/>
            <color indexed="81"/>
            <rFont val="Tahoma"/>
            <family val="2"/>
          </rPr>
          <t>Lucas Scheidler:</t>
        </r>
        <r>
          <rPr>
            <sz val="9"/>
            <color indexed="81"/>
            <rFont val="Tahoma"/>
            <family val="2"/>
          </rPr>
          <t xml:space="preserve">
EMCOR -Rigging and insulation - Does not include markup</t>
        </r>
      </text>
    </comment>
    <comment ref="AA283"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283" authorId="0">
      <text>
        <r>
          <rPr>
            <b/>
            <sz val="9"/>
            <color indexed="81"/>
            <rFont val="Tahoma"/>
            <family val="2"/>
          </rPr>
          <t>Lucas Scheidler:</t>
        </r>
        <r>
          <rPr>
            <sz val="9"/>
            <color indexed="81"/>
            <rFont val="Tahoma"/>
            <family val="2"/>
          </rPr>
          <t xml:space="preserve">
Weighted average of all laborers. Does not include markup</t>
        </r>
      </text>
    </comment>
    <comment ref="AD283" authorId="0">
      <text>
        <r>
          <rPr>
            <b/>
            <sz val="9"/>
            <color indexed="81"/>
            <rFont val="Tahoma"/>
            <family val="2"/>
          </rPr>
          <t>Lucas Scheidler:</t>
        </r>
        <r>
          <rPr>
            <sz val="9"/>
            <color indexed="81"/>
            <rFont val="Tahoma"/>
            <family val="2"/>
          </rPr>
          <t xml:space="preserve">
Does not include markup</t>
        </r>
      </text>
    </comment>
    <comment ref="AE283" authorId="0">
      <text>
        <r>
          <rPr>
            <b/>
            <sz val="9"/>
            <color indexed="81"/>
            <rFont val="Tahoma"/>
            <family val="2"/>
          </rPr>
          <t>Lucas Scheidler:</t>
        </r>
        <r>
          <rPr>
            <sz val="9"/>
            <color indexed="81"/>
            <rFont val="Tahoma"/>
            <family val="2"/>
          </rPr>
          <t xml:space="preserve">
EMCOR - field material, small tools consumables and insulation - Does not include markup or tax</t>
        </r>
      </text>
    </comment>
    <comment ref="AF283" authorId="0">
      <text>
        <r>
          <rPr>
            <b/>
            <sz val="9"/>
            <color indexed="81"/>
            <rFont val="Tahoma"/>
            <family val="2"/>
          </rPr>
          <t>Lucas Scheidler:</t>
        </r>
        <r>
          <rPr>
            <sz val="9"/>
            <color indexed="81"/>
            <rFont val="Tahoma"/>
            <family val="2"/>
          </rPr>
          <t xml:space="preserve">
EMCOR -crane/Rigging  - Does not include markup</t>
        </r>
      </text>
    </comment>
    <comment ref="AG283"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J284" authorId="0">
      <text>
        <r>
          <rPr>
            <b/>
            <sz val="9"/>
            <color indexed="81"/>
            <rFont val="Tahoma"/>
            <family val="2"/>
          </rPr>
          <t>Lucas Scheidler:</t>
        </r>
        <r>
          <rPr>
            <sz val="9"/>
            <color indexed="81"/>
            <rFont val="Tahoma"/>
            <family val="2"/>
          </rPr>
          <t xml:space="preserve">
Crane rental  - based on 200 ton unit</t>
        </r>
      </text>
    </comment>
    <comment ref="W284" authorId="0">
      <text>
        <r>
          <rPr>
            <b/>
            <sz val="9"/>
            <color indexed="81"/>
            <rFont val="Tahoma"/>
            <family val="2"/>
          </rPr>
          <t>Lucas Scheidler:</t>
        </r>
        <r>
          <rPr>
            <sz val="9"/>
            <color indexed="81"/>
            <rFont val="Tahoma"/>
            <family val="2"/>
          </rPr>
          <t xml:space="preserve">
Weighted average of all laborers. Does not include markup</t>
        </r>
      </text>
    </comment>
    <comment ref="X284" authorId="0">
      <text>
        <r>
          <rPr>
            <b/>
            <sz val="9"/>
            <color indexed="81"/>
            <rFont val="Tahoma"/>
            <family val="2"/>
          </rPr>
          <t>Lucas Scheidler:</t>
        </r>
        <r>
          <rPr>
            <sz val="9"/>
            <color indexed="81"/>
            <rFont val="Tahoma"/>
            <family val="2"/>
          </rPr>
          <t xml:space="preserve">
Does not include markup</t>
        </r>
      </text>
    </comment>
    <comment ref="Y284" authorId="0">
      <text>
        <r>
          <rPr>
            <b/>
            <sz val="9"/>
            <color indexed="81"/>
            <rFont val="Tahoma"/>
            <family val="2"/>
          </rPr>
          <t>Lucas Scheidler:</t>
        </r>
        <r>
          <rPr>
            <sz val="9"/>
            <color indexed="81"/>
            <rFont val="Tahoma"/>
            <family val="2"/>
          </rPr>
          <t xml:space="preserve">
EMCOR - piping and electrical - Does not include markup or tax</t>
        </r>
      </text>
    </comment>
    <comment ref="Z284" authorId="0">
      <text>
        <r>
          <rPr>
            <b/>
            <sz val="9"/>
            <color indexed="81"/>
            <rFont val="Tahoma"/>
            <family val="2"/>
          </rPr>
          <t>Lucas Scheidler:</t>
        </r>
        <r>
          <rPr>
            <sz val="9"/>
            <color indexed="81"/>
            <rFont val="Tahoma"/>
            <family val="2"/>
          </rPr>
          <t xml:space="preserve">
EMCOR -Rigging and insulation - Does not include markup</t>
        </r>
      </text>
    </comment>
    <comment ref="AA284"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284" authorId="0">
      <text>
        <r>
          <rPr>
            <b/>
            <sz val="9"/>
            <color indexed="81"/>
            <rFont val="Tahoma"/>
            <family val="2"/>
          </rPr>
          <t>Lucas Scheidler:</t>
        </r>
        <r>
          <rPr>
            <sz val="9"/>
            <color indexed="81"/>
            <rFont val="Tahoma"/>
            <family val="2"/>
          </rPr>
          <t xml:space="preserve">
Weighted average of all laborers. Does not include markup</t>
        </r>
      </text>
    </comment>
    <comment ref="AD284" authorId="0">
      <text>
        <r>
          <rPr>
            <b/>
            <sz val="9"/>
            <color indexed="81"/>
            <rFont val="Tahoma"/>
            <family val="2"/>
          </rPr>
          <t>Lucas Scheidler:</t>
        </r>
        <r>
          <rPr>
            <sz val="9"/>
            <color indexed="81"/>
            <rFont val="Tahoma"/>
            <family val="2"/>
          </rPr>
          <t xml:space="preserve">
Does not include markup</t>
        </r>
      </text>
    </comment>
    <comment ref="AE284" authorId="0">
      <text>
        <r>
          <rPr>
            <b/>
            <sz val="9"/>
            <color indexed="81"/>
            <rFont val="Tahoma"/>
            <family val="2"/>
          </rPr>
          <t>Lucas Scheidler:</t>
        </r>
        <r>
          <rPr>
            <sz val="9"/>
            <color indexed="81"/>
            <rFont val="Tahoma"/>
            <family val="2"/>
          </rPr>
          <t xml:space="preserve">
EMCOR - field material, small tools consumables and insulation - Does not include markup or tax</t>
        </r>
      </text>
    </comment>
    <comment ref="AF284" authorId="0">
      <text>
        <r>
          <rPr>
            <b/>
            <sz val="9"/>
            <color indexed="81"/>
            <rFont val="Tahoma"/>
            <family val="2"/>
          </rPr>
          <t>Lucas Scheidler:</t>
        </r>
        <r>
          <rPr>
            <sz val="9"/>
            <color indexed="81"/>
            <rFont val="Tahoma"/>
            <family val="2"/>
          </rPr>
          <t xml:space="preserve">
EMCOR -crane/Rigging  - Does not include markup</t>
        </r>
      </text>
    </comment>
    <comment ref="AG284"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J285" authorId="0">
      <text>
        <r>
          <rPr>
            <b/>
            <sz val="9"/>
            <color indexed="81"/>
            <rFont val="Tahoma"/>
            <family val="2"/>
          </rPr>
          <t>Lucas Scheidler:</t>
        </r>
        <r>
          <rPr>
            <sz val="9"/>
            <color indexed="81"/>
            <rFont val="Tahoma"/>
            <family val="2"/>
          </rPr>
          <t xml:space="preserve">
Crane rental  - based on 1000 ton unit</t>
        </r>
      </text>
    </comment>
    <comment ref="W285" authorId="0">
      <text>
        <r>
          <rPr>
            <b/>
            <sz val="9"/>
            <color indexed="81"/>
            <rFont val="Tahoma"/>
            <family val="2"/>
          </rPr>
          <t>Lucas Scheidler:</t>
        </r>
        <r>
          <rPr>
            <sz val="9"/>
            <color indexed="81"/>
            <rFont val="Tahoma"/>
            <family val="2"/>
          </rPr>
          <t xml:space="preserve">
Weighted average of all laborers. Does not include markup</t>
        </r>
      </text>
    </comment>
    <comment ref="X285" authorId="0">
      <text>
        <r>
          <rPr>
            <b/>
            <sz val="9"/>
            <color indexed="81"/>
            <rFont val="Tahoma"/>
            <family val="2"/>
          </rPr>
          <t>Lucas Scheidler:</t>
        </r>
        <r>
          <rPr>
            <sz val="9"/>
            <color indexed="81"/>
            <rFont val="Tahoma"/>
            <family val="2"/>
          </rPr>
          <t xml:space="preserve">
Does not include markup</t>
        </r>
      </text>
    </comment>
    <comment ref="Y285" authorId="0">
      <text>
        <r>
          <rPr>
            <b/>
            <sz val="9"/>
            <color indexed="81"/>
            <rFont val="Tahoma"/>
            <family val="2"/>
          </rPr>
          <t>Lucas Scheidler:</t>
        </r>
        <r>
          <rPr>
            <sz val="9"/>
            <color indexed="81"/>
            <rFont val="Tahoma"/>
            <family val="2"/>
          </rPr>
          <t xml:space="preserve">
EMCOR - piping and electrical - Does not include markup or tax</t>
        </r>
      </text>
    </comment>
    <comment ref="Z285" authorId="0">
      <text>
        <r>
          <rPr>
            <b/>
            <sz val="9"/>
            <color indexed="81"/>
            <rFont val="Tahoma"/>
            <family val="2"/>
          </rPr>
          <t>Lucas Scheidler:</t>
        </r>
        <r>
          <rPr>
            <sz val="9"/>
            <color indexed="81"/>
            <rFont val="Tahoma"/>
            <family val="2"/>
          </rPr>
          <t xml:space="preserve">
EMCOR -Rigging and insulation - Does not include markup</t>
        </r>
      </text>
    </comment>
    <comment ref="AA285"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285" authorId="0">
      <text>
        <r>
          <rPr>
            <b/>
            <sz val="9"/>
            <color indexed="81"/>
            <rFont val="Tahoma"/>
            <family val="2"/>
          </rPr>
          <t>Lucas Scheidler:</t>
        </r>
        <r>
          <rPr>
            <sz val="9"/>
            <color indexed="81"/>
            <rFont val="Tahoma"/>
            <family val="2"/>
          </rPr>
          <t xml:space="preserve">
Weighted average of all laborers. Does not include markup</t>
        </r>
      </text>
    </comment>
    <comment ref="AD285" authorId="0">
      <text>
        <r>
          <rPr>
            <b/>
            <sz val="9"/>
            <color indexed="81"/>
            <rFont val="Tahoma"/>
            <family val="2"/>
          </rPr>
          <t>Lucas Scheidler:</t>
        </r>
        <r>
          <rPr>
            <sz val="9"/>
            <color indexed="81"/>
            <rFont val="Tahoma"/>
            <family val="2"/>
          </rPr>
          <t xml:space="preserve">
Does not include markup</t>
        </r>
      </text>
    </comment>
    <comment ref="AE285" authorId="0">
      <text>
        <r>
          <rPr>
            <b/>
            <sz val="9"/>
            <color indexed="81"/>
            <rFont val="Tahoma"/>
            <family val="2"/>
          </rPr>
          <t>Lucas Scheidler:</t>
        </r>
        <r>
          <rPr>
            <sz val="9"/>
            <color indexed="81"/>
            <rFont val="Tahoma"/>
            <family val="2"/>
          </rPr>
          <t xml:space="preserve">
EMCOR - field material, small tools consumables and insulation - Does not include markup or tax</t>
        </r>
      </text>
    </comment>
    <comment ref="AF285" authorId="0">
      <text>
        <r>
          <rPr>
            <b/>
            <sz val="9"/>
            <color indexed="81"/>
            <rFont val="Tahoma"/>
            <family val="2"/>
          </rPr>
          <t>Lucas Scheidler:</t>
        </r>
        <r>
          <rPr>
            <sz val="9"/>
            <color indexed="81"/>
            <rFont val="Tahoma"/>
            <family val="2"/>
          </rPr>
          <t xml:space="preserve">
EMCOR -crane/Rigging  - Does not include markup</t>
        </r>
      </text>
    </comment>
    <comment ref="AG285"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J286" authorId="0">
      <text>
        <r>
          <rPr>
            <b/>
            <sz val="9"/>
            <color indexed="81"/>
            <rFont val="Tahoma"/>
            <family val="2"/>
          </rPr>
          <t>Lucas Scheidler:</t>
        </r>
        <r>
          <rPr>
            <sz val="9"/>
            <color indexed="81"/>
            <rFont val="Tahoma"/>
            <family val="2"/>
          </rPr>
          <t xml:space="preserve">
Crane rental  - based on 3000 ton unit</t>
        </r>
      </text>
    </comment>
    <comment ref="W286" authorId="0">
      <text>
        <r>
          <rPr>
            <b/>
            <sz val="9"/>
            <color indexed="81"/>
            <rFont val="Tahoma"/>
            <family val="2"/>
          </rPr>
          <t>Lucas Scheidler:</t>
        </r>
        <r>
          <rPr>
            <sz val="9"/>
            <color indexed="81"/>
            <rFont val="Tahoma"/>
            <family val="2"/>
          </rPr>
          <t xml:space="preserve">
Weighted average of all laborers. Does not include markup</t>
        </r>
      </text>
    </comment>
    <comment ref="X286" authorId="0">
      <text>
        <r>
          <rPr>
            <b/>
            <sz val="9"/>
            <color indexed="81"/>
            <rFont val="Tahoma"/>
            <family val="2"/>
          </rPr>
          <t>Lucas Scheidler:</t>
        </r>
        <r>
          <rPr>
            <sz val="9"/>
            <color indexed="81"/>
            <rFont val="Tahoma"/>
            <family val="2"/>
          </rPr>
          <t xml:space="preserve">
Does not include markup</t>
        </r>
      </text>
    </comment>
    <comment ref="Y286" authorId="0">
      <text>
        <r>
          <rPr>
            <b/>
            <sz val="9"/>
            <color indexed="81"/>
            <rFont val="Tahoma"/>
            <family val="2"/>
          </rPr>
          <t>Lucas Scheidler:</t>
        </r>
        <r>
          <rPr>
            <sz val="9"/>
            <color indexed="81"/>
            <rFont val="Tahoma"/>
            <family val="2"/>
          </rPr>
          <t xml:space="preserve">
EMCOR - piping and electrical - Does not include markup or tax</t>
        </r>
      </text>
    </comment>
    <comment ref="Z286" authorId="0">
      <text>
        <r>
          <rPr>
            <b/>
            <sz val="9"/>
            <color indexed="81"/>
            <rFont val="Tahoma"/>
            <family val="2"/>
          </rPr>
          <t>Lucas Scheidler:</t>
        </r>
        <r>
          <rPr>
            <sz val="9"/>
            <color indexed="81"/>
            <rFont val="Tahoma"/>
            <family val="2"/>
          </rPr>
          <t xml:space="preserve">
EMCOR -Rigging and insulation - Does not include markup</t>
        </r>
      </text>
    </comment>
    <comment ref="AA286"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286" authorId="0">
      <text>
        <r>
          <rPr>
            <b/>
            <sz val="9"/>
            <color indexed="81"/>
            <rFont val="Tahoma"/>
            <family val="2"/>
          </rPr>
          <t>Lucas Scheidler:</t>
        </r>
        <r>
          <rPr>
            <sz val="9"/>
            <color indexed="81"/>
            <rFont val="Tahoma"/>
            <family val="2"/>
          </rPr>
          <t xml:space="preserve">
Weighted average of all laborers. Does not include markup</t>
        </r>
      </text>
    </comment>
    <comment ref="AD286" authorId="0">
      <text>
        <r>
          <rPr>
            <b/>
            <sz val="9"/>
            <color indexed="81"/>
            <rFont val="Tahoma"/>
            <family val="2"/>
          </rPr>
          <t>Lucas Scheidler:</t>
        </r>
        <r>
          <rPr>
            <sz val="9"/>
            <color indexed="81"/>
            <rFont val="Tahoma"/>
            <family val="2"/>
          </rPr>
          <t xml:space="preserve">
Does not include markup</t>
        </r>
      </text>
    </comment>
    <comment ref="AE286" authorId="0">
      <text>
        <r>
          <rPr>
            <b/>
            <sz val="9"/>
            <color indexed="81"/>
            <rFont val="Tahoma"/>
            <family val="2"/>
          </rPr>
          <t>Lucas Scheidler:</t>
        </r>
        <r>
          <rPr>
            <sz val="9"/>
            <color indexed="81"/>
            <rFont val="Tahoma"/>
            <family val="2"/>
          </rPr>
          <t xml:space="preserve">
EMCOR - field material, small tools consumables and insulation - Does not include markup or tax</t>
        </r>
      </text>
    </comment>
    <comment ref="AF286" authorId="0">
      <text>
        <r>
          <rPr>
            <b/>
            <sz val="9"/>
            <color indexed="81"/>
            <rFont val="Tahoma"/>
            <family val="2"/>
          </rPr>
          <t>Lucas Scheidler:</t>
        </r>
        <r>
          <rPr>
            <sz val="9"/>
            <color indexed="81"/>
            <rFont val="Tahoma"/>
            <family val="2"/>
          </rPr>
          <t xml:space="preserve">
EMCOR -crane/Rigging  - Does not include markup</t>
        </r>
      </text>
    </comment>
    <comment ref="AG286"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J287" authorId="0">
      <text>
        <r>
          <rPr>
            <b/>
            <sz val="9"/>
            <color indexed="81"/>
            <rFont val="Tahoma"/>
            <family val="2"/>
          </rPr>
          <t>Lucas Scheidler:</t>
        </r>
        <r>
          <rPr>
            <sz val="9"/>
            <color indexed="81"/>
            <rFont val="Tahoma"/>
            <family val="2"/>
          </rPr>
          <t xml:space="preserve">
Crane rental  - based on 200 ton unit</t>
        </r>
      </text>
    </comment>
    <comment ref="W287" authorId="0">
      <text>
        <r>
          <rPr>
            <b/>
            <sz val="9"/>
            <color indexed="81"/>
            <rFont val="Tahoma"/>
            <family val="2"/>
          </rPr>
          <t>Lucas Scheidler:</t>
        </r>
        <r>
          <rPr>
            <sz val="9"/>
            <color indexed="81"/>
            <rFont val="Tahoma"/>
            <family val="2"/>
          </rPr>
          <t xml:space="preserve">
Weighted average of all laborers. Does not include markup</t>
        </r>
      </text>
    </comment>
    <comment ref="X287" authorId="0">
      <text>
        <r>
          <rPr>
            <b/>
            <sz val="9"/>
            <color indexed="81"/>
            <rFont val="Tahoma"/>
            <family val="2"/>
          </rPr>
          <t>Lucas Scheidler:</t>
        </r>
        <r>
          <rPr>
            <sz val="9"/>
            <color indexed="81"/>
            <rFont val="Tahoma"/>
            <family val="2"/>
          </rPr>
          <t xml:space="preserve">
Does not include markup</t>
        </r>
      </text>
    </comment>
    <comment ref="Y287" authorId="0">
      <text>
        <r>
          <rPr>
            <b/>
            <sz val="9"/>
            <color indexed="81"/>
            <rFont val="Tahoma"/>
            <family val="2"/>
          </rPr>
          <t>Lucas Scheidler:</t>
        </r>
        <r>
          <rPr>
            <sz val="9"/>
            <color indexed="81"/>
            <rFont val="Tahoma"/>
            <family val="2"/>
          </rPr>
          <t xml:space="preserve">
EMCOR - piping and electrical - Does not include markup or tax</t>
        </r>
      </text>
    </comment>
    <comment ref="Z287" authorId="0">
      <text>
        <r>
          <rPr>
            <b/>
            <sz val="9"/>
            <color indexed="81"/>
            <rFont val="Tahoma"/>
            <family val="2"/>
          </rPr>
          <t>Lucas Scheidler:</t>
        </r>
        <r>
          <rPr>
            <sz val="9"/>
            <color indexed="81"/>
            <rFont val="Tahoma"/>
            <family val="2"/>
          </rPr>
          <t xml:space="preserve">
EMCOR -Rigging and insulation - Does not include markup</t>
        </r>
      </text>
    </comment>
    <comment ref="AA287"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287" authorId="0">
      <text>
        <r>
          <rPr>
            <b/>
            <sz val="9"/>
            <color indexed="81"/>
            <rFont val="Tahoma"/>
            <family val="2"/>
          </rPr>
          <t>Lucas Scheidler:</t>
        </r>
        <r>
          <rPr>
            <sz val="9"/>
            <color indexed="81"/>
            <rFont val="Tahoma"/>
            <family val="2"/>
          </rPr>
          <t xml:space="preserve">
Weighted average of all laborers. Does not include markup</t>
        </r>
      </text>
    </comment>
    <comment ref="AD287" authorId="0">
      <text>
        <r>
          <rPr>
            <b/>
            <sz val="9"/>
            <color indexed="81"/>
            <rFont val="Tahoma"/>
            <family val="2"/>
          </rPr>
          <t>Lucas Scheidler:</t>
        </r>
        <r>
          <rPr>
            <sz val="9"/>
            <color indexed="81"/>
            <rFont val="Tahoma"/>
            <family val="2"/>
          </rPr>
          <t xml:space="preserve">
Does not include markup</t>
        </r>
      </text>
    </comment>
    <comment ref="AE287" authorId="0">
      <text>
        <r>
          <rPr>
            <b/>
            <sz val="9"/>
            <color indexed="81"/>
            <rFont val="Tahoma"/>
            <family val="2"/>
          </rPr>
          <t>Lucas Scheidler:</t>
        </r>
        <r>
          <rPr>
            <sz val="9"/>
            <color indexed="81"/>
            <rFont val="Tahoma"/>
            <family val="2"/>
          </rPr>
          <t xml:space="preserve">
EMCOR - field material, small tools consumables and insulation - Does not include markup or tax</t>
        </r>
      </text>
    </comment>
    <comment ref="AF287" authorId="0">
      <text>
        <r>
          <rPr>
            <b/>
            <sz val="9"/>
            <color indexed="81"/>
            <rFont val="Tahoma"/>
            <family val="2"/>
          </rPr>
          <t>Lucas Scheidler:</t>
        </r>
        <r>
          <rPr>
            <sz val="9"/>
            <color indexed="81"/>
            <rFont val="Tahoma"/>
            <family val="2"/>
          </rPr>
          <t xml:space="preserve">
EMCOR -crane/Rigging  - Does not include markup</t>
        </r>
      </text>
    </comment>
    <comment ref="AG287"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J288" authorId="0">
      <text>
        <r>
          <rPr>
            <b/>
            <sz val="9"/>
            <color indexed="81"/>
            <rFont val="Tahoma"/>
            <family val="2"/>
          </rPr>
          <t>Lucas Scheidler:</t>
        </r>
        <r>
          <rPr>
            <sz val="9"/>
            <color indexed="81"/>
            <rFont val="Tahoma"/>
            <family val="2"/>
          </rPr>
          <t xml:space="preserve">
Crane rental  - based on 1000 ton unit</t>
        </r>
      </text>
    </comment>
    <comment ref="W288" authorId="0">
      <text>
        <r>
          <rPr>
            <b/>
            <sz val="9"/>
            <color indexed="81"/>
            <rFont val="Tahoma"/>
            <family val="2"/>
          </rPr>
          <t>Lucas Scheidler:</t>
        </r>
        <r>
          <rPr>
            <sz val="9"/>
            <color indexed="81"/>
            <rFont val="Tahoma"/>
            <family val="2"/>
          </rPr>
          <t xml:space="preserve">
Weighted average of all laborers. Does not include markup</t>
        </r>
      </text>
    </comment>
    <comment ref="X288" authorId="0">
      <text>
        <r>
          <rPr>
            <b/>
            <sz val="9"/>
            <color indexed="81"/>
            <rFont val="Tahoma"/>
            <family val="2"/>
          </rPr>
          <t>Lucas Scheidler:</t>
        </r>
        <r>
          <rPr>
            <sz val="9"/>
            <color indexed="81"/>
            <rFont val="Tahoma"/>
            <family val="2"/>
          </rPr>
          <t xml:space="preserve">
Does not include markup</t>
        </r>
      </text>
    </comment>
    <comment ref="Y288" authorId="0">
      <text>
        <r>
          <rPr>
            <b/>
            <sz val="9"/>
            <color indexed="81"/>
            <rFont val="Tahoma"/>
            <family val="2"/>
          </rPr>
          <t>Lucas Scheidler:</t>
        </r>
        <r>
          <rPr>
            <sz val="9"/>
            <color indexed="81"/>
            <rFont val="Tahoma"/>
            <family val="2"/>
          </rPr>
          <t xml:space="preserve">
EMCOR - piping and electrical - Does not include markup or tax</t>
        </r>
      </text>
    </comment>
    <comment ref="Z288" authorId="0">
      <text>
        <r>
          <rPr>
            <b/>
            <sz val="9"/>
            <color indexed="81"/>
            <rFont val="Tahoma"/>
            <family val="2"/>
          </rPr>
          <t>Lucas Scheidler:</t>
        </r>
        <r>
          <rPr>
            <sz val="9"/>
            <color indexed="81"/>
            <rFont val="Tahoma"/>
            <family val="2"/>
          </rPr>
          <t xml:space="preserve">
EMCOR -Rigging and insulation - Does not include markup</t>
        </r>
      </text>
    </comment>
    <comment ref="AA288"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288" authorId="0">
      <text>
        <r>
          <rPr>
            <b/>
            <sz val="9"/>
            <color indexed="81"/>
            <rFont val="Tahoma"/>
            <family val="2"/>
          </rPr>
          <t>Lucas Scheidler:</t>
        </r>
        <r>
          <rPr>
            <sz val="9"/>
            <color indexed="81"/>
            <rFont val="Tahoma"/>
            <family val="2"/>
          </rPr>
          <t xml:space="preserve">
Weighted average of all laborers. Does not include markup</t>
        </r>
      </text>
    </comment>
    <comment ref="AD288" authorId="0">
      <text>
        <r>
          <rPr>
            <b/>
            <sz val="9"/>
            <color indexed="81"/>
            <rFont val="Tahoma"/>
            <family val="2"/>
          </rPr>
          <t>Lucas Scheidler:</t>
        </r>
        <r>
          <rPr>
            <sz val="9"/>
            <color indexed="81"/>
            <rFont val="Tahoma"/>
            <family val="2"/>
          </rPr>
          <t xml:space="preserve">
Does not include markup</t>
        </r>
      </text>
    </comment>
    <comment ref="AE288" authorId="0">
      <text>
        <r>
          <rPr>
            <b/>
            <sz val="9"/>
            <color indexed="81"/>
            <rFont val="Tahoma"/>
            <family val="2"/>
          </rPr>
          <t>Lucas Scheidler:</t>
        </r>
        <r>
          <rPr>
            <sz val="9"/>
            <color indexed="81"/>
            <rFont val="Tahoma"/>
            <family val="2"/>
          </rPr>
          <t xml:space="preserve">
EMCOR - field material, small tools consumables and insulation - Does not include markup or tax</t>
        </r>
      </text>
    </comment>
    <comment ref="AF288" authorId="0">
      <text>
        <r>
          <rPr>
            <b/>
            <sz val="9"/>
            <color indexed="81"/>
            <rFont val="Tahoma"/>
            <family val="2"/>
          </rPr>
          <t>Lucas Scheidler:</t>
        </r>
        <r>
          <rPr>
            <sz val="9"/>
            <color indexed="81"/>
            <rFont val="Tahoma"/>
            <family val="2"/>
          </rPr>
          <t xml:space="preserve">
EMCOR -crane/Rigging  - Does not include markup</t>
        </r>
      </text>
    </comment>
    <comment ref="AG288"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J289" authorId="0">
      <text>
        <r>
          <rPr>
            <b/>
            <sz val="9"/>
            <color indexed="81"/>
            <rFont val="Tahoma"/>
            <family val="2"/>
          </rPr>
          <t>Lucas Scheidler:</t>
        </r>
        <r>
          <rPr>
            <sz val="9"/>
            <color indexed="81"/>
            <rFont val="Tahoma"/>
            <family val="2"/>
          </rPr>
          <t xml:space="preserve">
Crane rental  - based on 3000 ton unit</t>
        </r>
      </text>
    </comment>
    <comment ref="W289" authorId="0">
      <text>
        <r>
          <rPr>
            <b/>
            <sz val="9"/>
            <color indexed="81"/>
            <rFont val="Tahoma"/>
            <family val="2"/>
          </rPr>
          <t>Lucas Scheidler:</t>
        </r>
        <r>
          <rPr>
            <sz val="9"/>
            <color indexed="81"/>
            <rFont val="Tahoma"/>
            <family val="2"/>
          </rPr>
          <t xml:space="preserve">
Weighted average of all laborers. Does not include markup</t>
        </r>
      </text>
    </comment>
    <comment ref="X289" authorId="0">
      <text>
        <r>
          <rPr>
            <b/>
            <sz val="9"/>
            <color indexed="81"/>
            <rFont val="Tahoma"/>
            <family val="2"/>
          </rPr>
          <t>Lucas Scheidler:</t>
        </r>
        <r>
          <rPr>
            <sz val="9"/>
            <color indexed="81"/>
            <rFont val="Tahoma"/>
            <family val="2"/>
          </rPr>
          <t xml:space="preserve">
Does not include markup</t>
        </r>
      </text>
    </comment>
    <comment ref="Y289" authorId="0">
      <text>
        <r>
          <rPr>
            <b/>
            <sz val="9"/>
            <color indexed="81"/>
            <rFont val="Tahoma"/>
            <family val="2"/>
          </rPr>
          <t>Lucas Scheidler:</t>
        </r>
        <r>
          <rPr>
            <sz val="9"/>
            <color indexed="81"/>
            <rFont val="Tahoma"/>
            <family val="2"/>
          </rPr>
          <t xml:space="preserve">
EMCOR - piping and electrical - Does not include markup or tax</t>
        </r>
      </text>
    </comment>
    <comment ref="Z289" authorId="0">
      <text>
        <r>
          <rPr>
            <b/>
            <sz val="9"/>
            <color indexed="81"/>
            <rFont val="Tahoma"/>
            <family val="2"/>
          </rPr>
          <t>Lucas Scheidler:</t>
        </r>
        <r>
          <rPr>
            <sz val="9"/>
            <color indexed="81"/>
            <rFont val="Tahoma"/>
            <family val="2"/>
          </rPr>
          <t xml:space="preserve">
EMCOR -Rigging and insulation - Does not include markup</t>
        </r>
      </text>
    </comment>
    <comment ref="AA289"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289" authorId="0">
      <text>
        <r>
          <rPr>
            <b/>
            <sz val="9"/>
            <color indexed="81"/>
            <rFont val="Tahoma"/>
            <family val="2"/>
          </rPr>
          <t>Lucas Scheidler:</t>
        </r>
        <r>
          <rPr>
            <sz val="9"/>
            <color indexed="81"/>
            <rFont val="Tahoma"/>
            <family val="2"/>
          </rPr>
          <t xml:space="preserve">
Weighted average of all laborers. Does not include markup</t>
        </r>
      </text>
    </comment>
    <comment ref="AD289" authorId="0">
      <text>
        <r>
          <rPr>
            <b/>
            <sz val="9"/>
            <color indexed="81"/>
            <rFont val="Tahoma"/>
            <family val="2"/>
          </rPr>
          <t>Lucas Scheidler:</t>
        </r>
        <r>
          <rPr>
            <sz val="9"/>
            <color indexed="81"/>
            <rFont val="Tahoma"/>
            <family val="2"/>
          </rPr>
          <t xml:space="preserve">
Does not include markup</t>
        </r>
      </text>
    </comment>
    <comment ref="AE289" authorId="0">
      <text>
        <r>
          <rPr>
            <b/>
            <sz val="9"/>
            <color indexed="81"/>
            <rFont val="Tahoma"/>
            <family val="2"/>
          </rPr>
          <t>Lucas Scheidler:</t>
        </r>
        <r>
          <rPr>
            <sz val="9"/>
            <color indexed="81"/>
            <rFont val="Tahoma"/>
            <family val="2"/>
          </rPr>
          <t xml:space="preserve">
EMCOR - field material, small tools consumables and insulation - Does not include markup or tax</t>
        </r>
      </text>
    </comment>
    <comment ref="AF289" authorId="0">
      <text>
        <r>
          <rPr>
            <b/>
            <sz val="9"/>
            <color indexed="81"/>
            <rFont val="Tahoma"/>
            <family val="2"/>
          </rPr>
          <t>Lucas Scheidler:</t>
        </r>
        <r>
          <rPr>
            <sz val="9"/>
            <color indexed="81"/>
            <rFont val="Tahoma"/>
            <family val="2"/>
          </rPr>
          <t xml:space="preserve">
EMCOR -crane/Rigging  - Does not include markup</t>
        </r>
      </text>
    </comment>
    <comment ref="AG289"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U290" authorId="0">
      <text>
        <r>
          <rPr>
            <b/>
            <sz val="9"/>
            <color indexed="81"/>
            <rFont val="Tahoma"/>
            <family val="2"/>
          </rPr>
          <t>Lucas Scheidler:</t>
        </r>
        <r>
          <rPr>
            <sz val="9"/>
            <color indexed="81"/>
            <rFont val="Tahoma"/>
            <family val="2"/>
          </rPr>
          <t xml:space="preserve">
RSMeans item 235223</t>
        </r>
      </text>
    </comment>
    <comment ref="AP290" authorId="0">
      <text>
        <r>
          <rPr>
            <b/>
            <sz val="9"/>
            <color indexed="81"/>
            <rFont val="Tahoma"/>
            <family val="2"/>
          </rPr>
          <t>Lucas Scheidler:</t>
        </r>
        <r>
          <rPr>
            <sz val="9"/>
            <color indexed="81"/>
            <rFont val="Tahoma"/>
            <family val="2"/>
          </rPr>
          <t xml:space="preserve">
National average crew Q-7</t>
        </r>
      </text>
    </comment>
    <comment ref="J303" authorId="0">
      <text>
        <r>
          <rPr>
            <b/>
            <sz val="9"/>
            <color indexed="81"/>
            <rFont val="Tahoma"/>
            <family val="2"/>
          </rPr>
          <t>Lucas Scheidler:</t>
        </r>
        <r>
          <rPr>
            <sz val="9"/>
            <color indexed="81"/>
            <rFont val="Tahoma"/>
            <family val="2"/>
          </rPr>
          <t xml:space="preserve">
Crane rental, balance, and controls  - based on 100 ton unit</t>
        </r>
      </text>
    </comment>
    <comment ref="K303" authorId="0">
      <text>
        <r>
          <rPr>
            <b/>
            <sz val="9"/>
            <color indexed="81"/>
            <rFont val="Tahoma"/>
            <family val="2"/>
          </rPr>
          <t>Lucas Scheidler:</t>
        </r>
        <r>
          <rPr>
            <sz val="9"/>
            <color indexed="81"/>
            <rFont val="Tahoma"/>
            <family val="2"/>
          </rPr>
          <t xml:space="preserve">
average artificial bids</t>
        </r>
      </text>
    </comment>
    <comment ref="V303" authorId="0">
      <text>
        <r>
          <rPr>
            <b/>
            <sz val="9"/>
            <color indexed="81"/>
            <rFont val="Tahoma"/>
            <family val="2"/>
          </rPr>
          <t>Lucas Scheidler:</t>
        </r>
        <r>
          <rPr>
            <sz val="9"/>
            <color indexed="81"/>
            <rFont val="Tahoma"/>
            <family val="2"/>
          </rPr>
          <t xml:space="preserve">
EMCOR - </t>
        </r>
      </text>
    </comment>
    <comment ref="W303" authorId="0">
      <text>
        <r>
          <rPr>
            <b/>
            <sz val="9"/>
            <color indexed="81"/>
            <rFont val="Tahoma"/>
            <family val="2"/>
          </rPr>
          <t>Lucas Scheidler:</t>
        </r>
        <r>
          <rPr>
            <sz val="9"/>
            <color indexed="81"/>
            <rFont val="Tahoma"/>
            <family val="2"/>
          </rPr>
          <t xml:space="preserve">
EMCOR -  Weighted average of all laborers. Does not include markup</t>
        </r>
      </text>
    </comment>
    <comment ref="X303" authorId="0">
      <text>
        <r>
          <rPr>
            <b/>
            <sz val="9"/>
            <color indexed="81"/>
            <rFont val="Tahoma"/>
            <family val="2"/>
          </rPr>
          <t>Lucas Scheidler:</t>
        </r>
        <r>
          <rPr>
            <sz val="9"/>
            <color indexed="81"/>
            <rFont val="Tahoma"/>
            <family val="2"/>
          </rPr>
          <t xml:space="preserve">
EMCOR -  Does not include markup</t>
        </r>
      </text>
    </comment>
    <comment ref="Y303" authorId="0">
      <text>
        <r>
          <rPr>
            <b/>
            <sz val="9"/>
            <color indexed="81"/>
            <rFont val="Tahoma"/>
            <family val="2"/>
          </rPr>
          <t>Lucas Scheidler:</t>
        </r>
        <r>
          <rPr>
            <sz val="9"/>
            <color indexed="81"/>
            <rFont val="Tahoma"/>
            <family val="2"/>
          </rPr>
          <t xml:space="preserve">
EMCOR - piping and electrical, hangers/supports , insulation- Does not include markup or tax</t>
        </r>
      </text>
    </comment>
    <comment ref="Z303" authorId="0">
      <text>
        <r>
          <rPr>
            <b/>
            <sz val="9"/>
            <color indexed="81"/>
            <rFont val="Tahoma"/>
            <family val="2"/>
          </rPr>
          <t>Lucas Scheidler:</t>
        </r>
        <r>
          <rPr>
            <sz val="9"/>
            <color indexed="81"/>
            <rFont val="Tahoma"/>
            <family val="2"/>
          </rPr>
          <t xml:space="preserve">
EMCOR - Crane balance, controls - Does not include markup</t>
        </r>
      </text>
    </comment>
    <comment ref="AA303"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B303" authorId="0">
      <text>
        <r>
          <rPr>
            <b/>
            <sz val="9"/>
            <color indexed="81"/>
            <rFont val="Tahoma"/>
            <family val="2"/>
          </rPr>
          <t>Lucas Scheidler:</t>
        </r>
        <r>
          <rPr>
            <sz val="9"/>
            <color indexed="81"/>
            <rFont val="Tahoma"/>
            <family val="2"/>
          </rPr>
          <t xml:space="preserve">
EMCOR - </t>
        </r>
      </text>
    </comment>
    <comment ref="AC303" authorId="0">
      <text>
        <r>
          <rPr>
            <b/>
            <sz val="9"/>
            <color indexed="81"/>
            <rFont val="Tahoma"/>
            <family val="2"/>
          </rPr>
          <t>Lucas Scheidler:</t>
        </r>
        <r>
          <rPr>
            <sz val="9"/>
            <color indexed="81"/>
            <rFont val="Tahoma"/>
            <family val="2"/>
          </rPr>
          <t xml:space="preserve">
EMCOR -  Weighted average of all laborers. Does not include markup</t>
        </r>
      </text>
    </comment>
    <comment ref="AD303" authorId="0">
      <text>
        <r>
          <rPr>
            <b/>
            <sz val="9"/>
            <color indexed="81"/>
            <rFont val="Tahoma"/>
            <family val="2"/>
          </rPr>
          <t>Lucas Scheidler:</t>
        </r>
        <r>
          <rPr>
            <sz val="9"/>
            <color indexed="81"/>
            <rFont val="Tahoma"/>
            <family val="2"/>
          </rPr>
          <t xml:space="preserve">
EMCOR -  Does not include markup</t>
        </r>
      </text>
    </comment>
    <comment ref="AE303" authorId="0">
      <text>
        <r>
          <rPr>
            <b/>
            <sz val="9"/>
            <color indexed="81"/>
            <rFont val="Tahoma"/>
            <family val="2"/>
          </rPr>
          <t>Lucas Scheidler:</t>
        </r>
        <r>
          <rPr>
            <sz val="9"/>
            <color indexed="81"/>
            <rFont val="Tahoma"/>
            <family val="2"/>
          </rPr>
          <t xml:space="preserve">
EMCOR - piping , fittings, connections and insulation - Does not include markup or tax</t>
        </r>
      </text>
    </comment>
    <comment ref="AF303" authorId="0">
      <text>
        <r>
          <rPr>
            <b/>
            <sz val="9"/>
            <color indexed="81"/>
            <rFont val="Tahoma"/>
            <family val="2"/>
          </rPr>
          <t>Lucas Scheidler:</t>
        </r>
        <r>
          <rPr>
            <sz val="9"/>
            <color indexed="81"/>
            <rFont val="Tahoma"/>
            <family val="2"/>
          </rPr>
          <t xml:space="preserve">
EMCOR - Crane and controls - Does not include markup</t>
        </r>
      </text>
    </comment>
    <comment ref="AG303"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J304" authorId="0">
      <text>
        <r>
          <rPr>
            <b/>
            <sz val="9"/>
            <color indexed="81"/>
            <rFont val="Tahoma"/>
            <family val="2"/>
          </rPr>
          <t>Lucas Scheidler:</t>
        </r>
        <r>
          <rPr>
            <sz val="9"/>
            <color indexed="81"/>
            <rFont val="Tahoma"/>
            <family val="2"/>
          </rPr>
          <t xml:space="preserve">
Crane rental, balance, and controls  - based on 100 ton unit</t>
        </r>
      </text>
    </comment>
    <comment ref="V304" authorId="0">
      <text>
        <r>
          <rPr>
            <b/>
            <sz val="9"/>
            <color indexed="81"/>
            <rFont val="Tahoma"/>
            <family val="2"/>
          </rPr>
          <t>Lucas Scheidler:</t>
        </r>
        <r>
          <rPr>
            <sz val="9"/>
            <color indexed="81"/>
            <rFont val="Tahoma"/>
            <family val="2"/>
          </rPr>
          <t xml:space="preserve">
EMCOR - </t>
        </r>
      </text>
    </comment>
    <comment ref="W304" authorId="0">
      <text>
        <r>
          <rPr>
            <b/>
            <sz val="9"/>
            <color indexed="81"/>
            <rFont val="Tahoma"/>
            <family val="2"/>
          </rPr>
          <t>Lucas Scheidler:</t>
        </r>
        <r>
          <rPr>
            <sz val="9"/>
            <color indexed="81"/>
            <rFont val="Tahoma"/>
            <family val="2"/>
          </rPr>
          <t xml:space="preserve">
EMCOR -  Weighted average of all laborers. Does not include markup</t>
        </r>
      </text>
    </comment>
    <comment ref="X304" authorId="0">
      <text>
        <r>
          <rPr>
            <b/>
            <sz val="9"/>
            <color indexed="81"/>
            <rFont val="Tahoma"/>
            <family val="2"/>
          </rPr>
          <t>Lucas Scheidler:</t>
        </r>
        <r>
          <rPr>
            <sz val="9"/>
            <color indexed="81"/>
            <rFont val="Tahoma"/>
            <family val="2"/>
          </rPr>
          <t xml:space="preserve">
EMCOR -  Does not include markup</t>
        </r>
      </text>
    </comment>
    <comment ref="Y304" authorId="0">
      <text>
        <r>
          <rPr>
            <b/>
            <sz val="9"/>
            <color indexed="81"/>
            <rFont val="Tahoma"/>
            <family val="2"/>
          </rPr>
          <t>Lucas Scheidler:</t>
        </r>
        <r>
          <rPr>
            <sz val="9"/>
            <color indexed="81"/>
            <rFont val="Tahoma"/>
            <family val="2"/>
          </rPr>
          <t xml:space="preserve">
EMCOR - piping and electrical, hangers/supports , insulation- Does not include markup or tax</t>
        </r>
      </text>
    </comment>
    <comment ref="Z304" authorId="0">
      <text>
        <r>
          <rPr>
            <b/>
            <sz val="9"/>
            <color indexed="81"/>
            <rFont val="Tahoma"/>
            <family val="2"/>
          </rPr>
          <t>Lucas Scheidler:</t>
        </r>
        <r>
          <rPr>
            <sz val="9"/>
            <color indexed="81"/>
            <rFont val="Tahoma"/>
            <family val="2"/>
          </rPr>
          <t xml:space="preserve">
EMCOR - Crane balance, controls - Does not include markup</t>
        </r>
      </text>
    </comment>
    <comment ref="AA304"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B304" authorId="0">
      <text>
        <r>
          <rPr>
            <b/>
            <sz val="9"/>
            <color indexed="81"/>
            <rFont val="Tahoma"/>
            <family val="2"/>
          </rPr>
          <t>Lucas Scheidler:</t>
        </r>
        <r>
          <rPr>
            <sz val="9"/>
            <color indexed="81"/>
            <rFont val="Tahoma"/>
            <family val="2"/>
          </rPr>
          <t xml:space="preserve">
EMCOR - </t>
        </r>
      </text>
    </comment>
    <comment ref="AC304" authorId="0">
      <text>
        <r>
          <rPr>
            <b/>
            <sz val="9"/>
            <color indexed="81"/>
            <rFont val="Tahoma"/>
            <family val="2"/>
          </rPr>
          <t>Lucas Scheidler:</t>
        </r>
        <r>
          <rPr>
            <sz val="9"/>
            <color indexed="81"/>
            <rFont val="Tahoma"/>
            <family val="2"/>
          </rPr>
          <t xml:space="preserve">
EMCOR -  Weighted average of all laborers. Does not include markup</t>
        </r>
      </text>
    </comment>
    <comment ref="AD304" authorId="0">
      <text>
        <r>
          <rPr>
            <b/>
            <sz val="9"/>
            <color indexed="81"/>
            <rFont val="Tahoma"/>
            <family val="2"/>
          </rPr>
          <t>Lucas Scheidler:</t>
        </r>
        <r>
          <rPr>
            <sz val="9"/>
            <color indexed="81"/>
            <rFont val="Tahoma"/>
            <family val="2"/>
          </rPr>
          <t xml:space="preserve">
EMCOR -  Does not include markup</t>
        </r>
      </text>
    </comment>
    <comment ref="AE304" authorId="0">
      <text>
        <r>
          <rPr>
            <b/>
            <sz val="9"/>
            <color indexed="81"/>
            <rFont val="Tahoma"/>
            <family val="2"/>
          </rPr>
          <t>Lucas Scheidler:</t>
        </r>
        <r>
          <rPr>
            <sz val="9"/>
            <color indexed="81"/>
            <rFont val="Tahoma"/>
            <family val="2"/>
          </rPr>
          <t xml:space="preserve">
EMCOR - piping , fittings, connections and insulation - Does not include markup or tax</t>
        </r>
      </text>
    </comment>
    <comment ref="AF304" authorId="0">
      <text>
        <r>
          <rPr>
            <b/>
            <sz val="9"/>
            <color indexed="81"/>
            <rFont val="Tahoma"/>
            <family val="2"/>
          </rPr>
          <t>Lucas Scheidler:</t>
        </r>
        <r>
          <rPr>
            <sz val="9"/>
            <color indexed="81"/>
            <rFont val="Tahoma"/>
            <family val="2"/>
          </rPr>
          <t xml:space="preserve">
EMCOR - Crane and controls - Does not include markup</t>
        </r>
      </text>
    </comment>
    <comment ref="AG304"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J305" authorId="0">
      <text>
        <r>
          <rPr>
            <b/>
            <sz val="9"/>
            <color indexed="81"/>
            <rFont val="Tahoma"/>
            <family val="2"/>
          </rPr>
          <t>Lucas Scheidler:</t>
        </r>
        <r>
          <rPr>
            <sz val="9"/>
            <color indexed="81"/>
            <rFont val="Tahoma"/>
            <family val="2"/>
          </rPr>
          <t xml:space="preserve">
Crane rental, balance, and controls  - based on 300 ton unit</t>
        </r>
      </text>
    </comment>
    <comment ref="V305" authorId="0">
      <text>
        <r>
          <rPr>
            <b/>
            <sz val="9"/>
            <color indexed="81"/>
            <rFont val="Tahoma"/>
            <family val="2"/>
          </rPr>
          <t>Lucas Scheidler:</t>
        </r>
        <r>
          <rPr>
            <sz val="9"/>
            <color indexed="81"/>
            <rFont val="Tahoma"/>
            <family val="2"/>
          </rPr>
          <t xml:space="preserve">
EMCOR - </t>
        </r>
      </text>
    </comment>
    <comment ref="W305" authorId="0">
      <text>
        <r>
          <rPr>
            <b/>
            <sz val="9"/>
            <color indexed="81"/>
            <rFont val="Tahoma"/>
            <family val="2"/>
          </rPr>
          <t>Lucas Scheidler:</t>
        </r>
        <r>
          <rPr>
            <sz val="9"/>
            <color indexed="81"/>
            <rFont val="Tahoma"/>
            <family val="2"/>
          </rPr>
          <t xml:space="preserve">
EMCOR -  Weighted average of all laborers. Does not include markup</t>
        </r>
      </text>
    </comment>
    <comment ref="X305" authorId="0">
      <text>
        <r>
          <rPr>
            <b/>
            <sz val="9"/>
            <color indexed="81"/>
            <rFont val="Tahoma"/>
            <family val="2"/>
          </rPr>
          <t>Lucas Scheidler:</t>
        </r>
        <r>
          <rPr>
            <sz val="9"/>
            <color indexed="81"/>
            <rFont val="Tahoma"/>
            <family val="2"/>
          </rPr>
          <t xml:space="preserve">
EMCOR -  Does not include markup</t>
        </r>
      </text>
    </comment>
    <comment ref="Y305" authorId="0">
      <text>
        <r>
          <rPr>
            <b/>
            <sz val="9"/>
            <color indexed="81"/>
            <rFont val="Tahoma"/>
            <family val="2"/>
          </rPr>
          <t>Lucas Scheidler:</t>
        </r>
        <r>
          <rPr>
            <sz val="9"/>
            <color indexed="81"/>
            <rFont val="Tahoma"/>
            <family val="2"/>
          </rPr>
          <t xml:space="preserve">
EMCOR - piping and electrical, hangers/supports , insulation- Does not include markup or tax</t>
        </r>
      </text>
    </comment>
    <comment ref="Z305" authorId="0">
      <text>
        <r>
          <rPr>
            <b/>
            <sz val="9"/>
            <color indexed="81"/>
            <rFont val="Tahoma"/>
            <family val="2"/>
          </rPr>
          <t>Lucas Scheidler:</t>
        </r>
        <r>
          <rPr>
            <sz val="9"/>
            <color indexed="81"/>
            <rFont val="Tahoma"/>
            <family val="2"/>
          </rPr>
          <t xml:space="preserve">
EMCOR - Crane balance, controls - Does not include markup</t>
        </r>
      </text>
    </comment>
    <comment ref="AA305"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B305" authorId="0">
      <text>
        <r>
          <rPr>
            <b/>
            <sz val="9"/>
            <color indexed="81"/>
            <rFont val="Tahoma"/>
            <family val="2"/>
          </rPr>
          <t>Lucas Scheidler:</t>
        </r>
        <r>
          <rPr>
            <sz val="9"/>
            <color indexed="81"/>
            <rFont val="Tahoma"/>
            <family val="2"/>
          </rPr>
          <t xml:space="preserve">
EMCOR - </t>
        </r>
      </text>
    </comment>
    <comment ref="AC305" authorId="0">
      <text>
        <r>
          <rPr>
            <b/>
            <sz val="9"/>
            <color indexed="81"/>
            <rFont val="Tahoma"/>
            <family val="2"/>
          </rPr>
          <t>Lucas Scheidler:</t>
        </r>
        <r>
          <rPr>
            <sz val="9"/>
            <color indexed="81"/>
            <rFont val="Tahoma"/>
            <family val="2"/>
          </rPr>
          <t xml:space="preserve">
EMCOR -  Weighted average of all laborers. Does not include markup</t>
        </r>
      </text>
    </comment>
    <comment ref="AD305" authorId="0">
      <text>
        <r>
          <rPr>
            <b/>
            <sz val="9"/>
            <color indexed="81"/>
            <rFont val="Tahoma"/>
            <family val="2"/>
          </rPr>
          <t>Lucas Scheidler:</t>
        </r>
        <r>
          <rPr>
            <sz val="9"/>
            <color indexed="81"/>
            <rFont val="Tahoma"/>
            <family val="2"/>
          </rPr>
          <t xml:space="preserve">
EMCOR -  Does not include markup</t>
        </r>
      </text>
    </comment>
    <comment ref="AE305" authorId="0">
      <text>
        <r>
          <rPr>
            <b/>
            <sz val="9"/>
            <color indexed="81"/>
            <rFont val="Tahoma"/>
            <family val="2"/>
          </rPr>
          <t>Lucas Scheidler:</t>
        </r>
        <r>
          <rPr>
            <sz val="9"/>
            <color indexed="81"/>
            <rFont val="Tahoma"/>
            <family val="2"/>
          </rPr>
          <t xml:space="preserve">
EMCOR - piping , fittings, connections and insulation - Does not include markup or tax</t>
        </r>
      </text>
    </comment>
    <comment ref="AF305" authorId="0">
      <text>
        <r>
          <rPr>
            <b/>
            <sz val="9"/>
            <color indexed="81"/>
            <rFont val="Tahoma"/>
            <family val="2"/>
          </rPr>
          <t>Lucas Scheidler:</t>
        </r>
        <r>
          <rPr>
            <sz val="9"/>
            <color indexed="81"/>
            <rFont val="Tahoma"/>
            <family val="2"/>
          </rPr>
          <t xml:space="preserve">
EMCOR - Crane and controls - Does not include markup</t>
        </r>
      </text>
    </comment>
    <comment ref="AG305"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J306" authorId="0">
      <text>
        <r>
          <rPr>
            <b/>
            <sz val="9"/>
            <color indexed="81"/>
            <rFont val="Tahoma"/>
            <family val="2"/>
          </rPr>
          <t>Lucas Scheidler:</t>
        </r>
        <r>
          <rPr>
            <sz val="9"/>
            <color indexed="81"/>
            <rFont val="Tahoma"/>
            <family val="2"/>
          </rPr>
          <t xml:space="preserve">
Crane rental, balance, and controls  - based on 300 ton unit</t>
        </r>
      </text>
    </comment>
    <comment ref="V306" authorId="0">
      <text>
        <r>
          <rPr>
            <b/>
            <sz val="9"/>
            <color indexed="81"/>
            <rFont val="Tahoma"/>
            <family val="2"/>
          </rPr>
          <t>Lucas Scheidler:</t>
        </r>
        <r>
          <rPr>
            <sz val="9"/>
            <color indexed="81"/>
            <rFont val="Tahoma"/>
            <family val="2"/>
          </rPr>
          <t xml:space="preserve">
EMCOR - </t>
        </r>
      </text>
    </comment>
    <comment ref="W306" authorId="0">
      <text>
        <r>
          <rPr>
            <b/>
            <sz val="9"/>
            <color indexed="81"/>
            <rFont val="Tahoma"/>
            <family val="2"/>
          </rPr>
          <t>Lucas Scheidler:</t>
        </r>
        <r>
          <rPr>
            <sz val="9"/>
            <color indexed="81"/>
            <rFont val="Tahoma"/>
            <family val="2"/>
          </rPr>
          <t xml:space="preserve">
EMCOR -  Weighted average of all laborers. Does not include markup</t>
        </r>
      </text>
    </comment>
    <comment ref="X306" authorId="0">
      <text>
        <r>
          <rPr>
            <b/>
            <sz val="9"/>
            <color indexed="81"/>
            <rFont val="Tahoma"/>
            <family val="2"/>
          </rPr>
          <t>Lucas Scheidler:</t>
        </r>
        <r>
          <rPr>
            <sz val="9"/>
            <color indexed="81"/>
            <rFont val="Tahoma"/>
            <family val="2"/>
          </rPr>
          <t xml:space="preserve">
EMCOR -  Does not include markup</t>
        </r>
      </text>
    </comment>
    <comment ref="Y306" authorId="0">
      <text>
        <r>
          <rPr>
            <b/>
            <sz val="9"/>
            <color indexed="81"/>
            <rFont val="Tahoma"/>
            <family val="2"/>
          </rPr>
          <t>Lucas Scheidler:</t>
        </r>
        <r>
          <rPr>
            <sz val="9"/>
            <color indexed="81"/>
            <rFont val="Tahoma"/>
            <family val="2"/>
          </rPr>
          <t xml:space="preserve">
EMCOR - piping and electrical, hangers/supports , insulation- Does not include markup or tax</t>
        </r>
      </text>
    </comment>
    <comment ref="Z306" authorId="0">
      <text>
        <r>
          <rPr>
            <b/>
            <sz val="9"/>
            <color indexed="81"/>
            <rFont val="Tahoma"/>
            <family val="2"/>
          </rPr>
          <t>Lucas Scheidler:</t>
        </r>
        <r>
          <rPr>
            <sz val="9"/>
            <color indexed="81"/>
            <rFont val="Tahoma"/>
            <family val="2"/>
          </rPr>
          <t xml:space="preserve">
EMCOR - Crane balance, controls - Does not include markup</t>
        </r>
      </text>
    </comment>
    <comment ref="AA306"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B306" authorId="0">
      <text>
        <r>
          <rPr>
            <b/>
            <sz val="9"/>
            <color indexed="81"/>
            <rFont val="Tahoma"/>
            <family val="2"/>
          </rPr>
          <t>Lucas Scheidler:</t>
        </r>
        <r>
          <rPr>
            <sz val="9"/>
            <color indexed="81"/>
            <rFont val="Tahoma"/>
            <family val="2"/>
          </rPr>
          <t xml:space="preserve">
EMCOR - </t>
        </r>
      </text>
    </comment>
    <comment ref="AC306" authorId="0">
      <text>
        <r>
          <rPr>
            <b/>
            <sz val="9"/>
            <color indexed="81"/>
            <rFont val="Tahoma"/>
            <family val="2"/>
          </rPr>
          <t>Lucas Scheidler:</t>
        </r>
        <r>
          <rPr>
            <sz val="9"/>
            <color indexed="81"/>
            <rFont val="Tahoma"/>
            <family val="2"/>
          </rPr>
          <t xml:space="preserve">
EMCOR -  Weighted average of all laborers. Does not include markup</t>
        </r>
      </text>
    </comment>
    <comment ref="AD306" authorId="0">
      <text>
        <r>
          <rPr>
            <b/>
            <sz val="9"/>
            <color indexed="81"/>
            <rFont val="Tahoma"/>
            <family val="2"/>
          </rPr>
          <t>Lucas Scheidler:</t>
        </r>
        <r>
          <rPr>
            <sz val="9"/>
            <color indexed="81"/>
            <rFont val="Tahoma"/>
            <family val="2"/>
          </rPr>
          <t xml:space="preserve">
EMCOR -  Does not include markup</t>
        </r>
      </text>
    </comment>
    <comment ref="AE306" authorId="0">
      <text>
        <r>
          <rPr>
            <b/>
            <sz val="9"/>
            <color indexed="81"/>
            <rFont val="Tahoma"/>
            <family val="2"/>
          </rPr>
          <t>Lucas Scheidler:</t>
        </r>
        <r>
          <rPr>
            <sz val="9"/>
            <color indexed="81"/>
            <rFont val="Tahoma"/>
            <family val="2"/>
          </rPr>
          <t xml:space="preserve">
EMCOR - piping , fittings, connections and insulation - Does not include markup or tax</t>
        </r>
      </text>
    </comment>
    <comment ref="AF306" authorId="0">
      <text>
        <r>
          <rPr>
            <b/>
            <sz val="9"/>
            <color indexed="81"/>
            <rFont val="Tahoma"/>
            <family val="2"/>
          </rPr>
          <t>Lucas Scheidler:</t>
        </r>
        <r>
          <rPr>
            <sz val="9"/>
            <color indexed="81"/>
            <rFont val="Tahoma"/>
            <family val="2"/>
          </rPr>
          <t xml:space="preserve">
EMCOR - Crane and controls - Does not include markup</t>
        </r>
      </text>
    </comment>
    <comment ref="AG306"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K314" authorId="0">
      <text>
        <r>
          <rPr>
            <b/>
            <sz val="9"/>
            <color indexed="81"/>
            <rFont val="Tahoma"/>
            <family val="2"/>
          </rPr>
          <t>Lucas Scheidler:</t>
        </r>
        <r>
          <rPr>
            <sz val="9"/>
            <color indexed="81"/>
            <rFont val="Tahoma"/>
            <family val="2"/>
          </rPr>
          <t xml:space="preserve">
average RSMeans</t>
        </r>
      </text>
    </comment>
    <comment ref="U314" authorId="0">
      <text>
        <r>
          <rPr>
            <b/>
            <sz val="9"/>
            <color indexed="81"/>
            <rFont val="Tahoma"/>
            <family val="2"/>
          </rPr>
          <t>Lucas Scheidler:</t>
        </r>
        <r>
          <rPr>
            <sz val="9"/>
            <color indexed="81"/>
            <rFont val="Tahoma"/>
            <family val="2"/>
          </rPr>
          <t xml:space="preserve">
RSMeans item 223430</t>
        </r>
      </text>
    </comment>
    <comment ref="AP314" authorId="0">
      <text>
        <r>
          <rPr>
            <b/>
            <sz val="9"/>
            <color indexed="81"/>
            <rFont val="Tahoma"/>
            <family val="2"/>
          </rPr>
          <t>Lucas Scheidler:</t>
        </r>
        <r>
          <rPr>
            <sz val="9"/>
            <color indexed="81"/>
            <rFont val="Tahoma"/>
            <family val="2"/>
          </rPr>
          <t xml:space="preserve">
National average 1 plumber</t>
        </r>
      </text>
    </comment>
    <comment ref="K335" authorId="0">
      <text>
        <r>
          <rPr>
            <b/>
            <sz val="9"/>
            <color indexed="81"/>
            <rFont val="Tahoma"/>
            <family val="2"/>
          </rPr>
          <t>Lucas Scheidler:</t>
        </r>
        <r>
          <rPr>
            <sz val="9"/>
            <color indexed="81"/>
            <rFont val="Tahoma"/>
            <family val="2"/>
          </rPr>
          <t xml:space="preserve">
average RSMeans</t>
        </r>
      </text>
    </comment>
    <comment ref="U335" authorId="0">
      <text>
        <r>
          <rPr>
            <b/>
            <sz val="9"/>
            <color indexed="81"/>
            <rFont val="Tahoma"/>
            <family val="2"/>
          </rPr>
          <t>Lucas Scheidler:</t>
        </r>
        <r>
          <rPr>
            <sz val="9"/>
            <color indexed="81"/>
            <rFont val="Tahoma"/>
            <family val="2"/>
          </rPr>
          <t xml:space="preserve">
RSMeans item 223330</t>
        </r>
      </text>
    </comment>
    <comment ref="AP335" authorId="0">
      <text>
        <r>
          <rPr>
            <b/>
            <sz val="9"/>
            <color indexed="81"/>
            <rFont val="Tahoma"/>
            <family val="2"/>
          </rPr>
          <t>Lucas Scheidler:</t>
        </r>
        <r>
          <rPr>
            <sz val="9"/>
            <color indexed="81"/>
            <rFont val="Tahoma"/>
            <family val="2"/>
          </rPr>
          <t xml:space="preserve">
National average 1 plumber</t>
        </r>
      </text>
    </comment>
    <comment ref="K346" authorId="0">
      <text>
        <r>
          <rPr>
            <b/>
            <sz val="9"/>
            <color indexed="81"/>
            <rFont val="Tahoma"/>
            <family val="2"/>
          </rPr>
          <t>Lucas Scheidler:</t>
        </r>
        <r>
          <rPr>
            <sz val="9"/>
            <color indexed="81"/>
            <rFont val="Tahoma"/>
            <family val="2"/>
          </rPr>
          <t xml:space="preserve">
RSMeans average</t>
        </r>
      </text>
    </comment>
    <comment ref="U346" authorId="0">
      <text>
        <r>
          <rPr>
            <b/>
            <sz val="9"/>
            <color indexed="81"/>
            <rFont val="Tahoma"/>
            <family val="2"/>
          </rPr>
          <t>Lucas Scheidler:</t>
        </r>
        <r>
          <rPr>
            <sz val="9"/>
            <color indexed="81"/>
            <rFont val="Tahoma"/>
            <family val="2"/>
          </rPr>
          <t xml:space="preserve">
RSMeans item 223413</t>
        </r>
      </text>
    </comment>
    <comment ref="AP346" authorId="0">
      <text>
        <r>
          <rPr>
            <b/>
            <sz val="9"/>
            <color indexed="81"/>
            <rFont val="Tahoma"/>
            <family val="2"/>
          </rPr>
          <t>Lucas Scheidler:</t>
        </r>
        <r>
          <rPr>
            <sz val="9"/>
            <color indexed="81"/>
            <rFont val="Tahoma"/>
            <family val="2"/>
          </rPr>
          <t xml:space="preserve">
National average 1 plumber</t>
        </r>
      </text>
    </comment>
    <comment ref="T347" authorId="0">
      <text>
        <r>
          <rPr>
            <b/>
            <sz val="9"/>
            <color indexed="81"/>
            <rFont val="Tahoma"/>
            <family val="2"/>
          </rPr>
          <t>Lucas Scheidler:</t>
        </r>
        <r>
          <rPr>
            <sz val="9"/>
            <color indexed="81"/>
            <rFont val="Tahoma"/>
            <family val="2"/>
          </rPr>
          <t xml:space="preserve">
Capacity not specified. Labor costs not broken out by hours or rate.</t>
        </r>
      </text>
    </comment>
    <comment ref="K357" authorId="0">
      <text>
        <r>
          <rPr>
            <b/>
            <sz val="9"/>
            <color indexed="81"/>
            <rFont val="Tahoma"/>
            <family val="2"/>
          </rPr>
          <t>Lucas Scheidler:</t>
        </r>
        <r>
          <rPr>
            <sz val="9"/>
            <color indexed="81"/>
            <rFont val="Tahoma"/>
            <family val="2"/>
          </rPr>
          <t xml:space="preserve">
default</t>
        </r>
      </text>
    </comment>
    <comment ref="K368" authorId="0">
      <text>
        <r>
          <rPr>
            <b/>
            <sz val="9"/>
            <color indexed="81"/>
            <rFont val="Tahoma"/>
            <family val="2"/>
          </rPr>
          <t>Lucas Scheidler:</t>
        </r>
        <r>
          <rPr>
            <sz val="9"/>
            <color indexed="81"/>
            <rFont val="Tahoma"/>
            <family val="2"/>
          </rPr>
          <t xml:space="preserve">
RSMeans average</t>
        </r>
      </text>
    </comment>
    <comment ref="U368" authorId="0">
      <text>
        <r>
          <rPr>
            <b/>
            <sz val="9"/>
            <color indexed="81"/>
            <rFont val="Tahoma"/>
            <family val="2"/>
          </rPr>
          <t>Lucas Scheidler:</t>
        </r>
        <r>
          <rPr>
            <sz val="9"/>
            <color indexed="81"/>
            <rFont val="Tahoma"/>
            <family val="2"/>
          </rPr>
          <t xml:space="preserve">
RSMeans item 223436</t>
        </r>
      </text>
    </comment>
    <comment ref="AP368" authorId="0">
      <text>
        <r>
          <rPr>
            <b/>
            <sz val="9"/>
            <color indexed="81"/>
            <rFont val="Tahoma"/>
            <family val="2"/>
          </rPr>
          <t>Lucas Scheidler:</t>
        </r>
        <r>
          <rPr>
            <sz val="9"/>
            <color indexed="81"/>
            <rFont val="Tahoma"/>
            <family val="2"/>
          </rPr>
          <t xml:space="preserve">
National average 1 plumber</t>
        </r>
      </text>
    </comment>
    <comment ref="AP377" authorId="0">
      <text>
        <r>
          <rPr>
            <b/>
            <sz val="9"/>
            <color indexed="81"/>
            <rFont val="Tahoma"/>
            <family val="2"/>
          </rPr>
          <t>Lucas Scheidler:</t>
        </r>
        <r>
          <rPr>
            <sz val="9"/>
            <color indexed="81"/>
            <rFont val="Tahoma"/>
            <family val="2"/>
          </rPr>
          <t xml:space="preserve">
RSMeans National average crew Q-1</t>
        </r>
      </text>
    </comment>
    <comment ref="K384" authorId="0">
      <text>
        <r>
          <rPr>
            <b/>
            <sz val="9"/>
            <color indexed="81"/>
            <rFont val="Tahoma"/>
            <family val="2"/>
          </rPr>
          <t>Lucas Scheidler:</t>
        </r>
        <r>
          <rPr>
            <sz val="9"/>
            <color indexed="81"/>
            <rFont val="Tahoma"/>
            <family val="2"/>
          </rPr>
          <t xml:space="preserve">
average artificial bids</t>
        </r>
      </text>
    </comment>
    <comment ref="U384" authorId="0">
      <text>
        <r>
          <rPr>
            <b/>
            <sz val="9"/>
            <color indexed="81"/>
            <rFont val="Tahoma"/>
            <family val="2"/>
          </rPr>
          <t>Lucas Scheidler:</t>
        </r>
        <r>
          <rPr>
            <sz val="9"/>
            <color indexed="81"/>
            <rFont val="Tahoma"/>
            <family val="2"/>
          </rPr>
          <t xml:space="preserve">
RSMeans item 235223</t>
        </r>
      </text>
    </comment>
    <comment ref="AP384" authorId="0">
      <text>
        <r>
          <rPr>
            <b/>
            <sz val="9"/>
            <color indexed="81"/>
            <rFont val="Tahoma"/>
            <family val="2"/>
          </rPr>
          <t>Lucas Scheidler:</t>
        </r>
        <r>
          <rPr>
            <sz val="9"/>
            <color indexed="81"/>
            <rFont val="Tahoma"/>
            <family val="2"/>
          </rPr>
          <t xml:space="preserve">
National average crew Q-7</t>
        </r>
      </text>
    </comment>
    <comment ref="J385" authorId="0">
      <text>
        <r>
          <rPr>
            <b/>
            <sz val="9"/>
            <color indexed="81"/>
            <rFont val="Tahoma"/>
            <family val="2"/>
          </rPr>
          <t>Lucas Scheidler:</t>
        </r>
        <r>
          <rPr>
            <sz val="9"/>
            <color indexed="81"/>
            <rFont val="Tahoma"/>
            <family val="2"/>
          </rPr>
          <t xml:space="preserve">
Crane rental  - based on 200 ton unit</t>
        </r>
      </text>
    </comment>
    <comment ref="R385" authorId="0">
      <text>
        <r>
          <rPr>
            <b/>
            <sz val="9"/>
            <color indexed="81"/>
            <rFont val="Tahoma"/>
            <family val="2"/>
          </rPr>
          <t>Lucas Scheidler:</t>
        </r>
        <r>
          <rPr>
            <sz val="9"/>
            <color indexed="81"/>
            <rFont val="Tahoma"/>
            <family val="2"/>
          </rPr>
          <t xml:space="preserve">
$500 for controls modifications and $300 for installation of condensate drain lines was used. Finally, an additional $500 for installation costs specific to replacement of existing boilers with highefficiency boilers was included. This would include other unspecified costs for replacement, such as additional costs for boilers vented through masonry chimneys. Per unit based on 200 tons</t>
        </r>
      </text>
    </comment>
    <comment ref="J386" authorId="0">
      <text>
        <r>
          <rPr>
            <b/>
            <sz val="9"/>
            <color indexed="81"/>
            <rFont val="Tahoma"/>
            <family val="2"/>
          </rPr>
          <t>Lucas Scheidler:</t>
        </r>
        <r>
          <rPr>
            <sz val="9"/>
            <color indexed="81"/>
            <rFont val="Tahoma"/>
            <family val="2"/>
          </rPr>
          <t xml:space="preserve">
Crane rental  - based on 200 ton unit</t>
        </r>
      </text>
    </comment>
    <comment ref="J387" authorId="0">
      <text>
        <r>
          <rPr>
            <b/>
            <sz val="9"/>
            <color indexed="81"/>
            <rFont val="Tahoma"/>
            <family val="2"/>
          </rPr>
          <t>Lucas Scheidler:</t>
        </r>
        <r>
          <rPr>
            <sz val="9"/>
            <color indexed="81"/>
            <rFont val="Tahoma"/>
            <family val="2"/>
          </rPr>
          <t xml:space="preserve">
Crane rental  - based on 200 ton unit</t>
        </r>
      </text>
    </comment>
    <comment ref="W391" authorId="0">
      <text>
        <r>
          <rPr>
            <b/>
            <sz val="9"/>
            <color indexed="81"/>
            <rFont val="Tahoma"/>
            <family val="2"/>
          </rPr>
          <t>Lucas Scheidler:</t>
        </r>
        <r>
          <rPr>
            <sz val="9"/>
            <color indexed="81"/>
            <rFont val="Tahoma"/>
            <family val="2"/>
          </rPr>
          <t xml:space="preserve">
Weighted average of all laborers. Does not include markup</t>
        </r>
      </text>
    </comment>
    <comment ref="X391" authorId="0">
      <text>
        <r>
          <rPr>
            <b/>
            <sz val="9"/>
            <color indexed="81"/>
            <rFont val="Tahoma"/>
            <family val="2"/>
          </rPr>
          <t>Lucas Scheidler:</t>
        </r>
        <r>
          <rPr>
            <sz val="9"/>
            <color indexed="81"/>
            <rFont val="Tahoma"/>
            <family val="2"/>
          </rPr>
          <t xml:space="preserve">
Does not include markup</t>
        </r>
      </text>
    </comment>
    <comment ref="Y391" authorId="0">
      <text>
        <r>
          <rPr>
            <b/>
            <sz val="9"/>
            <color indexed="81"/>
            <rFont val="Tahoma"/>
            <family val="2"/>
          </rPr>
          <t>Lucas Scheidler:</t>
        </r>
        <r>
          <rPr>
            <sz val="9"/>
            <color indexed="81"/>
            <rFont val="Tahoma"/>
            <family val="2"/>
          </rPr>
          <t xml:space="preserve">
EMCOR - piping and electrical - Does not include markup or tax</t>
        </r>
      </text>
    </comment>
    <comment ref="Z391" authorId="0">
      <text>
        <r>
          <rPr>
            <b/>
            <sz val="9"/>
            <color indexed="81"/>
            <rFont val="Tahoma"/>
            <family val="2"/>
          </rPr>
          <t>Lucas Scheidler:</t>
        </r>
        <r>
          <rPr>
            <sz val="9"/>
            <color indexed="81"/>
            <rFont val="Tahoma"/>
            <family val="2"/>
          </rPr>
          <t xml:space="preserve">
EMCOR -Rigging and insulation - Does not include markup</t>
        </r>
      </text>
    </comment>
    <comment ref="AA391"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391" authorId="0">
      <text>
        <r>
          <rPr>
            <b/>
            <sz val="9"/>
            <color indexed="81"/>
            <rFont val="Tahoma"/>
            <family val="2"/>
          </rPr>
          <t>Lucas Scheidler:</t>
        </r>
        <r>
          <rPr>
            <sz val="9"/>
            <color indexed="81"/>
            <rFont val="Tahoma"/>
            <family val="2"/>
          </rPr>
          <t xml:space="preserve">
Weighted average of all laborers. Does not include markup</t>
        </r>
      </text>
    </comment>
    <comment ref="AD391" authorId="0">
      <text>
        <r>
          <rPr>
            <b/>
            <sz val="9"/>
            <color indexed="81"/>
            <rFont val="Tahoma"/>
            <family val="2"/>
          </rPr>
          <t>Lucas Scheidler:</t>
        </r>
        <r>
          <rPr>
            <sz val="9"/>
            <color indexed="81"/>
            <rFont val="Tahoma"/>
            <family val="2"/>
          </rPr>
          <t xml:space="preserve">
Does not include markup</t>
        </r>
      </text>
    </comment>
    <comment ref="AE391" authorId="0">
      <text>
        <r>
          <rPr>
            <b/>
            <sz val="9"/>
            <color indexed="81"/>
            <rFont val="Tahoma"/>
            <family val="2"/>
          </rPr>
          <t>Lucas Scheidler:</t>
        </r>
        <r>
          <rPr>
            <sz val="9"/>
            <color indexed="81"/>
            <rFont val="Tahoma"/>
            <family val="2"/>
          </rPr>
          <t xml:space="preserve">
EMCOR - field material, small tools consumables - Does not include markup or tax</t>
        </r>
      </text>
    </comment>
    <comment ref="AF391" authorId="0">
      <text>
        <r>
          <rPr>
            <b/>
            <sz val="9"/>
            <color indexed="81"/>
            <rFont val="Tahoma"/>
            <family val="2"/>
          </rPr>
          <t>Lucas Scheidler:</t>
        </r>
        <r>
          <rPr>
            <sz val="9"/>
            <color indexed="81"/>
            <rFont val="Tahoma"/>
            <family val="2"/>
          </rPr>
          <t xml:space="preserve">
EMCOR -Rigging and insulation - Does not include markup</t>
        </r>
      </text>
    </comment>
    <comment ref="AG391"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W392" authorId="0">
      <text>
        <r>
          <rPr>
            <b/>
            <sz val="9"/>
            <color indexed="81"/>
            <rFont val="Tahoma"/>
            <family val="2"/>
          </rPr>
          <t>Lucas Scheidler:</t>
        </r>
        <r>
          <rPr>
            <sz val="9"/>
            <color indexed="81"/>
            <rFont val="Tahoma"/>
            <family val="2"/>
          </rPr>
          <t xml:space="preserve">
Weighted average of all laborers. Does not include markup</t>
        </r>
      </text>
    </comment>
    <comment ref="X392" authorId="0">
      <text>
        <r>
          <rPr>
            <b/>
            <sz val="9"/>
            <color indexed="81"/>
            <rFont val="Tahoma"/>
            <family val="2"/>
          </rPr>
          <t>Lucas Scheidler:</t>
        </r>
        <r>
          <rPr>
            <sz val="9"/>
            <color indexed="81"/>
            <rFont val="Tahoma"/>
            <family val="2"/>
          </rPr>
          <t xml:space="preserve">
Does not include markup</t>
        </r>
      </text>
    </comment>
    <comment ref="Y392" authorId="0">
      <text>
        <r>
          <rPr>
            <b/>
            <sz val="9"/>
            <color indexed="81"/>
            <rFont val="Tahoma"/>
            <family val="2"/>
          </rPr>
          <t>Lucas Scheidler:</t>
        </r>
        <r>
          <rPr>
            <sz val="9"/>
            <color indexed="81"/>
            <rFont val="Tahoma"/>
            <family val="2"/>
          </rPr>
          <t xml:space="preserve">
EMCOR - piping and electrical - Does not include markup or tax</t>
        </r>
      </text>
    </comment>
    <comment ref="Z392" authorId="0">
      <text>
        <r>
          <rPr>
            <b/>
            <sz val="9"/>
            <color indexed="81"/>
            <rFont val="Tahoma"/>
            <family val="2"/>
          </rPr>
          <t>Lucas Scheidler:</t>
        </r>
        <r>
          <rPr>
            <sz val="9"/>
            <color indexed="81"/>
            <rFont val="Tahoma"/>
            <family val="2"/>
          </rPr>
          <t xml:space="preserve">
EMCOR -Rigging and insulation - Does not include markup</t>
        </r>
      </text>
    </comment>
    <comment ref="AA392"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392" authorId="0">
      <text>
        <r>
          <rPr>
            <b/>
            <sz val="9"/>
            <color indexed="81"/>
            <rFont val="Tahoma"/>
            <family val="2"/>
          </rPr>
          <t>Lucas Scheidler:</t>
        </r>
        <r>
          <rPr>
            <sz val="9"/>
            <color indexed="81"/>
            <rFont val="Tahoma"/>
            <family val="2"/>
          </rPr>
          <t xml:space="preserve">
Weighted average of all laborers. Does not include markup</t>
        </r>
      </text>
    </comment>
    <comment ref="AD392" authorId="0">
      <text>
        <r>
          <rPr>
            <b/>
            <sz val="9"/>
            <color indexed="81"/>
            <rFont val="Tahoma"/>
            <family val="2"/>
          </rPr>
          <t>Lucas Scheidler:</t>
        </r>
        <r>
          <rPr>
            <sz val="9"/>
            <color indexed="81"/>
            <rFont val="Tahoma"/>
            <family val="2"/>
          </rPr>
          <t xml:space="preserve">
Does not include markup</t>
        </r>
      </text>
    </comment>
    <comment ref="AE392" authorId="0">
      <text>
        <r>
          <rPr>
            <b/>
            <sz val="9"/>
            <color indexed="81"/>
            <rFont val="Tahoma"/>
            <family val="2"/>
          </rPr>
          <t>Lucas Scheidler:</t>
        </r>
        <r>
          <rPr>
            <sz val="9"/>
            <color indexed="81"/>
            <rFont val="Tahoma"/>
            <family val="2"/>
          </rPr>
          <t xml:space="preserve">
EMCOR - field material, small tools consumables - Does not include markup or tax</t>
        </r>
      </text>
    </comment>
    <comment ref="AF392" authorId="0">
      <text>
        <r>
          <rPr>
            <b/>
            <sz val="9"/>
            <color indexed="81"/>
            <rFont val="Tahoma"/>
            <family val="2"/>
          </rPr>
          <t>Lucas Scheidler:</t>
        </r>
        <r>
          <rPr>
            <sz val="9"/>
            <color indexed="81"/>
            <rFont val="Tahoma"/>
            <family val="2"/>
          </rPr>
          <t xml:space="preserve">
EMCOR -Rigging and insulation - Does not include markup</t>
        </r>
      </text>
    </comment>
    <comment ref="AG392"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W393" authorId="0">
      <text>
        <r>
          <rPr>
            <b/>
            <sz val="9"/>
            <color indexed="81"/>
            <rFont val="Tahoma"/>
            <family val="2"/>
          </rPr>
          <t>Lucas Scheidler:</t>
        </r>
        <r>
          <rPr>
            <sz val="9"/>
            <color indexed="81"/>
            <rFont val="Tahoma"/>
            <family val="2"/>
          </rPr>
          <t xml:space="preserve">
Weighted average of all laborers. Does not include markup</t>
        </r>
      </text>
    </comment>
    <comment ref="X393" authorId="0">
      <text>
        <r>
          <rPr>
            <b/>
            <sz val="9"/>
            <color indexed="81"/>
            <rFont val="Tahoma"/>
            <family val="2"/>
          </rPr>
          <t>Lucas Scheidler:</t>
        </r>
        <r>
          <rPr>
            <sz val="9"/>
            <color indexed="81"/>
            <rFont val="Tahoma"/>
            <family val="2"/>
          </rPr>
          <t xml:space="preserve">
Does not include markup</t>
        </r>
      </text>
    </comment>
    <comment ref="Y393" authorId="0">
      <text>
        <r>
          <rPr>
            <b/>
            <sz val="9"/>
            <color indexed="81"/>
            <rFont val="Tahoma"/>
            <family val="2"/>
          </rPr>
          <t>Lucas Scheidler:</t>
        </r>
        <r>
          <rPr>
            <sz val="9"/>
            <color indexed="81"/>
            <rFont val="Tahoma"/>
            <family val="2"/>
          </rPr>
          <t xml:space="preserve">
EMCOR - piping and electrical - Does not include markup or tax</t>
        </r>
      </text>
    </comment>
    <comment ref="Z393" authorId="0">
      <text>
        <r>
          <rPr>
            <b/>
            <sz val="9"/>
            <color indexed="81"/>
            <rFont val="Tahoma"/>
            <family val="2"/>
          </rPr>
          <t>Lucas Scheidler:</t>
        </r>
        <r>
          <rPr>
            <sz val="9"/>
            <color indexed="81"/>
            <rFont val="Tahoma"/>
            <family val="2"/>
          </rPr>
          <t xml:space="preserve">
EMCOR -Rigging and insulation - Does not include markup</t>
        </r>
      </text>
    </comment>
    <comment ref="AA393"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393" authorId="0">
      <text>
        <r>
          <rPr>
            <b/>
            <sz val="9"/>
            <color indexed="81"/>
            <rFont val="Tahoma"/>
            <family val="2"/>
          </rPr>
          <t>Lucas Scheidler:</t>
        </r>
        <r>
          <rPr>
            <sz val="9"/>
            <color indexed="81"/>
            <rFont val="Tahoma"/>
            <family val="2"/>
          </rPr>
          <t xml:space="preserve">
Weighted average of all laborers. Does not include markup</t>
        </r>
      </text>
    </comment>
    <comment ref="AD393" authorId="0">
      <text>
        <r>
          <rPr>
            <b/>
            <sz val="9"/>
            <color indexed="81"/>
            <rFont val="Tahoma"/>
            <family val="2"/>
          </rPr>
          <t>Lucas Scheidler:</t>
        </r>
        <r>
          <rPr>
            <sz val="9"/>
            <color indexed="81"/>
            <rFont val="Tahoma"/>
            <family val="2"/>
          </rPr>
          <t xml:space="preserve">
Does not include markup</t>
        </r>
      </text>
    </comment>
    <comment ref="AE393" authorId="0">
      <text>
        <r>
          <rPr>
            <b/>
            <sz val="9"/>
            <color indexed="81"/>
            <rFont val="Tahoma"/>
            <family val="2"/>
          </rPr>
          <t>Lucas Scheidler:</t>
        </r>
        <r>
          <rPr>
            <sz val="9"/>
            <color indexed="81"/>
            <rFont val="Tahoma"/>
            <family val="2"/>
          </rPr>
          <t xml:space="preserve">
EMCOR - field material, small tools consumables - Does not include markup or tax</t>
        </r>
      </text>
    </comment>
    <comment ref="AF393" authorId="0">
      <text>
        <r>
          <rPr>
            <b/>
            <sz val="9"/>
            <color indexed="81"/>
            <rFont val="Tahoma"/>
            <family val="2"/>
          </rPr>
          <t>Lucas Scheidler:</t>
        </r>
        <r>
          <rPr>
            <sz val="9"/>
            <color indexed="81"/>
            <rFont val="Tahoma"/>
            <family val="2"/>
          </rPr>
          <t xml:space="preserve">
EMCOR -Rigging and insulation - Does not include markup</t>
        </r>
      </text>
    </comment>
    <comment ref="AG393"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K395" authorId="0">
      <text>
        <r>
          <rPr>
            <b/>
            <sz val="9"/>
            <color indexed="81"/>
            <rFont val="Tahoma"/>
            <family val="2"/>
          </rPr>
          <t>Lucas Scheidler:</t>
        </r>
        <r>
          <rPr>
            <sz val="9"/>
            <color indexed="81"/>
            <rFont val="Tahoma"/>
            <family val="2"/>
          </rPr>
          <t xml:space="preserve">
average artificial bids</t>
        </r>
      </text>
    </comment>
    <comment ref="U395" authorId="0">
      <text>
        <r>
          <rPr>
            <b/>
            <sz val="9"/>
            <color indexed="81"/>
            <rFont val="Tahoma"/>
            <family val="2"/>
          </rPr>
          <t>Lucas Scheidler:</t>
        </r>
        <r>
          <rPr>
            <sz val="9"/>
            <color indexed="81"/>
            <rFont val="Tahoma"/>
            <family val="2"/>
          </rPr>
          <t xml:space="preserve">
RSMeans item 235223</t>
        </r>
      </text>
    </comment>
    <comment ref="AP395" authorId="0">
      <text>
        <r>
          <rPr>
            <b/>
            <sz val="9"/>
            <color indexed="81"/>
            <rFont val="Tahoma"/>
            <family val="2"/>
          </rPr>
          <t>Lucas Scheidler:</t>
        </r>
        <r>
          <rPr>
            <sz val="9"/>
            <color indexed="81"/>
            <rFont val="Tahoma"/>
            <family val="2"/>
          </rPr>
          <t xml:space="preserve">
National average crew Q-7</t>
        </r>
      </text>
    </comment>
    <comment ref="J396" authorId="0">
      <text>
        <r>
          <rPr>
            <b/>
            <sz val="9"/>
            <color indexed="81"/>
            <rFont val="Tahoma"/>
            <family val="2"/>
          </rPr>
          <t>Lucas Scheidler:</t>
        </r>
        <r>
          <rPr>
            <sz val="9"/>
            <color indexed="81"/>
            <rFont val="Tahoma"/>
            <family val="2"/>
          </rPr>
          <t xml:space="preserve">
Crane rental  - based on 1000 ton unit</t>
        </r>
      </text>
    </comment>
    <comment ref="R396" authorId="0">
      <text>
        <r>
          <rPr>
            <b/>
            <sz val="9"/>
            <color indexed="81"/>
            <rFont val="Tahoma"/>
            <family val="2"/>
          </rPr>
          <t>Lucas Scheidler:</t>
        </r>
        <r>
          <rPr>
            <sz val="9"/>
            <color indexed="81"/>
            <rFont val="Tahoma"/>
            <family val="2"/>
          </rPr>
          <t xml:space="preserve">
$500 for controls modifications and $300 for installation of condensate drain lines was used. Finally, an additional $500 for installation costs specific to replacement of existing boilers with highefficiency boilers was included. This would include other unspecified costs for replacement, such as additional costs for boilers vented through masonry chimneys. Per unit based on 1000 tons</t>
        </r>
      </text>
    </comment>
    <comment ref="J397" authorId="0">
      <text>
        <r>
          <rPr>
            <b/>
            <sz val="9"/>
            <color indexed="81"/>
            <rFont val="Tahoma"/>
            <family val="2"/>
          </rPr>
          <t>Lucas Scheidler:</t>
        </r>
        <r>
          <rPr>
            <sz val="9"/>
            <color indexed="81"/>
            <rFont val="Tahoma"/>
            <family val="2"/>
          </rPr>
          <t xml:space="preserve">
Crane rental  - based on 3000 ton unit</t>
        </r>
      </text>
    </comment>
    <comment ref="J398" authorId="0">
      <text>
        <r>
          <rPr>
            <b/>
            <sz val="9"/>
            <color indexed="81"/>
            <rFont val="Tahoma"/>
            <family val="2"/>
          </rPr>
          <t>Lucas Scheidler:</t>
        </r>
        <r>
          <rPr>
            <sz val="9"/>
            <color indexed="81"/>
            <rFont val="Tahoma"/>
            <family val="2"/>
          </rPr>
          <t xml:space="preserve">
Crane rental  - based on 1000 ton unit</t>
        </r>
      </text>
    </comment>
    <comment ref="J399" authorId="0">
      <text>
        <r>
          <rPr>
            <b/>
            <sz val="9"/>
            <color indexed="81"/>
            <rFont val="Tahoma"/>
            <family val="2"/>
          </rPr>
          <t>Lucas Scheidler:</t>
        </r>
        <r>
          <rPr>
            <sz val="9"/>
            <color indexed="81"/>
            <rFont val="Tahoma"/>
            <family val="2"/>
          </rPr>
          <t xml:space="preserve">
Crane rental  - based on 3000 ton unit</t>
        </r>
      </text>
    </comment>
    <comment ref="J400" authorId="0">
      <text>
        <r>
          <rPr>
            <b/>
            <sz val="9"/>
            <color indexed="81"/>
            <rFont val="Tahoma"/>
            <family val="2"/>
          </rPr>
          <t>Lucas Scheidler:</t>
        </r>
        <r>
          <rPr>
            <sz val="9"/>
            <color indexed="81"/>
            <rFont val="Tahoma"/>
            <family val="2"/>
          </rPr>
          <t xml:space="preserve">
Crane rental  - based on 1000 ton unit</t>
        </r>
      </text>
    </comment>
    <comment ref="J401" authorId="0">
      <text>
        <r>
          <rPr>
            <b/>
            <sz val="9"/>
            <color indexed="81"/>
            <rFont val="Tahoma"/>
            <family val="2"/>
          </rPr>
          <t>Lucas Scheidler:</t>
        </r>
        <r>
          <rPr>
            <sz val="9"/>
            <color indexed="81"/>
            <rFont val="Tahoma"/>
            <family val="2"/>
          </rPr>
          <t xml:space="preserve">
Crane rental  - based on 3000 ton unit</t>
        </r>
      </text>
    </comment>
    <comment ref="W407" authorId="0">
      <text>
        <r>
          <rPr>
            <b/>
            <sz val="9"/>
            <color indexed="81"/>
            <rFont val="Tahoma"/>
            <family val="2"/>
          </rPr>
          <t>Lucas Scheidler:</t>
        </r>
        <r>
          <rPr>
            <sz val="9"/>
            <color indexed="81"/>
            <rFont val="Tahoma"/>
            <family val="2"/>
          </rPr>
          <t xml:space="preserve">
Weighted average of all laborers. Does not include markup</t>
        </r>
      </text>
    </comment>
    <comment ref="X407" authorId="0">
      <text>
        <r>
          <rPr>
            <b/>
            <sz val="9"/>
            <color indexed="81"/>
            <rFont val="Tahoma"/>
            <family val="2"/>
          </rPr>
          <t>Lucas Scheidler:</t>
        </r>
        <r>
          <rPr>
            <sz val="9"/>
            <color indexed="81"/>
            <rFont val="Tahoma"/>
            <family val="2"/>
          </rPr>
          <t xml:space="preserve">
Does not include markup</t>
        </r>
      </text>
    </comment>
    <comment ref="Y407" authorId="0">
      <text>
        <r>
          <rPr>
            <b/>
            <sz val="9"/>
            <color indexed="81"/>
            <rFont val="Tahoma"/>
            <family val="2"/>
          </rPr>
          <t>Lucas Scheidler:</t>
        </r>
        <r>
          <rPr>
            <sz val="9"/>
            <color indexed="81"/>
            <rFont val="Tahoma"/>
            <family val="2"/>
          </rPr>
          <t xml:space="preserve">
EMCOR - piping and electrical - Does not include markup or tax</t>
        </r>
      </text>
    </comment>
    <comment ref="Z407" authorId="0">
      <text>
        <r>
          <rPr>
            <b/>
            <sz val="9"/>
            <color indexed="81"/>
            <rFont val="Tahoma"/>
            <family val="2"/>
          </rPr>
          <t>Lucas Scheidler:</t>
        </r>
        <r>
          <rPr>
            <sz val="9"/>
            <color indexed="81"/>
            <rFont val="Tahoma"/>
            <family val="2"/>
          </rPr>
          <t xml:space="preserve">
EMCOR -Rigging and insulation - Does not include markup</t>
        </r>
      </text>
    </comment>
    <comment ref="AA407"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407" authorId="0">
      <text>
        <r>
          <rPr>
            <b/>
            <sz val="9"/>
            <color indexed="81"/>
            <rFont val="Tahoma"/>
            <family val="2"/>
          </rPr>
          <t>Lucas Scheidler:</t>
        </r>
        <r>
          <rPr>
            <sz val="9"/>
            <color indexed="81"/>
            <rFont val="Tahoma"/>
            <family val="2"/>
          </rPr>
          <t xml:space="preserve">
Weighted average of all laborers. Does not include markup</t>
        </r>
      </text>
    </comment>
    <comment ref="AD407" authorId="0">
      <text>
        <r>
          <rPr>
            <b/>
            <sz val="9"/>
            <color indexed="81"/>
            <rFont val="Tahoma"/>
            <family val="2"/>
          </rPr>
          <t>Lucas Scheidler:</t>
        </r>
        <r>
          <rPr>
            <sz val="9"/>
            <color indexed="81"/>
            <rFont val="Tahoma"/>
            <family val="2"/>
          </rPr>
          <t xml:space="preserve">
Does not include markup</t>
        </r>
      </text>
    </comment>
    <comment ref="AE407" authorId="0">
      <text>
        <r>
          <rPr>
            <b/>
            <sz val="9"/>
            <color indexed="81"/>
            <rFont val="Tahoma"/>
            <family val="2"/>
          </rPr>
          <t>Lucas Scheidler:</t>
        </r>
        <r>
          <rPr>
            <sz val="9"/>
            <color indexed="81"/>
            <rFont val="Tahoma"/>
            <family val="2"/>
          </rPr>
          <t xml:space="preserve">
EMCOR - field material, small tools consumables - Does not include markup or tax</t>
        </r>
      </text>
    </comment>
    <comment ref="AF407" authorId="0">
      <text>
        <r>
          <rPr>
            <b/>
            <sz val="9"/>
            <color indexed="81"/>
            <rFont val="Tahoma"/>
            <family val="2"/>
          </rPr>
          <t>Lucas Scheidler:</t>
        </r>
        <r>
          <rPr>
            <sz val="9"/>
            <color indexed="81"/>
            <rFont val="Tahoma"/>
            <family val="2"/>
          </rPr>
          <t xml:space="preserve">
EMCOR -Rigging and insulation - Does not include markup</t>
        </r>
      </text>
    </comment>
    <comment ref="AG407"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W408" authorId="0">
      <text>
        <r>
          <rPr>
            <b/>
            <sz val="9"/>
            <color indexed="81"/>
            <rFont val="Tahoma"/>
            <family val="2"/>
          </rPr>
          <t>Lucas Scheidler:</t>
        </r>
        <r>
          <rPr>
            <sz val="9"/>
            <color indexed="81"/>
            <rFont val="Tahoma"/>
            <family val="2"/>
          </rPr>
          <t xml:space="preserve">
Weighted average of all laborers. Does not include markup</t>
        </r>
      </text>
    </comment>
    <comment ref="X408" authorId="0">
      <text>
        <r>
          <rPr>
            <b/>
            <sz val="9"/>
            <color indexed="81"/>
            <rFont val="Tahoma"/>
            <family val="2"/>
          </rPr>
          <t>Lucas Scheidler:</t>
        </r>
        <r>
          <rPr>
            <sz val="9"/>
            <color indexed="81"/>
            <rFont val="Tahoma"/>
            <family val="2"/>
          </rPr>
          <t xml:space="preserve">
Does not include markup</t>
        </r>
      </text>
    </comment>
    <comment ref="Y408" authorId="0">
      <text>
        <r>
          <rPr>
            <b/>
            <sz val="9"/>
            <color indexed="81"/>
            <rFont val="Tahoma"/>
            <family val="2"/>
          </rPr>
          <t>Lucas Scheidler:</t>
        </r>
        <r>
          <rPr>
            <sz val="9"/>
            <color indexed="81"/>
            <rFont val="Tahoma"/>
            <family val="2"/>
          </rPr>
          <t xml:space="preserve">
EMCOR - piping and electrical - Does not include markup or tax</t>
        </r>
      </text>
    </comment>
    <comment ref="Z408" authorId="0">
      <text>
        <r>
          <rPr>
            <b/>
            <sz val="9"/>
            <color indexed="81"/>
            <rFont val="Tahoma"/>
            <family val="2"/>
          </rPr>
          <t>Lucas Scheidler:</t>
        </r>
        <r>
          <rPr>
            <sz val="9"/>
            <color indexed="81"/>
            <rFont val="Tahoma"/>
            <family val="2"/>
          </rPr>
          <t xml:space="preserve">
EMCOR -Rigging and insulation - Does not include markup</t>
        </r>
      </text>
    </comment>
    <comment ref="AA408"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408" authorId="0">
      <text>
        <r>
          <rPr>
            <b/>
            <sz val="9"/>
            <color indexed="81"/>
            <rFont val="Tahoma"/>
            <family val="2"/>
          </rPr>
          <t>Lucas Scheidler:</t>
        </r>
        <r>
          <rPr>
            <sz val="9"/>
            <color indexed="81"/>
            <rFont val="Tahoma"/>
            <family val="2"/>
          </rPr>
          <t xml:space="preserve">
Weighted average of all laborers. Does not include markup</t>
        </r>
      </text>
    </comment>
    <comment ref="AD408" authorId="0">
      <text>
        <r>
          <rPr>
            <b/>
            <sz val="9"/>
            <color indexed="81"/>
            <rFont val="Tahoma"/>
            <family val="2"/>
          </rPr>
          <t>Lucas Scheidler:</t>
        </r>
        <r>
          <rPr>
            <sz val="9"/>
            <color indexed="81"/>
            <rFont val="Tahoma"/>
            <family val="2"/>
          </rPr>
          <t xml:space="preserve">
Does not include markup</t>
        </r>
      </text>
    </comment>
    <comment ref="AE408" authorId="0">
      <text>
        <r>
          <rPr>
            <b/>
            <sz val="9"/>
            <color indexed="81"/>
            <rFont val="Tahoma"/>
            <family val="2"/>
          </rPr>
          <t>Lucas Scheidler:</t>
        </r>
        <r>
          <rPr>
            <sz val="9"/>
            <color indexed="81"/>
            <rFont val="Tahoma"/>
            <family val="2"/>
          </rPr>
          <t xml:space="preserve">
EMCOR - field material, small tools consumables - Does not include markup or tax</t>
        </r>
      </text>
    </comment>
    <comment ref="AF408" authorId="0">
      <text>
        <r>
          <rPr>
            <b/>
            <sz val="9"/>
            <color indexed="81"/>
            <rFont val="Tahoma"/>
            <family val="2"/>
          </rPr>
          <t>Lucas Scheidler:</t>
        </r>
        <r>
          <rPr>
            <sz val="9"/>
            <color indexed="81"/>
            <rFont val="Tahoma"/>
            <family val="2"/>
          </rPr>
          <t xml:space="preserve">
EMCOR -Rigging and insulation - Does not include markup</t>
        </r>
      </text>
    </comment>
    <comment ref="AG408"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W409" authorId="0">
      <text>
        <r>
          <rPr>
            <b/>
            <sz val="9"/>
            <color indexed="81"/>
            <rFont val="Tahoma"/>
            <family val="2"/>
          </rPr>
          <t>Lucas Scheidler:</t>
        </r>
        <r>
          <rPr>
            <sz val="9"/>
            <color indexed="81"/>
            <rFont val="Tahoma"/>
            <family val="2"/>
          </rPr>
          <t xml:space="preserve">
Weighted average of all laborers. Does not include markup</t>
        </r>
      </text>
    </comment>
    <comment ref="X409" authorId="0">
      <text>
        <r>
          <rPr>
            <b/>
            <sz val="9"/>
            <color indexed="81"/>
            <rFont val="Tahoma"/>
            <family val="2"/>
          </rPr>
          <t>Lucas Scheidler:</t>
        </r>
        <r>
          <rPr>
            <sz val="9"/>
            <color indexed="81"/>
            <rFont val="Tahoma"/>
            <family val="2"/>
          </rPr>
          <t xml:space="preserve">
Does not include markup</t>
        </r>
      </text>
    </comment>
    <comment ref="Y409" authorId="0">
      <text>
        <r>
          <rPr>
            <b/>
            <sz val="9"/>
            <color indexed="81"/>
            <rFont val="Tahoma"/>
            <family val="2"/>
          </rPr>
          <t>Lucas Scheidler:</t>
        </r>
        <r>
          <rPr>
            <sz val="9"/>
            <color indexed="81"/>
            <rFont val="Tahoma"/>
            <family val="2"/>
          </rPr>
          <t xml:space="preserve">
EMCOR - piping and electrical - Does not include markup or tax</t>
        </r>
      </text>
    </comment>
    <comment ref="Z409" authorId="0">
      <text>
        <r>
          <rPr>
            <b/>
            <sz val="9"/>
            <color indexed="81"/>
            <rFont val="Tahoma"/>
            <family val="2"/>
          </rPr>
          <t>Lucas Scheidler:</t>
        </r>
        <r>
          <rPr>
            <sz val="9"/>
            <color indexed="81"/>
            <rFont val="Tahoma"/>
            <family val="2"/>
          </rPr>
          <t xml:space="preserve">
EMCOR -Rigging and insulation - Does not include markup</t>
        </r>
      </text>
    </comment>
    <comment ref="AA409"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409" authorId="0">
      <text>
        <r>
          <rPr>
            <b/>
            <sz val="9"/>
            <color indexed="81"/>
            <rFont val="Tahoma"/>
            <family val="2"/>
          </rPr>
          <t>Lucas Scheidler:</t>
        </r>
        <r>
          <rPr>
            <sz val="9"/>
            <color indexed="81"/>
            <rFont val="Tahoma"/>
            <family val="2"/>
          </rPr>
          <t xml:space="preserve">
Weighted average of all laborers. Does not include markup</t>
        </r>
      </text>
    </comment>
    <comment ref="AD409" authorId="0">
      <text>
        <r>
          <rPr>
            <b/>
            <sz val="9"/>
            <color indexed="81"/>
            <rFont val="Tahoma"/>
            <family val="2"/>
          </rPr>
          <t>Lucas Scheidler:</t>
        </r>
        <r>
          <rPr>
            <sz val="9"/>
            <color indexed="81"/>
            <rFont val="Tahoma"/>
            <family val="2"/>
          </rPr>
          <t xml:space="preserve">
Does not include markup</t>
        </r>
      </text>
    </comment>
    <comment ref="AE409" authorId="0">
      <text>
        <r>
          <rPr>
            <b/>
            <sz val="9"/>
            <color indexed="81"/>
            <rFont val="Tahoma"/>
            <family val="2"/>
          </rPr>
          <t>Lucas Scheidler:</t>
        </r>
        <r>
          <rPr>
            <sz val="9"/>
            <color indexed="81"/>
            <rFont val="Tahoma"/>
            <family val="2"/>
          </rPr>
          <t xml:space="preserve">
EMCOR - field material, small tools consumables - Does not include markup or tax</t>
        </r>
      </text>
    </comment>
    <comment ref="AF409" authorId="0">
      <text>
        <r>
          <rPr>
            <b/>
            <sz val="9"/>
            <color indexed="81"/>
            <rFont val="Tahoma"/>
            <family val="2"/>
          </rPr>
          <t>Lucas Scheidler:</t>
        </r>
        <r>
          <rPr>
            <sz val="9"/>
            <color indexed="81"/>
            <rFont val="Tahoma"/>
            <family val="2"/>
          </rPr>
          <t xml:space="preserve">
EMCOR -Rigging and insulation - Does not include markup</t>
        </r>
      </text>
    </comment>
    <comment ref="AG409"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W410" authorId="0">
      <text>
        <r>
          <rPr>
            <b/>
            <sz val="9"/>
            <color indexed="81"/>
            <rFont val="Tahoma"/>
            <family val="2"/>
          </rPr>
          <t>Lucas Scheidler:</t>
        </r>
        <r>
          <rPr>
            <sz val="9"/>
            <color indexed="81"/>
            <rFont val="Tahoma"/>
            <family val="2"/>
          </rPr>
          <t xml:space="preserve">
Weighted average of all laborers. Does not include markup</t>
        </r>
      </text>
    </comment>
    <comment ref="X410" authorId="0">
      <text>
        <r>
          <rPr>
            <b/>
            <sz val="9"/>
            <color indexed="81"/>
            <rFont val="Tahoma"/>
            <family val="2"/>
          </rPr>
          <t>Lucas Scheidler:</t>
        </r>
        <r>
          <rPr>
            <sz val="9"/>
            <color indexed="81"/>
            <rFont val="Tahoma"/>
            <family val="2"/>
          </rPr>
          <t xml:space="preserve">
Does not include markup</t>
        </r>
      </text>
    </comment>
    <comment ref="Y410" authorId="0">
      <text>
        <r>
          <rPr>
            <b/>
            <sz val="9"/>
            <color indexed="81"/>
            <rFont val="Tahoma"/>
            <family val="2"/>
          </rPr>
          <t>Lucas Scheidler:</t>
        </r>
        <r>
          <rPr>
            <sz val="9"/>
            <color indexed="81"/>
            <rFont val="Tahoma"/>
            <family val="2"/>
          </rPr>
          <t xml:space="preserve">
EMCOR - piping and electrical - Does not include markup or tax</t>
        </r>
      </text>
    </comment>
    <comment ref="Z410" authorId="0">
      <text>
        <r>
          <rPr>
            <b/>
            <sz val="9"/>
            <color indexed="81"/>
            <rFont val="Tahoma"/>
            <family val="2"/>
          </rPr>
          <t>Lucas Scheidler:</t>
        </r>
        <r>
          <rPr>
            <sz val="9"/>
            <color indexed="81"/>
            <rFont val="Tahoma"/>
            <family val="2"/>
          </rPr>
          <t xml:space="preserve">
EMCOR -Rigging and insulation - Does not include markup</t>
        </r>
      </text>
    </comment>
    <comment ref="AA410"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410" authorId="0">
      <text>
        <r>
          <rPr>
            <b/>
            <sz val="9"/>
            <color indexed="81"/>
            <rFont val="Tahoma"/>
            <family val="2"/>
          </rPr>
          <t>Lucas Scheidler:</t>
        </r>
        <r>
          <rPr>
            <sz val="9"/>
            <color indexed="81"/>
            <rFont val="Tahoma"/>
            <family val="2"/>
          </rPr>
          <t xml:space="preserve">
Weighted average of all laborers. Does not include markup</t>
        </r>
      </text>
    </comment>
    <comment ref="AD410" authorId="0">
      <text>
        <r>
          <rPr>
            <b/>
            <sz val="9"/>
            <color indexed="81"/>
            <rFont val="Tahoma"/>
            <family val="2"/>
          </rPr>
          <t>Lucas Scheidler:</t>
        </r>
        <r>
          <rPr>
            <sz val="9"/>
            <color indexed="81"/>
            <rFont val="Tahoma"/>
            <family val="2"/>
          </rPr>
          <t xml:space="preserve">
Does not include markup</t>
        </r>
      </text>
    </comment>
    <comment ref="AE410" authorId="0">
      <text>
        <r>
          <rPr>
            <b/>
            <sz val="9"/>
            <color indexed="81"/>
            <rFont val="Tahoma"/>
            <family val="2"/>
          </rPr>
          <t>Lucas Scheidler:</t>
        </r>
        <r>
          <rPr>
            <sz val="9"/>
            <color indexed="81"/>
            <rFont val="Tahoma"/>
            <family val="2"/>
          </rPr>
          <t xml:space="preserve">
EMCOR - field material, small tools consumables - Does not include markup or tax</t>
        </r>
      </text>
    </comment>
    <comment ref="AF410" authorId="0">
      <text>
        <r>
          <rPr>
            <b/>
            <sz val="9"/>
            <color indexed="81"/>
            <rFont val="Tahoma"/>
            <family val="2"/>
          </rPr>
          <t>Lucas Scheidler:</t>
        </r>
        <r>
          <rPr>
            <sz val="9"/>
            <color indexed="81"/>
            <rFont val="Tahoma"/>
            <family val="2"/>
          </rPr>
          <t xml:space="preserve">
EMCOR -Rigging and insulation - Does not include markup</t>
        </r>
      </text>
    </comment>
    <comment ref="AG410"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W411" authorId="0">
      <text>
        <r>
          <rPr>
            <b/>
            <sz val="9"/>
            <color indexed="81"/>
            <rFont val="Tahoma"/>
            <family val="2"/>
          </rPr>
          <t>Lucas Scheidler:</t>
        </r>
        <r>
          <rPr>
            <sz val="9"/>
            <color indexed="81"/>
            <rFont val="Tahoma"/>
            <family val="2"/>
          </rPr>
          <t xml:space="preserve">
Weighted average of all laborers. Does not include markup</t>
        </r>
      </text>
    </comment>
    <comment ref="X411" authorId="0">
      <text>
        <r>
          <rPr>
            <b/>
            <sz val="9"/>
            <color indexed="81"/>
            <rFont val="Tahoma"/>
            <family val="2"/>
          </rPr>
          <t>Lucas Scheidler:</t>
        </r>
        <r>
          <rPr>
            <sz val="9"/>
            <color indexed="81"/>
            <rFont val="Tahoma"/>
            <family val="2"/>
          </rPr>
          <t xml:space="preserve">
Does not include markup</t>
        </r>
      </text>
    </comment>
    <comment ref="Y411" authorId="0">
      <text>
        <r>
          <rPr>
            <b/>
            <sz val="9"/>
            <color indexed="81"/>
            <rFont val="Tahoma"/>
            <family val="2"/>
          </rPr>
          <t>Lucas Scheidler:</t>
        </r>
        <r>
          <rPr>
            <sz val="9"/>
            <color indexed="81"/>
            <rFont val="Tahoma"/>
            <family val="2"/>
          </rPr>
          <t xml:space="preserve">
EMCOR - piping and electrical - Does not include markup or tax</t>
        </r>
      </text>
    </comment>
    <comment ref="Z411" authorId="0">
      <text>
        <r>
          <rPr>
            <b/>
            <sz val="9"/>
            <color indexed="81"/>
            <rFont val="Tahoma"/>
            <family val="2"/>
          </rPr>
          <t>Lucas Scheidler:</t>
        </r>
        <r>
          <rPr>
            <sz val="9"/>
            <color indexed="81"/>
            <rFont val="Tahoma"/>
            <family val="2"/>
          </rPr>
          <t xml:space="preserve">
EMCOR -Rigging and insulation - Does not include markup</t>
        </r>
      </text>
    </comment>
    <comment ref="AA411"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411" authorId="0">
      <text>
        <r>
          <rPr>
            <b/>
            <sz val="9"/>
            <color indexed="81"/>
            <rFont val="Tahoma"/>
            <family val="2"/>
          </rPr>
          <t>Lucas Scheidler:</t>
        </r>
        <r>
          <rPr>
            <sz val="9"/>
            <color indexed="81"/>
            <rFont val="Tahoma"/>
            <family val="2"/>
          </rPr>
          <t xml:space="preserve">
Weighted average of all laborers. Does not include markup</t>
        </r>
      </text>
    </comment>
    <comment ref="AD411" authorId="0">
      <text>
        <r>
          <rPr>
            <b/>
            <sz val="9"/>
            <color indexed="81"/>
            <rFont val="Tahoma"/>
            <family val="2"/>
          </rPr>
          <t>Lucas Scheidler:</t>
        </r>
        <r>
          <rPr>
            <sz val="9"/>
            <color indexed="81"/>
            <rFont val="Tahoma"/>
            <family val="2"/>
          </rPr>
          <t xml:space="preserve">
Does not include markup</t>
        </r>
      </text>
    </comment>
    <comment ref="AE411" authorId="0">
      <text>
        <r>
          <rPr>
            <b/>
            <sz val="9"/>
            <color indexed="81"/>
            <rFont val="Tahoma"/>
            <family val="2"/>
          </rPr>
          <t>Lucas Scheidler:</t>
        </r>
        <r>
          <rPr>
            <sz val="9"/>
            <color indexed="81"/>
            <rFont val="Tahoma"/>
            <family val="2"/>
          </rPr>
          <t xml:space="preserve">
EMCOR - field material, small tools consumables - Does not include markup or tax</t>
        </r>
      </text>
    </comment>
    <comment ref="AF411" authorId="0">
      <text>
        <r>
          <rPr>
            <b/>
            <sz val="9"/>
            <color indexed="81"/>
            <rFont val="Tahoma"/>
            <family val="2"/>
          </rPr>
          <t>Lucas Scheidler:</t>
        </r>
        <r>
          <rPr>
            <sz val="9"/>
            <color indexed="81"/>
            <rFont val="Tahoma"/>
            <family val="2"/>
          </rPr>
          <t xml:space="preserve">
EMCOR -Rigging and insulation - Does not include markup</t>
        </r>
      </text>
    </comment>
    <comment ref="AG411"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W412" authorId="0">
      <text>
        <r>
          <rPr>
            <b/>
            <sz val="9"/>
            <color indexed="81"/>
            <rFont val="Tahoma"/>
            <family val="2"/>
          </rPr>
          <t>Lucas Scheidler:</t>
        </r>
        <r>
          <rPr>
            <sz val="9"/>
            <color indexed="81"/>
            <rFont val="Tahoma"/>
            <family val="2"/>
          </rPr>
          <t xml:space="preserve">
Weighted average of all laborers. Does not include markup</t>
        </r>
      </text>
    </comment>
    <comment ref="X412" authorId="0">
      <text>
        <r>
          <rPr>
            <b/>
            <sz val="9"/>
            <color indexed="81"/>
            <rFont val="Tahoma"/>
            <family val="2"/>
          </rPr>
          <t>Lucas Scheidler:</t>
        </r>
        <r>
          <rPr>
            <sz val="9"/>
            <color indexed="81"/>
            <rFont val="Tahoma"/>
            <family val="2"/>
          </rPr>
          <t xml:space="preserve">
Does not include markup</t>
        </r>
      </text>
    </comment>
    <comment ref="Y412" authorId="0">
      <text>
        <r>
          <rPr>
            <b/>
            <sz val="9"/>
            <color indexed="81"/>
            <rFont val="Tahoma"/>
            <family val="2"/>
          </rPr>
          <t>Lucas Scheidler:</t>
        </r>
        <r>
          <rPr>
            <sz val="9"/>
            <color indexed="81"/>
            <rFont val="Tahoma"/>
            <family val="2"/>
          </rPr>
          <t xml:space="preserve">
EMCOR - piping and electrical - Does not include markup or tax</t>
        </r>
      </text>
    </comment>
    <comment ref="Z412" authorId="0">
      <text>
        <r>
          <rPr>
            <b/>
            <sz val="9"/>
            <color indexed="81"/>
            <rFont val="Tahoma"/>
            <family val="2"/>
          </rPr>
          <t>Lucas Scheidler:</t>
        </r>
        <r>
          <rPr>
            <sz val="9"/>
            <color indexed="81"/>
            <rFont val="Tahoma"/>
            <family val="2"/>
          </rPr>
          <t xml:space="preserve">
EMCOR -Rigging and insulation - Does not include markup</t>
        </r>
      </text>
    </comment>
    <comment ref="AA412"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412" authorId="0">
      <text>
        <r>
          <rPr>
            <b/>
            <sz val="9"/>
            <color indexed="81"/>
            <rFont val="Tahoma"/>
            <family val="2"/>
          </rPr>
          <t>Lucas Scheidler:</t>
        </r>
        <r>
          <rPr>
            <sz val="9"/>
            <color indexed="81"/>
            <rFont val="Tahoma"/>
            <family val="2"/>
          </rPr>
          <t xml:space="preserve">
Weighted average of all laborers. Does not include markup</t>
        </r>
      </text>
    </comment>
    <comment ref="AD412" authorId="0">
      <text>
        <r>
          <rPr>
            <b/>
            <sz val="9"/>
            <color indexed="81"/>
            <rFont val="Tahoma"/>
            <family val="2"/>
          </rPr>
          <t>Lucas Scheidler:</t>
        </r>
        <r>
          <rPr>
            <sz val="9"/>
            <color indexed="81"/>
            <rFont val="Tahoma"/>
            <family val="2"/>
          </rPr>
          <t xml:space="preserve">
Does not include markup</t>
        </r>
      </text>
    </comment>
    <comment ref="AE412" authorId="0">
      <text>
        <r>
          <rPr>
            <b/>
            <sz val="9"/>
            <color indexed="81"/>
            <rFont val="Tahoma"/>
            <family val="2"/>
          </rPr>
          <t>Lucas Scheidler:</t>
        </r>
        <r>
          <rPr>
            <sz val="9"/>
            <color indexed="81"/>
            <rFont val="Tahoma"/>
            <family val="2"/>
          </rPr>
          <t xml:space="preserve">
EMCOR - field material, small tools consumables - Does not include markup or tax</t>
        </r>
      </text>
    </comment>
    <comment ref="AF412" authorId="0">
      <text>
        <r>
          <rPr>
            <b/>
            <sz val="9"/>
            <color indexed="81"/>
            <rFont val="Tahoma"/>
            <family val="2"/>
          </rPr>
          <t>Lucas Scheidler:</t>
        </r>
        <r>
          <rPr>
            <sz val="9"/>
            <color indexed="81"/>
            <rFont val="Tahoma"/>
            <family val="2"/>
          </rPr>
          <t xml:space="preserve">
EMCOR -Rigging and insulation - Does not include markup</t>
        </r>
      </text>
    </comment>
    <comment ref="AG412"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K414" authorId="0">
      <text>
        <r>
          <rPr>
            <b/>
            <sz val="9"/>
            <color indexed="81"/>
            <rFont val="Tahoma"/>
            <family val="2"/>
          </rPr>
          <t>Lucas Scheidler:</t>
        </r>
        <r>
          <rPr>
            <sz val="9"/>
            <color indexed="81"/>
            <rFont val="Tahoma"/>
            <family val="2"/>
          </rPr>
          <t xml:space="preserve">
average artificial bids</t>
        </r>
      </text>
    </comment>
    <comment ref="M414" authorId="0">
      <text>
        <r>
          <rPr>
            <b/>
            <sz val="9"/>
            <color indexed="81"/>
            <rFont val="Tahoma"/>
            <family val="2"/>
          </rPr>
          <t>Lucas Scheidler:</t>
        </r>
        <r>
          <rPr>
            <sz val="9"/>
            <color indexed="81"/>
            <rFont val="Tahoma"/>
            <family val="2"/>
          </rPr>
          <t xml:space="preserve">
Does not specify condensing</t>
        </r>
      </text>
    </comment>
    <comment ref="U414" authorId="0">
      <text>
        <r>
          <rPr>
            <b/>
            <sz val="9"/>
            <color indexed="81"/>
            <rFont val="Tahoma"/>
            <family val="2"/>
          </rPr>
          <t>Lucas Scheidler:</t>
        </r>
        <r>
          <rPr>
            <sz val="9"/>
            <color indexed="81"/>
            <rFont val="Tahoma"/>
            <family val="2"/>
          </rPr>
          <t xml:space="preserve">
RSMeans item 235216</t>
        </r>
      </text>
    </comment>
    <comment ref="AP414" authorId="0">
      <text>
        <r>
          <rPr>
            <b/>
            <sz val="9"/>
            <color indexed="81"/>
            <rFont val="Tahoma"/>
            <family val="2"/>
          </rPr>
          <t>Lucas Scheidler:</t>
        </r>
        <r>
          <rPr>
            <sz val="9"/>
            <color indexed="81"/>
            <rFont val="Tahoma"/>
            <family val="2"/>
          </rPr>
          <t xml:space="preserve">
National average crew Q-5</t>
        </r>
      </text>
    </comment>
    <comment ref="J415" authorId="0">
      <text>
        <r>
          <rPr>
            <b/>
            <sz val="9"/>
            <color indexed="81"/>
            <rFont val="Tahoma"/>
            <family val="2"/>
          </rPr>
          <t>Lucas Scheidler:</t>
        </r>
        <r>
          <rPr>
            <sz val="9"/>
            <color indexed="81"/>
            <rFont val="Tahoma"/>
            <family val="2"/>
          </rPr>
          <t xml:space="preserve">
Crane rental  - based on 200 ton unit</t>
        </r>
      </text>
    </comment>
    <comment ref="R415" authorId="0">
      <text>
        <r>
          <rPr>
            <b/>
            <sz val="9"/>
            <color indexed="81"/>
            <rFont val="Tahoma"/>
            <family val="2"/>
          </rPr>
          <t>Lucas Scheidler:</t>
        </r>
        <r>
          <rPr>
            <sz val="9"/>
            <color indexed="81"/>
            <rFont val="Tahoma"/>
            <family val="2"/>
          </rPr>
          <t xml:space="preserve">
$500 for controls modifications and $300 for installation of condensate drain lines was used. Finally, an additional $500 for installation costs specific to replacement of existing boilers with highefficiency boilers was included. This would include other unspecified costs for replacement, such as additional costs for boilers vented through masonry chimneys. Per unit based on 200 tons</t>
        </r>
      </text>
    </comment>
    <comment ref="J416" authorId="0">
      <text>
        <r>
          <rPr>
            <b/>
            <sz val="9"/>
            <color indexed="81"/>
            <rFont val="Tahoma"/>
            <family val="2"/>
          </rPr>
          <t>Lucas Scheidler:</t>
        </r>
        <r>
          <rPr>
            <sz val="9"/>
            <color indexed="81"/>
            <rFont val="Tahoma"/>
            <family val="2"/>
          </rPr>
          <t xml:space="preserve">
Crane rental  - based on 200 ton unit</t>
        </r>
      </text>
    </comment>
    <comment ref="J417" authorId="0">
      <text>
        <r>
          <rPr>
            <b/>
            <sz val="9"/>
            <color indexed="81"/>
            <rFont val="Tahoma"/>
            <family val="2"/>
          </rPr>
          <t>Lucas Scheidler:</t>
        </r>
        <r>
          <rPr>
            <sz val="9"/>
            <color indexed="81"/>
            <rFont val="Tahoma"/>
            <family val="2"/>
          </rPr>
          <t xml:space="preserve">
Crane rental  - based on 200 ton unit</t>
        </r>
      </text>
    </comment>
    <comment ref="J418" authorId="0">
      <text>
        <r>
          <rPr>
            <b/>
            <sz val="9"/>
            <color indexed="81"/>
            <rFont val="Tahoma"/>
            <family val="2"/>
          </rPr>
          <t>Lucas Scheidler:</t>
        </r>
        <r>
          <rPr>
            <sz val="9"/>
            <color indexed="81"/>
            <rFont val="Tahoma"/>
            <family val="2"/>
          </rPr>
          <t xml:space="preserve">
Crane rental  - based on 1000 ton unit</t>
        </r>
      </text>
    </comment>
    <comment ref="AP418" authorId="0">
      <text>
        <r>
          <rPr>
            <b/>
            <sz val="9"/>
            <color indexed="81"/>
            <rFont val="Tahoma"/>
            <family val="2"/>
          </rPr>
          <t>Lucas Scheidler:</t>
        </r>
        <r>
          <rPr>
            <sz val="9"/>
            <color indexed="81"/>
            <rFont val="Tahoma"/>
            <family val="2"/>
          </rPr>
          <t xml:space="preserve">
National average crew Q-6</t>
        </r>
      </text>
    </comment>
    <comment ref="J419" authorId="0">
      <text>
        <r>
          <rPr>
            <b/>
            <sz val="9"/>
            <color indexed="81"/>
            <rFont val="Tahoma"/>
            <family val="2"/>
          </rPr>
          <t>Lucas Scheidler:</t>
        </r>
        <r>
          <rPr>
            <sz val="9"/>
            <color indexed="81"/>
            <rFont val="Tahoma"/>
            <family val="2"/>
          </rPr>
          <t xml:space="preserve">
Crane rental  - based on 3000 ton unit</t>
        </r>
      </text>
    </comment>
    <comment ref="J420" authorId="0">
      <text>
        <r>
          <rPr>
            <b/>
            <sz val="9"/>
            <color indexed="81"/>
            <rFont val="Tahoma"/>
            <family val="2"/>
          </rPr>
          <t>Lucas Scheidler:</t>
        </r>
        <r>
          <rPr>
            <sz val="9"/>
            <color indexed="81"/>
            <rFont val="Tahoma"/>
            <family val="2"/>
          </rPr>
          <t xml:space="preserve">
Crane rental  - based on 1000 ton unit</t>
        </r>
      </text>
    </comment>
    <comment ref="J421" authorId="0">
      <text>
        <r>
          <rPr>
            <b/>
            <sz val="9"/>
            <color indexed="81"/>
            <rFont val="Tahoma"/>
            <family val="2"/>
          </rPr>
          <t>Lucas Scheidler:</t>
        </r>
        <r>
          <rPr>
            <sz val="9"/>
            <color indexed="81"/>
            <rFont val="Tahoma"/>
            <family val="2"/>
          </rPr>
          <t xml:space="preserve">
Crane rental  - based on 3000 ton unit</t>
        </r>
      </text>
    </comment>
    <comment ref="W421" authorId="0">
      <text>
        <r>
          <rPr>
            <b/>
            <sz val="9"/>
            <color indexed="81"/>
            <rFont val="Tahoma"/>
            <family val="2"/>
          </rPr>
          <t>Lucas Scheidler:</t>
        </r>
        <r>
          <rPr>
            <sz val="9"/>
            <color indexed="81"/>
            <rFont val="Tahoma"/>
            <family val="2"/>
          </rPr>
          <t xml:space="preserve">
Weighted average of all laborers. Does not include markup</t>
        </r>
      </text>
    </comment>
    <comment ref="X421" authorId="0">
      <text>
        <r>
          <rPr>
            <b/>
            <sz val="9"/>
            <color indexed="81"/>
            <rFont val="Tahoma"/>
            <family val="2"/>
          </rPr>
          <t>Lucas Scheidler:</t>
        </r>
        <r>
          <rPr>
            <sz val="9"/>
            <color indexed="81"/>
            <rFont val="Tahoma"/>
            <family val="2"/>
          </rPr>
          <t xml:space="preserve">
Does not include markup</t>
        </r>
      </text>
    </comment>
    <comment ref="Y421" authorId="0">
      <text>
        <r>
          <rPr>
            <b/>
            <sz val="9"/>
            <color indexed="81"/>
            <rFont val="Tahoma"/>
            <family val="2"/>
          </rPr>
          <t>Lucas Scheidler:</t>
        </r>
        <r>
          <rPr>
            <sz val="9"/>
            <color indexed="81"/>
            <rFont val="Tahoma"/>
            <family val="2"/>
          </rPr>
          <t xml:space="preserve">
EMCOR - piping and electrical - Does not include markup or tax</t>
        </r>
      </text>
    </comment>
    <comment ref="Z421" authorId="0">
      <text>
        <r>
          <rPr>
            <b/>
            <sz val="9"/>
            <color indexed="81"/>
            <rFont val="Tahoma"/>
            <family val="2"/>
          </rPr>
          <t>Lucas Scheidler:</t>
        </r>
        <r>
          <rPr>
            <sz val="9"/>
            <color indexed="81"/>
            <rFont val="Tahoma"/>
            <family val="2"/>
          </rPr>
          <t xml:space="preserve">
EMCOR -Rigging and insulation - Does not include markup</t>
        </r>
      </text>
    </comment>
    <comment ref="AA421"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421" authorId="0">
      <text>
        <r>
          <rPr>
            <b/>
            <sz val="9"/>
            <color indexed="81"/>
            <rFont val="Tahoma"/>
            <family val="2"/>
          </rPr>
          <t>Lucas Scheidler:</t>
        </r>
        <r>
          <rPr>
            <sz val="9"/>
            <color indexed="81"/>
            <rFont val="Tahoma"/>
            <family val="2"/>
          </rPr>
          <t xml:space="preserve">
Weighted average of all laborers. Does not include markup</t>
        </r>
      </text>
    </comment>
    <comment ref="AD421" authorId="0">
      <text>
        <r>
          <rPr>
            <b/>
            <sz val="9"/>
            <color indexed="81"/>
            <rFont val="Tahoma"/>
            <family val="2"/>
          </rPr>
          <t>Lucas Scheidler:</t>
        </r>
        <r>
          <rPr>
            <sz val="9"/>
            <color indexed="81"/>
            <rFont val="Tahoma"/>
            <family val="2"/>
          </rPr>
          <t xml:space="preserve">
Does not include markup</t>
        </r>
      </text>
    </comment>
    <comment ref="AE421" authorId="0">
      <text>
        <r>
          <rPr>
            <b/>
            <sz val="9"/>
            <color indexed="81"/>
            <rFont val="Tahoma"/>
            <family val="2"/>
          </rPr>
          <t>Lucas Scheidler:</t>
        </r>
        <r>
          <rPr>
            <sz val="9"/>
            <color indexed="81"/>
            <rFont val="Tahoma"/>
            <family val="2"/>
          </rPr>
          <t xml:space="preserve">
EMCOR - field material, small tools consumables - Does not include markup or tax</t>
        </r>
      </text>
    </comment>
    <comment ref="AF421" authorId="0">
      <text>
        <r>
          <rPr>
            <b/>
            <sz val="9"/>
            <color indexed="81"/>
            <rFont val="Tahoma"/>
            <family val="2"/>
          </rPr>
          <t>Lucas Scheidler:</t>
        </r>
        <r>
          <rPr>
            <sz val="9"/>
            <color indexed="81"/>
            <rFont val="Tahoma"/>
            <family val="2"/>
          </rPr>
          <t xml:space="preserve">
EMCOR -Rigging and insulation - Does not include markup</t>
        </r>
      </text>
    </comment>
    <comment ref="AG421"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J422" authorId="0">
      <text>
        <r>
          <rPr>
            <b/>
            <sz val="9"/>
            <color indexed="81"/>
            <rFont val="Tahoma"/>
            <family val="2"/>
          </rPr>
          <t>Lucas Scheidler:</t>
        </r>
        <r>
          <rPr>
            <sz val="9"/>
            <color indexed="81"/>
            <rFont val="Tahoma"/>
            <family val="2"/>
          </rPr>
          <t xml:space="preserve">
Crane rental  - based on 1000 ton unit</t>
        </r>
      </text>
    </comment>
    <comment ref="W422" authorId="0">
      <text>
        <r>
          <rPr>
            <b/>
            <sz val="9"/>
            <color indexed="81"/>
            <rFont val="Tahoma"/>
            <family val="2"/>
          </rPr>
          <t>Lucas Scheidler:</t>
        </r>
        <r>
          <rPr>
            <sz val="9"/>
            <color indexed="81"/>
            <rFont val="Tahoma"/>
            <family val="2"/>
          </rPr>
          <t xml:space="preserve">
Weighted average of all laborers. Does not include markup</t>
        </r>
      </text>
    </comment>
    <comment ref="X422" authorId="0">
      <text>
        <r>
          <rPr>
            <b/>
            <sz val="9"/>
            <color indexed="81"/>
            <rFont val="Tahoma"/>
            <family val="2"/>
          </rPr>
          <t>Lucas Scheidler:</t>
        </r>
        <r>
          <rPr>
            <sz val="9"/>
            <color indexed="81"/>
            <rFont val="Tahoma"/>
            <family val="2"/>
          </rPr>
          <t xml:space="preserve">
Does not include markup</t>
        </r>
      </text>
    </comment>
    <comment ref="Y422" authorId="0">
      <text>
        <r>
          <rPr>
            <b/>
            <sz val="9"/>
            <color indexed="81"/>
            <rFont val="Tahoma"/>
            <family val="2"/>
          </rPr>
          <t>Lucas Scheidler:</t>
        </r>
        <r>
          <rPr>
            <sz val="9"/>
            <color indexed="81"/>
            <rFont val="Tahoma"/>
            <family val="2"/>
          </rPr>
          <t xml:space="preserve">
EMCOR - piping and electrical - Does not include markup or tax</t>
        </r>
      </text>
    </comment>
    <comment ref="Z422" authorId="0">
      <text>
        <r>
          <rPr>
            <b/>
            <sz val="9"/>
            <color indexed="81"/>
            <rFont val="Tahoma"/>
            <family val="2"/>
          </rPr>
          <t>Lucas Scheidler:</t>
        </r>
        <r>
          <rPr>
            <sz val="9"/>
            <color indexed="81"/>
            <rFont val="Tahoma"/>
            <family val="2"/>
          </rPr>
          <t xml:space="preserve">
EMCOR -Rigging and insulation - Does not include markup</t>
        </r>
      </text>
    </comment>
    <comment ref="AA422"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422" authorId="0">
      <text>
        <r>
          <rPr>
            <b/>
            <sz val="9"/>
            <color indexed="81"/>
            <rFont val="Tahoma"/>
            <family val="2"/>
          </rPr>
          <t>Lucas Scheidler:</t>
        </r>
        <r>
          <rPr>
            <sz val="9"/>
            <color indexed="81"/>
            <rFont val="Tahoma"/>
            <family val="2"/>
          </rPr>
          <t xml:space="preserve">
Weighted average of all laborers. Does not include markup</t>
        </r>
      </text>
    </comment>
    <comment ref="AD422" authorId="0">
      <text>
        <r>
          <rPr>
            <b/>
            <sz val="9"/>
            <color indexed="81"/>
            <rFont val="Tahoma"/>
            <family val="2"/>
          </rPr>
          <t>Lucas Scheidler:</t>
        </r>
        <r>
          <rPr>
            <sz val="9"/>
            <color indexed="81"/>
            <rFont val="Tahoma"/>
            <family val="2"/>
          </rPr>
          <t xml:space="preserve">
Does not include markup</t>
        </r>
      </text>
    </comment>
    <comment ref="AE422" authorId="0">
      <text>
        <r>
          <rPr>
            <b/>
            <sz val="9"/>
            <color indexed="81"/>
            <rFont val="Tahoma"/>
            <family val="2"/>
          </rPr>
          <t>Lucas Scheidler:</t>
        </r>
        <r>
          <rPr>
            <sz val="9"/>
            <color indexed="81"/>
            <rFont val="Tahoma"/>
            <family val="2"/>
          </rPr>
          <t xml:space="preserve">
EMCOR - field material, small tools consumables - Does not include markup or tax</t>
        </r>
      </text>
    </comment>
    <comment ref="AF422" authorId="0">
      <text>
        <r>
          <rPr>
            <b/>
            <sz val="9"/>
            <color indexed="81"/>
            <rFont val="Tahoma"/>
            <family val="2"/>
          </rPr>
          <t>Lucas Scheidler:</t>
        </r>
        <r>
          <rPr>
            <sz val="9"/>
            <color indexed="81"/>
            <rFont val="Tahoma"/>
            <family val="2"/>
          </rPr>
          <t xml:space="preserve">
EMCOR -Rigging and insulation - Does not include markup</t>
        </r>
      </text>
    </comment>
    <comment ref="AG422"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J423" authorId="0">
      <text>
        <r>
          <rPr>
            <b/>
            <sz val="9"/>
            <color indexed="81"/>
            <rFont val="Tahoma"/>
            <family val="2"/>
          </rPr>
          <t>Lucas Scheidler:</t>
        </r>
        <r>
          <rPr>
            <sz val="9"/>
            <color indexed="81"/>
            <rFont val="Tahoma"/>
            <family val="2"/>
          </rPr>
          <t xml:space="preserve">
Crane rental  - based on 3000 ton unit</t>
        </r>
      </text>
    </comment>
    <comment ref="W423" authorId="0">
      <text>
        <r>
          <rPr>
            <b/>
            <sz val="9"/>
            <color indexed="81"/>
            <rFont val="Tahoma"/>
            <family val="2"/>
          </rPr>
          <t>Lucas Scheidler:</t>
        </r>
        <r>
          <rPr>
            <sz val="9"/>
            <color indexed="81"/>
            <rFont val="Tahoma"/>
            <family val="2"/>
          </rPr>
          <t xml:space="preserve">
Weighted average of all laborers. Does not include markup</t>
        </r>
      </text>
    </comment>
    <comment ref="X423" authorId="0">
      <text>
        <r>
          <rPr>
            <b/>
            <sz val="9"/>
            <color indexed="81"/>
            <rFont val="Tahoma"/>
            <family val="2"/>
          </rPr>
          <t>Lucas Scheidler:</t>
        </r>
        <r>
          <rPr>
            <sz val="9"/>
            <color indexed="81"/>
            <rFont val="Tahoma"/>
            <family val="2"/>
          </rPr>
          <t xml:space="preserve">
Does not include markup</t>
        </r>
      </text>
    </comment>
    <comment ref="Y423" authorId="0">
      <text>
        <r>
          <rPr>
            <b/>
            <sz val="9"/>
            <color indexed="81"/>
            <rFont val="Tahoma"/>
            <family val="2"/>
          </rPr>
          <t>Lucas Scheidler:</t>
        </r>
        <r>
          <rPr>
            <sz val="9"/>
            <color indexed="81"/>
            <rFont val="Tahoma"/>
            <family val="2"/>
          </rPr>
          <t xml:space="preserve">
EMCOR - piping and electrical - Does not include markup or tax</t>
        </r>
      </text>
    </comment>
    <comment ref="Z423" authorId="0">
      <text>
        <r>
          <rPr>
            <b/>
            <sz val="9"/>
            <color indexed="81"/>
            <rFont val="Tahoma"/>
            <family val="2"/>
          </rPr>
          <t>Lucas Scheidler:</t>
        </r>
        <r>
          <rPr>
            <sz val="9"/>
            <color indexed="81"/>
            <rFont val="Tahoma"/>
            <family val="2"/>
          </rPr>
          <t xml:space="preserve">
EMCOR -Rigging and insulation - Does not include markup</t>
        </r>
      </text>
    </comment>
    <comment ref="AA423"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423" authorId="0">
      <text>
        <r>
          <rPr>
            <b/>
            <sz val="9"/>
            <color indexed="81"/>
            <rFont val="Tahoma"/>
            <family val="2"/>
          </rPr>
          <t>Lucas Scheidler:</t>
        </r>
        <r>
          <rPr>
            <sz val="9"/>
            <color indexed="81"/>
            <rFont val="Tahoma"/>
            <family val="2"/>
          </rPr>
          <t xml:space="preserve">
Weighted average of all laborers. Does not include markup</t>
        </r>
      </text>
    </comment>
    <comment ref="AD423" authorId="0">
      <text>
        <r>
          <rPr>
            <b/>
            <sz val="9"/>
            <color indexed="81"/>
            <rFont val="Tahoma"/>
            <family val="2"/>
          </rPr>
          <t>Lucas Scheidler:</t>
        </r>
        <r>
          <rPr>
            <sz val="9"/>
            <color indexed="81"/>
            <rFont val="Tahoma"/>
            <family val="2"/>
          </rPr>
          <t xml:space="preserve">
Does not include markup</t>
        </r>
      </text>
    </comment>
    <comment ref="AE423" authorId="0">
      <text>
        <r>
          <rPr>
            <b/>
            <sz val="9"/>
            <color indexed="81"/>
            <rFont val="Tahoma"/>
            <family val="2"/>
          </rPr>
          <t>Lucas Scheidler:</t>
        </r>
        <r>
          <rPr>
            <sz val="9"/>
            <color indexed="81"/>
            <rFont val="Tahoma"/>
            <family val="2"/>
          </rPr>
          <t xml:space="preserve">
EMCOR - field material, small tools consumables - Does not include markup or tax</t>
        </r>
      </text>
    </comment>
    <comment ref="AF423" authorId="0">
      <text>
        <r>
          <rPr>
            <b/>
            <sz val="9"/>
            <color indexed="81"/>
            <rFont val="Tahoma"/>
            <family val="2"/>
          </rPr>
          <t>Lucas Scheidler:</t>
        </r>
        <r>
          <rPr>
            <sz val="9"/>
            <color indexed="81"/>
            <rFont val="Tahoma"/>
            <family val="2"/>
          </rPr>
          <t xml:space="preserve">
EMCOR -Rigging and insulation - Does not include markup</t>
        </r>
      </text>
    </comment>
    <comment ref="AG423"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W424" authorId="0">
      <text>
        <r>
          <rPr>
            <b/>
            <sz val="9"/>
            <color indexed="81"/>
            <rFont val="Tahoma"/>
            <family val="2"/>
          </rPr>
          <t>Lucas Scheidler:</t>
        </r>
        <r>
          <rPr>
            <sz val="9"/>
            <color indexed="81"/>
            <rFont val="Tahoma"/>
            <family val="2"/>
          </rPr>
          <t xml:space="preserve">
Weighted average of all laborers. Does not include markup</t>
        </r>
      </text>
    </comment>
    <comment ref="X424" authorId="0">
      <text>
        <r>
          <rPr>
            <b/>
            <sz val="9"/>
            <color indexed="81"/>
            <rFont val="Tahoma"/>
            <family val="2"/>
          </rPr>
          <t>Lucas Scheidler:</t>
        </r>
        <r>
          <rPr>
            <sz val="9"/>
            <color indexed="81"/>
            <rFont val="Tahoma"/>
            <family val="2"/>
          </rPr>
          <t xml:space="preserve">
Does not include markup</t>
        </r>
      </text>
    </comment>
    <comment ref="Y424" authorId="0">
      <text>
        <r>
          <rPr>
            <b/>
            <sz val="9"/>
            <color indexed="81"/>
            <rFont val="Tahoma"/>
            <family val="2"/>
          </rPr>
          <t>Lucas Scheidler:</t>
        </r>
        <r>
          <rPr>
            <sz val="9"/>
            <color indexed="81"/>
            <rFont val="Tahoma"/>
            <family val="2"/>
          </rPr>
          <t xml:space="preserve">
EMCOR - piping and electrical - Does not include markup or tax</t>
        </r>
      </text>
    </comment>
    <comment ref="Z424" authorId="0">
      <text>
        <r>
          <rPr>
            <b/>
            <sz val="9"/>
            <color indexed="81"/>
            <rFont val="Tahoma"/>
            <family val="2"/>
          </rPr>
          <t>Lucas Scheidler:</t>
        </r>
        <r>
          <rPr>
            <sz val="9"/>
            <color indexed="81"/>
            <rFont val="Tahoma"/>
            <family val="2"/>
          </rPr>
          <t xml:space="preserve">
EMCOR -Rigging and insulation - Does not include markup</t>
        </r>
      </text>
    </comment>
    <comment ref="AA424"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424" authorId="0">
      <text>
        <r>
          <rPr>
            <b/>
            <sz val="9"/>
            <color indexed="81"/>
            <rFont val="Tahoma"/>
            <family val="2"/>
          </rPr>
          <t>Lucas Scheidler:</t>
        </r>
        <r>
          <rPr>
            <sz val="9"/>
            <color indexed="81"/>
            <rFont val="Tahoma"/>
            <family val="2"/>
          </rPr>
          <t xml:space="preserve">
Weighted average of all laborers. Does not include markup</t>
        </r>
      </text>
    </comment>
    <comment ref="AD424" authorId="0">
      <text>
        <r>
          <rPr>
            <b/>
            <sz val="9"/>
            <color indexed="81"/>
            <rFont val="Tahoma"/>
            <family val="2"/>
          </rPr>
          <t>Lucas Scheidler:</t>
        </r>
        <r>
          <rPr>
            <sz val="9"/>
            <color indexed="81"/>
            <rFont val="Tahoma"/>
            <family val="2"/>
          </rPr>
          <t xml:space="preserve">
Does not include markup</t>
        </r>
      </text>
    </comment>
    <comment ref="AE424" authorId="0">
      <text>
        <r>
          <rPr>
            <b/>
            <sz val="9"/>
            <color indexed="81"/>
            <rFont val="Tahoma"/>
            <family val="2"/>
          </rPr>
          <t>Lucas Scheidler:</t>
        </r>
        <r>
          <rPr>
            <sz val="9"/>
            <color indexed="81"/>
            <rFont val="Tahoma"/>
            <family val="2"/>
          </rPr>
          <t xml:space="preserve">
EMCOR - field material, small tools consumables - Does not include markup or tax</t>
        </r>
      </text>
    </comment>
    <comment ref="AF424" authorId="0">
      <text>
        <r>
          <rPr>
            <b/>
            <sz val="9"/>
            <color indexed="81"/>
            <rFont val="Tahoma"/>
            <family val="2"/>
          </rPr>
          <t>Lucas Scheidler:</t>
        </r>
        <r>
          <rPr>
            <sz val="9"/>
            <color indexed="81"/>
            <rFont val="Tahoma"/>
            <family val="2"/>
          </rPr>
          <t xml:space="preserve">
EMCOR -Rigging and insulation - Does not include markup</t>
        </r>
      </text>
    </comment>
    <comment ref="AG424"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W425" authorId="0">
      <text>
        <r>
          <rPr>
            <b/>
            <sz val="9"/>
            <color indexed="81"/>
            <rFont val="Tahoma"/>
            <family val="2"/>
          </rPr>
          <t>Lucas Scheidler:</t>
        </r>
        <r>
          <rPr>
            <sz val="9"/>
            <color indexed="81"/>
            <rFont val="Tahoma"/>
            <family val="2"/>
          </rPr>
          <t xml:space="preserve">
Weighted average of all laborers. Does not include markup</t>
        </r>
      </text>
    </comment>
    <comment ref="X425" authorId="0">
      <text>
        <r>
          <rPr>
            <b/>
            <sz val="9"/>
            <color indexed="81"/>
            <rFont val="Tahoma"/>
            <family val="2"/>
          </rPr>
          <t>Lucas Scheidler:</t>
        </r>
        <r>
          <rPr>
            <sz val="9"/>
            <color indexed="81"/>
            <rFont val="Tahoma"/>
            <family val="2"/>
          </rPr>
          <t xml:space="preserve">
Does not include markup</t>
        </r>
      </text>
    </comment>
    <comment ref="Y425" authorId="0">
      <text>
        <r>
          <rPr>
            <b/>
            <sz val="9"/>
            <color indexed="81"/>
            <rFont val="Tahoma"/>
            <family val="2"/>
          </rPr>
          <t>Lucas Scheidler:</t>
        </r>
        <r>
          <rPr>
            <sz val="9"/>
            <color indexed="81"/>
            <rFont val="Tahoma"/>
            <family val="2"/>
          </rPr>
          <t xml:space="preserve">
EMCOR - piping and electrical - Does not include markup or tax</t>
        </r>
      </text>
    </comment>
    <comment ref="Z425" authorId="0">
      <text>
        <r>
          <rPr>
            <b/>
            <sz val="9"/>
            <color indexed="81"/>
            <rFont val="Tahoma"/>
            <family val="2"/>
          </rPr>
          <t>Lucas Scheidler:</t>
        </r>
        <r>
          <rPr>
            <sz val="9"/>
            <color indexed="81"/>
            <rFont val="Tahoma"/>
            <family val="2"/>
          </rPr>
          <t xml:space="preserve">
EMCOR -Rigging and insulation - Does not include markup</t>
        </r>
      </text>
    </comment>
    <comment ref="AA425"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425" authorId="0">
      <text>
        <r>
          <rPr>
            <b/>
            <sz val="9"/>
            <color indexed="81"/>
            <rFont val="Tahoma"/>
            <family val="2"/>
          </rPr>
          <t>Lucas Scheidler:</t>
        </r>
        <r>
          <rPr>
            <sz val="9"/>
            <color indexed="81"/>
            <rFont val="Tahoma"/>
            <family val="2"/>
          </rPr>
          <t xml:space="preserve">
Weighted average of all laborers. Does not include markup</t>
        </r>
      </text>
    </comment>
    <comment ref="AD425" authorId="0">
      <text>
        <r>
          <rPr>
            <b/>
            <sz val="9"/>
            <color indexed="81"/>
            <rFont val="Tahoma"/>
            <family val="2"/>
          </rPr>
          <t>Lucas Scheidler:</t>
        </r>
        <r>
          <rPr>
            <sz val="9"/>
            <color indexed="81"/>
            <rFont val="Tahoma"/>
            <family val="2"/>
          </rPr>
          <t xml:space="preserve">
Does not include markup</t>
        </r>
      </text>
    </comment>
    <comment ref="AE425" authorId="0">
      <text>
        <r>
          <rPr>
            <b/>
            <sz val="9"/>
            <color indexed="81"/>
            <rFont val="Tahoma"/>
            <family val="2"/>
          </rPr>
          <t>Lucas Scheidler:</t>
        </r>
        <r>
          <rPr>
            <sz val="9"/>
            <color indexed="81"/>
            <rFont val="Tahoma"/>
            <family val="2"/>
          </rPr>
          <t xml:space="preserve">
EMCOR - field material, small tools consumables - Does not include markup or tax</t>
        </r>
      </text>
    </comment>
    <comment ref="AF425" authorId="0">
      <text>
        <r>
          <rPr>
            <b/>
            <sz val="9"/>
            <color indexed="81"/>
            <rFont val="Tahoma"/>
            <family val="2"/>
          </rPr>
          <t>Lucas Scheidler:</t>
        </r>
        <r>
          <rPr>
            <sz val="9"/>
            <color indexed="81"/>
            <rFont val="Tahoma"/>
            <family val="2"/>
          </rPr>
          <t xml:space="preserve">
EMCOR -Rigging and insulation - Does not include markup</t>
        </r>
      </text>
    </comment>
    <comment ref="AG425"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W426" authorId="0">
      <text>
        <r>
          <rPr>
            <b/>
            <sz val="9"/>
            <color indexed="81"/>
            <rFont val="Tahoma"/>
            <family val="2"/>
          </rPr>
          <t>Lucas Scheidler:</t>
        </r>
        <r>
          <rPr>
            <sz val="9"/>
            <color indexed="81"/>
            <rFont val="Tahoma"/>
            <family val="2"/>
          </rPr>
          <t xml:space="preserve">
Weighted average of all laborers. Does not include markup</t>
        </r>
      </text>
    </comment>
    <comment ref="X426" authorId="0">
      <text>
        <r>
          <rPr>
            <b/>
            <sz val="9"/>
            <color indexed="81"/>
            <rFont val="Tahoma"/>
            <family val="2"/>
          </rPr>
          <t>Lucas Scheidler:</t>
        </r>
        <r>
          <rPr>
            <sz val="9"/>
            <color indexed="81"/>
            <rFont val="Tahoma"/>
            <family val="2"/>
          </rPr>
          <t xml:space="preserve">
Does not include markup</t>
        </r>
      </text>
    </comment>
    <comment ref="Y426" authorId="0">
      <text>
        <r>
          <rPr>
            <b/>
            <sz val="9"/>
            <color indexed="81"/>
            <rFont val="Tahoma"/>
            <family val="2"/>
          </rPr>
          <t>Lucas Scheidler:</t>
        </r>
        <r>
          <rPr>
            <sz val="9"/>
            <color indexed="81"/>
            <rFont val="Tahoma"/>
            <family val="2"/>
          </rPr>
          <t xml:space="preserve">
EMCOR - piping and electrical - Does not include markup or tax</t>
        </r>
      </text>
    </comment>
    <comment ref="Z426" authorId="0">
      <text>
        <r>
          <rPr>
            <b/>
            <sz val="9"/>
            <color indexed="81"/>
            <rFont val="Tahoma"/>
            <family val="2"/>
          </rPr>
          <t>Lucas Scheidler:</t>
        </r>
        <r>
          <rPr>
            <sz val="9"/>
            <color indexed="81"/>
            <rFont val="Tahoma"/>
            <family val="2"/>
          </rPr>
          <t xml:space="preserve">
EMCOR -Rigging and insulation - Does not include markup</t>
        </r>
      </text>
    </comment>
    <comment ref="AA426"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426" authorId="0">
      <text>
        <r>
          <rPr>
            <b/>
            <sz val="9"/>
            <color indexed="81"/>
            <rFont val="Tahoma"/>
            <family val="2"/>
          </rPr>
          <t>Lucas Scheidler:</t>
        </r>
        <r>
          <rPr>
            <sz val="9"/>
            <color indexed="81"/>
            <rFont val="Tahoma"/>
            <family val="2"/>
          </rPr>
          <t xml:space="preserve">
Weighted average of all laborers. Does not include markup</t>
        </r>
      </text>
    </comment>
    <comment ref="AD426" authorId="0">
      <text>
        <r>
          <rPr>
            <b/>
            <sz val="9"/>
            <color indexed="81"/>
            <rFont val="Tahoma"/>
            <family val="2"/>
          </rPr>
          <t>Lucas Scheidler:</t>
        </r>
        <r>
          <rPr>
            <sz val="9"/>
            <color indexed="81"/>
            <rFont val="Tahoma"/>
            <family val="2"/>
          </rPr>
          <t xml:space="preserve">
Does not include markup</t>
        </r>
      </text>
    </comment>
    <comment ref="AE426" authorId="0">
      <text>
        <r>
          <rPr>
            <b/>
            <sz val="9"/>
            <color indexed="81"/>
            <rFont val="Tahoma"/>
            <family val="2"/>
          </rPr>
          <t>Lucas Scheidler:</t>
        </r>
        <r>
          <rPr>
            <sz val="9"/>
            <color indexed="81"/>
            <rFont val="Tahoma"/>
            <family val="2"/>
          </rPr>
          <t xml:space="preserve">
EMCOR - field material, small tools consumables - Does not include markup or tax</t>
        </r>
      </text>
    </comment>
    <comment ref="AF426" authorId="0">
      <text>
        <r>
          <rPr>
            <b/>
            <sz val="9"/>
            <color indexed="81"/>
            <rFont val="Tahoma"/>
            <family val="2"/>
          </rPr>
          <t>Lucas Scheidler:</t>
        </r>
        <r>
          <rPr>
            <sz val="9"/>
            <color indexed="81"/>
            <rFont val="Tahoma"/>
            <family val="2"/>
          </rPr>
          <t xml:space="preserve">
EMCOR -Rigging and insulation - Does not include markup</t>
        </r>
      </text>
    </comment>
    <comment ref="AG426"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W427" authorId="0">
      <text>
        <r>
          <rPr>
            <b/>
            <sz val="9"/>
            <color indexed="81"/>
            <rFont val="Tahoma"/>
            <family val="2"/>
          </rPr>
          <t>Lucas Scheidler:</t>
        </r>
        <r>
          <rPr>
            <sz val="9"/>
            <color indexed="81"/>
            <rFont val="Tahoma"/>
            <family val="2"/>
          </rPr>
          <t xml:space="preserve">
Weighted average of all laborers. Does not include markup</t>
        </r>
      </text>
    </comment>
    <comment ref="X427" authorId="0">
      <text>
        <r>
          <rPr>
            <b/>
            <sz val="9"/>
            <color indexed="81"/>
            <rFont val="Tahoma"/>
            <family val="2"/>
          </rPr>
          <t>Lucas Scheidler:</t>
        </r>
        <r>
          <rPr>
            <sz val="9"/>
            <color indexed="81"/>
            <rFont val="Tahoma"/>
            <family val="2"/>
          </rPr>
          <t xml:space="preserve">
Does not include markup</t>
        </r>
      </text>
    </comment>
    <comment ref="Y427" authorId="0">
      <text>
        <r>
          <rPr>
            <b/>
            <sz val="9"/>
            <color indexed="81"/>
            <rFont val="Tahoma"/>
            <family val="2"/>
          </rPr>
          <t>Lucas Scheidler:</t>
        </r>
        <r>
          <rPr>
            <sz val="9"/>
            <color indexed="81"/>
            <rFont val="Tahoma"/>
            <family val="2"/>
          </rPr>
          <t xml:space="preserve">
EMCOR - piping and electrical - Does not include markup or tax</t>
        </r>
      </text>
    </comment>
    <comment ref="Z427" authorId="0">
      <text>
        <r>
          <rPr>
            <b/>
            <sz val="9"/>
            <color indexed="81"/>
            <rFont val="Tahoma"/>
            <family val="2"/>
          </rPr>
          <t>Lucas Scheidler:</t>
        </r>
        <r>
          <rPr>
            <sz val="9"/>
            <color indexed="81"/>
            <rFont val="Tahoma"/>
            <family val="2"/>
          </rPr>
          <t xml:space="preserve">
EMCOR -Rigging and insulation - Does not include markup</t>
        </r>
      </text>
    </comment>
    <comment ref="AA427"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427" authorId="0">
      <text>
        <r>
          <rPr>
            <b/>
            <sz val="9"/>
            <color indexed="81"/>
            <rFont val="Tahoma"/>
            <family val="2"/>
          </rPr>
          <t>Lucas Scheidler:</t>
        </r>
        <r>
          <rPr>
            <sz val="9"/>
            <color indexed="81"/>
            <rFont val="Tahoma"/>
            <family val="2"/>
          </rPr>
          <t xml:space="preserve">
Weighted average of all laborers. Does not include markup</t>
        </r>
      </text>
    </comment>
    <comment ref="AD427" authorId="0">
      <text>
        <r>
          <rPr>
            <b/>
            <sz val="9"/>
            <color indexed="81"/>
            <rFont val="Tahoma"/>
            <family val="2"/>
          </rPr>
          <t>Lucas Scheidler:</t>
        </r>
        <r>
          <rPr>
            <sz val="9"/>
            <color indexed="81"/>
            <rFont val="Tahoma"/>
            <family val="2"/>
          </rPr>
          <t xml:space="preserve">
Does not include markup</t>
        </r>
      </text>
    </comment>
    <comment ref="AE427" authorId="0">
      <text>
        <r>
          <rPr>
            <b/>
            <sz val="9"/>
            <color indexed="81"/>
            <rFont val="Tahoma"/>
            <family val="2"/>
          </rPr>
          <t>Lucas Scheidler:</t>
        </r>
        <r>
          <rPr>
            <sz val="9"/>
            <color indexed="81"/>
            <rFont val="Tahoma"/>
            <family val="2"/>
          </rPr>
          <t xml:space="preserve">
EMCOR - field material, small tools consumables - Does not include markup or tax</t>
        </r>
      </text>
    </comment>
    <comment ref="AF427" authorId="0">
      <text>
        <r>
          <rPr>
            <b/>
            <sz val="9"/>
            <color indexed="81"/>
            <rFont val="Tahoma"/>
            <family val="2"/>
          </rPr>
          <t>Lucas Scheidler:</t>
        </r>
        <r>
          <rPr>
            <sz val="9"/>
            <color indexed="81"/>
            <rFont val="Tahoma"/>
            <family val="2"/>
          </rPr>
          <t xml:space="preserve">
EMCOR -Rigging and insulation - Does not include markup</t>
        </r>
      </text>
    </comment>
    <comment ref="AG427"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W428" authorId="0">
      <text>
        <r>
          <rPr>
            <b/>
            <sz val="9"/>
            <color indexed="81"/>
            <rFont val="Tahoma"/>
            <family val="2"/>
          </rPr>
          <t>Lucas Scheidler:</t>
        </r>
        <r>
          <rPr>
            <sz val="9"/>
            <color indexed="81"/>
            <rFont val="Tahoma"/>
            <family val="2"/>
          </rPr>
          <t xml:space="preserve">
Weighted average of all laborers. Does not include markup</t>
        </r>
      </text>
    </comment>
    <comment ref="X428" authorId="0">
      <text>
        <r>
          <rPr>
            <b/>
            <sz val="9"/>
            <color indexed="81"/>
            <rFont val="Tahoma"/>
            <family val="2"/>
          </rPr>
          <t>Lucas Scheidler:</t>
        </r>
        <r>
          <rPr>
            <sz val="9"/>
            <color indexed="81"/>
            <rFont val="Tahoma"/>
            <family val="2"/>
          </rPr>
          <t xml:space="preserve">
Does not include markup</t>
        </r>
      </text>
    </comment>
    <comment ref="Y428" authorId="0">
      <text>
        <r>
          <rPr>
            <b/>
            <sz val="9"/>
            <color indexed="81"/>
            <rFont val="Tahoma"/>
            <family val="2"/>
          </rPr>
          <t>Lucas Scheidler:</t>
        </r>
        <r>
          <rPr>
            <sz val="9"/>
            <color indexed="81"/>
            <rFont val="Tahoma"/>
            <family val="2"/>
          </rPr>
          <t xml:space="preserve">
EMCOR - piping and electrical - Does not include markup or tax</t>
        </r>
      </text>
    </comment>
    <comment ref="Z428" authorId="0">
      <text>
        <r>
          <rPr>
            <b/>
            <sz val="9"/>
            <color indexed="81"/>
            <rFont val="Tahoma"/>
            <family val="2"/>
          </rPr>
          <t>Lucas Scheidler:</t>
        </r>
        <r>
          <rPr>
            <sz val="9"/>
            <color indexed="81"/>
            <rFont val="Tahoma"/>
            <family val="2"/>
          </rPr>
          <t xml:space="preserve">
EMCOR -Rigging and insulation - Does not include markup</t>
        </r>
      </text>
    </comment>
    <comment ref="AA428"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428" authorId="0">
      <text>
        <r>
          <rPr>
            <b/>
            <sz val="9"/>
            <color indexed="81"/>
            <rFont val="Tahoma"/>
            <family val="2"/>
          </rPr>
          <t>Lucas Scheidler:</t>
        </r>
        <r>
          <rPr>
            <sz val="9"/>
            <color indexed="81"/>
            <rFont val="Tahoma"/>
            <family val="2"/>
          </rPr>
          <t xml:space="preserve">
Weighted average of all laborers. Does not include markup</t>
        </r>
      </text>
    </comment>
    <comment ref="AD428" authorId="0">
      <text>
        <r>
          <rPr>
            <b/>
            <sz val="9"/>
            <color indexed="81"/>
            <rFont val="Tahoma"/>
            <family val="2"/>
          </rPr>
          <t>Lucas Scheidler:</t>
        </r>
        <r>
          <rPr>
            <sz val="9"/>
            <color indexed="81"/>
            <rFont val="Tahoma"/>
            <family val="2"/>
          </rPr>
          <t xml:space="preserve">
Does not include markup</t>
        </r>
      </text>
    </comment>
    <comment ref="AE428" authorId="0">
      <text>
        <r>
          <rPr>
            <b/>
            <sz val="9"/>
            <color indexed="81"/>
            <rFont val="Tahoma"/>
            <family val="2"/>
          </rPr>
          <t>Lucas Scheidler:</t>
        </r>
        <r>
          <rPr>
            <sz val="9"/>
            <color indexed="81"/>
            <rFont val="Tahoma"/>
            <family val="2"/>
          </rPr>
          <t xml:space="preserve">
EMCOR - field material, small tools consumables - Does not include markup or tax</t>
        </r>
      </text>
    </comment>
    <comment ref="AF428" authorId="0">
      <text>
        <r>
          <rPr>
            <b/>
            <sz val="9"/>
            <color indexed="81"/>
            <rFont val="Tahoma"/>
            <family val="2"/>
          </rPr>
          <t>Lucas Scheidler:</t>
        </r>
        <r>
          <rPr>
            <sz val="9"/>
            <color indexed="81"/>
            <rFont val="Tahoma"/>
            <family val="2"/>
          </rPr>
          <t xml:space="preserve">
EMCOR -Rigging and insulation - Does not include markup</t>
        </r>
      </text>
    </comment>
    <comment ref="AG428"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W429" authorId="0">
      <text>
        <r>
          <rPr>
            <b/>
            <sz val="9"/>
            <color indexed="81"/>
            <rFont val="Tahoma"/>
            <family val="2"/>
          </rPr>
          <t>Lucas Scheidler:</t>
        </r>
        <r>
          <rPr>
            <sz val="9"/>
            <color indexed="81"/>
            <rFont val="Tahoma"/>
            <family val="2"/>
          </rPr>
          <t xml:space="preserve">
Weighted average of all laborers. Does not include markup</t>
        </r>
      </text>
    </comment>
    <comment ref="X429" authorId="0">
      <text>
        <r>
          <rPr>
            <b/>
            <sz val="9"/>
            <color indexed="81"/>
            <rFont val="Tahoma"/>
            <family val="2"/>
          </rPr>
          <t>Lucas Scheidler:</t>
        </r>
        <r>
          <rPr>
            <sz val="9"/>
            <color indexed="81"/>
            <rFont val="Tahoma"/>
            <family val="2"/>
          </rPr>
          <t xml:space="preserve">
Does not include markup</t>
        </r>
      </text>
    </comment>
    <comment ref="Y429" authorId="0">
      <text>
        <r>
          <rPr>
            <b/>
            <sz val="9"/>
            <color indexed="81"/>
            <rFont val="Tahoma"/>
            <family val="2"/>
          </rPr>
          <t>Lucas Scheidler:</t>
        </r>
        <r>
          <rPr>
            <sz val="9"/>
            <color indexed="81"/>
            <rFont val="Tahoma"/>
            <family val="2"/>
          </rPr>
          <t xml:space="preserve">
EMCOR - piping and electrical - Does not include markup or tax</t>
        </r>
      </text>
    </comment>
    <comment ref="Z429" authorId="0">
      <text>
        <r>
          <rPr>
            <b/>
            <sz val="9"/>
            <color indexed="81"/>
            <rFont val="Tahoma"/>
            <family val="2"/>
          </rPr>
          <t>Lucas Scheidler:</t>
        </r>
        <r>
          <rPr>
            <sz val="9"/>
            <color indexed="81"/>
            <rFont val="Tahoma"/>
            <family val="2"/>
          </rPr>
          <t xml:space="preserve">
EMCOR -Rigging and insulation - Does not include markup</t>
        </r>
      </text>
    </comment>
    <comment ref="AA429" authorId="0">
      <text>
        <r>
          <rPr>
            <b/>
            <sz val="9"/>
            <color indexed="81"/>
            <rFont val="Tahoma"/>
            <family val="2"/>
          </rPr>
          <t>Lucas Scheidler:</t>
        </r>
        <r>
          <rPr>
            <sz val="9"/>
            <color indexed="81"/>
            <rFont val="Tahoma"/>
            <family val="2"/>
          </rPr>
          <t xml:space="preserve">
EMCOR - Engineering/survey, project mgmt, permits, insurance, bond, contingency, warranty - Does not include markup
</t>
        </r>
      </text>
    </comment>
    <comment ref="AC429" authorId="0">
      <text>
        <r>
          <rPr>
            <b/>
            <sz val="9"/>
            <color indexed="81"/>
            <rFont val="Tahoma"/>
            <family val="2"/>
          </rPr>
          <t>Lucas Scheidler:</t>
        </r>
        <r>
          <rPr>
            <sz val="9"/>
            <color indexed="81"/>
            <rFont val="Tahoma"/>
            <family val="2"/>
          </rPr>
          <t xml:space="preserve">
Weighted average of all laborers. Does not include markup</t>
        </r>
      </text>
    </comment>
    <comment ref="AD429" authorId="0">
      <text>
        <r>
          <rPr>
            <b/>
            <sz val="9"/>
            <color indexed="81"/>
            <rFont val="Tahoma"/>
            <family val="2"/>
          </rPr>
          <t>Lucas Scheidler:</t>
        </r>
        <r>
          <rPr>
            <sz val="9"/>
            <color indexed="81"/>
            <rFont val="Tahoma"/>
            <family val="2"/>
          </rPr>
          <t xml:space="preserve">
Does not include markup</t>
        </r>
      </text>
    </comment>
    <comment ref="AE429" authorId="0">
      <text>
        <r>
          <rPr>
            <b/>
            <sz val="9"/>
            <color indexed="81"/>
            <rFont val="Tahoma"/>
            <family val="2"/>
          </rPr>
          <t>Lucas Scheidler:</t>
        </r>
        <r>
          <rPr>
            <sz val="9"/>
            <color indexed="81"/>
            <rFont val="Tahoma"/>
            <family val="2"/>
          </rPr>
          <t xml:space="preserve">
EMCOR - field material, small tools consumables - Does not include markup or tax</t>
        </r>
      </text>
    </comment>
    <comment ref="AF429" authorId="0">
      <text>
        <r>
          <rPr>
            <b/>
            <sz val="9"/>
            <color indexed="81"/>
            <rFont val="Tahoma"/>
            <family val="2"/>
          </rPr>
          <t>Lucas Scheidler:</t>
        </r>
        <r>
          <rPr>
            <sz val="9"/>
            <color indexed="81"/>
            <rFont val="Tahoma"/>
            <family val="2"/>
          </rPr>
          <t xml:space="preserve">
EMCOR -Rigging and insulation - Does not include markup</t>
        </r>
      </text>
    </comment>
    <comment ref="AG429" authorId="0">
      <text>
        <r>
          <rPr>
            <b/>
            <sz val="9"/>
            <color indexed="81"/>
            <rFont val="Tahoma"/>
            <family val="2"/>
          </rPr>
          <t>Lucas Scheidler:</t>
        </r>
        <r>
          <rPr>
            <sz val="9"/>
            <color indexed="81"/>
            <rFont val="Tahoma"/>
            <family val="2"/>
          </rPr>
          <t xml:space="preserve">
EMCOR - Engineering/survey, project mgmt, warranty - Does not include markup
</t>
        </r>
      </text>
    </comment>
    <comment ref="K431" authorId="0">
      <text>
        <r>
          <rPr>
            <b/>
            <sz val="9"/>
            <color indexed="81"/>
            <rFont val="Tahoma"/>
            <family val="2"/>
          </rPr>
          <t>Lucas Scheidler:</t>
        </r>
        <r>
          <rPr>
            <sz val="9"/>
            <color indexed="81"/>
            <rFont val="Tahoma"/>
            <family val="2"/>
          </rPr>
          <t xml:space="preserve">
RSMeans average</t>
        </r>
      </text>
    </comment>
    <comment ref="U431" authorId="0">
      <text>
        <r>
          <rPr>
            <b/>
            <sz val="9"/>
            <color indexed="81"/>
            <rFont val="Tahoma"/>
            <family val="2"/>
          </rPr>
          <t>Lucas Scheidler:</t>
        </r>
        <r>
          <rPr>
            <sz val="9"/>
            <color indexed="81"/>
            <rFont val="Tahoma"/>
            <family val="2"/>
          </rPr>
          <t xml:space="preserve">
RSMeans item 072116</t>
        </r>
      </text>
    </comment>
    <comment ref="AO431" authorId="0">
      <text>
        <r>
          <rPr>
            <b/>
            <sz val="9"/>
            <color indexed="81"/>
            <rFont val="Tahoma"/>
            <family val="2"/>
          </rPr>
          <t>Lucas Scheidler:</t>
        </r>
        <r>
          <rPr>
            <sz val="9"/>
            <color indexed="81"/>
            <rFont val="Tahoma"/>
            <family val="2"/>
          </rPr>
          <t xml:space="preserve">
per sq ft</t>
        </r>
      </text>
    </comment>
    <comment ref="AP431" authorId="0">
      <text>
        <r>
          <rPr>
            <b/>
            <sz val="9"/>
            <color indexed="81"/>
            <rFont val="Tahoma"/>
            <family val="2"/>
          </rPr>
          <t>Lucas Scheidler:</t>
        </r>
        <r>
          <rPr>
            <sz val="9"/>
            <color indexed="81"/>
            <rFont val="Tahoma"/>
            <family val="2"/>
          </rPr>
          <t xml:space="preserve">
National average 1 carpenter</t>
        </r>
      </text>
    </comment>
    <comment ref="K448" authorId="0">
      <text>
        <r>
          <rPr>
            <b/>
            <sz val="9"/>
            <color indexed="81"/>
            <rFont val="Tahoma"/>
            <family val="2"/>
          </rPr>
          <t>Lucas Scheidler:</t>
        </r>
        <r>
          <rPr>
            <sz val="9"/>
            <color indexed="81"/>
            <rFont val="Tahoma"/>
            <family val="2"/>
          </rPr>
          <t xml:space="preserve">
default</t>
        </r>
      </text>
    </comment>
    <comment ref="U448" authorId="0">
      <text>
        <r>
          <rPr>
            <b/>
            <sz val="9"/>
            <color indexed="81"/>
            <rFont val="Tahoma"/>
            <family val="2"/>
          </rPr>
          <t>Lucas Scheidler:</t>
        </r>
        <r>
          <rPr>
            <sz val="9"/>
            <color indexed="81"/>
            <rFont val="Tahoma"/>
            <family val="2"/>
          </rPr>
          <t xml:space="preserve">
Scope of Work (SOW): Install Thermal Blanket in Greenhouses
Description:
The project site has 5 greenhouses. 
Each is:
• 32 Feet Wide=160 feet
• 21 bays 12 feet each=252 feet long
• 40,320 Square Feet
• 1 Vent per bay for a total of 12 vents
The greenhouses have hoop roves with peak heights 8 ft above the gutterline. Each greenhouse has 21 bays with trusses between each bay. Each greenhouse will have
• flat thermal blanket system
• single zone 
• a single motor for the zone
Each of these greenhouses is to have thermal curtains installed horizontally between the trusses. The curtains will be installed so that they can be moved from the deployed to the open position. The thermal curtains will cover the entire area of the greenhouse at the gutterline. 
Use Ludvig Svensson XLS 14 Firebreak or equivalent.
Tasks: The following tasks need to be executed for this project in each of the 5 greenhouses.
1. Install required suspension and deployment system.
2. Install specified thermal curtains.
3. Verify that the curtains are easily deployed and opened.
</t>
        </r>
      </text>
    </comment>
    <comment ref="V448" authorId="0">
      <text>
        <r>
          <rPr>
            <b/>
            <sz val="9"/>
            <color indexed="81"/>
            <rFont val="Tahoma"/>
            <family val="2"/>
          </rPr>
          <t>Lucas Scheidler:</t>
        </r>
        <r>
          <rPr>
            <sz val="9"/>
            <color indexed="81"/>
            <rFont val="Tahoma"/>
            <family val="2"/>
          </rPr>
          <t xml:space="preserve">
per sq ft</t>
        </r>
      </text>
    </comment>
    <comment ref="X448" authorId="0">
      <text>
        <r>
          <rPr>
            <b/>
            <sz val="9"/>
            <color indexed="81"/>
            <rFont val="Tahoma"/>
            <family val="2"/>
          </rPr>
          <t>Lucas Scheidler:</t>
        </r>
        <r>
          <rPr>
            <sz val="9"/>
            <color indexed="81"/>
            <rFont val="Tahoma"/>
            <family val="2"/>
          </rPr>
          <t xml:space="preserve">
per sq ft</t>
        </r>
      </text>
    </comment>
    <comment ref="Y448" authorId="0">
      <text>
        <r>
          <rPr>
            <b/>
            <sz val="9"/>
            <color indexed="81"/>
            <rFont val="Tahoma"/>
            <family val="2"/>
          </rPr>
          <t>Lucas Scheidler:</t>
        </r>
        <r>
          <rPr>
            <sz val="9"/>
            <color indexed="81"/>
            <rFont val="Tahoma"/>
            <family val="2"/>
          </rPr>
          <t xml:space="preserve">
Freight - per sq ft</t>
        </r>
      </text>
    </comment>
    <comment ref="AA448" authorId="0">
      <text>
        <r>
          <rPr>
            <b/>
            <sz val="9"/>
            <color indexed="81"/>
            <rFont val="Tahoma"/>
            <family val="2"/>
          </rPr>
          <t>Lucas Scheidler:</t>
        </r>
        <r>
          <rPr>
            <sz val="9"/>
            <color indexed="81"/>
            <rFont val="Tahoma"/>
            <family val="2"/>
          </rPr>
          <t xml:space="preserve">
taxes - per sq ft</t>
        </r>
      </text>
    </comment>
    <comment ref="G459" authorId="0">
      <text>
        <r>
          <rPr>
            <b/>
            <sz val="9"/>
            <color indexed="81"/>
            <rFont val="Tahoma"/>
            <family val="2"/>
          </rPr>
          <t>Lucas Scheidler:</t>
        </r>
        <r>
          <rPr>
            <sz val="9"/>
            <color indexed="81"/>
            <rFont val="Tahoma"/>
            <family val="2"/>
          </rPr>
          <t xml:space="preserve">
Wage rates in the bid appear to be fully loaded. The assumed 25% O&amp;P is removed from the average wages. All bids came from the bay area so also weighted back to CA average</t>
        </r>
      </text>
    </comment>
    <comment ref="K459" authorId="0">
      <text>
        <r>
          <rPr>
            <b/>
            <sz val="9"/>
            <color indexed="81"/>
            <rFont val="Tahoma"/>
            <family val="2"/>
          </rPr>
          <t>Lucas Scheidler:</t>
        </r>
        <r>
          <rPr>
            <sz val="9"/>
            <color indexed="81"/>
            <rFont val="Tahoma"/>
            <family val="2"/>
          </rPr>
          <t xml:space="preserve">
default</t>
        </r>
      </text>
    </comment>
    <comment ref="U459" authorId="0">
      <text>
        <r>
          <rPr>
            <b/>
            <sz val="9"/>
            <color indexed="81"/>
            <rFont val="Tahoma"/>
            <family val="2"/>
          </rPr>
          <t>Lucas Scheidler:</t>
        </r>
        <r>
          <rPr>
            <sz val="9"/>
            <color indexed="81"/>
            <rFont val="Tahoma"/>
            <family val="2"/>
          </rPr>
          <t xml:space="preserve">
RSMeans item 088713</t>
        </r>
      </text>
    </comment>
    <comment ref="AO459" authorId="0">
      <text>
        <r>
          <rPr>
            <b/>
            <sz val="9"/>
            <color indexed="81"/>
            <rFont val="Tahoma"/>
            <family val="2"/>
          </rPr>
          <t>Lucas Scheidler:</t>
        </r>
        <r>
          <rPr>
            <sz val="9"/>
            <color indexed="81"/>
            <rFont val="Tahoma"/>
            <family val="2"/>
          </rPr>
          <t xml:space="preserve">
per sq ft</t>
        </r>
      </text>
    </comment>
    <comment ref="AP459" authorId="0">
      <text>
        <r>
          <rPr>
            <b/>
            <sz val="9"/>
            <color indexed="81"/>
            <rFont val="Tahoma"/>
            <family val="2"/>
          </rPr>
          <t>Lucas Scheidler:</t>
        </r>
        <r>
          <rPr>
            <sz val="9"/>
            <color indexed="81"/>
            <rFont val="Tahoma"/>
            <family val="2"/>
          </rPr>
          <t xml:space="preserve">
National average 2 Glaziers</t>
        </r>
      </text>
    </comment>
    <comment ref="AP460" authorId="0">
      <text>
        <r>
          <rPr>
            <b/>
            <sz val="9"/>
            <color indexed="81"/>
            <rFont val="Tahoma"/>
            <family val="2"/>
          </rPr>
          <t>Lucas Scheidler:</t>
        </r>
        <r>
          <rPr>
            <sz val="9"/>
            <color indexed="81"/>
            <rFont val="Tahoma"/>
            <family val="2"/>
          </rPr>
          <t xml:space="preserve">
National average 2 Glaziers</t>
        </r>
      </text>
    </comment>
    <comment ref="U461" authorId="0">
      <text>
        <r>
          <rPr>
            <b/>
            <sz val="9"/>
            <color indexed="81"/>
            <rFont val="Tahoma"/>
            <family val="2"/>
          </rPr>
          <t>Lucas Scheidler:</t>
        </r>
        <r>
          <rPr>
            <sz val="9"/>
            <color indexed="81"/>
            <rFont val="Tahoma"/>
            <family val="2"/>
          </rPr>
          <t xml:space="preserve">
Scope of Work (SOW): Install Reflective Film on East, South, and West Windows of the building
Description:
The project Building is approximately 50,000sq.ft built area.  It has 3 floors.    
• There are a total of 40 Windows that will receive film. 
• All of the Windows are 5 ft by 5 ft.
• 35 of the windows are in offices with a ceiling height of 9 ft.
• 3 of the windows are in the front entrance area. The bottom of the window is 12 feet above the floor. 
The building management is interested in installing a Nebuilizer type window film from Solutia,Inc with a minimum SHGC value of 23% or equivalent.      
Tasks: The following tasks needs to be executed for this project
1. Prepare the surface for film
2. Install the selected film on all 40 windows
3. Clean up the work area
Bid: Please provide the following separately with your bid.
1. Specific products that will be used
2. Cost of Materials
3. Hours estimated
4. Cost of labor
5. Cost for extra equipment needed such as a lift
6. Cost of disposal of any materials
7. Taxes
</t>
        </r>
      </text>
    </comment>
    <comment ref="V461" authorId="0">
      <text>
        <r>
          <rPr>
            <b/>
            <sz val="9"/>
            <color indexed="81"/>
            <rFont val="Tahoma"/>
            <family val="2"/>
          </rPr>
          <t>Lucas Scheidler:</t>
        </r>
        <r>
          <rPr>
            <sz val="9"/>
            <color indexed="81"/>
            <rFont val="Tahoma"/>
            <family val="2"/>
          </rPr>
          <t xml:space="preserve">
per fq ft</t>
        </r>
      </text>
    </comment>
    <comment ref="X461" authorId="0">
      <text>
        <r>
          <rPr>
            <b/>
            <sz val="9"/>
            <color indexed="81"/>
            <rFont val="Tahoma"/>
            <family val="2"/>
          </rPr>
          <t>Lucas Scheidler:</t>
        </r>
        <r>
          <rPr>
            <sz val="9"/>
            <color indexed="81"/>
            <rFont val="Tahoma"/>
            <family val="2"/>
          </rPr>
          <t xml:space="preserve">
per sq ft</t>
        </r>
      </text>
    </comment>
    <comment ref="K470" authorId="0">
      <text>
        <r>
          <rPr>
            <b/>
            <sz val="9"/>
            <color indexed="81"/>
            <rFont val="Tahoma"/>
            <family val="2"/>
          </rPr>
          <t>Lucas Scheidler:</t>
        </r>
        <r>
          <rPr>
            <sz val="9"/>
            <color indexed="81"/>
            <rFont val="Tahoma"/>
            <family val="2"/>
          </rPr>
          <t xml:space="preserve">
RSMeans average</t>
        </r>
      </text>
    </comment>
    <comment ref="U470" authorId="0">
      <text>
        <r>
          <rPr>
            <b/>
            <sz val="9"/>
            <color indexed="81"/>
            <rFont val="Tahoma"/>
            <family val="2"/>
          </rPr>
          <t>Lucas Scheidler:</t>
        </r>
        <r>
          <rPr>
            <sz val="9"/>
            <color indexed="81"/>
            <rFont val="Tahoma"/>
            <family val="2"/>
          </rPr>
          <t xml:space="preserve">
RSMean item 266123100560 - base type not specified</t>
        </r>
      </text>
    </comment>
    <comment ref="AP470" authorId="0">
      <text>
        <r>
          <rPr>
            <b/>
            <sz val="9"/>
            <color indexed="81"/>
            <rFont val="Tahoma"/>
            <family val="2"/>
          </rPr>
          <t>Lucas Scheidler:</t>
        </r>
        <r>
          <rPr>
            <sz val="9"/>
            <color indexed="81"/>
            <rFont val="Tahoma"/>
            <family val="2"/>
          </rPr>
          <t xml:space="preserve">
National Average - 1 electrician</t>
        </r>
      </text>
    </comment>
    <comment ref="U471" authorId="0">
      <text>
        <r>
          <rPr>
            <b/>
            <sz val="9"/>
            <color indexed="81"/>
            <rFont val="Tahoma"/>
            <family val="2"/>
          </rPr>
          <t>Lucas Scheidler:</t>
        </r>
        <r>
          <rPr>
            <sz val="9"/>
            <color indexed="81"/>
            <rFont val="Tahoma"/>
            <family val="2"/>
          </rPr>
          <t xml:space="preserve">
RSMean item 266123100570 - base type not specified</t>
        </r>
      </text>
    </comment>
    <comment ref="AP471" authorId="0">
      <text>
        <r>
          <rPr>
            <b/>
            <sz val="9"/>
            <color indexed="81"/>
            <rFont val="Tahoma"/>
            <family val="2"/>
          </rPr>
          <t>Lucas Scheidler:</t>
        </r>
        <r>
          <rPr>
            <sz val="9"/>
            <color indexed="81"/>
            <rFont val="Tahoma"/>
            <family val="2"/>
          </rPr>
          <t xml:space="preserve">
National Average - 1 electrician</t>
        </r>
      </text>
    </comment>
    <comment ref="U472" authorId="0">
      <text>
        <r>
          <rPr>
            <b/>
            <sz val="9"/>
            <color indexed="81"/>
            <rFont val="Tahoma"/>
            <family val="2"/>
          </rPr>
          <t>Lucas Scheidler:</t>
        </r>
        <r>
          <rPr>
            <sz val="9"/>
            <color indexed="81"/>
            <rFont val="Tahoma"/>
            <family val="2"/>
          </rPr>
          <t xml:space="preserve">
RSMean iteam 266123550100 - base type not specified</t>
        </r>
      </text>
    </comment>
    <comment ref="K490" authorId="0">
      <text>
        <r>
          <rPr>
            <b/>
            <sz val="9"/>
            <color indexed="81"/>
            <rFont val="Tahoma"/>
            <family val="2"/>
          </rPr>
          <t>Lucas Scheidler:</t>
        </r>
        <r>
          <rPr>
            <sz val="9"/>
            <color indexed="81"/>
            <rFont val="Tahoma"/>
            <family val="2"/>
          </rPr>
          <t xml:space="preserve">
RSMeans average</t>
        </r>
      </text>
    </comment>
    <comment ref="U490" authorId="0">
      <text>
        <r>
          <rPr>
            <b/>
            <sz val="9"/>
            <color indexed="81"/>
            <rFont val="Tahoma"/>
            <family val="2"/>
          </rPr>
          <t>Lucas Scheidler:</t>
        </r>
        <r>
          <rPr>
            <sz val="9"/>
            <color indexed="81"/>
            <rFont val="Tahoma"/>
            <family val="2"/>
          </rPr>
          <t xml:space="preserve">
RSMean iteam 266123551100 - base type not specified</t>
        </r>
      </text>
    </comment>
    <comment ref="U491" authorId="0">
      <text>
        <r>
          <rPr>
            <b/>
            <sz val="9"/>
            <color indexed="81"/>
            <rFont val="Tahoma"/>
            <family val="2"/>
          </rPr>
          <t>Lucas Scheidler:</t>
        </r>
        <r>
          <rPr>
            <sz val="9"/>
            <color indexed="81"/>
            <rFont val="Tahoma"/>
            <family val="2"/>
          </rPr>
          <t xml:space="preserve">
RSMean iteam 266123552100 - base type not specified</t>
        </r>
      </text>
    </comment>
    <comment ref="U492" authorId="0">
      <text>
        <r>
          <rPr>
            <b/>
            <sz val="9"/>
            <color indexed="81"/>
            <rFont val="Tahoma"/>
            <family val="2"/>
          </rPr>
          <t>Lucas Scheidler:</t>
        </r>
        <r>
          <rPr>
            <sz val="9"/>
            <color indexed="81"/>
            <rFont val="Tahoma"/>
            <family val="2"/>
          </rPr>
          <t xml:space="preserve">
RSMean iteam 266123552200 - base type not specified</t>
        </r>
      </text>
    </comment>
    <comment ref="K505" authorId="0">
      <text>
        <r>
          <rPr>
            <b/>
            <sz val="9"/>
            <color indexed="81"/>
            <rFont val="Tahoma"/>
            <family val="2"/>
          </rPr>
          <t>Lucas Scheidler:</t>
        </r>
        <r>
          <rPr>
            <sz val="9"/>
            <color indexed="81"/>
            <rFont val="Tahoma"/>
            <family val="2"/>
          </rPr>
          <t xml:space="preserve">
RSMeans average</t>
        </r>
      </text>
    </comment>
    <comment ref="U505" authorId="0">
      <text>
        <r>
          <rPr>
            <b/>
            <sz val="9"/>
            <color indexed="81"/>
            <rFont val="Tahoma"/>
            <family val="2"/>
          </rPr>
          <t>Lucas Scheidler:</t>
        </r>
        <r>
          <rPr>
            <sz val="9"/>
            <color indexed="81"/>
            <rFont val="Tahoma"/>
            <family val="2"/>
          </rPr>
          <t xml:space="preserve">
RSMean iteam 266123550200 - base type not specified</t>
        </r>
      </text>
    </comment>
    <comment ref="K521" authorId="0">
      <text>
        <r>
          <rPr>
            <b/>
            <sz val="9"/>
            <color indexed="81"/>
            <rFont val="Tahoma"/>
            <family val="2"/>
          </rPr>
          <t>Lucas Scheidler:</t>
        </r>
        <r>
          <rPr>
            <sz val="9"/>
            <color indexed="81"/>
            <rFont val="Tahoma"/>
            <family val="2"/>
          </rPr>
          <t xml:space="preserve">
RSMeans average</t>
        </r>
      </text>
    </comment>
    <comment ref="U521" authorId="0">
      <text>
        <r>
          <rPr>
            <b/>
            <sz val="9"/>
            <color indexed="81"/>
            <rFont val="Tahoma"/>
            <family val="2"/>
          </rPr>
          <t>Lucas Scheidler:</t>
        </r>
        <r>
          <rPr>
            <sz val="9"/>
            <color indexed="81"/>
            <rFont val="Tahoma"/>
            <family val="2"/>
          </rPr>
          <t xml:space="preserve">
RSMean item 266123100560 - base type not specified</t>
        </r>
      </text>
    </comment>
    <comment ref="AP521" authorId="0">
      <text>
        <r>
          <rPr>
            <b/>
            <sz val="9"/>
            <color indexed="81"/>
            <rFont val="Tahoma"/>
            <family val="2"/>
          </rPr>
          <t>Lucas Scheidler:</t>
        </r>
        <r>
          <rPr>
            <sz val="9"/>
            <color indexed="81"/>
            <rFont val="Tahoma"/>
            <family val="2"/>
          </rPr>
          <t xml:space="preserve">
National Average - 1 electrician</t>
        </r>
      </text>
    </comment>
    <comment ref="U522" authorId="0">
      <text>
        <r>
          <rPr>
            <b/>
            <sz val="9"/>
            <color indexed="81"/>
            <rFont val="Tahoma"/>
            <family val="2"/>
          </rPr>
          <t>Lucas Scheidler:</t>
        </r>
        <r>
          <rPr>
            <sz val="9"/>
            <color indexed="81"/>
            <rFont val="Tahoma"/>
            <family val="2"/>
          </rPr>
          <t xml:space="preserve">
RSMean item 266123100570 - base type not specified</t>
        </r>
      </text>
    </comment>
    <comment ref="AP522" authorId="0">
      <text>
        <r>
          <rPr>
            <b/>
            <sz val="9"/>
            <color indexed="81"/>
            <rFont val="Tahoma"/>
            <family val="2"/>
          </rPr>
          <t>Lucas Scheidler:</t>
        </r>
        <r>
          <rPr>
            <sz val="9"/>
            <color indexed="81"/>
            <rFont val="Tahoma"/>
            <family val="2"/>
          </rPr>
          <t xml:space="preserve">
National Average - 1 electrician</t>
        </r>
      </text>
    </comment>
    <comment ref="U523" authorId="0">
      <text>
        <r>
          <rPr>
            <b/>
            <sz val="9"/>
            <color indexed="81"/>
            <rFont val="Tahoma"/>
            <family val="2"/>
          </rPr>
          <t>Lucas Scheidler:</t>
        </r>
        <r>
          <rPr>
            <sz val="9"/>
            <color indexed="81"/>
            <rFont val="Tahoma"/>
            <family val="2"/>
          </rPr>
          <t xml:space="preserve">
RSMean iteam 266123550100 - base type not specified</t>
        </r>
      </text>
    </comment>
    <comment ref="U524" authorId="0">
      <text>
        <r>
          <rPr>
            <b/>
            <sz val="9"/>
            <color indexed="81"/>
            <rFont val="Tahoma"/>
            <family val="2"/>
          </rPr>
          <t>Lucas Scheidler:</t>
        </r>
        <r>
          <rPr>
            <sz val="9"/>
            <color indexed="81"/>
            <rFont val="Tahoma"/>
            <family val="2"/>
          </rPr>
          <t xml:space="preserve">
RSMean iteam 266123550200 - base type not specified</t>
        </r>
      </text>
    </comment>
    <comment ref="K532" authorId="0">
      <text>
        <r>
          <rPr>
            <b/>
            <sz val="9"/>
            <color indexed="81"/>
            <rFont val="Tahoma"/>
            <family val="2"/>
          </rPr>
          <t>Lucas Scheidler:</t>
        </r>
        <r>
          <rPr>
            <sz val="9"/>
            <color indexed="81"/>
            <rFont val="Tahoma"/>
            <family val="2"/>
          </rPr>
          <t xml:space="preserve">
RSMeans average</t>
        </r>
      </text>
    </comment>
    <comment ref="U532" authorId="0">
      <text>
        <r>
          <rPr>
            <b/>
            <sz val="9"/>
            <color indexed="81"/>
            <rFont val="Tahoma"/>
            <family val="2"/>
          </rPr>
          <t>Lucas Scheidler:</t>
        </r>
        <r>
          <rPr>
            <sz val="9"/>
            <color indexed="81"/>
            <rFont val="Tahoma"/>
            <family val="2"/>
          </rPr>
          <t xml:space="preserve">
RSMean item 266123100560 - base type not specified</t>
        </r>
      </text>
    </comment>
    <comment ref="AP532" authorId="0">
      <text>
        <r>
          <rPr>
            <b/>
            <sz val="9"/>
            <color indexed="81"/>
            <rFont val="Tahoma"/>
            <family val="2"/>
          </rPr>
          <t>Lucas Scheidler:</t>
        </r>
        <r>
          <rPr>
            <sz val="9"/>
            <color indexed="81"/>
            <rFont val="Tahoma"/>
            <family val="2"/>
          </rPr>
          <t xml:space="preserve">
National Average - 1 electrician</t>
        </r>
      </text>
    </comment>
    <comment ref="U533" authorId="0">
      <text>
        <r>
          <rPr>
            <b/>
            <sz val="9"/>
            <color indexed="81"/>
            <rFont val="Tahoma"/>
            <family val="2"/>
          </rPr>
          <t>Lucas Scheidler:</t>
        </r>
        <r>
          <rPr>
            <sz val="9"/>
            <color indexed="81"/>
            <rFont val="Tahoma"/>
            <family val="2"/>
          </rPr>
          <t xml:space="preserve">
RSMean item 266123100570 - base type not specified</t>
        </r>
      </text>
    </comment>
    <comment ref="AP533" authorId="0">
      <text>
        <r>
          <rPr>
            <b/>
            <sz val="9"/>
            <color indexed="81"/>
            <rFont val="Tahoma"/>
            <family val="2"/>
          </rPr>
          <t>Lucas Scheidler:</t>
        </r>
        <r>
          <rPr>
            <sz val="9"/>
            <color indexed="81"/>
            <rFont val="Tahoma"/>
            <family val="2"/>
          </rPr>
          <t xml:space="preserve">
National Average - 1 electrician</t>
        </r>
      </text>
    </comment>
    <comment ref="U534" authorId="0">
      <text>
        <r>
          <rPr>
            <b/>
            <sz val="9"/>
            <color indexed="81"/>
            <rFont val="Tahoma"/>
            <family val="2"/>
          </rPr>
          <t>Lucas Scheidler:</t>
        </r>
        <r>
          <rPr>
            <sz val="9"/>
            <color indexed="81"/>
            <rFont val="Tahoma"/>
            <family val="2"/>
          </rPr>
          <t xml:space="preserve">
RSMean iteam 266123550100 - base type not specified</t>
        </r>
      </text>
    </comment>
    <comment ref="K558" authorId="0">
      <text>
        <r>
          <rPr>
            <b/>
            <sz val="9"/>
            <color indexed="81"/>
            <rFont val="Tahoma"/>
            <family val="2"/>
          </rPr>
          <t>Lucas Scheidler:</t>
        </r>
        <r>
          <rPr>
            <sz val="9"/>
            <color indexed="81"/>
            <rFont val="Tahoma"/>
            <family val="2"/>
          </rPr>
          <t xml:space="preserve">
RSMeans average</t>
        </r>
      </text>
    </comment>
    <comment ref="U558" authorId="0">
      <text>
        <r>
          <rPr>
            <b/>
            <sz val="9"/>
            <color indexed="81"/>
            <rFont val="Tahoma"/>
            <family val="2"/>
          </rPr>
          <t>Lucas Scheidler:</t>
        </r>
        <r>
          <rPr>
            <sz val="9"/>
            <color indexed="81"/>
            <rFont val="Tahoma"/>
            <family val="2"/>
          </rPr>
          <t xml:space="preserve">
RSMean iteam 266123551100 - base type not specified</t>
        </r>
      </text>
    </comment>
    <comment ref="U559" authorId="0">
      <text>
        <r>
          <rPr>
            <b/>
            <sz val="9"/>
            <color indexed="81"/>
            <rFont val="Tahoma"/>
            <family val="2"/>
          </rPr>
          <t>Lucas Scheidler:</t>
        </r>
        <r>
          <rPr>
            <sz val="9"/>
            <color indexed="81"/>
            <rFont val="Tahoma"/>
            <family val="2"/>
          </rPr>
          <t xml:space="preserve">
RSMean iteam 266123552100 - base type not specified</t>
        </r>
      </text>
    </comment>
    <comment ref="U560" authorId="0">
      <text>
        <r>
          <rPr>
            <b/>
            <sz val="9"/>
            <color indexed="81"/>
            <rFont val="Tahoma"/>
            <family val="2"/>
          </rPr>
          <t>Lucas Scheidler:</t>
        </r>
        <r>
          <rPr>
            <sz val="9"/>
            <color indexed="81"/>
            <rFont val="Tahoma"/>
            <family val="2"/>
          </rPr>
          <t xml:space="preserve">
RSMean iteam 266123552200 - base type not specified</t>
        </r>
      </text>
    </comment>
    <comment ref="K574" authorId="0">
      <text>
        <r>
          <rPr>
            <b/>
            <sz val="9"/>
            <color indexed="81"/>
            <rFont val="Tahoma"/>
            <family val="2"/>
          </rPr>
          <t>Lucas Scheidler:</t>
        </r>
        <r>
          <rPr>
            <sz val="9"/>
            <color indexed="81"/>
            <rFont val="Tahoma"/>
            <family val="2"/>
          </rPr>
          <t xml:space="preserve">
RSMeans average</t>
        </r>
      </text>
    </comment>
    <comment ref="U574" authorId="0">
      <text>
        <r>
          <rPr>
            <b/>
            <sz val="9"/>
            <color indexed="81"/>
            <rFont val="Tahoma"/>
            <family val="2"/>
          </rPr>
          <t>Lucas Scheidler:</t>
        </r>
        <r>
          <rPr>
            <sz val="9"/>
            <color indexed="81"/>
            <rFont val="Tahoma"/>
            <family val="2"/>
          </rPr>
          <t xml:space="preserve">
RSMean iteam 266123550200 - base type not specified</t>
        </r>
      </text>
    </comment>
    <comment ref="K590" authorId="0">
      <text>
        <r>
          <rPr>
            <b/>
            <sz val="9"/>
            <color indexed="81"/>
            <rFont val="Tahoma"/>
            <family val="2"/>
          </rPr>
          <t>Lucas Scheidler:</t>
        </r>
        <r>
          <rPr>
            <sz val="9"/>
            <color indexed="81"/>
            <rFont val="Tahoma"/>
            <family val="2"/>
          </rPr>
          <t xml:space="preserve">
RSMeans average</t>
        </r>
      </text>
    </comment>
    <comment ref="U590" authorId="0">
      <text>
        <r>
          <rPr>
            <b/>
            <sz val="9"/>
            <color indexed="81"/>
            <rFont val="Tahoma"/>
            <family val="2"/>
          </rPr>
          <t>Lucas Scheidler:</t>
        </r>
        <r>
          <rPr>
            <sz val="9"/>
            <color indexed="81"/>
            <rFont val="Tahoma"/>
            <family val="2"/>
          </rPr>
          <t xml:space="preserve">
RSMean item 266123100560 - base type not specified</t>
        </r>
      </text>
    </comment>
    <comment ref="AP590" authorId="0">
      <text>
        <r>
          <rPr>
            <b/>
            <sz val="9"/>
            <color indexed="81"/>
            <rFont val="Tahoma"/>
            <family val="2"/>
          </rPr>
          <t>Lucas Scheidler:</t>
        </r>
        <r>
          <rPr>
            <sz val="9"/>
            <color indexed="81"/>
            <rFont val="Tahoma"/>
            <family val="2"/>
          </rPr>
          <t xml:space="preserve">
National Average - 1 electrician</t>
        </r>
      </text>
    </comment>
    <comment ref="U591" authorId="0">
      <text>
        <r>
          <rPr>
            <b/>
            <sz val="9"/>
            <color indexed="81"/>
            <rFont val="Tahoma"/>
            <family val="2"/>
          </rPr>
          <t>Lucas Scheidler:</t>
        </r>
        <r>
          <rPr>
            <sz val="9"/>
            <color indexed="81"/>
            <rFont val="Tahoma"/>
            <family val="2"/>
          </rPr>
          <t xml:space="preserve">
RSMean item 266123100570 - base type not specified</t>
        </r>
      </text>
    </comment>
    <comment ref="AP591" authorId="0">
      <text>
        <r>
          <rPr>
            <b/>
            <sz val="9"/>
            <color indexed="81"/>
            <rFont val="Tahoma"/>
            <family val="2"/>
          </rPr>
          <t>Lucas Scheidler:</t>
        </r>
        <r>
          <rPr>
            <sz val="9"/>
            <color indexed="81"/>
            <rFont val="Tahoma"/>
            <family val="2"/>
          </rPr>
          <t xml:space="preserve">
National Average - 1 electrician</t>
        </r>
      </text>
    </comment>
    <comment ref="U592" authorId="0">
      <text>
        <r>
          <rPr>
            <b/>
            <sz val="9"/>
            <color indexed="81"/>
            <rFont val="Tahoma"/>
            <family val="2"/>
          </rPr>
          <t>Lucas Scheidler:</t>
        </r>
        <r>
          <rPr>
            <sz val="9"/>
            <color indexed="81"/>
            <rFont val="Tahoma"/>
            <family val="2"/>
          </rPr>
          <t xml:space="preserve">
RSMean iteam 266123550100 - base type not specified</t>
        </r>
      </text>
    </comment>
    <comment ref="U593" authorId="0">
      <text>
        <r>
          <rPr>
            <b/>
            <sz val="9"/>
            <color indexed="81"/>
            <rFont val="Tahoma"/>
            <family val="2"/>
          </rPr>
          <t>Lucas Scheidler:</t>
        </r>
        <r>
          <rPr>
            <sz val="9"/>
            <color indexed="81"/>
            <rFont val="Tahoma"/>
            <family val="2"/>
          </rPr>
          <t xml:space="preserve">
RSMean iteam 266123550200 - base type not specified</t>
        </r>
      </text>
    </comment>
    <comment ref="E602" authorId="0">
      <text>
        <r>
          <rPr>
            <b/>
            <sz val="9"/>
            <color indexed="81"/>
            <rFont val="Tahoma"/>
            <family val="2"/>
          </rPr>
          <t>Lucas Scheidler:</t>
        </r>
        <r>
          <rPr>
            <sz val="9"/>
            <color indexed="81"/>
            <rFont val="Tahoma"/>
            <family val="2"/>
          </rPr>
          <t xml:space="preserve">
This references the CFL twister labor hours because it doesn't make sense that the labor hours for an LED MSB would be different from an incandescent or CFL MSB.</t>
        </r>
      </text>
    </comment>
    <comment ref="K602" authorId="0">
      <text>
        <r>
          <rPr>
            <b/>
            <sz val="9"/>
            <color indexed="81"/>
            <rFont val="Tahoma"/>
            <family val="2"/>
          </rPr>
          <t>Lucas Scheidler:</t>
        </r>
        <r>
          <rPr>
            <sz val="9"/>
            <color indexed="81"/>
            <rFont val="Tahoma"/>
            <family val="2"/>
          </rPr>
          <t xml:space="preserve">
RSMeans average</t>
        </r>
      </text>
    </comment>
    <comment ref="U602" authorId="0">
      <text>
        <r>
          <rPr>
            <b/>
            <sz val="9"/>
            <color indexed="81"/>
            <rFont val="Tahoma"/>
            <family val="2"/>
          </rPr>
          <t>Lucas Scheidler:</t>
        </r>
        <r>
          <rPr>
            <sz val="9"/>
            <color indexed="81"/>
            <rFont val="Tahoma"/>
            <family val="2"/>
          </rPr>
          <t xml:space="preserve">
RSMean iteam 266123550100 - base type not specified</t>
        </r>
      </text>
    </comment>
    <comment ref="AP602" authorId="0">
      <text>
        <r>
          <rPr>
            <b/>
            <sz val="9"/>
            <color indexed="81"/>
            <rFont val="Tahoma"/>
            <family val="2"/>
          </rPr>
          <t>Lucas Scheidler:</t>
        </r>
        <r>
          <rPr>
            <sz val="9"/>
            <color indexed="81"/>
            <rFont val="Tahoma"/>
            <family val="2"/>
          </rPr>
          <t xml:space="preserve">
National Average - 1 electrician</t>
        </r>
      </text>
    </comment>
    <comment ref="K616" authorId="0">
      <text>
        <r>
          <rPr>
            <b/>
            <sz val="9"/>
            <color indexed="81"/>
            <rFont val="Tahoma"/>
            <family val="2"/>
          </rPr>
          <t>Lucas Scheidler:</t>
        </r>
        <r>
          <rPr>
            <sz val="9"/>
            <color indexed="81"/>
            <rFont val="Tahoma"/>
            <family val="2"/>
          </rPr>
          <t xml:space="preserve">
RSMeans average</t>
        </r>
      </text>
    </comment>
    <comment ref="U616" authorId="0">
      <text>
        <r>
          <rPr>
            <b/>
            <sz val="9"/>
            <color indexed="81"/>
            <rFont val="Tahoma"/>
            <family val="2"/>
          </rPr>
          <t>Lucas Scheidler:</t>
        </r>
        <r>
          <rPr>
            <sz val="9"/>
            <color indexed="81"/>
            <rFont val="Tahoma"/>
            <family val="2"/>
          </rPr>
          <t xml:space="preserve">
RSMean iteam 266123551100 - base type not specified</t>
        </r>
      </text>
    </comment>
    <comment ref="AP616" authorId="0">
      <text>
        <r>
          <rPr>
            <b/>
            <sz val="9"/>
            <color indexed="81"/>
            <rFont val="Tahoma"/>
            <family val="2"/>
          </rPr>
          <t>Lucas Scheidler:</t>
        </r>
        <r>
          <rPr>
            <sz val="9"/>
            <color indexed="81"/>
            <rFont val="Tahoma"/>
            <family val="2"/>
          </rPr>
          <t xml:space="preserve">
National Average - 1 electrician</t>
        </r>
      </text>
    </comment>
    <comment ref="U617" authorId="0">
      <text>
        <r>
          <rPr>
            <b/>
            <sz val="9"/>
            <color indexed="81"/>
            <rFont val="Tahoma"/>
            <family val="2"/>
          </rPr>
          <t>Lucas Scheidler:</t>
        </r>
        <r>
          <rPr>
            <sz val="9"/>
            <color indexed="81"/>
            <rFont val="Tahoma"/>
            <family val="2"/>
          </rPr>
          <t xml:space="preserve">
RSMean iteam 266123552100 - base type not specified</t>
        </r>
      </text>
    </comment>
    <comment ref="U618" authorId="0">
      <text>
        <r>
          <rPr>
            <b/>
            <sz val="9"/>
            <color indexed="81"/>
            <rFont val="Tahoma"/>
            <family val="2"/>
          </rPr>
          <t>Lucas Scheidler:</t>
        </r>
        <r>
          <rPr>
            <sz val="9"/>
            <color indexed="81"/>
            <rFont val="Tahoma"/>
            <family val="2"/>
          </rPr>
          <t xml:space="preserve">
RSMean iteam 266123552200 - base type not specified</t>
        </r>
      </text>
    </comment>
    <comment ref="K629" authorId="0">
      <text>
        <r>
          <rPr>
            <b/>
            <sz val="9"/>
            <color indexed="81"/>
            <rFont val="Tahoma"/>
            <family val="2"/>
          </rPr>
          <t>Lucas Scheidler:</t>
        </r>
        <r>
          <rPr>
            <sz val="9"/>
            <color indexed="81"/>
            <rFont val="Tahoma"/>
            <family val="2"/>
          </rPr>
          <t xml:space="preserve">
RSMeans average</t>
        </r>
      </text>
    </comment>
    <comment ref="U629" authorId="0">
      <text>
        <r>
          <rPr>
            <b/>
            <sz val="9"/>
            <color indexed="81"/>
            <rFont val="Tahoma"/>
            <family val="2"/>
          </rPr>
          <t>Lucas Scheidler:</t>
        </r>
        <r>
          <rPr>
            <sz val="9"/>
            <color indexed="81"/>
            <rFont val="Tahoma"/>
            <family val="2"/>
          </rPr>
          <t xml:space="preserve">
RSMean iteam 266123550200 - base type not specified</t>
        </r>
      </text>
    </comment>
    <comment ref="AP629" authorId="0">
      <text>
        <r>
          <rPr>
            <b/>
            <sz val="9"/>
            <color indexed="81"/>
            <rFont val="Tahoma"/>
            <family val="2"/>
          </rPr>
          <t>Lucas Scheidler:</t>
        </r>
        <r>
          <rPr>
            <sz val="9"/>
            <color indexed="81"/>
            <rFont val="Tahoma"/>
            <family val="2"/>
          </rPr>
          <t xml:space="preserve">
National Average - 1 electrician</t>
        </r>
      </text>
    </comment>
    <comment ref="K640" authorId="0">
      <text>
        <r>
          <rPr>
            <b/>
            <sz val="9"/>
            <color indexed="81"/>
            <rFont val="Tahoma"/>
            <family val="2"/>
          </rPr>
          <t>Lucas Scheidler:</t>
        </r>
        <r>
          <rPr>
            <sz val="9"/>
            <color indexed="81"/>
            <rFont val="Tahoma"/>
            <family val="2"/>
          </rPr>
          <t xml:space="preserve">
RSMeans average</t>
        </r>
      </text>
    </comment>
    <comment ref="U640" authorId="0">
      <text>
        <r>
          <rPr>
            <b/>
            <sz val="9"/>
            <color indexed="81"/>
            <rFont val="Tahoma"/>
            <family val="2"/>
          </rPr>
          <t>Lucas Scheidler:</t>
        </r>
        <r>
          <rPr>
            <sz val="9"/>
            <color indexed="81"/>
            <rFont val="Tahoma"/>
            <family val="2"/>
          </rPr>
          <t xml:space="preserve">
RSMean item 266123100560 - base type not specified</t>
        </r>
      </text>
    </comment>
    <comment ref="AP640" authorId="0">
      <text>
        <r>
          <rPr>
            <b/>
            <sz val="9"/>
            <color indexed="81"/>
            <rFont val="Tahoma"/>
            <family val="2"/>
          </rPr>
          <t>Lucas Scheidler:</t>
        </r>
        <r>
          <rPr>
            <sz val="9"/>
            <color indexed="81"/>
            <rFont val="Tahoma"/>
            <family val="2"/>
          </rPr>
          <t xml:space="preserve">
National Average - 1 electrician</t>
        </r>
      </text>
    </comment>
    <comment ref="U641" authorId="0">
      <text>
        <r>
          <rPr>
            <b/>
            <sz val="9"/>
            <color indexed="81"/>
            <rFont val="Tahoma"/>
            <family val="2"/>
          </rPr>
          <t>Lucas Scheidler:</t>
        </r>
        <r>
          <rPr>
            <sz val="9"/>
            <color indexed="81"/>
            <rFont val="Tahoma"/>
            <family val="2"/>
          </rPr>
          <t xml:space="preserve">
RSMean item 266123100570 - base type not specified</t>
        </r>
      </text>
    </comment>
    <comment ref="AP641" authorId="0">
      <text>
        <r>
          <rPr>
            <b/>
            <sz val="9"/>
            <color indexed="81"/>
            <rFont val="Tahoma"/>
            <family val="2"/>
          </rPr>
          <t>Lucas Scheidler:</t>
        </r>
        <r>
          <rPr>
            <sz val="9"/>
            <color indexed="81"/>
            <rFont val="Tahoma"/>
            <family val="2"/>
          </rPr>
          <t xml:space="preserve">
National Average - 1 electrician</t>
        </r>
      </text>
    </comment>
    <comment ref="U642" authorId="0">
      <text>
        <r>
          <rPr>
            <b/>
            <sz val="9"/>
            <color indexed="81"/>
            <rFont val="Tahoma"/>
            <family val="2"/>
          </rPr>
          <t>Lucas Scheidler:</t>
        </r>
        <r>
          <rPr>
            <sz val="9"/>
            <color indexed="81"/>
            <rFont val="Tahoma"/>
            <family val="2"/>
          </rPr>
          <t xml:space="preserve">
RSMean iteam 266123550100 - base type not specified</t>
        </r>
      </text>
    </comment>
    <comment ref="K651" authorId="0">
      <text>
        <r>
          <rPr>
            <b/>
            <sz val="9"/>
            <color indexed="81"/>
            <rFont val="Tahoma"/>
            <family val="2"/>
          </rPr>
          <t>Lucas Scheidler:</t>
        </r>
        <r>
          <rPr>
            <sz val="9"/>
            <color indexed="81"/>
            <rFont val="Tahoma"/>
            <family val="2"/>
          </rPr>
          <t xml:space="preserve">
RSMeans average</t>
        </r>
      </text>
    </comment>
    <comment ref="AP651" authorId="0">
      <text>
        <r>
          <rPr>
            <b/>
            <sz val="9"/>
            <color indexed="81"/>
            <rFont val="Tahoma"/>
            <family val="2"/>
          </rPr>
          <t>Lucas Scheidler:</t>
        </r>
        <r>
          <rPr>
            <sz val="9"/>
            <color indexed="81"/>
            <rFont val="Tahoma"/>
            <family val="2"/>
          </rPr>
          <t xml:space="preserve">
National Average - 1 electrician</t>
        </r>
      </text>
    </comment>
    <comment ref="AP652" authorId="0">
      <text>
        <r>
          <rPr>
            <b/>
            <sz val="9"/>
            <color indexed="81"/>
            <rFont val="Tahoma"/>
            <family val="2"/>
          </rPr>
          <t>Lucas Scheidler:</t>
        </r>
        <r>
          <rPr>
            <sz val="9"/>
            <color indexed="81"/>
            <rFont val="Tahoma"/>
            <family val="2"/>
          </rPr>
          <t xml:space="preserve">
National Average - 1 electrician</t>
        </r>
      </text>
    </comment>
    <comment ref="K669" authorId="0">
      <text>
        <r>
          <rPr>
            <b/>
            <sz val="9"/>
            <color indexed="81"/>
            <rFont val="Tahoma"/>
            <family val="2"/>
          </rPr>
          <t>Lucas Scheidler:</t>
        </r>
        <r>
          <rPr>
            <sz val="9"/>
            <color indexed="81"/>
            <rFont val="Tahoma"/>
            <family val="2"/>
          </rPr>
          <t xml:space="preserve">
RSMeans average</t>
        </r>
      </text>
    </comment>
    <comment ref="L669" authorId="0">
      <text>
        <r>
          <rPr>
            <b/>
            <sz val="9"/>
            <color indexed="81"/>
            <rFont val="Tahoma"/>
            <family val="2"/>
          </rPr>
          <t>Lucas Scheidler:</t>
        </r>
        <r>
          <rPr>
            <sz val="9"/>
            <color indexed="81"/>
            <rFont val="Tahoma"/>
            <family val="2"/>
          </rPr>
          <t xml:space="preserve">
installation and disposal labor included</t>
        </r>
      </text>
    </comment>
    <comment ref="U669" authorId="0">
      <text>
        <r>
          <rPr>
            <b/>
            <sz val="9"/>
            <color indexed="81"/>
            <rFont val="Tahoma"/>
            <family val="2"/>
          </rPr>
          <t>Lucas Scheidler:</t>
        </r>
        <r>
          <rPr>
            <sz val="9"/>
            <color indexed="81"/>
            <rFont val="Tahoma"/>
            <family val="2"/>
          </rPr>
          <t xml:space="preserve">
MCS lighting contractor survey question: On average, how long does it take to replace existing T8 lamps with new T8 lamps for 2-lamp fixtures recessed in "T-bar Ceilings" accessible with a ladder, in terms of man-hours per fixture? Please include the time required for: removal of existing lamps, installation of new lamps, and commissioning.</t>
        </r>
      </text>
    </comment>
    <comment ref="L670" authorId="0">
      <text>
        <r>
          <rPr>
            <b/>
            <sz val="9"/>
            <color indexed="81"/>
            <rFont val="Tahoma"/>
            <family val="2"/>
          </rPr>
          <t>Lucas Scheidler:</t>
        </r>
        <r>
          <rPr>
            <sz val="9"/>
            <color indexed="81"/>
            <rFont val="Tahoma"/>
            <family val="2"/>
          </rPr>
          <t xml:space="preserve">
installation and disposal labor included</t>
        </r>
      </text>
    </comment>
    <comment ref="U670" authorId="0">
      <text>
        <r>
          <rPr>
            <b/>
            <sz val="9"/>
            <color indexed="81"/>
            <rFont val="Tahoma"/>
            <family val="2"/>
          </rPr>
          <t>Lucas Scheidler:</t>
        </r>
        <r>
          <rPr>
            <sz val="9"/>
            <color indexed="81"/>
            <rFont val="Tahoma"/>
            <family val="2"/>
          </rPr>
          <t xml:space="preserve">
MCS lighting contractor survey question: On average, how long does it take to replace existing T8 lamps new T8 lamps for 2-lamp fixtures in "high bay" ceilings where a lift is required, in terms of man-hours per fixture. [IF NEEDED: Please include the time required for: removal of existing lamp, installation of new lamp, and commissioning.]</t>
        </r>
      </text>
    </comment>
    <comment ref="U671" authorId="0">
      <text>
        <r>
          <rPr>
            <b/>
            <sz val="9"/>
            <color indexed="81"/>
            <rFont val="Tahoma"/>
            <family val="2"/>
          </rPr>
          <t>Lucas Scheidler:</t>
        </r>
        <r>
          <rPr>
            <sz val="9"/>
            <color indexed="81"/>
            <rFont val="Tahoma"/>
            <family val="2"/>
          </rPr>
          <t xml:space="preserve">
MCS lighting contractor survey question: On average, how long does it take to prepare removed linear fluorescent lamps/ballasts/fixtures for disposal, in terms of man-hours per 100 lamps/fixtures/ballasts. Please include the time required for: collecting items for disposal, managing broken items, packaging, and arranging for pick-up.  This estimate should not include the time it takes for the disposal companies to pick up and dispose of the equipment.</t>
        </r>
      </text>
    </comment>
    <comment ref="AH671" authorId="0">
      <text>
        <r>
          <rPr>
            <b/>
            <sz val="9"/>
            <color indexed="81"/>
            <rFont val="Tahoma"/>
            <family val="2"/>
          </rPr>
          <t>Lucas Scheidler:</t>
        </r>
        <r>
          <rPr>
            <sz val="9"/>
            <color indexed="81"/>
            <rFont val="Tahoma"/>
            <family val="2"/>
          </rPr>
          <t xml:space="preserve">
per unit</t>
        </r>
      </text>
    </comment>
    <comment ref="AI671" authorId="0">
      <text>
        <r>
          <rPr>
            <b/>
            <sz val="9"/>
            <color indexed="81"/>
            <rFont val="Tahoma"/>
            <family val="2"/>
          </rPr>
          <t>Lucas Scheidler:</t>
        </r>
        <r>
          <rPr>
            <sz val="9"/>
            <color indexed="81"/>
            <rFont val="Tahoma"/>
            <family val="2"/>
          </rPr>
          <t xml:space="preserve">
per unit</t>
        </r>
      </text>
    </comment>
    <comment ref="B672" authorId="0">
      <text>
        <r>
          <rPr>
            <b/>
            <sz val="9"/>
            <color indexed="81"/>
            <rFont val="Tahoma"/>
            <family val="2"/>
          </rPr>
          <t>Lucas Scheidler:</t>
        </r>
        <r>
          <rPr>
            <sz val="9"/>
            <color indexed="81"/>
            <rFont val="Tahoma"/>
            <family val="2"/>
          </rPr>
          <t xml:space="preserve">
RSMeans item 266123</t>
        </r>
      </text>
    </comment>
    <comment ref="U672" authorId="0">
      <text>
        <r>
          <rPr>
            <b/>
            <sz val="9"/>
            <color indexed="81"/>
            <rFont val="Tahoma"/>
            <family val="2"/>
          </rPr>
          <t>Lucas Scheidler:</t>
        </r>
        <r>
          <rPr>
            <sz val="9"/>
            <color indexed="81"/>
            <rFont val="Tahoma"/>
            <family val="2"/>
          </rPr>
          <t xml:space="preserve">
RSMeans item 266123</t>
        </r>
      </text>
    </comment>
    <comment ref="AP672" authorId="0">
      <text>
        <r>
          <rPr>
            <b/>
            <sz val="9"/>
            <color indexed="81"/>
            <rFont val="Tahoma"/>
            <family val="2"/>
          </rPr>
          <t>Lucas Scheidler:</t>
        </r>
        <r>
          <rPr>
            <sz val="9"/>
            <color indexed="81"/>
            <rFont val="Tahoma"/>
            <family val="2"/>
          </rPr>
          <t xml:space="preserve">
National Average - 1 electrician</t>
        </r>
      </text>
    </comment>
    <comment ref="K680" authorId="0">
      <text>
        <r>
          <rPr>
            <b/>
            <sz val="9"/>
            <color indexed="81"/>
            <rFont val="Tahoma"/>
            <family val="2"/>
          </rPr>
          <t>Lucas Scheidler:</t>
        </r>
        <r>
          <rPr>
            <sz val="9"/>
            <color indexed="81"/>
            <rFont val="Tahoma"/>
            <family val="2"/>
          </rPr>
          <t xml:space="preserve">
RSMeans average</t>
        </r>
      </text>
    </comment>
    <comment ref="L680" authorId="0">
      <text>
        <r>
          <rPr>
            <b/>
            <sz val="9"/>
            <color indexed="81"/>
            <rFont val="Tahoma"/>
            <family val="2"/>
          </rPr>
          <t>Lucas Scheidler:</t>
        </r>
        <r>
          <rPr>
            <sz val="9"/>
            <color indexed="81"/>
            <rFont val="Tahoma"/>
            <family val="2"/>
          </rPr>
          <t xml:space="preserve">
installation and disposal labor included</t>
        </r>
      </text>
    </comment>
    <comment ref="U680" authorId="0">
      <text>
        <r>
          <rPr>
            <b/>
            <sz val="9"/>
            <color indexed="81"/>
            <rFont val="Tahoma"/>
            <family val="2"/>
          </rPr>
          <t>Lucas Scheidler:</t>
        </r>
        <r>
          <rPr>
            <sz val="9"/>
            <color indexed="81"/>
            <rFont val="Tahoma"/>
            <family val="2"/>
          </rPr>
          <t xml:space="preserve">
MCS lighting contractor survey question: On average, how long does it take to replace existing T8 lamps with new T8 lamps for 2-lamp fixtures recessed in "T-bar Ceilings" accessible with a ladder, in terms of man-hours per fixture? Please include the time required for: removal of existing lamps, installation of new lamps, and commissioning.</t>
        </r>
      </text>
    </comment>
    <comment ref="L681" authorId="0">
      <text>
        <r>
          <rPr>
            <b/>
            <sz val="9"/>
            <color indexed="81"/>
            <rFont val="Tahoma"/>
            <family val="2"/>
          </rPr>
          <t>Lucas Scheidler:</t>
        </r>
        <r>
          <rPr>
            <sz val="9"/>
            <color indexed="81"/>
            <rFont val="Tahoma"/>
            <family val="2"/>
          </rPr>
          <t xml:space="preserve">
installation and disposal labor included</t>
        </r>
      </text>
    </comment>
    <comment ref="U681" authorId="0">
      <text>
        <r>
          <rPr>
            <b/>
            <sz val="9"/>
            <color indexed="81"/>
            <rFont val="Tahoma"/>
            <family val="2"/>
          </rPr>
          <t>Lucas Scheidler:</t>
        </r>
        <r>
          <rPr>
            <sz val="9"/>
            <color indexed="81"/>
            <rFont val="Tahoma"/>
            <family val="2"/>
          </rPr>
          <t xml:space="preserve">
MCS lighting contractor survey question: On average, how long does it take to replace existing T8 lamps new T8 lamps for 2-lamp fixtures in "high bay" ceilings where a lift is required, in terms of man-hours per fixture. [IF NEEDED: Please include the time required for: removal of existing lamp, installation of new lamp, and commissioning.]</t>
        </r>
      </text>
    </comment>
    <comment ref="U682" authorId="0">
      <text>
        <r>
          <rPr>
            <b/>
            <sz val="9"/>
            <color indexed="81"/>
            <rFont val="Tahoma"/>
            <family val="2"/>
          </rPr>
          <t>Lucas Scheidler:</t>
        </r>
        <r>
          <rPr>
            <sz val="9"/>
            <color indexed="81"/>
            <rFont val="Tahoma"/>
            <family val="2"/>
          </rPr>
          <t xml:space="preserve">
MCS lighting contractor survey question: On average, how long does it take to prepare removed linear fluorescent lamps/ballasts/fixtures for disposal, in terms of man-hours per 100 lamps/fixtures/ballasts. Please include the time required for: collecting items for disposal, managing broken items, packaging, and arranging for pick-up.  This estimate should not include the time it takes for the disposal companies to pick up and dispose of the equipment.</t>
        </r>
      </text>
    </comment>
    <comment ref="AH682" authorId="0">
      <text>
        <r>
          <rPr>
            <b/>
            <sz val="9"/>
            <color indexed="81"/>
            <rFont val="Tahoma"/>
            <family val="2"/>
          </rPr>
          <t>Lucas Scheidler:</t>
        </r>
        <r>
          <rPr>
            <sz val="9"/>
            <color indexed="81"/>
            <rFont val="Tahoma"/>
            <family val="2"/>
          </rPr>
          <t xml:space="preserve">
per unit</t>
        </r>
      </text>
    </comment>
    <comment ref="AI682" authorId="0">
      <text>
        <r>
          <rPr>
            <b/>
            <sz val="9"/>
            <color indexed="81"/>
            <rFont val="Tahoma"/>
            <family val="2"/>
          </rPr>
          <t>Lucas Scheidler:</t>
        </r>
        <r>
          <rPr>
            <sz val="9"/>
            <color indexed="81"/>
            <rFont val="Tahoma"/>
            <family val="2"/>
          </rPr>
          <t xml:space="preserve">
per unit</t>
        </r>
      </text>
    </comment>
    <comment ref="U683" authorId="0">
      <text>
        <r>
          <rPr>
            <b/>
            <sz val="9"/>
            <color indexed="81"/>
            <rFont val="Tahoma"/>
            <family val="2"/>
          </rPr>
          <t>Lucas Scheidler:</t>
        </r>
        <r>
          <rPr>
            <sz val="9"/>
            <color indexed="81"/>
            <rFont val="Tahoma"/>
            <family val="2"/>
          </rPr>
          <t xml:space="preserve">
RSMeans item 266123</t>
        </r>
      </text>
    </comment>
    <comment ref="AP683" authorId="0">
      <text>
        <r>
          <rPr>
            <b/>
            <sz val="9"/>
            <color indexed="81"/>
            <rFont val="Tahoma"/>
            <family val="2"/>
          </rPr>
          <t>Lucas Scheidler:</t>
        </r>
        <r>
          <rPr>
            <sz val="9"/>
            <color indexed="81"/>
            <rFont val="Tahoma"/>
            <family val="2"/>
          </rPr>
          <t xml:space="preserve">
National Average - 1 electrician</t>
        </r>
      </text>
    </comment>
    <comment ref="U684" authorId="0">
      <text>
        <r>
          <rPr>
            <b/>
            <sz val="9"/>
            <color indexed="81"/>
            <rFont val="Tahoma"/>
            <family val="2"/>
          </rPr>
          <t>Lucas Scheidler:</t>
        </r>
        <r>
          <rPr>
            <sz val="9"/>
            <color indexed="81"/>
            <rFont val="Tahoma"/>
            <family val="2"/>
          </rPr>
          <t xml:space="preserve">
RSMeans item 266123</t>
        </r>
      </text>
    </comment>
    <comment ref="AP684" authorId="0">
      <text>
        <r>
          <rPr>
            <b/>
            <sz val="9"/>
            <color indexed="81"/>
            <rFont val="Tahoma"/>
            <family val="2"/>
          </rPr>
          <t>Lucas Scheidler:</t>
        </r>
        <r>
          <rPr>
            <sz val="9"/>
            <color indexed="81"/>
            <rFont val="Tahoma"/>
            <family val="2"/>
          </rPr>
          <t xml:space="preserve">
National Average - 1 electrician</t>
        </r>
      </text>
    </comment>
    <comment ref="K691" authorId="0">
      <text>
        <r>
          <rPr>
            <b/>
            <sz val="9"/>
            <color indexed="81"/>
            <rFont val="Tahoma"/>
            <family val="2"/>
          </rPr>
          <t>Lucas Scheidler:</t>
        </r>
        <r>
          <rPr>
            <sz val="9"/>
            <color indexed="81"/>
            <rFont val="Tahoma"/>
            <family val="2"/>
          </rPr>
          <t xml:space="preserve">
RSMeans average</t>
        </r>
      </text>
    </comment>
    <comment ref="L691" authorId="0">
      <text>
        <r>
          <rPr>
            <b/>
            <sz val="9"/>
            <color indexed="81"/>
            <rFont val="Tahoma"/>
            <family val="2"/>
          </rPr>
          <t>Lucas Scheidler:</t>
        </r>
        <r>
          <rPr>
            <sz val="9"/>
            <color indexed="81"/>
            <rFont val="Tahoma"/>
            <family val="2"/>
          </rPr>
          <t xml:space="preserve">
installation and disposal labor included</t>
        </r>
      </text>
    </comment>
    <comment ref="U691" authorId="0">
      <text>
        <r>
          <rPr>
            <b/>
            <sz val="9"/>
            <color indexed="81"/>
            <rFont val="Tahoma"/>
            <family val="2"/>
          </rPr>
          <t>Lucas Scheidler:</t>
        </r>
        <r>
          <rPr>
            <sz val="9"/>
            <color indexed="81"/>
            <rFont val="Tahoma"/>
            <family val="2"/>
          </rPr>
          <t xml:space="preserve">
MCS lighting contractor survey question: On average, how long does it take to replace existing T8 lamps with new T8 lamps for 2-lamp fixtures recessed in "T-bar Ceilings" accessible with a ladder, in terms of man-hours per fixture? Please include the time required for: removal of existing lamps, installation of new lamps, and commissioning.</t>
        </r>
      </text>
    </comment>
    <comment ref="L692" authorId="0">
      <text>
        <r>
          <rPr>
            <b/>
            <sz val="9"/>
            <color indexed="81"/>
            <rFont val="Tahoma"/>
            <family val="2"/>
          </rPr>
          <t>Lucas Scheidler:</t>
        </r>
        <r>
          <rPr>
            <sz val="9"/>
            <color indexed="81"/>
            <rFont val="Tahoma"/>
            <family val="2"/>
          </rPr>
          <t xml:space="preserve">
installation and disposal labor included</t>
        </r>
      </text>
    </comment>
    <comment ref="U692" authorId="0">
      <text>
        <r>
          <rPr>
            <b/>
            <sz val="9"/>
            <color indexed="81"/>
            <rFont val="Tahoma"/>
            <family val="2"/>
          </rPr>
          <t>Lucas Scheidler:</t>
        </r>
        <r>
          <rPr>
            <sz val="9"/>
            <color indexed="81"/>
            <rFont val="Tahoma"/>
            <family val="2"/>
          </rPr>
          <t xml:space="preserve">
MCS lighting contractor survey question: On average, how long does it take to replace existing T8 lamps new T8 lamps for 2-lamp fixtures in "high bay" ceilings where a lift is required, in terms of man-hours per fixture. [IF NEEDED: Please include the time required for: removal of existing lamp, installation of new lamp, and commissioning.]</t>
        </r>
      </text>
    </comment>
    <comment ref="U693" authorId="0">
      <text>
        <r>
          <rPr>
            <b/>
            <sz val="9"/>
            <color indexed="81"/>
            <rFont val="Tahoma"/>
            <family val="2"/>
          </rPr>
          <t>Lucas Scheidler:</t>
        </r>
        <r>
          <rPr>
            <sz val="9"/>
            <color indexed="81"/>
            <rFont val="Tahoma"/>
            <family val="2"/>
          </rPr>
          <t xml:space="preserve">
MCS lighting contractor survey question: On average, how long does it take to prepare removed linear fluorescent lamps/ballasts/fixtures for disposal, in terms of man-hours per 100 lamps/fixtures/ballasts. Please include the time required for: collecting items for disposal, managing broken items, packaging, and arranging for pick-up.  This estimate should not include the time it takes for the disposal companies to pick up and dispose of the equipment.</t>
        </r>
      </text>
    </comment>
    <comment ref="AH693" authorId="0">
      <text>
        <r>
          <rPr>
            <b/>
            <sz val="9"/>
            <color indexed="81"/>
            <rFont val="Tahoma"/>
            <family val="2"/>
          </rPr>
          <t>Lucas Scheidler:</t>
        </r>
        <r>
          <rPr>
            <sz val="9"/>
            <color indexed="81"/>
            <rFont val="Tahoma"/>
            <family val="2"/>
          </rPr>
          <t xml:space="preserve">
per unit</t>
        </r>
      </text>
    </comment>
    <comment ref="AI693" authorId="0">
      <text>
        <r>
          <rPr>
            <b/>
            <sz val="9"/>
            <color indexed="81"/>
            <rFont val="Tahoma"/>
            <family val="2"/>
          </rPr>
          <t>Lucas Scheidler:</t>
        </r>
        <r>
          <rPr>
            <sz val="9"/>
            <color indexed="81"/>
            <rFont val="Tahoma"/>
            <family val="2"/>
          </rPr>
          <t xml:space="preserve">
per unit</t>
        </r>
      </text>
    </comment>
    <comment ref="U694" authorId="0">
      <text>
        <r>
          <rPr>
            <b/>
            <sz val="9"/>
            <color indexed="81"/>
            <rFont val="Tahoma"/>
            <family val="2"/>
          </rPr>
          <t>Lucas Scheidler:</t>
        </r>
        <r>
          <rPr>
            <sz val="9"/>
            <color indexed="81"/>
            <rFont val="Tahoma"/>
            <family val="2"/>
          </rPr>
          <t xml:space="preserve">
RSMeans item 266123</t>
        </r>
      </text>
    </comment>
    <comment ref="AP694" authorId="0">
      <text>
        <r>
          <rPr>
            <b/>
            <sz val="9"/>
            <color indexed="81"/>
            <rFont val="Tahoma"/>
            <family val="2"/>
          </rPr>
          <t>Lucas Scheidler:</t>
        </r>
        <r>
          <rPr>
            <sz val="9"/>
            <color indexed="81"/>
            <rFont val="Tahoma"/>
            <family val="2"/>
          </rPr>
          <t xml:space="preserve">
National Average - 1 electrician</t>
        </r>
      </text>
    </comment>
    <comment ref="K702" authorId="0">
      <text>
        <r>
          <rPr>
            <b/>
            <sz val="9"/>
            <color indexed="81"/>
            <rFont val="Tahoma"/>
            <family val="2"/>
          </rPr>
          <t>Lucas Scheidler:</t>
        </r>
        <r>
          <rPr>
            <sz val="9"/>
            <color indexed="81"/>
            <rFont val="Tahoma"/>
            <family val="2"/>
          </rPr>
          <t xml:space="preserve">
RSMeans average</t>
        </r>
      </text>
    </comment>
    <comment ref="L702" authorId="0">
      <text>
        <r>
          <rPr>
            <b/>
            <sz val="9"/>
            <color indexed="81"/>
            <rFont val="Tahoma"/>
            <family val="2"/>
          </rPr>
          <t>Lucas Scheidler:</t>
        </r>
        <r>
          <rPr>
            <sz val="9"/>
            <color indexed="81"/>
            <rFont val="Tahoma"/>
            <family val="2"/>
          </rPr>
          <t xml:space="preserve">
installation and disposal labor included</t>
        </r>
      </text>
    </comment>
    <comment ref="U702" authorId="0">
      <text>
        <r>
          <rPr>
            <b/>
            <sz val="9"/>
            <color indexed="81"/>
            <rFont val="Tahoma"/>
            <family val="2"/>
          </rPr>
          <t>Lucas Scheidler:</t>
        </r>
        <r>
          <rPr>
            <sz val="9"/>
            <color indexed="81"/>
            <rFont val="Tahoma"/>
            <family val="2"/>
          </rPr>
          <t xml:space="preserve">
MCS lighting contractor survey question: On average, how long does it take to replace existing T8 lamps with new T8 lamps for 2-lamp fixtures recessed in "T-bar Ceilings" accessible with a ladder, in terms of man-hours per fixture? Please include the time required for: removal of existing lamps, installation of new lamps, and commissioning.</t>
        </r>
      </text>
    </comment>
    <comment ref="L703" authorId="0">
      <text>
        <r>
          <rPr>
            <b/>
            <sz val="9"/>
            <color indexed="81"/>
            <rFont val="Tahoma"/>
            <family val="2"/>
          </rPr>
          <t>Lucas Scheidler:</t>
        </r>
        <r>
          <rPr>
            <sz val="9"/>
            <color indexed="81"/>
            <rFont val="Tahoma"/>
            <family val="2"/>
          </rPr>
          <t xml:space="preserve">
installation and disposal labor included</t>
        </r>
      </text>
    </comment>
    <comment ref="U703" authorId="0">
      <text>
        <r>
          <rPr>
            <b/>
            <sz val="9"/>
            <color indexed="81"/>
            <rFont val="Tahoma"/>
            <family val="2"/>
          </rPr>
          <t>Lucas Scheidler:</t>
        </r>
        <r>
          <rPr>
            <sz val="9"/>
            <color indexed="81"/>
            <rFont val="Tahoma"/>
            <family val="2"/>
          </rPr>
          <t xml:space="preserve">
MCS lighting contractor survey question: On average, how long does it take to replace existing T8 lamps new T8 lamps for 2-lamp fixtures in "high bay" ceilings where a lift is required, in terms of man-hours per fixture. [IF NEEDED: Please include the time required for: removal of existing lamp, installation of new lamp, and commissioning.]</t>
        </r>
      </text>
    </comment>
    <comment ref="U704" authorId="0">
      <text>
        <r>
          <rPr>
            <b/>
            <sz val="9"/>
            <color indexed="81"/>
            <rFont val="Tahoma"/>
            <family val="2"/>
          </rPr>
          <t>Lucas Scheidler:</t>
        </r>
        <r>
          <rPr>
            <sz val="9"/>
            <color indexed="81"/>
            <rFont val="Tahoma"/>
            <family val="2"/>
          </rPr>
          <t xml:space="preserve">
MCS lighting contractor survey question: On average, how long does it take to prepare removed linear fluorescent lamps/ballasts/fixtures for disposal, in terms of man-hours per 100 lamps/fixtures/ballasts. Please include the time required for: collecting items for disposal, managing broken items, packaging, and arranging for pick-up.  This estimate should not include the time it takes for the disposal companies to pick up and dispose of the equipment.</t>
        </r>
      </text>
    </comment>
    <comment ref="AH704" authorId="0">
      <text>
        <r>
          <rPr>
            <b/>
            <sz val="9"/>
            <color indexed="81"/>
            <rFont val="Tahoma"/>
            <family val="2"/>
          </rPr>
          <t>Lucas Scheidler:</t>
        </r>
        <r>
          <rPr>
            <sz val="9"/>
            <color indexed="81"/>
            <rFont val="Tahoma"/>
            <family val="2"/>
          </rPr>
          <t xml:space="preserve">
per unit</t>
        </r>
      </text>
    </comment>
    <comment ref="AI704" authorId="0">
      <text>
        <r>
          <rPr>
            <b/>
            <sz val="9"/>
            <color indexed="81"/>
            <rFont val="Tahoma"/>
            <family val="2"/>
          </rPr>
          <t>Lucas Scheidler:</t>
        </r>
        <r>
          <rPr>
            <sz val="9"/>
            <color indexed="81"/>
            <rFont val="Tahoma"/>
            <family val="2"/>
          </rPr>
          <t xml:space="preserve">
per unit</t>
        </r>
      </text>
    </comment>
    <comment ref="B705" authorId="0">
      <text>
        <r>
          <rPr>
            <b/>
            <sz val="9"/>
            <color indexed="81"/>
            <rFont val="Tahoma"/>
            <family val="2"/>
          </rPr>
          <t>Lucas Scheidler:</t>
        </r>
        <r>
          <rPr>
            <sz val="9"/>
            <color indexed="81"/>
            <rFont val="Tahoma"/>
            <family val="2"/>
          </rPr>
          <t xml:space="preserve">
RSMeans item 266123</t>
        </r>
      </text>
    </comment>
    <comment ref="U705" authorId="0">
      <text>
        <r>
          <rPr>
            <b/>
            <sz val="9"/>
            <color indexed="81"/>
            <rFont val="Tahoma"/>
            <family val="2"/>
          </rPr>
          <t>Lucas Scheidler:</t>
        </r>
        <r>
          <rPr>
            <sz val="9"/>
            <color indexed="81"/>
            <rFont val="Tahoma"/>
            <family val="2"/>
          </rPr>
          <t xml:space="preserve">
RSMeans item 266123</t>
        </r>
      </text>
    </comment>
    <comment ref="AP705" authorId="0">
      <text>
        <r>
          <rPr>
            <b/>
            <sz val="9"/>
            <color indexed="81"/>
            <rFont val="Tahoma"/>
            <family val="2"/>
          </rPr>
          <t>Lucas Scheidler:</t>
        </r>
        <r>
          <rPr>
            <sz val="9"/>
            <color indexed="81"/>
            <rFont val="Tahoma"/>
            <family val="2"/>
          </rPr>
          <t xml:space="preserve">
National Average - 1 electrician</t>
        </r>
      </text>
    </comment>
    <comment ref="U706" authorId="0">
      <text>
        <r>
          <rPr>
            <b/>
            <sz val="9"/>
            <color indexed="81"/>
            <rFont val="Tahoma"/>
            <family val="2"/>
          </rPr>
          <t>Lucas Scheidler:</t>
        </r>
        <r>
          <rPr>
            <sz val="9"/>
            <color indexed="81"/>
            <rFont val="Tahoma"/>
            <family val="2"/>
          </rPr>
          <t xml:space="preserve">
RSMeans item 266123</t>
        </r>
      </text>
    </comment>
    <comment ref="AP706" authorId="0">
      <text>
        <r>
          <rPr>
            <b/>
            <sz val="9"/>
            <color indexed="81"/>
            <rFont val="Tahoma"/>
            <family val="2"/>
          </rPr>
          <t>Lucas Scheidler:</t>
        </r>
        <r>
          <rPr>
            <sz val="9"/>
            <color indexed="81"/>
            <rFont val="Tahoma"/>
            <family val="2"/>
          </rPr>
          <t xml:space="preserve">
National Average - 1 electrician</t>
        </r>
      </text>
    </comment>
    <comment ref="U707" authorId="0">
      <text>
        <r>
          <rPr>
            <b/>
            <sz val="9"/>
            <color indexed="81"/>
            <rFont val="Tahoma"/>
            <family val="2"/>
          </rPr>
          <t>Lucas Scheidler:</t>
        </r>
        <r>
          <rPr>
            <sz val="9"/>
            <color indexed="81"/>
            <rFont val="Tahoma"/>
            <family val="2"/>
          </rPr>
          <t xml:space="preserve">
RSMeans item 266123</t>
        </r>
      </text>
    </comment>
    <comment ref="AP707" authorId="0">
      <text>
        <r>
          <rPr>
            <b/>
            <sz val="9"/>
            <color indexed="81"/>
            <rFont val="Tahoma"/>
            <family val="2"/>
          </rPr>
          <t>Lucas Scheidler:</t>
        </r>
        <r>
          <rPr>
            <sz val="9"/>
            <color indexed="81"/>
            <rFont val="Tahoma"/>
            <family val="2"/>
          </rPr>
          <t xml:space="preserve">
National Average - 1 electrician</t>
        </r>
      </text>
    </comment>
    <comment ref="U708" authorId="0">
      <text>
        <r>
          <rPr>
            <b/>
            <sz val="9"/>
            <color indexed="81"/>
            <rFont val="Tahoma"/>
            <family val="2"/>
          </rPr>
          <t>Lucas Scheidler:</t>
        </r>
        <r>
          <rPr>
            <sz val="9"/>
            <color indexed="81"/>
            <rFont val="Tahoma"/>
            <family val="2"/>
          </rPr>
          <t xml:space="preserve">
RSMeans item 266123</t>
        </r>
      </text>
    </comment>
    <comment ref="AP708" authorId="0">
      <text>
        <r>
          <rPr>
            <b/>
            <sz val="9"/>
            <color indexed="81"/>
            <rFont val="Tahoma"/>
            <family val="2"/>
          </rPr>
          <t>Lucas Scheidler:</t>
        </r>
        <r>
          <rPr>
            <sz val="9"/>
            <color indexed="81"/>
            <rFont val="Tahoma"/>
            <family val="2"/>
          </rPr>
          <t xml:space="preserve">
National Average - 1 electrician</t>
        </r>
      </text>
    </comment>
    <comment ref="K720" authorId="0">
      <text>
        <r>
          <rPr>
            <b/>
            <sz val="9"/>
            <color indexed="81"/>
            <rFont val="Tahoma"/>
            <family val="2"/>
          </rPr>
          <t>Lucas Scheidler:</t>
        </r>
        <r>
          <rPr>
            <sz val="9"/>
            <color indexed="81"/>
            <rFont val="Tahoma"/>
            <family val="2"/>
          </rPr>
          <t xml:space="preserve">
default</t>
        </r>
      </text>
    </comment>
    <comment ref="L720" authorId="0">
      <text>
        <r>
          <rPr>
            <b/>
            <sz val="9"/>
            <color indexed="81"/>
            <rFont val="Tahoma"/>
            <family val="2"/>
          </rPr>
          <t>Lucas Scheidler:</t>
        </r>
        <r>
          <rPr>
            <sz val="9"/>
            <color indexed="81"/>
            <rFont val="Tahoma"/>
            <family val="2"/>
          </rPr>
          <t xml:space="preserve">
includes disposal labor</t>
        </r>
      </text>
    </comment>
    <comment ref="U720" authorId="0">
      <text>
        <r>
          <rPr>
            <b/>
            <sz val="9"/>
            <color indexed="81"/>
            <rFont val="Tahoma"/>
            <family val="2"/>
          </rPr>
          <t>Lucas Scheidler:</t>
        </r>
        <r>
          <rPr>
            <sz val="9"/>
            <color indexed="81"/>
            <rFont val="Tahoma"/>
            <family val="2"/>
          </rPr>
          <t xml:space="preserve">
MCS lighting survey question: On average, how long does it take to replace a low efficiency linear ballast with a high efficiency ballast in terms of man-hours per ballast where the fixtures are recessed in "T-bar Ceilings" and accessible with a ladder? Pleaase include the time required for: removal of existing ballast, wiring the new ballast, installation, and commissioning.</t>
        </r>
      </text>
    </comment>
    <comment ref="AP720" authorId="0">
      <text>
        <r>
          <rPr>
            <b/>
            <sz val="9"/>
            <color indexed="81"/>
            <rFont val="Tahoma"/>
            <family val="2"/>
          </rPr>
          <t>Lucas Scheidler:</t>
        </r>
        <r>
          <rPr>
            <sz val="9"/>
            <color indexed="81"/>
            <rFont val="Tahoma"/>
            <family val="2"/>
          </rPr>
          <t xml:space="preserve">
National Average - 1 electrician</t>
        </r>
      </text>
    </comment>
    <comment ref="U721" authorId="0">
      <text>
        <r>
          <rPr>
            <b/>
            <sz val="9"/>
            <color indexed="81"/>
            <rFont val="Tahoma"/>
            <family val="2"/>
          </rPr>
          <t>Lucas Scheidler:</t>
        </r>
        <r>
          <rPr>
            <sz val="9"/>
            <color indexed="81"/>
            <rFont val="Tahoma"/>
            <family val="2"/>
          </rPr>
          <t xml:space="preserve">
MCS lighting survey question: On average, how long does it take to replace a low efficiency linear fluorescent ballast with high efficiency ballast in terms of man-hours per ballast in "high bay" ceilings where a lift is required? [IF NEEDED: Please include the time required for: removal of existing ballast, wiring the new ballast, installation, and commissioning.]</t>
        </r>
      </text>
    </comment>
    <comment ref="AP721" authorId="0">
      <text>
        <r>
          <rPr>
            <b/>
            <sz val="9"/>
            <color indexed="81"/>
            <rFont val="Tahoma"/>
            <family val="2"/>
          </rPr>
          <t>Lucas Scheidler:</t>
        </r>
        <r>
          <rPr>
            <sz val="9"/>
            <color indexed="81"/>
            <rFont val="Tahoma"/>
            <family val="2"/>
          </rPr>
          <t xml:space="preserve">
National Average - 1 electrician</t>
        </r>
      </text>
    </comment>
    <comment ref="U722" authorId="0">
      <text>
        <r>
          <rPr>
            <b/>
            <sz val="9"/>
            <color indexed="81"/>
            <rFont val="Tahoma"/>
            <family val="2"/>
          </rPr>
          <t>Lucas Scheidler:</t>
        </r>
        <r>
          <rPr>
            <sz val="9"/>
            <color indexed="81"/>
            <rFont val="Tahoma"/>
            <family val="2"/>
          </rPr>
          <t xml:space="preserve">
MCS lighting contractor survey question: On average, how long does it take to prepare removed linear fluorescent lamps/ballasts/fixtures for disposal, in terms of man-hours per 100 lamps/fixtures/ballasts. Please include the time required for: collecting items for disposal, managing broken items, packaging, and arranging for pick-up.  This estimate should not include the time it takes for the disposal companies to pick up and dispose of the equipment.</t>
        </r>
      </text>
    </comment>
    <comment ref="AH722" authorId="0">
      <text>
        <r>
          <rPr>
            <b/>
            <sz val="9"/>
            <color indexed="81"/>
            <rFont val="Tahoma"/>
            <family val="2"/>
          </rPr>
          <t>Lucas Scheidler:</t>
        </r>
        <r>
          <rPr>
            <sz val="9"/>
            <color indexed="81"/>
            <rFont val="Tahoma"/>
            <family val="2"/>
          </rPr>
          <t xml:space="preserve">
per unit</t>
        </r>
      </text>
    </comment>
    <comment ref="AI722" authorId="0">
      <text>
        <r>
          <rPr>
            <b/>
            <sz val="9"/>
            <color indexed="81"/>
            <rFont val="Tahoma"/>
            <family val="2"/>
          </rPr>
          <t>Lucas Scheidler:</t>
        </r>
        <r>
          <rPr>
            <sz val="9"/>
            <color indexed="81"/>
            <rFont val="Tahoma"/>
            <family val="2"/>
          </rPr>
          <t xml:space="preserve">
per unit</t>
        </r>
      </text>
    </comment>
    <comment ref="AP722" authorId="0">
      <text>
        <r>
          <rPr>
            <b/>
            <sz val="9"/>
            <color indexed="81"/>
            <rFont val="Tahoma"/>
            <family val="2"/>
          </rPr>
          <t>Lucas Scheidler:</t>
        </r>
        <r>
          <rPr>
            <sz val="9"/>
            <color indexed="81"/>
            <rFont val="Tahoma"/>
            <family val="2"/>
          </rPr>
          <t xml:space="preserve">
National Average - 1 electrician</t>
        </r>
      </text>
    </comment>
    <comment ref="K731" authorId="0">
      <text>
        <r>
          <rPr>
            <b/>
            <sz val="9"/>
            <color indexed="81"/>
            <rFont val="Tahoma"/>
            <family val="2"/>
          </rPr>
          <t>Lucas Scheidler:</t>
        </r>
        <r>
          <rPr>
            <sz val="9"/>
            <color indexed="81"/>
            <rFont val="Tahoma"/>
            <family val="2"/>
          </rPr>
          <t xml:space="preserve">
default</t>
        </r>
      </text>
    </comment>
    <comment ref="L731" authorId="0">
      <text>
        <r>
          <rPr>
            <b/>
            <sz val="9"/>
            <color indexed="81"/>
            <rFont val="Tahoma"/>
            <family val="2"/>
          </rPr>
          <t>Lucas Scheidler:</t>
        </r>
        <r>
          <rPr>
            <sz val="9"/>
            <color indexed="81"/>
            <rFont val="Tahoma"/>
            <family val="2"/>
          </rPr>
          <t xml:space="preserve">
includes disposal labor</t>
        </r>
      </text>
    </comment>
    <comment ref="U731" authorId="0">
      <text>
        <r>
          <rPr>
            <b/>
            <sz val="9"/>
            <color indexed="81"/>
            <rFont val="Tahoma"/>
            <family val="2"/>
          </rPr>
          <t>Lucas Scheidler:</t>
        </r>
        <r>
          <rPr>
            <sz val="9"/>
            <color indexed="81"/>
            <rFont val="Tahoma"/>
            <family val="2"/>
          </rPr>
          <t xml:space="preserve">
MCS lighting survey question: On average, how long does it take to replace a low efficiency linear ballast with a high efficiency ballast in terms of man-hours per ballast where the fixtures are recessed in "T-bar Ceilings" and accessible with a ladder? Pleaase include the time required for: removal of existing ballast, wiring the new ballast, installation, and commissioning.</t>
        </r>
      </text>
    </comment>
    <comment ref="AP731" authorId="0">
      <text>
        <r>
          <rPr>
            <b/>
            <sz val="9"/>
            <color indexed="81"/>
            <rFont val="Tahoma"/>
            <family val="2"/>
          </rPr>
          <t>Lucas Scheidler:</t>
        </r>
        <r>
          <rPr>
            <sz val="9"/>
            <color indexed="81"/>
            <rFont val="Tahoma"/>
            <family val="2"/>
          </rPr>
          <t xml:space="preserve">
National Average - 1 electrician</t>
        </r>
      </text>
    </comment>
    <comment ref="U732" authorId="0">
      <text>
        <r>
          <rPr>
            <b/>
            <sz val="9"/>
            <color indexed="81"/>
            <rFont val="Tahoma"/>
            <family val="2"/>
          </rPr>
          <t>Lucas Scheidler:</t>
        </r>
        <r>
          <rPr>
            <sz val="9"/>
            <color indexed="81"/>
            <rFont val="Tahoma"/>
            <family val="2"/>
          </rPr>
          <t xml:space="preserve">
MCS lighting survey question: On average, how long does it take to replace a low efficiency linear fluorescent ballast with high efficiency ballast in terms of man-hours per ballast in "high bay" ceilings where a lift is required? [IF NEEDED: Please include the time required for: removal of existing ballast, wiring the new ballast, installation, and commissioning.]</t>
        </r>
      </text>
    </comment>
    <comment ref="AP732" authorId="0">
      <text>
        <r>
          <rPr>
            <b/>
            <sz val="9"/>
            <color indexed="81"/>
            <rFont val="Tahoma"/>
            <family val="2"/>
          </rPr>
          <t>Lucas Scheidler:</t>
        </r>
        <r>
          <rPr>
            <sz val="9"/>
            <color indexed="81"/>
            <rFont val="Tahoma"/>
            <family val="2"/>
          </rPr>
          <t xml:space="preserve">
National Average - 1 electrician</t>
        </r>
      </text>
    </comment>
    <comment ref="U733" authorId="0">
      <text>
        <r>
          <rPr>
            <b/>
            <sz val="9"/>
            <color indexed="81"/>
            <rFont val="Tahoma"/>
            <family val="2"/>
          </rPr>
          <t>Lucas Scheidler:</t>
        </r>
        <r>
          <rPr>
            <sz val="9"/>
            <color indexed="81"/>
            <rFont val="Tahoma"/>
            <family val="2"/>
          </rPr>
          <t xml:space="preserve">
MCS lighting contractor survey question: On average, how long does it take to prepare removed linear fluorescent lamps/ballasts/fixtures for disposal, in terms of man-hours per 100 lamps/fixtures/ballasts. Please include the time required for: collecting items for disposal, managing broken items, packaging, and arranging for pick-up.  This estimate should not include the time it takes for the disposal companies to pick up and dispose of the equipment.</t>
        </r>
      </text>
    </comment>
    <comment ref="AH733" authorId="0">
      <text>
        <r>
          <rPr>
            <b/>
            <sz val="9"/>
            <color indexed="81"/>
            <rFont val="Tahoma"/>
            <family val="2"/>
          </rPr>
          <t>Lucas Scheidler:</t>
        </r>
        <r>
          <rPr>
            <sz val="9"/>
            <color indexed="81"/>
            <rFont val="Tahoma"/>
            <family val="2"/>
          </rPr>
          <t xml:space="preserve">
per unit</t>
        </r>
      </text>
    </comment>
    <comment ref="AI733" authorId="0">
      <text>
        <r>
          <rPr>
            <b/>
            <sz val="9"/>
            <color indexed="81"/>
            <rFont val="Tahoma"/>
            <family val="2"/>
          </rPr>
          <t>Lucas Scheidler:</t>
        </r>
        <r>
          <rPr>
            <sz val="9"/>
            <color indexed="81"/>
            <rFont val="Tahoma"/>
            <family val="2"/>
          </rPr>
          <t xml:space="preserve">
per unit</t>
        </r>
      </text>
    </comment>
    <comment ref="AP733" authorId="0">
      <text>
        <r>
          <rPr>
            <b/>
            <sz val="9"/>
            <color indexed="81"/>
            <rFont val="Tahoma"/>
            <family val="2"/>
          </rPr>
          <t>Lucas Scheidler:</t>
        </r>
        <r>
          <rPr>
            <sz val="9"/>
            <color indexed="81"/>
            <rFont val="Tahoma"/>
            <family val="2"/>
          </rPr>
          <t xml:space="preserve">
National Average - 1 electrician</t>
        </r>
      </text>
    </comment>
    <comment ref="K742" authorId="0">
      <text>
        <r>
          <rPr>
            <b/>
            <sz val="9"/>
            <color indexed="81"/>
            <rFont val="Tahoma"/>
            <family val="2"/>
          </rPr>
          <t>Lucas Scheidler:</t>
        </r>
        <r>
          <rPr>
            <sz val="9"/>
            <color indexed="81"/>
            <rFont val="Tahoma"/>
            <family val="2"/>
          </rPr>
          <t xml:space="preserve">
RSMeans average</t>
        </r>
      </text>
    </comment>
    <comment ref="U742" authorId="0">
      <text>
        <r>
          <rPr>
            <b/>
            <sz val="9"/>
            <color indexed="81"/>
            <rFont val="Tahoma"/>
            <family val="2"/>
          </rPr>
          <t>Lucas Scheidler:</t>
        </r>
        <r>
          <rPr>
            <sz val="9"/>
            <color indexed="81"/>
            <rFont val="Tahoma"/>
            <family val="2"/>
          </rPr>
          <t xml:space="preserve">
MCS lighting contractor survey question: On average, how long does it take to replace a 4-ft T12 fixture with a T5 or T8 fixture in terms of man-hours per fixture where the fixtures are recessed in "T-bar Ceilings" and accessible with a ladder?  Please include the time required for: removal of existing fixture+lamp+ballast, wiring the new fixture and ballast, installation, and commissioning.</t>
        </r>
      </text>
    </comment>
    <comment ref="U743" authorId="0">
      <text>
        <r>
          <rPr>
            <b/>
            <sz val="9"/>
            <color indexed="81"/>
            <rFont val="Tahoma"/>
            <family val="2"/>
          </rPr>
          <t>Lucas Scheidler:</t>
        </r>
        <r>
          <rPr>
            <sz val="9"/>
            <color indexed="81"/>
            <rFont val="Tahoma"/>
            <family val="2"/>
          </rPr>
          <t xml:space="preserve">
MCS lighting contractor survey question: On average, how long does it take to prepare removed linear fluorescent lamps/ballasts/fixtures for disposal, in terms of man-hours per 100 lamps/fixtures/ballasts. Please include the time required for: collecting items for disposal, managing broken items, packaging, and arranging for pick-up.  This estimate should not include the time it takes for the disposal companies to pick up and dispose of the equipment.</t>
        </r>
      </text>
    </comment>
    <comment ref="AH743" authorId="0">
      <text>
        <r>
          <rPr>
            <b/>
            <sz val="9"/>
            <color indexed="81"/>
            <rFont val="Tahoma"/>
            <family val="2"/>
          </rPr>
          <t>Lucas Scheidler:</t>
        </r>
        <r>
          <rPr>
            <sz val="9"/>
            <color indexed="81"/>
            <rFont val="Tahoma"/>
            <family val="2"/>
          </rPr>
          <t xml:space="preserve">
per unit</t>
        </r>
      </text>
    </comment>
    <comment ref="AI743" authorId="0">
      <text>
        <r>
          <rPr>
            <b/>
            <sz val="9"/>
            <color indexed="81"/>
            <rFont val="Tahoma"/>
            <family val="2"/>
          </rPr>
          <t>Lucas Scheidler:</t>
        </r>
        <r>
          <rPr>
            <sz val="9"/>
            <color indexed="81"/>
            <rFont val="Tahoma"/>
            <family val="2"/>
          </rPr>
          <t xml:space="preserve">
per unit</t>
        </r>
      </text>
    </comment>
    <comment ref="U744" authorId="0">
      <text>
        <r>
          <rPr>
            <b/>
            <sz val="9"/>
            <color indexed="81"/>
            <rFont val="Tahoma"/>
            <family val="2"/>
          </rPr>
          <t>Lucas Scheidler:</t>
        </r>
        <r>
          <rPr>
            <sz val="9"/>
            <color indexed="81"/>
            <rFont val="Tahoma"/>
            <family val="2"/>
          </rPr>
          <t xml:space="preserve">
RSMeans item 265113.5</t>
        </r>
      </text>
    </comment>
    <comment ref="AO744" authorId="0">
      <text>
        <r>
          <rPr>
            <b/>
            <sz val="9"/>
            <color indexed="81"/>
            <rFont val="Tahoma"/>
            <family val="2"/>
          </rPr>
          <t>Lucas Scheidler:</t>
        </r>
        <r>
          <rPr>
            <sz val="9"/>
            <color indexed="81"/>
            <rFont val="Tahoma"/>
            <family val="2"/>
          </rPr>
          <t xml:space="preserve">
Job Conditions: Productivity is based on new construction in a unobstructed
ﬁrst ﬂoor location, using rolling staging to 15′ high.
Material staging is assumed to be within 100′ of work being performed.
Add the following percentages to labor for elevated installations:
15′ to 20′ high 10%
21′ to 25′ high 20%
26′ to 30′ high 30%
31′ to 35′ high 40%
36′ to 40′ high 50%
41′ and over 60%
</t>
        </r>
      </text>
    </comment>
    <comment ref="AP744" authorId="0">
      <text>
        <r>
          <rPr>
            <b/>
            <sz val="9"/>
            <color indexed="81"/>
            <rFont val="Tahoma"/>
            <family val="2"/>
          </rPr>
          <t>Lucas Scheidler:</t>
        </r>
        <r>
          <rPr>
            <sz val="9"/>
            <color indexed="81"/>
            <rFont val="Tahoma"/>
            <family val="2"/>
          </rPr>
          <t xml:space="preserve">
National Average - 1 electrician</t>
        </r>
      </text>
    </comment>
    <comment ref="U745" authorId="0">
      <text>
        <r>
          <rPr>
            <b/>
            <sz val="9"/>
            <color indexed="81"/>
            <rFont val="Tahoma"/>
            <family val="2"/>
          </rPr>
          <t>Lucas Scheidler:</t>
        </r>
        <r>
          <rPr>
            <sz val="9"/>
            <color indexed="81"/>
            <rFont val="Tahoma"/>
            <family val="2"/>
          </rPr>
          <t xml:space="preserve">
RSMeans item 265113.5</t>
        </r>
      </text>
    </comment>
    <comment ref="U746" authorId="0">
      <text>
        <r>
          <rPr>
            <b/>
            <sz val="9"/>
            <color indexed="81"/>
            <rFont val="Tahoma"/>
            <family val="2"/>
          </rPr>
          <t>Lucas Scheidler:</t>
        </r>
        <r>
          <rPr>
            <sz val="9"/>
            <color indexed="81"/>
            <rFont val="Tahoma"/>
            <family val="2"/>
          </rPr>
          <t xml:space="preserve">
RSMeans item 265113.5</t>
        </r>
      </text>
    </comment>
    <comment ref="U747" authorId="0">
      <text>
        <r>
          <rPr>
            <b/>
            <sz val="9"/>
            <color indexed="81"/>
            <rFont val="Tahoma"/>
            <family val="2"/>
          </rPr>
          <t>Lucas Scheidler:</t>
        </r>
        <r>
          <rPr>
            <sz val="9"/>
            <color indexed="81"/>
            <rFont val="Tahoma"/>
            <family val="2"/>
          </rPr>
          <t xml:space="preserve">
RSMeans item 265113.5</t>
        </r>
      </text>
    </comment>
    <comment ref="U748" authorId="0">
      <text>
        <r>
          <rPr>
            <b/>
            <sz val="9"/>
            <color indexed="81"/>
            <rFont val="Tahoma"/>
            <family val="2"/>
          </rPr>
          <t>Lucas Scheidler:</t>
        </r>
        <r>
          <rPr>
            <sz val="9"/>
            <color indexed="81"/>
            <rFont val="Tahoma"/>
            <family val="2"/>
          </rPr>
          <t xml:space="preserve">
RSMeans item 265113.5</t>
        </r>
      </text>
    </comment>
    <comment ref="U749" authorId="0">
      <text>
        <r>
          <rPr>
            <b/>
            <sz val="9"/>
            <color indexed="81"/>
            <rFont val="Tahoma"/>
            <family val="2"/>
          </rPr>
          <t>Lucas Scheidler:</t>
        </r>
        <r>
          <rPr>
            <sz val="9"/>
            <color indexed="81"/>
            <rFont val="Tahoma"/>
            <family val="2"/>
          </rPr>
          <t xml:space="preserve">
RSMeans item 265113.5</t>
        </r>
      </text>
    </comment>
    <comment ref="U750" authorId="0">
      <text>
        <r>
          <rPr>
            <b/>
            <sz val="9"/>
            <color indexed="81"/>
            <rFont val="Tahoma"/>
            <family val="2"/>
          </rPr>
          <t>Lucas Scheidler:</t>
        </r>
        <r>
          <rPr>
            <sz val="9"/>
            <color indexed="81"/>
            <rFont val="Tahoma"/>
            <family val="2"/>
          </rPr>
          <t xml:space="preserve">
RSMeans item 265113.5</t>
        </r>
      </text>
    </comment>
    <comment ref="U751" authorId="0">
      <text>
        <r>
          <rPr>
            <b/>
            <sz val="9"/>
            <color indexed="81"/>
            <rFont val="Tahoma"/>
            <family val="2"/>
          </rPr>
          <t>Lucas Scheidler:</t>
        </r>
        <r>
          <rPr>
            <sz val="9"/>
            <color indexed="81"/>
            <rFont val="Tahoma"/>
            <family val="2"/>
          </rPr>
          <t xml:space="preserve">
RSMeans item 265113.5</t>
        </r>
      </text>
    </comment>
    <comment ref="U752" authorId="0">
      <text>
        <r>
          <rPr>
            <b/>
            <sz val="9"/>
            <color indexed="81"/>
            <rFont val="Tahoma"/>
            <family val="2"/>
          </rPr>
          <t>Lucas Scheidler:</t>
        </r>
        <r>
          <rPr>
            <sz val="9"/>
            <color indexed="81"/>
            <rFont val="Tahoma"/>
            <family val="2"/>
          </rPr>
          <t xml:space="preserve">
RSMeans item 265113.5</t>
        </r>
      </text>
    </comment>
    <comment ref="U753" authorId="0">
      <text>
        <r>
          <rPr>
            <b/>
            <sz val="9"/>
            <color indexed="81"/>
            <rFont val="Tahoma"/>
            <family val="2"/>
          </rPr>
          <t>Lucas Scheidler:</t>
        </r>
        <r>
          <rPr>
            <sz val="9"/>
            <color indexed="81"/>
            <rFont val="Tahoma"/>
            <family val="2"/>
          </rPr>
          <t xml:space="preserve">
Description:
The project site presently has 2-tube 4ft T12 lighting fixtures with magnetic ballasts.  They are to be replaced with new fixtures.  Retrofit existing T12 lighting fixtures/magnetic ballast with new CPES8P T8 lighting fixture from Lithonia Lighting and ICN-2P32-N electronic ballast from Advance Transformer Co, or equivalent NEMA Premium. Replace T12 lamp with:
T8
800 Series 
30 Watt 
5000 K
The recessed lighting fixtures are mounted on dropped ceilings which are at a height of 9 ft from the floor.  The lighting fixtures are distributed across 3 floors of the building
Tasks: The following tasks needs to be executed for this project. This bid does not include pre-inspections and development work that might be required to plan out the project.
Remove existing T12 lighting fixtures.
Provide and install 50 new 2 tube lighting fixtures with electronic ballast.
Provide and install all the electrical connections as required.
Provide and install 100 new 30 Watt T8 lamps.
Perform functional testing to verify that all the fixtures are working.
Dispose the existing lights, ballast and fixtures.
</t>
        </r>
      </text>
    </comment>
    <comment ref="V753" authorId="0">
      <text>
        <r>
          <rPr>
            <b/>
            <sz val="9"/>
            <color indexed="81"/>
            <rFont val="Tahoma"/>
            <family val="2"/>
          </rPr>
          <t>Lucas Scheidler:</t>
        </r>
        <r>
          <rPr>
            <sz val="9"/>
            <color indexed="81"/>
            <rFont val="Tahoma"/>
            <family val="2"/>
          </rPr>
          <t xml:space="preserve">
per unit</t>
        </r>
      </text>
    </comment>
    <comment ref="X753" authorId="0">
      <text>
        <r>
          <rPr>
            <b/>
            <sz val="9"/>
            <color indexed="81"/>
            <rFont val="Tahoma"/>
            <family val="2"/>
          </rPr>
          <t>Lucas Scheidler:</t>
        </r>
        <r>
          <rPr>
            <sz val="9"/>
            <color indexed="81"/>
            <rFont val="Tahoma"/>
            <family val="2"/>
          </rPr>
          <t xml:space="preserve">
per unit</t>
        </r>
      </text>
    </comment>
    <comment ref="Z753" authorId="0">
      <text>
        <r>
          <rPr>
            <b/>
            <sz val="9"/>
            <color indexed="81"/>
            <rFont val="Tahoma"/>
            <family val="2"/>
          </rPr>
          <t>Lucas Scheidler:</t>
        </r>
        <r>
          <rPr>
            <sz val="9"/>
            <color indexed="81"/>
            <rFont val="Tahoma"/>
            <family val="2"/>
          </rPr>
          <t xml:space="preserve">
Disposal per unit</t>
        </r>
      </text>
    </comment>
    <comment ref="AA753" authorId="0">
      <text>
        <r>
          <rPr>
            <b/>
            <sz val="9"/>
            <color indexed="81"/>
            <rFont val="Tahoma"/>
            <family val="2"/>
          </rPr>
          <t>Lucas Scheidler:</t>
        </r>
        <r>
          <rPr>
            <sz val="9"/>
            <color indexed="81"/>
            <rFont val="Tahoma"/>
            <family val="2"/>
          </rPr>
          <t xml:space="preserve">
Taxes - per unit</t>
        </r>
      </text>
    </comment>
    <comment ref="AB753" authorId="0">
      <text>
        <r>
          <rPr>
            <b/>
            <sz val="9"/>
            <color indexed="81"/>
            <rFont val="Tahoma"/>
            <family val="2"/>
          </rPr>
          <t>Lucas Scheidler:</t>
        </r>
        <r>
          <rPr>
            <sz val="9"/>
            <color indexed="81"/>
            <rFont val="Tahoma"/>
            <family val="2"/>
          </rPr>
          <t xml:space="preserve">
per unit disposal hours for subcontractor bid 1. disposal labor is included in total labor cost in column R</t>
        </r>
      </text>
    </comment>
    <comment ref="Y757" authorId="0">
      <text>
        <r>
          <rPr>
            <b/>
            <sz val="9"/>
            <color indexed="81"/>
            <rFont val="Tahoma"/>
            <family val="2"/>
          </rPr>
          <t>Lucas Scheidler:</t>
        </r>
        <r>
          <rPr>
            <sz val="9"/>
            <color indexed="81"/>
            <rFont val="Tahoma"/>
            <family val="2"/>
          </rPr>
          <t xml:space="preserve">
Unspecified</t>
        </r>
      </text>
    </comment>
    <comment ref="K760" authorId="0">
      <text>
        <r>
          <rPr>
            <b/>
            <sz val="9"/>
            <color indexed="81"/>
            <rFont val="Tahoma"/>
            <family val="2"/>
          </rPr>
          <t>Lucas Scheidler:</t>
        </r>
        <r>
          <rPr>
            <sz val="9"/>
            <color indexed="81"/>
            <rFont val="Tahoma"/>
            <family val="2"/>
          </rPr>
          <t xml:space="preserve">
RSMeans average</t>
        </r>
      </text>
    </comment>
    <comment ref="U760" authorId="0">
      <text>
        <r>
          <rPr>
            <b/>
            <sz val="9"/>
            <color indexed="81"/>
            <rFont val="Tahoma"/>
            <family val="2"/>
          </rPr>
          <t>Lucas Scheidler:</t>
        </r>
        <r>
          <rPr>
            <sz val="9"/>
            <color indexed="81"/>
            <rFont val="Tahoma"/>
            <family val="2"/>
          </rPr>
          <t xml:space="preserve">
MCS lighting contractor survey question: On average, how long does it take to replace a 4-ft T12 fixture with a T5 or T8 fixture in terms of man-hours per fixture where the fixtures are recessed in "T-bar Ceilings" and accessible with a ladder?  Please include the time required for: removal of existing fixture+lamp+ballast, wiring the new fixture and ballast, installation, and commissioning.</t>
        </r>
      </text>
    </comment>
    <comment ref="U761" authorId="0">
      <text>
        <r>
          <rPr>
            <b/>
            <sz val="9"/>
            <color indexed="81"/>
            <rFont val="Tahoma"/>
            <family val="2"/>
          </rPr>
          <t>Lucas Scheidler:</t>
        </r>
        <r>
          <rPr>
            <sz val="9"/>
            <color indexed="81"/>
            <rFont val="Tahoma"/>
            <family val="2"/>
          </rPr>
          <t xml:space="preserve">
MCS lighting contractor survey question: On average, how long does it take to prepare removed linear fluorescent lamps/ballasts/fixtures for disposal, in terms of man-hours per 100 lamps/fixtures/ballasts. Please include the time required for: collecting items for disposal, managing broken items, packaging, and arranging for pick-up.  This estimate should not include the time it takes for the disposal companies to pick up and dispose of the equipment.</t>
        </r>
      </text>
    </comment>
    <comment ref="AH761" authorId="0">
      <text>
        <r>
          <rPr>
            <b/>
            <sz val="9"/>
            <color indexed="81"/>
            <rFont val="Tahoma"/>
            <family val="2"/>
          </rPr>
          <t>Lucas Scheidler:</t>
        </r>
        <r>
          <rPr>
            <sz val="9"/>
            <color indexed="81"/>
            <rFont val="Tahoma"/>
            <family val="2"/>
          </rPr>
          <t xml:space="preserve">
per unit</t>
        </r>
      </text>
    </comment>
    <comment ref="AI761" authorId="0">
      <text>
        <r>
          <rPr>
            <b/>
            <sz val="9"/>
            <color indexed="81"/>
            <rFont val="Tahoma"/>
            <family val="2"/>
          </rPr>
          <t>Lucas Scheidler:</t>
        </r>
        <r>
          <rPr>
            <sz val="9"/>
            <color indexed="81"/>
            <rFont val="Tahoma"/>
            <family val="2"/>
          </rPr>
          <t xml:space="preserve">
per unit</t>
        </r>
      </text>
    </comment>
    <comment ref="U762" authorId="0">
      <text>
        <r>
          <rPr>
            <b/>
            <sz val="9"/>
            <color indexed="81"/>
            <rFont val="Tahoma"/>
            <family val="2"/>
          </rPr>
          <t>Lucas Scheidler:</t>
        </r>
        <r>
          <rPr>
            <sz val="9"/>
            <color indexed="81"/>
            <rFont val="Tahoma"/>
            <family val="2"/>
          </rPr>
          <t xml:space="preserve">
RSMeans item 265113.5</t>
        </r>
      </text>
    </comment>
    <comment ref="AO762" authorId="0">
      <text>
        <r>
          <rPr>
            <b/>
            <sz val="9"/>
            <color indexed="81"/>
            <rFont val="Tahoma"/>
            <family val="2"/>
          </rPr>
          <t>Lucas Scheidler:</t>
        </r>
        <r>
          <rPr>
            <sz val="9"/>
            <color indexed="81"/>
            <rFont val="Tahoma"/>
            <family val="2"/>
          </rPr>
          <t xml:space="preserve">
Job Conditions: Productivity is based on new construction in a unobstructed
ﬁrst ﬂoor location, using rolling staging to 15′ high.
Material staging is assumed to be within 100′ of work being performed.
Add the following percentages to labor for elevated installations:
15′ to 20′ high 10%
21′ to 25′ high 20%
26′ to 30′ high 30%
31′ to 35′ high 40%
36′ to 40′ high 50%
41′ and over 60%
</t>
        </r>
      </text>
    </comment>
    <comment ref="AP762" authorId="0">
      <text>
        <r>
          <rPr>
            <b/>
            <sz val="9"/>
            <color indexed="81"/>
            <rFont val="Tahoma"/>
            <family val="2"/>
          </rPr>
          <t>Lucas Scheidler:</t>
        </r>
        <r>
          <rPr>
            <sz val="9"/>
            <color indexed="81"/>
            <rFont val="Tahoma"/>
            <family val="2"/>
          </rPr>
          <t xml:space="preserve">
National Average - 1 electrician</t>
        </r>
      </text>
    </comment>
    <comment ref="U763" authorId="0">
      <text>
        <r>
          <rPr>
            <b/>
            <sz val="9"/>
            <color indexed="81"/>
            <rFont val="Tahoma"/>
            <family val="2"/>
          </rPr>
          <t>Lucas Scheidler:</t>
        </r>
        <r>
          <rPr>
            <sz val="9"/>
            <color indexed="81"/>
            <rFont val="Tahoma"/>
            <family val="2"/>
          </rPr>
          <t xml:space="preserve">
RSMeans item 265113.5</t>
        </r>
      </text>
    </comment>
    <comment ref="U764" authorId="0">
      <text>
        <r>
          <rPr>
            <b/>
            <sz val="9"/>
            <color indexed="81"/>
            <rFont val="Tahoma"/>
            <family val="2"/>
          </rPr>
          <t>Lucas Scheidler:</t>
        </r>
        <r>
          <rPr>
            <sz val="9"/>
            <color indexed="81"/>
            <rFont val="Tahoma"/>
            <family val="2"/>
          </rPr>
          <t xml:space="preserve">
RSMeans item 265113.5</t>
        </r>
      </text>
    </comment>
    <comment ref="U765" authorId="0">
      <text>
        <r>
          <rPr>
            <b/>
            <sz val="9"/>
            <color indexed="81"/>
            <rFont val="Tahoma"/>
            <family val="2"/>
          </rPr>
          <t>Lucas Scheidler:</t>
        </r>
        <r>
          <rPr>
            <sz val="9"/>
            <color indexed="81"/>
            <rFont val="Tahoma"/>
            <family val="2"/>
          </rPr>
          <t xml:space="preserve">
RSMeans item 265113.5</t>
        </r>
      </text>
    </comment>
    <comment ref="U766" authorId="0">
      <text>
        <r>
          <rPr>
            <b/>
            <sz val="9"/>
            <color indexed="81"/>
            <rFont val="Tahoma"/>
            <family val="2"/>
          </rPr>
          <t>Lucas Scheidler:</t>
        </r>
        <r>
          <rPr>
            <sz val="9"/>
            <color indexed="81"/>
            <rFont val="Tahoma"/>
            <family val="2"/>
          </rPr>
          <t xml:space="preserve">
RSMeans item 265113.5</t>
        </r>
      </text>
    </comment>
    <comment ref="U767" authorId="0">
      <text>
        <r>
          <rPr>
            <b/>
            <sz val="9"/>
            <color indexed="81"/>
            <rFont val="Tahoma"/>
            <family val="2"/>
          </rPr>
          <t>Lucas Scheidler:</t>
        </r>
        <r>
          <rPr>
            <sz val="9"/>
            <color indexed="81"/>
            <rFont val="Tahoma"/>
            <family val="2"/>
          </rPr>
          <t xml:space="preserve">
RSMeans item 265113.5</t>
        </r>
      </text>
    </comment>
    <comment ref="U768" authorId="0">
      <text>
        <r>
          <rPr>
            <b/>
            <sz val="9"/>
            <color indexed="81"/>
            <rFont val="Tahoma"/>
            <family val="2"/>
          </rPr>
          <t>Lucas Scheidler:</t>
        </r>
        <r>
          <rPr>
            <sz val="9"/>
            <color indexed="81"/>
            <rFont val="Tahoma"/>
            <family val="2"/>
          </rPr>
          <t xml:space="preserve">
RSMeans item 265113.5</t>
        </r>
      </text>
    </comment>
    <comment ref="U769" authorId="0">
      <text>
        <r>
          <rPr>
            <b/>
            <sz val="9"/>
            <color indexed="81"/>
            <rFont val="Tahoma"/>
            <family val="2"/>
          </rPr>
          <t>Lucas Scheidler:</t>
        </r>
        <r>
          <rPr>
            <sz val="9"/>
            <color indexed="81"/>
            <rFont val="Tahoma"/>
            <family val="2"/>
          </rPr>
          <t xml:space="preserve">
RSMeans item 265113.5</t>
        </r>
      </text>
    </comment>
    <comment ref="U770" authorId="0">
      <text>
        <r>
          <rPr>
            <b/>
            <sz val="9"/>
            <color indexed="81"/>
            <rFont val="Tahoma"/>
            <family val="2"/>
          </rPr>
          <t>Lucas Scheidler:</t>
        </r>
        <r>
          <rPr>
            <sz val="9"/>
            <color indexed="81"/>
            <rFont val="Tahoma"/>
            <family val="2"/>
          </rPr>
          <t xml:space="preserve">
RSMeans item 265113.5</t>
        </r>
      </text>
    </comment>
    <comment ref="U771" authorId="0">
      <text>
        <r>
          <rPr>
            <b/>
            <sz val="9"/>
            <color indexed="81"/>
            <rFont val="Tahoma"/>
            <family val="2"/>
          </rPr>
          <t>Lucas Scheidler:</t>
        </r>
        <r>
          <rPr>
            <sz val="9"/>
            <color indexed="81"/>
            <rFont val="Tahoma"/>
            <family val="2"/>
          </rPr>
          <t xml:space="preserve">
Description:
The project site presently has 2-tube 4ft T12 lighting fixtures with magnetic ballasts.  They are to be replaced with new fixtures.  Retrofit existing T12 lighting fixtures/magnetic ballast with new CPES8P T8 lighting fixture from Lithonia Lighting and ICN-2P32-N electronic ballast from Advance Transformer Co, or equivalent NEMA Premium. Replace T12 lamp with:
T8
800 Series 
30 Watt 
5000 K
The recessed lighting fixtures are mounted on dropped ceilings which are at a height of 9 ft from the floor.  The lighting fixtures are distributed across 3 floors of the building
Tasks: The following tasks needs to be executed for this project. This bid does not include pre-inspections and development work that might be required to plan out the project.
Remove existing T12 lighting fixtures.
Provide and install 50 new 2 tube lighting fixtures with electronic ballast.
Provide and install all the electrical connections as required.
Provide and install 100 new 30 Watt T8 lamps.
Perform functional testing to verify that all the fixtures are working.
Dispose the existing lights, ballast and fixtures.
</t>
        </r>
      </text>
    </comment>
    <comment ref="V771" authorId="0">
      <text>
        <r>
          <rPr>
            <b/>
            <sz val="9"/>
            <color indexed="81"/>
            <rFont val="Tahoma"/>
            <family val="2"/>
          </rPr>
          <t>Lucas Scheidler:</t>
        </r>
        <r>
          <rPr>
            <sz val="9"/>
            <color indexed="81"/>
            <rFont val="Tahoma"/>
            <family val="2"/>
          </rPr>
          <t xml:space="preserve">
per unit</t>
        </r>
      </text>
    </comment>
    <comment ref="X771" authorId="0">
      <text>
        <r>
          <rPr>
            <b/>
            <sz val="9"/>
            <color indexed="81"/>
            <rFont val="Tahoma"/>
            <family val="2"/>
          </rPr>
          <t>Lucas Scheidler:</t>
        </r>
        <r>
          <rPr>
            <sz val="9"/>
            <color indexed="81"/>
            <rFont val="Tahoma"/>
            <family val="2"/>
          </rPr>
          <t xml:space="preserve">
per unit</t>
        </r>
      </text>
    </comment>
    <comment ref="Z771" authorId="0">
      <text>
        <r>
          <rPr>
            <b/>
            <sz val="9"/>
            <color indexed="81"/>
            <rFont val="Tahoma"/>
            <family val="2"/>
          </rPr>
          <t>Lucas Scheidler:</t>
        </r>
        <r>
          <rPr>
            <sz val="9"/>
            <color indexed="81"/>
            <rFont val="Tahoma"/>
            <family val="2"/>
          </rPr>
          <t xml:space="preserve">
Disposal per unit</t>
        </r>
      </text>
    </comment>
    <comment ref="AA771" authorId="0">
      <text>
        <r>
          <rPr>
            <b/>
            <sz val="9"/>
            <color indexed="81"/>
            <rFont val="Tahoma"/>
            <family val="2"/>
          </rPr>
          <t>Lucas Scheidler:</t>
        </r>
        <r>
          <rPr>
            <sz val="9"/>
            <color indexed="81"/>
            <rFont val="Tahoma"/>
            <family val="2"/>
          </rPr>
          <t xml:space="preserve">
Taxes - per unit</t>
        </r>
      </text>
    </comment>
    <comment ref="AB771" authorId="0">
      <text>
        <r>
          <rPr>
            <b/>
            <sz val="9"/>
            <color indexed="81"/>
            <rFont val="Tahoma"/>
            <family val="2"/>
          </rPr>
          <t>Lucas Scheidler:</t>
        </r>
        <r>
          <rPr>
            <sz val="9"/>
            <color indexed="81"/>
            <rFont val="Tahoma"/>
            <family val="2"/>
          </rPr>
          <t xml:space="preserve">
per unit disposal hours for subcontractor bid 1. disposal labor is included in total labor cost in column R
</t>
        </r>
      </text>
    </comment>
    <comment ref="Y775" authorId="0">
      <text>
        <r>
          <rPr>
            <b/>
            <sz val="9"/>
            <color indexed="81"/>
            <rFont val="Tahoma"/>
            <family val="2"/>
          </rPr>
          <t>Lucas Scheidler:</t>
        </r>
        <r>
          <rPr>
            <sz val="9"/>
            <color indexed="81"/>
            <rFont val="Tahoma"/>
            <family val="2"/>
          </rPr>
          <t xml:space="preserve">
Unspecified</t>
        </r>
      </text>
    </comment>
    <comment ref="K778" authorId="0">
      <text>
        <r>
          <rPr>
            <b/>
            <sz val="9"/>
            <color indexed="81"/>
            <rFont val="Tahoma"/>
            <family val="2"/>
          </rPr>
          <t>Lucas Scheidler:</t>
        </r>
        <r>
          <rPr>
            <sz val="9"/>
            <color indexed="81"/>
            <rFont val="Tahoma"/>
            <family val="2"/>
          </rPr>
          <t xml:space="preserve">
RSMeans average</t>
        </r>
      </text>
    </comment>
    <comment ref="U778" authorId="0">
      <text>
        <r>
          <rPr>
            <b/>
            <sz val="9"/>
            <color indexed="81"/>
            <rFont val="Tahoma"/>
            <family val="2"/>
          </rPr>
          <t>Lucas Scheidler:</t>
        </r>
        <r>
          <rPr>
            <sz val="9"/>
            <color indexed="81"/>
            <rFont val="Tahoma"/>
            <family val="2"/>
          </rPr>
          <t xml:space="preserve">
MCS lighting contractor survey question: On average, how long does it take to replace a 4-ft T12 fixture with a T5 or T8 fixture in terms of man-hours per fixture where the fixtures are surface-mounted on "T-bar Ceilings" and accessible with a ladder?  [IF NEEDED: Again, please include the time required for: removal of existing fixture+lamp+ballast, wiring the new fixture and ballast, installation, and commissioning.]</t>
        </r>
      </text>
    </comment>
    <comment ref="U779" authorId="0">
      <text>
        <r>
          <rPr>
            <b/>
            <sz val="9"/>
            <color indexed="81"/>
            <rFont val="Tahoma"/>
            <family val="2"/>
          </rPr>
          <t>Lucas Scheidler:</t>
        </r>
        <r>
          <rPr>
            <sz val="9"/>
            <color indexed="81"/>
            <rFont val="Tahoma"/>
            <family val="2"/>
          </rPr>
          <t xml:space="preserve">
MCS lighting contractor survey question: On average, how long does it take to prepare removed linear fluorescent lamps/ballasts/fixtures for disposal, in terms of man-hours per 100 lamps/fixtures/ballasts. Please include the time required for: collecting items for disposal, managing broken items, packaging, and arranging for pick-up.  This estimate should not include the time it takes for the disposal companies to pick up and dispose of the equipment.</t>
        </r>
      </text>
    </comment>
    <comment ref="AH779" authorId="0">
      <text>
        <r>
          <rPr>
            <b/>
            <sz val="9"/>
            <color indexed="81"/>
            <rFont val="Tahoma"/>
            <family val="2"/>
          </rPr>
          <t>Lucas Scheidler:</t>
        </r>
        <r>
          <rPr>
            <sz val="9"/>
            <color indexed="81"/>
            <rFont val="Tahoma"/>
            <family val="2"/>
          </rPr>
          <t xml:space="preserve">
per unit</t>
        </r>
      </text>
    </comment>
    <comment ref="AI779" authorId="0">
      <text>
        <r>
          <rPr>
            <b/>
            <sz val="9"/>
            <color indexed="81"/>
            <rFont val="Tahoma"/>
            <family val="2"/>
          </rPr>
          <t>Lucas Scheidler:</t>
        </r>
        <r>
          <rPr>
            <sz val="9"/>
            <color indexed="81"/>
            <rFont val="Tahoma"/>
            <family val="2"/>
          </rPr>
          <t xml:space="preserve">
per unit</t>
        </r>
      </text>
    </comment>
    <comment ref="U780" authorId="0">
      <text>
        <r>
          <rPr>
            <b/>
            <sz val="9"/>
            <color indexed="81"/>
            <rFont val="Tahoma"/>
            <family val="2"/>
          </rPr>
          <t>Lucas Scheidler:</t>
        </r>
        <r>
          <rPr>
            <sz val="9"/>
            <color indexed="81"/>
            <rFont val="Tahoma"/>
            <family val="2"/>
          </rPr>
          <t xml:space="preserve">
RSMeans item number 265113.5</t>
        </r>
      </text>
    </comment>
    <comment ref="AO780" authorId="0">
      <text>
        <r>
          <rPr>
            <b/>
            <sz val="9"/>
            <color indexed="81"/>
            <rFont val="Tahoma"/>
            <family val="2"/>
          </rPr>
          <t>Lucas Scheidler:</t>
        </r>
        <r>
          <rPr>
            <sz val="9"/>
            <color indexed="81"/>
            <rFont val="Tahoma"/>
            <family val="2"/>
          </rPr>
          <t xml:space="preserve">
Job Conditions: Productivity is based on new construction in a unobstructed
ﬁrst ﬂoor location, using rolling staging to 15′ high.
Material staging is assumed to be within 100′ of work being performed.
Add the following percentages to labor for elevated installations:
15′ to 20′ high 10%
21′ to 25′ high 20%
26′ to 30′ high 30%
31′ to 35′ high 40%
36′ to 40′ high 50%
41′ and over 60%
</t>
        </r>
      </text>
    </comment>
    <comment ref="AP780" authorId="0">
      <text>
        <r>
          <rPr>
            <b/>
            <sz val="9"/>
            <color indexed="81"/>
            <rFont val="Tahoma"/>
            <family val="2"/>
          </rPr>
          <t>Lucas Scheidler:</t>
        </r>
        <r>
          <rPr>
            <sz val="9"/>
            <color indexed="81"/>
            <rFont val="Tahoma"/>
            <family val="2"/>
          </rPr>
          <t xml:space="preserve">
National Average - 1 electrician</t>
        </r>
      </text>
    </comment>
    <comment ref="U791" authorId="0">
      <text>
        <r>
          <rPr>
            <b/>
            <sz val="9"/>
            <color indexed="81"/>
            <rFont val="Tahoma"/>
            <family val="2"/>
          </rPr>
          <t>Lucas Scheidler:</t>
        </r>
        <r>
          <rPr>
            <sz val="9"/>
            <color indexed="81"/>
            <rFont val="Tahoma"/>
            <family val="2"/>
          </rPr>
          <t xml:space="preserve">
Retrofit 50-T12 Lighting Fixtures with new T8 Lamp Lighting Fixtures-Ceiling Mount
The project site presently has 2-tube 4ft T12 lighting fixtures with magnetic ballasts. They are to be replaced with new fixtures.  Retrofit existing T12 lighting fixtures/magnetic ballast with new CPES8P T8 lighting fixture from Lithonia Lighting and ICN-2P32-N electronic ballast from Advance Transformer Co, or equivalent NEMA Premium. Replace T12 lamp with:
T8
800 Series 
30 Watt 
5000 K
The ceiling mounted fixtures are mounted in concrete at a height of 9 ft from the floor.  There is existing electrical conduit running to each fixture. The lighting fixtures are distributed across 3 floors of the building
Tasks: The following tasks needs to be executed for this project. This bid does not include pre-inspections and development work that might be required to plan out the project.
Remove existing T12 lighting fixtures.
Provide and install 50 new 2 tube lighting fixtures with electronic ballast.
Provide and install all the electrical connections as required.
Provide and install 100 new 30 Watt T8 lamps.
Perform functional testing to verify that all the fixtures are working.
Dispose the existing lights, ballast and fixtures.
</t>
        </r>
      </text>
    </comment>
    <comment ref="V791" authorId="0">
      <text>
        <r>
          <rPr>
            <b/>
            <sz val="9"/>
            <color indexed="81"/>
            <rFont val="Tahoma"/>
            <family val="2"/>
          </rPr>
          <t>Lucas Scheidler:</t>
        </r>
        <r>
          <rPr>
            <sz val="9"/>
            <color indexed="81"/>
            <rFont val="Tahoma"/>
            <family val="2"/>
          </rPr>
          <t xml:space="preserve">
per unit</t>
        </r>
      </text>
    </comment>
    <comment ref="X791" authorId="0">
      <text>
        <r>
          <rPr>
            <b/>
            <sz val="9"/>
            <color indexed="81"/>
            <rFont val="Tahoma"/>
            <family val="2"/>
          </rPr>
          <t>Lucas Scheidler:</t>
        </r>
        <r>
          <rPr>
            <sz val="9"/>
            <color indexed="81"/>
            <rFont val="Tahoma"/>
            <family val="2"/>
          </rPr>
          <t xml:space="preserve">
per unit</t>
        </r>
      </text>
    </comment>
    <comment ref="Z791" authorId="0">
      <text>
        <r>
          <rPr>
            <b/>
            <sz val="9"/>
            <color indexed="81"/>
            <rFont val="Tahoma"/>
            <family val="2"/>
          </rPr>
          <t>Lucas Scheidler:</t>
        </r>
        <r>
          <rPr>
            <sz val="9"/>
            <color indexed="81"/>
            <rFont val="Tahoma"/>
            <family val="2"/>
          </rPr>
          <t xml:space="preserve">
Disposal - per unit</t>
        </r>
      </text>
    </comment>
    <comment ref="AA791" authorId="0">
      <text>
        <r>
          <rPr>
            <b/>
            <sz val="9"/>
            <color indexed="81"/>
            <rFont val="Tahoma"/>
            <family val="2"/>
          </rPr>
          <t>Lucas Scheidler:</t>
        </r>
        <r>
          <rPr>
            <sz val="9"/>
            <color indexed="81"/>
            <rFont val="Tahoma"/>
            <family val="2"/>
          </rPr>
          <t xml:space="preserve">
Taxes - per unit</t>
        </r>
      </text>
    </comment>
    <comment ref="AB791" authorId="0">
      <text>
        <r>
          <rPr>
            <b/>
            <sz val="9"/>
            <color indexed="81"/>
            <rFont val="Tahoma"/>
            <family val="2"/>
          </rPr>
          <t>Lucas Scheidler:</t>
        </r>
        <r>
          <rPr>
            <sz val="9"/>
            <color indexed="81"/>
            <rFont val="Tahoma"/>
            <family val="2"/>
          </rPr>
          <t xml:space="preserve">
per unit disposal hours for subcontractor bid 1. disposal labor is included in total labor cost in column R</t>
        </r>
      </text>
    </comment>
    <comment ref="Y795" authorId="0">
      <text>
        <r>
          <rPr>
            <b/>
            <sz val="9"/>
            <color indexed="81"/>
            <rFont val="Tahoma"/>
            <family val="2"/>
          </rPr>
          <t>Lucas Scheidler:</t>
        </r>
        <r>
          <rPr>
            <sz val="9"/>
            <color indexed="81"/>
            <rFont val="Tahoma"/>
            <family val="2"/>
          </rPr>
          <t xml:space="preserve">
Unspecified</t>
        </r>
      </text>
    </comment>
    <comment ref="U798" authorId="0">
      <text>
        <r>
          <rPr>
            <b/>
            <sz val="9"/>
            <color indexed="81"/>
            <rFont val="Tahoma"/>
            <family val="2"/>
          </rPr>
          <t>Lucas Scheidler:</t>
        </r>
        <r>
          <rPr>
            <sz val="9"/>
            <color indexed="81"/>
            <rFont val="Tahoma"/>
            <family val="2"/>
          </rPr>
          <t xml:space="preserve">
MCS lighting contractor survey question: On average, how long does it take to prepare removed linear fluorescent lamps/ballasts/fixtures for disposal, in terms of man-hours per 100 lamps/fixtures/ballasts. Please include the time required for: collecting items for disposal, managing broken items, packaging, and arranging for pick-up.  This estimate should not include the time it takes for the disposal companies to pick up and dispose of the equipment.</t>
        </r>
      </text>
    </comment>
    <comment ref="AH798" authorId="0">
      <text>
        <r>
          <rPr>
            <b/>
            <sz val="9"/>
            <color indexed="81"/>
            <rFont val="Tahoma"/>
            <family val="2"/>
          </rPr>
          <t>Lucas Scheidler:</t>
        </r>
        <r>
          <rPr>
            <sz val="9"/>
            <color indexed="81"/>
            <rFont val="Tahoma"/>
            <family val="2"/>
          </rPr>
          <t xml:space="preserve">
per unit</t>
        </r>
      </text>
    </comment>
    <comment ref="AI798" authorId="0">
      <text>
        <r>
          <rPr>
            <b/>
            <sz val="9"/>
            <color indexed="81"/>
            <rFont val="Tahoma"/>
            <family val="2"/>
          </rPr>
          <t>Lucas Scheidler:</t>
        </r>
        <r>
          <rPr>
            <sz val="9"/>
            <color indexed="81"/>
            <rFont val="Tahoma"/>
            <family val="2"/>
          </rPr>
          <t xml:space="preserve">
per unit</t>
        </r>
      </text>
    </comment>
    <comment ref="K823" authorId="0">
      <text>
        <r>
          <rPr>
            <b/>
            <sz val="9"/>
            <color indexed="81"/>
            <rFont val="Tahoma"/>
            <family val="2"/>
          </rPr>
          <t>Lucas Scheidler:</t>
        </r>
        <r>
          <rPr>
            <sz val="9"/>
            <color indexed="81"/>
            <rFont val="Tahoma"/>
            <family val="2"/>
          </rPr>
          <t xml:space="preserve">
RSMeans average</t>
        </r>
      </text>
    </comment>
    <comment ref="U823" authorId="0">
      <text>
        <r>
          <rPr>
            <b/>
            <sz val="9"/>
            <color indexed="81"/>
            <rFont val="Tahoma"/>
            <family val="2"/>
          </rPr>
          <t>Lucas Scheidler:</t>
        </r>
        <r>
          <rPr>
            <sz val="9"/>
            <color indexed="81"/>
            <rFont val="Tahoma"/>
            <family val="2"/>
          </rPr>
          <t xml:space="preserve">
MCS lighting contractor survey question: On average, how long does it take to replace an HID with a T5 fixture in terms of man-hours per fixture where the fixtures are accessible with a ladder? Pleaase include the time required for: removal of existing fixture+lamp, decommissioning the old fixture, wiring the new fixture, installation of the new fixture, and commissioning.</t>
        </r>
      </text>
    </comment>
    <comment ref="O824" authorId="0">
      <text>
        <r>
          <rPr>
            <b/>
            <sz val="9"/>
            <color indexed="81"/>
            <rFont val="Tahoma"/>
            <family val="2"/>
          </rPr>
          <t>Lucas Scheidler:</t>
        </r>
        <r>
          <rPr>
            <sz val="9"/>
            <color indexed="81"/>
            <rFont val="Tahoma"/>
            <family val="2"/>
          </rPr>
          <t xml:space="preserve">
assume 15-20' high and requires lift</t>
        </r>
      </text>
    </comment>
    <comment ref="U824" authorId="0">
      <text>
        <r>
          <rPr>
            <b/>
            <sz val="9"/>
            <color indexed="81"/>
            <rFont val="Tahoma"/>
            <family val="2"/>
          </rPr>
          <t>Lucas Scheidler:</t>
        </r>
        <r>
          <rPr>
            <sz val="9"/>
            <color indexed="81"/>
            <rFont val="Tahoma"/>
            <family val="2"/>
          </rPr>
          <t xml:space="preserve">
MCS lighting contractor survey question: On average, how long does it take to replace an HID with a T5 fixture in terms of man-hours per fixture where the ceiling height requires a lift instead of a ladder? [IF NEEDED: Again, please include the time required for: removal of existing fixture + lamp, decommissioning the old fixture, wiring the new fixture, installation of the new fixture, and commissioning.]</t>
        </r>
      </text>
    </comment>
    <comment ref="U825" authorId="0">
      <text>
        <r>
          <rPr>
            <b/>
            <sz val="9"/>
            <color indexed="81"/>
            <rFont val="Tahoma"/>
            <family val="2"/>
          </rPr>
          <t>Lucas Scheidler:</t>
        </r>
        <r>
          <rPr>
            <sz val="9"/>
            <color indexed="81"/>
            <rFont val="Tahoma"/>
            <family val="2"/>
          </rPr>
          <t xml:space="preserve">
MCS lighting contractor survey question: On average, how long does it take to prepare removed linear fluorescent lamps/ballasts/fixtures for disposal, in terms of man-hours per 100 lamps/fixtures/ballasts. Please include the time required for: collecting items for disposal, managing broken items, packaging, and arranging for pick-up.  This estimate should not include the time it takes for the disposal companies to pick up and dispose of the equipment.</t>
        </r>
      </text>
    </comment>
    <comment ref="AH825" authorId="0">
      <text>
        <r>
          <rPr>
            <b/>
            <sz val="9"/>
            <color indexed="81"/>
            <rFont val="Tahoma"/>
            <family val="2"/>
          </rPr>
          <t>Lucas Scheidler:</t>
        </r>
        <r>
          <rPr>
            <sz val="9"/>
            <color indexed="81"/>
            <rFont val="Tahoma"/>
            <family val="2"/>
          </rPr>
          <t xml:space="preserve">
per unit</t>
        </r>
      </text>
    </comment>
    <comment ref="AI825" authorId="0">
      <text>
        <r>
          <rPr>
            <b/>
            <sz val="9"/>
            <color indexed="81"/>
            <rFont val="Tahoma"/>
            <family val="2"/>
          </rPr>
          <t>Lucas Scheidler:</t>
        </r>
        <r>
          <rPr>
            <sz val="9"/>
            <color indexed="81"/>
            <rFont val="Tahoma"/>
            <family val="2"/>
          </rPr>
          <t xml:space="preserve">
per unit</t>
        </r>
      </text>
    </comment>
    <comment ref="U826" authorId="0">
      <text>
        <r>
          <rPr>
            <b/>
            <sz val="9"/>
            <color indexed="81"/>
            <rFont val="Tahoma"/>
            <family val="2"/>
          </rPr>
          <t>Lucas Scheidler:</t>
        </r>
        <r>
          <rPr>
            <sz val="9"/>
            <color indexed="81"/>
            <rFont val="Tahoma"/>
            <family val="2"/>
          </rPr>
          <t xml:space="preserve">
RSMeans item number 265113.5</t>
        </r>
      </text>
    </comment>
    <comment ref="AO826" authorId="0">
      <text>
        <r>
          <rPr>
            <b/>
            <sz val="9"/>
            <color indexed="81"/>
            <rFont val="Tahoma"/>
            <family val="2"/>
          </rPr>
          <t>Lucas Scheidler:</t>
        </r>
        <r>
          <rPr>
            <sz val="9"/>
            <color indexed="81"/>
            <rFont val="Tahoma"/>
            <family val="2"/>
          </rPr>
          <t xml:space="preserve">
Job Conditions: Productivity is based on new construction in a unobstructed
ﬁrst ﬂoor location, using rolling staging to 15′ high.
Material staging is assumed to be within 100′ of work being performed.
Add the following percentages to labor for elevated installations:
15′ to 20′ high 10%
21′ to 25′ high 20%
26′ to 30′ high 30%
31′ to 35′ high 40%
36′ to 40′ high 50%
41′ and over 60%
</t>
        </r>
      </text>
    </comment>
    <comment ref="AP826" authorId="0">
      <text>
        <r>
          <rPr>
            <b/>
            <sz val="9"/>
            <color indexed="81"/>
            <rFont val="Tahoma"/>
            <family val="2"/>
          </rPr>
          <t>Lucas Scheidler:</t>
        </r>
        <r>
          <rPr>
            <sz val="9"/>
            <color indexed="81"/>
            <rFont val="Tahoma"/>
            <family val="2"/>
          </rPr>
          <t xml:space="preserve">
National Average - 1 electrician</t>
        </r>
      </text>
    </comment>
    <comment ref="U837" authorId="0">
      <text>
        <r>
          <rPr>
            <b/>
            <sz val="9"/>
            <color indexed="81"/>
            <rFont val="Tahoma"/>
            <family val="2"/>
          </rPr>
          <t>Lucas Scheidler:</t>
        </r>
        <r>
          <rPr>
            <sz val="9"/>
            <color indexed="81"/>
            <rFont val="Tahoma"/>
            <family val="2"/>
          </rPr>
          <t xml:space="preserve">
M11 Scope of Work (SOW): Retrofit existing 50 Sodium Vapor HID lights with 4 lamp linear fluorescent T8 Fixtures
Description:
The project site is a warehouse with suspended sodium vapor HID lights.  These HID lights will be replaced with 4 foot 4 lamp linear fluorescent T8 fixtures. The lamps are suspended 20 feet above the warehouse floor between shelves. Assume a lift will be required.
Fluorescent fixtures shall be the New Earth Lighting HBA 4 Lamp T8 32W or equivalent. 
Universal Voltage
Rapid Start
High Ballast Factor
Lamps shall be:
T8
800 Series 
32 Watt High output
5000 K
Tasks: The following tasks needs to be executed for this project
Remove existing HID fixtures.
Provide and install 50 new 4-lamp linear fluorescent fixture
Provide and install all the electrical connections as required
Provide and install 200 new T8 lights for the new fixtures
Commission and test all the lighting fixtures to ensure operation.
Dispose of existing HID fixtures and lamps.
Bid: Please provide the following separately with your bid.
Specific products that will be used
Cost of Materials
Hours estimated  for removal and installation
Hours estimated for preparing items for disposal
Total cost of labor
Cost for extra equipment needed such as a lift. 
Cost of disposal fees that may be required
Taxes
</t>
        </r>
      </text>
    </comment>
    <comment ref="V837" authorId="0">
      <text>
        <r>
          <rPr>
            <b/>
            <sz val="9"/>
            <color indexed="81"/>
            <rFont val="Tahoma"/>
            <family val="2"/>
          </rPr>
          <t>Lucas Scheidler:</t>
        </r>
        <r>
          <rPr>
            <sz val="9"/>
            <color indexed="81"/>
            <rFont val="Tahoma"/>
            <family val="2"/>
          </rPr>
          <t xml:space="preserve">
per unit</t>
        </r>
      </text>
    </comment>
    <comment ref="X837" authorId="0">
      <text>
        <r>
          <rPr>
            <b/>
            <sz val="9"/>
            <color indexed="81"/>
            <rFont val="Tahoma"/>
            <family val="2"/>
          </rPr>
          <t>Lucas Scheidler:</t>
        </r>
        <r>
          <rPr>
            <sz val="9"/>
            <color indexed="81"/>
            <rFont val="Tahoma"/>
            <family val="2"/>
          </rPr>
          <t xml:space="preserve">
per unit</t>
        </r>
      </text>
    </comment>
    <comment ref="Y837" authorId="0">
      <text>
        <r>
          <rPr>
            <b/>
            <sz val="9"/>
            <color indexed="81"/>
            <rFont val="Tahoma"/>
            <family val="2"/>
          </rPr>
          <t>Lucas Scheidler:</t>
        </r>
        <r>
          <rPr>
            <sz val="9"/>
            <color indexed="81"/>
            <rFont val="Tahoma"/>
            <family val="2"/>
          </rPr>
          <t xml:space="preserve">
lift rental - total cost based on 50 fixtures</t>
        </r>
      </text>
    </comment>
    <comment ref="AA837" authorId="0">
      <text>
        <r>
          <rPr>
            <b/>
            <sz val="9"/>
            <color indexed="81"/>
            <rFont val="Tahoma"/>
            <family val="2"/>
          </rPr>
          <t>Lucas Scheidler:</t>
        </r>
        <r>
          <rPr>
            <sz val="9"/>
            <color indexed="81"/>
            <rFont val="Tahoma"/>
            <family val="2"/>
          </rPr>
          <t xml:space="preserve">
taxes- per unit
</t>
        </r>
      </text>
    </comment>
    <comment ref="Z839" authorId="0">
      <text>
        <r>
          <rPr>
            <b/>
            <sz val="9"/>
            <color indexed="81"/>
            <rFont val="Tahoma"/>
            <family val="2"/>
          </rPr>
          <t>Lucas Scheidler:</t>
        </r>
        <r>
          <rPr>
            <sz val="9"/>
            <color indexed="81"/>
            <rFont val="Tahoma"/>
            <family val="2"/>
          </rPr>
          <t xml:space="preserve">
disposal - per unit</t>
        </r>
      </text>
    </comment>
    <comment ref="K842" authorId="0">
      <text>
        <r>
          <rPr>
            <b/>
            <sz val="9"/>
            <color indexed="81"/>
            <rFont val="Tahoma"/>
            <family val="2"/>
          </rPr>
          <t>Lucas Scheidler:</t>
        </r>
        <r>
          <rPr>
            <sz val="9"/>
            <color indexed="81"/>
            <rFont val="Tahoma"/>
            <family val="2"/>
          </rPr>
          <t xml:space="preserve">
RSMeans average</t>
        </r>
      </text>
    </comment>
    <comment ref="AH842" authorId="0">
      <text>
        <r>
          <rPr>
            <b/>
            <sz val="9"/>
            <color indexed="81"/>
            <rFont val="Tahoma"/>
            <family val="2"/>
          </rPr>
          <t>Lucas Scheidler:</t>
        </r>
        <r>
          <rPr>
            <sz val="9"/>
            <color indexed="81"/>
            <rFont val="Tahoma"/>
            <family val="2"/>
          </rPr>
          <t xml:space="preserve">
per unit</t>
        </r>
      </text>
    </comment>
    <comment ref="AI842" authorId="0">
      <text>
        <r>
          <rPr>
            <b/>
            <sz val="9"/>
            <color indexed="81"/>
            <rFont val="Tahoma"/>
            <family val="2"/>
          </rPr>
          <t>Lucas Scheidler:</t>
        </r>
        <r>
          <rPr>
            <sz val="9"/>
            <color indexed="81"/>
            <rFont val="Tahoma"/>
            <family val="2"/>
          </rPr>
          <t xml:space="preserve">
per unit</t>
        </r>
      </text>
    </comment>
    <comment ref="U843" authorId="0">
      <text>
        <r>
          <rPr>
            <b/>
            <sz val="9"/>
            <color indexed="81"/>
            <rFont val="Tahoma"/>
            <family val="2"/>
          </rPr>
          <t>Lucas Scheidler:</t>
        </r>
        <r>
          <rPr>
            <sz val="9"/>
            <color indexed="81"/>
            <rFont val="Tahoma"/>
            <family val="2"/>
          </rPr>
          <t xml:space="preserve">
RSMeans item number 265113.5</t>
        </r>
      </text>
    </comment>
    <comment ref="AO843" authorId="0">
      <text>
        <r>
          <rPr>
            <b/>
            <sz val="9"/>
            <color indexed="81"/>
            <rFont val="Tahoma"/>
            <family val="2"/>
          </rPr>
          <t>Lucas Scheidler:</t>
        </r>
        <r>
          <rPr>
            <sz val="9"/>
            <color indexed="81"/>
            <rFont val="Tahoma"/>
            <family val="2"/>
          </rPr>
          <t xml:space="preserve">
Job Conditions: Productivity is based on new construction in a unobstructed
ﬁrst ﬂoor location, using rolling staging to 15′ high.
Material staging is assumed to be within 100′ of work being performed.
Add the following percentages to labor for elevated installations:
15′ to 20′ high 10%
21′ to 25′ high 20%
26′ to 30′ high 30%
31′ to 35′ high 40%
36′ to 40′ high 50%
41′ and over 60%</t>
        </r>
      </text>
    </comment>
    <comment ref="AP843" authorId="0">
      <text>
        <r>
          <rPr>
            <b/>
            <sz val="9"/>
            <color indexed="81"/>
            <rFont val="Tahoma"/>
            <family val="2"/>
          </rPr>
          <t>Lucas Scheidler:</t>
        </r>
        <r>
          <rPr>
            <sz val="9"/>
            <color indexed="81"/>
            <rFont val="Tahoma"/>
            <family val="2"/>
          </rPr>
          <t xml:space="preserve">
National Average - 1 electrician</t>
        </r>
      </text>
    </comment>
    <comment ref="U845" authorId="0">
      <text>
        <r>
          <rPr>
            <b/>
            <sz val="9"/>
            <color indexed="81"/>
            <rFont val="Tahoma"/>
            <family val="2"/>
          </rPr>
          <t>Lucas Scheidler:</t>
        </r>
        <r>
          <rPr>
            <sz val="9"/>
            <color indexed="81"/>
            <rFont val="Tahoma"/>
            <family val="2"/>
          </rPr>
          <t xml:space="preserve">
M8 Scope of Work (SOW): Replace 20 existing fixtures with Bi-Level fixtures in a stairwell.
Description:
The project building is 4 story office building. The stairs have lights which are ON 24 X 7.  The building management has decided to install a bi-level fixtures with integrated occupancy sensors.  The bi-level stairwell fixtures provide lower levels of light during unoccupied periods and increase illuminance levels during occupied periods. Install Voyager Occusmart (Item # VO.1.31U..C8U, VO series Fluorescent lights) or equivalent. Program lights to operate at 10% when unoccupied and 100% when occupied. A Lift will not be required.
Tasks: The following tasks needs to be executed for installing the occupancy sensors
Remove 20 existing fixtures.
Install 20 new fixtures.
Commission the sensors to verify the lighting fixture operates at the required illuminance levels during occupied and un-occupied periods. 
Dispose of existing fixtures.
Bid: Please provide the following separately with your bid.
Specific products that will be used
Cost of Materials
Hours estimated  for removal and installation
Hours estimated for preparing items for disposal
Total cost of labor
Cost for extra equipment needed such as a lift. (Ladders are adequate for access)
Cost of disposal fees that may be required
Taxes
</t>
        </r>
      </text>
    </comment>
    <comment ref="V845" authorId="0">
      <text>
        <r>
          <rPr>
            <b/>
            <sz val="9"/>
            <color indexed="81"/>
            <rFont val="Tahoma"/>
            <family val="2"/>
          </rPr>
          <t>Lucas Scheidler:</t>
        </r>
        <r>
          <rPr>
            <sz val="9"/>
            <color indexed="81"/>
            <rFont val="Tahoma"/>
            <family val="2"/>
          </rPr>
          <t xml:space="preserve">
per unit</t>
        </r>
      </text>
    </comment>
    <comment ref="X845" authorId="0">
      <text>
        <r>
          <rPr>
            <b/>
            <sz val="9"/>
            <color indexed="81"/>
            <rFont val="Tahoma"/>
            <family val="2"/>
          </rPr>
          <t>Lucas Scheidler:</t>
        </r>
        <r>
          <rPr>
            <sz val="9"/>
            <color indexed="81"/>
            <rFont val="Tahoma"/>
            <family val="2"/>
          </rPr>
          <t xml:space="preserve">
per unit</t>
        </r>
      </text>
    </comment>
    <comment ref="Z845" authorId="0">
      <text>
        <r>
          <rPr>
            <b/>
            <sz val="9"/>
            <color indexed="81"/>
            <rFont val="Tahoma"/>
            <family val="2"/>
          </rPr>
          <t>Lucas Scheidler:</t>
        </r>
        <r>
          <rPr>
            <sz val="9"/>
            <color indexed="81"/>
            <rFont val="Tahoma"/>
            <family val="2"/>
          </rPr>
          <t xml:space="preserve">
disposal per unit</t>
        </r>
      </text>
    </comment>
    <comment ref="AA845" authorId="0">
      <text>
        <r>
          <rPr>
            <b/>
            <sz val="9"/>
            <color indexed="81"/>
            <rFont val="Tahoma"/>
            <family val="2"/>
          </rPr>
          <t>Lucas Scheidler:</t>
        </r>
        <r>
          <rPr>
            <sz val="9"/>
            <color indexed="81"/>
            <rFont val="Tahoma"/>
            <family val="2"/>
          </rPr>
          <t xml:space="preserve">
taxes per unit</t>
        </r>
      </text>
    </comment>
    <comment ref="AB845" authorId="0">
      <text>
        <r>
          <rPr>
            <b/>
            <sz val="9"/>
            <color indexed="81"/>
            <rFont val="Tahoma"/>
            <family val="2"/>
          </rPr>
          <t>Lucas Scheidler:</t>
        </r>
        <r>
          <rPr>
            <sz val="9"/>
            <color indexed="81"/>
            <rFont val="Tahoma"/>
            <family val="2"/>
          </rPr>
          <t xml:space="preserve">
per unit disposal hours for subcontractor bid 1. disposal labor is included in total labor cost in column x
</t>
        </r>
      </text>
    </comment>
    <comment ref="I853" authorId="0">
      <text>
        <r>
          <rPr>
            <b/>
            <sz val="9"/>
            <color indexed="81"/>
            <rFont val="Tahoma"/>
            <family val="2"/>
          </rPr>
          <t>Lucas Scheidler:</t>
        </r>
        <r>
          <rPr>
            <sz val="9"/>
            <color indexed="81"/>
            <rFont val="Tahoma"/>
            <family val="2"/>
          </rPr>
          <t xml:space="preserve">
physical disposal and taxes</t>
        </r>
      </text>
    </comment>
    <comment ref="K853" authorId="0">
      <text>
        <r>
          <rPr>
            <b/>
            <sz val="9"/>
            <color indexed="81"/>
            <rFont val="Tahoma"/>
            <family val="2"/>
          </rPr>
          <t>Lucas Scheidler:</t>
        </r>
        <r>
          <rPr>
            <sz val="9"/>
            <color indexed="81"/>
            <rFont val="Tahoma"/>
            <family val="2"/>
          </rPr>
          <t xml:space="preserve">
RSMEans average</t>
        </r>
      </text>
    </comment>
    <comment ref="U853" authorId="0">
      <text>
        <r>
          <rPr>
            <b/>
            <sz val="9"/>
            <color indexed="81"/>
            <rFont val="Tahoma"/>
            <family val="2"/>
          </rPr>
          <t>Lucas Scheidler:</t>
        </r>
        <r>
          <rPr>
            <sz val="9"/>
            <color indexed="81"/>
            <rFont val="Tahoma"/>
            <family val="2"/>
          </rPr>
          <t xml:space="preserve">
RSMeans item 265113.4
</t>
        </r>
      </text>
    </comment>
    <comment ref="AO853" authorId="0">
      <text>
        <r>
          <rPr>
            <b/>
            <sz val="9"/>
            <color indexed="81"/>
            <rFont val="Tahoma"/>
            <family val="2"/>
          </rPr>
          <t>Lucas Scheidler:</t>
        </r>
        <r>
          <rPr>
            <sz val="9"/>
            <color indexed="81"/>
            <rFont val="Tahoma"/>
            <family val="2"/>
          </rPr>
          <t xml:space="preserve">
Job Conditions: Productivity is based on new construction in a unobstructed
ﬁrst ﬂoor location, using rolling staging to 15′ high.
Material staging is assumed to be within 100′ of work being performed.
Add the following percentages to labor for elevated installations:
15′ to 20′ high 10%
21′ to 25′ high 20%
26′ to 30′ high 30%
31′ to 35′ high 40%
36′ to 40′ high 50%
41′ and over 60%</t>
        </r>
      </text>
    </comment>
    <comment ref="AP853" authorId="0">
      <text>
        <r>
          <rPr>
            <b/>
            <sz val="9"/>
            <color indexed="81"/>
            <rFont val="Tahoma"/>
            <family val="2"/>
          </rPr>
          <t>Lucas Scheidler:</t>
        </r>
        <r>
          <rPr>
            <sz val="9"/>
            <color indexed="81"/>
            <rFont val="Tahoma"/>
            <family val="2"/>
          </rPr>
          <t xml:space="preserve">
National Average - 1 electrician</t>
        </r>
      </text>
    </comment>
    <comment ref="U869" authorId="0">
      <text>
        <r>
          <rPr>
            <b/>
            <sz val="9"/>
            <color indexed="81"/>
            <rFont val="Tahoma"/>
            <family val="2"/>
          </rPr>
          <t>Lucas Scheidler:</t>
        </r>
        <r>
          <rPr>
            <sz val="9"/>
            <color indexed="81"/>
            <rFont val="Tahoma"/>
            <family val="2"/>
          </rPr>
          <t xml:space="preserve">
M12 Scope of Work (SOW): Retrofit existing 50 Sodium Vapor HID lights with Metal Halide Lamps
Description:
The project site is a warehouse with suspended 250 Watt Mercury vapor HID lights.  These HID lights will be replaced with 150 Watt Ceramic Metal Halide fixtures and lamps. The lamps are suspended 20 feet above the warehouse floor between shelves. Assume a lift will be required.
New Fixtures and lamps shall be the following or equivalent:
Phillips CDM150/U/PS/4K ALTO
150 Watt
Ceramic Metal Halide
Pulse Start
Electronic Ballast
Tasks: The following tasks needs to be executed for this project
Remove existing HID fixtures.
Provide and install 50 new Metal Halide Fixtures.
Provide and install all the electrical connections as required
Provide and install 50 new Ceramic Metal Halide lamps
Commission and test all the lighting fixtures to ensure operation.
Dispose of existing HID fixtures and lamps.
Bid: Please provide the following separately with your bid.
Specific products that will be used
Cost of Materials
Hours estimated  for removal and installation
Hours estimated for preparing items for disposal
Total cost of labor
Cost for extra equipment needed such as a lift. 
Cost of disposal fees that may be required
Taxes
 </t>
        </r>
      </text>
    </comment>
    <comment ref="V869" authorId="0">
      <text>
        <r>
          <rPr>
            <b/>
            <sz val="9"/>
            <color indexed="81"/>
            <rFont val="Tahoma"/>
            <family val="2"/>
          </rPr>
          <t>Lucas Scheidler:</t>
        </r>
        <r>
          <rPr>
            <sz val="9"/>
            <color indexed="81"/>
            <rFont val="Tahoma"/>
            <family val="2"/>
          </rPr>
          <t xml:space="preserve">
per unit</t>
        </r>
      </text>
    </comment>
    <comment ref="X869" authorId="0">
      <text>
        <r>
          <rPr>
            <b/>
            <sz val="9"/>
            <color indexed="81"/>
            <rFont val="Tahoma"/>
            <family val="2"/>
          </rPr>
          <t>Lucas Scheidler:</t>
        </r>
        <r>
          <rPr>
            <sz val="9"/>
            <color indexed="81"/>
            <rFont val="Tahoma"/>
            <family val="2"/>
          </rPr>
          <t xml:space="preserve">
per unit</t>
        </r>
      </text>
    </comment>
    <comment ref="Y869" authorId="0">
      <text>
        <r>
          <rPr>
            <b/>
            <sz val="9"/>
            <color indexed="81"/>
            <rFont val="Tahoma"/>
            <family val="2"/>
          </rPr>
          <t>Lucas Scheidler:</t>
        </r>
        <r>
          <rPr>
            <sz val="9"/>
            <color indexed="81"/>
            <rFont val="Tahoma"/>
            <family val="2"/>
          </rPr>
          <t xml:space="preserve">
lift rental - based on 50 units replaced</t>
        </r>
      </text>
    </comment>
    <comment ref="Z869" authorId="0">
      <text>
        <r>
          <rPr>
            <b/>
            <sz val="9"/>
            <color indexed="81"/>
            <rFont val="Tahoma"/>
            <family val="2"/>
          </rPr>
          <t>Lucas Scheidler:</t>
        </r>
        <r>
          <rPr>
            <sz val="9"/>
            <color indexed="81"/>
            <rFont val="Tahoma"/>
            <family val="2"/>
          </rPr>
          <t xml:space="preserve">
per unit disposal</t>
        </r>
      </text>
    </comment>
    <comment ref="AA869" authorId="0">
      <text>
        <r>
          <rPr>
            <b/>
            <sz val="9"/>
            <color indexed="81"/>
            <rFont val="Tahoma"/>
            <family val="2"/>
          </rPr>
          <t>Lucas Scheidler:</t>
        </r>
        <r>
          <rPr>
            <sz val="9"/>
            <color indexed="81"/>
            <rFont val="Tahoma"/>
            <family val="2"/>
          </rPr>
          <t xml:space="preserve">
taxes - per unit</t>
        </r>
      </text>
    </comment>
    <comment ref="K874" authorId="0">
      <text>
        <r>
          <rPr>
            <b/>
            <sz val="9"/>
            <color indexed="81"/>
            <rFont val="Tahoma"/>
            <family val="2"/>
          </rPr>
          <t>Lucas Scheidler:</t>
        </r>
        <r>
          <rPr>
            <sz val="9"/>
            <color indexed="81"/>
            <rFont val="Tahoma"/>
            <family val="2"/>
          </rPr>
          <t xml:space="preserve">
RSMeans average</t>
        </r>
      </text>
    </comment>
    <comment ref="U874" authorId="0">
      <text>
        <r>
          <rPr>
            <b/>
            <sz val="9"/>
            <color indexed="81"/>
            <rFont val="Tahoma"/>
            <family val="2"/>
          </rPr>
          <t>Lucas Scheidler:</t>
        </r>
        <r>
          <rPr>
            <sz val="9"/>
            <color indexed="81"/>
            <rFont val="Tahoma"/>
            <family val="2"/>
          </rPr>
          <t xml:space="preserve">
RSMeans item 260923</t>
        </r>
      </text>
    </comment>
    <comment ref="AP874" authorId="0">
      <text>
        <r>
          <rPr>
            <b/>
            <sz val="9"/>
            <color indexed="81"/>
            <rFont val="Tahoma"/>
            <family val="2"/>
          </rPr>
          <t>Lucas Scheidler:</t>
        </r>
        <r>
          <rPr>
            <sz val="9"/>
            <color indexed="81"/>
            <rFont val="Tahoma"/>
            <family val="2"/>
          </rPr>
          <t xml:space="preserve">
National Average - 1 electrician</t>
        </r>
      </text>
    </comment>
    <comment ref="K875" authorId="0">
      <text>
        <r>
          <rPr>
            <b/>
            <sz val="9"/>
            <color indexed="81"/>
            <rFont val="Tahoma"/>
            <family val="2"/>
          </rPr>
          <t>Lucas Scheidler:</t>
        </r>
        <r>
          <rPr>
            <sz val="9"/>
            <color indexed="81"/>
            <rFont val="Tahoma"/>
            <family val="2"/>
          </rPr>
          <t xml:space="preserve">
RSMeans average</t>
        </r>
      </text>
    </comment>
    <comment ref="U876" authorId="0">
      <text>
        <r>
          <rPr>
            <b/>
            <sz val="9"/>
            <color indexed="81"/>
            <rFont val="Tahoma"/>
            <family val="2"/>
          </rPr>
          <t>Lucas Scheidler:</t>
        </r>
        <r>
          <rPr>
            <sz val="9"/>
            <color indexed="81"/>
            <rFont val="Tahoma"/>
            <family val="2"/>
          </rPr>
          <t xml:space="preserve">
M7 Scope of Work (SOW): Install day lighting controls on an a multifamily building
Description:
The project site is a three story apartment building. Photocells are to be installed to work with the existing time clock to control lights in the common areas of the apartment. These areas are the front lobby and the hallways along the perimeter of the building.
The lights are on a time clock. There is no existing controller or software used. 
One Photocell will be required to tie in to the time clock. A Lift will not be required.
Tasks: The following tasks need to be executed for this project.
Visit the site to design the layout of the system.
Install the required equipment.
Provide and install all the electrical or wireless connections as required.
Perform functional testing to verify controls are operating correctly.
During scheduled on hours-
When ambient light is adequate the perimeter lights turn off.
When ambient light is not adequate the perimeter lights are on.
Bid: Please provide the following separately with your bid.
Specific products that will be used
Cost of Materials
Hours estimated  for removal and installation
Hours estimated for preparing items for disposal
Total cost of labor
Cost for extra equipment needed such as a lift. (Ladders are adequate for access)
Cost of disposal fees that may be required
Taxes
</t>
        </r>
      </text>
    </comment>
    <comment ref="AA876" authorId="0">
      <text>
        <r>
          <rPr>
            <b/>
            <sz val="9"/>
            <color indexed="81"/>
            <rFont val="Tahoma"/>
            <family val="2"/>
          </rPr>
          <t>Lucas Scheidler:</t>
        </r>
        <r>
          <rPr>
            <sz val="9"/>
            <color indexed="81"/>
            <rFont val="Tahoma"/>
            <family val="2"/>
          </rPr>
          <t xml:space="preserve">
taxes</t>
        </r>
      </text>
    </comment>
    <comment ref="U879" authorId="0">
      <text>
        <r>
          <rPr>
            <b/>
            <sz val="9"/>
            <color indexed="81"/>
            <rFont val="Tahoma"/>
            <family val="2"/>
          </rPr>
          <t>Lucas Scheidler:</t>
        </r>
        <r>
          <rPr>
            <sz val="9"/>
            <color indexed="81"/>
            <rFont val="Tahoma"/>
            <family val="2"/>
          </rPr>
          <t xml:space="preserve">
M10 Scope of Work (SOW): Install day lighting controls on an existing building.
Description:
The project site is a three story office building. The lights are on a time clock. There is no existing controller or software used. The current schedule is Monday thru Friday from 7 am to 7pm. In addition the lights can be manually turned on after hours. 
Day lighting control is to be added to the building in order to turn off lights that are on the perimeter when the spaces are adequately lit by ambient light. There will be no dimming components to be added.
There will be three photocells per floor for a total of nine photocells. One controller will be required for day lighting control in the building. 
Use the following equipment or equivalent:
Photocell
Mfg:  LEVITON
Model Number: WSCPC-ooW
Sensing Range(Ft): 10
Mounting: Ceiling
Mounting Height (Ft): 8-12
Installation (Indoor / Outdoor): Indoor
Wireless Compatible: Yes
Wireless Range (Ft): 50-150
Day Lighting Controller
Mfg:  LEVITON
Model Number: WSS10-0DZ
Mounting: Wall
Mounting Height (Ft): 
Installation (Indoor / Outdoor): Indoor/Outdoor
Wireless Compatible: Yes
Tasks: The following tasks need to be executed for this project.
Visit the site to design the layout of the system.
Install the required equipment.
Provide and install all the electrical or wireless connections as required.
Please provide a one year warranty on parts and labor.
Perform functional testing to verify controls are operating correctly.
When ambient light is adequate the perimeter lights turn off.
When ambient light is not adequate the perimeter lights are on.
The existing building schedule is still in effect for after hours operation.
The lights are able to be turned on after hours with a manual switch.
Bid: Please provide the following separately with your bid.
Specific products that will be used
Cost of Materials
Hours estimated  for removal and installation
Hours estimated for preparing items for disposal
Total cost of labor
Cost for extra equipment needed such as a lift. (Ladders are adequate for access)
Cost of disposal fees that may be required
Taxes
</t>
        </r>
      </text>
    </comment>
    <comment ref="Z880" authorId="0">
      <text>
        <r>
          <rPr>
            <b/>
            <sz val="9"/>
            <color indexed="81"/>
            <rFont val="Tahoma"/>
            <family val="2"/>
          </rPr>
          <t>Lucas Scheidler:</t>
        </r>
        <r>
          <rPr>
            <sz val="9"/>
            <color indexed="81"/>
            <rFont val="Tahoma"/>
            <family val="2"/>
          </rPr>
          <t xml:space="preserve">
disposal</t>
        </r>
      </text>
    </comment>
    <comment ref="Y881" authorId="0">
      <text>
        <r>
          <rPr>
            <b/>
            <sz val="9"/>
            <color indexed="81"/>
            <rFont val="Tahoma"/>
            <family val="2"/>
          </rPr>
          <t>Lucas Scheidler:</t>
        </r>
        <r>
          <rPr>
            <sz val="9"/>
            <color indexed="81"/>
            <rFont val="Tahoma"/>
            <family val="2"/>
          </rPr>
          <t xml:space="preserve">
unspecified</t>
        </r>
      </text>
    </comment>
    <comment ref="K885" authorId="0">
      <text>
        <r>
          <rPr>
            <b/>
            <sz val="9"/>
            <color indexed="81"/>
            <rFont val="Tahoma"/>
            <family val="2"/>
          </rPr>
          <t>Lucas Scheidler:</t>
        </r>
        <r>
          <rPr>
            <sz val="9"/>
            <color indexed="81"/>
            <rFont val="Tahoma"/>
            <family val="2"/>
          </rPr>
          <t xml:space="preserve">
RSMeans average</t>
        </r>
      </text>
    </comment>
    <comment ref="U885" authorId="0">
      <text>
        <r>
          <rPr>
            <b/>
            <sz val="9"/>
            <color indexed="81"/>
            <rFont val="Tahoma"/>
            <family val="2"/>
          </rPr>
          <t>Lucas Scheidler:</t>
        </r>
        <r>
          <rPr>
            <sz val="9"/>
            <color indexed="81"/>
            <rFont val="Tahoma"/>
            <family val="2"/>
          </rPr>
          <t xml:space="preserve">
MCS contractor survey question: On average, how long does it take to install wall-mounted occupancy sensors in terms of man-hours per sensor?  Please include in the time required for: wiring, installation, programming, and commissioning.</t>
        </r>
      </text>
    </comment>
    <comment ref="U886" authorId="0">
      <text>
        <r>
          <rPr>
            <b/>
            <sz val="9"/>
            <color indexed="81"/>
            <rFont val="Tahoma"/>
            <family val="2"/>
          </rPr>
          <t>Lucas Scheidler:</t>
        </r>
        <r>
          <rPr>
            <sz val="9"/>
            <color indexed="81"/>
            <rFont val="Tahoma"/>
            <family val="2"/>
          </rPr>
          <t xml:space="preserve">
MCS lighting contractor survey question: On average, how long does it take to install ceiling-mounted occupancy sensors in terms of man-hours per sensor?  [IF NEEDED: Again, please include in the time required for: wiring, installation, programming, and commissioning.]</t>
        </r>
      </text>
    </comment>
    <comment ref="U887" authorId="0">
      <text>
        <r>
          <rPr>
            <b/>
            <sz val="9"/>
            <color indexed="81"/>
            <rFont val="Tahoma"/>
            <family val="2"/>
          </rPr>
          <t>Lucas Scheidler:</t>
        </r>
        <r>
          <rPr>
            <sz val="9"/>
            <color indexed="81"/>
            <rFont val="Tahoma"/>
            <family val="2"/>
          </rPr>
          <t xml:space="preserve">
MCS lighting contractor survey question: On average, how long does it take to install fixture-integrated occupancy sensors inside existing fixtures in terms of man-hours per sensor.  Please include the time required for: dismantling and re-assembling the fixture, in addition to wiring, installation, programming, and commissioning.</t>
        </r>
      </text>
    </comment>
    <comment ref="U888" authorId="0">
      <text>
        <r>
          <rPr>
            <b/>
            <sz val="9"/>
            <color indexed="81"/>
            <rFont val="Tahoma"/>
            <family val="2"/>
          </rPr>
          <t>Lucas Scheidler:</t>
        </r>
        <r>
          <rPr>
            <sz val="9"/>
            <color indexed="81"/>
            <rFont val="Tahoma"/>
            <family val="2"/>
          </rPr>
          <t xml:space="preserve">
RSMeans item 260923</t>
        </r>
      </text>
    </comment>
    <comment ref="AP888" authorId="0">
      <text>
        <r>
          <rPr>
            <b/>
            <sz val="9"/>
            <color indexed="81"/>
            <rFont val="Tahoma"/>
            <family val="2"/>
          </rPr>
          <t>Lucas Scheidler:</t>
        </r>
        <r>
          <rPr>
            <sz val="9"/>
            <color indexed="81"/>
            <rFont val="Tahoma"/>
            <family val="2"/>
          </rPr>
          <t xml:space="preserve">
National Average - 1 electrician</t>
        </r>
      </text>
    </comment>
    <comment ref="U892" authorId="0">
      <text>
        <r>
          <rPr>
            <b/>
            <sz val="9"/>
            <color indexed="81"/>
            <rFont val="Tahoma"/>
            <family val="2"/>
          </rPr>
          <t>Lucas Scheidler:</t>
        </r>
        <r>
          <rPr>
            <sz val="9"/>
            <color indexed="81"/>
            <rFont val="Tahoma"/>
            <family val="2"/>
          </rPr>
          <t xml:space="preserve">
M4 Scope of Work (SOW): Install 20 Wall Mounted Occupancy Sensors 
Description:
The building presently has manually operated wall switches in rest rooms and conference rooms.  The building management has decided to install occupancy sensors in all the rest rooms and conference rooms. Please install Watt-Stopper DSW-100 dual Technology Wall Switch or equivalent. Only 1 sensor per room is required. Each room has between two and six fixtures.
Tasks: The following tasks needs to be executed for installing the occupancy sensors
Remove existing manually operated switches from rest rooms and conference rooms
Provide and Install 20 new wall mounted occupancy sensors
Program the sensor to turn on the lights on upon entry of a person into a room, and then turn the lights off from 5 minutes after the room is vacated.
Commission the sensor and verify correct operation 
Dispose the existing manually operated switches
Bid: Please provide the following separately with your bid.
Specific products that will be used
Cost of Materials
Hours estimated  for removal and installation
Hours estimated for preparing items for disposal
Total cost of labor
Cost for extra equipment needed such as a lift. (Lift is not be required for this measure)
Cost of disposal fees that may be required
Taxes
 </t>
        </r>
      </text>
    </comment>
    <comment ref="V892" authorId="0">
      <text>
        <r>
          <rPr>
            <b/>
            <sz val="9"/>
            <color indexed="81"/>
            <rFont val="Tahoma"/>
            <family val="2"/>
          </rPr>
          <t>Lucas Scheidler:</t>
        </r>
        <r>
          <rPr>
            <sz val="9"/>
            <color indexed="81"/>
            <rFont val="Tahoma"/>
            <family val="2"/>
          </rPr>
          <t xml:space="preserve">
per unit</t>
        </r>
      </text>
    </comment>
    <comment ref="X892" authorId="0">
      <text>
        <r>
          <rPr>
            <b/>
            <sz val="9"/>
            <color indexed="81"/>
            <rFont val="Tahoma"/>
            <family val="2"/>
          </rPr>
          <t>Lucas Scheidler:</t>
        </r>
        <r>
          <rPr>
            <sz val="9"/>
            <color indexed="81"/>
            <rFont val="Tahoma"/>
            <family val="2"/>
          </rPr>
          <t xml:space="preserve">
per unit</t>
        </r>
      </text>
    </comment>
    <comment ref="Z892" authorId="0">
      <text>
        <r>
          <rPr>
            <b/>
            <sz val="9"/>
            <color indexed="81"/>
            <rFont val="Tahoma"/>
            <family val="2"/>
          </rPr>
          <t>Lucas Scheidler:</t>
        </r>
        <r>
          <rPr>
            <sz val="9"/>
            <color indexed="81"/>
            <rFont val="Tahoma"/>
            <family val="2"/>
          </rPr>
          <t xml:space="preserve">
per unit disposal</t>
        </r>
      </text>
    </comment>
    <comment ref="AA892" authorId="0">
      <text>
        <r>
          <rPr>
            <b/>
            <sz val="9"/>
            <color indexed="81"/>
            <rFont val="Tahoma"/>
            <family val="2"/>
          </rPr>
          <t>Lucas Scheidler:</t>
        </r>
        <r>
          <rPr>
            <sz val="9"/>
            <color indexed="81"/>
            <rFont val="Tahoma"/>
            <family val="2"/>
          </rPr>
          <t xml:space="preserve">
per unit taxes</t>
        </r>
      </text>
    </comment>
    <comment ref="Y895" authorId="0">
      <text>
        <r>
          <rPr>
            <b/>
            <sz val="9"/>
            <color indexed="81"/>
            <rFont val="Tahoma"/>
            <family val="2"/>
          </rPr>
          <t>Lucas Scheidler:</t>
        </r>
        <r>
          <rPr>
            <sz val="9"/>
            <color indexed="81"/>
            <rFont val="Tahoma"/>
            <family val="2"/>
          </rPr>
          <t xml:space="preserve">
unspecified per unit cost</t>
        </r>
      </text>
    </comment>
    <comment ref="U897" authorId="0">
      <text>
        <r>
          <rPr>
            <b/>
            <sz val="9"/>
            <color indexed="81"/>
            <rFont val="Tahoma"/>
            <family val="2"/>
          </rPr>
          <t>Lucas Scheidler:</t>
        </r>
        <r>
          <rPr>
            <sz val="9"/>
            <color indexed="81"/>
            <rFont val="Tahoma"/>
            <family val="2"/>
          </rPr>
          <t xml:space="preserve">
M5 Scope of Work (SOW): Install 20 Ceiling Mounted Occupancy Sensors 
Description:
The building conference rooms presently do not have occupancy/motion sensors.  The ceiling is 9 ft tall and is a dropped ceiling type. Building management has decided install the ceiling mounted occupancy sensors. Please install Watt Stopper CI-205 Passive Infrared Ceiling Sensor and Watt Stopper BZ-50 Universal Voltage Power Pack or equivalent occupancy sensors as a lighting control strategy. The sensors shall be installed on the dropped ceiling. Only one sensor per room will be required. Each room has between two and six fixtures.
Tasks: The following tasks needs to be executed for installing the occupancy sensors
Identify correct locations for installing the sensors for maximum effectiveness
Provide and install 20 new ceiling mounted occupancy sensors.
Provide and install 20 new power packs for the sensors.
Provide and install all necessary electrical connections.
Program the sensor to turn on the lights on upon entry of a person into a room, and then turn the lights off 5 minutes after the room is vacated.
Commission the sensors and verify correct operation
Bid: Please provide the following separately with your bid.
Specific products that will be used
Cost of Materials
Hours estimated  for removal and installation
Hours estimated for preparing items for disposal
Total cost of labor
Cost for extra equipment needed such as a lift. (Ladders are adequate for access)
Cost of disposal fees that may be required
Taxes</t>
        </r>
      </text>
    </comment>
    <comment ref="V897" authorId="0">
      <text>
        <r>
          <rPr>
            <b/>
            <sz val="9"/>
            <color indexed="81"/>
            <rFont val="Tahoma"/>
            <family val="2"/>
          </rPr>
          <t>Lucas Scheidler:</t>
        </r>
        <r>
          <rPr>
            <sz val="9"/>
            <color indexed="81"/>
            <rFont val="Tahoma"/>
            <family val="2"/>
          </rPr>
          <t xml:space="preserve">
per unit
</t>
        </r>
      </text>
    </comment>
    <comment ref="X897" authorId="0">
      <text>
        <r>
          <rPr>
            <b/>
            <sz val="9"/>
            <color indexed="81"/>
            <rFont val="Tahoma"/>
            <family val="2"/>
          </rPr>
          <t>Lucas Scheidler:</t>
        </r>
        <r>
          <rPr>
            <sz val="9"/>
            <color indexed="81"/>
            <rFont val="Tahoma"/>
            <family val="2"/>
          </rPr>
          <t xml:space="preserve">
per unit</t>
        </r>
      </text>
    </comment>
    <comment ref="Y902" authorId="0">
      <text>
        <r>
          <rPr>
            <b/>
            <sz val="9"/>
            <color indexed="81"/>
            <rFont val="Tahoma"/>
            <family val="2"/>
          </rPr>
          <t>Lucas Scheidler:</t>
        </r>
        <r>
          <rPr>
            <sz val="9"/>
            <color indexed="81"/>
            <rFont val="Tahoma"/>
            <family val="2"/>
          </rPr>
          <t xml:space="preserve">
unspecified per unit cost</t>
        </r>
      </text>
    </comment>
    <comment ref="Z902" authorId="0">
      <text>
        <r>
          <rPr>
            <b/>
            <sz val="9"/>
            <color indexed="81"/>
            <rFont val="Tahoma"/>
            <family val="2"/>
          </rPr>
          <t>Lucas Scheidler:</t>
        </r>
        <r>
          <rPr>
            <sz val="9"/>
            <color indexed="81"/>
            <rFont val="Tahoma"/>
            <family val="2"/>
          </rPr>
          <t xml:space="preserve">
disposal - per unit</t>
        </r>
      </text>
    </comment>
    <comment ref="U904" authorId="0">
      <text>
        <r>
          <rPr>
            <b/>
            <sz val="9"/>
            <color indexed="81"/>
            <rFont val="Tahoma"/>
            <family val="2"/>
          </rPr>
          <t>Lucas Scheidler:</t>
        </r>
        <r>
          <rPr>
            <sz val="9"/>
            <color indexed="81"/>
            <rFont val="Tahoma"/>
            <family val="2"/>
          </rPr>
          <t xml:space="preserve">
M6 Scope of Work (SOW): Install occupancy sensors on 50 existing electronic ballast lighting fixtures
Description:
The project site presently has 50, 4ft 2-lamps T8 lighting fixtures with electronic ballasts. These fixtures shall be retrofit with new Watt Stopper FS-155 or equivalent occupancy sensor to turn the individual fixtures off when occupants are not present. The recessed lighting fixtures are mounted on dropped ceilings which are at a height of 9 ft from the floor.  The lighting fixtures are distributed across 3 floors of the building.
Tasks: The following tasks needs to be executed for this project
Remove necessary parts to access mounting location
Install Watt Stopper FS-155 Sensor or equivalent on each fixture
Provide and install all electrical connections
Program the sensor to turn on the lights on upon entry of a person into a room, and then turn the lights off from 5 minutes after the space is vacated.
Commission and verify correct operation of all the fixtures.  
Bid: Please provide the following separately with your bid.
Specific products that will be used
Cost of Materials
Hours estimated  for removal and installation
Hours estimated for preparing items for disposal
Total cost of labor
Cost for extra equipment needed such as a lift. (Ladders are adequate for access)
Cost of disposal fees that may be required
Taxes
</t>
        </r>
      </text>
    </comment>
    <comment ref="V904" authorId="0">
      <text>
        <r>
          <rPr>
            <b/>
            <sz val="9"/>
            <color indexed="81"/>
            <rFont val="Tahoma"/>
            <family val="2"/>
          </rPr>
          <t>Lucas Scheidler:</t>
        </r>
        <r>
          <rPr>
            <sz val="9"/>
            <color indexed="81"/>
            <rFont val="Tahoma"/>
            <family val="2"/>
          </rPr>
          <t xml:space="preserve">
per unit</t>
        </r>
      </text>
    </comment>
    <comment ref="X904" authorId="0">
      <text>
        <r>
          <rPr>
            <b/>
            <sz val="9"/>
            <color indexed="81"/>
            <rFont val="Tahoma"/>
            <family val="2"/>
          </rPr>
          <t>Lucas Scheidler:</t>
        </r>
        <r>
          <rPr>
            <sz val="9"/>
            <color indexed="81"/>
            <rFont val="Tahoma"/>
            <family val="2"/>
          </rPr>
          <t xml:space="preserve">
per unit</t>
        </r>
      </text>
    </comment>
    <comment ref="Y908" authorId="0">
      <text>
        <r>
          <rPr>
            <b/>
            <sz val="9"/>
            <color indexed="81"/>
            <rFont val="Tahoma"/>
            <family val="2"/>
          </rPr>
          <t>Lucas Scheidler:</t>
        </r>
        <r>
          <rPr>
            <sz val="9"/>
            <color indexed="81"/>
            <rFont val="Tahoma"/>
            <family val="2"/>
          </rPr>
          <t xml:space="preserve">
per unit - unspecified
</t>
        </r>
      </text>
    </comment>
    <comment ref="Z908" authorId="0">
      <text>
        <r>
          <rPr>
            <b/>
            <sz val="9"/>
            <color indexed="81"/>
            <rFont val="Tahoma"/>
            <family val="2"/>
          </rPr>
          <t>Lucas Scheidler:</t>
        </r>
        <r>
          <rPr>
            <sz val="9"/>
            <color indexed="81"/>
            <rFont val="Tahoma"/>
            <family val="2"/>
          </rPr>
          <t xml:space="preserve">
disposal - per unit</t>
        </r>
      </text>
    </comment>
  </commentList>
</comments>
</file>

<file path=xl/comments3.xml><?xml version="1.0" encoding="utf-8"?>
<comments xmlns="http://schemas.openxmlformats.org/spreadsheetml/2006/main">
  <authors>
    <author>Lucas Scheidler</author>
  </authors>
  <commentList>
    <comment ref="B109" authorId="0">
      <text>
        <r>
          <rPr>
            <b/>
            <sz val="9"/>
            <color indexed="81"/>
            <rFont val="Tahoma"/>
            <family val="2"/>
          </rPr>
          <t>Lucas Scheidler:</t>
        </r>
        <r>
          <rPr>
            <sz val="9"/>
            <color indexed="81"/>
            <rFont val="Tahoma"/>
            <family val="2"/>
          </rPr>
          <t xml:space="preserve">
Draft of Combined DEER2011 and DEER2014 plus IOU Ex Ante for the 2013-14 Cycle</t>
        </r>
      </text>
    </comment>
    <comment ref="B180" authorId="0">
      <text>
        <r>
          <rPr>
            <b/>
            <sz val="9"/>
            <color indexed="81"/>
            <rFont val="Tahoma"/>
            <family val="2"/>
          </rPr>
          <t>Lucas Scheidler:</t>
        </r>
        <r>
          <rPr>
            <sz val="9"/>
            <color indexed="81"/>
            <rFont val="Tahoma"/>
            <family val="2"/>
          </rPr>
          <t xml:space="preserve">
Draft of Combined DEER2011 and DEER2014 plus IOU Ex Ante for the 2013-14 Cycle</t>
        </r>
      </text>
    </comment>
    <comment ref="E181" authorId="0">
      <text>
        <r>
          <rPr>
            <b/>
            <sz val="9"/>
            <color indexed="81"/>
            <rFont val="Tahoma"/>
            <family val="2"/>
          </rPr>
          <t>Lucas Scheidler:</t>
        </r>
        <r>
          <rPr>
            <sz val="9"/>
            <color indexed="81"/>
            <rFont val="Tahoma"/>
            <family val="2"/>
          </rPr>
          <t xml:space="preserve">
Classified in READI as ROB… should be add-on?</t>
        </r>
      </text>
    </comment>
    <comment ref="G185" authorId="0">
      <text>
        <r>
          <rPr>
            <b/>
            <sz val="9"/>
            <color indexed="81"/>
            <rFont val="Tahoma"/>
            <family val="2"/>
          </rPr>
          <t>Lucas Scheidler:</t>
        </r>
        <r>
          <rPr>
            <sz val="9"/>
            <color indexed="81"/>
            <rFont val="Tahoma"/>
            <family val="2"/>
          </rPr>
          <t xml:space="preserve">
This is specified as unit rather than "Fan" because some whole house fans have multiple fans in one unit. In this case, installing 2 fans (1 unit) would take the same time as installing a single fan.</t>
        </r>
      </text>
    </comment>
    <comment ref="F215" authorId="0">
      <text>
        <r>
          <rPr>
            <b/>
            <sz val="9"/>
            <color indexed="81"/>
            <rFont val="Tahoma"/>
            <family val="2"/>
          </rPr>
          <t>Lucas Scheidler:</t>
        </r>
        <r>
          <rPr>
            <sz val="9"/>
            <color indexed="81"/>
            <rFont val="Tahoma"/>
            <family val="2"/>
          </rPr>
          <t xml:space="preserve">
Residential but only DEC measure in READI</t>
        </r>
      </text>
    </comment>
    <comment ref="A282" authorId="0">
      <text>
        <r>
          <rPr>
            <b/>
            <sz val="9"/>
            <color indexed="81"/>
            <rFont val="Tahoma"/>
            <family val="2"/>
          </rPr>
          <t>Lucas Scheidler:</t>
        </r>
        <r>
          <rPr>
            <sz val="9"/>
            <color indexed="81"/>
            <rFont val="Tahoma"/>
            <family val="2"/>
          </rPr>
          <t xml:space="preserve">
Workpapers indicate there are no centrifugal VSD chillers &lt; 150 tons in the market. Our research confirms this. Additionally, our subcontractors found very few (4) units less than 300 tons. Given the small sample size, a regression model could only be developed for units &gt;= 300 tons.</t>
        </r>
      </text>
    </comment>
    <comment ref="D349" authorId="0">
      <text>
        <r>
          <rPr>
            <b/>
            <sz val="9"/>
            <color indexed="81"/>
            <rFont val="Tahoma"/>
            <family val="2"/>
          </rPr>
          <t>Lucas Scheidler:</t>
        </r>
        <r>
          <rPr>
            <sz val="9"/>
            <color indexed="81"/>
            <rFont val="Tahoma"/>
            <family val="2"/>
          </rPr>
          <t xml:space="preserve">
Assume TE is approximately equal to EF for instantaneous heaters due to no standby losses. AHRI database confirms that recovery efficiency is equal to EF for most units. 
While a direct equivalency between storage MBH and instantaneous MBH depends on a number of factors specific to each heater, in general an instantaneous heater will have an MBH rating 2 to 3 times the amount of a gas storage heater used in the same application.  
Negative incremental costs here are counterintuitive in that instantaneous heaters are commonly thought to be more expensive than gas storage heaters.  While this may be true in a residential application where a small storage WH is replaced by an instantaneous heater, large storage units used in commercial and multifamily applications are considerably more expensive.  See the last entry in this group for an example comparison to a small storage WH.</t>
        </r>
      </text>
    </comment>
    <comment ref="I349" authorId="0">
      <text>
        <r>
          <rPr>
            <b/>
            <sz val="9"/>
            <color indexed="81"/>
            <rFont val="Tahoma"/>
            <family val="2"/>
          </rPr>
          <t>Lucas Scheidler:</t>
        </r>
        <r>
          <rPr>
            <sz val="9"/>
            <color indexed="81"/>
            <rFont val="Tahoma"/>
            <family val="2"/>
          </rPr>
          <t xml:space="preserve">
assumed 8 gpm</t>
        </r>
      </text>
    </comment>
    <comment ref="I353" authorId="0">
      <text>
        <r>
          <rPr>
            <b/>
            <sz val="9"/>
            <color indexed="81"/>
            <rFont val="Tahoma"/>
            <family val="2"/>
          </rPr>
          <t>Lucas Scheidler:</t>
        </r>
        <r>
          <rPr>
            <sz val="9"/>
            <color indexed="81"/>
            <rFont val="Tahoma"/>
            <family val="2"/>
          </rPr>
          <t xml:space="preserve">
assumed 6 gpm</t>
        </r>
      </text>
    </comment>
    <comment ref="D359" authorId="0">
      <text>
        <r>
          <rPr>
            <b/>
            <sz val="9"/>
            <color indexed="81"/>
            <rFont val="Tahoma"/>
            <family val="2"/>
          </rPr>
          <t>Lucas Scheidler:</t>
        </r>
        <r>
          <rPr>
            <sz val="9"/>
            <color indexed="81"/>
            <rFont val="Tahoma"/>
            <family val="2"/>
          </rPr>
          <t xml:space="preserve">
Assume TE is approximately equal to EF for instantaneous heaters due to no standby losses. AHRI database confirms that recovery efficiency is equal to EF for most units.</t>
        </r>
      </text>
    </comment>
    <comment ref="D678" authorId="0">
      <text>
        <r>
          <rPr>
            <b/>
            <sz val="9"/>
            <color indexed="81"/>
            <rFont val="Tahoma"/>
            <family val="2"/>
          </rPr>
          <t>Lucas Scheidler:</t>
        </r>
        <r>
          <rPr>
            <sz val="9"/>
            <color indexed="81"/>
            <rFont val="Tahoma"/>
            <family val="2"/>
          </rPr>
          <t xml:space="preserve">
**STD description is the same as measure description for highlighted items**</t>
        </r>
      </text>
    </comment>
    <comment ref="D684" authorId="0">
      <text>
        <r>
          <rPr>
            <b/>
            <sz val="9"/>
            <color indexed="81"/>
            <rFont val="Tahoma"/>
            <family val="2"/>
          </rPr>
          <t>Lucas Scheidler:</t>
        </r>
        <r>
          <rPr>
            <sz val="9"/>
            <color indexed="81"/>
            <rFont val="Tahoma"/>
            <family val="2"/>
          </rPr>
          <t xml:space="preserve">
2 ballasts for 3 lamps?</t>
        </r>
      </text>
    </comment>
    <comment ref="D688" authorId="0">
      <text>
        <r>
          <rPr>
            <b/>
            <sz val="9"/>
            <color indexed="81"/>
            <rFont val="Tahoma"/>
            <family val="2"/>
          </rPr>
          <t>Lucas Scheidler:</t>
        </r>
        <r>
          <rPr>
            <sz val="9"/>
            <color indexed="81"/>
            <rFont val="Tahoma"/>
            <family val="2"/>
          </rPr>
          <t xml:space="preserve">
half a ballast?</t>
        </r>
      </text>
    </comment>
    <comment ref="D698" authorId="0">
      <text>
        <r>
          <rPr>
            <b/>
            <sz val="9"/>
            <color indexed="81"/>
            <rFont val="Tahoma"/>
            <family val="2"/>
          </rPr>
          <t>Lucas Scheidler:</t>
        </r>
        <r>
          <rPr>
            <sz val="9"/>
            <color indexed="81"/>
            <rFont val="Tahoma"/>
            <family val="2"/>
          </rPr>
          <t xml:space="preserve">
code and measure definition are the same</t>
        </r>
      </text>
    </comment>
    <comment ref="D700" authorId="0">
      <text>
        <r>
          <rPr>
            <b/>
            <sz val="9"/>
            <color indexed="81"/>
            <rFont val="Tahoma"/>
            <family val="2"/>
          </rPr>
          <t>Lucas Scheidler:</t>
        </r>
        <r>
          <rPr>
            <sz val="9"/>
            <color indexed="81"/>
            <rFont val="Tahoma"/>
            <family val="2"/>
          </rPr>
          <t xml:space="preserve">
code and measure definitions are the same</t>
        </r>
      </text>
    </comment>
    <comment ref="D704" authorId="0">
      <text>
        <r>
          <rPr>
            <b/>
            <sz val="9"/>
            <color indexed="81"/>
            <rFont val="Tahoma"/>
            <family val="2"/>
          </rPr>
          <t>Lucas Scheidler:</t>
        </r>
        <r>
          <rPr>
            <sz val="9"/>
            <color indexed="81"/>
            <rFont val="Tahoma"/>
            <family val="2"/>
          </rPr>
          <t xml:space="preserve">
code and measure definitions are the same</t>
        </r>
      </text>
    </comment>
    <comment ref="G845" authorId="0">
      <text>
        <r>
          <rPr>
            <b/>
            <sz val="9"/>
            <color indexed="81"/>
            <rFont val="Tahoma"/>
            <family val="2"/>
          </rPr>
          <t>Lucas Scheidler:</t>
        </r>
        <r>
          <rPr>
            <sz val="9"/>
            <color indexed="81"/>
            <rFont val="Tahoma"/>
            <family val="2"/>
          </rPr>
          <t xml:space="preserve">
READI measure is per "Ctrl-kW"</t>
        </r>
      </text>
    </comment>
    <comment ref="E848" authorId="0">
      <text>
        <r>
          <rPr>
            <b/>
            <sz val="9"/>
            <color indexed="81"/>
            <rFont val="Tahoma"/>
            <family val="2"/>
          </rPr>
          <t>Lucas Scheidler:</t>
        </r>
        <r>
          <rPr>
            <sz val="9"/>
            <color indexed="81"/>
            <rFont val="Tahoma"/>
            <family val="2"/>
          </rPr>
          <t xml:space="preserve">
Add-on?</t>
        </r>
      </text>
    </comment>
    <comment ref="E866" authorId="0">
      <text>
        <r>
          <rPr>
            <b/>
            <sz val="9"/>
            <color indexed="81"/>
            <rFont val="Tahoma"/>
            <family val="2"/>
          </rPr>
          <t>Lucas Scheidler:</t>
        </r>
        <r>
          <rPr>
            <sz val="9"/>
            <color indexed="81"/>
            <rFont val="Tahoma"/>
            <family val="2"/>
          </rPr>
          <t xml:space="preserve">
from READI - shouldn't this be add-on?</t>
        </r>
      </text>
    </comment>
    <comment ref="E870" authorId="0">
      <text>
        <r>
          <rPr>
            <b/>
            <sz val="9"/>
            <color indexed="81"/>
            <rFont val="Tahoma"/>
            <family val="2"/>
          </rPr>
          <t>Lucas Scheidler:</t>
        </r>
        <r>
          <rPr>
            <sz val="9"/>
            <color indexed="81"/>
            <rFont val="Tahoma"/>
            <family val="2"/>
          </rPr>
          <t xml:space="preserve">
add on</t>
        </r>
      </text>
    </comment>
  </commentList>
</comments>
</file>

<file path=xl/sharedStrings.xml><?xml version="1.0" encoding="utf-8"?>
<sst xmlns="http://schemas.openxmlformats.org/spreadsheetml/2006/main" count="18148" uniqueCount="2780">
  <si>
    <t>Technology</t>
  </si>
  <si>
    <t>Itron MCS</t>
  </si>
  <si>
    <t>Variable</t>
  </si>
  <si>
    <t>Type</t>
  </si>
  <si>
    <t>Values</t>
  </si>
  <si>
    <t>DEER</t>
  </si>
  <si>
    <t>ENERGY STAR</t>
  </si>
  <si>
    <t>Quarter</t>
  </si>
  <si>
    <t>Color</t>
  </si>
  <si>
    <t>Dispenser</t>
  </si>
  <si>
    <t>kWh/yr</t>
  </si>
  <si>
    <t>Binary</t>
  </si>
  <si>
    <t>Continuous</t>
  </si>
  <si>
    <t>Categorical</t>
  </si>
  <si>
    <t>Discrete</t>
  </si>
  <si>
    <t>N/A</t>
  </si>
  <si>
    <t>EER</t>
  </si>
  <si>
    <t>Energy Star</t>
  </si>
  <si>
    <t>Chassis type</t>
  </si>
  <si>
    <t>Air direction control</t>
  </si>
  <si>
    <t>White</t>
  </si>
  <si>
    <t>253 - 728</t>
  </si>
  <si>
    <t>Capacity (Total volume ft3)</t>
  </si>
  <si>
    <t>7.8 - 31</t>
  </si>
  <si>
    <t>357 - 730</t>
  </si>
  <si>
    <t>8 - 31</t>
  </si>
  <si>
    <t>&gt; 7.75</t>
  </si>
  <si>
    <t>CEE Tier 3</t>
  </si>
  <si>
    <t>Freezer on Top</t>
  </si>
  <si>
    <t>French Doors</t>
  </si>
  <si>
    <t>Side-by-Side</t>
  </si>
  <si>
    <t>Freezer on Bottom</t>
  </si>
  <si>
    <t>No</t>
  </si>
  <si>
    <t>Yes</t>
  </si>
  <si>
    <t>Bisque</t>
  </si>
  <si>
    <t>Black</t>
  </si>
  <si>
    <t>Other</t>
  </si>
  <si>
    <t>Stainless</t>
  </si>
  <si>
    <t>Stainless Look</t>
  </si>
  <si>
    <t>t-stat</t>
  </si>
  <si>
    <t>-</t>
  </si>
  <si>
    <t>R2</t>
  </si>
  <si>
    <t>Intercept</t>
  </si>
  <si>
    <t>Match Pair</t>
  </si>
  <si>
    <t>Description</t>
  </si>
  <si>
    <t>Modeled price</t>
  </si>
  <si>
    <t xml:space="preserve">Incremental Cost </t>
  </si>
  <si>
    <t>Baseline</t>
  </si>
  <si>
    <t>Bottom Mount Freezer, Large, 573 rated kWh/yr</t>
  </si>
  <si>
    <t>Measure</t>
  </si>
  <si>
    <t>Energy Star Bottom Mount Freezer without through-the-door ice - large (16.5-25 ft3 TV) - 487 kWh/yr</t>
  </si>
  <si>
    <t>Side Mount Freezer, Large, Ice Maker; 730 rated kWh/yr</t>
  </si>
  <si>
    <t>Top Mount Freezer, Small; 420 rated kWh/yr</t>
  </si>
  <si>
    <t>Energy Star Top Mount Freezer without through-the-door ice - small (10-15 ft3 TV) - 357 kWh/yr</t>
  </si>
  <si>
    <t xml:space="preserve">Energy Star Side Mount Freezer with through-the-door ice - large(23-31 ft3 TV) - 620 kWh/yr </t>
  </si>
  <si>
    <t>READI Index ID</t>
  </si>
  <si>
    <t>Refrigerator: Bottom Mount Freezer, Small; 518 rated kWh/yr</t>
  </si>
  <si>
    <t>Energy Star(R) Refrigerator: Bottom Mount Freezer without through-the-door ice - small (8-16.5 ft3 TV) - 447 kWh/yr</t>
  </si>
  <si>
    <t>Energy Star(R) Refrigerator: Side Mount Freezer without through-the-door ice - large (23-31ft3 TV) - 565 kWh/yr</t>
  </si>
  <si>
    <t>Refrigerator: Side Mount Freezer, Large; 665 rated kWh/yr</t>
  </si>
  <si>
    <t>Energy Star(R) Refrigerator: Side Mount Freezer without through-the-door ice - medium (15-23 ft3 TV) - 528 kWh/yr</t>
  </si>
  <si>
    <t>Refrigerator: 620 rated kWh/yr</t>
  </si>
  <si>
    <t>Energy Star(R) Refrigerator: Side Mount Freezer with through-the-door ice - medium (15-23 ft3 TV) - 543 kWh/yr</t>
  </si>
  <si>
    <t>Refrigerator: 639 rated kWh/yr</t>
  </si>
  <si>
    <t>Refrigerator: Top Mount Freezer, Large; 532 rated kWh/yr</t>
  </si>
  <si>
    <t>Energy Star(R) Refrigerator: Top Mount Freezer without through-the-door ice - large (20-25 ft3 TV) - 452 kWh/yr</t>
  </si>
  <si>
    <t>Energy Star(R) Refrigerator: Top Mount Freezer without through-the-door ice - medium (15-20 ft3 TV) - 399 kWh/yr</t>
  </si>
  <si>
    <t>Refrigerator: Top Mount Freezer, Medium; 469 rated kWh/yr</t>
  </si>
  <si>
    <t>Data Source</t>
  </si>
  <si>
    <t>Data Type</t>
  </si>
  <si>
    <t>NPD</t>
  </si>
  <si>
    <t>Point of sales</t>
  </si>
  <si>
    <t>Weighting</t>
  </si>
  <si>
    <t>CA unit sales</t>
  </si>
  <si>
    <t>N observations</t>
  </si>
  <si>
    <t>N unit sales</t>
  </si>
  <si>
    <t>8.7 - 11</t>
  </si>
  <si>
    <t>5,500 - 29,000</t>
  </si>
  <si>
    <t>Not specified</t>
  </si>
  <si>
    <t>Fixed</t>
  </si>
  <si>
    <t>Slide-out</t>
  </si>
  <si>
    <t>Not Specified</t>
  </si>
  <si>
    <t>4-way</t>
  </si>
  <si>
    <t>8-way</t>
  </si>
  <si>
    <t>2-way</t>
  </si>
  <si>
    <t>Data and Model Info</t>
  </si>
  <si>
    <t>Louvered sides</t>
  </si>
  <si>
    <t>Non-Energy Star with louvered sides 6,000 btuh 9.7 EER</t>
  </si>
  <si>
    <t>Energy Star with louvered sides 6,000 btuh 10.7 EER</t>
  </si>
  <si>
    <t>Non-Energy Star without louvered sides 6,000 btuh 9.0 EER</t>
  </si>
  <si>
    <t>Energy Star without louvered sides 6,000 btuh 9.9 EER</t>
  </si>
  <si>
    <t>Non-Energy Star with louvered sides 8,000 btuh 9.8 EER</t>
  </si>
  <si>
    <t>Energy Star with louvered sides 8,000 btuh 10.8 EER</t>
  </si>
  <si>
    <t>Non-Energy Star with louvered sides 14,000 btuh 9.7 EER</t>
  </si>
  <si>
    <t>Energy Star with louvered sides 14,000 btuh 10.7 EER</t>
  </si>
  <si>
    <t>Non-Energy Star with louvered sides 20,000 btuh 8.5 EER</t>
  </si>
  <si>
    <t>Energy Star with louvered sides 20,000 btuh 9.4 EER</t>
  </si>
  <si>
    <t>Count</t>
  </si>
  <si>
    <t>Mean</t>
  </si>
  <si>
    <t>Model Coefficients</t>
  </si>
  <si>
    <t>Model Validation</t>
  </si>
  <si>
    <t>Actual price 1</t>
  </si>
  <si>
    <t>Actual price 2</t>
  </si>
  <si>
    <t>Actual price 3</t>
  </si>
  <si>
    <t>Actual price 4</t>
  </si>
  <si>
    <t>Std Dev</t>
  </si>
  <si>
    <t>Workpapers</t>
  </si>
  <si>
    <t>Incremental Costs</t>
  </si>
  <si>
    <t>Workpaper measures</t>
  </si>
  <si>
    <t>Standard Error</t>
  </si>
  <si>
    <t>Median</t>
  </si>
  <si>
    <t>Mode</t>
  </si>
  <si>
    <t>Sample Variance</t>
  </si>
  <si>
    <t>Kurtosis</t>
  </si>
  <si>
    <t>Skewness</t>
  </si>
  <si>
    <t>Range</t>
  </si>
  <si>
    <t>Minimum</t>
  </si>
  <si>
    <t>Maximum</t>
  </si>
  <si>
    <t>Sum</t>
  </si>
  <si>
    <t>% CA market</t>
  </si>
  <si>
    <t>Weights for Roll-up to DEER/WP</t>
  </si>
  <si>
    <t>DEER/WP-equivalent Coefficients</t>
  </si>
  <si>
    <t>s.e.</t>
  </si>
  <si>
    <t>Mean Price</t>
  </si>
  <si>
    <t>Std Dev Price</t>
  </si>
  <si>
    <t>Manufacturer</t>
  </si>
  <si>
    <t>1 -100</t>
  </si>
  <si>
    <t>1-100</t>
  </si>
  <si>
    <t>Absence of VFD.  Baseline is throttling valves, inlet vanes and fan dampers</t>
  </si>
  <si>
    <t xml:space="preserve">Measure </t>
  </si>
  <si>
    <t>Matched Pair</t>
  </si>
  <si>
    <t>Model Results</t>
  </si>
  <si>
    <t>Distributor prices</t>
  </si>
  <si>
    <t>EMCOR</t>
  </si>
  <si>
    <t>Bypass</t>
  </si>
  <si>
    <t>3r</t>
  </si>
  <si>
    <t>NEMA enclosure type</t>
  </si>
  <si>
    <t>Siemens</t>
  </si>
  <si>
    <t>ABB</t>
  </si>
  <si>
    <t>None</t>
  </si>
  <si>
    <t>Unknown</t>
  </si>
  <si>
    <t>VFD Supply Fan Motors (Siemens,5hp, nema 1 enclosure,no bypass)</t>
  </si>
  <si>
    <t>Model Validation Summary Stats</t>
  </si>
  <si>
    <t>St. Dev.</t>
  </si>
  <si>
    <t xml:space="preserve">Min </t>
  </si>
  <si>
    <t>Max</t>
  </si>
  <si>
    <t>500 volts</t>
  </si>
  <si>
    <t>VFD Supply Fan Motors (Siemens,1.5hp, nema 12 enclosure,no bypass)</t>
  </si>
  <si>
    <t>VFD Supply Fan Motors (Siemens,10hp, nema 1 enclosure, no bypass)</t>
  </si>
  <si>
    <t>VFD Supply Fan Motors (Siemens,10hp, nema 3r enclosure,no bypass)</t>
  </si>
  <si>
    <t>Batt Insulation</t>
  </si>
  <si>
    <t>R-Value</t>
  </si>
  <si>
    <t>High Density</t>
  </si>
  <si>
    <t>Brand</t>
  </si>
  <si>
    <t>CertainTeed</t>
  </si>
  <si>
    <t>Knauf</t>
  </si>
  <si>
    <t>11-38</t>
  </si>
  <si>
    <t>11 - 38</t>
  </si>
  <si>
    <t>11 - 30</t>
  </si>
  <si>
    <t>DEG</t>
  </si>
  <si>
    <t>Ceiling R-0 to R-30 Insulation-Batts</t>
  </si>
  <si>
    <t>Ceiling R-0 to R-38 Insulation-Batts</t>
  </si>
  <si>
    <t>Ceiling - Add R-11 batts on top of vintage-specific existing insulation</t>
  </si>
  <si>
    <t>Ceiling - Add R-19 batts on top of vintage-specific existing insulation</t>
  </si>
  <si>
    <t>Ceiling - Add R-30 batts on top of vintage-specific existing insulation</t>
  </si>
  <si>
    <t>Floor R-0 to R-19 Insulation Batts</t>
  </si>
  <si>
    <t>Floor R-0 to R-30 Insulation Batts</t>
  </si>
  <si>
    <t>Floor R-19 to R-30 Insulation-Batts</t>
  </si>
  <si>
    <t>Wall 2x4 R-15 Insulation-Batts</t>
  </si>
  <si>
    <t>Wall 2x6 R-19 Insulation-Batts</t>
  </si>
  <si>
    <t>Wall 2x6 R-21 Insulation-Batts</t>
  </si>
  <si>
    <t>Wall 2x4 R-13 Batts + R-5 Rigid</t>
  </si>
  <si>
    <t>Wall 2x6 R-19 Batts + R-5 Rigid</t>
  </si>
  <si>
    <t>Absence of insulation, or leaving the vintage-specific existing insulation as noted in measure definitions</t>
  </si>
  <si>
    <t>Demand Control Ventilation</t>
  </si>
  <si>
    <t>Temperature Sensor</t>
  </si>
  <si>
    <t xml:space="preserve">Digital Display </t>
  </si>
  <si>
    <t>VOC Sensor</t>
  </si>
  <si>
    <t>Humidity Sensor</t>
  </si>
  <si>
    <t>Location</t>
  </si>
  <si>
    <t>Veris</t>
  </si>
  <si>
    <t>Vaisala</t>
  </si>
  <si>
    <t>BAPI</t>
  </si>
  <si>
    <t>SenseAir</t>
  </si>
  <si>
    <t>Dwyer</t>
  </si>
  <si>
    <t>Kele</t>
  </si>
  <si>
    <t>Airtest</t>
  </si>
  <si>
    <t>Trane</t>
  </si>
  <si>
    <t>Johnson Controls</t>
  </si>
  <si>
    <t>AirSense</t>
  </si>
  <si>
    <t>Carrier</t>
  </si>
  <si>
    <t>Duct</t>
  </si>
  <si>
    <t>Wall</t>
  </si>
  <si>
    <t>Retail Prices</t>
  </si>
  <si>
    <t>(Do not delete these rows; see cells at right)</t>
  </si>
  <si>
    <t>Thermal Curtain</t>
  </si>
  <si>
    <t>Flame Retardant</t>
  </si>
  <si>
    <t>Contains Aluminum</t>
  </si>
  <si>
    <t>Performance/Purpose</t>
  </si>
  <si>
    <t>Blackout</t>
  </si>
  <si>
    <t>Energy Savings &amp; Solar Reflection</t>
  </si>
  <si>
    <t>Energy Savings</t>
  </si>
  <si>
    <t>Supplemental Light</t>
  </si>
  <si>
    <t>Solar Reflection</t>
  </si>
  <si>
    <t>--</t>
  </si>
  <si>
    <t>QuEST</t>
  </si>
  <si>
    <t>Absence of Thermal Curtain</t>
  </si>
  <si>
    <t>Flame Retardant, Contains Aluminum, Solar Reflection</t>
  </si>
  <si>
    <t>Flame Retardant, No Aluminum, Solar Reflection</t>
  </si>
  <si>
    <t>Flame Retardant, No Aluminum, Supplemental Lighting</t>
  </si>
  <si>
    <t>No Flame Retardant, Contains Aluminum, Solar Reflection</t>
  </si>
  <si>
    <t>No Flame Retardant, Contains Aluminum, Blackout</t>
  </si>
  <si>
    <t>No Flame Retardant, No Aluminum, Blackout</t>
  </si>
  <si>
    <t>Energy Factor</t>
  </si>
  <si>
    <t>Bradford-White Co.</t>
  </si>
  <si>
    <t>Rheem</t>
  </si>
  <si>
    <t>State Industries</t>
  </si>
  <si>
    <t>Standard Error or MAE/mean</t>
  </si>
  <si>
    <t>Thermal Efficiency</t>
  </si>
  <si>
    <t xml:space="preserve">82 - 92 (.82-.92) </t>
  </si>
  <si>
    <t>.80, .85, .90</t>
  </si>
  <si>
    <t>.80, .90</t>
  </si>
  <si>
    <t>120-250</t>
  </si>
  <si>
    <t xml:space="preserve">Rheem </t>
  </si>
  <si>
    <t>High Efficiency Medium Gas Instantaneous Water heater , 0.82 TE, 120 mbtu/hr</t>
  </si>
  <si>
    <t>High Efficiency Medium Gas Instantaneous Water heater,  0.91 TE, 180 mbtu/hr</t>
  </si>
  <si>
    <t>High Efficiency Medium Gas Instantaneous Water heater, 0.93 TE, 150 mbtu/hr</t>
  </si>
  <si>
    <t>High Efficiency Large Gas Instantaneous Water heater, 0.82 TE, 200 mbtu/hr</t>
  </si>
  <si>
    <t>High Efficiency Large Gas Instantaneous Water heater, 0.84 TE, 250 mbtu/hr</t>
  </si>
  <si>
    <t>High Efficiency Large Gas Instantaneous Water heater, 0.92 TE, 200 mbtu/hr</t>
  </si>
  <si>
    <t>Tankless WH</t>
  </si>
  <si>
    <t>Width (Inches)</t>
  </si>
  <si>
    <t>Kraft Faced</t>
  </si>
  <si>
    <t>15-24</t>
  </si>
  <si>
    <t>Coverage (Sq Ft/bag)</t>
  </si>
  <si>
    <t>MAE</t>
  </si>
  <si>
    <t>30 - 75 gal</t>
  </si>
  <si>
    <t>0.53 -0.70</t>
  </si>
  <si>
    <t>DEG/EMCOR</t>
  </si>
  <si>
    <t>High Efficiency Small Gas Storage Water Heater - 30 Gal , 0.62 EF</t>
  </si>
  <si>
    <t>Small Gas Storage Water Heater 30 Gal; EF = 0.61; Recov Eff = 0.76</t>
  </si>
  <si>
    <t>High Efficiency Small Gas Storage Water Heater - 30 Gal , 0.65 EF</t>
  </si>
  <si>
    <t>High Efficiency Small Gas Storage Water Heater - 30 Gal , 0.70 EF</t>
  </si>
  <si>
    <t>Small Gas Storage Water Heater 40 Gal; EF = 0.59; Recov Eff = 0.76</t>
  </si>
  <si>
    <t>High Efficiency Small Gas Storage Water Heater - 40 Gal , 0.62 EF</t>
  </si>
  <si>
    <t>High Efficiency Small Gas Storage Water Heater - 40 Gal , 0.67 EF</t>
  </si>
  <si>
    <t>High Efficiency Small Gas Storage Water Heater - 40 Gal , 0.70 EF</t>
  </si>
  <si>
    <t>Small Gas Storage Water Heater 50 Gal; EF = 0.57; Recov Eff = 0.76</t>
  </si>
  <si>
    <t>High Efficiency Small Gas Storage Water Heater - 50 Gal , 0.62 EF</t>
  </si>
  <si>
    <t>High Efficiency Small Gas Storage Water Heater - 50 Gal , 0.67 EF</t>
  </si>
  <si>
    <t>High Efficiency Small Gas Storage Water Heater - 50 Gal , 0.70 EF</t>
  </si>
  <si>
    <t>Small Gas Storage Water Heater 60 Gal; EF = 0.56; Recov Eff = 0.76</t>
  </si>
  <si>
    <t>High Efficiency Small Gas Storage Water Heater - 60 Gal , 0.62 EF</t>
  </si>
  <si>
    <t>High Efficiency Small Gas Storage Water Heater - 60 Gal , 0.66 EF</t>
  </si>
  <si>
    <t>High Efficiency Small Gas Storage Water Heater - 60 Gal , 0.70 EF</t>
  </si>
  <si>
    <t>Small Gas Storage Water Heater 75 Gal; EF = 0.53; Recov Eff = 0.76</t>
  </si>
  <si>
    <t>High Efficiency Small Gas Storage Water Heater - 75 Gal , 0.62 EF</t>
  </si>
  <si>
    <t>High Efficiency Small Gas Storage Water Heater - 75 Gal , 0.66 EF</t>
  </si>
  <si>
    <t>High Efficiency Small Gas Storage Water Heater - 75 Gal , 0.70 EF</t>
  </si>
  <si>
    <t>Industrial grade</t>
  </si>
  <si>
    <t>Number of fans</t>
  </si>
  <si>
    <t>CFM</t>
  </si>
  <si>
    <t>600-6418</t>
  </si>
  <si>
    <t>yes</t>
  </si>
  <si>
    <t>no</t>
  </si>
  <si>
    <t>Absense of whole house fan</t>
  </si>
  <si>
    <t>Whole houe fan 2500 CFM, 1 fan, industrial grade</t>
  </si>
  <si>
    <t>Whole houe fan 1600 CFM, 1 fan</t>
  </si>
  <si>
    <t>Whole houe fan 2500 CFM, 1 fan</t>
  </si>
  <si>
    <t>Whole houe fan 4500 CFM, 1 fan</t>
  </si>
  <si>
    <t>Whole houe fan 1150 CFM, 2 fans</t>
  </si>
  <si>
    <t>Whole House Fans</t>
  </si>
  <si>
    <t>Input KW</t>
  </si>
  <si>
    <t>Volt 230</t>
  </si>
  <si>
    <t>2 - 2.51</t>
  </si>
  <si>
    <t>2.2 - 5.5</t>
  </si>
  <si>
    <t>40 - 80</t>
  </si>
  <si>
    <t>&gt;=40</t>
  </si>
  <si>
    <t>&gt;= 2.0</t>
  </si>
  <si>
    <t>DEG/Itron</t>
  </si>
  <si>
    <t>40 gallon electric water heater, .92 EF</t>
  </si>
  <si>
    <t>Heat pump water heater, 40 gallons, 4.0  kw, 2.0 EF, 240 volt</t>
  </si>
  <si>
    <t>Heat pump water heater, 50 gallons, 4.5  kw, 2.4 EF, 240 volt</t>
  </si>
  <si>
    <t>Heat pump water heater, 50 gallons, 5.5  kw, 2.45 EF, 230 volt</t>
  </si>
  <si>
    <t>Heat pump water heater, 60 gallons, 4.5  kw, 2.33 EF, 240 volt</t>
  </si>
  <si>
    <t>Heat pump water heater, 80 gallons, 2.2  kw, 2.51 EF, 240 volt</t>
  </si>
  <si>
    <t>Heat pump water heater, 80 gallons, 4.5  kw, 2.33 EF, 240 volt</t>
  </si>
  <si>
    <t>Heat Pump Water Heaters</t>
  </si>
  <si>
    <t>R-11 Batt Insulation, Unfaced</t>
  </si>
  <si>
    <t>R-11 Batt Insulation, Kraft Faced</t>
  </si>
  <si>
    <t>R-19 Batt Insulation, Unfaced</t>
  </si>
  <si>
    <t>R-19 Batt Insulation, Kraft Faced</t>
  </si>
  <si>
    <t>R-30 Batt Insulation, Unfaced</t>
  </si>
  <si>
    <t>R-30 Batt Insulation, Kraft Faced</t>
  </si>
  <si>
    <t>R-30 Batt Insulation, High Density, Unfaced</t>
  </si>
  <si>
    <t>R-30 Batt Insulation, High Density, Kraft Faced</t>
  </si>
  <si>
    <t>R-38 Batt Insulation, Unfaced</t>
  </si>
  <si>
    <t>R-38 Batt Insulation, Kraft Faced</t>
  </si>
  <si>
    <t>R-38 Batt Insulation, High Density, Unfaced</t>
  </si>
  <si>
    <t>R-38 Batt Insulation, High Density, Kraft Faced</t>
  </si>
  <si>
    <t>AFUE</t>
  </si>
  <si>
    <t>Variable Speed Blower</t>
  </si>
  <si>
    <t>Bryant</t>
  </si>
  <si>
    <t>Day and Night</t>
  </si>
  <si>
    <t>Goodman</t>
  </si>
  <si>
    <t>Ruud</t>
  </si>
  <si>
    <t>0.78-0.96</t>
  </si>
  <si>
    <t>32,000-155,000</t>
  </si>
  <si>
    <t>with variable speed</t>
  </si>
  <si>
    <t>0.78 - 0.98</t>
  </si>
  <si>
    <t>Distributor Prices</t>
  </si>
  <si>
    <r>
      <t>Furnace AFUE 80 -</t>
    </r>
    <r>
      <rPr>
        <sz val="11"/>
        <color rgb="FFFF0000"/>
        <rFont val="Calibri"/>
        <family val="2"/>
        <scheme val="minor"/>
      </rPr>
      <t xml:space="preserve"> assumed 60 kBtuh capacity without variable speed blower</t>
    </r>
  </si>
  <si>
    <r>
      <t xml:space="preserve">High Efficiency Furnace 90 AFUE(1.11 HIR) - </t>
    </r>
    <r>
      <rPr>
        <sz val="11"/>
        <color rgb="FFFF0000"/>
        <rFont val="Calibri"/>
        <family val="2"/>
        <scheme val="minor"/>
      </rPr>
      <t>assumed 60 kBtuh capacity without variable speed blower</t>
    </r>
  </si>
  <si>
    <r>
      <t>Furnace AFUE 80 -</t>
    </r>
    <r>
      <rPr>
        <sz val="11"/>
        <color rgb="FFFF0000"/>
        <rFont val="Calibri"/>
        <family val="2"/>
        <scheme val="minor"/>
      </rPr>
      <t xml:space="preserve"> assumed 90 kBtuh capacity without variable speed blower</t>
    </r>
  </si>
  <si>
    <r>
      <t>Efficient Residential Gas Furnace - AFUE 92 -</t>
    </r>
    <r>
      <rPr>
        <sz val="11"/>
        <color rgb="FFFF0000"/>
        <rFont val="Calibri"/>
        <family val="2"/>
        <scheme val="minor"/>
      </rPr>
      <t xml:space="preserve"> assumed 90 kBtuh capacity without variable speed blower</t>
    </r>
  </si>
  <si>
    <r>
      <t xml:space="preserve">Furnace AFUE 80 - </t>
    </r>
    <r>
      <rPr>
        <sz val="11"/>
        <color rgb="FFFF0000"/>
        <rFont val="Calibri"/>
        <family val="2"/>
        <scheme val="minor"/>
      </rPr>
      <t>assumed 120 kBtuh capacity without variable speed blower</t>
    </r>
  </si>
  <si>
    <r>
      <t xml:space="preserve">Efficient Residential Gas Furnace - AFUE 93 - </t>
    </r>
    <r>
      <rPr>
        <sz val="11"/>
        <color rgb="FFFF0000"/>
        <rFont val="Calibri"/>
        <family val="2"/>
        <scheme val="minor"/>
      </rPr>
      <t>assumed 120 kBtuh capacity without variable speed blower</t>
    </r>
  </si>
  <si>
    <r>
      <t xml:space="preserve">Furnace AFUE 80 - </t>
    </r>
    <r>
      <rPr>
        <sz val="11"/>
        <color rgb="FFFF0000"/>
        <rFont val="Calibri"/>
        <family val="2"/>
        <scheme val="minor"/>
      </rPr>
      <t>assumed 90 kBtuh capacity without variable speed blower</t>
    </r>
  </si>
  <si>
    <r>
      <t xml:space="preserve">Efficient Residential Gas Furnace - AFUE 95 - </t>
    </r>
    <r>
      <rPr>
        <sz val="11"/>
        <color rgb="FFFF0000"/>
        <rFont val="Calibri"/>
        <family val="2"/>
        <scheme val="minor"/>
      </rPr>
      <t>assumed 90 kBtuh capacity with variable speed blower</t>
    </r>
  </si>
  <si>
    <r>
      <t xml:space="preserve">Furnace AFUE 80 - </t>
    </r>
    <r>
      <rPr>
        <sz val="11"/>
        <color rgb="FFFF0000"/>
        <rFont val="Calibri"/>
        <family val="2"/>
        <scheme val="minor"/>
      </rPr>
      <t>assumed 100 kBtuh capacity without variable speed blower</t>
    </r>
  </si>
  <si>
    <r>
      <t>Efficient Residential Gas Furnace - AFUE 96 -</t>
    </r>
    <r>
      <rPr>
        <sz val="11"/>
        <color rgb="FFFF0000"/>
        <rFont val="Calibri"/>
        <family val="2"/>
        <scheme val="minor"/>
      </rPr>
      <t xml:space="preserve"> assumed 100 kBtuh capacity with variable speed blower</t>
    </r>
  </si>
  <si>
    <t>Diff (Modeled-Actual)</t>
  </si>
  <si>
    <t>%Diff (Modeled-Actual)/Actual</t>
  </si>
  <si>
    <t>31.998-256</t>
  </si>
  <si>
    <t>Actual price 5</t>
  </si>
  <si>
    <t>Actual price 6</t>
  </si>
  <si>
    <t>Actual price 7</t>
  </si>
  <si>
    <t>Actual price 8</t>
  </si>
  <si>
    <t>Actual price 9</t>
  </si>
  <si>
    <t>Actual price 10</t>
  </si>
  <si>
    <t>Actual price 11</t>
  </si>
  <si>
    <t>Actual price 12</t>
  </si>
  <si>
    <t>Duct Mounted unit</t>
  </si>
  <si>
    <t>Duct Mounted unit with Digital Display and VOC Sensor</t>
  </si>
  <si>
    <t>Duct Mounted unit with Humidity Sensor</t>
  </si>
  <si>
    <t>Duct Mounted unit with Temperature Sensor</t>
  </si>
  <si>
    <t>Wall Mounted unit</t>
  </si>
  <si>
    <t>Wall Mounted unit with Digital Display</t>
  </si>
  <si>
    <t>Wall Mounted unit with Humidity Sensor</t>
  </si>
  <si>
    <t>Wall Mounted unit with Temperature Sensor</t>
  </si>
  <si>
    <t>Wall Mounted unit with Temperature Sensor and Digital Display</t>
  </si>
  <si>
    <t>Wall Mounted unit with Temperature Sensor and Humidity Sensor</t>
  </si>
  <si>
    <t>Wall Mounted unit with Temperature Sensor, Digital Display, and Humidity Sensor</t>
  </si>
  <si>
    <t>0.58-0.7</t>
  </si>
  <si>
    <t>30-65</t>
  </si>
  <si>
    <t>Actual price 13</t>
  </si>
  <si>
    <t>Actual price 14</t>
  </si>
  <si>
    <t>Actual price 15</t>
  </si>
  <si>
    <t>Actual price 16</t>
  </si>
  <si>
    <t>Actual price 17</t>
  </si>
  <si>
    <t>Actual price 18</t>
  </si>
  <si>
    <t>Actual price 19</t>
  </si>
  <si>
    <r>
      <t xml:space="preserve">78 AFUE (1.242 HIR) Furnace </t>
    </r>
    <r>
      <rPr>
        <sz val="11"/>
        <color rgb="FFFF0000"/>
        <rFont val="Calibri"/>
        <family val="2"/>
        <scheme val="minor"/>
      </rPr>
      <t>assumed 60 kBtuh capacity without variable speed blower</t>
    </r>
  </si>
  <si>
    <r>
      <t xml:space="preserve">Furnace Upgrade to 81% AFUE </t>
    </r>
    <r>
      <rPr>
        <sz val="11"/>
        <color rgb="FFFF0000"/>
        <rFont val="Calibri"/>
        <family val="2"/>
        <scheme val="minor"/>
      </rPr>
      <t>assumed 60 kBtuh capacity without variable speed blower</t>
    </r>
  </si>
  <si>
    <r>
      <t xml:space="preserve">78 AFUE (1.242 HIR) Furnace </t>
    </r>
    <r>
      <rPr>
        <sz val="11"/>
        <color rgb="FFFF0000"/>
        <rFont val="Calibri"/>
        <family val="2"/>
        <scheme val="minor"/>
      </rPr>
      <t>assumed 90 kBtuh capacity without variable speed blower</t>
    </r>
  </si>
  <si>
    <r>
      <t xml:space="preserve">High Efficiency Furnace 90 AFUE(1.11 HIR) </t>
    </r>
    <r>
      <rPr>
        <sz val="11"/>
        <color rgb="FFFF0000"/>
        <rFont val="Calibri"/>
        <family val="2"/>
        <scheme val="minor"/>
      </rPr>
      <t>assumed 90 kBtuh capacity without variable speed blower</t>
    </r>
  </si>
  <si>
    <r>
      <t xml:space="preserve">78 AFUE (1.242 HIR) Furnace </t>
    </r>
    <r>
      <rPr>
        <sz val="11"/>
        <color rgb="FFFF0000"/>
        <rFont val="Calibri"/>
        <family val="2"/>
        <scheme val="minor"/>
      </rPr>
      <t>assumed 120 kBtuh capacity without variable speed blower</t>
    </r>
  </si>
  <si>
    <r>
      <t xml:space="preserve">High Efficiency Furnace 92 AFUE(1.08 HIR) </t>
    </r>
    <r>
      <rPr>
        <sz val="11"/>
        <color rgb="FFFF0000"/>
        <rFont val="Calibri"/>
        <family val="2"/>
        <scheme val="minor"/>
      </rPr>
      <t>assumed 120 kBtuh capacity without variable speed blower</t>
    </r>
  </si>
  <si>
    <r>
      <t xml:space="preserve">High Efficiency Furnace 94 AFUE(1.06 HIR) </t>
    </r>
    <r>
      <rPr>
        <sz val="11"/>
        <color rgb="FFFF0000"/>
        <rFont val="Calibri"/>
        <family val="2"/>
        <scheme val="minor"/>
      </rPr>
      <t>assumed 90 kBtuh capacity with variable speed blower</t>
    </r>
  </si>
  <si>
    <r>
      <t xml:space="preserve">78 AFUE (1.242 HIR) Furnace </t>
    </r>
    <r>
      <rPr>
        <sz val="11"/>
        <color rgb="FFFF0000"/>
        <rFont val="Calibri"/>
        <family val="2"/>
        <scheme val="minor"/>
      </rPr>
      <t>assumed 100 kBtuh capacity without variable speed blower</t>
    </r>
  </si>
  <si>
    <r>
      <t xml:space="preserve">High Efficiency Furnace 96 AFUE(1.03 HIR) </t>
    </r>
    <r>
      <rPr>
        <sz val="11"/>
        <color rgb="FFFF0000"/>
        <rFont val="Calibri"/>
        <family val="2"/>
        <scheme val="minor"/>
      </rPr>
      <t>assumed 100 kBtuh capacity with variable speed blower</t>
    </r>
  </si>
  <si>
    <t>Actual price 20</t>
  </si>
  <si>
    <t>Actual price 21</t>
  </si>
  <si>
    <t>Actual price 22</t>
  </si>
  <si>
    <t>Actual price 23</t>
  </si>
  <si>
    <t>Actual price 24</t>
  </si>
  <si>
    <t>Actual price 25</t>
  </si>
  <si>
    <t>Forced Draft</t>
  </si>
  <si>
    <t>Media Saturation Effectiveness</t>
  </si>
  <si>
    <t>0.72-0.9</t>
  </si>
  <si>
    <t>Aerocool Pro</t>
  </si>
  <si>
    <t>Aerocool Trophy</t>
  </si>
  <si>
    <t>Brisa</t>
  </si>
  <si>
    <t>Champion Cooler</t>
  </si>
  <si>
    <t>Frigiking</t>
  </si>
  <si>
    <t>Mastercool</t>
  </si>
  <si>
    <t>Phoenix</t>
  </si>
  <si>
    <t>Pressure Relief Dampers</t>
  </si>
  <si>
    <t>Constant Bleed Option</t>
  </si>
  <si>
    <t>For SCE measures, evap coolers are add-on measures to existing DX systems</t>
  </si>
  <si>
    <t>TBD</t>
  </si>
  <si>
    <t>CFM @ 0.3" s.p.</t>
  </si>
  <si>
    <t>359-16,309</t>
  </si>
  <si>
    <r>
      <t xml:space="preserve">T24 minimum: 13 SEER(11.09 EER) Split System Air Conditioner (for PG&amp;E ROB measures) </t>
    </r>
    <r>
      <rPr>
        <sz val="11"/>
        <color rgb="FFFF0000"/>
        <rFont val="Calibri"/>
        <family val="2"/>
        <scheme val="minor"/>
      </rPr>
      <t>assumed 2 ton</t>
    </r>
  </si>
  <si>
    <t>2,340 CFM, 0.85 media saturation effectiveness (~2 ton equivalent)</t>
  </si>
  <si>
    <t>3,510 CFM, 0.87 media saturation effectiveness (~3 ton equivalent)</t>
  </si>
  <si>
    <t>5,850 CFM, 0.9 media saturation effectiveness (~5 ton equivalent)</t>
  </si>
  <si>
    <t>11,700 CFM, 0.9 media saturation effectiveness (~10 ton equivalent)</t>
  </si>
  <si>
    <t>17,550 CFM, 0.9 media saturation effectiveness (~15 ton equivalent)</t>
  </si>
  <si>
    <r>
      <t>GE</t>
    </r>
    <r>
      <rPr>
        <sz val="11"/>
        <color rgb="FF000000"/>
        <rFont val="Calibri"/>
        <family val="2"/>
        <scheme val="minor"/>
      </rPr>
      <t xml:space="preserve"> </t>
    </r>
  </si>
  <si>
    <r>
      <t>Honeywell</t>
    </r>
    <r>
      <rPr>
        <sz val="11"/>
        <color rgb="FF000000"/>
        <rFont val="Calibri"/>
        <family val="2"/>
        <scheme val="minor"/>
      </rPr>
      <t xml:space="preserve"> </t>
    </r>
  </si>
  <si>
    <t>Contr. Markup</t>
  </si>
  <si>
    <t>1,2,4</t>
  </si>
  <si>
    <t>SEER</t>
  </si>
  <si>
    <t>Capacity (tons)</t>
  </si>
  <si>
    <t>Phase</t>
  </si>
  <si>
    <t>Voltage</t>
  </si>
  <si>
    <t>13 - 17</t>
  </si>
  <si>
    <t>Capacity (BtuH)</t>
  </si>
  <si>
    <t>24,000-60,000</t>
  </si>
  <si>
    <t>Lennox</t>
  </si>
  <si>
    <t>Clg EIR</t>
  </si>
  <si>
    <t>Suppy fan W/cfm</t>
  </si>
  <si>
    <t>0.2456 - 0.2761</t>
  </si>
  <si>
    <t>0.306 - 0.409</t>
  </si>
  <si>
    <r>
      <t xml:space="preserve">Pkg AC SEER = 13.00; EER = 11.06; Clg EIR = 0.256; Supply Fan W/cfm = 0.379; no econo </t>
    </r>
    <r>
      <rPr>
        <sz val="11"/>
        <color rgb="FFFF0000"/>
        <rFont val="Calibri"/>
        <family val="2"/>
        <scheme val="minor"/>
      </rPr>
      <t>assumed 5 ton</t>
    </r>
  </si>
  <si>
    <t>Gas Heat Option</t>
  </si>
  <si>
    <t>McQuay</t>
  </si>
  <si>
    <t>9.5-13</t>
  </si>
  <si>
    <t>83,000-1,270,420</t>
  </si>
  <si>
    <t>9.5 - 12</t>
  </si>
  <si>
    <t>Cond fan W/Btuh</t>
  </si>
  <si>
    <t>0.2304 - 0.2622</t>
  </si>
  <si>
    <t>0.165 - 0.298</t>
  </si>
  <si>
    <t>0.0053 - 0.0089</t>
  </si>
  <si>
    <r>
      <t xml:space="preserve">Pkg AC SEER = 14.0 (&lt; 65 kBtuh), EER = 12.04, Clg EIR = 0.2456, Supply Fan W/cfm = 0.306 </t>
    </r>
    <r>
      <rPr>
        <sz val="11"/>
        <color rgb="FFFF0000"/>
        <rFont val="Calibri"/>
        <family val="2"/>
        <scheme val="minor"/>
      </rPr>
      <t>assumed 5 ton</t>
    </r>
  </si>
  <si>
    <r>
      <t xml:space="preserve">Pkg AC SEER = </t>
    </r>
    <r>
      <rPr>
        <sz val="11"/>
        <rFont val="Calibri"/>
        <family val="2"/>
        <scheme val="minor"/>
      </rPr>
      <t>13.00;</t>
    </r>
    <r>
      <rPr>
        <sz val="11"/>
        <color theme="1"/>
        <rFont val="Calibri"/>
        <family val="2"/>
        <scheme val="minor"/>
      </rPr>
      <t xml:space="preserve"> EER = 11.06; Clg EIR = 0.256; Supply Fan W/cfm = 0.379; no econo </t>
    </r>
    <r>
      <rPr>
        <sz val="11"/>
        <color rgb="FFFF0000"/>
        <rFont val="Calibri"/>
        <family val="2"/>
        <scheme val="minor"/>
      </rPr>
      <t>assumed 2 ton</t>
    </r>
  </si>
  <si>
    <r>
      <t xml:space="preserve">Pkg AC SEER = </t>
    </r>
    <r>
      <rPr>
        <sz val="11"/>
        <color rgb="FFFF0000"/>
        <rFont val="Calibri"/>
        <family val="2"/>
        <scheme val="minor"/>
      </rPr>
      <t>14.0</t>
    </r>
    <r>
      <rPr>
        <sz val="11"/>
        <color theme="1"/>
        <rFont val="Calibri"/>
        <family val="2"/>
        <scheme val="minor"/>
      </rPr>
      <t xml:space="preserve"> (&lt; 65 kBtuh), EER = 11.06, Clg EIR = 0.2557, Supply Fan W/cfm = 0.379 </t>
    </r>
    <r>
      <rPr>
        <sz val="11"/>
        <color rgb="FFFF0000"/>
        <rFont val="Calibri"/>
        <family val="2"/>
        <scheme val="minor"/>
      </rPr>
      <t>assumed 2 ton</t>
    </r>
  </si>
  <si>
    <t>kW/ton</t>
  </si>
  <si>
    <t>Compressor type</t>
  </si>
  <si>
    <t>45-400</t>
  </si>
  <si>
    <t>1.054-1.25</t>
  </si>
  <si>
    <t>Screw</t>
  </si>
  <si>
    <t>Scroll</t>
  </si>
  <si>
    <t>York</t>
  </si>
  <si>
    <t>1.008 - 1.260</t>
  </si>
  <si>
    <t>Reciprocating</t>
  </si>
  <si>
    <t>Air cooled package reciprocating chiller (1.260 kW/ton)</t>
  </si>
  <si>
    <t>Air cooled package reciprocating chiller (1.008 kW/ton)</t>
  </si>
  <si>
    <r>
      <t>Air cooled screw chiller (1.008 kW/ton)</t>
    </r>
    <r>
      <rPr>
        <sz val="11"/>
        <color rgb="FFFF0000"/>
        <rFont val="Calibri"/>
        <family val="2"/>
        <scheme val="minor"/>
      </rPr>
      <t xml:space="preserve"> assumed 50 ton</t>
    </r>
  </si>
  <si>
    <r>
      <t xml:space="preserve">Air cooled package screw chiller (1.260 kW/ton)  </t>
    </r>
    <r>
      <rPr>
        <sz val="11"/>
        <color rgb="FFFF0000"/>
        <rFont val="Calibri"/>
        <family val="2"/>
        <scheme val="minor"/>
      </rPr>
      <t>assumed 50 ton</t>
    </r>
  </si>
  <si>
    <t>Air cooled Scroll chiller (1.008 kW/ton) assumed 100 ton</t>
  </si>
  <si>
    <t>Centrifugal</t>
  </si>
  <si>
    <t>59.9-550</t>
  </si>
  <si>
    <t>0.478-0.769</t>
  </si>
  <si>
    <t>0.461 - 0.790</t>
  </si>
  <si>
    <r>
      <t xml:space="preserve">Water cooled centrifugal chiller (0.634 kW/ton) </t>
    </r>
    <r>
      <rPr>
        <sz val="11"/>
        <color rgb="FFFF0000"/>
        <rFont val="Calibri"/>
        <family val="2"/>
        <scheme val="minor"/>
      </rPr>
      <t>assumed 175 ton</t>
    </r>
  </si>
  <si>
    <r>
      <t xml:space="preserve">Water cooled centrifugal chiller (150-299 tons, 0.507 kW/ton) </t>
    </r>
    <r>
      <rPr>
        <sz val="11"/>
        <color rgb="FFFF0000"/>
        <rFont val="Calibri"/>
        <family val="2"/>
        <scheme val="minor"/>
      </rPr>
      <t>assumed 175 ton</t>
    </r>
  </si>
  <si>
    <r>
      <t>Water cooled centrifugal chiller (0.576 kW/ton)</t>
    </r>
    <r>
      <rPr>
        <sz val="11"/>
        <color rgb="FFFF0000"/>
        <rFont val="Calibri"/>
        <family val="2"/>
        <scheme val="minor"/>
      </rPr>
      <t xml:space="preserve"> assumed 300 ton</t>
    </r>
  </si>
  <si>
    <r>
      <t xml:space="preserve">Water cooled centrifugal chiller (&gt;= 300 tons, 0.461 kW/ton)  </t>
    </r>
    <r>
      <rPr>
        <sz val="11"/>
        <color rgb="FFFF0000"/>
        <rFont val="Calibri"/>
        <family val="2"/>
        <scheme val="minor"/>
      </rPr>
      <t>assumed 300 ton</t>
    </r>
  </si>
  <si>
    <r>
      <t xml:space="preserve">Water cooled centrifugal chiller (0.700 kW/ton)  </t>
    </r>
    <r>
      <rPr>
        <sz val="11"/>
        <color rgb="FFFF0000"/>
        <rFont val="Calibri"/>
        <family val="2"/>
        <scheme val="minor"/>
      </rPr>
      <t>assumed 100 ton</t>
    </r>
  </si>
  <si>
    <r>
      <t xml:space="preserve">Water cooled centrifugal chiller (&lt; 150 tons, 0.560 kW/ton) </t>
    </r>
    <r>
      <rPr>
        <sz val="11"/>
        <color rgb="FFFF0000"/>
        <rFont val="Calibri"/>
        <family val="2"/>
        <scheme val="minor"/>
      </rPr>
      <t>assumed 100 ton</t>
    </r>
  </si>
  <si>
    <r>
      <t xml:space="preserve">Water cooled screw chiller (0.718 kW/ton) </t>
    </r>
    <r>
      <rPr>
        <sz val="11"/>
        <color rgb="FFFF0000"/>
        <rFont val="Calibri"/>
        <family val="2"/>
        <scheme val="minor"/>
      </rPr>
      <t>assumed 225 ton</t>
    </r>
  </si>
  <si>
    <r>
      <t xml:space="preserve">Water cooled screw chiller (150-299 tons, 0.574 kW/ton) </t>
    </r>
    <r>
      <rPr>
        <sz val="11"/>
        <color rgb="FFFF0000"/>
        <rFont val="Calibri"/>
        <family val="2"/>
        <scheme val="minor"/>
      </rPr>
      <t>assumed 225 ton</t>
    </r>
  </si>
  <si>
    <r>
      <t xml:space="preserve">Water cooled screw chiller (0.639 kW/ton) </t>
    </r>
    <r>
      <rPr>
        <sz val="11"/>
        <color rgb="FFFF0000"/>
        <rFont val="Calibri"/>
        <family val="2"/>
        <scheme val="minor"/>
      </rPr>
      <t>assumed 300 ton</t>
    </r>
  </si>
  <si>
    <r>
      <t xml:space="preserve">Water cooled screw chiller (&gt;= 300 tons, 0.511 kW/ton) </t>
    </r>
    <r>
      <rPr>
        <sz val="11"/>
        <color rgb="FFFF0000"/>
        <rFont val="Calibri"/>
        <family val="2"/>
        <scheme val="minor"/>
      </rPr>
      <t>assumed 300 ton</t>
    </r>
  </si>
  <si>
    <r>
      <t xml:space="preserve">Water cooled screw chiller (0.790 kW/ton)  </t>
    </r>
    <r>
      <rPr>
        <sz val="11"/>
        <color rgb="FFFF0000"/>
        <rFont val="Calibri"/>
        <family val="2"/>
        <scheme val="minor"/>
      </rPr>
      <t>assumed 100 ton</t>
    </r>
  </si>
  <si>
    <r>
      <t>Water cooled screw chiller (&lt; 150 tons, 0.632 kW/ton)</t>
    </r>
    <r>
      <rPr>
        <sz val="11"/>
        <color rgb="FFFF0000"/>
        <rFont val="Calibri"/>
        <family val="2"/>
        <scheme val="minor"/>
      </rPr>
      <t xml:space="preserve">  assumed 100 ton</t>
    </r>
  </si>
  <si>
    <r>
      <t xml:space="preserve">Pkg AC EER = 10.80; Clg EIR = 0.262; Supply Fan W/cfm = 0.269514; Cond Fan W/Btuh = 0.00535136; w/ econo </t>
    </r>
    <r>
      <rPr>
        <sz val="11"/>
        <color rgb="FFFF0000"/>
        <rFont val="Calibri"/>
        <family val="2"/>
        <scheme val="minor"/>
      </rPr>
      <t>assumed 187 kBtuh</t>
    </r>
  </si>
  <si>
    <r>
      <t xml:space="preserve">Pkg AC EER = 10.8 (135-239 kBtuh), Clg EIR = 0.2622, Supply Fan W/cfm = 0.270, Cond Fan W/Btuh = 0.0053 </t>
    </r>
    <r>
      <rPr>
        <sz val="11"/>
        <color rgb="FFFF0000"/>
        <rFont val="Calibri"/>
        <family val="2"/>
        <scheme val="minor"/>
      </rPr>
      <t>assumed 187 kBtuh</t>
    </r>
  </si>
  <si>
    <r>
      <t xml:space="preserve">Pkg AC EER = 11.5 (135-239 kBtuh), Clg EIR = 0.2439, Supply Fan W/cfm = 0.233, Cond Fan W/Btuh = 0.0064 </t>
    </r>
    <r>
      <rPr>
        <sz val="11"/>
        <color rgb="FFFF0000"/>
        <rFont val="Calibri"/>
        <family val="2"/>
        <scheme val="minor"/>
      </rPr>
      <t>assumed 187 kBtuh</t>
    </r>
  </si>
  <si>
    <r>
      <t xml:space="preserve">Pkg AC EER = 12.0 (135-239 kBtuh), Clg EIR = 0.2307, Supply Fan W/cfm = 0.165, Cond Fan W/Btuh = 0.0089 </t>
    </r>
    <r>
      <rPr>
        <sz val="11"/>
        <color rgb="FFFF0000"/>
        <rFont val="Calibri"/>
        <family val="2"/>
        <scheme val="minor"/>
      </rPr>
      <t>assumed 187 kBtuh</t>
    </r>
  </si>
  <si>
    <r>
      <t xml:space="preserve">Pkg AC EER = 9.80; w/ furnace; w/ econo </t>
    </r>
    <r>
      <rPr>
        <sz val="11"/>
        <color rgb="FFFF0000"/>
        <rFont val="Calibri"/>
        <family val="2"/>
        <scheme val="minor"/>
      </rPr>
      <t>assumed 500 kBtuh</t>
    </r>
  </si>
  <si>
    <r>
      <t xml:space="preserve">Pkg AC EER = 10.5 (240-759 kBtuh) </t>
    </r>
    <r>
      <rPr>
        <sz val="11"/>
        <color rgb="FFFF0000"/>
        <rFont val="Calibri"/>
        <family val="2"/>
        <scheme val="minor"/>
      </rPr>
      <t>assumed 500 kBtuh</t>
    </r>
  </si>
  <si>
    <r>
      <t>Pkg AC EER = 10.8 (240-759 kBtuh)</t>
    </r>
    <r>
      <rPr>
        <sz val="11"/>
        <color rgb="FFFF0000"/>
        <rFont val="Calibri"/>
        <family val="2"/>
        <scheme val="minor"/>
      </rPr>
      <t xml:space="preserve"> assumed 500 kBtuh</t>
    </r>
  </si>
  <si>
    <r>
      <t xml:space="preserve">Pkg AC EER = 9.8 (240-759 kBtuh) </t>
    </r>
    <r>
      <rPr>
        <sz val="11"/>
        <color rgb="FFFF0000"/>
        <rFont val="Calibri"/>
        <family val="2"/>
        <scheme val="minor"/>
      </rPr>
      <t>assumed 500 kBtuh</t>
    </r>
  </si>
  <si>
    <r>
      <t xml:space="preserve">Pkg AC EER = 11.00; Clg EIR = 0.257; Supply Fan W/cfm = 0.298; Cond Fan W/Btuh = 0.0053; no econo </t>
    </r>
    <r>
      <rPr>
        <sz val="11"/>
        <color rgb="FFFF0000"/>
        <rFont val="Calibri"/>
        <family val="2"/>
        <scheme val="minor"/>
      </rPr>
      <t>assumed 77 kBtuh</t>
    </r>
  </si>
  <si>
    <r>
      <t xml:space="preserve">Pkg AC EER = 11.0 (65-89 kBtuh), Clg EIR = 0.2570, Supply Fan W/cfm = 0.298, Cond Fan W/Btuh = 0.0053 </t>
    </r>
    <r>
      <rPr>
        <sz val="11"/>
        <color rgb="FFFF0000"/>
        <rFont val="Calibri"/>
        <family val="2"/>
        <scheme val="minor"/>
      </rPr>
      <t>assumed 77 kBtuh</t>
    </r>
  </si>
  <si>
    <r>
      <t>Pkg AC EER = 11.5 (65-89 kBtuh), Clg EIR = 0.2401, Supply Fan W/cfm = 0.248, Cond Fan W/Btuh = 0.0060</t>
    </r>
    <r>
      <rPr>
        <sz val="11"/>
        <color rgb="FFFF0000"/>
        <rFont val="Calibri"/>
        <family val="2"/>
        <scheme val="minor"/>
      </rPr>
      <t xml:space="preserve"> assumed 77 kBtuh</t>
    </r>
  </si>
  <si>
    <r>
      <t>Pkg AC EER = 12.0 (65-89 kBtuh), Clg EIR = 0.2304, Supply Fan W/cfm = 0.238, Cond Fan W/Btuh = 0.0057</t>
    </r>
    <r>
      <rPr>
        <sz val="11"/>
        <color rgb="FFFF0000"/>
        <rFont val="Calibri"/>
        <family val="2"/>
        <scheme val="minor"/>
      </rPr>
      <t xml:space="preserve"> assumed 77 kBtuh</t>
    </r>
  </si>
  <si>
    <r>
      <t xml:space="preserve">Pkg AC EER = 11.00; Clg EIR = 0.257; Supply Fan W/cfm = 0.298; Cond Fan W/Btuh = 0.0053; w/ econo  </t>
    </r>
    <r>
      <rPr>
        <sz val="11"/>
        <color rgb="FFFF0000"/>
        <rFont val="Calibri"/>
        <family val="2"/>
        <scheme val="minor"/>
      </rPr>
      <t>assumed 112 kBtuh</t>
    </r>
  </si>
  <si>
    <r>
      <t xml:space="preserve">Pkg AC EER = 11.0 (90-134 kBtuh), Clg EIR = 0.2570, Supply Fan W/cfm = 0.298, Cond Fan W/Btuh = 0.0053Pkg AC EER = 11.5 (90-134 kBtuh), Clg EIR = 0.2401, Supply Fan W/cfm = 0.248, Cond Fan W/Btuh = 0.0060 </t>
    </r>
    <r>
      <rPr>
        <sz val="11"/>
        <color rgb="FFFF0000"/>
        <rFont val="Calibri"/>
        <family val="2"/>
        <scheme val="minor"/>
      </rPr>
      <t>assumed 112 kBtuh</t>
    </r>
  </si>
  <si>
    <r>
      <t xml:space="preserve">Pkg AC EER = 11.5 (90-134 kBtuh), Clg EIR = 0.2401, Supply Fan W/cfm = 0.248, Cond Fan W/Btuh = 0.0060 </t>
    </r>
    <r>
      <rPr>
        <sz val="11"/>
        <color rgb="FFFF0000"/>
        <rFont val="Calibri"/>
        <family val="2"/>
        <scheme val="minor"/>
      </rPr>
      <t>assumed 112 kBtuh</t>
    </r>
  </si>
  <si>
    <r>
      <t xml:space="preserve">Pkg AC EER = 12.0 (90-134 kBtuh), Clg EIR = 0.2304, Supply Fan W/cfm = 0.238, Cond Fan W/Btuh = 0.0057 </t>
    </r>
    <r>
      <rPr>
        <sz val="11"/>
        <color rgb="FFFF0000"/>
        <rFont val="Calibri"/>
        <family val="2"/>
        <scheme val="minor"/>
      </rPr>
      <t>assumed 112 kBtuh</t>
    </r>
  </si>
  <si>
    <r>
      <t xml:space="preserve">Pkg AC EER = 9.50; w/ furnace; w/ econo </t>
    </r>
    <r>
      <rPr>
        <sz val="11"/>
        <color rgb="FFFF0000"/>
        <rFont val="Calibri"/>
        <family val="2"/>
        <scheme val="minor"/>
      </rPr>
      <t>assumed 760 kBtuh</t>
    </r>
  </si>
  <si>
    <r>
      <t>Pkg AC EER = 10.2 (&gt;= 760 kBtuh)</t>
    </r>
    <r>
      <rPr>
        <sz val="11"/>
        <color rgb="FFFF0000"/>
        <rFont val="Calibri"/>
        <family val="2"/>
        <scheme val="minor"/>
      </rPr>
      <t xml:space="preserve"> assumed 760 kBtuh</t>
    </r>
  </si>
  <si>
    <r>
      <t xml:space="preserve">Pkg AC EER = 9.5 (&gt;= 760 kBtuh) </t>
    </r>
    <r>
      <rPr>
        <sz val="11"/>
        <color rgb="FFFF0000"/>
        <rFont val="Calibri"/>
        <family val="2"/>
        <scheme val="minor"/>
      </rPr>
      <t>assumed 760 kBtuh</t>
    </r>
  </si>
  <si>
    <r>
      <t xml:space="preserve">Pkg AC EER = 9.7 (&gt;= 760 kBtuh) </t>
    </r>
    <r>
      <rPr>
        <sz val="11"/>
        <color rgb="FFFF0000"/>
        <rFont val="Calibri"/>
        <family val="2"/>
        <scheme val="minor"/>
      </rPr>
      <t>assumed 760 kBtuh</t>
    </r>
  </si>
  <si>
    <t>Emissivity</t>
  </si>
  <si>
    <t>Glare Reduction</t>
  </si>
  <si>
    <t>Solar Heat Gain Coefficient</t>
  </si>
  <si>
    <t>Visible Light Reflected Exterior</t>
  </si>
  <si>
    <t xml:space="preserve"> 9 - 80</t>
  </si>
  <si>
    <t>Visible Light Reflected Interior</t>
  </si>
  <si>
    <t xml:space="preserve"> 9 - 64</t>
  </si>
  <si>
    <t>Winter U Value</t>
  </si>
  <si>
    <t>&lt;= .39</t>
  </si>
  <si>
    <t>Window film, .22 SHGC, .71 emmisivity, .80 glare reduction, .97 winter U-value</t>
  </si>
  <si>
    <t>Absence of window film in window with .82 SHGC</t>
  </si>
  <si>
    <t>Reflective Film</t>
  </si>
  <si>
    <t>Battery Powered</t>
  </si>
  <si>
    <t>Solar Powered</t>
  </si>
  <si>
    <t>Outdoor</t>
  </si>
  <si>
    <t>Two Loads</t>
  </si>
  <si>
    <t>Ultrasonic</t>
  </si>
  <si>
    <t>12 volt</t>
  </si>
  <si>
    <t>120 volt</t>
  </si>
  <si>
    <t>18 volt</t>
  </si>
  <si>
    <t>24 volt</t>
  </si>
  <si>
    <t>277 volt</t>
  </si>
  <si>
    <t xml:space="preserve">Yes </t>
  </si>
  <si>
    <t>Absence of occupancy sensor, manually controlled switch</t>
  </si>
  <si>
    <t>Occupancy Sensors</t>
  </si>
  <si>
    <t>Ballast Factor</t>
  </si>
  <si>
    <t>Dimmable</t>
  </si>
  <si>
    <t>Programmed Start</t>
  </si>
  <si>
    <t>19 - 116</t>
  </si>
  <si>
    <t>.74 - 1.18</t>
  </si>
  <si>
    <t>Electronic ballast, cee/nema certified, dimmable programmed start,76 input watts, 1.17 ballast factor</t>
  </si>
  <si>
    <t>Electronic ballast, cee/nema certified, dimmable  programmed start, 96 input watts, .97 ballast factor</t>
  </si>
  <si>
    <t>Electronic ballast, cee/nema certified, non-dimmable programmed start,73 input watts, 1.18 ballast factor</t>
  </si>
  <si>
    <t>Electronic ballast, cee/nema certified, non-dimmable instant start, 93 input watts, .89 ballast factor</t>
  </si>
  <si>
    <t>Electronic Instant Start</t>
  </si>
  <si>
    <t>Magnetic Rapid Start</t>
  </si>
  <si>
    <t>9 - 604</t>
  </si>
  <si>
    <t>.60 - 1.2</t>
  </si>
  <si>
    <t>Tuned down 20%</t>
  </si>
  <si>
    <t>Air-Cooled Chillers</t>
  </si>
  <si>
    <t>&gt; 0.85</t>
  </si>
  <si>
    <t>&gt; 6,500 @ 0.1" s.p.</t>
  </si>
  <si>
    <t>DEG, QuEST</t>
  </si>
  <si>
    <t>Workpaper Measures</t>
  </si>
  <si>
    <t>Air cooled package Scroll chiller (1.260 kW/ton) assumed 100 ton</t>
  </si>
  <si>
    <t>*only one product spec could be validated via artificial bids</t>
  </si>
  <si>
    <t>Coverage (ft2)</t>
  </si>
  <si>
    <r>
      <t>Occupancy sensor (300 sqft)</t>
    </r>
    <r>
      <rPr>
        <sz val="11"/>
        <color rgb="FFFF0000"/>
        <rFont val="Calibri"/>
        <family val="2"/>
        <scheme val="minor"/>
      </rPr>
      <t xml:space="preserve"> assumed ceiling mount, passive infrared, indoor, 24v </t>
    </r>
  </si>
  <si>
    <r>
      <t xml:space="preserve">Occupancy sensor (1000 sqft) </t>
    </r>
    <r>
      <rPr>
        <sz val="11"/>
        <color rgb="FFFF0000"/>
        <rFont val="Calibri"/>
        <family val="2"/>
        <scheme val="minor"/>
      </rPr>
      <t>assumed ceiling mount, passive infrared &amp; ultrasonic, indoor, 120v</t>
    </r>
  </si>
  <si>
    <t>200, 1000</t>
  </si>
  <si>
    <t>&lt;= 200, &gt; 200</t>
  </si>
  <si>
    <t>Retail prices</t>
  </si>
  <si>
    <t>&lt; 65,000</t>
  </si>
  <si>
    <t>65-89, 90-134, 135-239, 240-759, &gt;=760</t>
  </si>
  <si>
    <t>12 - 14</t>
  </si>
  <si>
    <t>&lt; 150, 150-299, &gt;=300</t>
  </si>
  <si>
    <t>Not tuned down</t>
  </si>
  <si>
    <r>
      <t xml:space="preserve">Electronic ballast (dimmable) </t>
    </r>
    <r>
      <rPr>
        <sz val="11"/>
        <color rgb="FFFF0000"/>
        <rFont val="Calibri"/>
        <family val="2"/>
        <scheme val="minor"/>
      </rPr>
      <t>assumed cee/nema certified, programmed start ,76 input watts, 1.17 BF</t>
    </r>
  </si>
  <si>
    <r>
      <t xml:space="preserve">Electronic ballast (non-dimmable) </t>
    </r>
    <r>
      <rPr>
        <sz val="11"/>
        <color rgb="FFFF0000"/>
        <rFont val="Calibri"/>
        <family val="2"/>
        <scheme val="minor"/>
      </rPr>
      <t>assumed cee/nema certified, instant start, 93 input watts, 0.89 BF</t>
    </r>
  </si>
  <si>
    <r>
      <t xml:space="preserve">Electronic ballast (dimmable) </t>
    </r>
    <r>
      <rPr>
        <sz val="11"/>
        <color rgb="FFFF0000"/>
        <rFont val="Calibri"/>
        <family val="2"/>
        <scheme val="minor"/>
      </rPr>
      <t>assumed cee/nema certified,  programmed start, 96 input watts, 0.97 BF</t>
    </r>
  </si>
  <si>
    <r>
      <t>Electronic ballast (non-dimmable)</t>
    </r>
    <r>
      <rPr>
        <sz val="11"/>
        <color rgb="FFFF0000"/>
        <rFont val="Calibri"/>
        <family val="2"/>
        <scheme val="minor"/>
      </rPr>
      <t xml:space="preserve"> assumed non-cee/nema certified, instant start, 65 input watts, 1.03 BF</t>
    </r>
  </si>
  <si>
    <r>
      <t xml:space="preserve">Electronic ballast (dimmable) </t>
    </r>
    <r>
      <rPr>
        <sz val="11"/>
        <color rgb="FFFF0000"/>
        <rFont val="Calibri"/>
        <family val="2"/>
        <scheme val="minor"/>
      </rPr>
      <t>assumed non-cee/nema certified, programmed start, 62 input watts, 0.99 BF</t>
    </r>
  </si>
  <si>
    <r>
      <t xml:space="preserve">Electronic ballast (non-dimmable) </t>
    </r>
    <r>
      <rPr>
        <sz val="11"/>
        <color rgb="FFFF0000"/>
        <rFont val="Calibri"/>
        <family val="2"/>
        <scheme val="minor"/>
      </rPr>
      <t>assumed non-cee/nema certified, programmed start, 98 input watts, 0.95 BF</t>
    </r>
  </si>
  <si>
    <r>
      <t xml:space="preserve">Electronic ballast (dimmable) </t>
    </r>
    <r>
      <rPr>
        <sz val="11"/>
        <color rgb="FFFF0000"/>
        <rFont val="Calibri"/>
        <family val="2"/>
        <scheme val="minor"/>
      </rPr>
      <t>assumed non-cee/nema certified, programmed start, 125 input watts, 1.0 BF</t>
    </r>
  </si>
  <si>
    <t>90 - 2,152</t>
  </si>
  <si>
    <t>Watts</t>
  </si>
  <si>
    <t>Storage Volume (gallons)</t>
  </si>
  <si>
    <t>Capacity (Mbtu)</t>
  </si>
  <si>
    <t>Rated Volume (gallons)</t>
  </si>
  <si>
    <t>Size (horsepower)</t>
  </si>
  <si>
    <t>Capacity (btuh)</t>
  </si>
  <si>
    <t>0.07 -0.91</t>
  </si>
  <si>
    <t>0.16 - 0.94</t>
  </si>
  <si>
    <t>0.16 - 0.82</t>
  </si>
  <si>
    <t>0.59 - 5.91</t>
  </si>
  <si>
    <t xml:space="preserve">the CA C4A program vs. Modeled price. Dotted line represents a perfect model fit (slope = 1). </t>
  </si>
  <si>
    <t xml:space="preserve">* Plot is of the actual purchase price of 399 RAC bought through the CA C4A program vs. </t>
  </si>
  <si>
    <t>Modeled price. Dotted line represents a perfect model fit (slope = 1).</t>
  </si>
  <si>
    <t xml:space="preserve">* Plot is of the actual purchase price of 56,608 full-size refrigerators bought through </t>
  </si>
  <si>
    <t>w/o variable speed</t>
  </si>
  <si>
    <t>250-3188</t>
  </si>
  <si>
    <t>0.8-0.85</t>
  </si>
  <si>
    <t>Fulton</t>
  </si>
  <si>
    <t>Parker</t>
  </si>
  <si>
    <t>Smith</t>
  </si>
  <si>
    <t>Ajax</t>
  </si>
  <si>
    <t xml:space="preserve">Efficiency </t>
  </si>
  <si>
    <r>
      <t xml:space="preserve">Steam boiler (300-2500 kBtuh, 85.0% thermal efficiency, atmospheric) </t>
    </r>
    <r>
      <rPr>
        <sz val="11"/>
        <color rgb="FFFF0000"/>
        <rFont val="Calibri"/>
        <family val="2"/>
        <scheme val="minor"/>
      </rPr>
      <t>assumed 1,400 kBtuh</t>
    </r>
  </si>
  <si>
    <r>
      <t xml:space="preserve">Steam boiler (300-2500 kBtuh, 85.0% thermal efficiency, forced draft) </t>
    </r>
    <r>
      <rPr>
        <sz val="11"/>
        <color rgb="FFFF0000"/>
        <rFont val="Calibri"/>
        <family val="2"/>
        <scheme val="minor"/>
      </rPr>
      <t>assumed 1,400 kBtuh</t>
    </r>
  </si>
  <si>
    <r>
      <t xml:space="preserve">Steam boiler (300-2500 kBtuh; </t>
    </r>
    <r>
      <rPr>
        <sz val="11"/>
        <color rgb="FFFF0000"/>
        <rFont val="Calibri"/>
        <family val="2"/>
        <scheme val="minor"/>
      </rPr>
      <t>77.0%</t>
    </r>
    <r>
      <rPr>
        <sz val="11"/>
        <color theme="1"/>
        <rFont val="Calibri"/>
        <family val="2"/>
        <scheme val="minor"/>
      </rPr>
      <t xml:space="preserve"> thermal efficiency; atmospheric) </t>
    </r>
    <r>
      <rPr>
        <sz val="11"/>
        <color rgb="FFFF0000"/>
        <rFont val="Calibri"/>
        <family val="2"/>
        <scheme val="minor"/>
      </rPr>
      <t>assumed 1,400 kBtuh</t>
    </r>
  </si>
  <si>
    <t>Camus</t>
  </si>
  <si>
    <t>Laars</t>
  </si>
  <si>
    <t>PK</t>
  </si>
  <si>
    <t>RBI</t>
  </si>
  <si>
    <t>Viessmann</t>
  </si>
  <si>
    <r>
      <t xml:space="preserve">Hot water boiler (300-2500 kBtuh, 85.0% thermal efficiency, atmospheric) </t>
    </r>
    <r>
      <rPr>
        <sz val="11"/>
        <color rgb="FFFF0000"/>
        <rFont val="Calibri"/>
        <family val="2"/>
        <scheme val="minor"/>
      </rPr>
      <t>assumed 1,400 kBtuh</t>
    </r>
  </si>
  <si>
    <r>
      <t xml:space="preserve">Hot water boiler (300-2500 kBtuh, 85.0% thermal efficiency, forced draft) </t>
    </r>
    <r>
      <rPr>
        <sz val="11"/>
        <color rgb="FFFF0000"/>
        <rFont val="Calibri"/>
        <family val="2"/>
        <scheme val="minor"/>
      </rPr>
      <t>assumed 1,400 kBtuh</t>
    </r>
  </si>
  <si>
    <r>
      <t xml:space="preserve">Hot water boiler (&lt;300 kBtuh; </t>
    </r>
    <r>
      <rPr>
        <sz val="11"/>
        <color rgb="FFFF0000"/>
        <rFont val="Calibri"/>
        <family val="2"/>
        <scheme val="minor"/>
      </rPr>
      <t>82.0%</t>
    </r>
    <r>
      <rPr>
        <sz val="11"/>
        <color theme="1"/>
        <rFont val="Calibri"/>
        <family val="2"/>
        <scheme val="minor"/>
      </rPr>
      <t xml:space="preserve"> AFUE; atmospheric) </t>
    </r>
    <r>
      <rPr>
        <sz val="11"/>
        <color rgb="FFFF0000"/>
        <rFont val="Calibri"/>
        <family val="2"/>
        <scheme val="minor"/>
      </rPr>
      <t>assumed 250 kBtuh</t>
    </r>
  </si>
  <si>
    <r>
      <t xml:space="preserve">Hot water boiler (&lt; 300 kBtuh, 84.5% AFUE, atmospheric) </t>
    </r>
    <r>
      <rPr>
        <sz val="11"/>
        <color rgb="FFFF0000"/>
        <rFont val="Calibri"/>
        <family val="2"/>
        <scheme val="minor"/>
      </rPr>
      <t>assumed 250 kBtuh</t>
    </r>
  </si>
  <si>
    <r>
      <t>Hot water boiler (&lt; 300 kBtuh, 84.5% AFUE, forced draft)</t>
    </r>
    <r>
      <rPr>
        <sz val="11"/>
        <color rgb="FFFF0000"/>
        <rFont val="Calibri"/>
        <family val="2"/>
        <scheme val="minor"/>
      </rPr>
      <t xml:space="preserve"> assumed 250 kBtuh</t>
    </r>
  </si>
  <si>
    <t>90-238</t>
  </si>
  <si>
    <t>0.83-0.85</t>
  </si>
  <si>
    <t>&lt; 300</t>
  </si>
  <si>
    <t>0.82 - 0.845 AFUE</t>
  </si>
  <si>
    <t>300-4000</t>
  </si>
  <si>
    <t>0.82-0.88</t>
  </si>
  <si>
    <t>.</t>
  </si>
  <si>
    <t>Unspecified</t>
  </si>
  <si>
    <t>67-4000</t>
  </si>
  <si>
    <t>0.90-0.96</t>
  </si>
  <si>
    <t>Raypak</t>
  </si>
  <si>
    <t>&lt; 300
300 - 2500</t>
  </si>
  <si>
    <t>0.94 AFUE
0.94 T.E.</t>
  </si>
  <si>
    <r>
      <t xml:space="preserve">Hot water boiler (&lt; 300 kBtuh, 94.0 AFUE, condensing)  </t>
    </r>
    <r>
      <rPr>
        <sz val="11"/>
        <color rgb="FFFF0000"/>
        <rFont val="Calibri"/>
        <family val="2"/>
        <scheme val="minor"/>
      </rPr>
      <t>assumed 250 kBtuh</t>
    </r>
  </si>
  <si>
    <r>
      <t>Hot water boiler (300-2500 kBtuh, 94.0% thermal efficiency, condensing)</t>
    </r>
    <r>
      <rPr>
        <sz val="11"/>
        <color rgb="FFFF0000"/>
        <rFont val="Calibri"/>
        <family val="2"/>
        <scheme val="minor"/>
      </rPr>
      <t xml:space="preserve"> assumed 1,400 kBtuh</t>
    </r>
  </si>
  <si>
    <t>AO Smith</t>
  </si>
  <si>
    <t>DEG/EMCOR/MESA</t>
  </si>
  <si>
    <t>Rated Input (Btuh)</t>
  </si>
  <si>
    <t>ASME Construction</t>
  </si>
  <si>
    <t>Supplier</t>
  </si>
  <si>
    <t>Cal Steam</t>
  </si>
  <si>
    <t>Pace Supply</t>
  </si>
  <si>
    <t>Heieck Supply</t>
  </si>
  <si>
    <t>Ferguson Plumbing Supply</t>
  </si>
  <si>
    <t>75100-740000</t>
  </si>
  <si>
    <t>50-130</t>
  </si>
  <si>
    <t>0.79-0.99</t>
  </si>
  <si>
    <t>&gt; 75,000 Btuh</t>
  </si>
  <si>
    <t>0.8 - 0.9</t>
  </si>
  <si>
    <t>EMCOR/MESA</t>
  </si>
  <si>
    <t>0.86-0.95</t>
  </si>
  <si>
    <t>0.87 - 0.95</t>
  </si>
  <si>
    <t>Rated Volume</t>
  </si>
  <si>
    <t>30-80</t>
  </si>
  <si>
    <t>High Efficiency Small Electric Storage Water Heater - 30 Gal, 0.95 EF</t>
  </si>
  <si>
    <t>A.O. Smith</t>
  </si>
  <si>
    <t>High Efficiency Small Electric Storage Water Heater - 40 Gal, 0.94 EF</t>
  </si>
  <si>
    <t>High Efficiency Small Electric Storage Water Heater - 50 Gal, 0.93 EF</t>
  </si>
  <si>
    <t>High Efficiency Small Electric Storage Water Heater - 60 Gal, 0.92 EF</t>
  </si>
  <si>
    <t>High Efficiency Small Electric Storage Water Heater - 75 Gal, 0.91 EF</t>
  </si>
  <si>
    <r>
      <t>Small Electric Storage Water Heater 30 Gal;  EF =</t>
    </r>
    <r>
      <rPr>
        <sz val="11"/>
        <color rgb="FFFF0000"/>
        <rFont val="Calibri"/>
        <family val="2"/>
        <scheme val="minor"/>
      </rPr>
      <t xml:space="preserve"> 0.93</t>
    </r>
    <r>
      <rPr>
        <sz val="11"/>
        <color theme="1"/>
        <rFont val="Calibri"/>
        <family val="2"/>
        <scheme val="minor"/>
      </rPr>
      <t>; Recov Eff = 0.98</t>
    </r>
  </si>
  <si>
    <r>
      <t xml:space="preserve">Small Electric Storage Water Heater 40 Gal;  EF = </t>
    </r>
    <r>
      <rPr>
        <sz val="11"/>
        <color rgb="FFFF0000"/>
        <rFont val="Calibri"/>
        <family val="2"/>
        <scheme val="minor"/>
      </rPr>
      <t>0.92</t>
    </r>
    <r>
      <rPr>
        <sz val="11"/>
        <color theme="1"/>
        <rFont val="Calibri"/>
        <family val="2"/>
        <scheme val="minor"/>
      </rPr>
      <t>; Recov Eff = 0.98</t>
    </r>
  </si>
  <si>
    <r>
      <t>Small Electric Storage Water Heater 50 Gal;  EF =</t>
    </r>
    <r>
      <rPr>
        <sz val="11"/>
        <color rgb="FFFF0000"/>
        <rFont val="Calibri"/>
        <family val="2"/>
        <scheme val="minor"/>
      </rPr>
      <t xml:space="preserve"> 0.90</t>
    </r>
    <r>
      <rPr>
        <sz val="11"/>
        <color theme="1"/>
        <rFont val="Calibri"/>
        <family val="2"/>
        <scheme val="minor"/>
      </rPr>
      <t>; Recov Eff = 0.98</t>
    </r>
  </si>
  <si>
    <r>
      <t xml:space="preserve">Small Electric Storage Water Heater 60 Gal;  EF = </t>
    </r>
    <r>
      <rPr>
        <sz val="11"/>
        <color rgb="FFFF0000"/>
        <rFont val="Calibri"/>
        <family val="2"/>
        <scheme val="minor"/>
      </rPr>
      <t>0.89</t>
    </r>
    <r>
      <rPr>
        <sz val="11"/>
        <color theme="1"/>
        <rFont val="Calibri"/>
        <family val="2"/>
        <scheme val="minor"/>
      </rPr>
      <t>; Recov Eff = 0.98</t>
    </r>
  </si>
  <si>
    <r>
      <t xml:space="preserve">Small Electric Storage Water Heater 75 Gal;  EF = </t>
    </r>
    <r>
      <rPr>
        <sz val="11"/>
        <color rgb="FFFF0000"/>
        <rFont val="Calibri"/>
        <family val="2"/>
        <scheme val="minor"/>
      </rPr>
      <t>0.87</t>
    </r>
    <r>
      <rPr>
        <sz val="11"/>
        <color theme="1"/>
        <rFont val="Calibri"/>
        <family val="2"/>
        <scheme val="minor"/>
      </rPr>
      <t>; Recov Eff = 0.98</t>
    </r>
  </si>
  <si>
    <r>
      <t xml:space="preserve">Large Gas Storage Water Heater; Et = 0.80; Stdby Loss = 0.56%/hr </t>
    </r>
    <r>
      <rPr>
        <sz val="11"/>
        <color rgb="FFFF0000"/>
        <rFont val="Calibri"/>
        <family val="2"/>
        <scheme val="minor"/>
      </rPr>
      <t>assumed 75 gal capacity and 125,000 Btuh</t>
    </r>
  </si>
  <si>
    <r>
      <t xml:space="preserve">High Efficiency Large Gas Storage Water Heater - 0.83 Et </t>
    </r>
    <r>
      <rPr>
        <sz val="11"/>
        <color rgb="FFFF0000"/>
        <rFont val="Calibri"/>
        <family val="2"/>
        <scheme val="minor"/>
      </rPr>
      <t>assumed 75 gal capacity and 125,000 Btuh</t>
    </r>
  </si>
  <si>
    <r>
      <t xml:space="preserve">High Efficiency Large Gas Storage Water Heater - 0.90 Et </t>
    </r>
    <r>
      <rPr>
        <sz val="11"/>
        <color rgb="FFFF0000"/>
        <rFont val="Calibri"/>
        <family val="2"/>
        <scheme val="minor"/>
      </rPr>
      <t>assumed 75 gal capacity and 125,000 Btuh</t>
    </r>
  </si>
  <si>
    <t>Large Gas Storage Water Heater; Et = 0.80; Stdby Loss = 0.56%/hr assumed 75 gal capacity and 125,000 Btuh</t>
  </si>
  <si>
    <t>High Efficiency Large Gas Storage Water Heater - 0.95 Et assumed 55 gal capacity and 100,000 Btuh</t>
  </si>
  <si>
    <t>High Efficiency Large Gas Storage Water Heater - 0.92 Et assumed 100 gal capacity and 400,000 Btuh</t>
  </si>
  <si>
    <t>High Efficiency Large Gas Storage Water Heater - 0.96 Et assumed 130 gal capacity and 300,000 Btuh</t>
  </si>
  <si>
    <t>High Efficiency Large Gas Storage Water Heater - 0.82 Et assumed 100 gal capacity and 199,900 Btuh</t>
  </si>
  <si>
    <t>High Efficiency Large Gas Storage Water Heater - 0.94 Et assumed 80 gal capacity and 150,000 Btuh</t>
  </si>
  <si>
    <t>Indirect Evaporative Coolers</t>
  </si>
  <si>
    <t>Rated Capacity (cfm)</t>
  </si>
  <si>
    <t>900-60000</t>
  </si>
  <si>
    <t>Coolerado</t>
  </si>
  <si>
    <t>Munters</t>
  </si>
  <si>
    <t>Aztec</t>
  </si>
  <si>
    <t>WestAire</t>
  </si>
  <si>
    <t>not specified</t>
  </si>
  <si>
    <t xml:space="preserve">EMCOR </t>
  </si>
  <si>
    <t>EMCOR / DEG</t>
  </si>
  <si>
    <t>EMCOR/DEG</t>
  </si>
  <si>
    <t>Heating Mode</t>
  </si>
  <si>
    <r>
      <t xml:space="preserve">indirect evap cooling for make-up air only, 65% effectiveness </t>
    </r>
    <r>
      <rPr>
        <sz val="11"/>
        <color rgb="FFFF0000"/>
        <rFont val="Calibri"/>
        <family val="2"/>
        <scheme val="minor"/>
      </rPr>
      <t>assumed 3,000 cfm, no gas heat</t>
    </r>
  </si>
  <si>
    <r>
      <t xml:space="preserve">indirect evap cooling for make-up air only, 65% effectiveness </t>
    </r>
    <r>
      <rPr>
        <sz val="11"/>
        <color rgb="FFFF0000"/>
        <rFont val="Calibri"/>
        <family val="2"/>
        <scheme val="minor"/>
      </rPr>
      <t>assumed 45,000 cfm, no gas heat</t>
    </r>
  </si>
  <si>
    <t xml:space="preserve">Electric Storage WH </t>
  </si>
  <si>
    <t>Small Electric Storage Water Heater 30 Gal;  EF = 0.93; Recov Eff = 0.98</t>
  </si>
  <si>
    <t>Small Electric Storage Water Heater 40 Gal;  EF = 0.92; Recov Eff = 0.98</t>
  </si>
  <si>
    <t>Small Electric Storage Water Heater 50 Gal;  EF = 0.90; Recov Eff = 0.98</t>
  </si>
  <si>
    <t>Electric Storage Water Heater - 66 Gal, .88 EF</t>
  </si>
  <si>
    <t>Electric Storage Water Heater - 66 Gal, .92 EF</t>
  </si>
  <si>
    <r>
      <t xml:space="preserve">Hot water boiler (300-2500 kBtuh; </t>
    </r>
    <r>
      <rPr>
        <sz val="11"/>
        <color rgb="FFFF0000"/>
        <rFont val="Calibri"/>
        <family val="2"/>
        <scheme val="minor"/>
      </rPr>
      <t>82.0%</t>
    </r>
    <r>
      <rPr>
        <sz val="11"/>
        <color theme="1"/>
        <rFont val="Calibri"/>
        <family val="2"/>
        <scheme val="minor"/>
      </rPr>
      <t xml:space="preserve"> thermal efficiency; atmospheric) </t>
    </r>
    <r>
      <rPr>
        <sz val="11"/>
        <color rgb="FFFF0000"/>
        <rFont val="Calibri"/>
        <family val="2"/>
        <scheme val="minor"/>
      </rPr>
      <t>assumed 1,400 kBtuh</t>
    </r>
  </si>
  <si>
    <r>
      <t xml:space="preserve">Hot water boiler (300-2500 kBtuh; </t>
    </r>
    <r>
      <rPr>
        <sz val="11"/>
        <color rgb="FFFF0000"/>
        <rFont val="Calibri"/>
        <family val="2"/>
        <scheme val="minor"/>
      </rPr>
      <t>82%</t>
    </r>
    <r>
      <rPr>
        <sz val="11"/>
        <color theme="1"/>
        <rFont val="Calibri"/>
        <family val="2"/>
        <scheme val="minor"/>
      </rPr>
      <t xml:space="preserve"> thermal efficiency; atmospheric) </t>
    </r>
    <r>
      <rPr>
        <sz val="11"/>
        <color rgb="FFFF0000"/>
        <rFont val="Calibri"/>
        <family val="2"/>
        <scheme val="minor"/>
      </rPr>
      <t>assumed 1,400 kBtuh</t>
    </r>
  </si>
  <si>
    <r>
      <t xml:space="preserve">Hot water boiler (&lt;300 kBtuh; </t>
    </r>
    <r>
      <rPr>
        <sz val="11"/>
        <color rgb="FFFF0000"/>
        <rFont val="Calibri"/>
        <family val="2"/>
        <scheme val="minor"/>
      </rPr>
      <t>82%</t>
    </r>
    <r>
      <rPr>
        <sz val="11"/>
        <color theme="1"/>
        <rFont val="Calibri"/>
        <family val="2"/>
        <scheme val="minor"/>
      </rPr>
      <t xml:space="preserve"> AFUE; atmospheric)  </t>
    </r>
    <r>
      <rPr>
        <sz val="11"/>
        <color rgb="FFFF0000"/>
        <rFont val="Calibri"/>
        <family val="2"/>
        <scheme val="minor"/>
      </rPr>
      <t>assumed 250 kBtuh</t>
    </r>
  </si>
  <si>
    <t>Rated Capacity (Btuh)</t>
  </si>
  <si>
    <t>24000-60000</t>
  </si>
  <si>
    <t>13-15</t>
  </si>
  <si>
    <t>JCI</t>
  </si>
  <si>
    <t>&lt; 65,000 btuh</t>
  </si>
  <si>
    <t>13 - 15</t>
  </si>
  <si>
    <r>
      <t>Pkg HP SEER = 13.0 (&lt; 65 kbtuh)</t>
    </r>
    <r>
      <rPr>
        <sz val="11"/>
        <color rgb="FFFF0000"/>
        <rFont val="Calibri"/>
        <family val="2"/>
        <scheme val="minor"/>
      </rPr>
      <t xml:space="preserve"> assumed 40,000 btuh capacity</t>
    </r>
  </si>
  <si>
    <r>
      <t xml:space="preserve">Pkg HP SEER = 14.0 (&lt; 65 kbtuh), EER = 11.6, HSPF = 8.00, COP = 3.52  </t>
    </r>
    <r>
      <rPr>
        <sz val="11"/>
        <color rgb="FFFF0000"/>
        <rFont val="Calibri"/>
        <family val="2"/>
        <scheme val="minor"/>
      </rPr>
      <t>assumed 40,000 btuh capacity</t>
    </r>
  </si>
  <si>
    <r>
      <t>Pkg HP SEER = 15.0 (&lt; 65 kbtuh), EER = 12.0, HSPF = 8.50, COP = 3.74</t>
    </r>
    <r>
      <rPr>
        <sz val="11"/>
        <color rgb="FFFF0000"/>
        <rFont val="Calibri"/>
        <family val="2"/>
        <scheme val="minor"/>
      </rPr>
      <t xml:space="preserve">  assumed 40,000 btuh capacity</t>
    </r>
  </si>
  <si>
    <r>
      <t xml:space="preserve">Pkg HP SEER = 14.5 (&lt; 65 kBtuh) - Combined SEER 14 and SEER 15 hp </t>
    </r>
    <r>
      <rPr>
        <sz val="11"/>
        <color rgb="FFFF0000"/>
        <rFont val="Calibri"/>
        <family val="2"/>
        <scheme val="minor"/>
      </rPr>
      <t xml:space="preserve"> assumed 40,000 btuh capacity</t>
    </r>
  </si>
  <si>
    <t>Small Packaged HP
 (&lt; 65,000 Btuh)</t>
  </si>
  <si>
    <t>72000-240000</t>
  </si>
  <si>
    <t>9.7-12.6</t>
  </si>
  <si>
    <t>Power exhaust</t>
  </si>
  <si>
    <t>Distributor</t>
  </si>
  <si>
    <t>US Air Distributors</t>
  </si>
  <si>
    <t>Siglers</t>
  </si>
  <si>
    <t>Pacific Coast Trane</t>
  </si>
  <si>
    <t>9.5 - 12.0</t>
  </si>
  <si>
    <r>
      <t xml:space="preserve">Pkg HP EER = 12.0 (90-134 kBtuh), COP = 3.4 </t>
    </r>
    <r>
      <rPr>
        <sz val="11"/>
        <color rgb="FFFF0000"/>
        <rFont val="Calibri"/>
        <family val="2"/>
        <scheme val="minor"/>
      </rPr>
      <t>assumed 112 kBtuh capacity</t>
    </r>
  </si>
  <si>
    <r>
      <t xml:space="preserve">Pkg HP EER = 11.5 (90-134 kBtuh), COP = 3.4 </t>
    </r>
    <r>
      <rPr>
        <sz val="11"/>
        <color rgb="FFFF0000"/>
        <rFont val="Calibri"/>
        <family val="2"/>
        <scheme val="minor"/>
      </rPr>
      <t>assumed 112 kBtuh capacity</t>
    </r>
  </si>
  <si>
    <r>
      <t xml:space="preserve">Pkg HP EER = 11.0 </t>
    </r>
    <r>
      <rPr>
        <sz val="11"/>
        <color rgb="FFFF0000"/>
        <rFont val="Calibri"/>
        <family val="2"/>
        <scheme val="minor"/>
      </rPr>
      <t>assumed 112 kBtuh capacity</t>
    </r>
  </si>
  <si>
    <r>
      <t xml:space="preserve">Pkg HP EER = 12.0 (65-89 kBtuh), COP = 3.4 </t>
    </r>
    <r>
      <rPr>
        <sz val="11"/>
        <color rgb="FFFF0000"/>
        <rFont val="Calibri"/>
        <family val="2"/>
        <scheme val="minor"/>
      </rPr>
      <t>assumed 77 kBtuh capacity</t>
    </r>
  </si>
  <si>
    <r>
      <t xml:space="preserve">Pkg HP EER = 11.5 (65-89 kBtuh), COP = 3.4 </t>
    </r>
    <r>
      <rPr>
        <sz val="11"/>
        <color rgb="FFFF0000"/>
        <rFont val="Calibri"/>
        <family val="2"/>
        <scheme val="minor"/>
      </rPr>
      <t>assumed 77 kBtuh capacity</t>
    </r>
  </si>
  <si>
    <r>
      <t xml:space="preserve">Pkg HP EER = 11.0 </t>
    </r>
    <r>
      <rPr>
        <sz val="11"/>
        <color rgb="FFFF0000"/>
        <rFont val="Calibri"/>
        <family val="2"/>
        <scheme val="minor"/>
      </rPr>
      <t>assumed 77 kBtuh capacity</t>
    </r>
  </si>
  <si>
    <r>
      <t xml:space="preserve">Pkg HP EER = 12.0 (135-239 kBtuh), COP = 3.2 </t>
    </r>
    <r>
      <rPr>
        <sz val="11"/>
        <color rgb="FFFF0000"/>
        <rFont val="Calibri"/>
        <family val="2"/>
        <scheme val="minor"/>
      </rPr>
      <t>assumed 187 kBtuh capacity</t>
    </r>
  </si>
  <si>
    <r>
      <t xml:space="preserve">Pkg HP EER = 11.5 (135-239 kBtuh), COP = 3.2 </t>
    </r>
    <r>
      <rPr>
        <sz val="11"/>
        <color rgb="FFFF0000"/>
        <rFont val="Calibri"/>
        <family val="2"/>
        <scheme val="minor"/>
      </rPr>
      <t>assumed 187 kBtuh capacity</t>
    </r>
  </si>
  <si>
    <r>
      <t xml:space="preserve">Pkg HP EER = 10.6 </t>
    </r>
    <r>
      <rPr>
        <sz val="11"/>
        <color rgb="FFFF0000"/>
        <rFont val="Calibri"/>
        <family val="2"/>
        <scheme val="minor"/>
      </rPr>
      <t>assumed 187 kBtuh capacity</t>
    </r>
  </si>
  <si>
    <t>Modified Energy Factor</t>
  </si>
  <si>
    <t>1.26-3.61</t>
  </si>
  <si>
    <t>&gt;=1.26</t>
  </si>
  <si>
    <t>Compartment Capacity</t>
  </si>
  <si>
    <t>2.5-4.7</t>
  </si>
  <si>
    <t>1.6-4.0</t>
  </si>
  <si>
    <t>Soil Sensor</t>
  </si>
  <si>
    <t>Electronic Controls</t>
  </si>
  <si>
    <t>Standard Deviation</t>
  </si>
  <si>
    <t>Amana</t>
  </si>
  <si>
    <t>Fisher &amp; Paykel</t>
  </si>
  <si>
    <t>GE</t>
  </si>
  <si>
    <t>Hotpoint</t>
  </si>
  <si>
    <t>LG Electronics</t>
  </si>
  <si>
    <t>Maytag</t>
  </si>
  <si>
    <t>Samsung</t>
  </si>
  <si>
    <t>Whirlpool</t>
  </si>
  <si>
    <t>Confidence Level(95.0%)</t>
  </si>
  <si>
    <t>Red</t>
  </si>
  <si>
    <t>1.8-3.88</t>
  </si>
  <si>
    <t>2-4.4</t>
  </si>
  <si>
    <t>Steam Feature</t>
  </si>
  <si>
    <t>Sensor Type</t>
  </si>
  <si>
    <t>Both Load and Soil</t>
  </si>
  <si>
    <t>Soil Only</t>
  </si>
  <si>
    <t>Load Only</t>
  </si>
  <si>
    <t>No Sensor</t>
  </si>
  <si>
    <t>Bosch</t>
  </si>
  <si>
    <t>Electro Brand</t>
  </si>
  <si>
    <t>Electrolux</t>
  </si>
  <si>
    <t>Frigidaire</t>
  </si>
  <si>
    <t>RPMs</t>
  </si>
  <si>
    <t>720-1100</t>
  </si>
  <si>
    <t>&gt;1100</t>
  </si>
  <si>
    <t>Blue</t>
  </si>
  <si>
    <t>Green</t>
  </si>
  <si>
    <t>Number of Wash Cycles</t>
  </si>
  <si>
    <t>3 to 11 cycles</t>
  </si>
  <si>
    <t>12 to 19 cycles</t>
  </si>
  <si>
    <t>20 or more cycles</t>
  </si>
  <si>
    <t>Rated Capacity (kBtuh)</t>
  </si>
  <si>
    <t>&lt; 300, 300 - 2500, &gt;2500</t>
  </si>
  <si>
    <t>0.75-0.82 (AFUE), 0.75-0.85 (T.E.), 0.75-0.8 (C.E.)</t>
  </si>
  <si>
    <t>Efficiency  (AFUE)</t>
  </si>
  <si>
    <t>300-2500, &gt;2500</t>
  </si>
  <si>
    <t>0.80-0.85 (T.E.), 0.82-0.85 (C.E.)</t>
  </si>
  <si>
    <t>Absensce of indirect evaporative cooling on T24-compliant HVAC system</t>
  </si>
  <si>
    <t>65-89, 90-134, 135-239</t>
  </si>
  <si>
    <t>* Plot is of the actual purchase price of 17,662 top-loading clothes washers bought through</t>
  </si>
  <si>
    <t>* Plot is of the actual purchase price of 18,688 front loading clothes washers bought through</t>
  </si>
  <si>
    <t>240 kBtuh 10.9 EER Air Cooled Pkg DX</t>
  </si>
  <si>
    <t>840 kBtuh 10 EER Air Cooled Pkg DX</t>
  </si>
  <si>
    <r>
      <t xml:space="preserve">Pkg HP EER = 10.7 </t>
    </r>
    <r>
      <rPr>
        <sz val="11"/>
        <rFont val="Calibri"/>
        <family val="2"/>
        <scheme val="minor"/>
      </rPr>
      <t xml:space="preserve"> 90 kBtuh capacity</t>
    </r>
  </si>
  <si>
    <t>Cooling Capacity (BtuH)</t>
  </si>
  <si>
    <t>17400-59000</t>
  </si>
  <si>
    <t>13-20.5</t>
  </si>
  <si>
    <t>Day &amp; Night</t>
  </si>
  <si>
    <t>&lt; 55 kBtuh
55 - 64 kBtuh</t>
  </si>
  <si>
    <t>13 - 16</t>
  </si>
  <si>
    <t>HSPF</t>
  </si>
  <si>
    <t>11.07 - 12.5</t>
  </si>
  <si>
    <t>7.7 - 9</t>
  </si>
  <si>
    <t xml:space="preserve">DEG/EMCOR </t>
  </si>
  <si>
    <r>
      <t xml:space="preserve">13 SEER(11.07 EER) / 8.1 HSPF(3.28 COP) A/C Heat pump </t>
    </r>
    <r>
      <rPr>
        <sz val="11"/>
        <color rgb="FFFF0000"/>
        <rFont val="Calibri"/>
        <family val="2"/>
        <scheme val="minor"/>
      </rPr>
      <t>assumed 36 kBtuh capacity</t>
    </r>
  </si>
  <si>
    <r>
      <t xml:space="preserve">14 SEER(12.19 EER) / 8.6 HSPF(3.52 COP) A/C Heat Pump </t>
    </r>
    <r>
      <rPr>
        <sz val="11"/>
        <color rgb="FFFF0000"/>
        <rFont val="Calibri"/>
        <family val="2"/>
        <scheme val="minor"/>
      </rPr>
      <t>assumed 36 kBtuh capacity</t>
    </r>
  </si>
  <si>
    <r>
      <t xml:space="preserve">15 SEER(12.70 EER) / 8.8 HSPF(3.74 COP) A/C Heat Pump </t>
    </r>
    <r>
      <rPr>
        <sz val="11"/>
        <color rgb="FFFF0000"/>
        <rFont val="Calibri"/>
        <family val="2"/>
        <scheme val="minor"/>
      </rPr>
      <t>assumed 36 kBtuh capacity</t>
    </r>
  </si>
  <si>
    <r>
      <t xml:space="preserve">16 SEER (12.06 EER) / 8.4 HSPF (3.48 COP) A/C Heat Pump </t>
    </r>
    <r>
      <rPr>
        <sz val="11"/>
        <color rgb="FFFF0000"/>
        <rFont val="Calibri"/>
        <family val="2"/>
        <scheme val="minor"/>
      </rPr>
      <t>assumed 36 kBtuh capacity</t>
    </r>
  </si>
  <si>
    <r>
      <t xml:space="preserve">Split HP SEER = 13.0 (&lt; 55 kbtuh), EER = 11.07, HSPF = 7.7, COP = 3.28; no Econo;  1-spd Fan </t>
    </r>
    <r>
      <rPr>
        <sz val="11"/>
        <color rgb="FFFF0000"/>
        <rFont val="Calibri"/>
        <family val="2"/>
        <scheme val="minor"/>
      </rPr>
      <t>assumed 24 kBtuh capacity</t>
    </r>
  </si>
  <si>
    <r>
      <t xml:space="preserve">Split HP SEER = 13.0 (&lt; 55 kbtuh), EER = 11.07, HSPF = 7.70, COP = 3.28; no Econo;  1-spd Fan </t>
    </r>
    <r>
      <rPr>
        <sz val="11"/>
        <color rgb="FFFF0000"/>
        <rFont val="Calibri"/>
        <family val="2"/>
        <scheme val="minor"/>
      </rPr>
      <t>assumed 24 kBtuh capacity</t>
    </r>
  </si>
  <si>
    <r>
      <t xml:space="preserve">Split HP SEER = 14.0 (&lt; 55 kbtuh), EER = 12.00, HSPF = 8.50, COP = 3.74; no Econo;  1-spd Fan </t>
    </r>
    <r>
      <rPr>
        <sz val="11"/>
        <color rgb="FFFF0000"/>
        <rFont val="Calibri"/>
        <family val="2"/>
        <scheme val="minor"/>
      </rPr>
      <t>assumed 24 kBtuh capacity</t>
    </r>
  </si>
  <si>
    <r>
      <t xml:space="preserve">Split HP SEER = 15.0 (&lt; 55 kBtuh), EER = 12.5, HSPF = 9.00, COP = 3.96; no Econo;  1-spd Fan </t>
    </r>
    <r>
      <rPr>
        <sz val="11"/>
        <color rgb="FFFF0000"/>
        <rFont val="Calibri"/>
        <family val="2"/>
        <scheme val="minor"/>
      </rPr>
      <t>assumed 24 kBtuh capacity</t>
    </r>
  </si>
  <si>
    <r>
      <t xml:space="preserve">Split HP SEER = 13.0 </t>
    </r>
    <r>
      <rPr>
        <sz val="11"/>
        <color rgb="FFFF0000"/>
        <rFont val="Calibri"/>
        <family val="2"/>
        <scheme val="minor"/>
      </rPr>
      <t>assumed 60 kBtuh capacity</t>
    </r>
  </si>
  <si>
    <r>
      <t xml:space="preserve">Split HP SEER = 14.0 (55-64 kBTUh) - Combined SEER 13 and SEER 14.5 hp </t>
    </r>
    <r>
      <rPr>
        <sz val="11"/>
        <color rgb="FFFF0000"/>
        <rFont val="Calibri"/>
        <family val="2"/>
        <scheme val="minor"/>
      </rPr>
      <t>assumed 60 kBtuh capacity</t>
    </r>
  </si>
  <si>
    <r>
      <t xml:space="preserve">Split HP SEER = 13.0 (55-64 kbtuh), EER = 11.07, HSPF = 7.7, COP = 3.28; w/Econo;  2-spd Fan </t>
    </r>
    <r>
      <rPr>
        <sz val="11"/>
        <color rgb="FFFF0000"/>
        <rFont val="Calibri"/>
        <family val="2"/>
        <scheme val="minor"/>
      </rPr>
      <t>assumed 60 kBtuh capacity</t>
    </r>
  </si>
  <si>
    <r>
      <t xml:space="preserve">Split HP SEER = 13.0 (55-64 kbtuh), EER = 11.07, HSPF = 7.70, COP = 3.28; w/Econo;  2-spd Fan </t>
    </r>
    <r>
      <rPr>
        <sz val="11"/>
        <color rgb="FFFF0000"/>
        <rFont val="Calibri"/>
        <family val="2"/>
        <scheme val="minor"/>
      </rPr>
      <t>assumed 60 kBtuh capacity</t>
    </r>
  </si>
  <si>
    <r>
      <t xml:space="preserve">Split HP SEER = 13.0 </t>
    </r>
    <r>
      <rPr>
        <sz val="11"/>
        <color rgb="FFFF0000"/>
        <rFont val="Calibri"/>
        <family val="2"/>
        <scheme val="minor"/>
      </rPr>
      <t>assumed 18 kBtuh capacity</t>
    </r>
  </si>
  <si>
    <r>
      <t xml:space="preserve">Split HP SEER = 14.0 (&lt; 55 kBTUh) - Combined SEER 13 and SEER 14.5 hp </t>
    </r>
    <r>
      <rPr>
        <sz val="11"/>
        <color rgb="FFFF0000"/>
        <rFont val="Calibri"/>
        <family val="2"/>
        <scheme val="minor"/>
      </rPr>
      <t>assumed 18 kBtuh capacity</t>
    </r>
  </si>
  <si>
    <r>
      <t xml:space="preserve">Split HP SEER = 14.0 (55-64 kbtuh), EER = 12.00, HSPF = 8.50, COP = 3.74; w/Econo;  2-spd Fan </t>
    </r>
    <r>
      <rPr>
        <sz val="11"/>
        <color rgb="FFFF0000"/>
        <rFont val="Calibri"/>
        <family val="2"/>
        <scheme val="minor"/>
      </rPr>
      <t>assumed 60 kBtuh capacity</t>
    </r>
  </si>
  <si>
    <r>
      <t xml:space="preserve">Split HP SEER = 15.0 (55-64 kBTUh), EER = 12.5, HSPF = 9.00, COP = 3.96; w/Econo;  2-spd Fan </t>
    </r>
    <r>
      <rPr>
        <sz val="11"/>
        <color rgb="FFFF0000"/>
        <rFont val="Calibri"/>
        <family val="2"/>
        <scheme val="minor"/>
      </rPr>
      <t>assumed 60 kBtuh capacity</t>
    </r>
  </si>
  <si>
    <t>36 kBtuh 12.5 SEER Split Heat pump</t>
  </si>
  <si>
    <t>Estate</t>
  </si>
  <si>
    <t>On-mode Power (W)</t>
  </si>
  <si>
    <t>&lt;=66.5, &lt;=80.5</t>
  </si>
  <si>
    <t>Sleep-mode Power (W)</t>
  </si>
  <si>
    <t>All Other (Suppressed)</t>
  </si>
  <si>
    <t>Coby</t>
  </si>
  <si>
    <t>Haier</t>
  </si>
  <si>
    <t>LG</t>
  </si>
  <si>
    <t>Mitsubishi</t>
  </si>
  <si>
    <t>Panasonic</t>
  </si>
  <si>
    <t>Philips</t>
  </si>
  <si>
    <t>Sony</t>
  </si>
  <si>
    <t>TCL</t>
  </si>
  <si>
    <t>Toshiba</t>
  </si>
  <si>
    <t>Vizio</t>
  </si>
  <si>
    <t>Westinghouse</t>
  </si>
  <si>
    <t>Refresh Rate (Hz)</t>
  </si>
  <si>
    <t>2D vs 3D</t>
  </si>
  <si>
    <t>2D</t>
  </si>
  <si>
    <t>3D</t>
  </si>
  <si>
    <t>Network Connectivity</t>
  </si>
  <si>
    <t>No network connectivity</t>
  </si>
  <si>
    <t>Connected, no browser</t>
  </si>
  <si>
    <t>Connected w/built-in browser</t>
  </si>
  <si>
    <t>Connected (unspecified)</t>
  </si>
  <si>
    <t>Program Guide</t>
  </si>
  <si>
    <t>&lt;=54.3, &lt;=68.9</t>
  </si>
  <si>
    <t>Element</t>
  </si>
  <si>
    <t>Hitachi</t>
  </si>
  <si>
    <t>JVC</t>
  </si>
  <si>
    <t>Sansui</t>
  </si>
  <si>
    <t>Sharp</t>
  </si>
  <si>
    <t>Picture in a Picture</t>
  </si>
  <si>
    <t>Analog Tuner</t>
  </si>
  <si>
    <t>Apps Included</t>
  </si>
  <si>
    <t>&lt;=44.5, &lt;=57.9</t>
  </si>
  <si>
    <t>Proscan</t>
  </si>
  <si>
    <t>&lt;=30.4, &lt;=34.6</t>
  </si>
  <si>
    <t>Affinity Technologies</t>
  </si>
  <si>
    <t>SEIKI</t>
  </si>
  <si>
    <t>Sanyo</t>
  </si>
  <si>
    <t>Viewsonic</t>
  </si>
  <si>
    <t>iSymphony</t>
  </si>
  <si>
    <t>Resolution</t>
  </si>
  <si>
    <t>720p</t>
  </si>
  <si>
    <t>1080p</t>
  </si>
  <si>
    <t>DVD Included</t>
  </si>
  <si>
    <t>USB Interface</t>
  </si>
  <si>
    <t>&lt;=19.7, &lt;=21.0</t>
  </si>
  <si>
    <t>AOC</t>
  </si>
  <si>
    <t>Magnavox</t>
  </si>
  <si>
    <t>Naxa</t>
  </si>
  <si>
    <t>Supersonic</t>
  </si>
  <si>
    <t>Viore</t>
  </si>
  <si>
    <t>Removable Media</t>
  </si>
  <si>
    <t>Apex</t>
  </si>
  <si>
    <t>54-216</t>
  </si>
  <si>
    <t>0.1-1</t>
  </si>
  <si>
    <t>42-136</t>
  </si>
  <si>
    <t>26-103.3</t>
  </si>
  <si>
    <t>0-0.8</t>
  </si>
  <si>
    <t>100-750</t>
  </si>
  <si>
    <t>GEA</t>
  </si>
  <si>
    <t>TACO</t>
  </si>
  <si>
    <t>T24 minimum: no water economizer</t>
  </si>
  <si>
    <r>
      <t xml:space="preserve">Non integrated evaporator precooler heat exchanger </t>
    </r>
    <r>
      <rPr>
        <sz val="11"/>
        <color rgb="FFFF0000"/>
        <rFont val="Calibri"/>
        <family val="2"/>
        <scheme val="minor"/>
      </rPr>
      <t>assumed 100 ton capacity</t>
    </r>
  </si>
  <si>
    <r>
      <t xml:space="preserve">Non integrated evaporator precooler heat exchanger </t>
    </r>
    <r>
      <rPr>
        <sz val="11"/>
        <color rgb="FFFF0000"/>
        <rFont val="Calibri"/>
        <family val="2"/>
        <scheme val="minor"/>
      </rPr>
      <t>assumed 200 ton capacity</t>
    </r>
  </si>
  <si>
    <r>
      <t xml:space="preserve">Non integrated evaporator precooler heat exchanger </t>
    </r>
    <r>
      <rPr>
        <sz val="11"/>
        <color rgb="FFFF0000"/>
        <rFont val="Calibri"/>
        <family val="2"/>
        <scheme val="minor"/>
      </rPr>
      <t>assumed 300 ton capacity</t>
    </r>
  </si>
  <si>
    <r>
      <t xml:space="preserve">Non integrated evaporator precooler heat exchanger </t>
    </r>
    <r>
      <rPr>
        <sz val="11"/>
        <color rgb="FFFF0000"/>
        <rFont val="Calibri"/>
        <family val="2"/>
        <scheme val="minor"/>
      </rPr>
      <t>assumed 400 ton capacity</t>
    </r>
  </si>
  <si>
    <r>
      <t xml:space="preserve">Non integrated evaporator precooler heat exchanger </t>
    </r>
    <r>
      <rPr>
        <sz val="11"/>
        <color rgb="FFFF0000"/>
        <rFont val="Calibri"/>
        <family val="2"/>
        <scheme val="minor"/>
      </rPr>
      <t>assumed 500 ton capacity</t>
    </r>
  </si>
  <si>
    <r>
      <t xml:space="preserve">Non integrated evaporator precooler heat exchanger </t>
    </r>
    <r>
      <rPr>
        <sz val="11"/>
        <color rgb="FFFF0000"/>
        <rFont val="Calibri"/>
        <family val="2"/>
        <scheme val="minor"/>
      </rPr>
      <t>assumed 600 ton capacity</t>
    </r>
  </si>
  <si>
    <r>
      <t xml:space="preserve">Non integrated evaporator precooler heat exchanger </t>
    </r>
    <r>
      <rPr>
        <sz val="11"/>
        <color rgb="FFFF0000"/>
        <rFont val="Calibri"/>
        <family val="2"/>
        <scheme val="minor"/>
      </rPr>
      <t>assumed 700 ton capacity</t>
    </r>
  </si>
  <si>
    <t>24.1-76</t>
  </si>
  <si>
    <t>0.1-0.8</t>
  </si>
  <si>
    <t>12.5-40.5</t>
  </si>
  <si>
    <t>Waterside Economizers</t>
  </si>
  <si>
    <t>12.5-28</t>
  </si>
  <si>
    <t>64.9-266</t>
  </si>
  <si>
    <t>0-1</t>
  </si>
  <si>
    <t>60 or 120</t>
  </si>
  <si>
    <t>72.8-238.7</t>
  </si>
  <si>
    <t>0-0.9</t>
  </si>
  <si>
    <t>Wireless built-in</t>
  </si>
  <si>
    <t>Ethernet</t>
  </si>
  <si>
    <t>Network ready, no dongle</t>
  </si>
  <si>
    <t>Advanced Proprietary OS</t>
  </si>
  <si>
    <t>56.6-176</t>
  </si>
  <si>
    <t>RCA</t>
  </si>
  <si>
    <t>Sceptre</t>
  </si>
  <si>
    <t>Sylvania</t>
  </si>
  <si>
    <t>26.7-56.1</t>
  </si>
  <si>
    <t>Emerson</t>
  </si>
  <si>
    <t>Polaroid</t>
  </si>
  <si>
    <t>38.8-112.3</t>
  </si>
  <si>
    <t>21.2-44</t>
  </si>
  <si>
    <t>Hannspree</t>
  </si>
  <si>
    <r>
      <t xml:space="preserve">Top-loading, Title 20 code minimum, MEF=1.26, </t>
    </r>
    <r>
      <rPr>
        <sz val="11"/>
        <color rgb="FFFF0000"/>
        <rFont val="Calibri"/>
        <family val="2"/>
        <scheme val="minor"/>
      </rPr>
      <t>assumed 3.5 ft3 capacity</t>
    </r>
  </si>
  <si>
    <r>
      <t xml:space="preserve">Top-loading, CEE Tier 1, MEF = 2.0, </t>
    </r>
    <r>
      <rPr>
        <sz val="11"/>
        <color rgb="FFFF0000"/>
        <rFont val="Calibri"/>
        <family val="2"/>
        <scheme val="minor"/>
      </rPr>
      <t>assumed 3.5 ft3 capacity</t>
    </r>
  </si>
  <si>
    <r>
      <t xml:space="preserve">Top-loading, CEE Tier 2, MEF = 2.2, </t>
    </r>
    <r>
      <rPr>
        <sz val="11"/>
        <color rgb="FFFF0000"/>
        <rFont val="Calibri"/>
        <family val="2"/>
        <scheme val="minor"/>
      </rPr>
      <t>assumed 3.5 ft3 capacity</t>
    </r>
  </si>
  <si>
    <r>
      <t xml:space="preserve">Top-loading, CEE Tier 3, MEF = 2.4, </t>
    </r>
    <r>
      <rPr>
        <sz val="11"/>
        <color rgb="FFFF0000"/>
        <rFont val="Calibri"/>
        <family val="2"/>
        <scheme val="minor"/>
      </rPr>
      <t>assumed 3.5 ft3 capacity</t>
    </r>
  </si>
  <si>
    <r>
      <t xml:space="preserve">Top-loading, Title 20 code minimum, MEF=1.26, </t>
    </r>
    <r>
      <rPr>
        <sz val="11"/>
        <color rgb="FFFF0000"/>
        <rFont val="Calibri"/>
        <family val="2"/>
        <scheme val="minor"/>
      </rPr>
      <t>assumed 4.0 ft3 capacity</t>
    </r>
  </si>
  <si>
    <r>
      <t xml:space="preserve">Top-loading, CEE Tier 1, MEF = 2.0, </t>
    </r>
    <r>
      <rPr>
        <sz val="11"/>
        <color rgb="FFFF0000"/>
        <rFont val="Calibri"/>
        <family val="2"/>
        <scheme val="minor"/>
      </rPr>
      <t>assumed 4.0 ft3 capacity</t>
    </r>
  </si>
  <si>
    <r>
      <t xml:space="preserve">Top-loading, CEE Tier 2, MEF = 2.2, </t>
    </r>
    <r>
      <rPr>
        <sz val="11"/>
        <color rgb="FFFF0000"/>
        <rFont val="Calibri"/>
        <family val="2"/>
        <scheme val="minor"/>
      </rPr>
      <t>assumed 4.0 ft3 capacity</t>
    </r>
  </si>
  <si>
    <r>
      <t xml:space="preserve">Top-loading, CEE Tier 3, MEF = 2.4, </t>
    </r>
    <r>
      <rPr>
        <sz val="11"/>
        <color rgb="FFFF0000"/>
        <rFont val="Calibri"/>
        <family val="2"/>
        <scheme val="minor"/>
      </rPr>
      <t>assumed 4.0 ft3 capacity</t>
    </r>
  </si>
  <si>
    <r>
      <t>Front-loading, CEE Tier 1, MEF = 2.0,</t>
    </r>
    <r>
      <rPr>
        <sz val="11"/>
        <color rgb="FFFF0000"/>
        <rFont val="Calibri"/>
        <family val="2"/>
        <scheme val="minor"/>
      </rPr>
      <t xml:space="preserve"> assumed 3.5 ft3 capacity</t>
    </r>
  </si>
  <si>
    <r>
      <t xml:space="preserve">Front-loading, CEE Tier 2, MEF = 2.2, </t>
    </r>
    <r>
      <rPr>
        <sz val="11"/>
        <color rgb="FFFF0000"/>
        <rFont val="Calibri"/>
        <family val="2"/>
        <scheme val="minor"/>
      </rPr>
      <t>assumed 3.5 ft3 capacity</t>
    </r>
  </si>
  <si>
    <r>
      <t xml:space="preserve">Front-loading, CEE Tier 3, MEF = 2.4, </t>
    </r>
    <r>
      <rPr>
        <sz val="11"/>
        <color rgb="FFFF0000"/>
        <rFont val="Calibri"/>
        <family val="2"/>
        <scheme val="minor"/>
      </rPr>
      <t>assumed 3.5 ft3 capacity</t>
    </r>
  </si>
  <si>
    <r>
      <t xml:space="preserve">Front-loading, CEE Tier 1, MEF = 2.0, </t>
    </r>
    <r>
      <rPr>
        <sz val="11"/>
        <color rgb="FFFF0000"/>
        <rFont val="Calibri"/>
        <family val="2"/>
        <scheme val="minor"/>
      </rPr>
      <t>assumed 4.0 ft3 capacity</t>
    </r>
  </si>
  <si>
    <r>
      <t xml:space="preserve">Front-loading, CEE Tier 2, MEF = 2.2, </t>
    </r>
    <r>
      <rPr>
        <sz val="11"/>
        <color rgb="FFFF0000"/>
        <rFont val="Calibri"/>
        <family val="2"/>
        <scheme val="minor"/>
      </rPr>
      <t>assumed 4.0 ft3 capacity</t>
    </r>
  </si>
  <si>
    <r>
      <t xml:space="preserve">Front-loading, CEE Tier 3, MEF = 2.4, </t>
    </r>
    <r>
      <rPr>
        <sz val="11"/>
        <color rgb="FFFF0000"/>
        <rFont val="Calibri"/>
        <family val="2"/>
        <scheme val="minor"/>
      </rPr>
      <t>assumed 4.0 ft3 capacity</t>
    </r>
  </si>
  <si>
    <t>Workpaper measure</t>
  </si>
  <si>
    <r>
      <t xml:space="preserve">Title 20 code minimum, 177.4 W on-mode power, 1 W sleep mode power, </t>
    </r>
    <r>
      <rPr>
        <sz val="11"/>
        <color rgb="FFFF0000"/>
        <rFont val="Calibri"/>
        <family val="2"/>
        <scheme val="minor"/>
      </rPr>
      <t>assumed 1270 in2 screen area</t>
    </r>
  </si>
  <si>
    <r>
      <t xml:space="preserve">Energy Star 5.1 + 20%, 86.4 W on-mode power, </t>
    </r>
    <r>
      <rPr>
        <sz val="11"/>
        <color rgb="FFFF0000"/>
        <rFont val="Calibri"/>
        <family val="2"/>
        <scheme val="minor"/>
      </rPr>
      <t>assumed 1 W sleep mode power, 1270 in2 screen area</t>
    </r>
  </si>
  <si>
    <r>
      <t xml:space="preserve">Energy Star 5.1 + 35%, 70.2 W on-mode power, </t>
    </r>
    <r>
      <rPr>
        <sz val="11"/>
        <color rgb="FFFF0000"/>
        <rFont val="Calibri"/>
        <family val="2"/>
        <scheme val="minor"/>
      </rPr>
      <t>assumed 1 W sleep mode power, 1270 in2 screen area</t>
    </r>
  </si>
  <si>
    <r>
      <t xml:space="preserve">Title 20 code minimum, 129.2 W on-mode power, 1 W sleep mode power, </t>
    </r>
    <r>
      <rPr>
        <sz val="11"/>
        <color rgb="FFFF0000"/>
        <rFont val="Calibri"/>
        <family val="2"/>
        <scheme val="minor"/>
      </rPr>
      <t>assumed 868 in2 screen area</t>
    </r>
  </si>
  <si>
    <r>
      <t xml:space="preserve">Energy Star 5.1 + 20%, 72.7 W on-mode power, </t>
    </r>
    <r>
      <rPr>
        <sz val="11"/>
        <color rgb="FFFF0000"/>
        <rFont val="Calibri"/>
        <family val="2"/>
        <scheme val="minor"/>
      </rPr>
      <t>assumed 1 W sleep mode power, 868 in2 screen area</t>
    </r>
  </si>
  <si>
    <r>
      <t xml:space="preserve">Energy Star 5.1 + 35%, 59.1 W on-mode power, </t>
    </r>
    <r>
      <rPr>
        <sz val="11"/>
        <color rgb="FFFF0000"/>
        <rFont val="Calibri"/>
        <family val="2"/>
        <scheme val="minor"/>
      </rPr>
      <t>assumed 1 W sleep mode power, 868 in2 screen area</t>
    </r>
  </si>
  <si>
    <r>
      <t xml:space="preserve">Title 20 code minimum, 106.8 W on-mode power, 1 W sleep mode power, </t>
    </r>
    <r>
      <rPr>
        <sz val="11"/>
        <color rgb="FFFF0000"/>
        <rFont val="Calibri"/>
        <family val="2"/>
        <scheme val="minor"/>
      </rPr>
      <t>assumed 682 in2 screen area</t>
    </r>
  </si>
  <si>
    <r>
      <t xml:space="preserve">Energy Star 5.1 + 20%, 60.2 W on-mode power, </t>
    </r>
    <r>
      <rPr>
        <sz val="11"/>
        <color rgb="FFFF0000"/>
        <rFont val="Calibri"/>
        <family val="2"/>
        <scheme val="minor"/>
      </rPr>
      <t>assumed 1 W sleep mode power, 682 in2 screen area</t>
    </r>
  </si>
  <si>
    <r>
      <t xml:space="preserve">Energy Star 5.1 + 35%, 48.9 W on-mode power, </t>
    </r>
    <r>
      <rPr>
        <sz val="11"/>
        <color rgb="FFFF0000"/>
        <rFont val="Calibri"/>
        <family val="2"/>
        <scheme val="minor"/>
      </rPr>
      <t>assumed 1 W sleep mode power, 682 in2 screen area</t>
    </r>
  </si>
  <si>
    <r>
      <t xml:space="preserve">Title 20 code minimum, 76 W on-mode power, 1 W sleep mode power, </t>
    </r>
    <r>
      <rPr>
        <sz val="11"/>
        <color rgb="FFFF0000"/>
        <rFont val="Calibri"/>
        <family val="2"/>
        <scheme val="minor"/>
      </rPr>
      <t>assumed 425 in2 screen area</t>
    </r>
  </si>
  <si>
    <r>
      <t xml:space="preserve">Energy Star 5.1 + 35%, 34.9 W on-mode power, </t>
    </r>
    <r>
      <rPr>
        <sz val="11"/>
        <color rgb="FFFF0000"/>
        <rFont val="Calibri"/>
        <family val="2"/>
        <scheme val="minor"/>
      </rPr>
      <t>assumed 1 W sleep mode power, 425 in2 screen area</t>
    </r>
  </si>
  <si>
    <r>
      <t xml:space="preserve">Energy Star 5.1 + 35%, 49 W on-mode power, </t>
    </r>
    <r>
      <rPr>
        <sz val="11"/>
        <color rgb="FFFF0000"/>
        <rFont val="Calibri"/>
        <family val="2"/>
        <scheme val="minor"/>
      </rPr>
      <t>assumed 1 W sleep mode power, 682 in2 screen area</t>
    </r>
  </si>
  <si>
    <r>
      <t xml:space="preserve">Energy Star 5.1 + 20%, 43 W on-mode power, </t>
    </r>
    <r>
      <rPr>
        <sz val="11"/>
        <color rgb="FFFF0000"/>
        <rFont val="Calibri"/>
        <family val="2"/>
        <scheme val="minor"/>
      </rPr>
      <t>assumed 1 W sleep mode power, 425 in2 screen area</t>
    </r>
  </si>
  <si>
    <r>
      <t xml:space="preserve">Title 20 code minimum, 48.7 W on-mode power, 1 W sleep mode power, </t>
    </r>
    <r>
      <rPr>
        <sz val="11"/>
        <color rgb="FFFF0000"/>
        <rFont val="Calibri"/>
        <family val="2"/>
        <scheme val="minor"/>
      </rPr>
      <t>assumed 197.5 in2 screen area</t>
    </r>
  </si>
  <si>
    <r>
      <t xml:space="preserve">Energy Star 5.1 + 20%, 24.5 W on-mode power, </t>
    </r>
    <r>
      <rPr>
        <sz val="11"/>
        <color rgb="FFFF0000"/>
        <rFont val="Calibri"/>
        <family val="2"/>
        <scheme val="minor"/>
      </rPr>
      <t>assumed 1 W sleep mode power, 197.5 in2 screen area</t>
    </r>
  </si>
  <si>
    <r>
      <t xml:space="preserve">Energy Star 5.1 + 35%, 19.9 W on-mode power, </t>
    </r>
    <r>
      <rPr>
        <sz val="11"/>
        <color rgb="FFFF0000"/>
        <rFont val="Calibri"/>
        <family val="2"/>
        <scheme val="minor"/>
      </rPr>
      <t>assumed 1 W sleep mode power, 425 in2 screen area</t>
    </r>
  </si>
  <si>
    <r>
      <t xml:space="preserve">Title 20 code minimum, 42.7 W on-mode power, 1 W sleep mode power, </t>
    </r>
    <r>
      <rPr>
        <sz val="11"/>
        <color rgb="FFFF0000"/>
        <rFont val="Calibri"/>
        <family val="2"/>
        <scheme val="minor"/>
      </rPr>
      <t>assumed 147 in2 screen area</t>
    </r>
  </si>
  <si>
    <r>
      <t xml:space="preserve">Energy Star 5.1 + 35%, 15.7 W on-mode power, </t>
    </r>
    <r>
      <rPr>
        <sz val="11"/>
        <color rgb="FFFF0000"/>
        <rFont val="Calibri"/>
        <family val="2"/>
        <scheme val="minor"/>
      </rPr>
      <t>assumed 1 W sleep mode power, 147 in2 screen area</t>
    </r>
  </si>
  <si>
    <r>
      <t xml:space="preserve">Energy Star 5.1 + 20%, 19.3 W on-mode power, </t>
    </r>
    <r>
      <rPr>
        <sz val="11"/>
        <color rgb="FFFF0000"/>
        <rFont val="Calibri"/>
        <family val="2"/>
        <scheme val="minor"/>
      </rPr>
      <t>assumed 1 W sleep mode power, 147 in2 screen area</t>
    </r>
  </si>
  <si>
    <t>LED-backlit, 120Hz refresh rate, 2D, LG</t>
  </si>
  <si>
    <t>LED-backlit, 120Hz refresh rate, 2D, Samsung</t>
  </si>
  <si>
    <t>LED-backlit, 120Hz refresh rate, 3D, LG</t>
  </si>
  <si>
    <t>LED-backlit, 120Hz refresh rate, 3D, Samsung</t>
  </si>
  <si>
    <t>LED-backlit, 240Hz refresh rate, 3D, LG</t>
  </si>
  <si>
    <t>Ballast Input Watts</t>
  </si>
  <si>
    <t>Channel</t>
  </si>
  <si>
    <t>Home Improvement</t>
  </si>
  <si>
    <t>Drug Store</t>
  </si>
  <si>
    <t>DNV KEMA</t>
  </si>
  <si>
    <t>Shelf Survey</t>
  </si>
  <si>
    <t>Grocery</t>
  </si>
  <si>
    <t>Hardware</t>
  </si>
  <si>
    <t>Mass Merchandise</t>
  </si>
  <si>
    <t>Membership Club</t>
  </si>
  <si>
    <t>EISA</t>
  </si>
  <si>
    <t>Package size: 2 or more</t>
  </si>
  <si>
    <t>Package size: 3 or more</t>
  </si>
  <si>
    <t>Three-way</t>
  </si>
  <si>
    <t>National Brand</t>
  </si>
  <si>
    <t>Expected Life (1000s of hours)</t>
  </si>
  <si>
    <t>.6-15</t>
  </si>
  <si>
    <t>Watts over 30</t>
  </si>
  <si>
    <t>0 - 120</t>
  </si>
  <si>
    <t>Watts over 75</t>
  </si>
  <si>
    <t>0 - 75</t>
  </si>
  <si>
    <t>.75-8</t>
  </si>
  <si>
    <t>12-150</t>
  </si>
  <si>
    <t>Watts &lt; 35</t>
  </si>
  <si>
    <t>CFL A-Lamps and Twisters</t>
  </si>
  <si>
    <t>A-lamp Indicator</t>
  </si>
  <si>
    <t>Package size: 4 or more</t>
  </si>
  <si>
    <t>Utility discount, A-Lamp</t>
  </si>
  <si>
    <t>Utility discount, Twister</t>
  </si>
  <si>
    <t>1-25</t>
  </si>
  <si>
    <t>Watts over 25</t>
  </si>
  <si>
    <t>CFL Reflector</t>
  </si>
  <si>
    <t>Utility discount</t>
  </si>
  <si>
    <t>5-26</t>
  </si>
  <si>
    <t>CFL Globe</t>
  </si>
  <si>
    <t>CFL Torpedo</t>
  </si>
  <si>
    <t>2-25</t>
  </si>
  <si>
    <t>5-15</t>
  </si>
  <si>
    <t>LED A-Lamp</t>
  </si>
  <si>
    <t>Energy Star and no utility discount</t>
  </si>
  <si>
    <t>LED Reflector</t>
  </si>
  <si>
    <t>LED Globe</t>
  </si>
  <si>
    <t>1-10</t>
  </si>
  <si>
    <t>LED Torpedo</t>
  </si>
  <si>
    <t>(See CFL and LED entries below)</t>
  </si>
  <si>
    <t>17000-58000</t>
  </si>
  <si>
    <t>13-18.5</t>
  </si>
  <si>
    <t>13 - 21</t>
  </si>
  <si>
    <t>Supply fan W/cfm</t>
  </si>
  <si>
    <t>Fan speeds</t>
  </si>
  <si>
    <t>0.2456 - 0.2557</t>
  </si>
  <si>
    <t>0.306 - 0.379</t>
  </si>
  <si>
    <t>1 - speed
2 - speed</t>
  </si>
  <si>
    <r>
      <t xml:space="preserve">13 SEER (11.09 EER) Split System Air Conditioner </t>
    </r>
    <r>
      <rPr>
        <sz val="11"/>
        <color rgb="FFFF0000"/>
        <rFont val="Calibri"/>
        <family val="2"/>
        <scheme val="minor"/>
      </rPr>
      <t>assumed 36 kBtuh capacity</t>
    </r>
  </si>
  <si>
    <r>
      <t>13 SEER(11.09 EER) Split System Air Conditioner</t>
    </r>
    <r>
      <rPr>
        <sz val="11"/>
        <color rgb="FFFF0000"/>
        <rFont val="Calibri"/>
        <family val="2"/>
        <scheme val="minor"/>
      </rPr>
      <t xml:space="preserve"> assumed 36 kBtuh capacity</t>
    </r>
  </si>
  <si>
    <r>
      <t xml:space="preserve">14 SEER(12.15 EER) Split-System Air Conditioner </t>
    </r>
    <r>
      <rPr>
        <sz val="11"/>
        <color rgb="FFFF0000"/>
        <rFont val="Calibri"/>
        <family val="2"/>
        <scheme val="minor"/>
      </rPr>
      <t>assumed 36 kBtuh capacity</t>
    </r>
  </si>
  <si>
    <r>
      <t xml:space="preserve">15 SEER(12.72 EER) Split-System Air Conditioner </t>
    </r>
    <r>
      <rPr>
        <sz val="11"/>
        <color rgb="FFFF0000"/>
        <rFont val="Calibri"/>
        <family val="2"/>
        <scheme val="minor"/>
      </rPr>
      <t>assumed 36 kBtuh capacity</t>
    </r>
  </si>
  <si>
    <r>
      <t xml:space="preserve">16 SEER (11.61 EER) Split System Air Conditioner </t>
    </r>
    <r>
      <rPr>
        <sz val="11"/>
        <color rgb="FFFF0000"/>
        <rFont val="Calibri"/>
        <family val="2"/>
        <scheme val="minor"/>
      </rPr>
      <t>assumed 36 kBtuh capacity</t>
    </r>
  </si>
  <si>
    <r>
      <t xml:space="preserve">17 SEER (12.28 EER) Split-System Air Conditioner </t>
    </r>
    <r>
      <rPr>
        <sz val="11"/>
        <color rgb="FFFF0000"/>
        <rFont val="Calibri"/>
        <family val="2"/>
        <scheme val="minor"/>
      </rPr>
      <t>assumed 36 kBtuh capacity</t>
    </r>
  </si>
  <si>
    <r>
      <t xml:space="preserve">18 SEER (13.37 EER) Split-System Air Conditioner </t>
    </r>
    <r>
      <rPr>
        <sz val="11"/>
        <color rgb="FFFF0000"/>
        <rFont val="Calibri"/>
        <family val="2"/>
        <scheme val="minor"/>
      </rPr>
      <t>assumed 36 kBtuh capacity</t>
    </r>
  </si>
  <si>
    <r>
      <t xml:space="preserve">19 SEER (13.82 EER) Split-System Air Conditioner </t>
    </r>
    <r>
      <rPr>
        <sz val="11"/>
        <color rgb="FFFF0000"/>
        <rFont val="Calibri"/>
        <family val="2"/>
        <scheme val="minor"/>
      </rPr>
      <t>assumed 36 kBtuh capacity</t>
    </r>
  </si>
  <si>
    <r>
      <t>20 SEER (14.43 EER) Split-System Air Conditioner</t>
    </r>
    <r>
      <rPr>
        <sz val="11"/>
        <color rgb="FFFF0000"/>
        <rFont val="Calibri"/>
        <family val="2"/>
        <scheme val="minor"/>
      </rPr>
      <t xml:space="preserve"> assumed 36 kBtuh capacity</t>
    </r>
  </si>
  <si>
    <r>
      <t xml:space="preserve">21 SEER (15.03 EER) Split-System Air Conditioner </t>
    </r>
    <r>
      <rPr>
        <sz val="11"/>
        <color rgb="FFFF0000"/>
        <rFont val="Calibri"/>
        <family val="2"/>
        <scheme val="minor"/>
      </rPr>
      <t>assumed 36 kBtuh capacity</t>
    </r>
  </si>
  <si>
    <r>
      <t xml:space="preserve">Split AC SEER = 13.0 (&lt; 55 kBtuh), EER = 11.06, Clg EIR = 0.2557, Supply Fan W/cfm = 0.379; no Econo;  1-spd Fan </t>
    </r>
    <r>
      <rPr>
        <sz val="11"/>
        <color rgb="FFFF0000"/>
        <rFont val="Calibri"/>
        <family val="2"/>
        <scheme val="minor"/>
      </rPr>
      <t>assumed 24 kBtuh capacity</t>
    </r>
  </si>
  <si>
    <r>
      <t xml:space="preserve">Split AC SEER = 14.0 (&lt; 55 kBtuh), EER = 12.04, Clg EIR = 0.2456, Supply Fan W/cfm = 0.306; no Econo;  1-spd Fan </t>
    </r>
    <r>
      <rPr>
        <sz val="11"/>
        <color rgb="FFFF0000"/>
        <rFont val="Calibri"/>
        <family val="2"/>
        <scheme val="minor"/>
      </rPr>
      <t>assumed 24 kBtuh capacity</t>
    </r>
  </si>
  <si>
    <r>
      <t xml:space="preserve">Split AC SEER = 13.0 (55-64 kBtuh), EER = 11.06, Clg EIR = 0.2557, Supply Fan W/cfm = 0.379; no Econo;  2-spd Fan </t>
    </r>
    <r>
      <rPr>
        <sz val="11"/>
        <color rgb="FFFF0000"/>
        <rFont val="Calibri"/>
        <family val="2"/>
        <scheme val="minor"/>
      </rPr>
      <t>assumed 60 kBtuh capacity</t>
    </r>
  </si>
  <si>
    <r>
      <t xml:space="preserve">Split AC SEER = 14.0 (55-64 kBtuh), EER = 12.04, Clg EIR = 0.2456, Supply Fan W/cfm = 0.306; no Econo;  2-spd Fan </t>
    </r>
    <r>
      <rPr>
        <sz val="11"/>
        <color rgb="FFFF0000"/>
        <rFont val="Calibri"/>
        <family val="2"/>
        <scheme val="minor"/>
      </rPr>
      <t>assumed 60 kBtuh capacity</t>
    </r>
  </si>
  <si>
    <t>36 kBtuh 12.5 SEER Split DX</t>
  </si>
  <si>
    <t>300-1500</t>
  </si>
  <si>
    <t>0.518-0.596</t>
  </si>
  <si>
    <t>0.461 - 0.560</t>
  </si>
  <si>
    <r>
      <t xml:space="preserve">Water cooled VSD centrifugal chiller (&gt;= 300 tons, 0.461 kW/ton), load control tower </t>
    </r>
    <r>
      <rPr>
        <sz val="11"/>
        <color rgb="FFFF0000"/>
        <rFont val="Calibri"/>
        <family val="2"/>
        <scheme val="minor"/>
      </rPr>
      <t>assumed 500 tons</t>
    </r>
  </si>
  <si>
    <r>
      <t xml:space="preserve">Water cooled centrifugal chiller (0.573 kW/ton) </t>
    </r>
    <r>
      <rPr>
        <sz val="11"/>
        <color rgb="FFFF0000"/>
        <rFont val="Calibri"/>
        <family val="2"/>
        <scheme val="minor"/>
      </rPr>
      <t>assumed 500 tons</t>
    </r>
  </si>
  <si>
    <r>
      <t>Incandscent Torpedo,</t>
    </r>
    <r>
      <rPr>
        <sz val="11"/>
        <color rgb="FFFF0000"/>
        <rFont val="Calibri"/>
        <family val="2"/>
        <scheme val="minor"/>
      </rPr>
      <t xml:space="preserve"> 2,000 hours</t>
    </r>
  </si>
  <si>
    <r>
      <t xml:space="preserve">CFL Torpedo, </t>
    </r>
    <r>
      <rPr>
        <sz val="11"/>
        <color rgb="FFFF0000"/>
        <rFont val="Calibri"/>
        <family val="2"/>
        <scheme val="minor"/>
      </rPr>
      <t>10,000 hours, low brightness (11 watts)</t>
    </r>
  </si>
  <si>
    <r>
      <t>CFL Torpedo,</t>
    </r>
    <r>
      <rPr>
        <sz val="11"/>
        <color rgb="FFFF0000"/>
        <rFont val="Calibri"/>
        <family val="2"/>
        <scheme val="minor"/>
      </rPr>
      <t xml:space="preserve"> 10,000 hours, medium brightness (15 watts)</t>
    </r>
  </si>
  <si>
    <r>
      <t>CFL Torpedo,</t>
    </r>
    <r>
      <rPr>
        <sz val="11"/>
        <color rgb="FFFF0000"/>
        <rFont val="Calibri"/>
        <family val="2"/>
        <scheme val="minor"/>
      </rPr>
      <t xml:space="preserve"> 10,000 hours, low brightness (11 watts)</t>
    </r>
  </si>
  <si>
    <t>LED-backlit,2D, Samsung</t>
  </si>
  <si>
    <t>LED-backlit, 120Hz refresh rate, 2D, Toshiba</t>
  </si>
  <si>
    <t>LED-backlit, 120Hz refresh rate, 3D, Toshiba</t>
  </si>
  <si>
    <t>LED-backlit, 2D, Toshiba</t>
  </si>
  <si>
    <t>LED-backlit, 3D, Toshiba</t>
  </si>
  <si>
    <t>LED-backlit, 3D, Samsung</t>
  </si>
  <si>
    <t>LED-backlit, 1080p, 2D, Toshiba</t>
  </si>
  <si>
    <t>LED-backlit, 1080p, 2D, Samsung</t>
  </si>
  <si>
    <t>LED-backlit, 1080p, 3D, Toshiba</t>
  </si>
  <si>
    <t>LED-backlit, 1080p, 3D, Samsung</t>
  </si>
  <si>
    <t>LED-backlit, 1080p, no DVD, Samsung</t>
  </si>
  <si>
    <t>LED-backlit, no DVD, Samsung</t>
  </si>
  <si>
    <t>LED-backlit, 240Hz refresh rate, 3D, Samsung</t>
  </si>
  <si>
    <t>LED-backlit, DVD included</t>
  </si>
  <si>
    <t>LED-backlit, 1080p, DVD included</t>
  </si>
  <si>
    <t>LED-backlit, 720p, DVD included</t>
  </si>
  <si>
    <t>LED-backlit, 720p, no DVD, Philips</t>
  </si>
  <si>
    <t>CCFL-backlit, 120Hz refresh rate, network connected, LG</t>
  </si>
  <si>
    <t>CCFL-backlit, 120Hz refresh rate, network connected, Visio</t>
  </si>
  <si>
    <t>CCFL-backlit, 120Hz refresh rate, not network connected, LG</t>
  </si>
  <si>
    <t>CCFL-backlit, 120Hz refresh rate, not network connected, Visio</t>
  </si>
  <si>
    <t>CCFL-backlit, 120Hz refresh rate, 2D, network connected, LG</t>
  </si>
  <si>
    <t>CCFL-backlit, 120Hz refresh rate, 3D, network connected, Sony</t>
  </si>
  <si>
    <t>CCFL-backlit, 240Hz refresh rate, network connected, Samsung</t>
  </si>
  <si>
    <t>CCFL-backlit, 240Hz refresh rate, network connected, Sony</t>
  </si>
  <si>
    <t>CCFL-backlit, 1080p, 3D, Samsung</t>
  </si>
  <si>
    <t>CCFL-backlit, 720p, DVD included</t>
  </si>
  <si>
    <t>CCFL-backlit, 1080p, DVD included</t>
  </si>
  <si>
    <t>CCFL-backlit, DVD included</t>
  </si>
  <si>
    <t>CCFL-backlit, 60Hz refresh rate, not network connected, Sony</t>
  </si>
  <si>
    <t>CCFL-backlit, 120Hz refresh rate, 2D, network connected, Samsung</t>
  </si>
  <si>
    <t>CCFL-backlit, 60Hz refresh rate, 3D, not network connected, LG</t>
  </si>
  <si>
    <t>CCFL-backlit, 60Hz refresh rate, not network connected, Samsung</t>
  </si>
  <si>
    <t>CCFL-backlit, 60Hz refresh rate, 2D, not network connected, Sony</t>
  </si>
  <si>
    <t>CCFL-backlit, 120Hz refresh rate, not network connected, Samsung</t>
  </si>
  <si>
    <t>CCFL-backlit, 720p, 2D, Toshiba</t>
  </si>
  <si>
    <t>CCFL-backlit, 720p 2D, Samsung</t>
  </si>
  <si>
    <t>CCFL-backlit, 1080p, 2D, LG</t>
  </si>
  <si>
    <t>CCFL-backlit, 1080p, no DVD</t>
  </si>
  <si>
    <t>CCFL-backlit, 720p, no DVD</t>
  </si>
  <si>
    <t>CCFL-backlit, no DVD</t>
  </si>
  <si>
    <r>
      <t>Incandescent A-Lamp,</t>
    </r>
    <r>
      <rPr>
        <sz val="11"/>
        <color rgb="FFFF0000"/>
        <rFont val="Calibri"/>
        <family val="2"/>
        <scheme val="minor"/>
      </rPr>
      <t xml:space="preserve"> EISA, 1,500 hours, </t>
    </r>
    <r>
      <rPr>
        <sz val="11"/>
        <color theme="1"/>
        <rFont val="Calibri"/>
        <family val="2"/>
        <scheme val="minor"/>
      </rPr>
      <t>low brightness  (40 watts)</t>
    </r>
  </si>
  <si>
    <r>
      <t xml:space="preserve">CFL Twister, </t>
    </r>
    <r>
      <rPr>
        <sz val="11"/>
        <color rgb="FFFF0000"/>
        <rFont val="Calibri"/>
        <family val="2"/>
        <scheme val="minor"/>
      </rPr>
      <t>10,000 hours,</t>
    </r>
    <r>
      <rPr>
        <sz val="11"/>
        <color theme="1"/>
        <rFont val="Calibri"/>
        <family val="2"/>
        <scheme val="minor"/>
      </rPr>
      <t xml:space="preserve"> low brightness  (10 watts)</t>
    </r>
  </si>
  <si>
    <r>
      <t>Incandescent A-Lamp,</t>
    </r>
    <r>
      <rPr>
        <sz val="11"/>
        <color rgb="FFFF0000"/>
        <rFont val="Calibri"/>
        <family val="2"/>
        <scheme val="minor"/>
      </rPr>
      <t xml:space="preserve"> EISA, 1,500 hours,</t>
    </r>
    <r>
      <rPr>
        <sz val="11"/>
        <color theme="1"/>
        <rFont val="Calibri"/>
        <family val="2"/>
        <scheme val="minor"/>
      </rPr>
      <t xml:space="preserve"> medium brightness  (60 watts)</t>
    </r>
  </si>
  <si>
    <r>
      <t>CFL Twister,</t>
    </r>
    <r>
      <rPr>
        <sz val="11"/>
        <color rgb="FFFF0000"/>
        <rFont val="Calibri"/>
        <family val="2"/>
        <scheme val="minor"/>
      </rPr>
      <t xml:space="preserve"> 10,000 hours, </t>
    </r>
    <r>
      <rPr>
        <sz val="11"/>
        <color theme="1"/>
        <rFont val="Calibri"/>
        <family val="2"/>
        <scheme val="minor"/>
      </rPr>
      <t>medium brightness  (15 watts)</t>
    </r>
  </si>
  <si>
    <r>
      <t xml:space="preserve">Incandescent A-Lamp, </t>
    </r>
    <r>
      <rPr>
        <sz val="11"/>
        <color rgb="FFFF0000"/>
        <rFont val="Calibri"/>
        <family val="2"/>
        <scheme val="minor"/>
      </rPr>
      <t xml:space="preserve">EISA, 1,500 hours, </t>
    </r>
    <r>
      <rPr>
        <sz val="11"/>
        <color theme="1"/>
        <rFont val="Calibri"/>
        <family val="2"/>
        <scheme val="minor"/>
      </rPr>
      <t>high brightness  (90 watts)</t>
    </r>
  </si>
  <si>
    <r>
      <t xml:space="preserve">CFL Twister, </t>
    </r>
    <r>
      <rPr>
        <sz val="11"/>
        <color rgb="FFFF0000"/>
        <rFont val="Calibri"/>
        <family val="2"/>
        <scheme val="minor"/>
      </rPr>
      <t xml:space="preserve">10,000 hours, </t>
    </r>
    <r>
      <rPr>
        <sz val="11"/>
        <color theme="1"/>
        <rFont val="Calibri"/>
        <family val="2"/>
        <scheme val="minor"/>
      </rPr>
      <t>high brightness  (25 watts)</t>
    </r>
  </si>
  <si>
    <t>CFL Reflector, medium brightness  (15 watts)</t>
  </si>
  <si>
    <t>CFL Reflector, high brightness  (25 watts)</t>
  </si>
  <si>
    <r>
      <t>Incandescent Reflector,</t>
    </r>
    <r>
      <rPr>
        <sz val="11"/>
        <color rgb="FFFF0000"/>
        <rFont val="Calibri"/>
        <family val="2"/>
        <scheme val="minor"/>
      </rPr>
      <t xml:space="preserve"> 2,000 hours, </t>
    </r>
    <r>
      <rPr>
        <sz val="11"/>
        <color theme="1"/>
        <rFont val="Calibri"/>
        <family val="2"/>
        <scheme val="minor"/>
      </rPr>
      <t>medium brightness  (60 watts)</t>
    </r>
  </si>
  <si>
    <r>
      <t>Incandescent Reflector,</t>
    </r>
    <r>
      <rPr>
        <sz val="11"/>
        <color rgb="FFFF0000"/>
        <rFont val="Calibri"/>
        <family val="2"/>
        <scheme val="minor"/>
      </rPr>
      <t xml:space="preserve"> 2,000 hours, </t>
    </r>
    <r>
      <rPr>
        <sz val="11"/>
        <color theme="1"/>
        <rFont val="Calibri"/>
        <family val="2"/>
        <scheme val="minor"/>
      </rPr>
      <t>high brightness  (90 watts)</t>
    </r>
  </si>
  <si>
    <r>
      <t>Incandescent Globe,</t>
    </r>
    <r>
      <rPr>
        <sz val="11"/>
        <color rgb="FFFF0000"/>
        <rFont val="Calibri"/>
        <family val="2"/>
        <scheme val="minor"/>
      </rPr>
      <t xml:space="preserve"> 2,000 hours, </t>
    </r>
    <r>
      <rPr>
        <sz val="11"/>
        <color theme="1"/>
        <rFont val="Calibri"/>
        <family val="2"/>
        <scheme val="minor"/>
      </rPr>
      <t>low brightness  (40 watts)</t>
    </r>
  </si>
  <si>
    <r>
      <t xml:space="preserve">Incandescent Globe, </t>
    </r>
    <r>
      <rPr>
        <sz val="11"/>
        <color rgb="FFFF0000"/>
        <rFont val="Calibri"/>
        <family val="2"/>
        <scheme val="minor"/>
      </rPr>
      <t xml:space="preserve">2,000 hours, </t>
    </r>
    <r>
      <rPr>
        <sz val="11"/>
        <color theme="1"/>
        <rFont val="Calibri"/>
        <family val="2"/>
        <scheme val="minor"/>
      </rPr>
      <t>medium brightness  (60 watts)</t>
    </r>
  </si>
  <si>
    <r>
      <t>LED A-Lamp,</t>
    </r>
    <r>
      <rPr>
        <sz val="11"/>
        <color rgb="FFFF0000"/>
        <rFont val="Calibri"/>
        <family val="2"/>
        <scheme val="minor"/>
      </rPr>
      <t xml:space="preserve"> Energy Star,</t>
    </r>
    <r>
      <rPr>
        <sz val="11"/>
        <color theme="1"/>
        <rFont val="Calibri"/>
        <family val="2"/>
        <scheme val="minor"/>
      </rPr>
      <t xml:space="preserve"> low brightness (9 watts)</t>
    </r>
  </si>
  <si>
    <r>
      <t>CFL Twister,</t>
    </r>
    <r>
      <rPr>
        <sz val="11"/>
        <color rgb="FFFF0000"/>
        <rFont val="Calibri"/>
        <family val="2"/>
        <scheme val="minor"/>
      </rPr>
      <t xml:space="preserve"> 10,000 hours,</t>
    </r>
    <r>
      <rPr>
        <sz val="11"/>
        <color theme="1"/>
        <rFont val="Calibri"/>
        <family val="2"/>
        <scheme val="minor"/>
      </rPr>
      <t xml:space="preserve"> low brightness  (10 watts)</t>
    </r>
  </si>
  <si>
    <r>
      <t>LED A-Lamp,</t>
    </r>
    <r>
      <rPr>
        <sz val="11"/>
        <color rgb="FFFF0000"/>
        <rFont val="Calibri"/>
        <family val="2"/>
        <scheme val="minor"/>
      </rPr>
      <t xml:space="preserve"> Energy Star,</t>
    </r>
    <r>
      <rPr>
        <sz val="11"/>
        <color theme="1"/>
        <rFont val="Calibri"/>
        <family val="2"/>
        <scheme val="minor"/>
      </rPr>
      <t xml:space="preserve"> medium brightness (12 watts)</t>
    </r>
  </si>
  <si>
    <r>
      <t>CFL Twister,</t>
    </r>
    <r>
      <rPr>
        <sz val="11"/>
        <color rgb="FFFF0000"/>
        <rFont val="Calibri"/>
        <family val="2"/>
        <scheme val="minor"/>
      </rPr>
      <t xml:space="preserve"> 20,000 hours, </t>
    </r>
    <r>
      <rPr>
        <sz val="11"/>
        <color theme="1"/>
        <rFont val="Calibri"/>
        <family val="2"/>
        <scheme val="minor"/>
      </rPr>
      <t>medium brightness  (15 watts)</t>
    </r>
  </si>
  <si>
    <r>
      <t xml:space="preserve">LED Reflector, </t>
    </r>
    <r>
      <rPr>
        <sz val="11"/>
        <color rgb="FFFF0000"/>
        <rFont val="Calibri"/>
        <family val="2"/>
        <scheme val="minor"/>
      </rPr>
      <t xml:space="preserve">Energy Star, </t>
    </r>
    <r>
      <rPr>
        <sz val="11"/>
        <color theme="1"/>
        <rFont val="Calibri"/>
        <family val="2"/>
        <scheme val="minor"/>
      </rPr>
      <t>medium brightness (15 watts)</t>
    </r>
  </si>
  <si>
    <r>
      <t>CFL Reflector,</t>
    </r>
    <r>
      <rPr>
        <sz val="11"/>
        <color rgb="FFFF0000"/>
        <rFont val="Calibri"/>
        <family val="2"/>
        <scheme val="minor"/>
      </rPr>
      <t xml:space="preserve"> </t>
    </r>
    <r>
      <rPr>
        <sz val="11"/>
        <color theme="1"/>
        <rFont val="Calibri"/>
        <family val="2"/>
        <scheme val="minor"/>
      </rPr>
      <t>medium brightness  (15 watts)</t>
    </r>
  </si>
  <si>
    <r>
      <t>LED Reflector,</t>
    </r>
    <r>
      <rPr>
        <sz val="11"/>
        <color rgb="FFFF0000"/>
        <rFont val="Calibri"/>
        <family val="2"/>
        <scheme val="minor"/>
      </rPr>
      <t xml:space="preserve"> Energy Star, </t>
    </r>
    <r>
      <rPr>
        <sz val="11"/>
        <color theme="1"/>
        <rFont val="Calibri"/>
        <family val="2"/>
        <scheme val="minor"/>
      </rPr>
      <t>medium brightness (15 watts)</t>
    </r>
  </si>
  <si>
    <r>
      <t>LED Reflector,</t>
    </r>
    <r>
      <rPr>
        <sz val="11"/>
        <color rgb="FFFF0000"/>
        <rFont val="Calibri"/>
        <family val="2"/>
        <scheme val="minor"/>
      </rPr>
      <t xml:space="preserve"> Energy Star, </t>
    </r>
    <r>
      <rPr>
        <sz val="11"/>
        <color theme="1"/>
        <rFont val="Calibri"/>
        <family val="2"/>
        <scheme val="minor"/>
      </rPr>
      <t>high brightness (22 watts)</t>
    </r>
  </si>
  <si>
    <r>
      <t>CFL Reflector,</t>
    </r>
    <r>
      <rPr>
        <sz val="11"/>
        <color rgb="FFFF0000"/>
        <rFont val="Calibri"/>
        <family val="2"/>
        <scheme val="minor"/>
      </rPr>
      <t xml:space="preserve"> </t>
    </r>
    <r>
      <rPr>
        <sz val="11"/>
        <color theme="1"/>
        <rFont val="Calibri"/>
        <family val="2"/>
        <scheme val="minor"/>
      </rPr>
      <t>high brightness  (25 watts)</t>
    </r>
  </si>
  <si>
    <r>
      <t xml:space="preserve">LED Globe, </t>
    </r>
    <r>
      <rPr>
        <sz val="11"/>
        <color rgb="FFFF0000"/>
        <rFont val="Calibri"/>
        <family val="2"/>
        <scheme val="minor"/>
      </rPr>
      <t>Energy Star, 30,000 hours,</t>
    </r>
    <r>
      <rPr>
        <sz val="11"/>
        <color theme="1"/>
        <rFont val="Calibri"/>
        <family val="2"/>
        <scheme val="minor"/>
      </rPr>
      <t xml:space="preserve"> low brightness (8 watts)</t>
    </r>
  </si>
  <si>
    <r>
      <t>LED Globe,</t>
    </r>
    <r>
      <rPr>
        <sz val="11"/>
        <color rgb="FFFF0000"/>
        <rFont val="Calibri"/>
        <family val="2"/>
        <scheme val="minor"/>
      </rPr>
      <t xml:space="preserve"> Energy Star, 30,000 hours, </t>
    </r>
    <r>
      <rPr>
        <sz val="11"/>
        <color theme="1"/>
        <rFont val="Calibri"/>
        <family val="2"/>
        <scheme val="minor"/>
      </rPr>
      <t>low brightness (8 watts)</t>
    </r>
  </si>
  <si>
    <r>
      <t>LED Torpedo,</t>
    </r>
    <r>
      <rPr>
        <sz val="11"/>
        <color rgb="FFFF0000"/>
        <rFont val="Calibri"/>
        <family val="2"/>
        <scheme val="minor"/>
      </rPr>
      <t xml:space="preserve"> </t>
    </r>
    <r>
      <rPr>
        <sz val="11"/>
        <color theme="1"/>
        <rFont val="Calibri"/>
        <family val="2"/>
        <scheme val="minor"/>
      </rPr>
      <t>low brightness (4 watts)</t>
    </r>
  </si>
  <si>
    <r>
      <t>LED Torpedo,</t>
    </r>
    <r>
      <rPr>
        <sz val="11"/>
        <color theme="1"/>
        <rFont val="Calibri"/>
        <family val="2"/>
        <scheme val="minor"/>
      </rPr>
      <t xml:space="preserve"> low brightness (4 watts)</t>
    </r>
  </si>
  <si>
    <t>HID Lamps</t>
  </si>
  <si>
    <t>Lumens per watt</t>
  </si>
  <si>
    <t>Color Temp (K)</t>
  </si>
  <si>
    <t>CRI</t>
  </si>
  <si>
    <t>Start Type</t>
  </si>
  <si>
    <t>Shape</t>
  </si>
  <si>
    <t>Rating</t>
  </si>
  <si>
    <t>High Output</t>
  </si>
  <si>
    <t>Integrated Ballast</t>
  </si>
  <si>
    <t>25-1500</t>
  </si>
  <si>
    <t>11-120</t>
  </si>
  <si>
    <t>3000-4300</t>
  </si>
  <si>
    <t>60-93</t>
  </si>
  <si>
    <t>Probe</t>
  </si>
  <si>
    <t>Pulse</t>
  </si>
  <si>
    <t>Both</t>
  </si>
  <si>
    <t>Elliptical</t>
  </si>
  <si>
    <t>PAR</t>
  </si>
  <si>
    <t>Tubular</t>
  </si>
  <si>
    <t>E</t>
  </si>
  <si>
    <t>O</t>
  </si>
  <si>
    <t>S</t>
  </si>
  <si>
    <t>To be combined with ballast model</t>
  </si>
  <si>
    <t>Motor Type</t>
  </si>
  <si>
    <t>PSC</t>
  </si>
  <si>
    <t>High-efficiency PSC</t>
  </si>
  <si>
    <t>ECM/X13</t>
  </si>
  <si>
    <t>Horsepower</t>
  </si>
  <si>
    <t>0.167-1 (1/6 - 1 hp)</t>
  </si>
  <si>
    <t>Reverisble</t>
  </si>
  <si>
    <t>0.5 hp</t>
  </si>
  <si>
    <t>Brushless</t>
  </si>
  <si>
    <t>Footcandle Range</t>
  </si>
  <si>
    <t>0-10000</t>
  </si>
  <si>
    <t>Outdoor Use</t>
  </si>
  <si>
    <t>Mounting Type</t>
  </si>
  <si>
    <t xml:space="preserve">Other </t>
  </si>
  <si>
    <t xml:space="preserve">Categorical </t>
  </si>
  <si>
    <t>Vertical</t>
  </si>
  <si>
    <t>Horizontal</t>
  </si>
  <si>
    <t>Cooper</t>
  </si>
  <si>
    <t>Intermatic</t>
  </si>
  <si>
    <t>Quest</t>
  </si>
  <si>
    <t>Atlite</t>
  </si>
  <si>
    <t>Lamar</t>
  </si>
  <si>
    <t>Lutron</t>
  </si>
  <si>
    <t>SureLites</t>
  </si>
  <si>
    <t>17-64 (full output)</t>
  </si>
  <si>
    <t>60-67(full output)</t>
  </si>
  <si>
    <t>(Do not delete this row; see cells at right)</t>
  </si>
  <si>
    <t>24-191</t>
  </si>
  <si>
    <t>29-225</t>
  </si>
  <si>
    <t>7-55</t>
  </si>
  <si>
    <t>3-32, 40, 42, 55, 60, 80, 100, 200</t>
  </si>
  <si>
    <t>15-100, 120, 135, 150, 175, 200, 250, 300, 400, 500, 750, 1000</t>
  </si>
  <si>
    <t>1-30</t>
  </si>
  <si>
    <t>1-5</t>
  </si>
  <si>
    <t>15.0 (&lt;3W)
25.0 (&gt;=3W)</t>
  </si>
  <si>
    <t>2-31</t>
  </si>
  <si>
    <t>2-3</t>
  </si>
  <si>
    <t>2-9</t>
  </si>
  <si>
    <t xml:space="preserve">Continuous </t>
  </si>
  <si>
    <t>4-21</t>
  </si>
  <si>
    <t>Large-Sample Validation Summary/Additional Documentation Narratives</t>
  </si>
  <si>
    <t>Residential HVAC Fan Motors</t>
  </si>
  <si>
    <t>0.5 HP Permanent Split Capacitor Motor</t>
  </si>
  <si>
    <t>0.5 HP Brushless Fan Motor</t>
  </si>
  <si>
    <t>No Photocell</t>
  </si>
  <si>
    <r>
      <t xml:space="preserve">Add photocell to existing timeclock control </t>
    </r>
    <r>
      <rPr>
        <sz val="11"/>
        <color rgb="FFFF0000"/>
        <rFont val="Calibri"/>
        <family val="2"/>
        <scheme val="minor"/>
      </rPr>
      <t>assumed footcandle range of 5000 footcandles</t>
    </r>
  </si>
  <si>
    <t>Parameter</t>
  </si>
  <si>
    <r>
      <t xml:space="preserve">Standard two lamp 4 foot linear fluorescent fixture - </t>
    </r>
    <r>
      <rPr>
        <sz val="11"/>
        <color rgb="FFFF0000"/>
        <rFont val="Calibri"/>
        <family val="2"/>
        <scheme val="minor"/>
      </rPr>
      <t>assumed 64 fixture watts</t>
    </r>
  </si>
  <si>
    <r>
      <t xml:space="preserve">Two lamp 4 foot 64 watt linear fluorescent fixture with integrated occupancy sensor - </t>
    </r>
    <r>
      <rPr>
        <sz val="11"/>
        <color rgb="FFFF0000"/>
        <rFont val="Calibri"/>
        <family val="2"/>
        <scheme val="minor"/>
      </rPr>
      <t>no dimming or emergency ballast</t>
    </r>
  </si>
  <si>
    <r>
      <t xml:space="preserve">Two lamp 4 foot 64 watt linear fluorescent fixture with integrated occupancy sensor - </t>
    </r>
    <r>
      <rPr>
        <sz val="11"/>
        <color rgb="FFFF0000"/>
        <rFont val="Calibri"/>
        <family val="2"/>
        <scheme val="minor"/>
      </rPr>
      <t>no dimming w/ emergency ballast</t>
    </r>
  </si>
  <si>
    <r>
      <t xml:space="preserve">Two lamp 4 foot 64 watt linear fluorescent fixture with integrated occupancy sensor - </t>
    </r>
    <r>
      <rPr>
        <sz val="11"/>
        <color rgb="FFFF0000"/>
        <rFont val="Calibri"/>
        <family val="2"/>
        <scheme val="minor"/>
      </rPr>
      <t>w/ dimming w/ emergency ballast</t>
    </r>
  </si>
  <si>
    <t>n/a</t>
  </si>
  <si>
    <t>Appliances and Electronics</t>
  </si>
  <si>
    <t>Residential HVAC</t>
  </si>
  <si>
    <t>Non-Residential HVAC</t>
  </si>
  <si>
    <t>Residential Water Heating</t>
  </si>
  <si>
    <t>Non-Residential Water Heating</t>
  </si>
  <si>
    <t>Residential Building Shell</t>
  </si>
  <si>
    <t>Non-Residential Building Shell</t>
  </si>
  <si>
    <t>Lighting - Ballasts</t>
  </si>
  <si>
    <t>Lighting - Controls</t>
  </si>
  <si>
    <t>For more information, please contact:</t>
  </si>
  <si>
    <t>Mike Ting</t>
  </si>
  <si>
    <t>Itron Project Manager</t>
  </si>
  <si>
    <t>Phone:</t>
  </si>
  <si>
    <t>(510) 844-2883</t>
  </si>
  <si>
    <t>Email:</t>
  </si>
  <si>
    <t>michael.ting@itron.com</t>
  </si>
  <si>
    <t>Katie Wu</t>
  </si>
  <si>
    <t>CPUC Energy Division Project Manager</t>
  </si>
  <si>
    <t xml:space="preserve">Phone: </t>
  </si>
  <si>
    <t>(415) 703-2452</t>
  </si>
  <si>
    <t xml:space="preserve">katie.wu@cpuc.ca.gov  </t>
  </si>
  <si>
    <t>Itron, Inc.</t>
  </si>
  <si>
    <t>1111 Broadway, Suite 1800</t>
  </si>
  <si>
    <t>Oakland, CA  94607</t>
  </si>
  <si>
    <t>Lighting - Lamps</t>
  </si>
  <si>
    <t xml:space="preserve">Room AC 
(cooling only, window units only)
</t>
  </si>
  <si>
    <t>Gas Furnaces 
(residential)</t>
  </si>
  <si>
    <t xml:space="preserve">Fan VFDs 
(&gt;10hp)
</t>
  </si>
  <si>
    <t xml:space="preserve">Fan VFDs 
(&lt;= 10hp)
</t>
  </si>
  <si>
    <t>Direct Evaporative Coolers 
(non-residential)</t>
  </si>
  <si>
    <t>Small Packaged DX 
(&lt;= 5 tons)</t>
  </si>
  <si>
    <t xml:space="preserve">Large Packaged DX 
(&gt; 5 tons) </t>
  </si>
  <si>
    <t>Water-Cooled Chillers 
(excluding centrifugal VSD)</t>
  </si>
  <si>
    <t>Large Packaged HP 
(65,000 - 240,000 Btuh)</t>
  </si>
  <si>
    <t>Steam Boilers 
(non-process)</t>
  </si>
  <si>
    <t>Refrigerators 
(full size residential)</t>
  </si>
  <si>
    <t>Clothes Washers 
(side by side, top loading)</t>
  </si>
  <si>
    <t xml:space="preserve">Clothes Washers 
(stackable, front loading) </t>
  </si>
  <si>
    <t>Small-Sample Validation / Benchmarking Summary</t>
  </si>
  <si>
    <r>
      <t xml:space="preserve">Air cooled package screw chiller (1.260 kW/ton)  </t>
    </r>
    <r>
      <rPr>
        <sz val="11"/>
        <color rgb="FFFF0000"/>
        <rFont val="Calibri"/>
        <family val="2"/>
        <scheme val="minor"/>
      </rPr>
      <t>assumed 130 ton</t>
    </r>
  </si>
  <si>
    <r>
      <t>Air cooled screw chiller (1.008 kW/ton)</t>
    </r>
    <r>
      <rPr>
        <sz val="11"/>
        <color rgb="FFFF0000"/>
        <rFont val="Calibri"/>
        <family val="2"/>
        <scheme val="minor"/>
      </rPr>
      <t xml:space="preserve"> assumed 130 ton</t>
    </r>
  </si>
  <si>
    <t>Air cooled package Scroll chiller (1.260 kW/ton) assumed 50 ton</t>
  </si>
  <si>
    <t>Air cooled Scroll chiller (1.008 kW/ton) assumed 50 ton</t>
  </si>
  <si>
    <r>
      <t>Pkg HP SEER = 13.0 (&lt; 65 kbtuh)</t>
    </r>
    <r>
      <rPr>
        <sz val="11"/>
        <color rgb="FFFF0000"/>
        <rFont val="Calibri"/>
        <family val="2"/>
        <scheme val="minor"/>
      </rPr>
      <t xml:space="preserve"> assumed 60,000 btuh capacity</t>
    </r>
  </si>
  <si>
    <r>
      <t xml:space="preserve">Pkg HP SEER = 14.0 (&lt; 65 kbtuh), EER = 11.6, HSPF = 8.00, COP = 3.52  </t>
    </r>
    <r>
      <rPr>
        <sz val="11"/>
        <color rgb="FFFF0000"/>
        <rFont val="Calibri"/>
        <family val="2"/>
        <scheme val="minor"/>
      </rPr>
      <t>assumed 60,000 btuh capacity</t>
    </r>
  </si>
  <si>
    <r>
      <t>Pkg HP SEER = 15.0 (&lt; 65 kbtuh), EER = 12.0, HSPF = 8.50, COP = 3.74</t>
    </r>
    <r>
      <rPr>
        <sz val="11"/>
        <color rgb="FFFF0000"/>
        <rFont val="Calibri"/>
        <family val="2"/>
        <scheme val="minor"/>
      </rPr>
      <t xml:space="preserve">  assumed 60,000 btuh capacity</t>
    </r>
  </si>
  <si>
    <r>
      <t xml:space="preserve">Pkg HP SEER = 14.5 (&lt; 65 kBtuh) - Combined SEER 14 and SEER 15 hp </t>
    </r>
    <r>
      <rPr>
        <sz val="11"/>
        <color rgb="FFFF0000"/>
        <rFont val="Calibri"/>
        <family val="2"/>
        <scheme val="minor"/>
      </rPr>
      <t xml:space="preserve"> assumed 60,000 btuh capacity</t>
    </r>
  </si>
  <si>
    <r>
      <t xml:space="preserve">Pkg HP EER = 10.9 </t>
    </r>
    <r>
      <rPr>
        <sz val="11"/>
        <color rgb="FFFF0000"/>
        <rFont val="Calibri"/>
        <family val="2"/>
        <scheme val="minor"/>
      </rPr>
      <t>assumed 120 kBtuh capacity</t>
    </r>
  </si>
  <si>
    <r>
      <t xml:space="preserve">Pkg HP EER = 10.5 (135-239 kBtuh), COP = 3.2 </t>
    </r>
    <r>
      <rPr>
        <sz val="11"/>
        <color rgb="FFFF0000"/>
        <rFont val="Calibri"/>
        <family val="2"/>
        <scheme val="minor"/>
      </rPr>
      <t>assumed 180 kBtuh capacity</t>
    </r>
  </si>
  <si>
    <r>
      <t xml:space="preserve">Pkg HP EER = 10.5 </t>
    </r>
    <r>
      <rPr>
        <sz val="11"/>
        <color rgb="FFFF0000"/>
        <rFont val="Calibri"/>
        <family val="2"/>
        <scheme val="minor"/>
      </rPr>
      <t>assumed 360 kBtuh capacity</t>
    </r>
  </si>
  <si>
    <r>
      <t xml:space="preserve">Pkg HP EER = 11.0 </t>
    </r>
    <r>
      <rPr>
        <sz val="11"/>
        <color rgb="FFFF0000"/>
        <rFont val="Calibri"/>
        <family val="2"/>
        <scheme val="minor"/>
      </rPr>
      <t>assumed 120 kBtuh capacity</t>
    </r>
  </si>
  <si>
    <r>
      <t xml:space="preserve">Steam boiler (&gt; 2500 kBtuh; </t>
    </r>
    <r>
      <rPr>
        <sz val="11"/>
        <color rgb="FFFF0000"/>
        <rFont val="Calibri"/>
        <family val="2"/>
        <scheme val="minor"/>
      </rPr>
      <t>77.0% thermal efficiency;</t>
    </r>
    <r>
      <rPr>
        <sz val="11"/>
        <color theme="1"/>
        <rFont val="Calibri"/>
        <family val="2"/>
        <scheme val="minor"/>
      </rPr>
      <t xml:space="preserve"> atmospheric) </t>
    </r>
    <r>
      <rPr>
        <sz val="11"/>
        <color rgb="FFFF0000"/>
        <rFont val="Calibri"/>
        <family val="2"/>
        <scheme val="minor"/>
      </rPr>
      <t>assumed 3,000 kBtuh</t>
    </r>
  </si>
  <si>
    <r>
      <t>Steam boiler (&gt; 2500 kBtuh, 80.0%</t>
    </r>
    <r>
      <rPr>
        <sz val="11"/>
        <color rgb="FFFF0000"/>
        <rFont val="Calibri"/>
        <family val="2"/>
        <scheme val="minor"/>
      </rPr>
      <t xml:space="preserve"> thermal efficiency, a</t>
    </r>
    <r>
      <rPr>
        <sz val="11"/>
        <color theme="1"/>
        <rFont val="Calibri"/>
        <family val="2"/>
        <scheme val="minor"/>
      </rPr>
      <t xml:space="preserve">tmospheric) </t>
    </r>
    <r>
      <rPr>
        <sz val="11"/>
        <color rgb="FFFF0000"/>
        <rFont val="Calibri"/>
        <family val="2"/>
        <scheme val="minor"/>
      </rPr>
      <t>assumed 3,000 kBtuh</t>
    </r>
  </si>
  <si>
    <r>
      <t>Steam boiler (&gt; 2500 kBtuh, 80.0%</t>
    </r>
    <r>
      <rPr>
        <sz val="11"/>
        <color rgb="FFFF0000"/>
        <rFont val="Calibri"/>
        <family val="2"/>
        <scheme val="minor"/>
      </rPr>
      <t xml:space="preserve"> thermal efficiency,</t>
    </r>
    <r>
      <rPr>
        <sz val="11"/>
        <color theme="1"/>
        <rFont val="Calibri"/>
        <family val="2"/>
        <scheme val="minor"/>
      </rPr>
      <t xml:space="preserve"> forced draft) </t>
    </r>
    <r>
      <rPr>
        <sz val="11"/>
        <color rgb="FFFF0000"/>
        <rFont val="Calibri"/>
        <family val="2"/>
        <scheme val="minor"/>
      </rPr>
      <t>assumed 3,000 kBtuh</t>
    </r>
  </si>
  <si>
    <r>
      <t xml:space="preserve">Steam boiler (&lt; 300 kBtuh, 82.0 </t>
    </r>
    <r>
      <rPr>
        <sz val="11"/>
        <color rgb="FFFF0000"/>
        <rFont val="Calibri"/>
        <family val="2"/>
        <scheme val="minor"/>
      </rPr>
      <t>thermal efficiency</t>
    </r>
    <r>
      <rPr>
        <sz val="11"/>
        <color theme="1"/>
        <rFont val="Calibri"/>
        <family val="2"/>
        <scheme val="minor"/>
      </rPr>
      <t xml:space="preserve">, forced draft) </t>
    </r>
    <r>
      <rPr>
        <sz val="11"/>
        <color rgb="FFFF0000"/>
        <rFont val="Calibri"/>
        <family val="2"/>
        <scheme val="minor"/>
      </rPr>
      <t>assumed 250 kBtuh</t>
    </r>
  </si>
  <si>
    <r>
      <t xml:space="preserve">Steam boiler (&lt; 300 kBtuh, 82.0 </t>
    </r>
    <r>
      <rPr>
        <sz val="11"/>
        <color rgb="FFFF0000"/>
        <rFont val="Calibri"/>
        <family val="2"/>
        <scheme val="minor"/>
      </rPr>
      <t>thermal efficiency</t>
    </r>
    <r>
      <rPr>
        <sz val="11"/>
        <color theme="1"/>
        <rFont val="Calibri"/>
        <family val="2"/>
        <scheme val="minor"/>
      </rPr>
      <t xml:space="preserve">, atmospheric) </t>
    </r>
    <r>
      <rPr>
        <sz val="11"/>
        <color rgb="FFFF0000"/>
        <rFont val="Calibri"/>
        <family val="2"/>
        <scheme val="minor"/>
      </rPr>
      <t>assumed 250 kBtuh</t>
    </r>
  </si>
  <si>
    <r>
      <t xml:space="preserve">Steam boiler (&lt;300 kBtuh; </t>
    </r>
    <r>
      <rPr>
        <sz val="11"/>
        <color rgb="FFFF0000"/>
        <rFont val="Calibri"/>
        <family val="2"/>
        <scheme val="minor"/>
      </rPr>
      <t>80.0%</t>
    </r>
    <r>
      <rPr>
        <sz val="11"/>
        <color theme="1"/>
        <rFont val="Calibri"/>
        <family val="2"/>
        <scheme val="minor"/>
      </rPr>
      <t xml:space="preserve"> </t>
    </r>
    <r>
      <rPr>
        <sz val="11"/>
        <color rgb="FFFF0000"/>
        <rFont val="Calibri"/>
        <family val="2"/>
        <scheme val="minor"/>
      </rPr>
      <t>thermal efficiency</t>
    </r>
    <r>
      <rPr>
        <sz val="11"/>
        <color theme="1"/>
        <rFont val="Calibri"/>
        <family val="2"/>
        <scheme val="minor"/>
      </rPr>
      <t xml:space="preserve">; atmospheric) </t>
    </r>
    <r>
      <rPr>
        <sz val="11"/>
        <color rgb="FFFF0000"/>
        <rFont val="Calibri"/>
        <family val="2"/>
        <scheme val="minor"/>
      </rPr>
      <t>assumed 250 kBtuh</t>
    </r>
  </si>
  <si>
    <t>Steam boiler (300-2500 kBtuh; 80.0% thermal efficiency; atmospheric) assumed 1400 kBtuh</t>
  </si>
  <si>
    <t>Steam boiler (300-2500 kBtuh, 85.0% thermal efficiency, atmospheric) assumed 1400 kBtuh</t>
  </si>
  <si>
    <t>Steam boiler (300-2500 kBtuh, 85.0% thermal efficiency, forced draft) assumed 600 kBtuh</t>
  </si>
  <si>
    <t>Steam boiler (&gt; 2500 kBtuh; 77.0% thermal efficiency; atmospheric) assumed 3,000 kBtuh</t>
  </si>
  <si>
    <t>Steam boiler (&gt; 2500 kBtuh, 80.0% thermal efficiency, atmospheric) assumed 3,000 kBtuh</t>
  </si>
  <si>
    <t>Steam boiler (&lt;300 kBtuh; 80.0% thermal efficiency; atmospheric) assumed 250 kBtuh</t>
  </si>
  <si>
    <t>Steam boiler (&lt; 300 kBtuh, 82.0 thermal efficiency, atmospheric) assumed 250 kBtuh</t>
  </si>
  <si>
    <t>Steam boiler (&lt; 300 kBtuh, 82.0 thermal efficiency, forced draft) assumed 200 kBtuh</t>
  </si>
  <si>
    <t>Steam boiler (300-2500 kBtuh, 80.0% thermal efficiency, forced draft) assumed 1000 kBtuh</t>
  </si>
  <si>
    <t>no benchmarck data available in DEER 2001, 2005, 2008, workpapers or RS Means that I have found</t>
  </si>
  <si>
    <r>
      <t xml:space="preserve">Two lamp 4 foot 64 watt linear fluorescent fixture with integrated occupancy sensor - </t>
    </r>
    <r>
      <rPr>
        <sz val="11"/>
        <color rgb="FFFF0000"/>
        <rFont val="Calibri"/>
        <family val="2"/>
        <scheme val="minor"/>
      </rPr>
      <t>w/ dimming no emergency ballast</t>
    </r>
  </si>
  <si>
    <r>
      <t xml:space="preserve">Hot water boiler (&gt; 2500 kBtuh; </t>
    </r>
    <r>
      <rPr>
        <sz val="11"/>
        <color rgb="FFFF0000"/>
        <rFont val="Calibri"/>
        <family val="2"/>
        <scheme val="minor"/>
      </rPr>
      <t>82.0%</t>
    </r>
    <r>
      <rPr>
        <sz val="11"/>
        <color theme="1"/>
        <rFont val="Calibri"/>
        <family val="2"/>
        <scheme val="minor"/>
      </rPr>
      <t xml:space="preserve"> thermal efficiency; atmospheric) </t>
    </r>
    <r>
      <rPr>
        <sz val="11"/>
        <color rgb="FFFF0000"/>
        <rFont val="Calibri"/>
        <family val="2"/>
        <scheme val="minor"/>
      </rPr>
      <t>assumed 3,000 kBtuh</t>
    </r>
  </si>
  <si>
    <r>
      <t>Hot water boiler (&gt; 2500 kBtuh, 85.0% thermal efficiency, atmospheric)</t>
    </r>
    <r>
      <rPr>
        <sz val="11"/>
        <color rgb="FFFF0000"/>
        <rFont val="Calibri"/>
        <family val="2"/>
        <scheme val="minor"/>
      </rPr>
      <t xml:space="preserve"> assumed 3,000 kBtuh</t>
    </r>
  </si>
  <si>
    <r>
      <t xml:space="preserve">Hot water boiler (&gt; 2500 kBtuh, 85.0% thermal efficiency, forced draft) </t>
    </r>
    <r>
      <rPr>
        <sz val="11"/>
        <color rgb="FFFF0000"/>
        <rFont val="Calibri"/>
        <family val="2"/>
        <scheme val="minor"/>
      </rPr>
      <t>assumed 3,000 kBtuh</t>
    </r>
  </si>
  <si>
    <r>
      <t xml:space="preserve">Hot water boiler (&gt; 2500 kBtuh, 85.0% </t>
    </r>
    <r>
      <rPr>
        <sz val="11"/>
        <color rgb="FFFF0000"/>
        <rFont val="Calibri"/>
        <family val="2"/>
        <scheme val="minor"/>
      </rPr>
      <t>thermal</t>
    </r>
    <r>
      <rPr>
        <sz val="11"/>
        <color theme="1"/>
        <rFont val="Calibri"/>
        <family val="2"/>
        <scheme val="minor"/>
      </rPr>
      <t xml:space="preserve"> efficiency, forced draft) </t>
    </r>
    <r>
      <rPr>
        <sz val="11"/>
        <color rgb="FFFF0000"/>
        <rFont val="Calibri"/>
        <family val="2"/>
        <scheme val="minor"/>
      </rPr>
      <t>assumed 3,000 kBtuh</t>
    </r>
  </si>
  <si>
    <r>
      <t xml:space="preserve">Hot water boiler (&gt; 2500 kBtuh, 85.0% </t>
    </r>
    <r>
      <rPr>
        <sz val="11"/>
        <color rgb="FFFF0000"/>
        <rFont val="Calibri"/>
        <family val="2"/>
        <scheme val="minor"/>
      </rPr>
      <t>thermal</t>
    </r>
    <r>
      <rPr>
        <sz val="11"/>
        <color theme="1"/>
        <rFont val="Calibri"/>
        <family val="2"/>
        <scheme val="minor"/>
      </rPr>
      <t xml:space="preserve"> efficiency, atmospheric)</t>
    </r>
    <r>
      <rPr>
        <sz val="11"/>
        <color rgb="FFFF0000"/>
        <rFont val="Calibri"/>
        <family val="2"/>
        <scheme val="minor"/>
      </rPr>
      <t xml:space="preserve"> assumed 3,000 kBtuh</t>
    </r>
  </si>
  <si>
    <r>
      <t xml:space="preserve">Hot water boiler (&gt; 2500 kBtuh; </t>
    </r>
    <r>
      <rPr>
        <sz val="11"/>
        <color rgb="FFFF0000"/>
        <rFont val="Calibri"/>
        <family val="2"/>
        <scheme val="minor"/>
      </rPr>
      <t>82.0%</t>
    </r>
    <r>
      <rPr>
        <sz val="11"/>
        <color theme="1"/>
        <rFont val="Calibri"/>
        <family val="2"/>
        <scheme val="minor"/>
      </rPr>
      <t xml:space="preserve"> </t>
    </r>
    <r>
      <rPr>
        <sz val="11"/>
        <color rgb="FFFF0000"/>
        <rFont val="Calibri"/>
        <family val="2"/>
        <scheme val="minor"/>
      </rPr>
      <t>therma</t>
    </r>
    <r>
      <rPr>
        <sz val="11"/>
        <color theme="1"/>
        <rFont val="Calibri"/>
        <family val="2"/>
        <scheme val="minor"/>
      </rPr>
      <t xml:space="preserve">l efficiency; atmospheric) </t>
    </r>
    <r>
      <rPr>
        <sz val="11"/>
        <color rgb="FFFF0000"/>
        <rFont val="Calibri"/>
        <family val="2"/>
        <scheme val="minor"/>
      </rPr>
      <t>assumed 3,000 kBtuh</t>
    </r>
  </si>
  <si>
    <r>
      <t xml:space="preserve">Hot water boiler (&lt;300 kBtuh; </t>
    </r>
    <r>
      <rPr>
        <sz val="11"/>
        <color rgb="FFFF0000"/>
        <rFont val="Calibri"/>
        <family val="2"/>
        <scheme val="minor"/>
      </rPr>
      <t>82% thermal</t>
    </r>
    <r>
      <rPr>
        <sz val="11"/>
        <color theme="1"/>
        <rFont val="Calibri"/>
        <family val="2"/>
        <scheme val="minor"/>
      </rPr>
      <t xml:space="preserve">; atmospheric)  </t>
    </r>
    <r>
      <rPr>
        <sz val="11"/>
        <color rgb="FFFF0000"/>
        <rFont val="Calibri"/>
        <family val="2"/>
        <scheme val="minor"/>
      </rPr>
      <t>assumed 250 kBtuh</t>
    </r>
  </si>
  <si>
    <r>
      <t xml:space="preserve">Hot water boiler (&lt; 300 kBtuh, 94.0 </t>
    </r>
    <r>
      <rPr>
        <sz val="11"/>
        <color rgb="FFFF0000"/>
        <rFont val="Calibri"/>
        <family val="2"/>
        <scheme val="minor"/>
      </rPr>
      <t>thermal</t>
    </r>
    <r>
      <rPr>
        <sz val="11"/>
        <color theme="1"/>
        <rFont val="Calibri"/>
        <family val="2"/>
        <scheme val="minor"/>
      </rPr>
      <t xml:space="preserve">, condensing)  </t>
    </r>
    <r>
      <rPr>
        <sz val="11"/>
        <color rgb="FFFF0000"/>
        <rFont val="Calibri"/>
        <family val="2"/>
        <scheme val="minor"/>
      </rPr>
      <t>assumed 250 kBtuh</t>
    </r>
  </si>
  <si>
    <t>25-32</t>
  </si>
  <si>
    <t>73-90</t>
  </si>
  <si>
    <t>15000-40000</t>
  </si>
  <si>
    <t>56-105</t>
  </si>
  <si>
    <t>28-32</t>
  </si>
  <si>
    <t>DEG, Itron</t>
  </si>
  <si>
    <t>baseline</t>
  </si>
  <si>
    <t>measure</t>
  </si>
  <si>
    <t>T8, 48 inch, Phillips, 32 watt, 2850 lumens, 24000 rated life, 89 lumens per watt</t>
  </si>
  <si>
    <t>T8, 48 inch, Phillips, 25 watt, 2500 lumens, 24000 rated life, 100 lumens per watt</t>
  </si>
  <si>
    <t>T8, 48 inch, Sylvania, 32 watt,  2950 lumens,  20000 rated life,  92 lumens per watt</t>
  </si>
  <si>
    <t>T8, 48 inch, Sylvania, 28 watt,  2725 lumens,  40000 rated life,  97 lumens per watt</t>
  </si>
  <si>
    <t>Extra Long Life</t>
  </si>
  <si>
    <t>15-28</t>
  </si>
  <si>
    <t>75-86</t>
  </si>
  <si>
    <t>75-95</t>
  </si>
  <si>
    <t>T8, 36 inch, Sylvania, 21 watt,  1925 lumens, 40000 rated life, 85 cri, extra long life</t>
  </si>
  <si>
    <t>T8, 24 inch, Sylvania, 17 watt, 1375 lumens, 40000 rated life, 85 cri, extra long life</t>
  </si>
  <si>
    <t>T8, 24 inch, Sylvania, 15 watt, 1200 lumens, 40000 rated life, 85 cri, extra long life</t>
  </si>
  <si>
    <t>T8, 36 inch, Phillips, 25 watt,  2175 lumens, 40000 rated life, 85 cri, extra long life</t>
  </si>
  <si>
    <t>51-86</t>
  </si>
  <si>
    <t>20000-36000</t>
  </si>
  <si>
    <t>92-107</t>
  </si>
  <si>
    <t>T8 96 inch,  59 watts, 5700 lumens, 30000 rated life, 78 cri</t>
  </si>
  <si>
    <t>T8 96 inch,  54 watts, 5700 lumens, 36000 rated life, 85 cri</t>
  </si>
  <si>
    <t>14-54</t>
  </si>
  <si>
    <t>82-85</t>
  </si>
  <si>
    <t>73-138</t>
  </si>
  <si>
    <t>T5, 24 inch, 24 watts, Phillips, 1950 lumens, 85 cri, rated life 20000, low mercury eco</t>
  </si>
  <si>
    <t>T5, 24 inch, 14 watts, Phillips, 1350 lumens, 85 cri, rated life 25000, low mercury eco</t>
  </si>
  <si>
    <t>T5, 24 inch, 24 watts, Satco, 2000 lumens, 85 cri, rated life, 20000</t>
  </si>
  <si>
    <t>T5, 24 inch, 14 watts, Satco, 1350 lumens, 85 cri, rated life 20000</t>
  </si>
  <si>
    <t>T5, 36 inch, 39 watts, Phillips,  3500 lumens, 85 cri, rated life 24000, low mercury eco</t>
  </si>
  <si>
    <t>T5, 36 inch, 35 watts, Sylvania,  3500 lumens, 85 cri, rated life 30000, low mercury eco</t>
  </si>
  <si>
    <t>T5, 48 inch, 28 watts, Phillips, 2900 lumens, 85 cri, rated life 25000, low mercury eco</t>
  </si>
  <si>
    <t>T5, 48 inch, 25 watts, Phillips, 2900 lumens, 85 cri, rated life 35000, low mercury eco</t>
  </si>
  <si>
    <t>24-96</t>
  </si>
  <si>
    <t>17-216</t>
  </si>
  <si>
    <t xml:space="preserve">Base </t>
  </si>
  <si>
    <t>Recessed, Litolier brand, LF fixture, T5, 2 lamp, 24 inch,  24 watt lamps, direct-indirect type, programmed start ballast</t>
  </si>
  <si>
    <t>Recessed, Litolier brand, LF fixture, T5, 2 lamp, 24 inch, 14  watt lamps, direct-indirect type, programmed start ballast</t>
  </si>
  <si>
    <t>Recessed, Litolier brand, LF fixture, T5, 2 lamp, 48 inch,  32 watt  lamps, direct-indirect type, acrylic cover,  programmed start ballast</t>
  </si>
  <si>
    <t>Recessed, Litolier brand, LF fixture, T5, 2 lamp, 48 inch,  28 watt  lamps, direct-indirect type, acrylic cover,  programmed start ballast</t>
  </si>
  <si>
    <t>Recessed, Litolier Brand, LF fixture, T8, 2 lamp, 24 inch,  17 watt  lamps, direct-indirect type, acrylic cover, instant start ballast</t>
  </si>
  <si>
    <t>Recessed, Litolier Brand, LF fixture, T8, 2 lamp, 24 inch,  15 watt  lamps, direct-indirect type, acrylic cover, instant start ballast</t>
  </si>
  <si>
    <t>Recessed, Lamar Brand, LF fixture, T8, 3 lamp, 24 inch,  17 watt  lamps, troffer, acrylic cover, instant start ballast</t>
  </si>
  <si>
    <t>Recessed, Lamar Brand, LF fixture, T8, 3 lamp, 24 inch,  15 watt  lamps, troffer, acrylic cover, instant start ballast</t>
  </si>
  <si>
    <t>Recessed, Mercury brand, LF fixture, T8, 2 lamp, 48 inch,  32 watt  lamps, troffer, acrylic cover, instant start ballast</t>
  </si>
  <si>
    <t>Recessed, Mercury brand, LF fixture, T8, 2 lamp, 48 inch,  30 watt  lamps, troffer, acrylic cover, instant start ballast</t>
  </si>
  <si>
    <t>Recessed, Metalux brand, LF fixture, T8, 3 lamp, 48 inch,  32 watt  lamps, troffer, acrylic cover, instant start ballast</t>
  </si>
  <si>
    <t>Recessed, Metalux brand, LF fixture, T8, 3 lamp, 48 inch,  30 watt  lamps, troffer, acrylic cover, instant start ballast</t>
  </si>
  <si>
    <t>Recessed, Lithonia brand, LF fixture, T8, 4 lamp, 48 inch,  32 watt  lamps, troffer, acrylic cover, instant start ballast</t>
  </si>
  <si>
    <t>Recessed, Lithonia brand, LF fixture, T8, 4 lamp, 48 inch,  30 watt  lamps, troffer, acrylic cover, instant start ballast</t>
  </si>
  <si>
    <t>*Validation could only be done a couple models due to single distributers for many models</t>
  </si>
  <si>
    <t>Size 96 inches</t>
  </si>
  <si>
    <t>Recessed, Mercury brand, LF fixture, T5, 2 lamp, 24 inch,  24 watt  lamps, direct-indirect type, programmed  rapid start ballast</t>
  </si>
  <si>
    <t>Recessed, Mercury brand, LF fixture, T5, 2 lamp, 24 inch,  14 watt  lamps, direct-indirect type, programmed rapid start ballast</t>
  </si>
  <si>
    <t>Recessed, Lamar brand, LF fixture, T5, 3 lamp, 24 inch,  24 watt  lamps, direct-indirect type, programmed start ballast</t>
  </si>
  <si>
    <t>Recessed, Lamar brand, LF fixture, T5, 3 lamp, 24 inch,  14 watt  lamps, direct-indirect type, programmed start ballast</t>
  </si>
  <si>
    <t>Recessed,  Mercury brand, LF fixture, T8, 2 lamp, 48 inch,  32 watt  lamps, parabolic troffer, instant start ballast</t>
  </si>
  <si>
    <t>Recessed,  Mercury brand, LF fixture, T8, 2 lamp, 48 inch,  30 watt,  lamps, parabolic troffer, instant start ballast</t>
  </si>
  <si>
    <t>Recessed,  Lamar brand, LF fixture, T8, 3 lamp, 48 inch,  32 watt  lamps, parabolic troffer, instant start ballast</t>
  </si>
  <si>
    <t>Recessed,  Lamar brand, LF fixture, T8, 3 lamp, 48 inch,  30 watt  lamps, parabolic troffer, instant start ballast</t>
  </si>
  <si>
    <t>Recessed,  Simkar brand, LF fixture, T8, 4 lamp, 48 inch,  32 watt  lamps, parabolic troffer, instant start ballast</t>
  </si>
  <si>
    <t>Recessed,  Simkar brand, LF fixture, T8, 4 lamp, 48 inch,  30 watt  lamps, parabolic troffer, instant start ballast</t>
  </si>
  <si>
    <t>21-216</t>
  </si>
  <si>
    <t>17-236</t>
  </si>
  <si>
    <t>Surface mount,  Cooper brand, LF fixture, T8, 2 lamp, 48 inch,  32 watt  lamps, wrap type, acrylic cover, instant start ballast</t>
  </si>
  <si>
    <t>Surface mount,  Cooper brand, LF fixture, T8, 2 lamp, 48 inch,  30 watt  lamps, wrap type, acrylic cover, instant start ballast</t>
  </si>
  <si>
    <t>Surface mount,  Lithonia brand, LF fixture, T8, 2 lamp, 96 inch,  59 watt  lamps, strip type, instant start ballast</t>
  </si>
  <si>
    <t>Surface mount,  Lithonia brand, LF fixture, T8, 2 lamp, 96 inch,  54 watt  lamps, strip type, instant start ballast</t>
  </si>
  <si>
    <t>Surface mount,  Simkar brand, LF fixture, T8, 3 lamp, 48 inch,  32 watt  lamps, parabolic troffer, instant start ballast</t>
  </si>
  <si>
    <t>Surface mount,  Simkar brand, LF fixture, T8, 3 lamp, 48 inch,  30 watt  lamps, parabolic troffer, instant start ballast</t>
  </si>
  <si>
    <t>Surface mount,  Simkar brand, LF fixture, T8, 4 lamp, 48 inch,  32 watt  lamps, troffer type, instant start ballast</t>
  </si>
  <si>
    <t>Surface mount,  Simkar brand, LF fixture, T8, 4 lamp, 48 inch,  30 watt  lamps, troffer type, instant start ballast</t>
  </si>
  <si>
    <t>Surface mount,  Warehouse brand, LF fixture, T8, 4 lamp, 96 inch,  59 watt  lamps, wrap type, programmed start ballast</t>
  </si>
  <si>
    <t>Surface mount,  Warehouse brand, LF fixture, T8, 4 lamp, 96 inch,  54 watt  lamps, wrap type, programmed start ballast</t>
  </si>
  <si>
    <t>Parabolic louvers</t>
  </si>
  <si>
    <t>Wire guard</t>
  </si>
  <si>
    <t>Suspended,   Mercury brand, LF fixture, T5, 2 lamp, 48 inch,  32 watt  lamps, direct pendant type, parabolic louver, programmed start ballast</t>
  </si>
  <si>
    <t>Suspended,   Mercury brand, LF fixture, T5, 2 lamp, 48 inch,  28 watt  lamps, direct pendant type, parabolic louver, programmed start ballast</t>
  </si>
  <si>
    <t>Suspended,   Alera brand, LF fixture, T8, 2 lamp, 48 inch,  32 watt  lamps, direct - indirect,  pendant type, parabolic louver, instant start ballast</t>
  </si>
  <si>
    <t>Suspended,   Alera brand, LF fixture, T8, 2 lamp, 48 inch,  30 watt  lamps, direct - indirect,  pendant type, parabolic louver, instant start ballast</t>
  </si>
  <si>
    <t>Suspended,    Alera brand, LF fixture, T8, 3 lamp, 48 inch,  32 watt  lamps, direct - indirect,  pendant type, instant start ballast</t>
  </si>
  <si>
    <t>Suspended,    Alera brand, LF fixture, T8, 3 lamp, 48 inch,  30 watt  lamps, direct - indirect,  pendant type, instant start ballast</t>
  </si>
  <si>
    <t>Suspended,    Lamar brand, LF fixture, T8, 4 lamp, 48 inch,  32 watt  lamps, direct - indirect,  pendant type, programmed start ballast</t>
  </si>
  <si>
    <t>Suspended,    Lamar brand, LF fixture, T8, 4 lamp, 48 inch,  30 watt  lamps, direct - indirect,  pendant type, programmed start ballast</t>
  </si>
  <si>
    <t>Suspended,    Simkar brand, LF fixture, T8, 6 lamp, 48 inch,  32 watt  lamps, high-low bay type, programmed start ballast</t>
  </si>
  <si>
    <t>Suspended,    Simkar brand, LF fixture, T8, 6 lamp, 48 inch,  30 watt  lamps, high-low bay type, programmed start ballast</t>
  </si>
  <si>
    <t>26-648</t>
  </si>
  <si>
    <t>Lamp watts</t>
  </si>
  <si>
    <t>Lens</t>
  </si>
  <si>
    <t>24-54</t>
  </si>
  <si>
    <t xml:space="preserve"> 2 - 10 </t>
  </si>
  <si>
    <t>Plasma Televisions 
(all screen sizes)</t>
  </si>
  <si>
    <t>Pioneer</t>
  </si>
  <si>
    <t>Zenith</t>
  </si>
  <si>
    <t>LED-backlit LCD Televisions 
(55" screen size)</t>
  </si>
  <si>
    <t xml:space="preserve">LED-backlit LCD Televisions 
(46" screen size) </t>
  </si>
  <si>
    <t>LED-backlit LCD Televisions 
(40" screen size)</t>
  </si>
  <si>
    <t xml:space="preserve">LED-backlit LCD Televisions 
(32" screen size) </t>
  </si>
  <si>
    <t>LED-backlit LCD Televisions 
(22" screen size)</t>
  </si>
  <si>
    <t>LED-backlit LCD Televisions 
(19" screen size)</t>
  </si>
  <si>
    <t>CCFL-backlit LCD Televisions 
(55" screen size)</t>
  </si>
  <si>
    <t>CCFL-backlit LCD Televisions 
(46" screen size)</t>
  </si>
  <si>
    <t>CCFL-backlit LCD Televisions 
(40" screen size)</t>
  </si>
  <si>
    <t>CCFL-backlit LCD Televisions 
(32" screen size)</t>
  </si>
  <si>
    <t>CCFL-backlit LCD Televisions 
(22" screen size)</t>
  </si>
  <si>
    <t>CCFL-backlit LCD Televisions 
(19" screen size)</t>
  </si>
  <si>
    <t>Display size (inches diagonal)</t>
  </si>
  <si>
    <t>69-388</t>
  </si>
  <si>
    <t>0.1-0.9</t>
  </si>
  <si>
    <t>Lighting - Fixtures</t>
  </si>
  <si>
    <t>NA</t>
  </si>
  <si>
    <t>1.095-5</t>
  </si>
  <si>
    <t>3-150</t>
  </si>
  <si>
    <t>1-15</t>
  </si>
  <si>
    <t>4-55</t>
  </si>
  <si>
    <t>0-30</t>
  </si>
  <si>
    <t>0.75-15</t>
  </si>
  <si>
    <t>9-23</t>
  </si>
  <si>
    <t>1.1-13</t>
  </si>
  <si>
    <t>0.9-24</t>
  </si>
  <si>
    <t>0.012-0.05</t>
  </si>
  <si>
    <t>1.2-4</t>
  </si>
  <si>
    <t>Split-System HP 
(residential and commerical)</t>
  </si>
  <si>
    <t>Split-System DX 
(residential and commerical)</t>
  </si>
  <si>
    <t>Incandescent A-Lamp</t>
  </si>
  <si>
    <t>Incandescent Reflector</t>
  </si>
  <si>
    <t>Incandescent Globe</t>
  </si>
  <si>
    <t>Incandescent Torpedo</t>
  </si>
  <si>
    <t>Manufacturer Earthtronics</t>
  </si>
  <si>
    <t>Safety Coating</t>
  </si>
  <si>
    <t>Low Mercury</t>
  </si>
  <si>
    <t>Rated Life (hours)</t>
  </si>
  <si>
    <t>Manufacturer GE</t>
  </si>
  <si>
    <t>Manufacturer Satco</t>
  </si>
  <si>
    <t>Efficacy (lumens/watt)</t>
  </si>
  <si>
    <t>Manufacturer Sylvania</t>
  </si>
  <si>
    <t>59-86</t>
  </si>
  <si>
    <t>28-54</t>
  </si>
  <si>
    <t>Mean w/markup</t>
  </si>
  <si>
    <t>Result</t>
  </si>
  <si>
    <t>*Note that while the regression results at left provide a reasonable R2, the coefficients are</t>
  </si>
  <si>
    <t xml:space="preserve"> not significant, and thus a regression analysis provides no advantage over a simple</t>
  </si>
  <si>
    <t>average. A simple average produces similar results (at right).</t>
  </si>
  <si>
    <t>Maximum Ballast Input Watts</t>
  </si>
  <si>
    <t>T5</t>
  </si>
  <si>
    <t>T8</t>
  </si>
  <si>
    <t>Lamp type</t>
  </si>
  <si>
    <t>Luminaire type - direct/indirect</t>
  </si>
  <si>
    <t>Luminaire type - trough</t>
  </si>
  <si>
    <t>Manufacturer - Lamar</t>
  </si>
  <si>
    <t>Manufacturer - Litolier</t>
  </si>
  <si>
    <t>Manufacturer - Mercury</t>
  </si>
  <si>
    <t>Programmed rapid start</t>
  </si>
  <si>
    <t>Instant start</t>
  </si>
  <si>
    <t>Ballast start type</t>
  </si>
  <si>
    <t>Luminaire type - parabolic troffer</t>
  </si>
  <si>
    <t>Luminaire type - troffer</t>
  </si>
  <si>
    <t>Louvered cover</t>
  </si>
  <si>
    <t>Dimmable ballast</t>
  </si>
  <si>
    <t>Manufacturer - Metalux</t>
  </si>
  <si>
    <t>Manfacturer - Simkar</t>
  </si>
  <si>
    <t>Manfacturer - Alera</t>
  </si>
  <si>
    <t>Instant start ballast</t>
  </si>
  <si>
    <t>Luminaire type - direct pendant</t>
  </si>
  <si>
    <t>Luminaire type - direct/indirect pendant</t>
  </si>
  <si>
    <t>Programmed rapid start ballast</t>
  </si>
  <si>
    <t>Occupancy sensor</t>
  </si>
  <si>
    <t>Fixture length (inches)</t>
  </si>
  <si>
    <t>Number of lamps</t>
  </si>
  <si>
    <t>Emergency backup power</t>
  </si>
  <si>
    <t>National brand</t>
  </si>
  <si>
    <t>National brand, no utility discount</t>
  </si>
  <si>
    <t>Water-Cooled Centrifugal VSD Chillers
(&gt;= 300 tons)</t>
  </si>
  <si>
    <t>Small Storage Gas WH 
(&lt;= 75,000 BtuH and EF rated)</t>
  </si>
  <si>
    <t>Large Storage Gas WH 
(&gt; 75,000 BtuH and TE rated)</t>
  </si>
  <si>
    <t>SHW Boilers 
(&lt; 300 kBtuh, non-condensing)</t>
  </si>
  <si>
    <t>SHW Boilers 
(&gt; 300 kBtuh, non-condensing)</t>
  </si>
  <si>
    <t>SHW Boilers 
(condensing)</t>
  </si>
  <si>
    <t>Linear Fluorescent Ballasts 
(CEE/NEMA certified)</t>
  </si>
  <si>
    <t>Linear Fluorescent Ballasts 
(non-CEE/NEMA certified)</t>
  </si>
  <si>
    <t>High Bay Linear Fluorescent Fixtures</t>
  </si>
  <si>
    <t>HID Fixtures</t>
  </si>
  <si>
    <t>Bi-Level Linear Fluorescent Fixtures 
(garage/stairwell lighting)</t>
  </si>
  <si>
    <t>General Service Linear Fluorescent Fixtures 
(suspended)</t>
  </si>
  <si>
    <t>General Service Linear Fluorescent Fixtures 
(surface mounted)</t>
  </si>
  <si>
    <t>General Service Linear Fluorescent Fixtures 
(recessed no cover)</t>
  </si>
  <si>
    <t>Linear Fluorescent T5 
(all lengths)</t>
  </si>
  <si>
    <t xml:space="preserve">Linear Fluorescent T8 
(96")     </t>
  </si>
  <si>
    <t xml:space="preserve">Linear Fluorescent T8 
(24" &amp; 36")     </t>
  </si>
  <si>
    <t>Linear Fluorescent T8 
(48")</t>
  </si>
  <si>
    <t>Photocells 
(sensor only)</t>
  </si>
  <si>
    <t>General Service Linear Fluorescent Fixtures 
(recessed w/cover)</t>
  </si>
  <si>
    <t>Measure Cost Study Research Plan</t>
  </si>
  <si>
    <t>•</t>
  </si>
  <si>
    <t>Task 4 Memo - Measure Scope, Definitions, and Priority Rankings for Deemed Measures</t>
  </si>
  <si>
    <t>Task 5 Memo - Recommended Data Collection Approaches for Deemed Measures</t>
  </si>
  <si>
    <r>
      <t xml:space="preserve">This document contains the draft results of the CPUC Ex Ante Measure Cost Study (MCS). Itron developed the MCS Results Matrix with two primary objectives in mind:
       </t>
    </r>
    <r>
      <rPr>
        <sz val="12"/>
        <color theme="1"/>
        <rFont val="Calibri"/>
        <family val="2"/>
      </rPr>
      <t>•</t>
    </r>
    <r>
      <rPr>
        <sz val="10.199999999999999"/>
        <color theme="1"/>
        <rFont val="Calibri"/>
        <family val="2"/>
      </rPr>
      <t xml:space="preserve"> </t>
    </r>
    <r>
      <rPr>
        <sz val="12"/>
        <color theme="1"/>
        <rFont val="Calibri"/>
        <family val="2"/>
        <scheme val="minor"/>
      </rPr>
      <t xml:space="preserve">To facilitate high-quality review (internal and external) of the draft MCS results
       </t>
    </r>
    <r>
      <rPr>
        <sz val="12"/>
        <color theme="1"/>
        <rFont val="Calibri"/>
        <family val="2"/>
      </rPr>
      <t>•</t>
    </r>
    <r>
      <rPr>
        <sz val="10.199999999999999"/>
        <color theme="1"/>
        <rFont val="Calibri"/>
        <family val="2"/>
      </rPr>
      <t xml:space="preserve"> </t>
    </r>
    <r>
      <rPr>
        <sz val="12"/>
        <color theme="1"/>
        <rFont val="Calibri"/>
        <family val="2"/>
        <scheme val="minor"/>
      </rPr>
      <t xml:space="preserve">To clearly map how the MCS results will be harmonized to the respective 
           DEER/workpaper measure definitions (and savings estimates) – a key component of the  
           Itron team’s DEER integration process
Due to the number of measure groups and unique technologies within the scope of the current MCS (70+ deemed measure groups, 100+ unique technologies), the Itron team sought to balance the need to present enough detailed data to properly understand and interpret the results with the limited amount of time available for internal and external stakeholders to review the results.
</t>
    </r>
    <r>
      <rPr>
        <b/>
        <sz val="16"/>
        <color theme="1"/>
        <rFont val="Calibri"/>
        <family val="2"/>
        <scheme val="minor"/>
      </rPr>
      <t xml:space="preserve">Background
</t>
    </r>
    <r>
      <rPr>
        <sz val="12"/>
        <color theme="1"/>
        <rFont val="Calibri"/>
        <family val="2"/>
        <scheme val="minor"/>
      </rPr>
      <t xml:space="preserve">
The MCS Results Matrix does not contain any details or justification regarding the regulatory context, study objectives, overall research approach, data collection approaches, or analytic methods used. Those details can be found in the approved Research Plan, Task 4 Memo, and Task 5 Memo deliverables, which are posted on the CPUC’s Public Documents Area at the following locations:
</t>
    </r>
  </si>
  <si>
    <t>Not a stand-alone measure; results to be combined with HID fixture model</t>
  </si>
  <si>
    <r>
      <t xml:space="preserve">T8, 48 inch, 32 watt, </t>
    </r>
    <r>
      <rPr>
        <sz val="11"/>
        <color rgb="FFFF0000"/>
        <rFont val="Calibri"/>
        <family val="2"/>
        <scheme val="minor"/>
      </rPr>
      <t>2850 lumens, 24000 hr rated life, 89 lumens per watt, CRI 85</t>
    </r>
  </si>
  <si>
    <r>
      <t xml:space="preserve">T8, 48 inch, 28 watt, </t>
    </r>
    <r>
      <rPr>
        <sz val="11"/>
        <color rgb="FFFF0000"/>
        <rFont val="Calibri"/>
        <family val="2"/>
        <scheme val="minor"/>
      </rPr>
      <t>2800 lumens, 24000 hr rated life, 100 lumens per watt, CRI 85</t>
    </r>
  </si>
  <si>
    <r>
      <t xml:space="preserve">T8, 48 inch, 28 watt, </t>
    </r>
    <r>
      <rPr>
        <sz val="11"/>
        <color rgb="FFFF0000"/>
        <rFont val="Calibri"/>
        <family val="2"/>
        <scheme val="minor"/>
      </rPr>
      <t>2800 lumens, 40000 hr rated life, 100 lumens per watt, CRI 85</t>
    </r>
  </si>
  <si>
    <r>
      <t>T8, 36 inch, 25 watt,</t>
    </r>
    <r>
      <rPr>
        <sz val="11"/>
        <color rgb="FFFF0000"/>
        <rFont val="Calibri"/>
        <family val="2"/>
        <scheme val="minor"/>
      </rPr>
      <t xml:space="preserve"> 2175 lumens, 87 lumens per watt, CRI 85</t>
    </r>
  </si>
  <si>
    <r>
      <t>T8, 36 inch, 21 watt,</t>
    </r>
    <r>
      <rPr>
        <sz val="11"/>
        <color rgb="FFFF0000"/>
        <rFont val="Calibri"/>
        <family val="2"/>
        <scheme val="minor"/>
      </rPr>
      <t xml:space="preserve"> 2100 lumens, 100 lumens per watt, CRI 85</t>
    </r>
  </si>
  <si>
    <r>
      <t xml:space="preserve">T8, 24 inch, </t>
    </r>
    <r>
      <rPr>
        <sz val="11"/>
        <rFont val="Calibri"/>
        <family val="2"/>
        <scheme val="minor"/>
      </rPr>
      <t xml:space="preserve">17 watt, </t>
    </r>
    <r>
      <rPr>
        <sz val="11"/>
        <color rgb="FFFF0000"/>
        <rFont val="Calibri"/>
        <family val="2"/>
        <scheme val="minor"/>
      </rPr>
      <t>1375 lumens, 80 lumens per watt, CRI 85</t>
    </r>
  </si>
  <si>
    <r>
      <t xml:space="preserve">T8, 24 inch, </t>
    </r>
    <r>
      <rPr>
        <sz val="11"/>
        <rFont val="Calibri"/>
        <family val="2"/>
        <scheme val="minor"/>
      </rPr>
      <t>15 watt,</t>
    </r>
    <r>
      <rPr>
        <sz val="11"/>
        <color rgb="FFFF0000"/>
        <rFont val="Calibri"/>
        <family val="2"/>
        <scheme val="minor"/>
      </rPr>
      <t xml:space="preserve"> 1375 lumens, 90 lumens per watt, CRI 85</t>
    </r>
  </si>
  <si>
    <r>
      <t xml:space="preserve">T8, 96 inch, 55 watt, </t>
    </r>
    <r>
      <rPr>
        <sz val="11"/>
        <color rgb="FFFF0000"/>
        <rFont val="Calibri"/>
        <family val="2"/>
        <scheme val="minor"/>
      </rPr>
      <t>57000 lumens, 36000 hr rated life, 103 lumens per watt, CRI 85</t>
    </r>
  </si>
  <si>
    <r>
      <t xml:space="preserve">T8, 96 inch, 59 watt, </t>
    </r>
    <r>
      <rPr>
        <sz val="11"/>
        <color rgb="FFFF0000"/>
        <rFont val="Calibri"/>
        <family val="2"/>
        <scheme val="minor"/>
      </rPr>
      <t>57000 lumens, 36000 hr rated life, 95 lumens per watt, CRI 85</t>
    </r>
  </si>
  <si>
    <r>
      <t xml:space="preserve">T5, 48 inch, 28 watts, </t>
    </r>
    <r>
      <rPr>
        <sz val="11"/>
        <color rgb="FFFF0000"/>
        <rFont val="Calibri"/>
        <family val="2"/>
        <scheme val="minor"/>
      </rPr>
      <t>2895 lumens, 24000 hr rated life, 103 lumens per watt, CRI 85</t>
    </r>
  </si>
  <si>
    <r>
      <t xml:space="preserve">T8, 48 inch, 2-lamp, 32 watt, instant start ballast, </t>
    </r>
    <r>
      <rPr>
        <sz val="11"/>
        <color rgb="FFFF0000"/>
        <rFont val="Calibri"/>
        <family val="2"/>
        <scheme val="minor"/>
      </rPr>
      <t xml:space="preserve">recessed troffer w/cover (lamps not included) </t>
    </r>
  </si>
  <si>
    <r>
      <t xml:space="preserve">T8, 48 inch, 2-lamp, 30 watt, instant start ballast, </t>
    </r>
    <r>
      <rPr>
        <sz val="11"/>
        <color rgb="FFFF0000"/>
        <rFont val="Calibri"/>
        <family val="2"/>
        <scheme val="minor"/>
      </rPr>
      <t>recessed troffer w/cover (lamps not included)</t>
    </r>
  </si>
  <si>
    <r>
      <t xml:space="preserve">T8, 48 inch, 2-lamp, 28 watt, instant start ballast, </t>
    </r>
    <r>
      <rPr>
        <sz val="11"/>
        <color rgb="FFFF0000"/>
        <rFont val="Calibri"/>
        <family val="2"/>
        <scheme val="minor"/>
      </rPr>
      <t>recessed troffer w/cover (lamps not included)</t>
    </r>
  </si>
  <si>
    <r>
      <t xml:space="preserve">T8, 48 inch, 4-lamp, 32 watt, instant start ballast, </t>
    </r>
    <r>
      <rPr>
        <sz val="11"/>
        <color rgb="FFFF0000"/>
        <rFont val="Calibri"/>
        <family val="2"/>
        <scheme val="minor"/>
      </rPr>
      <t>recessed troffer w/cover (lamps not included)</t>
    </r>
  </si>
  <si>
    <r>
      <t>T5, 48 inch, 3-lamp, 28 watt, program start ballast,</t>
    </r>
    <r>
      <rPr>
        <sz val="11"/>
        <color rgb="FFFF0000"/>
        <rFont val="Calibri"/>
        <family val="2"/>
        <scheme val="minor"/>
      </rPr>
      <t xml:space="preserve"> recessed troffer w/cover (lamps not included)</t>
    </r>
  </si>
  <si>
    <r>
      <t xml:space="preserve">T8, 48 inch, 2-lamp, 32 watt, instant start ballast, </t>
    </r>
    <r>
      <rPr>
        <sz val="11"/>
        <color rgb="FFFF0000"/>
        <rFont val="Calibri"/>
        <family val="2"/>
        <scheme val="minor"/>
      </rPr>
      <t>recessed troffer no cover (lamps not included)</t>
    </r>
  </si>
  <si>
    <r>
      <t xml:space="preserve">T8, 48 inch, 2-lamp, 30 watt, instant start ballast, </t>
    </r>
    <r>
      <rPr>
        <sz val="11"/>
        <color rgb="FFFF0000"/>
        <rFont val="Calibri"/>
        <family val="2"/>
        <scheme val="minor"/>
      </rPr>
      <t>recessed troffer no cover (lamps not included)</t>
    </r>
  </si>
  <si>
    <r>
      <t xml:space="preserve">T8, 48 inch, 2-lamp, 28 watt, instant start ballast, </t>
    </r>
    <r>
      <rPr>
        <sz val="11"/>
        <color rgb="FFFF0000"/>
        <rFont val="Calibri"/>
        <family val="2"/>
        <scheme val="minor"/>
      </rPr>
      <t>recessed troffer no cover (lamps not included)</t>
    </r>
  </si>
  <si>
    <r>
      <t xml:space="preserve">T8, 48 inch, 4-lamp, 32 watt, instant start ballast, </t>
    </r>
    <r>
      <rPr>
        <sz val="11"/>
        <color rgb="FFFF0000"/>
        <rFont val="Calibri"/>
        <family val="2"/>
        <scheme val="minor"/>
      </rPr>
      <t>recessed troffer no cover (lamps not included)</t>
    </r>
  </si>
  <si>
    <r>
      <t xml:space="preserve">T5, 48 inch, 3-lamp, 28 watt, program start ballast, </t>
    </r>
    <r>
      <rPr>
        <sz val="11"/>
        <color rgb="FFFF0000"/>
        <rFont val="Calibri"/>
        <family val="2"/>
        <scheme val="minor"/>
      </rPr>
      <t>recessed troffer no cover (lamps not included)</t>
    </r>
  </si>
  <si>
    <r>
      <t>T8, 48 inch, 2-lamp, 32 watt, instant start ballast,</t>
    </r>
    <r>
      <rPr>
        <sz val="11"/>
        <color rgb="FFFF0000"/>
        <rFont val="Calibri"/>
        <family val="2"/>
        <scheme val="minor"/>
      </rPr>
      <t xml:space="preserve"> surface mounted strip (lamps not included)</t>
    </r>
  </si>
  <si>
    <r>
      <t>T8, 48 inch, 2-lamp, 30 watt, instant start ballast,</t>
    </r>
    <r>
      <rPr>
        <sz val="11"/>
        <color rgb="FFFF0000"/>
        <rFont val="Calibri"/>
        <family val="2"/>
        <scheme val="minor"/>
      </rPr>
      <t xml:space="preserve"> surface mounted strip (lamps not included)</t>
    </r>
  </si>
  <si>
    <r>
      <t xml:space="preserve">T8, 48 inch, 2-lamp, 28 watt, instant start ballast, </t>
    </r>
    <r>
      <rPr>
        <sz val="11"/>
        <color rgb="FFFF0000"/>
        <rFont val="Calibri"/>
        <family val="2"/>
        <scheme val="minor"/>
      </rPr>
      <t>surface mounted strip (lamps not included)</t>
    </r>
  </si>
  <si>
    <r>
      <t xml:space="preserve">T8, 48 inch, 4-lamp, 32 watt, instant start ballast, </t>
    </r>
    <r>
      <rPr>
        <sz val="11"/>
        <color rgb="FFFF0000"/>
        <rFont val="Calibri"/>
        <family val="2"/>
        <scheme val="minor"/>
      </rPr>
      <t>surface mounted strip (lamps not included)</t>
    </r>
  </si>
  <si>
    <r>
      <t xml:space="preserve">T5, 48 inch, 3-lamp, 28 watt, program start ballast, </t>
    </r>
    <r>
      <rPr>
        <sz val="11"/>
        <color rgb="FFFF0000"/>
        <rFont val="Calibri"/>
        <family val="2"/>
        <scheme val="minor"/>
      </rPr>
      <t>surface mounted strip (lamps not included)</t>
    </r>
  </si>
  <si>
    <r>
      <t xml:space="preserve">T8, 48 inch, 2-lamp, 32 watt, instant start ballast, </t>
    </r>
    <r>
      <rPr>
        <sz val="11"/>
        <color rgb="FFFF0000"/>
        <rFont val="Calibri"/>
        <family val="2"/>
        <scheme val="minor"/>
      </rPr>
      <t>suspended low bay (lamps not included)</t>
    </r>
  </si>
  <si>
    <r>
      <t xml:space="preserve">T8, 48 inch, 2-lamp, 30 watt, instant start ballast, </t>
    </r>
    <r>
      <rPr>
        <sz val="11"/>
        <color rgb="FFFF0000"/>
        <rFont val="Calibri"/>
        <family val="2"/>
        <scheme val="minor"/>
      </rPr>
      <t>suspended low bay (lamps not included)</t>
    </r>
  </si>
  <si>
    <r>
      <t xml:space="preserve">T8, 48 inch, 2-lamp, 28 watt, instant start ballast, </t>
    </r>
    <r>
      <rPr>
        <sz val="11"/>
        <color rgb="FFFF0000"/>
        <rFont val="Calibri"/>
        <family val="2"/>
        <scheme val="minor"/>
      </rPr>
      <t>suspended low bay (lamps not included)</t>
    </r>
  </si>
  <si>
    <r>
      <t xml:space="preserve">T8, 48 inch, 4-lamp, 32 watt, instant start ballast, </t>
    </r>
    <r>
      <rPr>
        <sz val="11"/>
        <color rgb="FFFF0000"/>
        <rFont val="Calibri"/>
        <family val="2"/>
        <scheme val="minor"/>
      </rPr>
      <t>suspended low bay (lamps not included)</t>
    </r>
  </si>
  <si>
    <r>
      <t xml:space="preserve">T5, 48 inch, 3-lamp, 28 watt, program start ballast, </t>
    </r>
    <r>
      <rPr>
        <sz val="11"/>
        <color rgb="FFFF0000"/>
        <rFont val="Calibri"/>
        <family val="2"/>
        <scheme val="minor"/>
      </rPr>
      <t>suspended low bay (lamps not included)</t>
    </r>
  </si>
  <si>
    <r>
      <t>T8, 48 inch, 2-lamp, 32 watt, instant start ballast,</t>
    </r>
    <r>
      <rPr>
        <sz val="11"/>
        <color rgb="FFFF0000"/>
        <rFont val="Calibri"/>
        <family val="2"/>
        <scheme val="minor"/>
      </rPr>
      <t xml:space="preserve"> surface mounted wrap (lamps not included)</t>
    </r>
  </si>
  <si>
    <r>
      <t>PSMH, 1-lamp, 456 watt, CWA ballast</t>
    </r>
    <r>
      <rPr>
        <sz val="11"/>
        <color rgb="FFFF0000"/>
        <rFont val="Calibri"/>
        <family val="2"/>
        <scheme val="minor"/>
      </rPr>
      <t xml:space="preserve"> (lamp not included)</t>
    </r>
  </si>
  <si>
    <r>
      <t xml:space="preserve">T5, 48 inch, 6-lamp, 54 watt, program start ballast </t>
    </r>
    <r>
      <rPr>
        <sz val="11"/>
        <color rgb="FFFF0000"/>
        <rFont val="Calibri"/>
        <family val="2"/>
        <scheme val="minor"/>
      </rPr>
      <t>(lamps not included)</t>
    </r>
  </si>
  <si>
    <r>
      <t xml:space="preserve">T8, 96 inch, 4-lamp, 59 watt, instant start ballast </t>
    </r>
    <r>
      <rPr>
        <sz val="11"/>
        <color rgb="FFFF0000"/>
        <rFont val="Calibri"/>
        <family val="2"/>
        <scheme val="minor"/>
      </rPr>
      <t>(lamps not included)</t>
    </r>
  </si>
  <si>
    <t>For purposes of equipping reviewers who may not have followed the MCS research to date, all of the results presented in the MCS Results Matrix are based on econometric models of product prices, often referred to as hedonic price models. This method is a statistical approach to isolating and estimating the relative influence of various individual product features on the product’s final, observed price. In the case of current MCS, the key product feature of interest is usually the energy performance of the equipment (e.g. SEER, EER, AFUE, R-value, etc). The embedded document below provides a full description of the results presented in the matrix as well as an interpretation guide.</t>
  </si>
  <si>
    <t>42-65</t>
  </si>
  <si>
    <t>1024 x 768</t>
  </si>
  <si>
    <t>1280 x 1080</t>
  </si>
  <si>
    <t>1280 x 720</t>
  </si>
  <si>
    <t>1365 x 768</t>
  </si>
  <si>
    <t>1366 x 768</t>
  </si>
  <si>
    <t>1920 x 1080</t>
  </si>
  <si>
    <r>
      <t xml:space="preserve">Title 20 code minimum, 146.7 W on-mode power, 1 W sleep mode power, </t>
    </r>
    <r>
      <rPr>
        <sz val="11"/>
        <color rgb="FFFF0000"/>
        <rFont val="Calibri"/>
        <family val="2"/>
        <scheme val="minor"/>
      </rPr>
      <t>assumed 1014 in2 screen area</t>
    </r>
  </si>
  <si>
    <r>
      <t xml:space="preserve">Energy Star 5.1 + 20%, 82.5 W on-mode power, </t>
    </r>
    <r>
      <rPr>
        <sz val="11"/>
        <color rgb="FFFF0000"/>
        <rFont val="Calibri"/>
        <family val="2"/>
        <scheme val="minor"/>
      </rPr>
      <t>assumed 1 W sleep mode power, 868 in2 screen area</t>
    </r>
  </si>
  <si>
    <r>
      <t xml:space="preserve">Energy Star 5.1 + 35%, 67.1 W on-mode power, </t>
    </r>
    <r>
      <rPr>
        <sz val="11"/>
        <color rgb="FFFF0000"/>
        <rFont val="Calibri"/>
        <family val="2"/>
        <scheme val="minor"/>
      </rPr>
      <t>assumed 1 W sleep mode power, 868 in2 screen area</t>
    </r>
  </si>
  <si>
    <t>51", Samsung, 1920x1080 resolution, 2D, Energy Star (6.0) compliant (114 W on-mode power, 1 W sleep mode power)</t>
  </si>
  <si>
    <t>51", Samsung, 1920x1080 resolution, 3D, not Energy Star (6.0) compliant (155 W on-mode power, 1 W sleep mode power)</t>
  </si>
  <si>
    <t>50", Panasonic, 1920x1080 resolution, 3D, Energy Star (6.0) compliant (114 W on-mode power, 1 W sleep mode power)</t>
  </si>
  <si>
    <t>50", Panasonic, 1024x768 resolution, 2D, not Energy Star (6.0) compliant (129 W on-mode power, 1 W sleep mode power)</t>
  </si>
  <si>
    <t>CMST</t>
  </si>
  <si>
    <t>CLASS</t>
  </si>
  <si>
    <t>Capacity (Btuh)</t>
  </si>
  <si>
    <t>CEUS</t>
  </si>
  <si>
    <t>Hedonic Model Estimates</t>
  </si>
  <si>
    <t>Results Matrix, Volume I:</t>
  </si>
  <si>
    <t>Subcontractor Artificial Bids</t>
  </si>
  <si>
    <t>Contractor Surveys</t>
  </si>
  <si>
    <t>RSMeans</t>
  </si>
  <si>
    <t>Scenario</t>
  </si>
  <si>
    <t>Labor Hours 1</t>
  </si>
  <si>
    <t>Labor Hourly Rate 1</t>
  </si>
  <si>
    <t>Labor Cost 1</t>
  </si>
  <si>
    <t>Non-equipment materials 1</t>
  </si>
  <si>
    <t>Misc expenses 1</t>
  </si>
  <si>
    <t>Fees 1</t>
  </si>
  <si>
    <t>Labor Hours 2</t>
  </si>
  <si>
    <t>Labor Hourly Rate 2</t>
  </si>
  <si>
    <t>Labor Cost 2</t>
  </si>
  <si>
    <t>Non-equipment materials 2</t>
  </si>
  <si>
    <t>Misc expenses 2</t>
  </si>
  <si>
    <t>Fees 2</t>
  </si>
  <si>
    <t>Labor Hours 3</t>
  </si>
  <si>
    <t>Labor Hours 3 Std err</t>
  </si>
  <si>
    <t>Labor Hourly Rate 3</t>
  </si>
  <si>
    <t>Misc expenses 3</t>
  </si>
  <si>
    <t>Misc expenses 3 Std err</t>
  </si>
  <si>
    <t>Labor Hours 5</t>
  </si>
  <si>
    <t>Labor Hourly Rate 5</t>
  </si>
  <si>
    <t>Up-flow 45 MBH</t>
  </si>
  <si>
    <t>Up-flow 75 MBH</t>
  </si>
  <si>
    <t>Up-flow 100 MBH</t>
  </si>
  <si>
    <t>Up-flow 120 MBH</t>
  </si>
  <si>
    <t>Up-flow 125 MBH</t>
  </si>
  <si>
    <t>Up-flow 150 MBH</t>
  </si>
  <si>
    <t>Horizontal flow 45 MBH</t>
  </si>
  <si>
    <t>Horizontal flow 60 MBH</t>
  </si>
  <si>
    <t>Horizontal flow 70 MBH</t>
  </si>
  <si>
    <t>Horizontal flow 90 MBH</t>
  </si>
  <si>
    <t>Horizontal flow 110 MBH</t>
  </si>
  <si>
    <t>3 ton 1.1 kw/ton (10.9 EER)</t>
  </si>
  <si>
    <t>Crane rental</t>
  </si>
  <si>
    <t>Installation (5 ton)</t>
  </si>
  <si>
    <t>Removal</t>
  </si>
  <si>
    <t>Disposal</t>
  </si>
  <si>
    <t>Testing/commissioning (5 ton)</t>
  </si>
  <si>
    <t>1.5 ton condensing unit</t>
  </si>
  <si>
    <t>2 ton condensing unit</t>
  </si>
  <si>
    <t>2.5 ton condensing unit</t>
  </si>
  <si>
    <t>3 ton condensing unit</t>
  </si>
  <si>
    <t>3.5 ton condensing unit</t>
  </si>
  <si>
    <t>4 ton condensing unit</t>
  </si>
  <si>
    <t>5 ton condensing unit</t>
  </si>
  <si>
    <t>2 ton fan coil</t>
  </si>
  <si>
    <t>2.5 ton fan coil</t>
  </si>
  <si>
    <t>3 ton fan coil</t>
  </si>
  <si>
    <t>4 ton fan coil</t>
  </si>
  <si>
    <t>5 ton fan coil</t>
  </si>
  <si>
    <t>1 ton condensing unit</t>
  </si>
  <si>
    <t>1.5 ton fan coil</t>
  </si>
  <si>
    <t>3.5 ton fan coil</t>
  </si>
  <si>
    <t>Single Zone</t>
  </si>
  <si>
    <t>Four Zone</t>
  </si>
  <si>
    <t>Twenty Zone</t>
  </si>
  <si>
    <t>1.5 ton</t>
  </si>
  <si>
    <t>2 ton</t>
  </si>
  <si>
    <t>2.5 ton</t>
  </si>
  <si>
    <t>3 ton</t>
  </si>
  <si>
    <t>3.5 ton</t>
  </si>
  <si>
    <t>4 ton</t>
  </si>
  <si>
    <t>5 ton</t>
  </si>
  <si>
    <t xml:space="preserve">20 ton ground mounted </t>
  </si>
  <si>
    <t>20 ton ground mounted gas heat</t>
  </si>
  <si>
    <t xml:space="preserve">20 ton roof mounted </t>
  </si>
  <si>
    <t xml:space="preserve">70 ton roof mounted </t>
  </si>
  <si>
    <t>Installation (40 ton)</t>
  </si>
  <si>
    <t>Testing/commissioning (40 ton)</t>
  </si>
  <si>
    <t>7.5 ton</t>
  </si>
  <si>
    <t>10 ton</t>
  </si>
  <si>
    <t>15 ton</t>
  </si>
  <si>
    <t>20 ton</t>
  </si>
  <si>
    <t>25 ton</t>
  </si>
  <si>
    <t>30 ton</t>
  </si>
  <si>
    <t>40 ton</t>
  </si>
  <si>
    <t>50 ton</t>
  </si>
  <si>
    <t>60 ton</t>
  </si>
  <si>
    <t>80 ton</t>
  </si>
  <si>
    <t>100 ton</t>
  </si>
  <si>
    <t>EMCOR 100 ton ground level</t>
  </si>
  <si>
    <t>EMCOR 200 ton ground level</t>
  </si>
  <si>
    <t>EMCOR 300 ton ground level</t>
  </si>
  <si>
    <t>EMCOR 100 ton roof</t>
  </si>
  <si>
    <t>EMCOR 200 ton roof</t>
  </si>
  <si>
    <t>EMCOR 300 ton roof</t>
  </si>
  <si>
    <t>130 ton screw</t>
  </si>
  <si>
    <t>160 ton screw</t>
  </si>
  <si>
    <t>180 ton screw</t>
  </si>
  <si>
    <t>210 ton screw</t>
  </si>
  <si>
    <t>270 ton screw</t>
  </si>
  <si>
    <t>320 ton screw</t>
  </si>
  <si>
    <t>10 ton scroll</t>
  </si>
  <si>
    <t>15 ton scroll</t>
  </si>
  <si>
    <t>20 ton scroll</t>
  </si>
  <si>
    <t>25 ton scroll</t>
  </si>
  <si>
    <t>30 ton scroll</t>
  </si>
  <si>
    <t>35 ton scroll</t>
  </si>
  <si>
    <t>40 ton scroll</t>
  </si>
  <si>
    <t>45 ton scroll</t>
  </si>
  <si>
    <t>50 ton scroll</t>
  </si>
  <si>
    <t>EMCOR 100 ton basement</t>
  </si>
  <si>
    <t>EMCOR 200 ton basement</t>
  </si>
  <si>
    <t>EMCOR 300 ton basement</t>
  </si>
  <si>
    <t>7.5 ton Ground level</t>
  </si>
  <si>
    <t>7.5 ton Roof</t>
  </si>
  <si>
    <t>200 MBH Ground level outdoor</t>
  </si>
  <si>
    <t>1000 MBH Ground level outdoor</t>
  </si>
  <si>
    <t>3000 MBH Ground level outdoor</t>
  </si>
  <si>
    <t>200 MBH Basement</t>
  </si>
  <si>
    <t>1000 MBH Basement</t>
  </si>
  <si>
    <t>3000 MBH Basement</t>
  </si>
  <si>
    <t>200 MBH Roof</t>
  </si>
  <si>
    <t>1000 MBH Roof</t>
  </si>
  <si>
    <t>3000 MBH Roof</t>
  </si>
  <si>
    <t xml:space="preserve">100 ton unit, 2- 50ft 4" pipe runs </t>
  </si>
  <si>
    <t xml:space="preserve">100 ton unit, 2- 100ft 4" pipe runs </t>
  </si>
  <si>
    <t xml:space="preserve">300 ton unit, 2- 50ft 8" pipe runs </t>
  </si>
  <si>
    <t xml:space="preserve">300 ton unit, 2- 100ft 8" pipe runs </t>
  </si>
  <si>
    <t>T8 to T8 2-lamp, ladder accessible</t>
  </si>
  <si>
    <t>T8 to T8 2-lamp, lift accessible</t>
  </si>
  <si>
    <t>Disposal per hundred lamps/fixture/ballast</t>
  </si>
  <si>
    <t>Ballast replacement - recessed, ladder accessible</t>
  </si>
  <si>
    <t>Ballast replacement - high bay, lift accessible</t>
  </si>
  <si>
    <t>T12 to T5/8 recessed, ladder accessible</t>
  </si>
  <si>
    <t>T12 to T5/8 surface mount, ladder accessible</t>
  </si>
  <si>
    <t>HID to T5 High Bay - ladder accessible</t>
  </si>
  <si>
    <t>HID to T5 High Bay - lift accessible</t>
  </si>
  <si>
    <t>Wall mounted / per sensor</t>
  </si>
  <si>
    <t>Ceiling mounted /per sensor</t>
  </si>
  <si>
    <t>Fixture integrated / per sensor</t>
  </si>
  <si>
    <t>80 ton screw</t>
  </si>
  <si>
    <t>100 ton screw</t>
  </si>
  <si>
    <t>150 ton screw</t>
  </si>
  <si>
    <t>200 ton screw</t>
  </si>
  <si>
    <t>250 ton screw</t>
  </si>
  <si>
    <t>300 ton screw</t>
  </si>
  <si>
    <t>2 ton scroll</t>
  </si>
  <si>
    <t>5 ton scroll</t>
  </si>
  <si>
    <t>6 ton scroll</t>
  </si>
  <si>
    <t>8 ton scroll</t>
  </si>
  <si>
    <t>350 ton screw</t>
  </si>
  <si>
    <t>400 ton centrifugal</t>
  </si>
  <si>
    <t>600 ton centrifugal</t>
  </si>
  <si>
    <t>800 ton centrifugal</t>
  </si>
  <si>
    <t>1000 ton centrifugal</t>
  </si>
  <si>
    <t>1200 ton centrifugal</t>
  </si>
  <si>
    <t>1400 ton centrifugal</t>
  </si>
  <si>
    <t>1600 ton centrifugal</t>
  </si>
  <si>
    <t>1800 ton centrifugal</t>
  </si>
  <si>
    <t>2000 ton centrifugal</t>
  </si>
  <si>
    <t>2500 ton centrifugal</t>
  </si>
  <si>
    <t>Cast iron gas fired steam boiler 81 MBH</t>
  </si>
  <si>
    <t>Cast iron gas fired steam boiler 203 MBH</t>
  </si>
  <si>
    <t>Cast iron gas fired steam boiler 360 MBH</t>
  </si>
  <si>
    <t>Cast iron  gas fired steam boiler 544 MBH</t>
  </si>
  <si>
    <t>Cast iron gas fired steam boiler 892 MBH</t>
  </si>
  <si>
    <t>Cast iron gas fired steam boiler 1275 MBH</t>
  </si>
  <si>
    <t>Cast iron gas fired steam boiler 2170 MBH</t>
  </si>
  <si>
    <t>Cast iron gas fired steam boiler 3060 MBH</t>
  </si>
  <si>
    <t>Cast iron gas fired steam boiler 4207 MBH</t>
  </si>
  <si>
    <t>Cast iron gas fired steam boiler 5660 MBH</t>
  </si>
  <si>
    <t>Cast iron gas fired steam boiler 6390 MBH</t>
  </si>
  <si>
    <t>Cast iron gas fired steam boiler 6970 MBH</t>
  </si>
  <si>
    <t>30 gal atmospheric gas storage</t>
  </si>
  <si>
    <t>20 gallon electric storage</t>
  </si>
  <si>
    <t>30 gallon electric storage</t>
  </si>
  <si>
    <t>40 gallon electric storage</t>
  </si>
  <si>
    <t>52 gallon electric storage</t>
  </si>
  <si>
    <t>66 gallon electric storage</t>
  </si>
  <si>
    <t>80 gallon electric storage</t>
  </si>
  <si>
    <t>120 gallon electric storage</t>
  </si>
  <si>
    <t>Natural gas / propane 3.2 GPM</t>
  </si>
  <si>
    <t>Natural gas / propane 6.4 GPM</t>
  </si>
  <si>
    <t>Natural gas / propane 8.4 GPM</t>
  </si>
  <si>
    <t>Natural gas / propane 9.5 GPM</t>
  </si>
  <si>
    <t>75 MBH, 73 GPH</t>
  </si>
  <si>
    <t>98 MBH, 95 GPH</t>
  </si>
  <si>
    <t>120 MBH, 110 GPH</t>
  </si>
  <si>
    <t>120 MBH, 115 GPH</t>
  </si>
  <si>
    <t>140 MBH, 130 GPH</t>
  </si>
  <si>
    <t>155 MBH, 150 GPH</t>
  </si>
  <si>
    <t>180 MBH, 170 GPH</t>
  </si>
  <si>
    <t>200 MBH, 192 GPH</t>
  </si>
  <si>
    <t>250 MBH, 245 GPH</t>
  </si>
  <si>
    <t>260 MBH, 250 GPH</t>
  </si>
  <si>
    <t>360 MBH, 360 GPH</t>
  </si>
  <si>
    <t>500 MBH, 480 GPH</t>
  </si>
  <si>
    <t>725 MBH, 690 GPH</t>
  </si>
  <si>
    <t>80 MBH Cast iron hot water boiler</t>
  </si>
  <si>
    <t>100 MBH Cast iron hot water boiler</t>
  </si>
  <si>
    <t>122 MBH Cast iron hot water boiler</t>
  </si>
  <si>
    <t>163 MBH Cast iron hot water boiler</t>
  </si>
  <si>
    <t>203 MBH Cast iron hot water boiler</t>
  </si>
  <si>
    <t>240 MBH Cast iron hot water boiler</t>
  </si>
  <si>
    <t>280 MBH Cast iron hot water boiler</t>
  </si>
  <si>
    <t>320 MBH Cast iron hot water boiler</t>
  </si>
  <si>
    <t>360 MBH Cast iron hot water boiler</t>
  </si>
  <si>
    <t>400 MBH Cast iron hot water boiler</t>
  </si>
  <si>
    <t>440 MBH Cast iron hot water boiler</t>
  </si>
  <si>
    <t>544 MBH Cast iron hot water boiler</t>
  </si>
  <si>
    <t>765 MBH Cast iron hot water boiler</t>
  </si>
  <si>
    <t>1088 MBH Cast iron hot water boiler</t>
  </si>
  <si>
    <t>1275 MBH Cast iron hot water boiler</t>
  </si>
  <si>
    <t>1530 MBH Cast iron hot water boiler</t>
  </si>
  <si>
    <t>2000 MBH Cast iron hot water boiler</t>
  </si>
  <si>
    <t>2312 MBH Cast iron hot water boiler</t>
  </si>
  <si>
    <t>2856 MBH Cast iron hot water boiler</t>
  </si>
  <si>
    <t>42 MBH, 84% AFUE condensing boiler</t>
  </si>
  <si>
    <t>57 MBH, 84.3% AFUE condensing boiler</t>
  </si>
  <si>
    <t>85 MBH, 84% AFUE condensing boiler</t>
  </si>
  <si>
    <t>112 MBH, 83.7 AFUE condensing boiler</t>
  </si>
  <si>
    <t>140 MBH, 83.3% AFUE condensing boiler</t>
  </si>
  <si>
    <t>167 MBH, 83% AFUE condensing boiler</t>
  </si>
  <si>
    <t>194 MBH, 82.7% AFUE condensing boiler</t>
  </si>
  <si>
    <t>Walls Kraft faced fiberglass 3.5" thick, R11, 15" wide</t>
  </si>
  <si>
    <t>Floor/Ceiling 3.5" thick, R13, paper or foil backing</t>
  </si>
  <si>
    <t>Floor/Ceiling 12" thick, R38, paper or foil backing</t>
  </si>
  <si>
    <t>Floor/Ceiling 3.5" thick, R13, unfaced</t>
  </si>
  <si>
    <t>Floor/Ceiling 12" thick, R38 unfaced</t>
  </si>
  <si>
    <t>Walls Kraft faced fiberglass 12" thick, R38, 23" wide</t>
  </si>
  <si>
    <t>Walls Foil faced fiberglass 3.5" thick, R11, 15" wide</t>
  </si>
  <si>
    <t>Walls Foil faced fiberglass 12" thick, R38, 23" wide</t>
  </si>
  <si>
    <t>Reflective glass, solar film on glass, excl. glass, min</t>
  </si>
  <si>
    <t>Reflective glass, solar film on glass, excl. glass, max</t>
  </si>
  <si>
    <t>Twin tube compact lamp</t>
  </si>
  <si>
    <t>Double twin tube compact lamp</t>
  </si>
  <si>
    <t>LED lamp, interior, shape A60</t>
  </si>
  <si>
    <t xml:space="preserve">LED MR16 </t>
  </si>
  <si>
    <t>LED PAR20</t>
  </si>
  <si>
    <t>LED PAR30</t>
  </si>
  <si>
    <t>48" linear fluorescent</t>
  </si>
  <si>
    <t>24" linear fluorescent</t>
  </si>
  <si>
    <t>36" linear fluorescent</t>
  </si>
  <si>
    <t>96" linear fluorescent</t>
  </si>
  <si>
    <t>Mercury Vapor, mogul base, deluxe white 1000 watt</t>
  </si>
  <si>
    <t>Mercury Vapor, mogul base, deluxe white 100 - 400 watt</t>
  </si>
  <si>
    <t>Metal Halide, mogul base, 175 - 400 watt</t>
  </si>
  <si>
    <t>Metal Halide, mogul base, 1000 - 1500 watt</t>
  </si>
  <si>
    <t>High pressure sodium 70 - 400 watt</t>
  </si>
  <si>
    <t>High pressure sodium 1000 watt</t>
  </si>
  <si>
    <t>Low pressure sodium 35 - 55 watt</t>
  </si>
  <si>
    <t>Recessed Acrylic lens 1'W x 4'L 2 lamp</t>
  </si>
  <si>
    <t>Recessed Acrylic lens 2'W x 4'L 2 lamp</t>
  </si>
  <si>
    <t>Recessed Acrylic lens 1'W x 4'L 3 lamp</t>
  </si>
  <si>
    <t>Recessed Acrylic lens 2'W x 2'L 2 U lamp</t>
  </si>
  <si>
    <t>Recessed Acrylic lens 2'W x 4'L 3 lamp</t>
  </si>
  <si>
    <t>Recessed Acrylic lens 4'W x 4'L 4 lamp</t>
  </si>
  <si>
    <t>Recessed Acrylic lens 4'W x 4'L 6 lamp</t>
  </si>
  <si>
    <t>Recessed Acrylic lens 4'W x 4'L 8 lamp</t>
  </si>
  <si>
    <t>Recessed Acrylic lens 2'W x 4'L 4 lamp</t>
  </si>
  <si>
    <t>Suface mounted RS acrylic 1'W x 4'L 2 lamp</t>
  </si>
  <si>
    <t>Suface mounted RS acrylic 1'W x 4'L 3 lamp</t>
  </si>
  <si>
    <t>Suface mounted RS acrylic 2'W x 2'L 2 U lamp</t>
  </si>
  <si>
    <t>Suface mounted RS acrylic 2'W x 4'L 2 lamp</t>
  </si>
  <si>
    <t>Suface mounted RS acrylic 2'W x 4'L 3 lamp</t>
  </si>
  <si>
    <t>Suface mounted RS acrylic 2'W x 4'L 4 lamp</t>
  </si>
  <si>
    <t>Suface mounted RS acrylic 4'W x 4'L 2 lamp</t>
  </si>
  <si>
    <t>Suface mounted RS acrylic 4'W x 4'L 3 lamp</t>
  </si>
  <si>
    <t>Suface mounted RS acrylic 4'W x 4'L 4 lamp</t>
  </si>
  <si>
    <t>Suface mounted RS acrylic 2'W x 8'L 4 lamp</t>
  </si>
  <si>
    <t>Suface mounted RS acrylic 2'W x 8'L 8 lamp</t>
  </si>
  <si>
    <t>HPS recessed round 70 - 100 W</t>
  </si>
  <si>
    <t>HPS recessed round 150 W</t>
  </si>
  <si>
    <t>HPS recessed square 70 - 100 W</t>
  </si>
  <si>
    <t>HPS recessed square 250 W</t>
  </si>
  <si>
    <t>HPS recessed square 1000 W</t>
  </si>
  <si>
    <t>HPS surface/pendent/wall  round/square 70-100  W</t>
  </si>
  <si>
    <t>HPS surface/pendent/wall round 150  W</t>
  </si>
  <si>
    <t>HPS surface/wall Square 250  W</t>
  </si>
  <si>
    <t>HPS surface/wall Square 400  W</t>
  </si>
  <si>
    <t>HPS wall Square 1000  W</t>
  </si>
  <si>
    <t>Metal Halide recessed round/square 175 W</t>
  </si>
  <si>
    <t>Metal Halide recessed round  250 W</t>
  </si>
  <si>
    <t>Metal Halide recessed round  400 W</t>
  </si>
  <si>
    <t>Metal Halide surface/pendent/wall  round/square 175 W</t>
  </si>
  <si>
    <t>Metal Halide surface/pendent/wall  round/square 250 W</t>
  </si>
  <si>
    <t>Metal Halide surface/pendent/wall  round/square 400 W</t>
  </si>
  <si>
    <t>Occupancy sensors, passive infrared ceiling mounted</t>
  </si>
  <si>
    <t>Occupancy sensors, ultrasonic ceiling mounted</t>
  </si>
  <si>
    <t>Occupancy sensors, dual technology ceiling mounted</t>
  </si>
  <si>
    <t>Occupancy sensors, automatic wall switches</t>
  </si>
  <si>
    <t xml:space="preserve">Daylighting sensor, manual control, ceiling mounted </t>
  </si>
  <si>
    <t>Daylighting sensor, remote and dimming control with remote controller</t>
  </si>
  <si>
    <t>Labor Hours N</t>
  </si>
  <si>
    <t xml:space="preserve">Misc expenses N </t>
  </si>
  <si>
    <t>Artificial bid1: Retrofit 50-T12 fixtures with T8 fixtures</t>
  </si>
  <si>
    <t>Artificial bid2: Retrofit 50-T12 fixtures with T8 fixtures</t>
  </si>
  <si>
    <t>Artificial bid3: Retrofit 50-T12 fixtures with T8 fixtures</t>
  </si>
  <si>
    <t>Artificial bid4: Retrofit 50-T12 fixtures with T8 fixtures</t>
  </si>
  <si>
    <t>Artificial bid5: Retrofit 50-T12 fixtures with T8 fixtures</t>
  </si>
  <si>
    <t>Artificial bid6: Retrofit 50-T12 fixtures with T8 fixtures</t>
  </si>
  <si>
    <t>Artificial bid 1: Install 20 wall mounted occupancy sensors</t>
  </si>
  <si>
    <t>Artificial bid 2: Install 20 wall mounted occupancy sensors</t>
  </si>
  <si>
    <t>Artificial bid 3: Install 20 wall mounted occupancy sensors</t>
  </si>
  <si>
    <t>Artificial bid 4: Install 20 wall mounted occupancy sensors</t>
  </si>
  <si>
    <t>Artificial bid 5: Install 20 wall mounted occupancy sensors</t>
  </si>
  <si>
    <t>Artificial bid 1: Install 20 ceiling mounted occupancy sensors</t>
  </si>
  <si>
    <t>Artificial bid 2: Install 20 ceiling mounted occupancy sensors</t>
  </si>
  <si>
    <t>Artificial bid 3: Install 20 ceiling mounted occupancy sensors</t>
  </si>
  <si>
    <t>Artificial bid 4: Install 20 ceiling mounted occupancy sensors</t>
  </si>
  <si>
    <t>Artificial bid 5: Install 20 ceiling mounted occupancy sensors</t>
  </si>
  <si>
    <t>Artificial bid 6: Install 20 ceiling mounted occupancy sensors</t>
  </si>
  <si>
    <t>Artificial bid 7: Install 20 ceiling mounted occupancy sensors</t>
  </si>
  <si>
    <t>Artificial bid 1: Install 50 fixture integrated occupancy sensors</t>
  </si>
  <si>
    <t>Artificial bid 2: Install 50 fixture integrated occupancy sensors</t>
  </si>
  <si>
    <t>Artificial bid 3: Install 50 fixture integrated occupancy sensors</t>
  </si>
  <si>
    <t>Artificial bid 4: Install 50 fixture integrated occupancy sensors</t>
  </si>
  <si>
    <t>Artificial bid 5: Install 50 fixture integrated occupancy sensors</t>
  </si>
  <si>
    <t>Artificial bid 6: Install 50 fixture integrated occupancy sensors</t>
  </si>
  <si>
    <t>Artificial bid 1: Install photocell with existing timeclock</t>
  </si>
  <si>
    <t>Artificial bid 2: Install photocell with existing timeclock</t>
  </si>
  <si>
    <t>Artificial bid 3: Install photocell with existing timeclock</t>
  </si>
  <si>
    <t>Artificial bid 4: Install photocell with existing timeclock</t>
  </si>
  <si>
    <t>Artificial Bid 1: Replace 20 existing fixtures with bi-level fixtures</t>
  </si>
  <si>
    <t>Artificial Bid 2: Replace 20 existing fixtures with bi-level fixtures</t>
  </si>
  <si>
    <t>Artificial Bid 3: Replace 20 existing fixtures with bi-level fixtures</t>
  </si>
  <si>
    <t>Artificial Bid 4: Replace 20 existing fixtures with bi-level fixtures</t>
  </si>
  <si>
    <t>Artificial Bid 5: Replace 20 existing fixtures with bi-level fixtures</t>
  </si>
  <si>
    <t>Artificial bid 1: Sodium Vapor to 4 lamp 4' T8</t>
  </si>
  <si>
    <t>Artificial bid 2: Sodium Vapor to 4 lamp 4' T8</t>
  </si>
  <si>
    <t>Artificial bid 3: Sodium Vapor to 4 lamp 4' T8</t>
  </si>
  <si>
    <t>Artificial bid 4: Sodium Vapor to 4 lamp 4' T8</t>
  </si>
  <si>
    <t>Artificial bid 1: Sodium Vapor HID to Metal Halide</t>
  </si>
  <si>
    <t>Artificial bid 2: Sodium Vapor HID to Metal Halide</t>
  </si>
  <si>
    <t>Artificial bid 3: Sodium Vapor HID to Metal Halide</t>
  </si>
  <si>
    <t>Artificial bid 4: Sodium Vapor HID to Metal Halide</t>
  </si>
  <si>
    <t>Artificial bid 1: Install thermal curtains on greenhouses</t>
  </si>
  <si>
    <t>Artificial bid 2: Install thermal curtains on greenhouses</t>
  </si>
  <si>
    <t>Artificial bid 4: Install thermal curtains on greenhouses</t>
  </si>
  <si>
    <t>Artificial bid 5: Install thermal curtains on greenhouses</t>
  </si>
  <si>
    <t>Artificial bid 3 Install thermal curtains on greenhouses</t>
  </si>
  <si>
    <t>Artificial bid 1: Install IR film on building windows</t>
  </si>
  <si>
    <t>Artificial bid 2: Install IR film on building windows</t>
  </si>
  <si>
    <t>Climate Zone</t>
  </si>
  <si>
    <t>Reference City</t>
  </si>
  <si>
    <t>Eureka</t>
  </si>
  <si>
    <t>Santa Rosa</t>
  </si>
  <si>
    <t>San Francisco</t>
  </si>
  <si>
    <t>San Jose</t>
  </si>
  <si>
    <t>San Luis Obispo</t>
  </si>
  <si>
    <t>Santa Barbara</t>
  </si>
  <si>
    <t>San Diego</t>
  </si>
  <si>
    <t>Santa Ana</t>
  </si>
  <si>
    <t>Los Angeles</t>
  </si>
  <si>
    <t>Riverside</t>
  </si>
  <si>
    <t>Redding</t>
  </si>
  <si>
    <t>Sacramento</t>
  </si>
  <si>
    <t>Fresno</t>
  </si>
  <si>
    <t>Mojave</t>
  </si>
  <si>
    <t>Palm Springs</t>
  </si>
  <si>
    <t>Susanville</t>
  </si>
  <si>
    <t>Average</t>
  </si>
  <si>
    <t>Std dev</t>
  </si>
  <si>
    <t>Labor Cost</t>
  </si>
  <si>
    <t>Common Unit</t>
  </si>
  <si>
    <t>MBH</t>
  </si>
  <si>
    <t>Labor Hours per unit</t>
  </si>
  <si>
    <t>H = 0.017(MBH) + 3.2398</t>
  </si>
  <si>
    <t>DEER 2008</t>
  </si>
  <si>
    <t>Recommended Values</t>
  </si>
  <si>
    <t>Benchmarking</t>
  </si>
  <si>
    <t>Labor and non-equipment costs</t>
  </si>
  <si>
    <t>Source of recommend values</t>
  </si>
  <si>
    <t>tons</t>
  </si>
  <si>
    <t>Contractor survey</t>
  </si>
  <si>
    <t>Total Labor Hours Formula</t>
  </si>
  <si>
    <t>Source</t>
  </si>
  <si>
    <t>Labor Hours / unit</t>
  </si>
  <si>
    <t>cond. + coil labor</t>
  </si>
  <si>
    <t>Miscellaneous Costs per unit</t>
  </si>
  <si>
    <t>Labor rate</t>
  </si>
  <si>
    <t>Artificial bids</t>
  </si>
  <si>
    <t>Labor Hourly Rate</t>
  </si>
  <si>
    <t>Labor Cost Recommended Values</t>
  </si>
  <si>
    <t>Labor Cost Benchmarking</t>
  </si>
  <si>
    <t>Labor Cost Supporting Data</t>
  </si>
  <si>
    <t>hr/ton</t>
  </si>
  <si>
    <t>H = 7.7894e0.4643(tons)</t>
  </si>
  <si>
    <t>H = 1.6543(tons) + 5.2908</t>
  </si>
  <si>
    <t>zones</t>
  </si>
  <si>
    <t>hours/unit</t>
  </si>
  <si>
    <t>non-equipment / unit</t>
  </si>
  <si>
    <t>zone</t>
  </si>
  <si>
    <t>1785 CFM, 1/3 HP, 115V (~1.5 ton equivalent)</t>
  </si>
  <si>
    <t>2740 CFM, 1/3 HP, 115V (~2 ton equivalent)</t>
  </si>
  <si>
    <t>3235 CFM, 1/2 HP, 115V (~2.5 ton equivalent)</t>
  </si>
  <si>
    <t>3615 CFM, 1/2 HP, 230V (~3 ton equivalent)</t>
  </si>
  <si>
    <t>4215 CFM, 3/4 HP, 230V (~3.5 ton equivalent)</t>
  </si>
  <si>
    <t>5255 CFM, 1 HP, 115/230V (~4.5 ton equivalent)</t>
  </si>
  <si>
    <t>6090 CFM, 1 HP, 230/460V (~5 ton equivalent)</t>
  </si>
  <si>
    <t>8300 CFM, 1.5 HP, 230/460V (~7 ton equivalent)</t>
  </si>
  <si>
    <t>8360 CFM, 1.5 HP, 230/460V (~7 ton equivalent)</t>
  </si>
  <si>
    <t>9725 CFM, 2 HP, 230/460V (~8 ton equivalent)</t>
  </si>
  <si>
    <t>11715 CFM, 3 HP, 230/460V (~10 ton equivalent)</t>
  </si>
  <si>
    <t>14410 CFM, 5 HP, 230/460V (~12 ton equivalent)</t>
  </si>
  <si>
    <t>ton equivalent</t>
  </si>
  <si>
    <t>average</t>
  </si>
  <si>
    <t>std dev</t>
  </si>
  <si>
    <t>unit</t>
  </si>
  <si>
    <t>Labor Rate</t>
  </si>
  <si>
    <t>hours/ton</t>
  </si>
  <si>
    <t>H = 2.5122(tons) + 7.235</t>
  </si>
  <si>
    <t>Artificial bids - 20 ton ground</t>
  </si>
  <si>
    <t>Artificial bids - 20 ton roof</t>
  </si>
  <si>
    <t>Artificial bids - 70 ton roof</t>
  </si>
  <si>
    <t>ave lt 20</t>
  </si>
  <si>
    <t>ave ge 20</t>
  </si>
  <si>
    <t>RSMeans less than 20 tons</t>
  </si>
  <si>
    <t>RSMeans 20 tons or more</t>
  </si>
  <si>
    <t>H = 3.4156e0.413(tons)</t>
  </si>
  <si>
    <t>RSMeans 130 to 320 ton screw</t>
  </si>
  <si>
    <t>H = 0.221(tons) + 207.06</t>
  </si>
  <si>
    <t>RSMeans 10 to 50 ton scroll</t>
  </si>
  <si>
    <t>H = 0.5261(tons) + 85.493</t>
  </si>
  <si>
    <t>H = 0.188x + 210.89</t>
  </si>
  <si>
    <t>RSMeans 80 - 350 ton screw</t>
  </si>
  <si>
    <t>RSMeans 2 - 30 ton scroll</t>
  </si>
  <si>
    <t>RSMeans 400 - 2500 centrifugal</t>
  </si>
  <si>
    <t>H = 2.6114x + 26.927</t>
  </si>
  <si>
    <t>H = 0.1177x + 246.68</t>
  </si>
  <si>
    <t>100 ton ground mount Labor and non-equipment costs</t>
  </si>
  <si>
    <t>200 ton ground mount Labor and non-equipment costs</t>
  </si>
  <si>
    <t>300 ton ground mount Labor and non-equipment costs</t>
  </si>
  <si>
    <t>100 ton roof mount Labor and non-equipment costs</t>
  </si>
  <si>
    <t>200 ton roof mount Labor and non-equipment costs</t>
  </si>
  <si>
    <t>300 ton roof mount Labor and non-equipment costs</t>
  </si>
  <si>
    <t>100 ton basement Labor and non-equipment costs</t>
  </si>
  <si>
    <t>200 ton basement Labor and non-equipment costs</t>
  </si>
  <si>
    <t>300 ton basement Labor and non-equipment costs</t>
  </si>
  <si>
    <t>300 ton ground Labor and non-equipment costs</t>
  </si>
  <si>
    <t>300 ton roof Labor and non-equipment costs</t>
  </si>
  <si>
    <t>RSMeans 20 tons or less</t>
  </si>
  <si>
    <t>H = 2.4283(tons) + 8.4007</t>
  </si>
  <si>
    <t>mbh</t>
  </si>
  <si>
    <t>hours/mbh</t>
  </si>
  <si>
    <t>RSMeans 203 MBH</t>
  </si>
  <si>
    <t>RSMeans 892 MBH</t>
  </si>
  <si>
    <t>RSMeans 3060 MBH</t>
  </si>
  <si>
    <t>RSMeans 6970 MBH</t>
  </si>
  <si>
    <t>H = = 0.0373(MBH) + 39.817</t>
  </si>
  <si>
    <t>200 MBH Ground level outdoor Labor and non-equipment costs</t>
  </si>
  <si>
    <t>1000 MBH Ground level outdoor Labor and non-equipment costs</t>
  </si>
  <si>
    <t>3000 MBH Ground level outdoor Labor and non-equipment costs</t>
  </si>
  <si>
    <t>200 MBH Basement Labor and non-equipment costs</t>
  </si>
  <si>
    <t>1000 MBH Basement Labor and non-equipment costs</t>
  </si>
  <si>
    <t>3000 MBH Basement Labor and non-equipment costs</t>
  </si>
  <si>
    <t>200 MBH Roof Labor and non-equipment costs</t>
  </si>
  <si>
    <t>1000 MBH Roof Labor and non-equipment costs</t>
  </si>
  <si>
    <t>3000 MBH Roof Labor and non-equipment costs</t>
  </si>
  <si>
    <t>40 gal atmospheric gas storage</t>
  </si>
  <si>
    <t>50 gal atmospheric gas storage</t>
  </si>
  <si>
    <t>60 gal atmospheric gas storage</t>
  </si>
  <si>
    <t>75 gal atmospheric gas storage</t>
  </si>
  <si>
    <t>100 gal atmospheric gas storage</t>
  </si>
  <si>
    <t>H = 0.0315(gal) + 2.9443</t>
  </si>
  <si>
    <t>H = 0.0222(gal) + 3.0515</t>
  </si>
  <si>
    <t>H = 0.1395(gpm) + 3.4545</t>
  </si>
  <si>
    <t>Cast iron hot water boiler Labor hours and rates</t>
  </si>
  <si>
    <t>std def</t>
  </si>
  <si>
    <t>H = 0.0638(MBH) + 18.887</t>
  </si>
  <si>
    <t>H = 0.0471(MBH) + 31.307</t>
  </si>
  <si>
    <t>Condensing SHW boiler Labor hours and rates</t>
  </si>
  <si>
    <t>Batt insulation labor hours and rates</t>
  </si>
  <si>
    <t>sq ft</t>
  </si>
  <si>
    <t>Install thermal curtains on greenhouses Labor and non-equipment costs</t>
  </si>
  <si>
    <t>Install IR film on building windows  Labor and non-equipment costs</t>
  </si>
  <si>
    <t>lamp</t>
  </si>
  <si>
    <t>48" linear fluorescent Labor rate</t>
  </si>
  <si>
    <t>T8 to T8 2-lamp, ladder accessible labor hours</t>
  </si>
  <si>
    <t>T8 to T8 2-lamp, lift accessible labor hours</t>
  </si>
  <si>
    <t>Disposal labor hours</t>
  </si>
  <si>
    <t>24 &amp; 36" fluorescent labor rate</t>
  </si>
  <si>
    <t>Labor hours removal, installation, commissioning</t>
  </si>
  <si>
    <t>Labor hours disposal</t>
  </si>
  <si>
    <t>fixture</t>
  </si>
  <si>
    <t>Artificial Bids</t>
  </si>
  <si>
    <t xml:space="preserve">std dev </t>
  </si>
  <si>
    <t>hours/fixture</t>
  </si>
  <si>
    <t>Artificial Bids installation</t>
  </si>
  <si>
    <t>Artificial Bids disposal</t>
  </si>
  <si>
    <t>Assumed to be the same as surface mount above</t>
  </si>
  <si>
    <t>HID to T5 High Bay - lift accessible labor hours</t>
  </si>
  <si>
    <t>Physical disposal cost and taxes</t>
  </si>
  <si>
    <t>Lift rental</t>
  </si>
  <si>
    <t>Artificial bids - lift required</t>
  </si>
  <si>
    <t xml:space="preserve">RSMeans </t>
  </si>
  <si>
    <t>Replace existing fixture with bi-level fixture labor hours, rate, misc</t>
  </si>
  <si>
    <t>Contractor survey - disposal</t>
  </si>
  <si>
    <t>RSMeans - installation labor</t>
  </si>
  <si>
    <t>Sodium vapor HID to metal halide labor hours, rate, misc</t>
  </si>
  <si>
    <t>sensor</t>
  </si>
  <si>
    <t>Wall mounted labor</t>
  </si>
  <si>
    <t>Ceiling mounted  labor</t>
  </si>
  <si>
    <t>Fixture integrated labor</t>
  </si>
  <si>
    <t>SF to statewide weight</t>
  </si>
  <si>
    <t>low compared to contractor survey</t>
  </si>
  <si>
    <t>0.61-0.66</t>
  </si>
  <si>
    <t>2.23-4.55</t>
  </si>
  <si>
    <t>DEER 2008   5-60+ton</t>
  </si>
  <si>
    <t>DEER 2008 screw</t>
  </si>
  <si>
    <t>DEER 2008 centrifugal</t>
  </si>
  <si>
    <t xml:space="preserve">DEER 2008 </t>
  </si>
  <si>
    <t>1.06-2.97</t>
  </si>
  <si>
    <t>1.23-1.41</t>
  </si>
  <si>
    <t>0.07-0.31</t>
  </si>
  <si>
    <t>0.07-0.14</t>
  </si>
  <si>
    <t>0.01-0.02</t>
  </si>
  <si>
    <t>0.055-0.094</t>
  </si>
  <si>
    <t>0.36-0.59</t>
  </si>
  <si>
    <t>0.28-0.98</t>
  </si>
  <si>
    <t>DOE TSD</t>
  </si>
  <si>
    <t>RSMeans - (standard LF fixture)</t>
  </si>
  <si>
    <t>Installation labor, all sizes</t>
  </si>
  <si>
    <t>Miscellaneous Fixed Costs (per project)</t>
  </si>
  <si>
    <t>7.5 ton ground</t>
  </si>
  <si>
    <t>7.5 ton roof</t>
  </si>
  <si>
    <t>DEG Installation labor, all sizes</t>
  </si>
  <si>
    <t>0.5-2.0</t>
  </si>
  <si>
    <t>RSMeans Installation labor and rates, all sizes</t>
  </si>
  <si>
    <t>Variable frequency drives, enclosed, 460 volt, 3HP, NEMA1</t>
  </si>
  <si>
    <t>Variable frequency drives, enclosed, 460 volt, 5HP, NEMA1</t>
  </si>
  <si>
    <t>Variable frequency drives, enclosed, 460 volt, 7.5HP, NEMA1</t>
  </si>
  <si>
    <t>Variable frequency drives, enclosed, 460 volt, 10HP, NEMA1</t>
  </si>
  <si>
    <t>Variable frequency drives, enclosed, 460 volt, 15HP, NEMA1</t>
  </si>
  <si>
    <t>Variable frequency drives, enclosed, 460 volt, 20HP, NEMA1</t>
  </si>
  <si>
    <t>Variable frequency drives, enclosed, 460 volt, 30HP, NEMA1</t>
  </si>
  <si>
    <t>Variable frequency drives, enclosed, 460 volt, 40HP, NEMA1</t>
  </si>
  <si>
    <t>Variable frequency drives, enclosed, 460 volt, 50HP, NEMA1</t>
  </si>
  <si>
    <t>Variable frequency drives, enclosed, 460 volt, 60HP, NEMA1</t>
  </si>
  <si>
    <t>Variable frequency drives, enclosed, 460 volt, 75HP, NEMA1</t>
  </si>
  <si>
    <t>Variable frequency drives, enclosed, 460 volt, 100HP, NEMA1</t>
  </si>
  <si>
    <t>Variable frequency drives, enclosed, 460 volt, 150HP, NEMA1</t>
  </si>
  <si>
    <t>Variable frequency drives, enclosed, 460 volt, 200HP, NEMA1</t>
  </si>
  <si>
    <t>HP</t>
  </si>
  <si>
    <t>Hours/HP</t>
  </si>
  <si>
    <t>Labor Cost &gt; 50  HP</t>
  </si>
  <si>
    <t>Labor Cost 15 - 50 HP</t>
  </si>
  <si>
    <t>Direct drive, 150 CFM, 1/8HP</t>
  </si>
  <si>
    <t>Direct drive, 485 CFM, 1/6HP</t>
  </si>
  <si>
    <t>Direct drive, 1950 CFM, 1/2HP</t>
  </si>
  <si>
    <t>Direct drive, 2410 CFM, 3/4HP</t>
  </si>
  <si>
    <t>Direct drive, 3328 CFM, 1-1/2HP</t>
  </si>
  <si>
    <t>V-belt drive, 800 CFM, 1/4 HP</t>
  </si>
  <si>
    <t>V-belt drive, 1300 CFM, 1/3 HP</t>
  </si>
  <si>
    <t>V-belt drive, 2000 CFM, 3/4 HP</t>
  </si>
  <si>
    <t>V-belt drive, 2900 CFM, 1 HP</t>
  </si>
  <si>
    <t>hr/HP</t>
  </si>
  <si>
    <t>avg direct</t>
  </si>
  <si>
    <t>std direct</t>
  </si>
  <si>
    <t>avg v-belt</t>
  </si>
  <si>
    <t>std v-belt</t>
  </si>
  <si>
    <t>HomeWyse.com</t>
  </si>
  <si>
    <t>hr/hp</t>
  </si>
  <si>
    <t>DOE TSD adder for 66 and 75 gal or attic install</t>
  </si>
  <si>
    <t>DOE TSD adder for 66, 75, and 119 gal or attic install</t>
  </si>
  <si>
    <t>DOE TSD for electric WH</t>
  </si>
  <si>
    <t>DOE TSD adder for HPWH</t>
  </si>
  <si>
    <t>DOE TSD adder for condensate pump</t>
  </si>
  <si>
    <t>DOE TSD adder for venting system (if needed)</t>
  </si>
  <si>
    <t>H = 2.4721(HP) + 2.8865</t>
  </si>
  <si>
    <t>H = 1.5942(HP) + 3.1808</t>
  </si>
  <si>
    <t>H = 0.0796(HP) + 30.5</t>
  </si>
  <si>
    <t>H = 0.3405(HP) + 12.225</t>
  </si>
  <si>
    <t>H = 0.3328(HP) + 8.8483</t>
  </si>
  <si>
    <t>workpaper references Means 2002</t>
  </si>
  <si>
    <t>H= 2.7446e0.1427(tons)</t>
  </si>
  <si>
    <t>SCE WP SCE13HC013</t>
  </si>
  <si>
    <t>1.14 - 8.54</t>
  </si>
  <si>
    <t>workpapers do not separate labor from materials. Workpaper shows total installed cost at $1-$3.35/sqft</t>
  </si>
  <si>
    <t>65% effectiveness makeup air only (~4 ton equivalent)</t>
  </si>
  <si>
    <t>Markup</t>
  </si>
  <si>
    <t>WP PGECOHVC143 - single zone</t>
  </si>
  <si>
    <t>TSD uses means - similar results to our analysis</t>
  </si>
  <si>
    <t>$157 - $361</t>
  </si>
  <si>
    <t>Labor Cost per unit</t>
  </si>
  <si>
    <r>
      <t xml:space="preserve">Total Non-equipment costs ($/unit) </t>
    </r>
    <r>
      <rPr>
        <b/>
        <sz val="11"/>
        <color rgb="FFFF0000"/>
        <rFont val="Calibri"/>
        <family val="2"/>
        <scheme val="minor"/>
      </rPr>
      <t>excluding fixed costs</t>
    </r>
  </si>
  <si>
    <r>
      <t xml:space="preserve">Total Non-equipment costs ($/unit) </t>
    </r>
    <r>
      <rPr>
        <b/>
        <sz val="11"/>
        <color rgb="FFFF0000"/>
        <rFont val="Calibri"/>
        <family val="2"/>
        <scheme val="minor"/>
      </rPr>
      <t>before markup excluding fixed costs</t>
    </r>
  </si>
  <si>
    <t>$63 - $474</t>
  </si>
  <si>
    <t>$41 - $45</t>
  </si>
  <si>
    <t>$151 - $309</t>
  </si>
  <si>
    <t>$71.95 - $201.60</t>
  </si>
  <si>
    <t>$83.49 - 95.71</t>
  </si>
  <si>
    <t>$4.75 - $21.04</t>
  </si>
  <si>
    <t>200 MBH Ground level outdoor (steam)</t>
  </si>
  <si>
    <t>200 MBH Basement (steam)</t>
  </si>
  <si>
    <t>200 MBH Roof (steam)</t>
  </si>
  <si>
    <t>200 MBH Ground level outdoor Labor and non-equipment costs (steam)</t>
  </si>
  <si>
    <t>200 MBH Basement Labor and non-equipment costs (steam)</t>
  </si>
  <si>
    <t>200 MBH Roof Labor and non-equipment costs (steam)</t>
  </si>
  <si>
    <t>1000 MBH Ground level outdoor (steam)</t>
  </si>
  <si>
    <t>3000 MBH Ground level outdoor (steam)</t>
  </si>
  <si>
    <t>1000 MBH Basement (steam)</t>
  </si>
  <si>
    <t>3000 MBH Basement (steam)</t>
  </si>
  <si>
    <t>1000 MBH Roof (steam)</t>
  </si>
  <si>
    <t>3000 MBH Roof (steam)</t>
  </si>
  <si>
    <t>$4.75 - $9.50</t>
  </si>
  <si>
    <t>TSD uses means for labor - similar results to our analysis</t>
  </si>
  <si>
    <t>1000 MBH Ground level outdoor Labor and non-equipment costs (steam)</t>
  </si>
  <si>
    <t>3000 MBH Ground level outdoor Labor and non-equipment costs (steam)</t>
  </si>
  <si>
    <t>1000 MBH Basement Labor and non-equipment costs (steam)</t>
  </si>
  <si>
    <t>3000 MBH Basement Labor and non-equipment costs (steam)</t>
  </si>
  <si>
    <t>1000 MBH Roof Labor and non-equipment costs (steam)</t>
  </si>
  <si>
    <t>3000 MBH Roof Labor and non-equipment costs (steam)</t>
  </si>
  <si>
    <t>$0.44-$0.88</t>
  </si>
  <si>
    <t>WP PGECOAGR101</t>
  </si>
  <si>
    <t>$1.00 - $3.35</t>
  </si>
  <si>
    <t>$3.08 - $5.26</t>
  </si>
  <si>
    <t>$24.44 - $40.05</t>
  </si>
  <si>
    <t>$19.01 - $66.52</t>
  </si>
  <si>
    <t xml:space="preserve">means labor markup </t>
  </si>
  <si>
    <t>rs means markup</t>
  </si>
  <si>
    <t>Means markup</t>
  </si>
  <si>
    <t>means markup</t>
  </si>
  <si>
    <t>rsmeans markup</t>
  </si>
  <si>
    <t>Micellanous costs</t>
  </si>
  <si>
    <t>Artificial bid 7.5 ton ground</t>
  </si>
  <si>
    <t>Artificial bid 7.5 ton roof</t>
  </si>
  <si>
    <t>Crane Rental</t>
  </si>
  <si>
    <t>Wall mounted disposal and taxes</t>
  </si>
  <si>
    <t>Ceiling mounted disposal and taxes</t>
  </si>
  <si>
    <t>Fixture integrated disposal and taxes</t>
  </si>
  <si>
    <t>Artificial bids, wall mounted</t>
  </si>
  <si>
    <t>Artificial bids, cieling mounted</t>
  </si>
  <si>
    <t>Artificial bids, fixture integrated</t>
  </si>
  <si>
    <t>DOE TSD 1000 ton</t>
  </si>
  <si>
    <t>Labor Cost 3 - 10 HP</t>
  </si>
  <si>
    <t>30 - 100 gal Atmospheric gas storage WH labor hours and rates</t>
  </si>
  <si>
    <t>20  - 120 gallon electric storage</t>
  </si>
  <si>
    <t>Natural gas / propane 3.2 - 9.5 GPM</t>
  </si>
  <si>
    <t>Labor and non-equipment costs for venting adder (if needed)</t>
  </si>
  <si>
    <t>Labor hours and rates</t>
  </si>
  <si>
    <t>Labor hours and rates High wattage (&gt;= 1000 watts)</t>
  </si>
  <si>
    <t>Labor hours and rates Low wattage (&lt; 1000 watts)</t>
  </si>
  <si>
    <t>H = 0.0655(MBH) - 0.3869</t>
  </si>
  <si>
    <t>H = 0.0153(MBH) + 15.304</t>
  </si>
  <si>
    <t>75 - 250 MBH, 73 - 245 GPH labor hours and rates</t>
  </si>
  <si>
    <t>260 - 725 MBH, 250 - 690 GPH  labor hours and rates</t>
  </si>
  <si>
    <t>min</t>
  </si>
  <si>
    <t>max</t>
  </si>
  <si>
    <t>Installation Dimension/Scenario</t>
  </si>
  <si>
    <t>Size</t>
  </si>
  <si>
    <t>Manufacturer - Howard</t>
  </si>
  <si>
    <t>Manufacturer - Warehouse</t>
  </si>
  <si>
    <t>Acrylic Lens</t>
  </si>
  <si>
    <t>480V only</t>
  </si>
  <si>
    <t>Not a stand-alone measure; results to be combined with HID lamp model for T5/T8 high-bay baseline</t>
  </si>
  <si>
    <t>$6.05 - $10.80</t>
  </si>
  <si>
    <t>0.07-0.3</t>
  </si>
  <si>
    <t>$4.75 - $20.36</t>
  </si>
  <si>
    <t>$11.25 - $26.86</t>
  </si>
  <si>
    <t>0.25 - 0.98</t>
  </si>
  <si>
    <t>$16.97 - $66.52</t>
  </si>
  <si>
    <t>0.36-0.52</t>
  </si>
  <si>
    <t>$24.44 - $35.30</t>
  </si>
  <si>
    <t>14-22</t>
  </si>
  <si>
    <t>150-1000</t>
  </si>
  <si>
    <t>ErRobNc</t>
  </si>
  <si>
    <t>Energy Star(R) Refrigerator: Side Mount Freezer with through-the-door ice - large (23-31 ft3 TV) - 620 kWh/yr</t>
  </si>
  <si>
    <t>Energy Star(R) Refrigerator: Top Mount Freezer without through-the-door ice - small (10-15 ft3 TV) - 357 kWh/yr</t>
  </si>
  <si>
    <t>ErRul</t>
  </si>
  <si>
    <t>ROB</t>
  </si>
  <si>
    <t>RobNc</t>
  </si>
  <si>
    <t>Energy Star(R) Refrigerator: Bottom Mount Freezer without through-the-door ice - large (16.5-25 ft3 TV) - 487 kWh/yr</t>
  </si>
  <si>
    <t>Heat curtain installed in greenhouse that has roofs with IR film and bare walls</t>
  </si>
  <si>
    <t>Heat curtain installed in greenhouse with bare walls and bare double-poly roofs</t>
  </si>
  <si>
    <t>Sector</t>
  </si>
  <si>
    <t>Res</t>
  </si>
  <si>
    <t>Com</t>
  </si>
  <si>
    <t>Ag</t>
  </si>
  <si>
    <t>Refrigerator: Side Mount Freezer, Large, Ice Maker; 730 rated kWh/yr</t>
  </si>
  <si>
    <t>Refrigerator: Top Mount Freezer, Small; 420 rated kWh/yr</t>
  </si>
  <si>
    <t>Multiple Base Efficiency technologies based on building vintage</t>
  </si>
  <si>
    <t>Refrigerator: Bottom Mount Freezer, Large, 573 rated kWh/yr</t>
  </si>
  <si>
    <t>CA Average Labor Rate</t>
  </si>
  <si>
    <t>Labor Hours</t>
  </si>
  <si>
    <t>Incremental Cost</t>
  </si>
  <si>
    <r>
      <t>Whole House Fans</t>
    </r>
    <r>
      <rPr>
        <sz val="11"/>
        <color rgb="FFFF0000"/>
        <rFont val="Calibri"/>
        <family val="2"/>
        <scheme val="minor"/>
      </rPr>
      <t xml:space="preserve"> assumed 2500 CFM, 1 fan, industrial grade</t>
    </r>
  </si>
  <si>
    <r>
      <t xml:space="preserve">Whole houe fan </t>
    </r>
    <r>
      <rPr>
        <sz val="11"/>
        <color rgb="FFFF0000"/>
        <rFont val="Calibri"/>
        <family val="2"/>
        <scheme val="minor"/>
      </rPr>
      <t>assumed 1600 CFM, 1 fan</t>
    </r>
  </si>
  <si>
    <r>
      <t xml:space="preserve">Whole houe fan </t>
    </r>
    <r>
      <rPr>
        <sz val="11"/>
        <color rgb="FFFF0000"/>
        <rFont val="Calibri"/>
        <family val="2"/>
        <scheme val="minor"/>
      </rPr>
      <t>assumed 2500 CFM, 1 fan</t>
    </r>
  </si>
  <si>
    <r>
      <t xml:space="preserve">Whole houe fan </t>
    </r>
    <r>
      <rPr>
        <sz val="11"/>
        <color rgb="FFFF0000"/>
        <rFont val="Calibri"/>
        <family val="2"/>
        <scheme val="minor"/>
      </rPr>
      <t>assumed 4500 CFM, 1 fan</t>
    </r>
  </si>
  <si>
    <r>
      <t>Whole houe fan</t>
    </r>
    <r>
      <rPr>
        <sz val="11"/>
        <color rgb="FFFF0000"/>
        <rFont val="Calibri"/>
        <family val="2"/>
        <scheme val="minor"/>
      </rPr>
      <t xml:space="preserve"> assumed 1150 CFM, 2 fans</t>
    </r>
  </si>
  <si>
    <r>
      <t xml:space="preserve">Furnace AFUE 80 </t>
    </r>
    <r>
      <rPr>
        <sz val="11"/>
        <color rgb="FFFF0000"/>
        <rFont val="Calibri"/>
        <family val="2"/>
        <scheme val="minor"/>
      </rPr>
      <t>assumed 60,000 BtuH w/o variable speed fan</t>
    </r>
  </si>
  <si>
    <r>
      <t xml:space="preserve">Efficient Residential Gas Furnace - AFUE 81 </t>
    </r>
    <r>
      <rPr>
        <sz val="11"/>
        <color rgb="FFFF0000"/>
        <rFont val="Calibri"/>
        <family val="2"/>
        <scheme val="minor"/>
      </rPr>
      <t>assumed 60,000 BtuH  w/o variable speed fan</t>
    </r>
  </si>
  <si>
    <r>
      <t xml:space="preserve">Efficient Residential Gas Furnace - AFUE 90 </t>
    </r>
    <r>
      <rPr>
        <sz val="11"/>
        <color rgb="FFFF0000"/>
        <rFont val="Calibri"/>
        <family val="2"/>
        <scheme val="minor"/>
      </rPr>
      <t>assumed 60,000 BtuH  w/o variable speed fan</t>
    </r>
  </si>
  <si>
    <r>
      <t xml:space="preserve">Efficient Residential Gas Furnace - AFUE 91 </t>
    </r>
    <r>
      <rPr>
        <sz val="11"/>
        <color rgb="FFFF0000"/>
        <rFont val="Calibri"/>
        <family val="2"/>
        <scheme val="minor"/>
      </rPr>
      <t>assumed 60,000 BtuH  w/o variable speed fan</t>
    </r>
  </si>
  <si>
    <r>
      <t xml:space="preserve">Efficient Residential Gas Furnace - AFUE 92 </t>
    </r>
    <r>
      <rPr>
        <sz val="11"/>
        <color rgb="FFFF0000"/>
        <rFont val="Calibri"/>
        <family val="2"/>
        <scheme val="minor"/>
      </rPr>
      <t>assumed 60,000 BtuH with variable speed fan</t>
    </r>
  </si>
  <si>
    <r>
      <t xml:space="preserve">Efficient Residential Gas Furnace - AFUE 93 </t>
    </r>
    <r>
      <rPr>
        <sz val="11"/>
        <color rgb="FFFF0000"/>
        <rFont val="Calibri"/>
        <family val="2"/>
        <scheme val="minor"/>
      </rPr>
      <t>assumed 60,000 BtuH</t>
    </r>
    <r>
      <rPr>
        <sz val="11"/>
        <color theme="1"/>
        <rFont val="Calibri"/>
        <family val="2"/>
        <scheme val="minor"/>
      </rPr>
      <t xml:space="preserve"> </t>
    </r>
    <r>
      <rPr>
        <sz val="11"/>
        <color rgb="FFFF0000"/>
        <rFont val="Calibri"/>
        <family val="2"/>
        <scheme val="minor"/>
      </rPr>
      <t>with variable speed fan</t>
    </r>
  </si>
  <si>
    <r>
      <t xml:space="preserve">Efficient Residential Gas Furnace - AFUE 94 </t>
    </r>
    <r>
      <rPr>
        <sz val="11"/>
        <color rgb="FFFF0000"/>
        <rFont val="Calibri"/>
        <family val="2"/>
        <scheme val="minor"/>
      </rPr>
      <t>assumed 60,000 BtuH with variable speed fan</t>
    </r>
  </si>
  <si>
    <r>
      <t xml:space="preserve">Efficient Residential Gas Furnace - AFUE 95 </t>
    </r>
    <r>
      <rPr>
        <sz val="11"/>
        <color rgb="FFFF0000"/>
        <rFont val="Calibri"/>
        <family val="2"/>
        <scheme val="minor"/>
      </rPr>
      <t>assumed 60,000 BtuH with variable speed fan</t>
    </r>
  </si>
  <si>
    <r>
      <t xml:space="preserve">Efficient Residential Gas Furnace - AFUE 96 </t>
    </r>
    <r>
      <rPr>
        <sz val="11"/>
        <color rgb="FFFF0000"/>
        <rFont val="Calibri"/>
        <family val="2"/>
        <scheme val="minor"/>
      </rPr>
      <t>assumed 60,000 BtuH w/o variable speed fan</t>
    </r>
  </si>
  <si>
    <r>
      <t xml:space="preserve">Efficient Residential Gas Furnace - AFUE 97 </t>
    </r>
    <r>
      <rPr>
        <sz val="11"/>
        <color rgb="FFFF0000"/>
        <rFont val="Calibri"/>
        <family val="2"/>
        <scheme val="minor"/>
      </rPr>
      <t>assumed 60,000 BtuH with variable speed fan</t>
    </r>
  </si>
  <si>
    <r>
      <t xml:space="preserve">Efficient Residential Gas Furnace - AFUE 98 </t>
    </r>
    <r>
      <rPr>
        <sz val="11"/>
        <color rgb="FFFF0000"/>
        <rFont val="Calibri"/>
        <family val="2"/>
        <scheme val="minor"/>
      </rPr>
      <t>assumed 60,000 BtuH with variable speed fan</t>
    </r>
  </si>
  <si>
    <t>145, 10103</t>
  </si>
  <si>
    <t>146, 10104</t>
  </si>
  <si>
    <t>148, 10105</t>
  </si>
  <si>
    <t>150, 10106</t>
  </si>
  <si>
    <t>152, 10107</t>
  </si>
  <si>
    <t>145 - 154, 10103 - 10107</t>
  </si>
  <si>
    <r>
      <t xml:space="preserve">Furnace AFUE 80 </t>
    </r>
    <r>
      <rPr>
        <sz val="11"/>
        <color rgb="FFFF0000"/>
        <rFont val="Calibri"/>
        <family val="2"/>
        <scheme val="minor"/>
      </rPr>
      <t>assumed 150,000 BtuH w/o variable speed fan</t>
    </r>
  </si>
  <si>
    <r>
      <t xml:space="preserve">Efficient Residential Gas Furnace - AFUE 90 </t>
    </r>
    <r>
      <rPr>
        <sz val="11"/>
        <color rgb="FFFF0000"/>
        <rFont val="Calibri"/>
        <family val="2"/>
        <scheme val="minor"/>
      </rPr>
      <t>assumed 150,000 BtuH w/o variable speed fan</t>
    </r>
  </si>
  <si>
    <r>
      <t xml:space="preserve">Efficient Residential Gas Furnace - AFUE 91 </t>
    </r>
    <r>
      <rPr>
        <sz val="11"/>
        <color rgb="FFFF0000"/>
        <rFont val="Calibri"/>
        <family val="2"/>
        <scheme val="minor"/>
      </rPr>
      <t>assumed 150,000 BtuH w/o variable speed fan</t>
    </r>
  </si>
  <si>
    <r>
      <t xml:space="preserve">Efficient Residential Gas Furnace - AFUE 92 </t>
    </r>
    <r>
      <rPr>
        <sz val="11"/>
        <color rgb="FFFF0000"/>
        <rFont val="Calibri"/>
        <family val="2"/>
        <scheme val="minor"/>
      </rPr>
      <t>assumed 150,000 BtuH with variable speed fan</t>
    </r>
  </si>
  <si>
    <r>
      <t xml:space="preserve">Efficient Residential Gas Furnace - AFUE 93 </t>
    </r>
    <r>
      <rPr>
        <sz val="11"/>
        <color rgb="FFFF0000"/>
        <rFont val="Calibri"/>
        <family val="2"/>
        <scheme val="minor"/>
      </rPr>
      <t>assumed 150,000 BtuH with variable speed fan</t>
    </r>
  </si>
  <si>
    <r>
      <t xml:space="preserve">Efficient Residential Gas Furnace - AFUE 94 </t>
    </r>
    <r>
      <rPr>
        <sz val="11"/>
        <color rgb="FFFF0000"/>
        <rFont val="Calibri"/>
        <family val="2"/>
        <scheme val="minor"/>
      </rPr>
      <t>assumed 150,000 BtuH w/o variable speed fan</t>
    </r>
  </si>
  <si>
    <r>
      <t xml:space="preserve">Efficient Residential Gas Furnace - AFUE 95 </t>
    </r>
    <r>
      <rPr>
        <sz val="11"/>
        <color rgb="FFFF0000"/>
        <rFont val="Calibri"/>
        <family val="2"/>
        <scheme val="minor"/>
      </rPr>
      <t>assumed 150,000 BtuH with variable speed fan</t>
    </r>
  </si>
  <si>
    <r>
      <t xml:space="preserve">Efficient Residential Gas Furnace - AFUE 96 </t>
    </r>
    <r>
      <rPr>
        <sz val="11"/>
        <color rgb="FFFF0000"/>
        <rFont val="Calibri"/>
        <family val="2"/>
        <scheme val="minor"/>
      </rPr>
      <t>assumed 150,000 BtuH with variable speed fan</t>
    </r>
  </si>
  <si>
    <r>
      <t xml:space="preserve">Efficient Residential Gas Furnace - AFUE 97 </t>
    </r>
    <r>
      <rPr>
        <sz val="11"/>
        <color rgb="FFFF0000"/>
        <rFont val="Calibri"/>
        <family val="2"/>
        <scheme val="minor"/>
      </rPr>
      <t>assumed 150,000 BtuH with variable speed fan</t>
    </r>
  </si>
  <si>
    <r>
      <t xml:space="preserve">Efficient Residential Gas Furnace - AFUE 98 </t>
    </r>
    <r>
      <rPr>
        <sz val="11"/>
        <color rgb="FFFF0000"/>
        <rFont val="Calibri"/>
        <family val="2"/>
        <scheme val="minor"/>
      </rPr>
      <t>assumed 150,000 BtuH with variable speed fan</t>
    </r>
  </si>
  <si>
    <r>
      <t xml:space="preserve">Efficient Residential Gas Furnace - AFUE 81 </t>
    </r>
    <r>
      <rPr>
        <sz val="11"/>
        <color rgb="FFFF0000"/>
        <rFont val="Calibri"/>
        <family val="2"/>
        <scheme val="minor"/>
      </rPr>
      <t>assumed 150,000 BtuH w/o variable speed fan</t>
    </r>
  </si>
  <si>
    <t>61 - 64</t>
  </si>
  <si>
    <r>
      <t xml:space="preserve">Split HP SEER = 13 </t>
    </r>
    <r>
      <rPr>
        <sz val="11"/>
        <color rgb="FFFF0000"/>
        <rFont val="Calibri"/>
        <family val="2"/>
        <scheme val="minor"/>
      </rPr>
      <t>assumed 36,000 BtuH</t>
    </r>
  </si>
  <si>
    <r>
      <t xml:space="preserve">Split HP SEER = 14.0 (&lt; 55 kBTUh) - Combined SEER 13 and SEER 14.5 hp </t>
    </r>
    <r>
      <rPr>
        <sz val="11"/>
        <color rgb="FFFF0000"/>
        <rFont val="Calibri"/>
        <family val="2"/>
        <scheme val="minor"/>
      </rPr>
      <t xml:space="preserve"> assumed 36,000 BtuH</t>
    </r>
  </si>
  <si>
    <r>
      <t xml:space="preserve">Split HP SEER = 13.0 (&lt; 55 kBTUh), EER = 11.07, HSPF = 7.70, COP = 3.28; no Econo;  1-spd Fan </t>
    </r>
    <r>
      <rPr>
        <sz val="11"/>
        <color rgb="FFFF0000"/>
        <rFont val="Calibri"/>
        <family val="2"/>
        <scheme val="minor"/>
      </rPr>
      <t>assumed 36,000 BtuH</t>
    </r>
  </si>
  <si>
    <r>
      <t xml:space="preserve">Split HP SEER = 14.0 (&lt; 55 kBTUh), EER = 12.00, HSPF = 8.50, COP = 3.74; no Econo;  1-spd Fan </t>
    </r>
    <r>
      <rPr>
        <sz val="11"/>
        <color rgb="FFFF0000"/>
        <rFont val="Calibri"/>
        <family val="2"/>
        <scheme val="minor"/>
      </rPr>
      <t>assumed 36,000 BtuH</t>
    </r>
  </si>
  <si>
    <r>
      <t xml:space="preserve">Split HP SEER = 15.0 (&lt; 55 kBTUh), EER = 12.5, HSPF = 9.00, COP = 3.96; no Econo;  1-spd Fan </t>
    </r>
    <r>
      <rPr>
        <sz val="11"/>
        <color rgb="FFFF0000"/>
        <rFont val="Calibri"/>
        <family val="2"/>
        <scheme val="minor"/>
      </rPr>
      <t>assumed 36,000 BtuH</t>
    </r>
  </si>
  <si>
    <r>
      <t xml:space="preserve">Split HP SEER = 13 </t>
    </r>
    <r>
      <rPr>
        <sz val="11"/>
        <color rgb="FFFF0000"/>
        <rFont val="Calibri"/>
        <family val="2"/>
        <scheme val="minor"/>
      </rPr>
      <t>assumed 59,000 BtuH</t>
    </r>
  </si>
  <si>
    <r>
      <t>Split HP SEER = 14.0 (55-64 kBTUh) - Combined SEER 13 and SEER 14.5 hp</t>
    </r>
    <r>
      <rPr>
        <sz val="11"/>
        <color rgb="FFFF0000"/>
        <rFont val="Calibri"/>
        <family val="2"/>
        <scheme val="minor"/>
      </rPr>
      <t xml:space="preserve"> assumed 59,000 BtuH</t>
    </r>
  </si>
  <si>
    <r>
      <t xml:space="preserve">Split HP SEER = 15.0 (55-64 kBTUh), EER = 12.5, HSPF = 9.00, COP = 3.96; w/Econo;  2-spd Fan </t>
    </r>
    <r>
      <rPr>
        <sz val="11"/>
        <color rgb="FFFF0000"/>
        <rFont val="Calibri"/>
        <family val="2"/>
        <scheme val="minor"/>
      </rPr>
      <t>assumed 59,000 BtuH</t>
    </r>
  </si>
  <si>
    <r>
      <t xml:space="preserve">13 SEER Heat Pump </t>
    </r>
    <r>
      <rPr>
        <sz val="11"/>
        <color rgb="FFFF0000"/>
        <rFont val="Calibri"/>
        <family val="2"/>
        <scheme val="minor"/>
      </rPr>
      <t>assumed 24,000 BtuH</t>
    </r>
  </si>
  <si>
    <r>
      <t xml:space="preserve">14 SEER Heat Pump (HSPF = 8.6) </t>
    </r>
    <r>
      <rPr>
        <sz val="11"/>
        <color rgb="FFFF0000"/>
        <rFont val="Calibri"/>
        <family val="2"/>
        <scheme val="minor"/>
      </rPr>
      <t>assumed 24,000 BtuH</t>
    </r>
  </si>
  <si>
    <r>
      <t>15 SEER Heat Pump (HSPF = 8.8)</t>
    </r>
    <r>
      <rPr>
        <sz val="11"/>
        <color rgb="FFFF0000"/>
        <rFont val="Calibri"/>
        <family val="2"/>
        <scheme val="minor"/>
      </rPr>
      <t xml:space="preserve"> assumed 24,000 BtuH</t>
    </r>
  </si>
  <si>
    <r>
      <t xml:space="preserve">16 SEER Heat Pump (HSPF = 8.4) </t>
    </r>
    <r>
      <rPr>
        <sz val="11"/>
        <color rgb="FFFF0000"/>
        <rFont val="Calibri"/>
        <family val="2"/>
        <scheme val="minor"/>
      </rPr>
      <t>assumed 24,000 BtuH</t>
    </r>
  </si>
  <si>
    <r>
      <t>Electronic ballast (non-dimmable)</t>
    </r>
    <r>
      <rPr>
        <sz val="11"/>
        <color rgb="FFFF0000"/>
        <rFont val="Calibri"/>
        <family val="2"/>
        <scheme val="minor"/>
      </rPr>
      <t xml:space="preserve"> assumed cee/nema certified, instant start, 73 input watts, 1.18 BF</t>
    </r>
  </si>
  <si>
    <r>
      <t xml:space="preserve">Window film (0.37 SHGC) </t>
    </r>
    <r>
      <rPr>
        <sz val="11"/>
        <color rgb="FFFF0000"/>
        <rFont val="Calibri"/>
        <family val="2"/>
        <scheme val="minor"/>
      </rPr>
      <t>assumed 0.81 emmisivity, 0.63 glare reduction, 1.03 winter U-value, 26 reflected interior, 32 reflected exterior</t>
    </r>
  </si>
  <si>
    <r>
      <t xml:space="preserve">Window film (0.29 SHGC) </t>
    </r>
    <r>
      <rPr>
        <sz val="11"/>
        <color rgb="FFFF0000"/>
        <rFont val="Calibri"/>
        <family val="2"/>
        <scheme val="minor"/>
      </rPr>
      <t>assumed 0.84 emmisivity, 0.64 glare reduction, 5.91 winter U-value, 28 reflected interior, 30 reflected exterior</t>
    </r>
  </si>
  <si>
    <r>
      <t xml:space="preserve">Window film (0.22 SHGC) </t>
    </r>
    <r>
      <rPr>
        <sz val="11"/>
        <color rgb="FFFF0000"/>
        <rFont val="Calibri"/>
        <family val="2"/>
        <scheme val="minor"/>
      </rPr>
      <t>assumed 0.71 emmisivity, 0.80 glare reduction, 0.97 winter U-value, 62 reflected interior, 61 reflected exterior</t>
    </r>
  </si>
  <si>
    <r>
      <t xml:space="preserve">Window film (0.17 SHGC) </t>
    </r>
    <r>
      <rPr>
        <sz val="11"/>
        <color rgb="FFFF0000"/>
        <rFont val="Calibri"/>
        <family val="2"/>
        <scheme val="minor"/>
      </rPr>
      <t>assumed 0.84 emmisivity, 0.91 glare reduction, 5.91 winter U-value, 17 reflected interior, 55 reflected exterior</t>
    </r>
  </si>
  <si>
    <t>VFD Supply Fan Motors (20hp, nema 12 enclosure,no bypass)</t>
  </si>
  <si>
    <t>VFD Supply Fan Motors (30hp, nema 1 enclosure,no bypass)</t>
  </si>
  <si>
    <t>VFD Supply Fan Motors (40hp, nema 3 enclosure, with bypass)</t>
  </si>
  <si>
    <t>VFD Supply Fan Motors (60hp, nema 12 enclosure, no bypass)</t>
  </si>
  <si>
    <t>VFD Supply Fan Motors (75hp, nema 12 enclosure,no bypass)</t>
  </si>
  <si>
    <t>VFD Supply Fan Motors (100hp, nema 1 enclosure,no bypass)</t>
  </si>
  <si>
    <t>VFD Supply Fan Motors (50hp, nema 1 enclosure,no bypass)</t>
  </si>
  <si>
    <t>Occupancy sensor (2000 sqft) ceiling mount, passive infrared, outdoor, 24v</t>
  </si>
  <si>
    <t>Occupancy sensor (2000 sqft) ceiling mount, passive infrared, outdoor 24v</t>
  </si>
  <si>
    <t>Occupancy sensor (1000 sqft) wall mount, passive infrared &amp; ultrasonic, indoor, 120v</t>
  </si>
  <si>
    <t>134 - 141</t>
  </si>
  <si>
    <r>
      <t xml:space="preserve">Split AC SEER = 13.00; EER = 11.06; Clg EIR = 0.256; Supply Fan W/cfm = 0.379; no econo </t>
    </r>
    <r>
      <rPr>
        <sz val="11"/>
        <color rgb="FFFF0000"/>
        <rFont val="Calibri"/>
        <family val="2"/>
        <scheme val="minor"/>
      </rPr>
      <t>assumed 54,000 BtuH</t>
    </r>
  </si>
  <si>
    <r>
      <t xml:space="preserve">Split AC SEER = 14.0 (&lt; 65 kBtuh), EER = 12.04, Clg EIR = 0.2456, Supply Fan W/cfm = 0.306 </t>
    </r>
    <r>
      <rPr>
        <sz val="11"/>
        <color rgb="FFFF0000"/>
        <rFont val="Calibri"/>
        <family val="2"/>
        <scheme val="minor"/>
      </rPr>
      <t>assumed 54,000 BtuH</t>
    </r>
  </si>
  <si>
    <r>
      <t xml:space="preserve">Split AC SEER = 14.0 (&lt; 65 kBtuh, 3ph), EER = 12.04, Clg EIR = 0.2456, Supply Fan W/cfm = 0.306 </t>
    </r>
    <r>
      <rPr>
        <sz val="11"/>
        <color rgb="FFFF0000"/>
        <rFont val="Calibri"/>
        <family val="2"/>
        <scheme val="minor"/>
      </rPr>
      <t>assumed 54,000 BtuH</t>
    </r>
  </si>
  <si>
    <r>
      <t xml:space="preserve">13 SEER (11.09 EER) Split System Air Conditioner </t>
    </r>
    <r>
      <rPr>
        <sz val="11"/>
        <color rgb="FFFF0000"/>
        <rFont val="Calibri"/>
        <family val="2"/>
        <scheme val="minor"/>
      </rPr>
      <t>assumed 36,000 BtuH</t>
    </r>
  </si>
  <si>
    <r>
      <t>14 SEER (12.15 EER) Split-System Air Conditioner</t>
    </r>
    <r>
      <rPr>
        <sz val="11"/>
        <color rgb="FFFF0000"/>
        <rFont val="Calibri"/>
        <family val="2"/>
        <scheme val="minor"/>
      </rPr>
      <t xml:space="preserve"> assumed 36,000 BtuH</t>
    </r>
  </si>
  <si>
    <r>
      <t xml:space="preserve">15 SEER (12.72 EER) Split-System Air Conditioner </t>
    </r>
    <r>
      <rPr>
        <sz val="11"/>
        <color rgb="FFFF0000"/>
        <rFont val="Calibri"/>
        <family val="2"/>
        <scheme val="minor"/>
      </rPr>
      <t>assumed 36,000 BtuH</t>
    </r>
  </si>
  <si>
    <r>
      <t xml:space="preserve">16 SEER (11.61 EER) Split-System Air Conditioner </t>
    </r>
    <r>
      <rPr>
        <sz val="11"/>
        <color rgb="FFFF0000"/>
        <rFont val="Calibri"/>
        <family val="2"/>
        <scheme val="minor"/>
      </rPr>
      <t>assumed 36,000 BtuH</t>
    </r>
  </si>
  <si>
    <r>
      <t>17 SEER (12.28 EER) Split-System Air Conditioner</t>
    </r>
    <r>
      <rPr>
        <sz val="11"/>
        <color rgb="FFFF0000"/>
        <rFont val="Calibri"/>
        <family val="2"/>
        <scheme val="minor"/>
      </rPr>
      <t xml:space="preserve"> assumed 36,000 BtuH</t>
    </r>
  </si>
  <si>
    <r>
      <t xml:space="preserve">18 SEER (13.37 EER) Split-System Air Conditioner  </t>
    </r>
    <r>
      <rPr>
        <sz val="11"/>
        <color rgb="FFFF0000"/>
        <rFont val="Calibri"/>
        <family val="2"/>
        <scheme val="minor"/>
      </rPr>
      <t>assumed 36,000 BtuH</t>
    </r>
  </si>
  <si>
    <r>
      <t xml:space="preserve">19 SEER (13.82 EER) Split-System Air Conditioner  </t>
    </r>
    <r>
      <rPr>
        <sz val="11"/>
        <color rgb="FFFF0000"/>
        <rFont val="Calibri"/>
        <family val="2"/>
        <scheme val="minor"/>
      </rPr>
      <t>assumed 36,000 BtuH</t>
    </r>
  </si>
  <si>
    <r>
      <t xml:space="preserve">20 SEER (14.43 EER) Split-System Air Conditioner  </t>
    </r>
    <r>
      <rPr>
        <sz val="11"/>
        <color rgb="FFFF0000"/>
        <rFont val="Calibri"/>
        <family val="2"/>
        <scheme val="minor"/>
      </rPr>
      <t>assumed 36,000 BtuH</t>
    </r>
  </si>
  <si>
    <r>
      <t xml:space="preserve">21 SEER (15.03 EER) Split-System Air Conditioner </t>
    </r>
    <r>
      <rPr>
        <sz val="11"/>
        <color rgb="FFFF0000"/>
        <rFont val="Calibri"/>
        <family val="2"/>
        <scheme val="minor"/>
      </rPr>
      <t>assumed 36,000 BtuH</t>
    </r>
  </si>
  <si>
    <r>
      <t xml:space="preserve">Split HP SEER = 14.0 (&lt; 65 kBtuh) - Combined SEER 13 and SEER 14.5 hp </t>
    </r>
    <r>
      <rPr>
        <sz val="11"/>
        <color rgb="FFFF0000"/>
        <rFont val="Calibri"/>
        <family val="2"/>
        <scheme val="minor"/>
      </rPr>
      <t>assumed 59,000 BtuH</t>
    </r>
  </si>
  <si>
    <r>
      <t xml:space="preserve">Split HP SEER = 14.5 (&lt; 65 kbtuh), EER = 12.00, HSPF = 8.50, COP = 3.74 </t>
    </r>
    <r>
      <rPr>
        <sz val="11"/>
        <color rgb="FFFF0000"/>
        <rFont val="Calibri"/>
        <family val="2"/>
        <scheme val="minor"/>
      </rPr>
      <t>assumed 59,000 BtuH</t>
    </r>
  </si>
  <si>
    <r>
      <t xml:space="preserve">Split HP SEER = 15.0 (&lt; 65 kBtuh), EER = 12.5, HSPF = 9.00, COP = 3.96 </t>
    </r>
    <r>
      <rPr>
        <sz val="11"/>
        <color rgb="FFFF0000"/>
        <rFont val="Calibri"/>
        <family val="2"/>
        <scheme val="minor"/>
      </rPr>
      <t>assumed 59,000 BtuH</t>
    </r>
  </si>
  <si>
    <r>
      <t xml:space="preserve">Split HP SEER = 13.0 (&lt; 65 kbtuh), EER = 11.07, HSPF = 7.70, COP = 3.28 </t>
    </r>
    <r>
      <rPr>
        <sz val="11"/>
        <color rgb="FFFF0000"/>
        <rFont val="Calibri"/>
        <family val="2"/>
        <scheme val="minor"/>
      </rPr>
      <t>assumed 59,000 BtuH - same as baseline</t>
    </r>
  </si>
  <si>
    <r>
      <t xml:space="preserve">13 SEER Heat Pump (HSPF = 8.1) </t>
    </r>
    <r>
      <rPr>
        <sz val="11"/>
        <color rgb="FFFF0000"/>
        <rFont val="Calibri"/>
        <family val="2"/>
        <scheme val="minor"/>
      </rPr>
      <t>assumed 24,000 BtuH - same as baseline</t>
    </r>
  </si>
  <si>
    <r>
      <t xml:space="preserve">Split AC SEER = 13.0 (&lt; 55 kBtuh), EER = 11.06, Clg EIR = 0.2557, Supply Fan W/cfm = 0.379; no Econo;  1-spd Fan </t>
    </r>
    <r>
      <rPr>
        <sz val="11"/>
        <color rgb="FFFF0000"/>
        <rFont val="Calibri"/>
        <family val="2"/>
        <scheme val="minor"/>
      </rPr>
      <t>assumed 24,000 BtuH</t>
    </r>
  </si>
  <si>
    <r>
      <t xml:space="preserve">Split AC SEER = 14.0 (&lt; 55 kBTUh), EER = 12.04, Clg EIR = 0.2456, Supply Fan W/cfm = 0.306; no Econo;  1-spd Fan </t>
    </r>
    <r>
      <rPr>
        <sz val="11"/>
        <color rgb="FFFF0000"/>
        <rFont val="Calibri"/>
        <family val="2"/>
        <scheme val="minor"/>
      </rPr>
      <t>assumed 24,000 BtuH</t>
    </r>
  </si>
  <si>
    <r>
      <t xml:space="preserve">13 SEER (11.09 EER) Split System Air Conditioner </t>
    </r>
    <r>
      <rPr>
        <sz val="11"/>
        <color rgb="FFFF0000"/>
        <rFont val="Calibri"/>
        <family val="2"/>
        <scheme val="minor"/>
      </rPr>
      <t>assumed 48,000 BtuH</t>
    </r>
  </si>
  <si>
    <r>
      <t xml:space="preserve">Split AC SEER = 13.0 (55-64 kBtuh), EER = 11.06, Clg EIR = 0.2557, Supply Fan W/cfm = 0.379; no Econo;  2-spd Fan </t>
    </r>
    <r>
      <rPr>
        <sz val="11"/>
        <color rgb="FFFF0000"/>
        <rFont val="Calibri"/>
        <family val="2"/>
        <scheme val="minor"/>
      </rPr>
      <t>assumed 60,000 BtuH</t>
    </r>
  </si>
  <si>
    <t>Absense of heat curtains</t>
  </si>
  <si>
    <t>Unit</t>
  </si>
  <si>
    <t>Full Cost per Unit</t>
  </si>
  <si>
    <t>Incremental Cost per Unit</t>
  </si>
  <si>
    <t>Incremental Fixed Cost per Project</t>
  </si>
  <si>
    <t>Per Unit Costs</t>
  </si>
  <si>
    <t>sqft</t>
  </si>
  <si>
    <t>No insulation or vintage-specific existing</t>
  </si>
  <si>
    <r>
      <t>Ceiling R-0 to R-30 Insulation-Batts</t>
    </r>
    <r>
      <rPr>
        <sz val="11"/>
        <color rgb="FFFF0000"/>
        <rFont val="Calibri"/>
        <family val="2"/>
        <scheme val="minor"/>
      </rPr>
      <t xml:space="preserve"> assume 16" wide and 43 sqft per package</t>
    </r>
  </si>
  <si>
    <r>
      <t xml:space="preserve">Ceiling R-0 to R-38 Insulation-Batts </t>
    </r>
    <r>
      <rPr>
        <sz val="11"/>
        <color rgb="FFFF0000"/>
        <rFont val="Calibri"/>
        <family val="2"/>
        <scheme val="minor"/>
      </rPr>
      <t>assume 16" wide and 43 sqft per package</t>
    </r>
  </si>
  <si>
    <r>
      <t xml:space="preserve">Ceiling - Add R-11 batts on top of vintage-specific existing insulation </t>
    </r>
    <r>
      <rPr>
        <sz val="11"/>
        <color rgb="FFFF0000"/>
        <rFont val="Calibri"/>
        <family val="2"/>
        <scheme val="minor"/>
      </rPr>
      <t>assume 16" wide and 43 sqft per package</t>
    </r>
  </si>
  <si>
    <r>
      <t xml:space="preserve">Ceiling - Add R-19 batts on top of vintage-specific existing insulation </t>
    </r>
    <r>
      <rPr>
        <sz val="11"/>
        <color rgb="FFFF0000"/>
        <rFont val="Calibri"/>
        <family val="2"/>
        <scheme val="minor"/>
      </rPr>
      <t>assume 16" wide and 43 sqft per package</t>
    </r>
  </si>
  <si>
    <r>
      <t xml:space="preserve">Ceiling - Add R-30 batts on top of vintage-specific existing insulation </t>
    </r>
    <r>
      <rPr>
        <sz val="11"/>
        <color rgb="FFFF0000"/>
        <rFont val="Calibri"/>
        <family val="2"/>
        <scheme val="minor"/>
      </rPr>
      <t>assume 16" wide and 43 sqft per package</t>
    </r>
  </si>
  <si>
    <r>
      <t xml:space="preserve">Ceiling/Roof Insulation </t>
    </r>
    <r>
      <rPr>
        <sz val="11"/>
        <color rgb="FFFF0000"/>
        <rFont val="Calibri"/>
        <family val="2"/>
        <scheme val="minor"/>
      </rPr>
      <t>assume R-20 16" wide and 43 sqft per package</t>
    </r>
  </si>
  <si>
    <r>
      <t xml:space="preserve">Floor R-0 to R-19 Insulation Batts  </t>
    </r>
    <r>
      <rPr>
        <sz val="11"/>
        <color rgb="FFFF0000"/>
        <rFont val="Calibri"/>
        <family val="2"/>
        <scheme val="minor"/>
      </rPr>
      <t>assume 16" wide and 43 sqft per package</t>
    </r>
  </si>
  <si>
    <r>
      <t>Floor R-0 to R-30 Insulation Batts</t>
    </r>
    <r>
      <rPr>
        <sz val="11"/>
        <color rgb="FFFF0000"/>
        <rFont val="Calibri"/>
        <family val="2"/>
        <scheme val="minor"/>
      </rPr>
      <t xml:space="preserve"> assume 16" wide and 43 sqft per package</t>
    </r>
  </si>
  <si>
    <r>
      <t>Floor R-19 to R-30 Insulation-Batts</t>
    </r>
    <r>
      <rPr>
        <sz val="11"/>
        <color rgb="FFFF0000"/>
        <rFont val="Calibri"/>
        <family val="2"/>
        <scheme val="minor"/>
      </rPr>
      <t xml:space="preserve"> assume 16" wide and 43 sqft per package</t>
    </r>
  </si>
  <si>
    <r>
      <t xml:space="preserve">Wall 2x4 R-15 Insulation-Batts </t>
    </r>
    <r>
      <rPr>
        <sz val="11"/>
        <color rgb="FFFF0000"/>
        <rFont val="Calibri"/>
        <family val="2"/>
        <scheme val="minor"/>
      </rPr>
      <t>assume 16" wide and 43 sqft per package</t>
    </r>
  </si>
  <si>
    <r>
      <t xml:space="preserve">Wall 2x6 R-19 Insulation-Batts </t>
    </r>
    <r>
      <rPr>
        <sz val="11"/>
        <color rgb="FFFF0000"/>
        <rFont val="Calibri"/>
        <family val="2"/>
        <scheme val="minor"/>
      </rPr>
      <t>assume 16" wide and 43 sqft per package</t>
    </r>
  </si>
  <si>
    <r>
      <t xml:space="preserve">Wall 2x6 R-21 Insulation-Batts </t>
    </r>
    <r>
      <rPr>
        <sz val="11"/>
        <color rgb="FFFF0000"/>
        <rFont val="Calibri"/>
        <family val="2"/>
        <scheme val="minor"/>
      </rPr>
      <t>assume 16" wide and 43 sqft per package</t>
    </r>
  </si>
  <si>
    <r>
      <t xml:space="preserve">Wall 2x4 R-13 Batts + R-5 Rigid </t>
    </r>
    <r>
      <rPr>
        <sz val="11"/>
        <color rgb="FFFF0000"/>
        <rFont val="Calibri"/>
        <family val="2"/>
        <scheme val="minor"/>
      </rPr>
      <t>assume 16" wide and 43 sqft per package COST DOES NOT INCLUDE R-5 RIGID</t>
    </r>
  </si>
  <si>
    <r>
      <t xml:space="preserve">Wall 2x6 R-19 Batts + R-5 Rigid </t>
    </r>
    <r>
      <rPr>
        <sz val="11"/>
        <color rgb="FFFF0000"/>
        <rFont val="Calibri"/>
        <family val="2"/>
        <scheme val="minor"/>
      </rPr>
      <t>assume 16" wide and 43 sqft per package COST DOES NOT INCLUDE R-5 RIGID</t>
    </r>
  </si>
  <si>
    <r>
      <t xml:space="preserve">Wall 2x6 R-21 Batts + R-5 Rigid </t>
    </r>
    <r>
      <rPr>
        <sz val="11"/>
        <color rgb="FFFF0000"/>
        <rFont val="Calibri"/>
        <family val="2"/>
        <scheme val="minor"/>
      </rPr>
      <t>assume 16" wide and 43 sqft per package COST DOES NOT INCLUDE R-5 RIGID</t>
    </r>
  </si>
  <si>
    <t>49 - 60</t>
  </si>
  <si>
    <r>
      <t xml:space="preserve">Pkg HP SEER = 14.5 (&lt; 55 kBTUh) - Combined SEER 14 and SEER 15 hp </t>
    </r>
    <r>
      <rPr>
        <sz val="11"/>
        <color rgb="FFFF0000"/>
        <rFont val="Calibri"/>
        <family val="2"/>
        <scheme val="minor"/>
      </rPr>
      <t>assumed 36 MBH</t>
    </r>
  </si>
  <si>
    <r>
      <t xml:space="preserve">Pkg HP SEER = 13.0 (&lt; 65 kbtuh), EER = 11.07, HSPF = 7.70, COP = 3.28 </t>
    </r>
    <r>
      <rPr>
        <sz val="11"/>
        <color rgb="FFFF0000"/>
        <rFont val="Calibri"/>
        <family val="2"/>
        <scheme val="minor"/>
      </rPr>
      <t>assumed 36 MBH</t>
    </r>
  </si>
  <si>
    <r>
      <t xml:space="preserve">Pkg HP SEER = 14.0 (&lt; 65 kbtuh), EER = 11.6, HSPF = 8.00, COP = 3.52 </t>
    </r>
    <r>
      <rPr>
        <sz val="11"/>
        <color rgb="FFFF0000"/>
        <rFont val="Calibri"/>
        <family val="2"/>
        <scheme val="minor"/>
      </rPr>
      <t>assumed 36 MBH</t>
    </r>
  </si>
  <si>
    <r>
      <t xml:space="preserve">Pkg HP SEER = 14.5 (&lt; 65 kBtuh) - Combined SEER 14 and SEER 15 hp </t>
    </r>
    <r>
      <rPr>
        <sz val="11"/>
        <color rgb="FFFF0000"/>
        <rFont val="Calibri"/>
        <family val="2"/>
        <scheme val="minor"/>
      </rPr>
      <t>assumed 36 MBH</t>
    </r>
  </si>
  <si>
    <r>
      <t>Pkg HP SEER = 15.0 (&lt; 65 kbtuh), EER = 12.0, HSPF = 8.50, COP = 3.74</t>
    </r>
    <r>
      <rPr>
        <sz val="11"/>
        <color rgb="FFFF0000"/>
        <rFont val="Calibri"/>
        <family val="2"/>
        <scheme val="minor"/>
      </rPr>
      <t xml:space="preserve"> assumed 36 MBH</t>
    </r>
  </si>
  <si>
    <r>
      <t xml:space="preserve">Pkg HP SEER = 13.0 (&lt; 55 kBTUh), EER = 11.07, HSPF = 7.70, COP = 3.28; no Econo;  1-spd Fan </t>
    </r>
    <r>
      <rPr>
        <sz val="11"/>
        <color rgb="FFFF0000"/>
        <rFont val="Calibri"/>
        <family val="2"/>
        <scheme val="minor"/>
      </rPr>
      <t>assumed 36 MBH</t>
    </r>
  </si>
  <si>
    <r>
      <t xml:space="preserve">Pkg HP SEER = 14.0 (&lt; 55 kBTUh), EER = 11.6, HSPF = 8.00, COP = 3.52; no Econo;  1-spd Fan </t>
    </r>
    <r>
      <rPr>
        <sz val="11"/>
        <color rgb="FFFF0000"/>
        <rFont val="Calibri"/>
        <family val="2"/>
        <scheme val="minor"/>
      </rPr>
      <t>assumed 36 MBH</t>
    </r>
  </si>
  <si>
    <r>
      <t xml:space="preserve">Pkg HP SEER = 15.0 (&lt; 55 kBTUh), EER = 12.0, HSPF = 8.50, COP = 3.74; no Econo;  1-spd Fan </t>
    </r>
    <r>
      <rPr>
        <sz val="11"/>
        <color rgb="FFFF0000"/>
        <rFont val="Calibri"/>
        <family val="2"/>
        <scheme val="minor"/>
      </rPr>
      <t>assumed 36 MBH</t>
    </r>
  </si>
  <si>
    <r>
      <t xml:space="preserve">Pkg HP SEER = 14.5 (55-64 kBTUh) - Combined SEER 14 and SEER 15 hp </t>
    </r>
    <r>
      <rPr>
        <sz val="11"/>
        <color rgb="FFFF0000"/>
        <rFont val="Calibri"/>
        <family val="2"/>
        <scheme val="minor"/>
      </rPr>
      <t>assumed 60 MBH</t>
    </r>
  </si>
  <si>
    <r>
      <t xml:space="preserve">Pkg HP SEER = 13.0 (55-64 kBTUh), EER = 11.07, HSPF = 7.70, COP = 3.28; w/Econo;  2-spd Fan </t>
    </r>
    <r>
      <rPr>
        <sz val="11"/>
        <color rgb="FFFF0000"/>
        <rFont val="Calibri"/>
        <family val="2"/>
        <scheme val="minor"/>
      </rPr>
      <t>assumed 60 MBH</t>
    </r>
  </si>
  <si>
    <r>
      <t xml:space="preserve">Pkg HP SEER = 14.0 (55-64 kBTUh), EER = 11.6, HSPF = 8.00, COP = 3.52; w/Econo;  2-spd Fan </t>
    </r>
    <r>
      <rPr>
        <sz val="11"/>
        <color rgb="FFFF0000"/>
        <rFont val="Calibri"/>
        <family val="2"/>
        <scheme val="minor"/>
      </rPr>
      <t>assumed 60 MBH</t>
    </r>
  </si>
  <si>
    <r>
      <t xml:space="preserve">Pkg HP SEER = 15.0 (55-64 kBTUh), EER = 12.0, HSPF = 8.50, COP = 3.74; w/Econo;  2-spd Fan </t>
    </r>
    <r>
      <rPr>
        <sz val="11"/>
        <color rgb="FFFF0000"/>
        <rFont val="Calibri"/>
        <family val="2"/>
        <scheme val="minor"/>
      </rPr>
      <t>assumed 60 MBH</t>
    </r>
  </si>
  <si>
    <r>
      <t xml:space="preserve">Pkg HP EER = 11.5 (65-89 kBtuh), COP = 3.4  </t>
    </r>
    <r>
      <rPr>
        <sz val="11"/>
        <color rgb="FFFF0000"/>
        <rFont val="Calibri"/>
        <family val="2"/>
        <scheme val="minor"/>
      </rPr>
      <t>assumed 72 MBH ground mount</t>
    </r>
  </si>
  <si>
    <r>
      <t xml:space="preserve">Pkg HP EER = 12.0 (65-89 kBtuh), COP = 3.4 </t>
    </r>
    <r>
      <rPr>
        <sz val="11"/>
        <color rgb="FFFF0000"/>
        <rFont val="Calibri"/>
        <family val="2"/>
        <scheme val="minor"/>
      </rPr>
      <t>assumed 72 MBH ground mount</t>
    </r>
  </si>
  <si>
    <r>
      <t xml:space="preserve">Pkg HP EER = 11.5 (65-109 kBTUh), COP = 3.4; w/Econo;  2-spd Fan </t>
    </r>
    <r>
      <rPr>
        <sz val="11"/>
        <color rgb="FFFF0000"/>
        <rFont val="Calibri"/>
        <family val="2"/>
        <scheme val="minor"/>
      </rPr>
      <t>assumed 72 MBH ground mount</t>
    </r>
  </si>
  <si>
    <r>
      <t xml:space="preserve">Pkg HP EER = 12.0 (65-109 kBTUh), COP = 3.4; w/Econo;  2-spd Fan </t>
    </r>
    <r>
      <rPr>
        <sz val="11"/>
        <color rgb="FFFF0000"/>
        <rFont val="Calibri"/>
        <family val="2"/>
        <scheme val="minor"/>
      </rPr>
      <t>assumed 72 MBH ground mount</t>
    </r>
  </si>
  <si>
    <r>
      <t xml:space="preserve">Pkg HP EER = 11.5 (90-134 kBtuh), COP = 3.4 </t>
    </r>
    <r>
      <rPr>
        <sz val="11"/>
        <color rgb="FFFF0000"/>
        <rFont val="Calibri"/>
        <family val="2"/>
        <scheme val="minor"/>
      </rPr>
      <t>assumed 120 MBH ground mount</t>
    </r>
  </si>
  <si>
    <r>
      <t xml:space="preserve">Pkg HP EER = 12.0 (90-134 kBtuh), COP = 3.4 </t>
    </r>
    <r>
      <rPr>
        <sz val="11"/>
        <color rgb="FFFF0000"/>
        <rFont val="Calibri"/>
        <family val="2"/>
        <scheme val="minor"/>
      </rPr>
      <t>assumed 120 MBH ground mount</t>
    </r>
  </si>
  <si>
    <r>
      <t xml:space="preserve">Pkg HP EER = 11.5 (110-134 kBTUh), COP = 3.4; w/Econo;  2-spd Fan </t>
    </r>
    <r>
      <rPr>
        <sz val="11"/>
        <color rgb="FFFF0000"/>
        <rFont val="Calibri"/>
        <family val="2"/>
        <scheme val="minor"/>
      </rPr>
      <t>assumed 120 MBH ground mount</t>
    </r>
  </si>
  <si>
    <r>
      <t xml:space="preserve">Pkg HP EER = 12.0 (110-134 kBTUh), COP = 3.4; w/Econo;  2-spd Fan </t>
    </r>
    <r>
      <rPr>
        <sz val="11"/>
        <color rgb="FFFF0000"/>
        <rFont val="Calibri"/>
        <family val="2"/>
        <scheme val="minor"/>
      </rPr>
      <t>assumed 120 MBH ground mount</t>
    </r>
  </si>
  <si>
    <r>
      <t xml:space="preserve">Pkg HP EER = 11.5 (135-239 kBtuh), COP = 3.2 </t>
    </r>
    <r>
      <rPr>
        <sz val="11"/>
        <color rgb="FFFF0000"/>
        <rFont val="Calibri"/>
        <family val="2"/>
        <scheme val="minor"/>
      </rPr>
      <t>assumed 180 MBH roof mount</t>
    </r>
  </si>
  <si>
    <r>
      <t xml:space="preserve">Pkg HP EER = 12.0 (135-239 kBtuh), COP = 3.2 </t>
    </r>
    <r>
      <rPr>
        <sz val="11"/>
        <color rgb="FFFF0000"/>
        <rFont val="Calibri"/>
        <family val="2"/>
        <scheme val="minor"/>
      </rPr>
      <t>assumed 180 MBH roof mount</t>
    </r>
  </si>
  <si>
    <r>
      <t xml:space="preserve">Pkg HP EER = 10.8 (135-239 kBTUh), COP = 3.2; w/Econo;  2-spd Fan </t>
    </r>
    <r>
      <rPr>
        <sz val="11"/>
        <color rgb="FFFF0000"/>
        <rFont val="Calibri"/>
        <family val="2"/>
        <scheme val="minor"/>
      </rPr>
      <t>assumed 180 MBH roof mount</t>
    </r>
  </si>
  <si>
    <t>ton</t>
  </si>
  <si>
    <r>
      <t xml:space="preserve">Water cooled centrifugal chiller (0.634 kW/ton) </t>
    </r>
    <r>
      <rPr>
        <sz val="11"/>
        <color rgb="FFFF0000"/>
        <rFont val="Calibri"/>
        <family val="2"/>
        <scheme val="minor"/>
      </rPr>
      <t>assumed 100 ton ground mount</t>
    </r>
  </si>
  <si>
    <r>
      <t>Water cooled centrifugal chiller (&lt; 150 tons, 0.560 kW/ton)</t>
    </r>
    <r>
      <rPr>
        <sz val="11"/>
        <color rgb="FFFF0000"/>
        <rFont val="Calibri"/>
        <family val="2"/>
        <scheme val="minor"/>
      </rPr>
      <t xml:space="preserve"> assumed 100 ton ground mount</t>
    </r>
  </si>
  <si>
    <r>
      <t xml:space="preserve">Water cooled centrifugal chiller (0.634 kW/ton) </t>
    </r>
    <r>
      <rPr>
        <sz val="11"/>
        <color rgb="FFFF0000"/>
        <rFont val="Calibri"/>
        <family val="2"/>
        <scheme val="minor"/>
      </rPr>
      <t>assumed 200 ton roof mount</t>
    </r>
  </si>
  <si>
    <r>
      <t xml:space="preserve">Water cooled centrifugal chiller (150-299 tons, 0.507 kW/ton) </t>
    </r>
    <r>
      <rPr>
        <sz val="11"/>
        <color rgb="FFFF0000"/>
        <rFont val="Calibri"/>
        <family val="2"/>
        <scheme val="minor"/>
      </rPr>
      <t>assumed 200 ton roof mount</t>
    </r>
  </si>
  <si>
    <r>
      <t xml:space="preserve">Water cooled centrifugal chiller (0.573 kW/ton) </t>
    </r>
    <r>
      <rPr>
        <sz val="11"/>
        <color rgb="FFFF0000"/>
        <rFont val="Calibri"/>
        <family val="2"/>
        <scheme val="minor"/>
      </rPr>
      <t>assumed 300 ton basement mount</t>
    </r>
  </si>
  <si>
    <r>
      <t xml:space="preserve">Water cooled centrifugal chiller (&gt;= 300 tons, 0.461 kW/ton) </t>
    </r>
    <r>
      <rPr>
        <sz val="11"/>
        <color rgb="FFFF0000"/>
        <rFont val="Calibri"/>
        <family val="2"/>
        <scheme val="minor"/>
      </rPr>
      <t>assumed 300 ton basement mount</t>
    </r>
  </si>
  <si>
    <r>
      <t xml:space="preserve">Water cooled screw chiller (0.778 kW/ton)  </t>
    </r>
    <r>
      <rPr>
        <sz val="11"/>
        <color rgb="FFFF0000"/>
        <rFont val="Calibri"/>
        <family val="2"/>
        <scheme val="minor"/>
      </rPr>
      <t>assumed 100 ton ground mount</t>
    </r>
  </si>
  <si>
    <r>
      <t xml:space="preserve">Water cooled screw chiller (&lt; 150 tons, 0.632 kW/ton)  </t>
    </r>
    <r>
      <rPr>
        <sz val="11"/>
        <color rgb="FFFF0000"/>
        <rFont val="Calibri"/>
        <family val="2"/>
        <scheme val="minor"/>
      </rPr>
      <t>assumed 100 ton ground mount</t>
    </r>
  </si>
  <si>
    <r>
      <t>Water cooled screw chiller (0.68 kW/ton)</t>
    </r>
    <r>
      <rPr>
        <sz val="11"/>
        <color rgb="FFFF0000"/>
        <rFont val="Calibri"/>
        <family val="2"/>
        <scheme val="minor"/>
      </rPr>
      <t xml:space="preserve"> assumed 200 ton roof mount</t>
    </r>
  </si>
  <si>
    <r>
      <t xml:space="preserve">Water cooled screw chiller (150-299 tons, 0.574 kW/ton) </t>
    </r>
    <r>
      <rPr>
        <sz val="11"/>
        <color rgb="FFFF0000"/>
        <rFont val="Calibri"/>
        <family val="2"/>
        <scheme val="minor"/>
      </rPr>
      <t>assumed 200 ton roof mount</t>
    </r>
  </si>
  <si>
    <r>
      <t xml:space="preserve">Water cooled screw chiller (0.62 kW/ton) </t>
    </r>
    <r>
      <rPr>
        <sz val="11"/>
        <color rgb="FFFF0000"/>
        <rFont val="Calibri"/>
        <family val="2"/>
        <scheme val="minor"/>
      </rPr>
      <t>assumed 300 ton basement mount</t>
    </r>
  </si>
  <si>
    <r>
      <t xml:space="preserve">Water cooled screw chiller (&gt;= 300 tons, 0.511 kW/ton) </t>
    </r>
    <r>
      <rPr>
        <sz val="11"/>
        <color rgb="FFFF0000"/>
        <rFont val="Calibri"/>
        <family val="2"/>
        <scheme val="minor"/>
      </rPr>
      <t>assumed 300 ton basement mount</t>
    </r>
  </si>
  <si>
    <t>78, 79, 80</t>
  </si>
  <si>
    <r>
      <t>Water cooled centrifugal chiller (0.573 kW/ton)</t>
    </r>
    <r>
      <rPr>
        <sz val="11"/>
        <color rgb="FFFF0000"/>
        <rFont val="Calibri"/>
        <family val="2"/>
        <scheme val="minor"/>
      </rPr>
      <t xml:space="preserve"> assumed 300 ton basement mount</t>
    </r>
  </si>
  <si>
    <r>
      <t>Water cooled VSD centrifugal chiller (&gt;= 300 tons, 0.461 kW/ton), load control tower</t>
    </r>
    <r>
      <rPr>
        <sz val="11"/>
        <color rgb="FFFF0000"/>
        <rFont val="Calibri"/>
        <family val="2"/>
        <scheme val="minor"/>
      </rPr>
      <t xml:space="preserve"> assumed 300 ton basement mount</t>
    </r>
  </si>
  <si>
    <r>
      <t>Air cooled package screw chiller (1.260 kW/ton)</t>
    </r>
    <r>
      <rPr>
        <sz val="11"/>
        <color rgb="FFFF0000"/>
        <rFont val="Calibri"/>
        <family val="2"/>
        <scheme val="minor"/>
      </rPr>
      <t xml:space="preserve"> assumed 100 ton ground mount</t>
    </r>
  </si>
  <si>
    <r>
      <t xml:space="preserve">Air cooled screw chiller (1.008 kW/ton)  </t>
    </r>
    <r>
      <rPr>
        <sz val="11"/>
        <color rgb="FFFF0000"/>
        <rFont val="Calibri"/>
        <family val="2"/>
        <scheme val="minor"/>
      </rPr>
      <t>assumed 100 ton ground mount</t>
    </r>
  </si>
  <si>
    <t>115 - 121</t>
  </si>
  <si>
    <t>ErRul/ErRobNc</t>
  </si>
  <si>
    <r>
      <t xml:space="preserve">Pkg AC SEER = 13.0 (&lt; 55 kBtuh), EER = 11.06, Clg EIR = 0.2557, Supply Fan W/cfm = 0.379; no Econo;  1-spd Fan </t>
    </r>
    <r>
      <rPr>
        <sz val="11"/>
        <color rgb="FFFF0000"/>
        <rFont val="Calibri"/>
        <family val="2"/>
        <scheme val="minor"/>
      </rPr>
      <t>assumed 3 ton</t>
    </r>
  </si>
  <si>
    <r>
      <t xml:space="preserve">Pkg AC SEER = 13.0 (&lt; 55 kBTUh), EER = 11.06, Clg EIR = 0.2557, Supply Fan W/cfm = 0.379; no Econo;  1-spd Fan </t>
    </r>
    <r>
      <rPr>
        <sz val="11"/>
        <color rgb="FFFF0000"/>
        <rFont val="Calibri"/>
        <family val="2"/>
        <scheme val="minor"/>
      </rPr>
      <t>assumed 3 ton</t>
    </r>
  </si>
  <si>
    <r>
      <t xml:space="preserve">Pkg AC SEER = 14.0 (&lt; 55 kBTUh), EER = 12.04, Clg EIR = 0.2456, Supply Fan W/cfm = 0.306; no Econo;  1-spd Fan </t>
    </r>
    <r>
      <rPr>
        <sz val="11"/>
        <color rgb="FFFF0000"/>
        <rFont val="Calibri"/>
        <family val="2"/>
        <scheme val="minor"/>
      </rPr>
      <t>assumed 3 ton</t>
    </r>
  </si>
  <si>
    <r>
      <t xml:space="preserve">Pkg AC SEER = 13.0 (&lt; 65 kBtuh), EER = 11.06, Clg EIR = 0.2557, Supply Fan W/cfm = 0.379 </t>
    </r>
    <r>
      <rPr>
        <sz val="11"/>
        <color rgb="FFFF0000"/>
        <rFont val="Calibri"/>
        <family val="2"/>
        <scheme val="minor"/>
      </rPr>
      <t>assumed 3 ton</t>
    </r>
  </si>
  <si>
    <r>
      <t xml:space="preserve">Pkg AC SEER = 14.0 (&lt; 65 kBtuh), EER = 12.04, Clg EIR = 0.2456, Supply Fan W/cfm = 0.306 </t>
    </r>
    <r>
      <rPr>
        <sz val="11"/>
        <color rgb="FFFF0000"/>
        <rFont val="Calibri"/>
        <family val="2"/>
        <scheme val="minor"/>
      </rPr>
      <t>assumed 3 ton</t>
    </r>
  </si>
  <si>
    <r>
      <t xml:space="preserve">Pkg AC SEER = 12.0 (&lt; 65 kBtuh, 3ph), EER = 10.21, Clg EIR = 0.2761, Supply Fan W/cfm = 0.409 </t>
    </r>
    <r>
      <rPr>
        <sz val="11"/>
        <color rgb="FFFF0000"/>
        <rFont val="Calibri"/>
        <family val="2"/>
        <scheme val="minor"/>
      </rPr>
      <t>assumed 3 ton</t>
    </r>
  </si>
  <si>
    <r>
      <t xml:space="preserve">Pkg AC SEER = 13.0 (&lt; 65 kBtuh, 3ph), EER = 11.06, Clg EIR = 0.2557, Supply Fan W/cfm = 0.379 </t>
    </r>
    <r>
      <rPr>
        <sz val="11"/>
        <color rgb="FFFF0000"/>
        <rFont val="Calibri"/>
        <family val="2"/>
        <scheme val="minor"/>
      </rPr>
      <t>assumed 3 ton</t>
    </r>
  </si>
  <si>
    <r>
      <t xml:space="preserve">Pkg AC SEER = 14.0 (&lt; 65 kBtuh, 3ph), EER = 12.04, Clg EIR = 0.2456, Supply Fan W/cfm = 0.306 </t>
    </r>
    <r>
      <rPr>
        <sz val="11"/>
        <color rgb="FFFF0000"/>
        <rFont val="Calibri"/>
        <family val="2"/>
        <scheme val="minor"/>
      </rPr>
      <t>assumed 3 ton</t>
    </r>
  </si>
  <si>
    <r>
      <t xml:space="preserve">Pkg AC SEER = 13.0 (55-64 kBtuh), EER = 11.06, Clg EIR = 0.2557, Supply Fan W/cfm = 0.379; no Econo;  2-spd Fan </t>
    </r>
    <r>
      <rPr>
        <sz val="11"/>
        <color rgb="FFFF0000"/>
        <rFont val="Calibri"/>
        <family val="2"/>
        <scheme val="minor"/>
      </rPr>
      <t>assumed 5 ton</t>
    </r>
  </si>
  <si>
    <r>
      <t xml:space="preserve">Pkg AC SEER = 13.0 (55-64 kBTUh), EER = 11.06, Clg EIR = 0.2557, Supply Fan W/cfm = 0.379; no Econo;  2-spd Fan </t>
    </r>
    <r>
      <rPr>
        <sz val="11"/>
        <color rgb="FFFF0000"/>
        <rFont val="Calibri"/>
        <family val="2"/>
        <scheme val="minor"/>
      </rPr>
      <t>assumed 5 ton</t>
    </r>
  </si>
  <si>
    <r>
      <t xml:space="preserve">Pkg AC SEER = 14.0 (55-64 kBtuh), EER = 12.04, Clg EIR = 0.2456, Supply Fan W/cfm = 0.306; no Econo;  2-spd Fan </t>
    </r>
    <r>
      <rPr>
        <sz val="11"/>
        <color rgb="FFFF0000"/>
        <rFont val="Calibri"/>
        <family val="2"/>
        <scheme val="minor"/>
      </rPr>
      <t>assumed 5 ton</t>
    </r>
  </si>
  <si>
    <r>
      <t>Pkg AC SEER = 14.0 (55-64 kBTUh), EER = 12.04, Clg EIR = 0.2456, Supply Fan W/cfm = 0.306; no Econo;  2-spd Fan</t>
    </r>
    <r>
      <rPr>
        <sz val="11"/>
        <color rgb="FFFF0000"/>
        <rFont val="Calibri"/>
        <family val="2"/>
        <scheme val="minor"/>
      </rPr>
      <t xml:space="preserve"> assumed 5 ton</t>
    </r>
  </si>
  <si>
    <t>94 - 99</t>
  </si>
  <si>
    <t>100 - 105</t>
  </si>
  <si>
    <t>106 - 108</t>
  </si>
  <si>
    <t>109 - 111</t>
  </si>
  <si>
    <r>
      <t xml:space="preserve">Pkg AC EER = 11.00; Clg EIR = 0.257; Supply Fan W/cfm = 0.298; Cond Fan W/Btuh = 0.0053; no econo </t>
    </r>
    <r>
      <rPr>
        <sz val="11"/>
        <color rgb="FFFF0000"/>
        <rFont val="Calibri"/>
        <family val="2"/>
        <scheme val="minor"/>
      </rPr>
      <t>assumed 6 ton</t>
    </r>
  </si>
  <si>
    <r>
      <t xml:space="preserve">Pkg AC EER = 11.0 (65-89 kBtuh), Clg EIR = 0.2570, Supply Fan W/cfm = 0.298, Cond Fan W/Btuh = 0.0053 </t>
    </r>
    <r>
      <rPr>
        <sz val="11"/>
        <color rgb="FFFF0000"/>
        <rFont val="Calibri"/>
        <family val="2"/>
        <scheme val="minor"/>
      </rPr>
      <t>assumed 6 ton</t>
    </r>
  </si>
  <si>
    <r>
      <t xml:space="preserve">Pkg AC EER = 11.5 (65-89 kBtuh), Clg EIR = 0.2401, Supply Fan W/cfm = 0.248, Cond Fan W/Btuh = 0.0060 </t>
    </r>
    <r>
      <rPr>
        <sz val="11"/>
        <color rgb="FFFF0000"/>
        <rFont val="Calibri"/>
        <family val="2"/>
        <scheme val="minor"/>
      </rPr>
      <t>assumed 6 ton</t>
    </r>
  </si>
  <si>
    <r>
      <t xml:space="preserve">Pkg AC EER = 12.0 (65-89 kBtuh), Clg EIR = 0.2304, Supply Fan W/cfm = 0.238, Cond Fan W/Btuh = 0.0057 </t>
    </r>
    <r>
      <rPr>
        <sz val="11"/>
        <color rgb="FFFF0000"/>
        <rFont val="Calibri"/>
        <family val="2"/>
        <scheme val="minor"/>
      </rPr>
      <t>assumed 6 ton</t>
    </r>
  </si>
  <si>
    <r>
      <t xml:space="preserve">Pkg AC EER = 11.0 (65-109 kBTUh), Clg EIR = 0.2570, Supply Fan W/cfm = 0.298, Cond Fan W/Btuh = 0.0053; w/Econo;  2-spd Fan </t>
    </r>
    <r>
      <rPr>
        <sz val="11"/>
        <color rgb="FFFF0000"/>
        <rFont val="Calibri"/>
        <family val="2"/>
        <scheme val="minor"/>
      </rPr>
      <t>assumed 6 ton</t>
    </r>
  </si>
  <si>
    <r>
      <t xml:space="preserve">Pkg AC EER = 11.5 (65-109 kBTUh), Clg EIR = 0.2401, Supply Fan W/cfm = 0.248, Cond Fan W/Btuh = 0.0060; w/Econo;  2-spd Fan </t>
    </r>
    <r>
      <rPr>
        <sz val="11"/>
        <color rgb="FFFF0000"/>
        <rFont val="Calibri"/>
        <family val="2"/>
        <scheme val="minor"/>
      </rPr>
      <t>assumed 6 ton</t>
    </r>
  </si>
  <si>
    <r>
      <t xml:space="preserve">Pkg AC EER = 12.0 (65-109 kBTUh), Clg EIR = 0.2304, Supply Fan W/cfm = 0.238, Cond Fan W/Btuh = 0.0057; w/Econo;  2-spd Fan </t>
    </r>
    <r>
      <rPr>
        <sz val="11"/>
        <color rgb="FFFF0000"/>
        <rFont val="Calibri"/>
        <family val="2"/>
        <scheme val="minor"/>
      </rPr>
      <t>assumed 6 ton</t>
    </r>
  </si>
  <si>
    <r>
      <t xml:space="preserve">Pkg AC EER = 11.00; Clg EIR = 0.257; Supply Fan W/cfm = 0.298; Cond Fan W/Btuh = 0.0053; w/ econo </t>
    </r>
    <r>
      <rPr>
        <sz val="11"/>
        <color rgb="FFFF0000"/>
        <rFont val="Calibri"/>
        <family val="2"/>
        <scheme val="minor"/>
      </rPr>
      <t>assumed 10 ton</t>
    </r>
  </si>
  <si>
    <r>
      <t xml:space="preserve">Pkg AC EER = 11.0 (90-134 kBtuh), Clg EIR = 0.2570, Supply Fan W/cfm = 0.298, Cond Fan W/Btuh = 0.0053 </t>
    </r>
    <r>
      <rPr>
        <sz val="11"/>
        <color rgb="FFFF0000"/>
        <rFont val="Calibri"/>
        <family val="2"/>
        <scheme val="minor"/>
      </rPr>
      <t>assumed 10 ton</t>
    </r>
  </si>
  <si>
    <r>
      <t xml:space="preserve">Pkg AC EER = 11.5 (90-134 kBtuh), Clg EIR = 0.2401, Supply Fan W/cfm = 0.248, Cond Fan W/Btuh = 0.0060 </t>
    </r>
    <r>
      <rPr>
        <sz val="11"/>
        <color rgb="FFFF0000"/>
        <rFont val="Calibri"/>
        <family val="2"/>
        <scheme val="minor"/>
      </rPr>
      <t>assumed 10 ton</t>
    </r>
  </si>
  <si>
    <r>
      <t xml:space="preserve">Pkg AC EER = 12.0 (90-134 kBtuh), Clg EIR = 0.2304, Supply Fan W/cfm = 0.238, Cond Fan W/Btuh = 0.0057 </t>
    </r>
    <r>
      <rPr>
        <sz val="11"/>
        <color rgb="FFFF0000"/>
        <rFont val="Calibri"/>
        <family val="2"/>
        <scheme val="minor"/>
      </rPr>
      <t>assumed 10 ton</t>
    </r>
  </si>
  <si>
    <r>
      <t xml:space="preserve">Pkg AC EER = 11.0 (110-134 kBTUh), Clg EIR = 0.2570, Supply Fan W/cfm = 0.298, Cond Fan W/Btuh = 0.0053; w/Econo;  2-spd Fan </t>
    </r>
    <r>
      <rPr>
        <sz val="11"/>
        <color rgb="FFFF0000"/>
        <rFont val="Calibri"/>
        <family val="2"/>
        <scheme val="minor"/>
      </rPr>
      <t>assumed 10 ton</t>
    </r>
  </si>
  <si>
    <r>
      <t xml:space="preserve">Pkg AC EER = 11.5 (110-134 kBTUh), Clg EIR = 0.2401, Supply Fan W/cfm = 0.248, Cond Fan W/Btuh = 0.0060; w/Econo;  2-spd Fan </t>
    </r>
    <r>
      <rPr>
        <sz val="11"/>
        <color rgb="FFFF0000"/>
        <rFont val="Calibri"/>
        <family val="2"/>
        <scheme val="minor"/>
      </rPr>
      <t>assumed 10 ton</t>
    </r>
  </si>
  <si>
    <r>
      <t xml:space="preserve">Pkg AC EER = 12.0 (110-134 kBTUh), Clg EIR = 0.2304, Supply Fan W/cfm = 0.238, Cond Fan W/Btuh = 0.0057; w/Econo;  2-spd Fan </t>
    </r>
    <r>
      <rPr>
        <sz val="11"/>
        <color rgb="FFFF0000"/>
        <rFont val="Calibri"/>
        <family val="2"/>
        <scheme val="minor"/>
      </rPr>
      <t>assumed 10 ton</t>
    </r>
  </si>
  <si>
    <r>
      <t>Pkg AC EER = 10.8 (135-239 kBtuh), Clg EIR = 0.2622, Supply Fan W/cfm = 0.270, Cond Fan W/Btuh = 0.0053; w/Econo;  2-spd Fan</t>
    </r>
    <r>
      <rPr>
        <sz val="11"/>
        <color rgb="FFFF0000"/>
        <rFont val="Calibri"/>
        <family val="2"/>
        <scheme val="minor"/>
      </rPr>
      <t xml:space="preserve"> assumed 15 ton</t>
    </r>
  </si>
  <si>
    <r>
      <t xml:space="preserve">Pkg AC EER = 11.5 (135-239 kBTUh), Clg EIR = 0.2439, Supply Fan W/cfm = 0.233, Cond Fan W/Btuh = 0.0064; w/Econo;  2-spd Fan </t>
    </r>
    <r>
      <rPr>
        <sz val="11"/>
        <color rgb="FFFF0000"/>
        <rFont val="Calibri"/>
        <family val="2"/>
        <scheme val="minor"/>
      </rPr>
      <t>assumed 15 ton</t>
    </r>
  </si>
  <si>
    <r>
      <t xml:space="preserve">Pkg AC EER = 10.8 (135-239 kBtuh), Clg EIR = 0.2622, Supply Fan W/cfm = 0.270, Cond Fan W/Btuh = 0.0053; w/Econo;  2-spd Fan </t>
    </r>
    <r>
      <rPr>
        <sz val="11"/>
        <color rgb="FFFF0000"/>
        <rFont val="Calibri"/>
        <family val="2"/>
        <scheme val="minor"/>
      </rPr>
      <t>assumed 15 ton</t>
    </r>
  </si>
  <si>
    <r>
      <t xml:space="preserve">Pkg AC EER = 12.0 (135-239 kBTUh), Clg EIR = 0.2307, Supply Fan W/cfm = 0.165, Cond Fan W/Btuh = 0.0089; w/Econo;  2-spd Fan </t>
    </r>
    <r>
      <rPr>
        <sz val="11"/>
        <color rgb="FFFF0000"/>
        <rFont val="Calibri"/>
        <family val="2"/>
        <scheme val="minor"/>
      </rPr>
      <t>assumed 15 ton</t>
    </r>
  </si>
  <si>
    <r>
      <t>Pkg AC EER = 9.8 (240-759 kBtuh); w/Econo;  2-spd Fan</t>
    </r>
    <r>
      <rPr>
        <sz val="11"/>
        <color rgb="FFFF0000"/>
        <rFont val="Calibri"/>
        <family val="2"/>
        <scheme val="minor"/>
      </rPr>
      <t xml:space="preserve"> assumed 40 ton</t>
    </r>
  </si>
  <si>
    <r>
      <t xml:space="preserve">Pkg AC EER = 10.5 (240-759 kBTUh); w/Econo;  2-spd Fan  </t>
    </r>
    <r>
      <rPr>
        <sz val="11"/>
        <color rgb="FFFF0000"/>
        <rFont val="Calibri"/>
        <family val="2"/>
        <scheme val="minor"/>
      </rPr>
      <t>assumed 40 ton</t>
    </r>
  </si>
  <si>
    <r>
      <t xml:space="preserve">Pkg AC EER = 10.8 (240-759 kBTUh); w/Econo;  2-spd Fan  </t>
    </r>
    <r>
      <rPr>
        <sz val="11"/>
        <color rgb="FFFF0000"/>
        <rFont val="Calibri"/>
        <family val="2"/>
        <scheme val="minor"/>
      </rPr>
      <t>assumed 40 ton</t>
    </r>
  </si>
  <si>
    <r>
      <t>Pkg AC EER = 9.8 (240-759 kBTUh); w/Econo;  2-spd Fan</t>
    </r>
    <r>
      <rPr>
        <sz val="11"/>
        <color rgb="FFFF0000"/>
        <rFont val="Calibri"/>
        <family val="2"/>
        <scheme val="minor"/>
      </rPr>
      <t xml:space="preserve">  assumed 40 ton</t>
    </r>
  </si>
  <si>
    <r>
      <t xml:space="preserve">Pkg AC EER = 9.5 (&gt;= 760 kBtuh); w/Econo;  2-spd Fan  </t>
    </r>
    <r>
      <rPr>
        <sz val="11"/>
        <color rgb="FFFF0000"/>
        <rFont val="Calibri"/>
        <family val="2"/>
        <scheme val="minor"/>
      </rPr>
      <t>assumed 100 ton</t>
    </r>
  </si>
  <si>
    <r>
      <t xml:space="preserve">Pkg AC EER = 10.2 (&gt;= 760 kBTUh); w/Econo;  2-spd Fan  </t>
    </r>
    <r>
      <rPr>
        <sz val="11"/>
        <color rgb="FFFF0000"/>
        <rFont val="Calibri"/>
        <family val="2"/>
        <scheme val="minor"/>
      </rPr>
      <t>assumed 100 ton</t>
    </r>
  </si>
  <si>
    <r>
      <t xml:space="preserve">Pkg AC EER = 9.5 (&gt;= 760 kBTUh); w/Econo;  2-spd Fan </t>
    </r>
    <r>
      <rPr>
        <sz val="11"/>
        <color rgb="FFFF0000"/>
        <rFont val="Calibri"/>
        <family val="2"/>
        <scheme val="minor"/>
      </rPr>
      <t>assumed 100 ton</t>
    </r>
  </si>
  <si>
    <r>
      <t xml:space="preserve">Pkg AC EER = 9.7 (&gt;= 760 kBTUh); w/Econo;  2-spd Fan </t>
    </r>
    <r>
      <rPr>
        <sz val="11"/>
        <color rgb="FFFF0000"/>
        <rFont val="Calibri"/>
        <family val="2"/>
        <scheme val="minor"/>
      </rPr>
      <t>assumed 100 ton</t>
    </r>
  </si>
  <si>
    <t>155, 156</t>
  </si>
  <si>
    <r>
      <t xml:space="preserve">Steam boiler (&lt;300 kBtuh, 80.0% AFUE, atmospheric) </t>
    </r>
    <r>
      <rPr>
        <sz val="11"/>
        <color rgb="FFFF0000"/>
        <rFont val="Calibri"/>
        <family val="2"/>
        <scheme val="minor"/>
      </rPr>
      <t>assumed 250 MBH ground mount</t>
    </r>
  </si>
  <si>
    <r>
      <t xml:space="preserve">Steam boiler (&lt; 300 kBTUh, 82.0 AFUE, atmospheric) </t>
    </r>
    <r>
      <rPr>
        <sz val="11"/>
        <color rgb="FFFF0000"/>
        <rFont val="Calibri"/>
        <family val="2"/>
        <scheme val="minor"/>
      </rPr>
      <t>assumed 250 MBH ground mount</t>
    </r>
  </si>
  <si>
    <r>
      <t>Steam boiler (&lt; 300 kBTUh, 82.0 AFUE, forced draft)</t>
    </r>
    <r>
      <rPr>
        <sz val="11"/>
        <color rgb="FFFF0000"/>
        <rFont val="Calibri"/>
        <family val="2"/>
        <scheme val="minor"/>
      </rPr>
      <t xml:space="preserve"> assumed 250 MBH ground mount</t>
    </r>
  </si>
  <si>
    <r>
      <t xml:space="preserve">Steam boiler (300-2500 kBtuh, 77.0% thermal efficiency, atmospheric) </t>
    </r>
    <r>
      <rPr>
        <sz val="11"/>
        <color rgb="FFFF0000"/>
        <rFont val="Calibri"/>
        <family val="2"/>
        <scheme val="minor"/>
      </rPr>
      <t>assumed 1400 MBH basement mount</t>
    </r>
  </si>
  <si>
    <r>
      <t xml:space="preserve">Steam boiler (300-2500 kBTUh, 85.0% thermal efficiency, atmospheric) </t>
    </r>
    <r>
      <rPr>
        <sz val="11"/>
        <color rgb="FFFF0000"/>
        <rFont val="Calibri"/>
        <family val="2"/>
        <scheme val="minor"/>
      </rPr>
      <t>assumed 1400 MBH basement mount</t>
    </r>
  </si>
  <si>
    <r>
      <t xml:space="preserve">Steam boiler (300-2500 kBtuh, 79.0% thermal efficiency, forced draft) </t>
    </r>
    <r>
      <rPr>
        <sz val="11"/>
        <color rgb="FFFF0000"/>
        <rFont val="Calibri"/>
        <family val="2"/>
        <scheme val="minor"/>
      </rPr>
      <t>assumed 1400 MBH basement mount</t>
    </r>
  </si>
  <si>
    <r>
      <t xml:space="preserve">Steam boiler (300-2500 kBTUh, 85.0% thermal efficiency, forced draft) </t>
    </r>
    <r>
      <rPr>
        <sz val="11"/>
        <color rgb="FFFF0000"/>
        <rFont val="Calibri"/>
        <family val="2"/>
        <scheme val="minor"/>
      </rPr>
      <t>assumed 1400 MBH basement mount</t>
    </r>
  </si>
  <si>
    <r>
      <t xml:space="preserve">Steam boiler (&gt; 2500 kBtuh, 77.0% combustion efficiency, atmospheric) </t>
    </r>
    <r>
      <rPr>
        <sz val="11"/>
        <color rgb="FFFF0000"/>
        <rFont val="Calibri"/>
        <family val="2"/>
        <scheme val="minor"/>
      </rPr>
      <t>assumed 3000 MBH roof mount</t>
    </r>
  </si>
  <si>
    <r>
      <t xml:space="preserve">Steam boiler (&gt; 2500 kBTUh, 80.0% combustion efficiency, atmospheric) </t>
    </r>
    <r>
      <rPr>
        <sz val="11"/>
        <color rgb="FFFF0000"/>
        <rFont val="Calibri"/>
        <family val="2"/>
        <scheme val="minor"/>
      </rPr>
      <t>assumed 3000 MBH roof mount</t>
    </r>
  </si>
  <si>
    <r>
      <t>Steam boiler (&gt; 2500 kBtuh, 79.0% combustion efficiency, forced draft)</t>
    </r>
    <r>
      <rPr>
        <sz val="11"/>
        <color rgb="FFFF0000"/>
        <rFont val="Calibri"/>
        <family val="2"/>
        <scheme val="minor"/>
      </rPr>
      <t xml:space="preserve"> assumed 3000 MBH roof mount</t>
    </r>
  </si>
  <si>
    <r>
      <t>Steam boiler (&gt; 2500 kBTUh, 80.0% combustion efficiency, forced draft)</t>
    </r>
    <r>
      <rPr>
        <sz val="11"/>
        <color rgb="FFFF0000"/>
        <rFont val="Calibri"/>
        <family val="2"/>
        <scheme val="minor"/>
      </rPr>
      <t xml:space="preserve"> assumed 3000 MBH roof mount</t>
    </r>
  </si>
  <si>
    <t>167, 168</t>
  </si>
  <si>
    <r>
      <t xml:space="preserve">Hot water boiler (&lt;300 kBtuh, 82.0% AFUE, atmospheric) </t>
    </r>
    <r>
      <rPr>
        <sz val="11"/>
        <color rgb="FFFF0000"/>
        <rFont val="Calibri"/>
        <family val="2"/>
        <scheme val="minor"/>
      </rPr>
      <t>assumed 250 MBH ground mount</t>
    </r>
  </si>
  <si>
    <r>
      <t>Hot water boiler (&lt; 300 kBTUh, 84.5% AFUE, atmospheric)</t>
    </r>
    <r>
      <rPr>
        <sz val="11"/>
        <color rgb="FFFF0000"/>
        <rFont val="Calibri"/>
        <family val="2"/>
        <scheme val="minor"/>
      </rPr>
      <t xml:space="preserve"> assumed 250 MBH ground mount</t>
    </r>
  </si>
  <si>
    <r>
      <t xml:space="preserve">Hot water boiler (&lt; 300 kBTUh, 84.5% AFUE, forced draft) </t>
    </r>
    <r>
      <rPr>
        <sz val="11"/>
        <color rgb="FFFF0000"/>
        <rFont val="Calibri"/>
        <family val="2"/>
        <scheme val="minor"/>
      </rPr>
      <t>assumed 250 MBH ground mount</t>
    </r>
  </si>
  <si>
    <r>
      <t xml:space="preserve">Hot water boiler (300-2500 kBTUh, 85.0% thermal efficiency, atmospheric) </t>
    </r>
    <r>
      <rPr>
        <sz val="11"/>
        <color rgb="FFFF0000"/>
        <rFont val="Calibri"/>
        <family val="2"/>
        <scheme val="minor"/>
      </rPr>
      <t>assumed 1400 MBH basement mount</t>
    </r>
  </si>
  <si>
    <r>
      <t>Hot water boiler (300-2500 kBTUh, 85.0% thermal efficiency, forced draft)</t>
    </r>
    <r>
      <rPr>
        <sz val="11"/>
        <color rgb="FFFF0000"/>
        <rFont val="Calibri"/>
        <family val="2"/>
        <scheme val="minor"/>
      </rPr>
      <t xml:space="preserve"> assumed 1400 MBH basement mount</t>
    </r>
  </si>
  <si>
    <r>
      <t xml:space="preserve">Hot water boiler (&gt; 2500 kBtuh, 82.0% combustion efficiency, atmospheric) </t>
    </r>
    <r>
      <rPr>
        <sz val="11"/>
        <color rgb="FFFF0000"/>
        <rFont val="Calibri"/>
        <family val="2"/>
        <scheme val="minor"/>
      </rPr>
      <t>assumed 3000 MBH roof mount</t>
    </r>
  </si>
  <si>
    <r>
      <t xml:space="preserve">Hot water boiler (&gt; 2500 kBTUh, 85.0% combustion efficiency, atmospheric) </t>
    </r>
    <r>
      <rPr>
        <sz val="11"/>
        <color rgb="FFFF0000"/>
        <rFont val="Calibri"/>
        <family val="2"/>
        <scheme val="minor"/>
      </rPr>
      <t>assumed 3000 MBH roof mount</t>
    </r>
  </si>
  <si>
    <r>
      <t xml:space="preserve">Hot water boiler (&gt; 2500 kBTUh, 85.0% combustion efficiency, forced draft) </t>
    </r>
    <r>
      <rPr>
        <sz val="11"/>
        <color rgb="FFFF0000"/>
        <rFont val="Calibri"/>
        <family val="2"/>
        <scheme val="minor"/>
      </rPr>
      <t>assumed 3000 MBH roof mount</t>
    </r>
  </si>
  <si>
    <r>
      <t xml:space="preserve">Hot water boiler (300-2500 kBTUh, 94.0% thermal efficiency, condensing) </t>
    </r>
    <r>
      <rPr>
        <sz val="11"/>
        <color rgb="FFFF0000"/>
        <rFont val="Calibri"/>
        <family val="2"/>
        <scheme val="minor"/>
      </rPr>
      <t>assumed 1400 MBH basement mount</t>
    </r>
  </si>
  <si>
    <r>
      <t>Hot water boiler (&lt;300 kBtuh, 82.0% AFUE, atmospheric)</t>
    </r>
    <r>
      <rPr>
        <sz val="11"/>
        <color rgb="FFFF0000"/>
        <rFont val="Calibri"/>
        <family val="2"/>
        <scheme val="minor"/>
      </rPr>
      <t xml:space="preserve"> assumed 250 MBH ground mount</t>
    </r>
  </si>
  <si>
    <r>
      <t>Hot water boiler (&lt; 300 kBTUh, 94.0 AFUE, condensing)</t>
    </r>
    <r>
      <rPr>
        <sz val="11"/>
        <color rgb="FFFF0000"/>
        <rFont val="Calibri"/>
        <family val="2"/>
        <scheme val="minor"/>
      </rPr>
      <t xml:space="preserve"> assumed 250 MBH ground mount</t>
    </r>
  </si>
  <si>
    <r>
      <t>Hot water boiler (300-2500 kBtuh, 8</t>
    </r>
    <r>
      <rPr>
        <sz val="11"/>
        <color rgb="FFFF0000"/>
        <rFont val="Calibri"/>
        <family val="2"/>
        <scheme val="minor"/>
      </rPr>
      <t>2</t>
    </r>
    <r>
      <rPr>
        <sz val="11"/>
        <color theme="1"/>
        <rFont val="Calibri"/>
        <family val="2"/>
        <scheme val="minor"/>
      </rPr>
      <t xml:space="preserve">.0% thermal efficiency, atmospheric) </t>
    </r>
    <r>
      <rPr>
        <sz val="11"/>
        <color rgb="FFFF0000"/>
        <rFont val="Calibri"/>
        <family val="2"/>
        <scheme val="minor"/>
      </rPr>
      <t>assumed 1400 MBH basement mount</t>
    </r>
  </si>
  <si>
    <t>H = 0.070(MBH) + 5.6985</t>
  </si>
  <si>
    <r>
      <t xml:space="preserve">Incandescent A-lamp 350 W </t>
    </r>
    <r>
      <rPr>
        <sz val="11"/>
        <color rgb="FFFF0000"/>
        <rFont val="Calibri"/>
        <family val="2"/>
        <scheme val="minor"/>
      </rPr>
      <t>out of sample</t>
    </r>
  </si>
  <si>
    <r>
      <t xml:space="preserve">Res, Res indoor non-refl CFL base case, Total Watts = 3.47 x Msr Watts ==&gt; CFLscw-100w </t>
    </r>
    <r>
      <rPr>
        <sz val="11"/>
        <color rgb="FFFF0000"/>
        <rFont val="Calibri"/>
        <family val="2"/>
        <scheme val="minor"/>
      </rPr>
      <t>out of sample</t>
    </r>
  </si>
  <si>
    <r>
      <t>Res, Res indoor non-refl CFL base case, Total Watts = 3.47 x Msr Watts ==&gt; CFLscw-150w</t>
    </r>
    <r>
      <rPr>
        <sz val="11"/>
        <color rgb="FFFF0000"/>
        <rFont val="Calibri"/>
        <family val="2"/>
        <scheme val="minor"/>
      </rPr>
      <t xml:space="preserve"> out of sample</t>
    </r>
  </si>
  <si>
    <r>
      <t xml:space="preserve">Res, Res indoor non-refl CFL base case, Total Watts = 3.47 x Msr Watts ==&gt; CFLscw-200w </t>
    </r>
    <r>
      <rPr>
        <sz val="11"/>
        <color rgb="FFFF0000"/>
        <rFont val="Calibri"/>
        <family val="2"/>
        <scheme val="minor"/>
      </rPr>
      <t>out of sample</t>
    </r>
  </si>
  <si>
    <t>Assumed Incandescent A-lamp 29 W EISA 1500 hrs low brightness</t>
  </si>
  <si>
    <t>Assumed Incandescent A-lamp 45 W EISA 1500 hrs med brightness</t>
  </si>
  <si>
    <t>Assumed Incandescent A-lamp 55 W EISA 1500 hrs med brightness</t>
  </si>
  <si>
    <t>Assumed Incandescent A-lamp 65 W EISA 1500 hrs med brightness</t>
  </si>
  <si>
    <t>Assumed Incandescent A-lamp 70 W EISA 1500 hrs med brightness</t>
  </si>
  <si>
    <t>Assumed Incandescent A-lamp 72 W EISA 1500 hrs high brightness</t>
  </si>
  <si>
    <t>Assumed Incandescent A-lamp 25 W 1500 hrs low brightness</t>
  </si>
  <si>
    <r>
      <t xml:space="preserve">Res, Res indoor non-refl CFL base case, Total Watts = 3.47 x Msr Watts ==&gt; CFLscw-7w </t>
    </r>
    <r>
      <rPr>
        <sz val="11"/>
        <color rgb="FFFF0000"/>
        <rFont val="Calibri"/>
        <family val="2"/>
        <scheme val="minor"/>
      </rPr>
      <t>low brightness 10,000 hrs twister non-dim</t>
    </r>
  </si>
  <si>
    <r>
      <t>Res, Res indoor non-refl CFL base case, Total Watts = 3.47 x Msr Watts ==&gt; CFLscw-8w</t>
    </r>
    <r>
      <rPr>
        <sz val="11"/>
        <color rgb="FFFF0000"/>
        <rFont val="Calibri"/>
        <family val="2"/>
        <scheme val="minor"/>
      </rPr>
      <t xml:space="preserve"> low brightness 10,000 hrs twister non-dim</t>
    </r>
  </si>
  <si>
    <r>
      <t>Res, Res indoor non-refl CFL base case, Total Watts = 3.47 x Msr Watts ==&gt; CFLscw-9w</t>
    </r>
    <r>
      <rPr>
        <sz val="11"/>
        <color rgb="FFFF0000"/>
        <rFont val="Calibri"/>
        <family val="2"/>
        <scheme val="minor"/>
      </rPr>
      <t xml:space="preserve"> low brightness 10,000 hrs twister non-dim</t>
    </r>
  </si>
  <si>
    <r>
      <t xml:space="preserve">Res, Res indoor non-refl CFL base case, Total Watts = 3.47 x Msr Watts ==&gt; CFLscw-10w </t>
    </r>
    <r>
      <rPr>
        <sz val="11"/>
        <color rgb="FFFF0000"/>
        <rFont val="Calibri"/>
        <family val="2"/>
        <scheme val="minor"/>
      </rPr>
      <t>low brightness 10,000 hrs twister non-dim</t>
    </r>
  </si>
  <si>
    <r>
      <t>Res, Res indoor non-refl CFL base case, Total Watts = 3.47 x Msr Watts ==&gt; CFLscw-11w</t>
    </r>
    <r>
      <rPr>
        <sz val="11"/>
        <color rgb="FFFF0000"/>
        <rFont val="Calibri"/>
        <family val="2"/>
        <scheme val="minor"/>
      </rPr>
      <t xml:space="preserve"> low brightness 10,000 hrs twister non-dim</t>
    </r>
  </si>
  <si>
    <r>
      <t xml:space="preserve">Res, Res indoor non-refl CFL base case, Total Watts = 3.47 x Msr Watts ==&gt; CFLscw-12w </t>
    </r>
    <r>
      <rPr>
        <sz val="11"/>
        <color rgb="FFFF0000"/>
        <rFont val="Calibri"/>
        <family val="2"/>
        <scheme val="minor"/>
      </rPr>
      <t>med brightness 10,000 hrs twister non-dim</t>
    </r>
  </si>
  <si>
    <r>
      <t xml:space="preserve">Res, Res indoor non-refl CFL base case, Total Watts = 3.47 x Msr Watts ==&gt; CFLscw-13w </t>
    </r>
    <r>
      <rPr>
        <sz val="11"/>
        <color rgb="FFFF0000"/>
        <rFont val="Calibri"/>
        <family val="2"/>
        <scheme val="minor"/>
      </rPr>
      <t>med brightness 10,000 hrs twister non-dim</t>
    </r>
  </si>
  <si>
    <r>
      <t>Res, Res indoor non-refl CFL base case, Total Watts = 3.47 x Msr Watts ==&gt; CFLscw-14w</t>
    </r>
    <r>
      <rPr>
        <sz val="11"/>
        <color rgb="FFFF0000"/>
        <rFont val="Calibri"/>
        <family val="2"/>
        <scheme val="minor"/>
      </rPr>
      <t xml:space="preserve"> med brightness 10,000 hrs twister non-dim</t>
    </r>
  </si>
  <si>
    <r>
      <t xml:space="preserve">Res, Res indoor non-refl CFL base case, Total Watts = 3.47 x Msr Watts ==&gt; CFLscw-15w </t>
    </r>
    <r>
      <rPr>
        <sz val="11"/>
        <color rgb="FFFF0000"/>
        <rFont val="Calibri"/>
        <family val="2"/>
        <scheme val="minor"/>
      </rPr>
      <t>med brightness 10,000 hrs twister non-dim</t>
    </r>
  </si>
  <si>
    <r>
      <t xml:space="preserve">Res, Res indoor non-refl CFL base case, Total Watts = 3.47 x Msr Watts ==&gt; CFLscw-16w </t>
    </r>
    <r>
      <rPr>
        <sz val="11"/>
        <color rgb="FFFF0000"/>
        <rFont val="Calibri"/>
        <family val="2"/>
        <scheme val="minor"/>
      </rPr>
      <t>med brightness 10,000 hrs twister non-dim</t>
    </r>
  </si>
  <si>
    <r>
      <t xml:space="preserve">Res, Res indoor non-refl CFL base case, Total Watts = 3.47 x Msr Watts ==&gt; CFLscw-17w </t>
    </r>
    <r>
      <rPr>
        <sz val="11"/>
        <color rgb="FFFF0000"/>
        <rFont val="Calibri"/>
        <family val="2"/>
        <scheme val="minor"/>
      </rPr>
      <t>med brightness 10,000 hrs twister non-dim</t>
    </r>
  </si>
  <si>
    <r>
      <t xml:space="preserve">Res, Res indoor non-refl CFL base case, Total Watts = 3.47 x Msr Watts ==&gt; CFLscw-18w </t>
    </r>
    <r>
      <rPr>
        <sz val="11"/>
        <color rgb="FFFF0000"/>
        <rFont val="Calibri"/>
        <family val="2"/>
        <scheme val="minor"/>
      </rPr>
      <t>high brightness 10,000 hrs twister non-dim</t>
    </r>
  </si>
  <si>
    <r>
      <t xml:space="preserve">Res, Res indoor non-refl CFL base case, Total Watts = 3.47 x Msr Watts ==&gt; CFLscw-19w </t>
    </r>
    <r>
      <rPr>
        <sz val="11"/>
        <color rgb="FFFF0000"/>
        <rFont val="Calibri"/>
        <family val="2"/>
        <scheme val="minor"/>
      </rPr>
      <t>high brightness 10,000 hrs twister non-dim</t>
    </r>
  </si>
  <si>
    <r>
      <t xml:space="preserve">Res, Res indoor non-refl CFL base case, Total Watts = 3.47 x Msr Watts ==&gt; CFLscw-20w </t>
    </r>
    <r>
      <rPr>
        <sz val="11"/>
        <color rgb="FFFF0000"/>
        <rFont val="Calibri"/>
        <family val="2"/>
        <scheme val="minor"/>
      </rPr>
      <t>high brightness 10,000 hrs twister non-dim</t>
    </r>
  </si>
  <si>
    <r>
      <t xml:space="preserve">Res, Res indoor non-refl CFL base case, Total Watts = 3.47 x Msr Watts ==&gt; CFLscw-21w </t>
    </r>
    <r>
      <rPr>
        <sz val="11"/>
        <color rgb="FFFF0000"/>
        <rFont val="Calibri"/>
        <family val="2"/>
        <scheme val="minor"/>
      </rPr>
      <t>high brightness 10,000 hrs twister non-dim</t>
    </r>
  </si>
  <si>
    <r>
      <t xml:space="preserve">Res, Res indoor non-refl CFL base case, Total Watts = 3.47 x Msr Watts ==&gt; CFLscw-22w </t>
    </r>
    <r>
      <rPr>
        <sz val="11"/>
        <color rgb="FFFF0000"/>
        <rFont val="Calibri"/>
        <family val="2"/>
        <scheme val="minor"/>
      </rPr>
      <t>high brightness 10,000 hrs twister non-dim</t>
    </r>
  </si>
  <si>
    <r>
      <t xml:space="preserve">Res, Res indoor non-refl CFL base case, Total Watts = 3.47 x Msr Watts ==&gt; CFLscw-23w </t>
    </r>
    <r>
      <rPr>
        <sz val="11"/>
        <color rgb="FFFF0000"/>
        <rFont val="Calibri"/>
        <family val="2"/>
        <scheme val="minor"/>
      </rPr>
      <t>high brightness 10,000 hrs twister non-dim</t>
    </r>
  </si>
  <si>
    <r>
      <t xml:space="preserve">Res, Res indoor non-refl CFL base case, Total Watts = 3.47 x Msr Watts ==&gt; CFLscw-24w </t>
    </r>
    <r>
      <rPr>
        <sz val="11"/>
        <color rgb="FFFF0000"/>
        <rFont val="Calibri"/>
        <family val="2"/>
        <scheme val="minor"/>
      </rPr>
      <t>high brightness 10,000 hrs twister non-dim</t>
    </r>
  </si>
  <si>
    <r>
      <t xml:space="preserve">Res, Res indoor non-refl CFL base case, Total Watts = 3.47 x Msr Watts ==&gt; CFLscw-25w </t>
    </r>
    <r>
      <rPr>
        <sz val="11"/>
        <color rgb="FFFF0000"/>
        <rFont val="Calibri"/>
        <family val="2"/>
        <scheme val="minor"/>
      </rPr>
      <t>high brightness 10,000 hrs twister non-dim</t>
    </r>
  </si>
  <si>
    <r>
      <t xml:space="preserve">Res, Res indoor non-refl CFL base case, Total Watts = 3.47 x Msr Watts ==&gt; CFLscw-26w </t>
    </r>
    <r>
      <rPr>
        <sz val="11"/>
        <color rgb="FFFF0000"/>
        <rFont val="Calibri"/>
        <family val="2"/>
        <scheme val="minor"/>
      </rPr>
      <t>high brightness 10,000 hrs twister non-dim</t>
    </r>
  </si>
  <si>
    <r>
      <t xml:space="preserve">Res, Res indoor non-refl CFL base case, Total Watts = 3.47 x Msr Watts ==&gt; CFLscw-27w </t>
    </r>
    <r>
      <rPr>
        <sz val="11"/>
        <color rgb="FFFF0000"/>
        <rFont val="Calibri"/>
        <family val="2"/>
        <scheme val="minor"/>
      </rPr>
      <t>high brightness 10,000 hrs twister non-dim</t>
    </r>
  </si>
  <si>
    <r>
      <t xml:space="preserve">Res, Res indoor non-refl CFL base case, Total Watts = 3.47 x Msr Watts ==&gt; CFLscw-28w </t>
    </r>
    <r>
      <rPr>
        <sz val="11"/>
        <color rgb="FFFF0000"/>
        <rFont val="Calibri"/>
        <family val="2"/>
        <scheme val="minor"/>
      </rPr>
      <t>high brightness 10,000 hrs twister non-dim</t>
    </r>
  </si>
  <si>
    <r>
      <t xml:space="preserve">Res, Res indoor non-refl CFL base case, Total Watts = 3.47 x Msr Watts ==&gt; CFLscw-29w </t>
    </r>
    <r>
      <rPr>
        <sz val="11"/>
        <color rgb="FFFF0000"/>
        <rFont val="Calibri"/>
        <family val="2"/>
        <scheme val="minor"/>
      </rPr>
      <t>high brightness 10,000 hrs twister non-dim</t>
    </r>
  </si>
  <si>
    <r>
      <t xml:space="preserve">Res, Res indoor non-refl CFL base case, Total Watts = 3.47 x Msr Watts ==&gt; CFLscw-30w </t>
    </r>
    <r>
      <rPr>
        <sz val="11"/>
        <color rgb="FFFF0000"/>
        <rFont val="Calibri"/>
        <family val="2"/>
        <scheme val="minor"/>
      </rPr>
      <t>high brightness 10,000 hrs twister non-dim</t>
    </r>
  </si>
  <si>
    <r>
      <t xml:space="preserve">Res, Res indoor non-refl CFL base case, Total Watts = 3.47 x Msr Watts ==&gt; CFLscw-31w </t>
    </r>
    <r>
      <rPr>
        <sz val="11"/>
        <color rgb="FFFF0000"/>
        <rFont val="Calibri"/>
        <family val="2"/>
        <scheme val="minor"/>
      </rPr>
      <t>very high brightness 10,000 hrs twister non-dim</t>
    </r>
  </si>
  <si>
    <r>
      <t xml:space="preserve">Res, Res indoor non-refl CFL base case, Total Watts = 3.47 x Msr Watts ==&gt; CFLscw-32w </t>
    </r>
    <r>
      <rPr>
        <sz val="11"/>
        <color rgb="FFFF0000"/>
        <rFont val="Calibri"/>
        <family val="2"/>
        <scheme val="minor"/>
      </rPr>
      <t>very high brightness 10,000 hrs twister non-dim</t>
    </r>
  </si>
  <si>
    <r>
      <t xml:space="preserve">Res, Res indoor non-refl CFL base case, Total Watts = 3.47 x Msr Watts ==&gt; CFLscw-42w </t>
    </r>
    <r>
      <rPr>
        <sz val="11"/>
        <color rgb="FFFF0000"/>
        <rFont val="Calibri"/>
        <family val="2"/>
        <scheme val="minor"/>
      </rPr>
      <t>very high brightness 10,000 hrs twister non-dim</t>
    </r>
  </si>
  <si>
    <r>
      <t xml:space="preserve">Res, Res indoor non-refl CFL base case, Total Watts = 3.47 x Msr Watts ==&gt; CFLscw-3w </t>
    </r>
    <r>
      <rPr>
        <sz val="11"/>
        <color rgb="FFFF0000"/>
        <rFont val="Calibri"/>
        <family val="2"/>
        <scheme val="minor"/>
      </rPr>
      <t>low brightness 10,000 hrs twister non-dim</t>
    </r>
  </si>
  <si>
    <r>
      <t xml:space="preserve">Res, Res indoor non-refl CFL base case, Total Watts = 3.47 x Msr Watts ==&gt; CFLscw-4w </t>
    </r>
    <r>
      <rPr>
        <sz val="11"/>
        <color rgb="FFFF0000"/>
        <rFont val="Calibri"/>
        <family val="2"/>
        <scheme val="minor"/>
      </rPr>
      <t>low brightness 10,000 hrs twister non-dim</t>
    </r>
  </si>
  <si>
    <r>
      <t xml:space="preserve">Res, Res indoor non-refl CFL base case, Total Watts = 3.47 x Msr Watts ==&gt; CFLscw-6w </t>
    </r>
    <r>
      <rPr>
        <sz val="11"/>
        <color rgb="FFFF0000"/>
        <rFont val="Calibri"/>
        <family val="2"/>
        <scheme val="minor"/>
      </rPr>
      <t>low brightness 10,000 hrs twister non-dim</t>
    </r>
  </si>
  <si>
    <r>
      <t xml:space="preserve">Res, Res indoor non-refl CFL base case, Total Watts = 3.47 x Msr Watts ==&gt; CFLscw-55w </t>
    </r>
    <r>
      <rPr>
        <sz val="11"/>
        <color rgb="FFFF0000"/>
        <rFont val="Calibri"/>
        <family val="2"/>
        <scheme val="minor"/>
      </rPr>
      <t>very high brightness 10,000 hrs twister non-dim</t>
    </r>
  </si>
  <si>
    <r>
      <t xml:space="preserve">Res, Res indoor non-refl CFL base case, Total Watts = 3.47 x Msr Watts ==&gt; CFLscw-60w </t>
    </r>
    <r>
      <rPr>
        <sz val="11"/>
        <color rgb="FFFF0000"/>
        <rFont val="Calibri"/>
        <family val="2"/>
        <scheme val="minor"/>
      </rPr>
      <t>very high brightness 10,000 hrs twister non-dim</t>
    </r>
  </si>
  <si>
    <t>Full Installed Cost</t>
  </si>
  <si>
    <t xml:space="preserve">Assumed Incandescent Reflector 15 W 2000 hrs low brightness </t>
  </si>
  <si>
    <t>264, 266, 268</t>
  </si>
  <si>
    <r>
      <t xml:space="preserve">Res, Res indoor Reflector CFL base case, Total Watts = 4.09 x Msr Watts ==&gt; CFLscw-Refl-3w </t>
    </r>
    <r>
      <rPr>
        <sz val="11"/>
        <color rgb="FFFF0000"/>
        <rFont val="Calibri"/>
        <family val="2"/>
        <scheme val="minor"/>
      </rPr>
      <t>low brightness, non-dimmable</t>
    </r>
  </si>
  <si>
    <r>
      <t xml:space="preserve">Res, Res indoor Reflector CFL base case, Total Watts = 4.09 x Msr Watts ==&gt; CFLscw-Refl-4w </t>
    </r>
    <r>
      <rPr>
        <sz val="11"/>
        <color rgb="FFFF0000"/>
        <rFont val="Calibri"/>
        <family val="2"/>
        <scheme val="minor"/>
      </rPr>
      <t>low brightness, non-dimmable</t>
    </r>
  </si>
  <si>
    <r>
      <t xml:space="preserve">Res, Res indoor Reflector CFL base case, Total Watts = 4.09 x Msr Watts ==&gt; CFLscw-Refl-5w </t>
    </r>
    <r>
      <rPr>
        <sz val="11"/>
        <color rgb="FFFF0000"/>
        <rFont val="Calibri"/>
        <family val="2"/>
        <scheme val="minor"/>
      </rPr>
      <t>low brightness, non-dimmable</t>
    </r>
  </si>
  <si>
    <t xml:space="preserve">Assumed Incandescent Reflector 30 W 2000 hrs low brightness </t>
  </si>
  <si>
    <t>270, 271, 273, 274</t>
  </si>
  <si>
    <r>
      <t xml:space="preserve">Res, Res indoor Reflector CFL base case, Total Watts = 4.09 x Msr Watts ==&gt; CFLscw-Refl-6w </t>
    </r>
    <r>
      <rPr>
        <sz val="11"/>
        <color rgb="FFFF0000"/>
        <rFont val="Calibri"/>
        <family val="2"/>
        <scheme val="minor"/>
      </rPr>
      <t>low brightness, non-dimmable</t>
    </r>
  </si>
  <si>
    <r>
      <t>Res, Res indoor Reflector CFL base case, Total Watts = 4.09 x Msr Watts ==&gt; CFLscw-Refl-7w</t>
    </r>
    <r>
      <rPr>
        <sz val="11"/>
        <color rgb="FFFF0000"/>
        <rFont val="Calibri"/>
        <family val="2"/>
        <scheme val="minor"/>
      </rPr>
      <t xml:space="preserve"> low brightness, non-dimmable</t>
    </r>
  </si>
  <si>
    <r>
      <t xml:space="preserve">Res, Res indoor Reflector CFL base case, Total Watts = 4.09 x Msr Watts ==&gt; CFLscw-Refl-8w </t>
    </r>
    <r>
      <rPr>
        <sz val="11"/>
        <color rgb="FFFF0000"/>
        <rFont val="Calibri"/>
        <family val="2"/>
        <scheme val="minor"/>
      </rPr>
      <t>low brightness, non-dimmable</t>
    </r>
  </si>
  <si>
    <r>
      <t xml:space="preserve">Res, Res indoor Reflector CFL base case, Total Watts = 4.09 x Msr Watts ==&gt; CFLscw-Refl-9w </t>
    </r>
    <r>
      <rPr>
        <sz val="11"/>
        <color rgb="FFFF0000"/>
        <rFont val="Calibri"/>
        <family val="2"/>
        <scheme val="minor"/>
      </rPr>
      <t>low brightness, non-dimmable</t>
    </r>
  </si>
  <si>
    <t xml:space="preserve">Assumed Incandescent Reflector 45 W 2000 hrs low brightness </t>
  </si>
  <si>
    <r>
      <t>Res, Res indoor Reflector CFL base case, Total Watts = 4.09 x Msr Watts ==&gt; CFLscw-Refl-10w</t>
    </r>
    <r>
      <rPr>
        <sz val="11"/>
        <color rgb="FFFF0000"/>
        <rFont val="Calibri"/>
        <family val="2"/>
        <scheme val="minor"/>
      </rPr>
      <t xml:space="preserve"> low brightness, non-dimmable</t>
    </r>
  </si>
  <si>
    <r>
      <t>Res, Res indoor Reflector CFL base case, Total Watts = 4.09 x Msr Watts ==&gt; CFLscw-Refl-11w</t>
    </r>
    <r>
      <rPr>
        <sz val="11"/>
        <color rgb="FFFF0000"/>
        <rFont val="Calibri"/>
        <family val="2"/>
        <scheme val="minor"/>
      </rPr>
      <t xml:space="preserve"> low brightness, non-dimmable</t>
    </r>
  </si>
  <si>
    <r>
      <t>Res, Res indoor Reflector CFL base case, Total Watts = 4.09 x Msr Watts ==&gt; CFLscw-Refl-12w</t>
    </r>
    <r>
      <rPr>
        <sz val="11"/>
        <color rgb="FFFF0000"/>
        <rFont val="Calibri"/>
        <family val="2"/>
        <scheme val="minor"/>
      </rPr>
      <t xml:space="preserve"> low brightness, non-dimmable</t>
    </r>
  </si>
  <si>
    <r>
      <t xml:space="preserve">Res, Res indoor Reflector CFL base case, Total Watts = 4.09 x Msr Watts ==&gt; CFLscw-Refl-13w </t>
    </r>
    <r>
      <rPr>
        <sz val="11"/>
        <color rgb="FFFF0000"/>
        <rFont val="Calibri"/>
        <family val="2"/>
        <scheme val="minor"/>
      </rPr>
      <t>low brightness, non-dimmable</t>
    </r>
  </si>
  <si>
    <t>239, 240, 241, 242</t>
  </si>
  <si>
    <r>
      <t xml:space="preserve">Res, Res indoor Reflector CFL base case, Total Watts = 4.09 x Msr Watts ==&gt; CFLscw-Refl-14w </t>
    </r>
    <r>
      <rPr>
        <sz val="11"/>
        <color rgb="FFFF0000"/>
        <rFont val="Calibri"/>
        <family val="2"/>
        <scheme val="minor"/>
      </rPr>
      <t>med brightness, non-dimmable</t>
    </r>
  </si>
  <si>
    <t xml:space="preserve">Assumed Incandescent Reflector 60 W 2000 hrs med brightness </t>
  </si>
  <si>
    <t xml:space="preserve">Assumed Incandescent Reflector 75 W 2000 hrs med brightness </t>
  </si>
  <si>
    <t>243, 245, 246</t>
  </si>
  <si>
    <r>
      <t xml:space="preserve">Res, Res indoor Reflector CFL base case, Total Watts = 4.09 x Msr Watts ==&gt; CFLscw-Refl-15w </t>
    </r>
    <r>
      <rPr>
        <sz val="11"/>
        <color rgb="FFFF0000"/>
        <rFont val="Calibri"/>
        <family val="2"/>
        <scheme val="minor"/>
      </rPr>
      <t>med brightness, non-dimmable</t>
    </r>
  </si>
  <si>
    <r>
      <t xml:space="preserve">Res, Res indoor Reflector CFL base case, Total Watts = 4.09 x Msr Watts ==&gt; CFLscw-Refl-16w </t>
    </r>
    <r>
      <rPr>
        <sz val="11"/>
        <color rgb="FFFF0000"/>
        <rFont val="Calibri"/>
        <family val="2"/>
        <scheme val="minor"/>
      </rPr>
      <t>med brightness, non-dimmable</t>
    </r>
  </si>
  <si>
    <r>
      <t xml:space="preserve">Res, Res indoor Reflector CFL base case, Total Watts = 4.09 x Msr Watts ==&gt; CFLscw-Refl-17w </t>
    </r>
    <r>
      <rPr>
        <sz val="11"/>
        <color rgb="FFFF0000"/>
        <rFont val="Calibri"/>
        <family val="2"/>
        <scheme val="minor"/>
      </rPr>
      <t>med brightness, non-dimmable</t>
    </r>
  </si>
  <si>
    <r>
      <t xml:space="preserve">Res, Res indoor Reflector CFL base case, Total Watts = 4.09 x Msr Watts ==&gt; CFLscw-Refl-18w </t>
    </r>
    <r>
      <rPr>
        <sz val="11"/>
        <color rgb="FFFF0000"/>
        <rFont val="Calibri"/>
        <family val="2"/>
        <scheme val="minor"/>
      </rPr>
      <t>med brightness, non-dimmable</t>
    </r>
  </si>
  <si>
    <r>
      <t xml:space="preserve">Res, Res indoor Reflector CFL base case, Total Watts = 4.09 x Msr Watts ==&gt; CFLscw-Refl-19w </t>
    </r>
    <r>
      <rPr>
        <sz val="11"/>
        <color rgb="FFFF0000"/>
        <rFont val="Calibri"/>
        <family val="2"/>
        <scheme val="minor"/>
      </rPr>
      <t>med brightness, non-dimmable</t>
    </r>
  </si>
  <si>
    <t>247, 248, 249</t>
  </si>
  <si>
    <t xml:space="preserve">Assumed Incandescent Reflector 90 W 2000 hrs high brightness </t>
  </si>
  <si>
    <r>
      <t xml:space="preserve">Res, Res indoor Reflector CFL base case, Total Watts = 4.09 x Msr Watts ==&gt; CFLscw-Refl-20w </t>
    </r>
    <r>
      <rPr>
        <sz val="11"/>
        <color rgb="FFFF0000"/>
        <rFont val="Calibri"/>
        <family val="2"/>
        <scheme val="minor"/>
      </rPr>
      <t>high brightness, non-dimmable</t>
    </r>
  </si>
  <si>
    <r>
      <t xml:space="preserve">Res, Res indoor Reflector CFL base case, Total Watts = 4.09 x Msr Watts ==&gt; CFLscw-Refl-21w </t>
    </r>
    <r>
      <rPr>
        <sz val="11"/>
        <color rgb="FFFF0000"/>
        <rFont val="Calibri"/>
        <family val="2"/>
        <scheme val="minor"/>
      </rPr>
      <t>high brightness, non-dimmable</t>
    </r>
  </si>
  <si>
    <r>
      <t xml:space="preserve">Res, Res indoor Reflector CFL base case, Total Watts = 4.09 x Msr Watts ==&gt; CFLscw-Refl-22w </t>
    </r>
    <r>
      <rPr>
        <sz val="11"/>
        <color rgb="FFFF0000"/>
        <rFont val="Calibri"/>
        <family val="2"/>
        <scheme val="minor"/>
      </rPr>
      <t>high brightness, non-dimmable</t>
    </r>
  </si>
  <si>
    <r>
      <t xml:space="preserve">Res, Res indoor Reflector CFL base case, Total Watts = 4.09 x Msr Watts ==&gt; CFLscw-Refl-23w </t>
    </r>
    <r>
      <rPr>
        <sz val="11"/>
        <color rgb="FFFF0000"/>
        <rFont val="Calibri"/>
        <family val="2"/>
        <scheme val="minor"/>
      </rPr>
      <t>high brightness, non-dimmable</t>
    </r>
  </si>
  <si>
    <r>
      <t xml:space="preserve">Res, Res indoor Reflector CFL base case, Total Watts = 4.09 x Msr Watts ==&gt; CFLscw-Refl-24w </t>
    </r>
    <r>
      <rPr>
        <sz val="11"/>
        <color rgb="FFFF0000"/>
        <rFont val="Calibri"/>
        <family val="2"/>
        <scheme val="minor"/>
      </rPr>
      <t>high brightness, non-dimmable</t>
    </r>
  </si>
  <si>
    <r>
      <t xml:space="preserve">Res, Res indoor Reflector CFL base case, Total Watts = 4.09 x Msr Watts ==&gt; CFLscw-Refl-25w </t>
    </r>
    <r>
      <rPr>
        <sz val="11"/>
        <color rgb="FFFF0000"/>
        <rFont val="Calibri"/>
        <family val="2"/>
        <scheme val="minor"/>
      </rPr>
      <t>high brightness, non-dimmablehigh brightness, non-dimmable</t>
    </r>
  </si>
  <si>
    <r>
      <t xml:space="preserve">Res, Res indoor Reflector CFL base case, Total Watts = 4.09 x Msr Watts ==&gt; CFLscw-Refl-26w </t>
    </r>
    <r>
      <rPr>
        <sz val="11"/>
        <color rgb="FFFF0000"/>
        <rFont val="Calibri"/>
        <family val="2"/>
        <scheme val="minor"/>
      </rPr>
      <t>high brightness, non-dimmable</t>
    </r>
  </si>
  <si>
    <r>
      <t xml:space="preserve">Res, Res indoor Reflector CFL base case, Total Watts = 4.09 x Msr Watts ==&gt; CFLscw-Refl-27w </t>
    </r>
    <r>
      <rPr>
        <sz val="11"/>
        <color rgb="FFFF0000"/>
        <rFont val="Calibri"/>
        <family val="2"/>
        <scheme val="minor"/>
      </rPr>
      <t>high brightness, non-dimmable</t>
    </r>
  </si>
  <si>
    <r>
      <t xml:space="preserve">Res, Res indoor Reflector CFL base case, Total Watts = 4.09 x Msr Watts ==&gt; CFLscw-Refl-28w </t>
    </r>
    <r>
      <rPr>
        <sz val="11"/>
        <color rgb="FFFF0000"/>
        <rFont val="Calibri"/>
        <family val="2"/>
        <scheme val="minor"/>
      </rPr>
      <t>high brightness, non-dimmable</t>
    </r>
  </si>
  <si>
    <r>
      <t xml:space="preserve">Res, Res indoor Reflector CFL base case, Total Watts = 4.09 x Msr Watts ==&gt; CFLscw-Refl-29w </t>
    </r>
    <r>
      <rPr>
        <sz val="11"/>
        <color rgb="FFFF0000"/>
        <rFont val="Calibri"/>
        <family val="2"/>
        <scheme val="minor"/>
      </rPr>
      <t>high brightness, non-dimmable</t>
    </r>
  </si>
  <si>
    <r>
      <t xml:space="preserve">Res, Res indoor Reflector CFL base case, Total Watts = 4.09 x Msr Watts ==&gt; CFLscw-Refl-30w </t>
    </r>
    <r>
      <rPr>
        <sz val="11"/>
        <color rgb="FFFF0000"/>
        <rFont val="Calibri"/>
        <family val="2"/>
        <scheme val="minor"/>
      </rPr>
      <t>high brightness, non-dimmable</t>
    </r>
  </si>
  <si>
    <r>
      <t xml:space="preserve">Res, Res indoor Reflector CFL base case, Total Watts = 4.09 x Msr Watts ==&gt; CFLscw-Refl-31w </t>
    </r>
    <r>
      <rPr>
        <sz val="11"/>
        <color rgb="FFFF0000"/>
        <rFont val="Calibri"/>
        <family val="2"/>
        <scheme val="minor"/>
      </rPr>
      <t>out of sample</t>
    </r>
  </si>
  <si>
    <r>
      <t xml:space="preserve">Res, Res indoor Reflector CFL base case, Total Watts = 4.09 x Msr Watts ==&gt; CFLscw-Refl-32w </t>
    </r>
    <r>
      <rPr>
        <sz val="11"/>
        <color rgb="FFFF0000"/>
        <rFont val="Calibri"/>
        <family val="2"/>
        <scheme val="minor"/>
      </rPr>
      <t>out of sample</t>
    </r>
  </si>
  <si>
    <r>
      <t>Res, Res indoor Reflector CFL base case, Total Watts = 4.09 x Msr Watts ==&gt; CFLscw-Refl-42w</t>
    </r>
    <r>
      <rPr>
        <sz val="11"/>
        <color rgb="FFFF0000"/>
        <rFont val="Calibri"/>
        <family val="2"/>
        <scheme val="minor"/>
      </rPr>
      <t xml:space="preserve"> out of sample</t>
    </r>
  </si>
  <si>
    <r>
      <t xml:space="preserve">Res, Res indoor Reflector CFL base case, Total Watts = 4.09 x Msr Watts ==&gt; CFLscw-Refl-55w </t>
    </r>
    <r>
      <rPr>
        <sz val="11"/>
        <color rgb="FFFF0000"/>
        <rFont val="Calibri"/>
        <family val="2"/>
        <scheme val="minor"/>
      </rPr>
      <t>out of sample</t>
    </r>
  </si>
  <si>
    <r>
      <t>Res, Res indoor Reflector CFL base case, Total Watts = 4.09 x Msr Watts ==&gt; CFLscw-Refl-60w</t>
    </r>
    <r>
      <rPr>
        <sz val="11"/>
        <color rgb="FFFF0000"/>
        <rFont val="Calibri"/>
        <family val="2"/>
        <scheme val="minor"/>
      </rPr>
      <t xml:space="preserve"> out of sample</t>
    </r>
  </si>
  <si>
    <r>
      <t xml:space="preserve">Res, Res indoor Reflector CFL base case, Total Watts = 4.09 x Msr Watts ==&gt; CFLscw-Refl-80w </t>
    </r>
    <r>
      <rPr>
        <sz val="11"/>
        <color rgb="FFFF0000"/>
        <rFont val="Calibri"/>
        <family val="2"/>
        <scheme val="minor"/>
      </rPr>
      <t>out of sample</t>
    </r>
  </si>
  <si>
    <r>
      <t xml:space="preserve">Res, Res indoor Reflector CFL base case, Total Watts = 4.09 x Msr Watts ==&gt; CFLscw-Refl-100w </t>
    </r>
    <r>
      <rPr>
        <sz val="11"/>
        <color rgb="FFFF0000"/>
        <rFont val="Calibri"/>
        <family val="2"/>
        <scheme val="minor"/>
      </rPr>
      <t>out of sample</t>
    </r>
  </si>
  <si>
    <r>
      <t xml:space="preserve">Res, Res indoor Reflector CFL base case, Total Watts = 4.09 x Msr Watts ==&gt; CFLscw-Refl-150w </t>
    </r>
    <r>
      <rPr>
        <sz val="11"/>
        <color rgb="FFFF0000"/>
        <rFont val="Calibri"/>
        <family val="2"/>
        <scheme val="minor"/>
      </rPr>
      <t>out of sample</t>
    </r>
  </si>
  <si>
    <r>
      <t xml:space="preserve">Res, Res indoor Reflector CFL base case, Total Watts = 4.09 x Msr Watts ==&gt; CFLscw-Refl-200w </t>
    </r>
    <r>
      <rPr>
        <sz val="11"/>
        <color rgb="FFFF0000"/>
        <rFont val="Calibri"/>
        <family val="2"/>
        <scheme val="minor"/>
      </rPr>
      <t>out of sample</t>
    </r>
  </si>
  <si>
    <t>251, 252, 253, 254, 255, 256</t>
  </si>
  <si>
    <t>257, 258, 259, 260, 261</t>
  </si>
  <si>
    <t xml:space="preserve">Assumed Incandescent Reflector 120 W 2000 hrs high brightness </t>
  </si>
  <si>
    <t>Small Gas Storage Water Heater 40 Gal, EF = 0.60, Recov Eff = 0.76</t>
  </si>
  <si>
    <r>
      <t xml:space="preserve">Small Gas Instantaneous Water Heater EF = 0.82, Recov Eff = 0.82 lte75kBtuh </t>
    </r>
    <r>
      <rPr>
        <sz val="11"/>
        <color rgb="FFFF0000"/>
        <rFont val="Calibri"/>
        <family val="2"/>
        <scheme val="minor"/>
      </rPr>
      <t>out of sample</t>
    </r>
  </si>
  <si>
    <t>348, 349, 350</t>
  </si>
  <si>
    <r>
      <t xml:space="preserve">Large Electric Storage Water Heater, Recov Eff = 0.98, Stdby Loss = 0.27%/hr gt12kW </t>
    </r>
    <r>
      <rPr>
        <sz val="11"/>
        <color rgb="FFFF0000"/>
        <rFont val="Calibri"/>
        <family val="2"/>
        <scheme val="minor"/>
      </rPr>
      <t>out of sample</t>
    </r>
  </si>
  <si>
    <t>351, 371</t>
  </si>
  <si>
    <t>352, 372</t>
  </si>
  <si>
    <t>353, 373</t>
  </si>
  <si>
    <t>354, 374</t>
  </si>
  <si>
    <t>Com/Res</t>
  </si>
  <si>
    <t>355, 375</t>
  </si>
  <si>
    <t>Small Electric Storage Water Heater 30 Gal,  EF = 0.93, Recov Eff = 0.98 lte 12kW</t>
  </si>
  <si>
    <t>Small Electric Storage Water Heater 30 Gal,  EF = 0.95, Recov Eff = 0.98 lte 12kW</t>
  </si>
  <si>
    <t>High Efficiency Small Electric Storage Water Heater - 30 Gal , 0.95 EF lte 12kW</t>
  </si>
  <si>
    <t>Small Electric Storage Water Heater 40 Gal,  EF = 0.92, Recov Eff = 0.98 lte 12kW</t>
  </si>
  <si>
    <t>Small Electric Storage Water Heater 40 Gal,  EF = 0.94, Recov Eff = 0.98 lte 12kW</t>
  </si>
  <si>
    <t>High Efficiency Small Electric Storage Water Heater - 40 Gal , 0.94 EF lte 12kW</t>
  </si>
  <si>
    <t>Small Electric Storage Water Heater 50 Gal,  EF = 0.90, Recov Eff = 0.98 lte 12kW</t>
  </si>
  <si>
    <t>Small Electric Storage Water Heater 50 Gal,  EF = 0.93, Recov Eff = 0.98 lte 12kW</t>
  </si>
  <si>
    <t>High Efficiency Small Electric Storage Water Heater - 50 Gal , 0.93 EF lte 12kW</t>
  </si>
  <si>
    <t>Small Electric Storage Water Heater 60 Gal,  EF = 0.89, Recov Eff = 0.98 lte 12kW</t>
  </si>
  <si>
    <t>Small Electric Storage Water Heater 60 Gal,  EF = 0.92, Recov Eff = 0.98 lte 12kW</t>
  </si>
  <si>
    <t>High Efficiency Small Electric Storage Water Heater - 60 Gal , 0.92 EF lte 12kW</t>
  </si>
  <si>
    <t>Small Electric Storage Water Heater 75 Gal,  EF = 0.87, Recov Eff = 0.98 lte 12kW</t>
  </si>
  <si>
    <t>Small Electric Storage Water Heater 75 Gal,  EF = 0.91, Recov Eff = 0.98 lte 12kW</t>
  </si>
  <si>
    <t>High Efficiency Small Electric Storage Water Heater - 75 Gal , 0.91 EF lte 12kW</t>
  </si>
  <si>
    <t>Small Gas Storage Water Heater 30 Gal, EF = 0.62, Recov Eff = 0.77</t>
  </si>
  <si>
    <t>Small Gas Storage Water Heater 30 Gal, EF = 0.65, Recov Eff = 0.81</t>
  </si>
  <si>
    <t>Small Gas Storage Water Heater 30 Gal, EF = 0.70, Recov Eff = 0.81</t>
  </si>
  <si>
    <t>Small Gas Storage Water Heater 40 Gal, EF = 0.62, Recov Eff = 0.77</t>
  </si>
  <si>
    <t>Small Gas Storage Water Heater 40 Gal, EF = 0.67, Recov Eff = 0.81</t>
  </si>
  <si>
    <t>Small Gas Storage Water Heater 40 Gal, EF = 0.70, Recov Eff = 0.81</t>
  </si>
  <si>
    <t>Small Gas Storage Water Heater 50 Gal, EF = 0.62, Recov Eff = 0.77</t>
  </si>
  <si>
    <t>Small Gas Storage Water Heater 50 Gal, EF = 0.67, Recov Eff = 0.81</t>
  </si>
  <si>
    <t>Small Gas Storage Water Heater 50 Gal, EF = 0.70, Recov Eff = 0.81</t>
  </si>
  <si>
    <t>Small Gas Storage Water Heater 60 Gal, EF = 0.62, Recov Eff = 0.76</t>
  </si>
  <si>
    <t>Small Gas Storage Water Heater 60 Gal, EF = 0.66, Recov Eff = 0.81</t>
  </si>
  <si>
    <t>Small Gas Storage Water Heater 60 Gal, EF = 0.70, Recov Eff = 0.81</t>
  </si>
  <si>
    <t>Small Gas Storage Water Heater 75 Gal, EF = 0.62, Recov Eff = 0.80</t>
  </si>
  <si>
    <t>Small Gas Storage Water Heater 75 Gal, EF = 0.66, Recov Eff = 0.81</t>
  </si>
  <si>
    <t>Small Gas Storage Water Heater 75 Gal, EF = 0.70, Recov Eff = 0.81</t>
  </si>
  <si>
    <r>
      <t xml:space="preserve">High Efficiency Small Gas Instantaneous Water Heater lte75kBtuh </t>
    </r>
    <r>
      <rPr>
        <sz val="11"/>
        <color rgb="FFFF0000"/>
        <rFont val="Calibri"/>
        <family val="2"/>
        <scheme val="minor"/>
      </rPr>
      <t>out of sample</t>
    </r>
  </si>
  <si>
    <t>356, 377, 357, 378, 358, 379</t>
  </si>
  <si>
    <t>359, 380, 360, 381, 361, 382</t>
  </si>
  <si>
    <t>362, 383, 363, 384, 364, 385</t>
  </si>
  <si>
    <t>365,  386, 366, 387, 367, 388</t>
  </si>
  <si>
    <t>368, 389, 369, 390, 370, 391</t>
  </si>
  <si>
    <t>Small Gas Storage Water Heater 30 Gal, EF = 0.61, Recov Eff = 0.76</t>
  </si>
  <si>
    <t>Small Gas Storage Water Heater 50 Gal, EF = 0.58, Recov Eff = 0.76</t>
  </si>
  <si>
    <t>Small Gas Storage Water Heater 60 Gal, EF = 0.56, Recov Eff = 0.76</t>
  </si>
  <si>
    <t>Small Gas Storage Water Heater 75 Gal, EF = 0.53, Recov Eff = 0.76</t>
  </si>
  <si>
    <t>392, 393</t>
  </si>
  <si>
    <r>
      <t xml:space="preserve">Large Gas Storage Water Heater, Et = 0.80, Stdby Loss = 0.56%/hr gte75kBtuh  </t>
    </r>
    <r>
      <rPr>
        <sz val="11"/>
        <color rgb="FFFF0000"/>
        <rFont val="Calibri"/>
        <family val="2"/>
        <scheme val="minor"/>
      </rPr>
      <t>assumed 75 gal capacity and 125 MBH</t>
    </r>
  </si>
  <si>
    <r>
      <t xml:space="preserve">Large Gas Storage Water Heater, Et = 0.83, Stdby Loss = 0.56%/hr gte75kBtuh </t>
    </r>
    <r>
      <rPr>
        <sz val="11"/>
        <color rgb="FFFF0000"/>
        <rFont val="Calibri"/>
        <family val="2"/>
        <scheme val="minor"/>
      </rPr>
      <t>assumed 75 gal capacity and 125 MBH</t>
    </r>
  </si>
  <si>
    <r>
      <t>Large Gas Storage Water Heater, Et = 0.90, Stdby Loss = 0.56%/hr gte75kBtuh</t>
    </r>
    <r>
      <rPr>
        <sz val="11"/>
        <color rgb="FFFF0000"/>
        <rFont val="Calibri"/>
        <family val="2"/>
        <scheme val="minor"/>
      </rPr>
      <t xml:space="preserve"> assumed 75 gal capacity and 125 MBH</t>
    </r>
  </si>
  <si>
    <r>
      <t xml:space="preserve">Standard Efficiency Central Storage WH, Et =80%, 80 Gallons </t>
    </r>
    <r>
      <rPr>
        <sz val="11"/>
        <color rgb="FFFF0000"/>
        <rFont val="Calibri"/>
        <family val="2"/>
        <scheme val="minor"/>
      </rPr>
      <t>assumed 175 MBH</t>
    </r>
  </si>
  <si>
    <t>Pkg AC EER = 10.0 (&gt;= 760 kBTUh) - Combined EER 9.7 and EER 10.2</t>
  </si>
  <si>
    <t>CFL Reflectors</t>
  </si>
  <si>
    <t>Lighting - Linear Fluorescents</t>
  </si>
  <si>
    <t>LF Ballasts + Lamps</t>
  </si>
  <si>
    <t>LF Fixtures + Lamps</t>
  </si>
  <si>
    <t>2008, 2009</t>
  </si>
  <si>
    <r>
      <t xml:space="preserve">LF lamp and ballast: LF lamp: T5, 46inch, 28W, 2895 lm, CRI=85, rated hours = 25000 (2); LF Ballast: Electronic, Programmed Start, High LO (1); Total Fixture Watts = 64 </t>
    </r>
    <r>
      <rPr>
        <sz val="11"/>
        <color rgb="FFFF0000"/>
        <rFont val="Calibri"/>
        <family val="2"/>
        <scheme val="minor"/>
      </rPr>
      <t>assumed cee/nema certified, 0.98 BF</t>
    </r>
  </si>
  <si>
    <r>
      <t xml:space="preserve">LF lamp and ballast: LF lamp: T5, 46inch, 28W, 2895 lm, CRI=85, rated hours = 25000 (3); LF Ballast: Electronic, Programmed Start, High LO (2); Total Fixture Watts = 97 </t>
    </r>
    <r>
      <rPr>
        <sz val="11"/>
        <color rgb="FFFF0000"/>
        <rFont val="Calibri"/>
        <family val="2"/>
        <scheme val="minor"/>
      </rPr>
      <t>assumed cee/nema certified, 0.98 BF</t>
    </r>
  </si>
  <si>
    <r>
      <t xml:space="preserve">LF lamp and ballast: LF lamp: T5, 46inch, 28W, 2895 lm, CRI=85, rated hours = 25000 (1); LF Ballast: Electronic, Programmed Start, High LO (1); Total Fixture Watts = 33 </t>
    </r>
    <r>
      <rPr>
        <sz val="11"/>
        <color rgb="FFFF0000"/>
        <rFont val="Calibri"/>
        <family val="2"/>
        <scheme val="minor"/>
      </rPr>
      <t xml:space="preserve">assumed cee/nema certified, 0.98 BF </t>
    </r>
  </si>
  <si>
    <r>
      <t xml:space="preserve">LF lamp and ballast: LF lamp: T5, 46inch, 28W, 2895 lm, CRI=85, rated hours = 25000 (3); LF Ballast: Electronic, Programmed Start, High LO (2); Total Fixture Watts = 97 </t>
    </r>
    <r>
      <rPr>
        <sz val="11"/>
        <color rgb="FFFF0000"/>
        <rFont val="Calibri"/>
        <family val="2"/>
        <scheme val="minor"/>
      </rPr>
      <t xml:space="preserve">assumed cee/nema certified, 0.98 BF </t>
    </r>
  </si>
  <si>
    <r>
      <t>LF lamp and ballast: LF lamp: T5, 46inch, 54W, 5000 lm, CRI=85, rated hours = 25000 (1); LF Ballast: Electronic, Programmed Start, High LO (0.5); Total Fixture Watts = 59</t>
    </r>
    <r>
      <rPr>
        <sz val="11"/>
        <color rgb="FFFF0000"/>
        <rFont val="Calibri"/>
        <family val="2"/>
        <scheme val="minor"/>
      </rPr>
      <t xml:space="preserve"> assumed cee/nema certified, 0.98 BF </t>
    </r>
  </si>
  <si>
    <r>
      <t xml:space="preserve">LF lamp and ballast: LF lamp: T5, 46inch, 54W, 5000 lm, CRI=85, rated hours = 25000 (1); LF Ballast: Electronic, Programmed Start, High LO (1); Total Fixture Watts = 62 </t>
    </r>
    <r>
      <rPr>
        <sz val="11"/>
        <color rgb="FFFF0000"/>
        <rFont val="Calibri"/>
        <family val="2"/>
        <scheme val="minor"/>
      </rPr>
      <t xml:space="preserve">assumed cee/nema certified, 0.98 BF </t>
    </r>
  </si>
  <si>
    <r>
      <t xml:space="preserve">LF lamp and ballast: LF lamp: T5, 46inch, 54W, 5000 lm, CRI=85, rated hours = 25000 (2); LF Ballast: Electronic, Programmed Start, High LO (1); Total Fixture Watts = 117 </t>
    </r>
    <r>
      <rPr>
        <sz val="11"/>
        <color rgb="FFFF0000"/>
        <rFont val="Calibri"/>
        <family val="2"/>
        <scheme val="minor"/>
      </rPr>
      <t xml:space="preserve">assumed cee/nema certified, 0.98 BF </t>
    </r>
  </si>
  <si>
    <r>
      <t>Large Gas Instantaneous Water Heater, Et = 0.80, Stdby Loss = 0.23%/hr gt200kBtuh</t>
    </r>
    <r>
      <rPr>
        <sz val="11"/>
        <color rgb="FFFF0000"/>
        <rFont val="Calibri"/>
        <family val="2"/>
        <scheme val="minor"/>
      </rPr>
      <t xml:space="preserve"> assumed 240 MBH</t>
    </r>
  </si>
  <si>
    <r>
      <t xml:space="preserve">Large Gas Instantaneous Water Heater, Et = 0.85, Stdby Loss = 0.23%/hr gt200kBtuh </t>
    </r>
    <r>
      <rPr>
        <sz val="11"/>
        <color rgb="FFFF0000"/>
        <rFont val="Calibri"/>
        <family val="2"/>
        <scheme val="minor"/>
      </rPr>
      <t>assumed 240 MBH</t>
    </r>
  </si>
  <si>
    <r>
      <t xml:space="preserve">Large Gas Instantaneous Water Heater, Et = 0.90, Stdby Loss = 0.23%/hr gt200kBtuh  </t>
    </r>
    <r>
      <rPr>
        <sz val="11"/>
        <color rgb="FFFF0000"/>
        <rFont val="Calibri"/>
        <family val="2"/>
        <scheme val="minor"/>
      </rPr>
      <t>assumed 240 MBH</t>
    </r>
  </si>
  <si>
    <r>
      <t xml:space="preserve">Large Gas Storage Water Heater, Et = 0.80, Stdby Loss = 0.56%/hr </t>
    </r>
    <r>
      <rPr>
        <sz val="11"/>
        <color rgb="FFFF0000"/>
        <rFont val="Calibri"/>
        <family val="2"/>
        <scheme val="minor"/>
      </rPr>
      <t>assumed 100 MBH, 100 gal</t>
    </r>
  </si>
  <si>
    <r>
      <t xml:space="preserve">Large Gas Storage Water Heater, Et = 0.80, Stdby Loss = 0.56%/hr </t>
    </r>
    <r>
      <rPr>
        <sz val="11"/>
        <color rgb="FFFF0000"/>
        <rFont val="Calibri"/>
        <family val="2"/>
        <scheme val="minor"/>
      </rPr>
      <t>assumed 75 MBH, 50 gal</t>
    </r>
  </si>
  <si>
    <r>
      <t xml:space="preserve">LF lamp and ballast: LF lamp: T5, 46inch, 54W, 5000 lm, CRI=85, rated hours = 25000 (4); LF Ballast: Electronic, Programmed Start, High LO (1); Total Fixture Watts = 234 </t>
    </r>
    <r>
      <rPr>
        <sz val="11"/>
        <color rgb="FFFF0000"/>
        <rFont val="Calibri"/>
        <family val="2"/>
        <scheme val="minor"/>
      </rPr>
      <t xml:space="preserve">assumed cee/nema certified, 0.98 BF </t>
    </r>
  </si>
  <si>
    <r>
      <t xml:space="preserve">LF lamp and ballast: LF lamp: T5, 46inch, 54W, 5000 lm, CRI=85, rated hours = 25000 (6); LF Ballast: Electronic, Programmed Start, High LO (2); Total Fixture Watts = 351 </t>
    </r>
    <r>
      <rPr>
        <sz val="11"/>
        <color rgb="FFFF0000"/>
        <rFont val="Calibri"/>
        <family val="2"/>
        <scheme val="minor"/>
      </rPr>
      <t xml:space="preserve">assumed cee/nema certified, 0.98 BF </t>
    </r>
  </si>
  <si>
    <r>
      <t>HID lamp and ballast: 365 Watt Pulse Start Metal Halide lamp (1); CWA Ballast (1), Total fixture Watts = 365</t>
    </r>
    <r>
      <rPr>
        <sz val="11"/>
        <color rgb="FFFF0000"/>
        <rFont val="Calibri"/>
        <family val="2"/>
        <scheme val="minor"/>
      </rPr>
      <t xml:space="preserve"> assume 65 lm/W, 3650 color temp, 76.5 CRI assume high bay</t>
    </r>
  </si>
  <si>
    <r>
      <t xml:space="preserve">LF lamp and ballast: LF lamp: T5, 46inch, 54W, 5000 lm, CRI=85, rated hours = 25000 (4); LF Ballast: Electronic, Programmed Start, High LO (1); Total Fixture Watts = 234 </t>
    </r>
    <r>
      <rPr>
        <sz val="11"/>
        <color rgb="FFFF0000"/>
        <rFont val="Calibri"/>
        <family val="2"/>
        <scheme val="minor"/>
      </rPr>
      <t>assumed cee/nema certified, 0.98 BF  assume high bay</t>
    </r>
  </si>
  <si>
    <r>
      <t xml:space="preserve">HID lamp and ballast: 456 Watt Pulse Start Metal Halide lamp (1); CWA Ballast (1), Total fixture Watts = 456  </t>
    </r>
    <r>
      <rPr>
        <sz val="11"/>
        <color rgb="FFFF0000"/>
        <rFont val="Calibri"/>
        <family val="2"/>
        <scheme val="minor"/>
      </rPr>
      <t>assume 65 lm/W, 3650 color temp, 76.5 CRI assume high bay</t>
    </r>
  </si>
  <si>
    <r>
      <t xml:space="preserve">LF lamp and ballast: LF lamp: T5, 46inch, 54W, 5000 lm, CRI=85, rated hours = 25000 (6); LF Ballast: Electronic, Programmed Start, High LO (2); Total Fixture Watts = 351 </t>
    </r>
    <r>
      <rPr>
        <sz val="11"/>
        <color rgb="FFFF0000"/>
        <rFont val="Calibri"/>
        <family val="2"/>
        <scheme val="minor"/>
      </rPr>
      <t>assumed cee/nema certified, 0.98 BF  assume high bay</t>
    </r>
  </si>
  <si>
    <r>
      <t>LF lamp and ballast: LF lamp: T5, 46inch, 54W, 5000 lm, CRI=85, rated hours = 25000 (4); LF Ballast: Electronic, Programmed Start, High LO (1); Total Fixture Watts = 234</t>
    </r>
    <r>
      <rPr>
        <sz val="11"/>
        <color rgb="FFFF0000"/>
        <rFont val="Calibri"/>
        <family val="2"/>
        <scheme val="minor"/>
      </rPr>
      <t xml:space="preserve"> assumed cee/nema certified, 0.98 BF  assume high bay</t>
    </r>
  </si>
  <si>
    <r>
      <t xml:space="preserve">LF lamp and ballast: LF lamp: T5, 46inch, 54W, 5000 lm, CRI=85, rated hours = 25000 (6); LF Ballast: Electronic, Programmed Start, High LO (2); Total Fixture Watts = 351 </t>
    </r>
    <r>
      <rPr>
        <sz val="11"/>
        <color rgb="FFFF0000"/>
        <rFont val="Calibri"/>
        <family val="2"/>
        <scheme val="minor"/>
      </rPr>
      <t>assumed cee/nema certified, 0.98 BF assume high bay</t>
    </r>
  </si>
  <si>
    <t>2024, 2026, 2028, 2030, 2032</t>
  </si>
  <si>
    <t>2034, 2036, 2037, 2040</t>
  </si>
  <si>
    <t>Lighting - LF Fixtures</t>
  </si>
  <si>
    <r>
      <t xml:space="preserve">LF fixture: T8, 48inch, 32W lamp (1), Total fixture Watts = 32; Ballast specs: Rapid Start, Electronic, NLO, 1 per lamp; Lamp specs: 2900 lumens, CRI=75, rated hours = 15000 </t>
    </r>
    <r>
      <rPr>
        <sz val="11"/>
        <color rgb="FFFF0000"/>
        <rFont val="Calibri"/>
        <family val="2"/>
        <scheme val="minor"/>
      </rPr>
      <t>assume surface mounted</t>
    </r>
  </si>
  <si>
    <r>
      <t xml:space="preserve">LF fixture: T8, 48inch, 32W lamp (1), Total fixture Watts = 31; Ballast specs: Instant Start, Electronic, NLO, 1 per lamp; Lamp specs: 3175 lumens, CRI=82, rated hours = 20000 </t>
    </r>
    <r>
      <rPr>
        <sz val="11"/>
        <color rgb="FFFF0000"/>
        <rFont val="Calibri"/>
        <family val="2"/>
        <scheme val="minor"/>
      </rPr>
      <t>assume surface mounted</t>
    </r>
  </si>
  <si>
    <r>
      <t>LF fixture: T8, 48inch, 32W lamp (1), Total fixture Watts = 31; Ballast specs: Instant Start, Electronic, NLO, 1 per lamp; Lamp specs: 3175 lumens, CRI=82, rated hours = 20000</t>
    </r>
    <r>
      <rPr>
        <sz val="11"/>
        <color rgb="FFFF0000"/>
        <rFont val="Calibri"/>
        <family val="2"/>
        <scheme val="minor"/>
      </rPr>
      <t xml:space="preserve"> assume surface mounted</t>
    </r>
  </si>
  <si>
    <r>
      <t xml:space="preserve">LF fixture: T8, 48inch, 32W lamp (2), Total fixture Watts = 60; Ballast specs: Rapid Start, Electronic, NLO, 2 per lamp; Lamp specs: 2900 lumens, CRI=75, rated hours = 15000 </t>
    </r>
    <r>
      <rPr>
        <sz val="11"/>
        <color rgb="FFFF0000"/>
        <rFont val="Calibri"/>
        <family val="2"/>
        <scheme val="minor"/>
      </rPr>
      <t>assume surface mounted</t>
    </r>
  </si>
  <si>
    <r>
      <t xml:space="preserve">LF fixture: T8, 48inch, 32W lamp (2), Total fixture Watts = 54; Ballast specs: Rapid Start, Electronic, RLO, 2 per lamp; Lamp specs: 3175 lumens, CRI=70, rated hours = 20000 </t>
    </r>
    <r>
      <rPr>
        <sz val="11"/>
        <color rgb="FFFF0000"/>
        <rFont val="Calibri"/>
        <family val="2"/>
        <scheme val="minor"/>
      </rPr>
      <t>assume surface mounted</t>
    </r>
  </si>
  <si>
    <r>
      <t>LF fixture: T8, 48inch, 32W lamp (1), Total fixture Watts = 41; Ballast specs: Instant Start, Electronic, VHLO, 1 per lamp; Lamp specs: 3175 lumens, CRI=70, rated hours = 20000</t>
    </r>
    <r>
      <rPr>
        <sz val="11"/>
        <color rgb="FFFF0000"/>
        <rFont val="Calibri"/>
        <family val="2"/>
        <scheme val="minor"/>
      </rPr>
      <t xml:space="preserve"> assume surface mounted</t>
    </r>
  </si>
  <si>
    <r>
      <t xml:space="preserve">Res, Res indoor non-refl CFL base case, Total Watts = 3.47 x Msr Watts ==&gt; CFLscw-80w </t>
    </r>
    <r>
      <rPr>
        <sz val="11"/>
        <color rgb="FFFF0000"/>
        <rFont val="Calibri"/>
        <family val="2"/>
        <scheme val="minor"/>
      </rPr>
      <t>out of sample</t>
    </r>
  </si>
  <si>
    <r>
      <t xml:space="preserve">Incandescent A-lamp </t>
    </r>
    <r>
      <rPr>
        <sz val="11"/>
        <color rgb="FFFF0000"/>
        <rFont val="Calibri"/>
        <family val="2"/>
        <scheme val="minor"/>
      </rPr>
      <t>out of sample wattage too high</t>
    </r>
  </si>
  <si>
    <t>Sensor</t>
  </si>
  <si>
    <t>9001, 9002</t>
  </si>
  <si>
    <t>No Controls (T24 code baseline matches prototype)</t>
  </si>
  <si>
    <r>
      <t xml:space="preserve">Occupancy Sensor Pack-200 SF </t>
    </r>
    <r>
      <rPr>
        <sz val="11"/>
        <color rgb="FFFF0000"/>
        <rFont val="Calibri"/>
        <family val="2"/>
        <scheme val="minor"/>
      </rPr>
      <t>assume wall mounted</t>
    </r>
  </si>
  <si>
    <r>
      <t xml:space="preserve">Occupancy Sensor Pack-1000 SF </t>
    </r>
    <r>
      <rPr>
        <sz val="11"/>
        <color rgb="FFFF0000"/>
        <rFont val="Calibri"/>
        <family val="2"/>
        <scheme val="minor"/>
      </rPr>
      <t>assume ceiling mounted</t>
    </r>
  </si>
  <si>
    <t>DayLtg Controls, Side Ltg, Cont. Ctrl</t>
  </si>
  <si>
    <t>DayLtg Controls, Side Ltg, 2-step Ctrl</t>
  </si>
  <si>
    <t>DayLtg Controls, Top Ltg, Cont. Ctrl</t>
  </si>
  <si>
    <t>DayLtg Controls, Top Ltg, 1-step Ctrl</t>
  </si>
  <si>
    <t>DayLtg Controls, Top Ltg, 2-step Ctrl</t>
  </si>
  <si>
    <t>No Controls (T24 glazing performance matches prototype level, no controls installed)</t>
  </si>
  <si>
    <t>9003 - 9007</t>
  </si>
  <si>
    <t>T24 minimum: VAV w/30% min-cfm-ratio &amp; w/VSD fans</t>
  </si>
  <si>
    <t>VFD Supply Fan Motors (1.5hp, nema 12 enclosure,no bypass)</t>
  </si>
  <si>
    <t>VFD Supply Fan Motors (5hp, nema 1 enclosure,no bypass)</t>
  </si>
  <si>
    <t>VFD Supply Fan Motors (10hp, nema 1 enclosure, no bypass)</t>
  </si>
  <si>
    <t>VFD Supply Fan Motors (10hp, nema 3r enclosure,no bypass)</t>
  </si>
  <si>
    <r>
      <t xml:space="preserve">VFD Supply Fan Motors </t>
    </r>
    <r>
      <rPr>
        <sz val="11"/>
        <color rgb="FFFF0000"/>
        <rFont val="Calibri"/>
        <family val="2"/>
        <scheme val="minor"/>
      </rPr>
      <t>(assumed 20hp, nema 12 enclosure,no bypass)</t>
    </r>
  </si>
  <si>
    <r>
      <t xml:space="preserve">VFD Supply Fan Motors </t>
    </r>
    <r>
      <rPr>
        <sz val="11"/>
        <color rgb="FFFF0000"/>
        <rFont val="Calibri"/>
        <family val="2"/>
        <scheme val="minor"/>
      </rPr>
      <t>(assumed 30hp, nema 1 enclosure,no bypass)</t>
    </r>
  </si>
  <si>
    <r>
      <t>VFD Supply Fan Motors</t>
    </r>
    <r>
      <rPr>
        <sz val="11"/>
        <color rgb="FFFF0000"/>
        <rFont val="Calibri"/>
        <family val="2"/>
        <scheme val="minor"/>
      </rPr>
      <t xml:space="preserve"> (assumed 40hp, nema 3 enclosure, with bypass)</t>
    </r>
  </si>
  <si>
    <r>
      <t xml:space="preserve">VFD Supply Fan Motors </t>
    </r>
    <r>
      <rPr>
        <sz val="11"/>
        <color rgb="FFFF0000"/>
        <rFont val="Calibri"/>
        <family val="2"/>
        <scheme val="minor"/>
      </rPr>
      <t>(assumed  60hp, nema 12 enclosure, no bypass)</t>
    </r>
  </si>
  <si>
    <r>
      <t xml:space="preserve">VFD Supply Fan Motors </t>
    </r>
    <r>
      <rPr>
        <sz val="11"/>
        <color rgb="FFFF0000"/>
        <rFont val="Calibri"/>
        <family val="2"/>
        <scheme val="minor"/>
      </rPr>
      <t>(assumed 75hp, nema 12 enclosure,no bypass)</t>
    </r>
  </si>
  <si>
    <r>
      <t xml:space="preserve">VFD Supply Fan Motors </t>
    </r>
    <r>
      <rPr>
        <sz val="11"/>
        <color rgb="FFFF0000"/>
        <rFont val="Calibri"/>
        <family val="2"/>
        <scheme val="minor"/>
      </rPr>
      <t>(assumed 100hp, nema 1 enclosure,no bypass)</t>
    </r>
  </si>
  <si>
    <r>
      <t xml:space="preserve">VFD Supply Fan Motors </t>
    </r>
    <r>
      <rPr>
        <sz val="11"/>
        <color rgb="FFFF0000"/>
        <rFont val="Calibri"/>
        <family val="2"/>
        <scheme val="minor"/>
      </rPr>
      <t>(assumed 50hp, nema 1 enclosure,no bypass)</t>
    </r>
  </si>
  <si>
    <r>
      <t xml:space="preserve">VFD Supply Fan Motors </t>
    </r>
    <r>
      <rPr>
        <sz val="11"/>
        <color rgb="FFFF0000"/>
        <rFont val="Calibri"/>
        <family val="2"/>
        <scheme val="minor"/>
      </rPr>
      <t>(assumed 1.5hp, nema 12 enclosure,no bypass)</t>
    </r>
  </si>
  <si>
    <r>
      <t xml:space="preserve">VFD Supply Fan Motors </t>
    </r>
    <r>
      <rPr>
        <sz val="11"/>
        <color rgb="FFFF0000"/>
        <rFont val="Calibri"/>
        <family val="2"/>
        <scheme val="minor"/>
      </rPr>
      <t>(assumed 5hp, nema 1 enclosure,no bypass)</t>
    </r>
  </si>
  <si>
    <r>
      <t xml:space="preserve">VFD Supply Fan Motors </t>
    </r>
    <r>
      <rPr>
        <sz val="11"/>
        <color rgb="FFFF0000"/>
        <rFont val="Calibri"/>
        <family val="2"/>
        <scheme val="minor"/>
      </rPr>
      <t>(assumed 10hp, nema 1 enclosure, no bypass)</t>
    </r>
  </si>
  <si>
    <r>
      <t xml:space="preserve">VFD Supply Fan Motors </t>
    </r>
    <r>
      <rPr>
        <sz val="11"/>
        <color rgb="FFFF0000"/>
        <rFont val="Calibri"/>
        <family val="2"/>
        <scheme val="minor"/>
      </rPr>
      <t>(assumed 10hp, nema 3r enclosure,no bypass)</t>
    </r>
  </si>
  <si>
    <t>Fan VFDs 
(&lt;= 10hp)</t>
  </si>
  <si>
    <t>No evaporative cooling (T24 HVAC matches prototype characteristics)</t>
  </si>
  <si>
    <t>9042, 9043</t>
  </si>
  <si>
    <r>
      <t xml:space="preserve">Evap Cool  Indirect - Central System 65% effectiveness </t>
    </r>
    <r>
      <rPr>
        <sz val="11"/>
        <color rgb="FFFF0000"/>
        <rFont val="Calibri"/>
        <family val="2"/>
        <scheme val="minor"/>
      </rPr>
      <t>assumed 3,000 cfm, no gas heat</t>
    </r>
  </si>
  <si>
    <r>
      <t>Evap Cool  Indirect - Packaged Sys 65% effectiveness</t>
    </r>
    <r>
      <rPr>
        <sz val="11"/>
        <color rgb="FFFF0000"/>
        <rFont val="Calibri"/>
        <family val="2"/>
        <scheme val="minor"/>
      </rPr>
      <t xml:space="preserve"> assumed 45,000 cfm, no gas heat</t>
    </r>
  </si>
  <si>
    <r>
      <t xml:space="preserve">Efficient Gas Furnace - AFUE 94  </t>
    </r>
    <r>
      <rPr>
        <sz val="11"/>
        <color rgb="FFFF0000"/>
        <rFont val="Calibri"/>
        <family val="2"/>
        <scheme val="minor"/>
      </rPr>
      <t>assumed 150,000 BtuH w/o variable speed fan</t>
    </r>
  </si>
  <si>
    <r>
      <t xml:space="preserve">AFUE 78 furnace </t>
    </r>
    <r>
      <rPr>
        <sz val="11"/>
        <color rgb="FFFF0000"/>
        <rFont val="Calibri"/>
        <family val="2"/>
        <scheme val="minor"/>
      </rPr>
      <t>assumed 150,000 BtuH w/o variable speed fan</t>
    </r>
  </si>
  <si>
    <r>
      <t xml:space="preserve">Non integrated evaporator precooler heat exchanger </t>
    </r>
    <r>
      <rPr>
        <sz val="11"/>
        <color rgb="FFFF0000"/>
        <rFont val="Calibri"/>
        <family val="2"/>
        <scheme val="minor"/>
      </rPr>
      <t xml:space="preserve">assumed 100 ton capacity 2- 100ft 4" pipe runs </t>
    </r>
  </si>
  <si>
    <r>
      <t xml:space="preserve">Non integrated evaporator precooler heat exchanger </t>
    </r>
    <r>
      <rPr>
        <sz val="11"/>
        <color rgb="FFFF0000"/>
        <rFont val="Calibri"/>
        <family val="2"/>
        <scheme val="minor"/>
      </rPr>
      <t xml:space="preserve">assumed 300 ton capacity 100ft 8" pipe runs </t>
    </r>
  </si>
  <si>
    <r>
      <t xml:space="preserve">Direct Evaporative Cooler </t>
    </r>
    <r>
      <rPr>
        <sz val="11"/>
        <color rgb="FFFF0000"/>
        <rFont val="Calibri"/>
        <family val="2"/>
        <scheme val="minor"/>
      </rPr>
      <t>assumed 3,510 CFM, 0.87 media saturation effectiveness (~3 ton equivalent)</t>
    </r>
  </si>
  <si>
    <t>No evaporative cooler</t>
  </si>
  <si>
    <t>6, 10021</t>
  </si>
  <si>
    <t>Refrigerator: Bottom Mount Freezer, Large, (16.5-25 ft3 TV) 900 rated kWh/yr</t>
  </si>
  <si>
    <t>Refrigerator: Bottom Mount Freezer, Large, (16.5-25 ft3 TV) 1800 rated kWh/yr</t>
  </si>
  <si>
    <t>Refrigerator: Energy Star Bottom Mount Freezer without through-the-door ice , Large, (16.5-25 ft3 TV) 500 rated kWh/yr</t>
  </si>
  <si>
    <t>Refrigerator: Energy Star  Bottom Mount Freezer without through-the-door ice , Large, (16.5-25 ft3 TV) 600 rated kWh/yr</t>
  </si>
  <si>
    <r>
      <t xml:space="preserve">Steam boiler (300-2500 kBtuh, 80.0% thermal efficiency, atmospheric) </t>
    </r>
    <r>
      <rPr>
        <sz val="11"/>
        <color rgb="FFFF0000"/>
        <rFont val="Calibri"/>
        <family val="2"/>
        <scheme val="minor"/>
      </rPr>
      <t>assumed 1400 MBH basement mount</t>
    </r>
  </si>
  <si>
    <t>100099, 100100</t>
  </si>
  <si>
    <t>Single pane clear glass windows SHGC 0.82</t>
  </si>
  <si>
    <r>
      <t xml:space="preserve">Window Film added to existing windows SHGC 0.39  </t>
    </r>
    <r>
      <rPr>
        <sz val="11"/>
        <color rgb="FFFF0000"/>
        <rFont val="Calibri"/>
        <family val="2"/>
        <scheme val="minor"/>
      </rPr>
      <t>assumed 0.81 emmisivity, 0.63 glare reduction, 1.03 winter U-value, 26 reflected interior, 32 reflected exterior</t>
    </r>
  </si>
  <si>
    <r>
      <t xml:space="preserve">Window Film added to existing windows SHGC 0.39 </t>
    </r>
    <r>
      <rPr>
        <sz val="11"/>
        <color rgb="FFFF0000"/>
        <rFont val="Calibri"/>
        <family val="2"/>
        <scheme val="minor"/>
      </rPr>
      <t>assumed 0.81 emmisivity, 0.63 glare reduction, 1.03 winter U-value, 26 reflected interior, 32 reflected exterior</t>
    </r>
  </si>
  <si>
    <t>164, 165, 100093, 100112</t>
  </si>
  <si>
    <t>164, 100093, 100112</t>
  </si>
  <si>
    <t>161, 162, 100097, 100111, 100114</t>
  </si>
  <si>
    <t>161, 100097, 100111, 100114</t>
  </si>
  <si>
    <t>100113, 100118</t>
  </si>
  <si>
    <r>
      <t xml:space="preserve">MF Large Gas Storage Water Heater, Et = 0.80, Stdby Loss = 0.56%/hr </t>
    </r>
    <r>
      <rPr>
        <sz val="11"/>
        <color rgb="FFFF0000"/>
        <rFont val="Calibri"/>
        <family val="2"/>
        <scheme val="minor"/>
      </rPr>
      <t>assumed 100 MBH, 100 gal</t>
    </r>
  </si>
  <si>
    <t>345, 346, 347, 100096, 100115</t>
  </si>
  <si>
    <t>346, 100096, 100115</t>
  </si>
  <si>
    <t>17, 18, 100178</t>
  </si>
  <si>
    <t>17, , 100178</t>
  </si>
  <si>
    <t xml:space="preserve">2184, 2185 </t>
  </si>
  <si>
    <t>2186, 2187</t>
  </si>
  <si>
    <t>2188, 2189</t>
  </si>
  <si>
    <t>Fixture</t>
  </si>
  <si>
    <r>
      <t xml:space="preserve">HID lamp and ballast: 43 Watt Metal Halide lamp (1); Reactor Ballast (1), Total fixture Watts = 43 </t>
    </r>
    <r>
      <rPr>
        <sz val="11"/>
        <color rgb="FFFF0000"/>
        <rFont val="Calibri"/>
        <family val="2"/>
        <scheme val="minor"/>
      </rPr>
      <t>fixture watts out of sample</t>
    </r>
  </si>
  <si>
    <r>
      <t xml:space="preserve">HID lamp and ballast: 208 Watt Pulse Start Metal Halide lamp (1); CWA Ballast (1), Total fixture Watts = 208 </t>
    </r>
    <r>
      <rPr>
        <sz val="11"/>
        <color rgb="FFFF0000"/>
        <rFont val="Calibri"/>
        <family val="2"/>
        <scheme val="minor"/>
      </rPr>
      <t>assumed 18 in fixture, 120 lm/watt, 3500k, 90 CRI measure same as standard</t>
    </r>
  </si>
  <si>
    <r>
      <t>HID lamp and ballast: 208 Watt Pulse Start Metal Halide lamp (1); CWA Ballast (1), Total fixture Watts = 208</t>
    </r>
    <r>
      <rPr>
        <sz val="11"/>
        <color rgb="FFFF0000"/>
        <rFont val="Calibri"/>
        <family val="2"/>
        <scheme val="minor"/>
      </rPr>
      <t xml:space="preserve"> assumed 18 in fixture, 120 lm/watt, 3500k, 90 CRI</t>
    </r>
  </si>
  <si>
    <r>
      <t xml:space="preserve">HID lamp and ballast: 208 Watt Pulse Start Metal Halide lamp (1); CWA Ballast (1), Total fixture Watts = 208 </t>
    </r>
    <r>
      <rPr>
        <sz val="11"/>
        <color rgb="FFFF0000"/>
        <rFont val="Calibri"/>
        <family val="2"/>
        <scheme val="minor"/>
      </rPr>
      <t>assumed 18 in fixture, 120 lm/watt, 3500k, 90 CRI</t>
    </r>
  </si>
  <si>
    <r>
      <t xml:space="preserve">HID lamp and ballast: 288 Watt Pulse Start Metal Halide lamp (1); CWA Ballast (1), Total fixture Watts = 288 </t>
    </r>
    <r>
      <rPr>
        <sz val="11"/>
        <color rgb="FFFF0000"/>
        <rFont val="Calibri"/>
        <family val="2"/>
        <scheme val="minor"/>
      </rPr>
      <t>assumed 18 in fixture, 120 lm/watt, 3500k, 90 CRI</t>
    </r>
  </si>
  <si>
    <r>
      <t xml:space="preserve">HID lamp and ballast: 400 Watt Pulse Start Metal Halide lamp (1); CWA Ballast (1), Total fixture Watts = 400 </t>
    </r>
    <r>
      <rPr>
        <sz val="11"/>
        <color rgb="FFFF0000"/>
        <rFont val="Calibri"/>
        <family val="2"/>
        <scheme val="minor"/>
      </rPr>
      <t>assumed 18 in fixture, 120 lm/watt, 3500k, 90 CRI</t>
    </r>
  </si>
  <si>
    <r>
      <t xml:space="preserve">HID lamp and ballast: 288 Watt Pulse Start Metal Halide lamp (1); CWA Ballast (1), Total fixture Watts = 288 </t>
    </r>
    <r>
      <rPr>
        <sz val="11"/>
        <color rgb="FFFF0000"/>
        <rFont val="Calibri"/>
        <family val="2"/>
        <scheme val="minor"/>
      </rPr>
      <t>assumed 18 in fixture, 120 lm/watt, 3500k, 90 CRI, measure same as standard</t>
    </r>
  </si>
  <si>
    <r>
      <t xml:space="preserve">HID lamp and ballast: 400 Watt Pulse Start Metal Halide lamp (1); CWA Ballast (1), Total fixture Watts = 400 </t>
    </r>
    <r>
      <rPr>
        <sz val="11"/>
        <color rgb="FFFF0000"/>
        <rFont val="Calibri"/>
        <family val="2"/>
        <scheme val="minor"/>
      </rPr>
      <t>assumed 18 in fixture, 120 lm/watt, 3500k, 90 CRI, measure same as standard</t>
    </r>
  </si>
  <si>
    <r>
      <t xml:space="preserve">Res, Res indoor non-refl CFL base case, Total Watts = 3.47 x Msr Watts ==&gt; CFLscw-5w  </t>
    </r>
    <r>
      <rPr>
        <sz val="11"/>
        <color rgb="FFFF0000"/>
        <rFont val="Calibri"/>
        <family val="2"/>
        <scheme val="minor"/>
      </rPr>
      <t>low brightness 10,000 hrs twister non-dim</t>
    </r>
  </si>
  <si>
    <r>
      <t xml:space="preserve">Com, Com indoor non-refl CFL base case, Total Watts = 3.57 x Msr Watts ==&gt; CFLscw-3w </t>
    </r>
    <r>
      <rPr>
        <sz val="11"/>
        <color rgb="FFFF0000"/>
        <rFont val="Calibri"/>
        <family val="2"/>
        <scheme val="minor"/>
      </rPr>
      <t>low brightness 10,000 hrs twister non-dim</t>
    </r>
  </si>
  <si>
    <r>
      <t xml:space="preserve">Com, Com indoor non-refl CFL base case, Total Watts = 3.57 x Msr Watts ==&gt; CFLscw-4w </t>
    </r>
    <r>
      <rPr>
        <sz val="11"/>
        <color rgb="FFFF0000"/>
        <rFont val="Calibri"/>
        <family val="2"/>
        <scheme val="minor"/>
      </rPr>
      <t>low brightness 10,000 hrs twister non-dim</t>
    </r>
  </si>
  <si>
    <r>
      <t>Com, Com indoor non-refl CFL base case, Total Watts = 3.57 x Msr Watts ==&gt; CFLscw-5w</t>
    </r>
    <r>
      <rPr>
        <sz val="11"/>
        <color rgb="FFFF0000"/>
        <rFont val="Calibri"/>
        <family val="2"/>
        <scheme val="minor"/>
      </rPr>
      <t xml:space="preserve"> low brightness 10,000 hrs twister non-dim</t>
    </r>
  </si>
  <si>
    <r>
      <t>Com, Com indoor non-refl CFL base case, Total Watts = 3.57 x Msr Watts ==&gt; CFLscw-6w</t>
    </r>
    <r>
      <rPr>
        <sz val="11"/>
        <color rgb="FFFF0000"/>
        <rFont val="Calibri"/>
        <family val="2"/>
        <scheme val="minor"/>
      </rPr>
      <t xml:space="preserve"> low brightness 10,000 hrs twister non-dim</t>
    </r>
  </si>
  <si>
    <r>
      <t xml:space="preserve">Com, Com indoor non-refl CFL base case, Total Watts = 3.57 x Msr Watts ==&gt; CFLscw-7w </t>
    </r>
    <r>
      <rPr>
        <sz val="11"/>
        <color rgb="FFFF0000"/>
        <rFont val="Calibri"/>
        <family val="2"/>
        <scheme val="minor"/>
      </rPr>
      <t>low brightness 10,000 hrs twister non-dim</t>
    </r>
  </si>
  <si>
    <r>
      <t xml:space="preserve">Com, Com indoor non-refl CFL base case, Total Watts = 3.57 x Msr Watts ==&gt; CFLscw-8w </t>
    </r>
    <r>
      <rPr>
        <sz val="11"/>
        <color rgb="FFFF0000"/>
        <rFont val="Calibri"/>
        <family val="2"/>
        <scheme val="minor"/>
      </rPr>
      <t>low brightness 10,000 hrs twister non-dim</t>
    </r>
  </si>
  <si>
    <r>
      <t>Com, Com indoor non-refl CFL base case, Total Watts = 3.57 x Msr Watts ==&gt; CFLscw-9w</t>
    </r>
    <r>
      <rPr>
        <sz val="11"/>
        <color rgb="FFFF0000"/>
        <rFont val="Calibri"/>
        <family val="2"/>
        <scheme val="minor"/>
      </rPr>
      <t xml:space="preserve"> low brightness 10,000 hrs twister non-dim</t>
    </r>
  </si>
  <si>
    <r>
      <t xml:space="preserve">Com, Com indoor non-refl CFL base case, Total Watts = 3.57 x Msr Watts ==&gt; CFLscw-10w </t>
    </r>
    <r>
      <rPr>
        <sz val="11"/>
        <color rgb="FFFF0000"/>
        <rFont val="Calibri"/>
        <family val="2"/>
        <scheme val="minor"/>
      </rPr>
      <t>low brightness 10,000 hrs twister non-dim</t>
    </r>
  </si>
  <si>
    <r>
      <t>Com, Com indoor non-refl CFL base case, Total Watts = 3.57 x Msr Watts ==&gt; CFLscw-11w</t>
    </r>
    <r>
      <rPr>
        <sz val="11"/>
        <color rgb="FFFF0000"/>
        <rFont val="Calibri"/>
        <family val="2"/>
        <scheme val="minor"/>
      </rPr>
      <t xml:space="preserve"> low brightness 10,000 hrs twister non-dim</t>
    </r>
  </si>
  <si>
    <r>
      <t xml:space="preserve">Com, Com indoor non-refl CFL base case, Total Watts = 3.57 x Msr Watts ==&gt; CFLscw-12w </t>
    </r>
    <r>
      <rPr>
        <sz val="11"/>
        <color rgb="FFFF0000"/>
        <rFont val="Calibri"/>
        <family val="2"/>
        <scheme val="minor"/>
      </rPr>
      <t>med brightness 10,000 hrs twister non-dim</t>
    </r>
  </si>
  <si>
    <r>
      <t xml:space="preserve">Com, Com indoor non-refl CFL base case, Total Watts = 3.57 x Msr Watts ==&gt; CFLscw-13w </t>
    </r>
    <r>
      <rPr>
        <sz val="11"/>
        <color rgb="FFFF0000"/>
        <rFont val="Calibri"/>
        <family val="2"/>
        <scheme val="minor"/>
      </rPr>
      <t>med brightness 10,000 hrs twister non-dim</t>
    </r>
  </si>
  <si>
    <r>
      <t xml:space="preserve">Com, Com indoor non-refl CFL base case, Total Watts = 3.57 x Msr Watts ==&gt; CFLscw-14w </t>
    </r>
    <r>
      <rPr>
        <sz val="11"/>
        <color rgb="FFFF0000"/>
        <rFont val="Calibri"/>
        <family val="2"/>
        <scheme val="minor"/>
      </rPr>
      <t>med brightness 10,000 hrs twister non-dim</t>
    </r>
  </si>
  <si>
    <r>
      <t xml:space="preserve">Com, Com indoor non-refl CFL base case, Total Watts = 3.57 x Msr Watts ==&gt; CFLscw-15w </t>
    </r>
    <r>
      <rPr>
        <sz val="11"/>
        <color rgb="FFFF0000"/>
        <rFont val="Calibri"/>
        <family val="2"/>
        <scheme val="minor"/>
      </rPr>
      <t>med brightness 10,000 hrs twister non-dim</t>
    </r>
  </si>
  <si>
    <r>
      <t xml:space="preserve">Com, Com indoor non-refl CFL base case, Total Watts = 3.57 x Msr Watts ==&gt; CFLscw-16w </t>
    </r>
    <r>
      <rPr>
        <sz val="11"/>
        <color rgb="FFFF0000"/>
        <rFont val="Calibri"/>
        <family val="2"/>
        <scheme val="minor"/>
      </rPr>
      <t>med brightness 10,000 hrs twister non-dim</t>
    </r>
  </si>
  <si>
    <r>
      <t xml:space="preserve">Com, Com indoor non-refl CFL base case, Total Watts = 3.57 x Msr Watts ==&gt; CFLscw-17w </t>
    </r>
    <r>
      <rPr>
        <sz val="11"/>
        <color rgb="FFFF0000"/>
        <rFont val="Calibri"/>
        <family val="2"/>
        <scheme val="minor"/>
      </rPr>
      <t>med brightness 10,000 hrs twister non-dim</t>
    </r>
  </si>
  <si>
    <r>
      <t xml:space="preserve">Com, Com indoor non-refl CFL base case, Total Watts = 3.57 x Msr Watts ==&gt; CFLscw-18w </t>
    </r>
    <r>
      <rPr>
        <sz val="11"/>
        <color rgb="FFFF0000"/>
        <rFont val="Calibri"/>
        <family val="2"/>
        <scheme val="minor"/>
      </rPr>
      <t>high brightness 10,000 hrs twister non-dim</t>
    </r>
  </si>
  <si>
    <r>
      <t xml:space="preserve">Com, Com indoor non-refl CFL base case, Total Watts = 3.57 x Msr Watts ==&gt; CFLscw-19w </t>
    </r>
    <r>
      <rPr>
        <sz val="11"/>
        <color rgb="FFFF0000"/>
        <rFont val="Calibri"/>
        <family val="2"/>
        <scheme val="minor"/>
      </rPr>
      <t>high brightness 10,000 hrs twister non-dim</t>
    </r>
  </si>
  <si>
    <r>
      <t xml:space="preserve">Com, Com indoor non-refl CFL base case, Total Watts = 3.57 x Msr Watts ==&gt; CFLscw-20w </t>
    </r>
    <r>
      <rPr>
        <sz val="11"/>
        <color rgb="FFFF0000"/>
        <rFont val="Calibri"/>
        <family val="2"/>
        <scheme val="minor"/>
      </rPr>
      <t>high brightness 10,000 hrs twister non-dim</t>
    </r>
  </si>
  <si>
    <r>
      <t>Com, Com indoor non-refl CFL base case, Total Watts = 3.57 x Msr Watts ==&gt; CFLscw-21w</t>
    </r>
    <r>
      <rPr>
        <sz val="11"/>
        <color rgb="FFFF0000"/>
        <rFont val="Calibri"/>
        <family val="2"/>
        <scheme val="minor"/>
      </rPr>
      <t xml:space="preserve"> high brightness 10,000 hrs twister non-dim</t>
    </r>
  </si>
  <si>
    <r>
      <t xml:space="preserve">Com, Com indoor non-refl CFL base case, Total Watts = 3.57 x Msr Watts ==&gt; CFLscw-22w </t>
    </r>
    <r>
      <rPr>
        <sz val="11"/>
        <color rgb="FFFF0000"/>
        <rFont val="Calibri"/>
        <family val="2"/>
        <scheme val="minor"/>
      </rPr>
      <t>high brightness 10,000 hrs twister non-dim</t>
    </r>
  </si>
  <si>
    <r>
      <t>Com, Com indoor non-refl CFL base case, Total Watts = 3.57 x Msr Watts ==&gt; CFLscw-23w</t>
    </r>
    <r>
      <rPr>
        <sz val="11"/>
        <color rgb="FFFF0000"/>
        <rFont val="Calibri"/>
        <family val="2"/>
        <scheme val="minor"/>
      </rPr>
      <t xml:space="preserve"> high brightness 10,000 hrs twister non-dim</t>
    </r>
  </si>
  <si>
    <r>
      <t xml:space="preserve">Com, Com indoor non-refl CFL base case, Total Watts = 3.57 x Msr Watts ==&gt; CFLscw-24w </t>
    </r>
    <r>
      <rPr>
        <sz val="11"/>
        <color rgb="FFFF0000"/>
        <rFont val="Calibri"/>
        <family val="2"/>
        <scheme val="minor"/>
      </rPr>
      <t>high brightness 10,000 hrs twister non-dim</t>
    </r>
  </si>
  <si>
    <r>
      <t xml:space="preserve">Com, Com indoor non-refl CFL base case, Total Watts = 3.57 x Msr Watts ==&gt; CFLscw-25w </t>
    </r>
    <r>
      <rPr>
        <sz val="11"/>
        <color rgb="FFFF0000"/>
        <rFont val="Calibri"/>
        <family val="2"/>
        <scheme val="minor"/>
      </rPr>
      <t>high brightness 10,000 hrs twister non-dim</t>
    </r>
  </si>
  <si>
    <r>
      <t xml:space="preserve">Com, Com indoor non-refl CFL base case, Total Watts = 3.57 x Msr Watts ==&gt; CFLscw-26w </t>
    </r>
    <r>
      <rPr>
        <sz val="11"/>
        <color rgb="FFFF0000"/>
        <rFont val="Calibri"/>
        <family val="2"/>
        <scheme val="minor"/>
      </rPr>
      <t>high brightness 10,000 hrs twister non-dim</t>
    </r>
  </si>
  <si>
    <r>
      <t xml:space="preserve">Com, Com indoor non-refl CFL base case, Total Watts = 3.57 x Msr Watts ==&gt; CFLscw-27w </t>
    </r>
    <r>
      <rPr>
        <sz val="11"/>
        <color rgb="FFFF0000"/>
        <rFont val="Calibri"/>
        <family val="2"/>
        <scheme val="minor"/>
      </rPr>
      <t>high brightness 10,000 hrs twister non-dim</t>
    </r>
  </si>
  <si>
    <r>
      <t xml:space="preserve">Com, Com indoor non-refl CFL base case, Total Watts = 3.57 x Msr Watts ==&gt; CFLscw-28w </t>
    </r>
    <r>
      <rPr>
        <sz val="11"/>
        <color rgb="FFFF0000"/>
        <rFont val="Calibri"/>
        <family val="2"/>
        <scheme val="minor"/>
      </rPr>
      <t>high brightness 10,000 hrs twister non-dim</t>
    </r>
  </si>
  <si>
    <r>
      <t xml:space="preserve">Com, Com indoor non-refl CFL base case, Total Watts = 3.57 x Msr Watts ==&gt; CFLscw-29w </t>
    </r>
    <r>
      <rPr>
        <sz val="11"/>
        <color rgb="FFFF0000"/>
        <rFont val="Calibri"/>
        <family val="2"/>
        <scheme val="minor"/>
      </rPr>
      <t>high brightness 10,000 hrs twister non-dim</t>
    </r>
  </si>
  <si>
    <r>
      <t xml:space="preserve">Com, Com indoor non-refl CFL base case, Total Watts = 3.57 x Msr Watts ==&gt; CFLscw-30w </t>
    </r>
    <r>
      <rPr>
        <sz val="11"/>
        <color rgb="FFFF0000"/>
        <rFont val="Calibri"/>
        <family val="2"/>
        <scheme val="minor"/>
      </rPr>
      <t>high brightness 10,000 hrs twister non-dim</t>
    </r>
  </si>
  <si>
    <r>
      <t xml:space="preserve">Com, Com indoor non-refl CFL base case, Total Watts = 3.57 x Msr Watts ==&gt; CFLscw-31w </t>
    </r>
    <r>
      <rPr>
        <sz val="11"/>
        <color rgb="FFFF0000"/>
        <rFont val="Calibri"/>
        <family val="2"/>
        <scheme val="minor"/>
      </rPr>
      <t>very high brightness 10,000 hrs twister non-dim</t>
    </r>
  </si>
  <si>
    <r>
      <t xml:space="preserve">Com, Com indoor non-refl CFL base case, Total Watts = 3.57 x Msr Watts ==&gt; CFLscw-32w </t>
    </r>
    <r>
      <rPr>
        <sz val="11"/>
        <color rgb="FFFF0000"/>
        <rFont val="Calibri"/>
        <family val="2"/>
        <scheme val="minor"/>
      </rPr>
      <t>very high brightness 10,000 hrs twister non-dim</t>
    </r>
  </si>
  <si>
    <r>
      <t xml:space="preserve">Com, Com indoor non-refl CFL base case, Total Watts = 3.57 x Msr Watts ==&gt; CFLscw-40w </t>
    </r>
    <r>
      <rPr>
        <sz val="11"/>
        <color rgb="FFFF0000"/>
        <rFont val="Calibri"/>
        <family val="2"/>
        <scheme val="minor"/>
      </rPr>
      <t>very high brightness 10,000 hrs twister non-dim</t>
    </r>
  </si>
  <si>
    <r>
      <t xml:space="preserve">Com, Com indoor non-refl CFL base case, Total Watts = 3.57 x Msr Watts ==&gt; CFLscw-42w </t>
    </r>
    <r>
      <rPr>
        <sz val="11"/>
        <color rgb="FFFF0000"/>
        <rFont val="Calibri"/>
        <family val="2"/>
        <scheme val="minor"/>
      </rPr>
      <t>very high brightness 10,000 hrs twister non-dim</t>
    </r>
  </si>
  <si>
    <t>217 - 224, 2210 - 2217</t>
  </si>
  <si>
    <t>Res/Com</t>
  </si>
  <si>
    <r>
      <t xml:space="preserve">Com, Com indoor non-refl CFL base case, Total Watts = 3.57 x Msr Watts ==&gt; CFLscw-100w </t>
    </r>
    <r>
      <rPr>
        <sz val="11"/>
        <color rgb="FFFF0000"/>
        <rFont val="Calibri"/>
        <family val="2"/>
        <scheme val="minor"/>
      </rPr>
      <t>out of sample</t>
    </r>
  </si>
  <si>
    <t>234, 236, 237, 202, 203, 2194 - 2198</t>
  </si>
  <si>
    <r>
      <t xml:space="preserve">Com, Com indoor non-refl CFL base case, Total Watts = 3.57 x Msr Watts ==&gt; CFLscw-55w </t>
    </r>
    <r>
      <rPr>
        <sz val="11"/>
        <color rgb="FFFF0000"/>
        <rFont val="Calibri"/>
        <family val="2"/>
        <scheme val="minor"/>
      </rPr>
      <t>very high brightness 10,000 hrs twister non-dim</t>
    </r>
  </si>
  <si>
    <r>
      <t xml:space="preserve">Com, Com indoor non-refl CFL base case, Total Watts = 3.57 x Msr Watts ==&gt; CFLscw-60w </t>
    </r>
    <r>
      <rPr>
        <sz val="11"/>
        <color rgb="FFFF0000"/>
        <rFont val="Calibri"/>
        <family val="2"/>
        <scheme val="minor"/>
      </rPr>
      <t>very high brightness 10,000 hrs twister non-dim</t>
    </r>
  </si>
  <si>
    <r>
      <t xml:space="preserve">Com, Com indoor non-refl CFL base case, Total Watts = 3.57 x Msr Watts ==&gt; CFLscw-80w </t>
    </r>
    <r>
      <rPr>
        <sz val="11"/>
        <color rgb="FFFF0000"/>
        <rFont val="Calibri"/>
        <family val="2"/>
        <scheme val="minor"/>
      </rPr>
      <t>out of sample</t>
    </r>
  </si>
  <si>
    <r>
      <t xml:space="preserve">Com, Com indoor non-refl CFL base case, Total Watts = 3.57 x Msr Watts ==&gt; CFLscw-200w </t>
    </r>
    <r>
      <rPr>
        <sz val="11"/>
        <color rgb="FFFF0000"/>
        <rFont val="Calibri"/>
        <family val="2"/>
        <scheme val="minor"/>
      </rPr>
      <t>out of sample</t>
    </r>
  </si>
  <si>
    <r>
      <t xml:space="preserve">Com, Com indoor non-refl CFL base case, Total Watts = 3.57 x Msr Watts ==&gt; CFLscw-150w </t>
    </r>
    <r>
      <rPr>
        <sz val="11"/>
        <color rgb="FFFF0000"/>
        <rFont val="Calibri"/>
        <family val="2"/>
        <scheme val="minor"/>
      </rPr>
      <t>out of sample</t>
    </r>
  </si>
  <si>
    <t>204, 205, 2199, 2200</t>
  </si>
  <si>
    <t>206, 208, 2201, 2202</t>
  </si>
  <si>
    <t>209, 210, 2203, 2204</t>
  </si>
  <si>
    <t>211, 212, 214, 215, 216, 2205 - 2209</t>
  </si>
  <si>
    <t>225, 226, 228, 2218 - 2221</t>
  </si>
  <si>
    <t>227, 229, 231, 233, 2190 - 2193</t>
  </si>
  <si>
    <t>230, 232, 2222, 2223</t>
  </si>
  <si>
    <t>235, 2224</t>
  </si>
  <si>
    <t>213, 2227</t>
  </si>
  <si>
    <t>207, 2226</t>
  </si>
  <si>
    <r>
      <t xml:space="preserve">MF Large Gas Instantaneous Water Heater, Et = 0.85, Stdby Loss = 0.23%/hr gt300kBtuh </t>
    </r>
    <r>
      <rPr>
        <sz val="11"/>
        <color rgb="FFFF0000"/>
        <rFont val="Calibri"/>
        <family val="2"/>
        <scheme val="minor"/>
      </rPr>
      <t>assumed 350 MBH out of sample</t>
    </r>
  </si>
  <si>
    <r>
      <t xml:space="preserve">Medium Gas Instantaneous Water Heater, Et = 0.80, Stdby Loss = 0.05%/hr 76to200kBtuh </t>
    </r>
    <r>
      <rPr>
        <sz val="11"/>
        <color rgb="FFFF0000"/>
        <rFont val="Calibri"/>
        <family val="2"/>
        <scheme val="minor"/>
      </rPr>
      <t xml:space="preserve"> assumed 175 MBH</t>
    </r>
  </si>
  <si>
    <r>
      <t xml:space="preserve">Medium Gas Instantaneous Water Heater, Et = 0.85, Stdby Loss = 0.05%/hr 76to200kBtuh  </t>
    </r>
    <r>
      <rPr>
        <sz val="11"/>
        <color rgb="FFFF0000"/>
        <rFont val="Calibri"/>
        <family val="2"/>
        <scheme val="minor"/>
      </rPr>
      <t>assumed 175 MBH</t>
    </r>
  </si>
  <si>
    <r>
      <t xml:space="preserve">Medium Gas Instantaneous Water Heater, Et = 0.90, Stdby Loss = 0.05%/hr 76to200kBtuh  </t>
    </r>
    <r>
      <rPr>
        <sz val="11"/>
        <color rgb="FFFF0000"/>
        <rFont val="Calibri"/>
        <family val="2"/>
        <scheme val="minor"/>
      </rPr>
      <t>assumed 175 MBH</t>
    </r>
  </si>
  <si>
    <t>Example</t>
  </si>
  <si>
    <t>High Efficiency Medium Gas Instantaneous Water heater , 0.9 EF, 120 mbtu/hr</t>
  </si>
  <si>
    <t>Install photocell labor hours, rate, misc - single sensor, no control, existing timeclock</t>
  </si>
  <si>
    <t>Install photocell labor hours, rate, misc - multi sensor with controller, existing timeclock</t>
  </si>
  <si>
    <t>T8 to T5 2-lamp, ladder accessible</t>
  </si>
  <si>
    <t>T8 to T5 2-lamp, lift accessible</t>
  </si>
  <si>
    <t>T8 to T5 2-lamp, ladder accessible labor hours</t>
  </si>
  <si>
    <t>T8 to T5 2-lamp, lift accessible labor hours</t>
  </si>
  <si>
    <t>65, 68, 70, 71, 72</t>
  </si>
  <si>
    <t>74, 75, 76</t>
  </si>
  <si>
    <t>127, 130</t>
  </si>
  <si>
    <r>
      <t xml:space="preserve">T24 minimum: 13 SEER(11.09 EER) Split System Air Conditioner </t>
    </r>
    <r>
      <rPr>
        <sz val="11"/>
        <color rgb="FFFF0000"/>
        <rFont val="Calibri"/>
        <family val="2"/>
        <scheme val="minor"/>
      </rPr>
      <t>assumed 36,000 BtuH</t>
    </r>
  </si>
  <si>
    <t>29 - 40</t>
  </si>
  <si>
    <t>201, 2225</t>
  </si>
  <si>
    <t>Assumed Incandescent A-lamp 175 W 1500 hrs very high brightness (out of sample)</t>
  </si>
  <si>
    <t>Assumed Incandescent A-lamp 250 W 1500 hrs very high brightness (out of sample)</t>
  </si>
  <si>
    <r>
      <t>Indirect Evaporative Cooler</t>
    </r>
    <r>
      <rPr>
        <sz val="11"/>
        <color rgb="FFFF0000"/>
        <rFont val="Calibri"/>
        <family val="2"/>
        <scheme val="minor"/>
      </rPr>
      <t xml:space="preserve"> assumed 3,510 cfm, no gas heat</t>
    </r>
  </si>
  <si>
    <t>y = 0.845(tons) + 27.129</t>
  </si>
  <si>
    <t>hrs/ton</t>
  </si>
  <si>
    <t>hrs</t>
  </si>
  <si>
    <t>contractor survey</t>
  </si>
  <si>
    <t>artificial bids</t>
  </si>
  <si>
    <t>112 - 114</t>
  </si>
  <si>
    <r>
      <t xml:space="preserve">MFm Central Storage Water heater, Et =83%, 80 Gallons </t>
    </r>
    <r>
      <rPr>
        <sz val="11"/>
        <color rgb="FFFF0000"/>
        <rFont val="Calibri"/>
        <family val="2"/>
        <scheme val="minor"/>
      </rPr>
      <t xml:space="preserve"> assumed 175 MBH</t>
    </r>
  </si>
  <si>
    <t>23 - 27, 9009, 9105 - 9113</t>
  </si>
  <si>
    <t>Total Costs</t>
  </si>
  <si>
    <t>Misc. Costs</t>
  </si>
  <si>
    <t>Misc. Costs Per Unit</t>
  </si>
  <si>
    <t>Misc. Fixed Costs per Project</t>
  </si>
  <si>
    <t>Equipment Cost</t>
  </si>
  <si>
    <t>Equipment Cost per unit</t>
  </si>
  <si>
    <t>Labor Cost per Unit</t>
  </si>
  <si>
    <t>lamp + ballast</t>
  </si>
  <si>
    <t>Measure Information</t>
  </si>
  <si>
    <t>Rob</t>
  </si>
  <si>
    <t>AddOn</t>
  </si>
  <si>
    <t>Duct Mounted unit single zone</t>
  </si>
  <si>
    <t>Duct Mounted unit with Digital Display and VOC Sensor single zone</t>
  </si>
  <si>
    <t>Duct Mounted unit with Humidity Sensor single zone</t>
  </si>
  <si>
    <t>Duct Mounted unit with Temperature Sensor single zone</t>
  </si>
  <si>
    <t>Wall Mounted unit single zone</t>
  </si>
  <si>
    <t>Wall Mounted unit with Digital Display single zone</t>
  </si>
  <si>
    <t>Wall Mounted unit with Humidity Sensor single zone</t>
  </si>
  <si>
    <t>Wall Mounted unit with Temperature Sensor single zone</t>
  </si>
  <si>
    <t>Wall Mounted unit with Temperature Sensor and Digital Display single zone</t>
  </si>
  <si>
    <t>Wall Mounted unit with Temperature Sensor and Humidity Sensor single zone</t>
  </si>
  <si>
    <t>Wall Mounted unit with Temperature Sensor, Digital Display, and Humidity Sensor single zone</t>
  </si>
  <si>
    <t>Basline</t>
  </si>
  <si>
    <t>No DCV</t>
  </si>
  <si>
    <t>Example Measures</t>
  </si>
  <si>
    <t>CFL Globe (10 watts)</t>
  </si>
  <si>
    <t>CFL Globe (15 watts)</t>
  </si>
  <si>
    <t>Example Measure</t>
  </si>
  <si>
    <t>ErRobNC</t>
  </si>
  <si>
    <t>Measure Type</t>
  </si>
  <si>
    <r>
      <t xml:space="preserve">T5, 48 inch, 6-lamp, 54 watt, program start ballast </t>
    </r>
    <r>
      <rPr>
        <sz val="11"/>
        <color rgb="FFFF0000"/>
        <rFont val="Calibri"/>
        <family val="2"/>
        <scheme val="minor"/>
      </rPr>
      <t xml:space="preserve">assumed 95 lm/w cri 85 </t>
    </r>
  </si>
  <si>
    <r>
      <t xml:space="preserve">T5, 48 inch, 6-lamp, 54 watt, program start ballast </t>
    </r>
    <r>
      <rPr>
        <sz val="11"/>
        <color rgb="FFFF0000"/>
        <rFont val="Calibri"/>
        <family val="2"/>
        <scheme val="minor"/>
      </rPr>
      <t>assumed 93 lm/w cri 85</t>
    </r>
    <r>
      <rPr>
        <sz val="11"/>
        <color theme="1"/>
        <rFont val="Calibri"/>
        <family val="2"/>
        <scheme val="minor"/>
      </rPr>
      <t xml:space="preserve"> </t>
    </r>
  </si>
  <si>
    <r>
      <t xml:space="preserve">T8, 96 inch, 4-lamp, 59 watt, instant start ballast </t>
    </r>
    <r>
      <rPr>
        <sz val="11"/>
        <color rgb="FFFF0000"/>
        <rFont val="Calibri"/>
        <family val="2"/>
        <scheme val="minor"/>
      </rPr>
      <t>assumed 97 lm/w cri 85, 36,000 hr</t>
    </r>
  </si>
  <si>
    <r>
      <t xml:space="preserve">T8, 36 inch, 2-lamp, 25 watt, instant start ballast, </t>
    </r>
    <r>
      <rPr>
        <sz val="11"/>
        <color rgb="FFFF0000"/>
        <rFont val="Calibri"/>
        <family val="2"/>
        <scheme val="minor"/>
      </rPr>
      <t>recessed troffer w/cover  25 watt, 2175 lumens, 87 lumens per watt, CRI 85 ladder accessible</t>
    </r>
  </si>
  <si>
    <r>
      <t xml:space="preserve">T8, 36 inch, 2-lamp, 21 watt, instant start ballast, </t>
    </r>
    <r>
      <rPr>
        <sz val="11"/>
        <color rgb="FFFF0000"/>
        <rFont val="Calibri"/>
        <family val="2"/>
        <scheme val="minor"/>
      </rPr>
      <t>recessed troffer w/cover 2100 lumens, 100 lumens per watt, CRI 85 ladder accessible</t>
    </r>
  </si>
  <si>
    <r>
      <t xml:space="preserve">T8, 96 inch, 2-lamp, 59 watt, instant start ballast, recessed troffer no cover (lamps not included)  </t>
    </r>
    <r>
      <rPr>
        <sz val="11"/>
        <color rgb="FFFF0000"/>
        <rFont val="Calibri"/>
        <family val="2"/>
        <scheme val="minor"/>
      </rPr>
      <t>57000 lumens, 36000 hr rated life, 95 lumens per watt, CRI 85 ladder accessible</t>
    </r>
  </si>
  <si>
    <r>
      <t xml:space="preserve">T8, 96 inch, 2-lamp, 55 watt, program start ballast, recessed troffer no cover </t>
    </r>
    <r>
      <rPr>
        <sz val="11"/>
        <color rgb="FFFF0000"/>
        <rFont val="Calibri"/>
        <family val="2"/>
        <scheme val="minor"/>
      </rPr>
      <t>57000 lumens, 36000 hr rated life, 103 lumens per watt, CRI 85 ladder accessible</t>
    </r>
  </si>
  <si>
    <r>
      <t xml:space="preserve">T8, 48 inch, 2-lamp, 32 watt, instant start ballast, suspended low bay </t>
    </r>
    <r>
      <rPr>
        <sz val="11"/>
        <color rgb="FFFF0000"/>
        <rFont val="Calibri"/>
        <family val="2"/>
        <scheme val="minor"/>
      </rPr>
      <t>2850 lumens, 24000 hr rated life, 89 lumens per watt, CRI 85 ladder accessible</t>
    </r>
  </si>
  <si>
    <r>
      <t xml:space="preserve">T5, 48 inch, 2-lamp, 28 watt, program start ballast, suspended low bay (lamps not included)  </t>
    </r>
    <r>
      <rPr>
        <sz val="11"/>
        <color rgb="FFFF0000"/>
        <rFont val="Calibri"/>
        <family val="2"/>
        <scheme val="minor"/>
      </rPr>
      <t>2895 lumens, 24000 hr rated life, 103 lumens per watt, CRI 85 ladder accessible</t>
    </r>
  </si>
  <si>
    <r>
      <t xml:space="preserve">It is important to note that while the Itron team was able to collect enough price data to support hedonic price modeling for the majority of in-scope technologies, there remained a significant subset (roughly 30 deemed measures in total) for which it proved difficult, inappropriate, or unnecessary to estimate incremental cost using hedonic modeling. These cases included HVAC maintenance measures (e.g. refrigerant charging), commercial refrigeration measures, and food service measures, among others. In those cases, the Itron team used simple averaging (either on a matched pair basis or whole-sample basis) or built-up costs to develop incremental cost estimates. Those results are not presented here but rather in the analogous </t>
    </r>
    <r>
      <rPr>
        <i/>
        <sz val="12"/>
        <color theme="1"/>
        <rFont val="Calibri"/>
        <family val="2"/>
        <scheme val="minor"/>
      </rPr>
      <t>Volume II</t>
    </r>
    <r>
      <rPr>
        <sz val="12"/>
        <color theme="1"/>
        <rFont val="Calibri"/>
        <family val="2"/>
        <scheme val="minor"/>
      </rPr>
      <t xml:space="preserve"> document.</t>
    </r>
  </si>
  <si>
    <t>Ex Ante Measure Cost Study</t>
  </si>
  <si>
    <r>
      <t xml:space="preserve">Split AC SEER = 13.0 (&lt; 55 kBTUh), EER = 11.06, Clg EIR = 0.2557, Supply Fan W/cfm = 0.379; no Econo;  1-spd Fan </t>
    </r>
    <r>
      <rPr>
        <sz val="11"/>
        <color rgb="FFFF0000"/>
        <rFont val="Calibri"/>
        <family val="2"/>
        <scheme val="minor"/>
      </rPr>
      <t>assumed 24,000 BtuH - same as baseline</t>
    </r>
  </si>
  <si>
    <r>
      <t xml:space="preserve">Split AC SEER = 13.0 (&lt; 65 kBtuh), EER = 11.06, Clg EIR = 0.2557, Supply Fan W/cfm = 0.379 </t>
    </r>
    <r>
      <rPr>
        <sz val="11"/>
        <color rgb="FFFF0000"/>
        <rFont val="Calibri"/>
        <family val="2"/>
        <scheme val="minor"/>
      </rPr>
      <t>assumed 54,000 BtuH - same as baseline</t>
    </r>
  </si>
  <si>
    <r>
      <t xml:space="preserve">Split AC SEER = 13.0 (&lt; 65 kBtuh, 3ph), EER = 11.06, Clg EIR = 0.2557, Supply Fan W/cfm = 0.379 </t>
    </r>
    <r>
      <rPr>
        <sz val="11"/>
        <color rgb="FFFF0000"/>
        <rFont val="Calibri"/>
        <family val="2"/>
        <scheme val="minor"/>
      </rPr>
      <t>assumed 54,000 BtuH - same as baseline</t>
    </r>
  </si>
  <si>
    <r>
      <t xml:space="preserve">13 SEER (11.09 EER) Split System Air Conditioner </t>
    </r>
    <r>
      <rPr>
        <sz val="11"/>
        <color rgb="FFFF0000"/>
        <rFont val="Calibri"/>
        <family val="2"/>
        <scheme val="minor"/>
      </rPr>
      <t>assumed 48,000 - same as baseline</t>
    </r>
  </si>
  <si>
    <r>
      <t xml:space="preserve">Split AC SEER = 13.0 (55-64 kBTUh), EER = 11.06, Clg EIR = 0.2557, Supply Fan W/cfm = 0.379; no Econo;  2-spd Fan </t>
    </r>
    <r>
      <rPr>
        <sz val="11"/>
        <color rgb="FFFF0000"/>
        <rFont val="Calibri"/>
        <family val="2"/>
        <scheme val="minor"/>
      </rPr>
      <t>assumed 60,000 BtuH - same as baseline</t>
    </r>
  </si>
  <si>
    <r>
      <t xml:space="preserve">Split AC SEER = 14.0 (55-64 kBtuh), EER = 12.04, Clg EIR = 0.2456, Supply Fan W/cfm = 0.306; no Econo;  2-spd Fan  </t>
    </r>
    <r>
      <rPr>
        <sz val="11"/>
        <color rgb="FFFF0000"/>
        <rFont val="Calibri"/>
        <family val="2"/>
        <scheme val="minor"/>
      </rPr>
      <t>assumed 60,000Btuh</t>
    </r>
  </si>
  <si>
    <r>
      <t xml:space="preserve">Split AC SEER = 14.0 (55-64 kBTUh), EER = 12.04, Clg EIR = 0.2456, Supply Fan W/cfm = 0.306; no Econo;  2-spd Fan </t>
    </r>
    <r>
      <rPr>
        <sz val="11"/>
        <color rgb="FFFF0000"/>
        <rFont val="Calibri"/>
        <family val="2"/>
        <scheme val="minor"/>
      </rPr>
      <t>assumed 60,000Btuh - same as baseline</t>
    </r>
  </si>
  <si>
    <r>
      <t>Pkg AC EER = 9.50; w/ furnace; w/ econo</t>
    </r>
    <r>
      <rPr>
        <sz val="11"/>
        <color rgb="FFFF0000"/>
        <rFont val="Calibri"/>
        <family val="2"/>
        <scheme val="minor"/>
      </rPr>
      <t xml:space="preserve"> units with furnace out of sample</t>
    </r>
  </si>
  <si>
    <r>
      <t xml:space="preserve">Water cooled centrifugal chiller (0.634 kW/ton) </t>
    </r>
    <r>
      <rPr>
        <sz val="11"/>
        <color rgb="FFFF0000"/>
        <rFont val="Calibri"/>
        <family val="2"/>
        <scheme val="minor"/>
      </rPr>
      <t>assumed 100 ton - out of sample</t>
    </r>
  </si>
  <si>
    <r>
      <t xml:space="preserve">Water cooled VSD centrifugal chiller (&lt; 150 tons, 0.560 kW/ton), load control tower </t>
    </r>
    <r>
      <rPr>
        <sz val="11"/>
        <color rgb="FFFF0000"/>
        <rFont val="Calibri"/>
        <family val="2"/>
        <scheme val="minor"/>
      </rPr>
      <t>assumed 100 ton  - out of sample</t>
    </r>
  </si>
  <si>
    <r>
      <t xml:space="preserve">Water cooled centrifugal chiller (&lt; 150 tons, 0.700 kW/ton, 1 frictionless compressor(s) w/ VSD) </t>
    </r>
    <r>
      <rPr>
        <sz val="11"/>
        <color rgb="FFFF0000"/>
        <rFont val="Calibri"/>
        <family val="2"/>
        <scheme val="minor"/>
      </rPr>
      <t>assumed 100 ton  - out of sample</t>
    </r>
  </si>
  <si>
    <r>
      <t xml:space="preserve">Water cooled centrifugal chiller (&lt; 150 tons, 0.700 kW/ton, &gt;1 frictionless compressor(s) w/ VSD) </t>
    </r>
    <r>
      <rPr>
        <sz val="11"/>
        <color rgb="FFFF0000"/>
        <rFont val="Calibri"/>
        <family val="2"/>
        <scheme val="minor"/>
      </rPr>
      <t>assumed 100 ton  - out of sample</t>
    </r>
  </si>
  <si>
    <r>
      <t>Water cooled centrifugal chiller (0.634 kW/ton)</t>
    </r>
    <r>
      <rPr>
        <sz val="11"/>
        <color rgb="FFFF0000"/>
        <rFont val="Calibri"/>
        <family val="2"/>
        <scheme val="minor"/>
      </rPr>
      <t xml:space="preserve"> assumed 200 ton roof  - out of sample</t>
    </r>
  </si>
  <si>
    <r>
      <t xml:space="preserve">Water cooled VSD centrifugal chiller (150-299 tons, 0.507 kW/ton), load control tower </t>
    </r>
    <r>
      <rPr>
        <sz val="11"/>
        <color rgb="FFFF0000"/>
        <rFont val="Calibri"/>
        <family val="2"/>
        <scheme val="minor"/>
      </rPr>
      <t>assumed 200 ton roof  - out of sample</t>
    </r>
  </si>
  <si>
    <r>
      <t xml:space="preserve">Pkg HP EER = 10.5 (240-759 kBtuh), COP = 3.2 </t>
    </r>
    <r>
      <rPr>
        <sz val="11"/>
        <color rgb="FFFF0000"/>
        <rFont val="Calibri"/>
        <family val="2"/>
        <scheme val="minor"/>
      </rPr>
      <t xml:space="preserve"> - out of sample</t>
    </r>
  </si>
  <si>
    <r>
      <t xml:space="preserve">Pkg HP EER = 10.8 (240-759 kBtuh), COP = 3.2 </t>
    </r>
    <r>
      <rPr>
        <sz val="11"/>
        <color rgb="FFFF0000"/>
        <rFont val="Calibri"/>
        <family val="2"/>
        <scheme val="minor"/>
      </rPr>
      <t>- out of sample</t>
    </r>
  </si>
  <si>
    <r>
      <t xml:space="preserve">Pkg HP EER = 10.5 (240-759 kBTUh), COP = 3.2; w/Econo;  2-spd Fan </t>
    </r>
    <r>
      <rPr>
        <sz val="11"/>
        <color rgb="FFFF0000"/>
        <rFont val="Calibri"/>
        <family val="2"/>
        <scheme val="minor"/>
      </rPr>
      <t>- out of sample</t>
    </r>
  </si>
  <si>
    <r>
      <t xml:space="preserve">Pkg HP EER = 10.8 (240-759 kBTUh), COP = 3.2; w/Econo;  2-spd Fan </t>
    </r>
    <r>
      <rPr>
        <sz val="11"/>
        <color rgb="FFFF0000"/>
        <rFont val="Calibri"/>
        <family val="2"/>
        <scheme val="minor"/>
      </rPr>
      <t>- out of sample</t>
    </r>
  </si>
  <si>
    <r>
      <t xml:space="preserve">Pkg HP EER = 10.0 (&gt;= 760 kBtuh), COP = 3.2 </t>
    </r>
    <r>
      <rPr>
        <sz val="11"/>
        <color rgb="FFFF0000"/>
        <rFont val="Calibri"/>
        <family val="2"/>
        <scheme val="minor"/>
      </rPr>
      <t>- out of sample</t>
    </r>
  </si>
  <si>
    <r>
      <t xml:space="preserve">Pkg HP EER = 10.2 (&gt;= 760 kBtuh), COP = 3.2 </t>
    </r>
    <r>
      <rPr>
        <sz val="11"/>
        <color rgb="FFFF0000"/>
        <rFont val="Calibri"/>
        <family val="2"/>
        <scheme val="minor"/>
      </rPr>
      <t>- out of sample</t>
    </r>
  </si>
  <si>
    <r>
      <t xml:space="preserve">Pkg HP EER = 10.0 (&gt;= 760 kBTUh), COP = 3.2; w/Econo;  2-spd Fan </t>
    </r>
    <r>
      <rPr>
        <sz val="11"/>
        <color rgb="FFFF0000"/>
        <rFont val="Calibri"/>
        <family val="2"/>
        <scheme val="minor"/>
      </rPr>
      <t>- out of sample</t>
    </r>
  </si>
  <si>
    <r>
      <t>Pkg HP EER = 10.2 (&gt;= 760 kBTUh), COP = 3.2; w/Econo;  2-spd Fan</t>
    </r>
    <r>
      <rPr>
        <sz val="11"/>
        <color rgb="FFFF0000"/>
        <rFont val="Calibri"/>
        <family val="2"/>
        <scheme val="minor"/>
      </rPr>
      <t xml:space="preserve"> - out of sample</t>
    </r>
  </si>
  <si>
    <t>Lighting - MSB Lamps</t>
  </si>
  <si>
    <r>
      <t xml:space="preserve">LF lamp and ballast: LF lamp: T5, 46inch, 28W, 2895 lm, CRI=85, rated hours = 25000 (1); LF Ballast: Electronic, Programmed Start, High LO (1); Total Fixture Watts = 33 </t>
    </r>
    <r>
      <rPr>
        <sz val="11"/>
        <color rgb="FFFF0000"/>
        <rFont val="Calibri"/>
        <family val="2"/>
        <scheme val="minor"/>
      </rPr>
      <t>assumed cee/nema certified, 0.98 BF - same as baseline</t>
    </r>
  </si>
  <si>
    <r>
      <t xml:space="preserve">LF lamp and ballast: LF lamp: T5, 46inch, 28W, 2895 lm, CRI=85, rated hours = 25000 (2); LF Ballast: Electronic, Programmed Start, High LO (1); Total Fixture Watts = 64 </t>
    </r>
    <r>
      <rPr>
        <sz val="11"/>
        <color rgb="FFFF0000"/>
        <rFont val="Calibri"/>
        <family val="2"/>
        <scheme val="minor"/>
      </rPr>
      <t>assumed cee/nema certified, 0.98 BF - same as baseline</t>
    </r>
  </si>
  <si>
    <r>
      <t xml:space="preserve">LF lamp and ballast: LF lamp: T5, 46inch, 28W, 2895 lm, CRI=85, rated hours = 25000 (3); LF Ballast: Electronic, Programmed Start, High LO (2); Total Fixture Watts = 97 </t>
    </r>
    <r>
      <rPr>
        <sz val="11"/>
        <color rgb="FFFF0000"/>
        <rFont val="Calibri"/>
        <family val="2"/>
        <scheme val="minor"/>
      </rPr>
      <t>assumed cee/nema certified, 0.98 BF - same as baseline</t>
    </r>
  </si>
  <si>
    <r>
      <t xml:space="preserve">LF lamp and ballast: LF lamp: T5, 46inch, 28W, 2895 lm, CRI=85, rated hours = 25000 (3); LF Ballast: Electronic, Programmed Start, High LO (2); Total Fixture Watts = 97 </t>
    </r>
    <r>
      <rPr>
        <sz val="11"/>
        <color rgb="FFFF0000"/>
        <rFont val="Calibri"/>
        <family val="2"/>
        <scheme val="minor"/>
      </rPr>
      <t>assumed cee/nema certified, 0.98 BF  - same as baseline</t>
    </r>
  </si>
  <si>
    <r>
      <t xml:space="preserve">LF lamp and ballast: LF lamp: T5, 46inch, 54W, 5000 lm, CRI=85, rated hours = 25000 (1); LF Ballast: Electronic, Programmed Start, High LO (0.5); Total Fixture Watts = 59 </t>
    </r>
    <r>
      <rPr>
        <sz val="11"/>
        <color rgb="FFFF0000"/>
        <rFont val="Calibri"/>
        <family val="2"/>
        <scheme val="minor"/>
      </rPr>
      <t>assumed cee/nema certified, 0.98 BF  - same as baseline</t>
    </r>
  </si>
  <si>
    <r>
      <t xml:space="preserve">LF lamp and ballast: LF lamp: T5, 46inch, 54W, 5000 lm, CRI=85, rated hours = 25000 (1); LF Ballast: Electronic, Programmed Start, High LO (1); Total Fixture Watts = 62 </t>
    </r>
    <r>
      <rPr>
        <sz val="11"/>
        <color rgb="FFFF0000"/>
        <rFont val="Calibri"/>
        <family val="2"/>
        <scheme val="minor"/>
      </rPr>
      <t>assumed cee/nema certified, 0.98 BF  - same as baseline</t>
    </r>
  </si>
  <si>
    <r>
      <t xml:space="preserve">LF lamp and ballast: LF lamp: T5, 46inch, 54W, 5000 lm, CRI=85, rated hours = 25000 (2); LF Ballast: Electronic, Programmed Start, High LO (1); Total Fixture Watts = 117 </t>
    </r>
    <r>
      <rPr>
        <sz val="11"/>
        <color rgb="FFFF0000"/>
        <rFont val="Calibri"/>
        <family val="2"/>
        <scheme val="minor"/>
      </rPr>
      <t>assumed cee/nema certified, 0.98 BF  - same as baseline</t>
    </r>
  </si>
  <si>
    <r>
      <t>LF lamp and ballast: LF lamp: T5, 46inch, 54W, 5000 lm, CRI=85, rated hours = 25000 (6); LF Ballast: Electronic, Programmed Start, High LO (2); Total Fixture Watts = 351</t>
    </r>
    <r>
      <rPr>
        <sz val="11"/>
        <color rgb="FFFF0000"/>
        <rFont val="Calibri"/>
        <family val="2"/>
        <scheme val="minor"/>
      </rPr>
      <t xml:space="preserve"> assumed cee/nema certified, 0.98 BF  - same as baseline</t>
    </r>
  </si>
  <si>
    <r>
      <t xml:space="preserve">LF lamp and ballast: LF lamp: T5, 46inch, 54W, 5000 lm, CRI=85, rated hours = 25000 (4); LF Ballast: Electronic, Programmed Start, High LO (1); Total Fixture Watts = 234 </t>
    </r>
    <r>
      <rPr>
        <sz val="11"/>
        <color rgb="FFFF0000"/>
        <rFont val="Calibri"/>
        <family val="2"/>
        <scheme val="minor"/>
      </rPr>
      <t>assumed cee/nema certified, 0.98 BF  - same as baseline</t>
    </r>
  </si>
  <si>
    <r>
      <t xml:space="preserve">LF lamp and ballast: LF lamp: T5, 46inch, 54W, 5000 lm, CRI=85, rated hours = 25000 (6); LF Ballast: Electronic, Programmed Start, High LO (2); Total Fixture Watts = 351 </t>
    </r>
    <r>
      <rPr>
        <sz val="11"/>
        <color rgb="FFFF0000"/>
        <rFont val="Calibri"/>
        <family val="2"/>
        <scheme val="minor"/>
      </rPr>
      <t>assumed cee/nema certified, 0.98 BF  - same as baseline</t>
    </r>
  </si>
  <si>
    <t>Measure Source</t>
  </si>
  <si>
    <t>DEER Measures</t>
  </si>
  <si>
    <t>Table G-1:  Statewide RSMeans Cost Indices Weighted by 2010-2012 HVAC Measure Claims</t>
  </si>
  <si>
    <r>
      <t>Material</t>
    </r>
    <r>
      <rPr>
        <b/>
        <vertAlign val="superscript"/>
        <sz val="11"/>
        <rFont val="Times New Roman"/>
        <family val="1"/>
      </rPr>
      <t>1</t>
    </r>
  </si>
  <si>
    <r>
      <t>Installation</t>
    </r>
    <r>
      <rPr>
        <b/>
        <vertAlign val="superscript"/>
        <sz val="11"/>
        <rFont val="Times New Roman"/>
        <family val="1"/>
      </rPr>
      <t>1</t>
    </r>
  </si>
  <si>
    <r>
      <t>Weights</t>
    </r>
    <r>
      <rPr>
        <b/>
        <vertAlign val="superscript"/>
        <sz val="11"/>
        <rFont val="Times New Roman"/>
        <family val="1"/>
      </rPr>
      <t>2</t>
    </r>
  </si>
  <si>
    <t>Weighted Material</t>
  </si>
  <si>
    <t>Weighted Installation</t>
  </si>
  <si>
    <t>1 - Table 21, 22, 23 (Fire Suppression, Plumbing, &amp; HVAC) RSMeans MasterFormat City Cost Indexes, Year 2013 National Average Base</t>
  </si>
  <si>
    <t>2 - 2010-2012 Standard Program Tracking Data (all in-scope deemed HVAC claims)</t>
  </si>
  <si>
    <t>Table G-2:  Statewide RSMeans Cost Indices Weighted by 2010-2012 Lighting Measure Claims</t>
  </si>
  <si>
    <t>1 - Table 26, 27, 3370 (Electrical, Communications, &amp; Utilities) RSMeans MasterFormat City Cost Indexes, Year 2013 National Average Base</t>
  </si>
  <si>
    <t>2 - 2010-2012 Standard Program Tracking Data (all in-scope deemed nonresidential lighting claims)</t>
  </si>
  <si>
    <t>Table G-3:  Statewide RSMeans Cost Indices Weighted by 2010-2012 Buidling Shell Measure Claims</t>
  </si>
  <si>
    <t>1 - Table 07 (Thermal and Moisture Protection) RSMeans MasterFormat City Cost Indexes, Year 2013 National Average Base</t>
  </si>
  <si>
    <t>2 - 2010-2012 Standard Program Tracking Data (all in-scope deemed nonresidential building shell claims)</t>
  </si>
  <si>
    <t xml:space="preserve">High Efficiency Large Gas Storage Water Heater - 0.80 Et  100 gal capacity and 199,900 Btuh </t>
  </si>
  <si>
    <t>NREL</t>
  </si>
  <si>
    <t>Average of NREL study</t>
  </si>
  <si>
    <t>Non-Res Labor and non-equipment costs</t>
  </si>
  <si>
    <t>Non-Res Labor rate</t>
  </si>
  <si>
    <t>Non-Res Micellanous costs</t>
  </si>
  <si>
    <t>Res Labor and non-equipment costs</t>
  </si>
  <si>
    <t>DOE TSD &amp; bids</t>
  </si>
  <si>
    <t>unt</t>
  </si>
  <si>
    <r>
      <t xml:space="preserve">Split AC SEER = 12.0 (&lt; 65 kBtuh, 3ph), EER = 10.21, Clg EIR = 0.2761, Supply Fan W/cfm = 0.409 </t>
    </r>
    <r>
      <rPr>
        <sz val="11"/>
        <color rgb="FFFF0000"/>
        <rFont val="Calibri"/>
        <family val="2"/>
        <scheme val="minor"/>
      </rPr>
      <t>assumed 54,000 BtuH - less than baseline</t>
    </r>
  </si>
  <si>
    <t>Input Voltage &gt; 230</t>
  </si>
  <si>
    <t>Number of Speeds</t>
  </si>
  <si>
    <t>High Eff</t>
  </si>
  <si>
    <t>May 27, 2014</t>
  </si>
  <si>
    <r>
      <rPr>
        <b/>
        <sz val="16"/>
        <color theme="1"/>
        <rFont val="Calibri"/>
        <family val="2"/>
        <scheme val="minor"/>
      </rPr>
      <t xml:space="preserve">Version Notes
</t>
    </r>
    <r>
      <rPr>
        <sz val="11"/>
        <color theme="1"/>
        <rFont val="Calibri"/>
        <family val="2"/>
        <scheme val="minor"/>
      </rPr>
      <t xml:space="preserve">
</t>
    </r>
    <r>
      <rPr>
        <b/>
        <sz val="12"/>
        <color theme="1"/>
        <rFont val="Calibri"/>
        <family val="2"/>
        <scheme val="minor"/>
      </rPr>
      <t>7/29/13</t>
    </r>
    <r>
      <rPr>
        <sz val="12"/>
        <color theme="1"/>
        <rFont val="Calibri"/>
        <family val="2"/>
        <scheme val="minor"/>
      </rPr>
      <t xml:space="preserve"> </t>
    </r>
    <r>
      <rPr>
        <b/>
        <sz val="12"/>
        <color theme="1"/>
        <rFont val="Calibri"/>
        <family val="2"/>
        <scheme val="minor"/>
      </rPr>
      <t>V1.1</t>
    </r>
    <r>
      <rPr>
        <sz val="12"/>
        <color theme="1"/>
        <rFont val="Calibri"/>
        <family val="2"/>
        <scheme val="minor"/>
      </rPr>
      <t xml:space="preserve"> – This version contains the draft results for unit equipment prices only for the following measure groups: refrigerators, room AC, fan VFDs, batt insulation, demand-controlled ventilation, thermal curtains, small gas storage water heaters, tankless water heaters, whole house fans, heat pump water heaters, gas furnaces (residential), and direct evaporative coolers (nonres). 
</t>
    </r>
    <r>
      <rPr>
        <b/>
        <sz val="12"/>
        <color theme="1"/>
        <rFont val="Calibri"/>
        <family val="2"/>
        <scheme val="minor"/>
      </rPr>
      <t>8/1/2013 V1.2</t>
    </r>
    <r>
      <rPr>
        <sz val="12"/>
        <color theme="1"/>
        <rFont val="Calibri"/>
        <family val="2"/>
        <scheme val="minor"/>
      </rPr>
      <t xml:space="preserve"> – This version contains the draft results for unit equipment prices only for the following additional measure groups: small packaged DX, large packaged DX, air-cooled chillers, water-cooled chillers (excluding centrifugal VSD), reflective film, occupancy sensors, and linear fluorescent ballasts.
</t>
    </r>
    <r>
      <rPr>
        <b/>
        <sz val="12"/>
        <color theme="1"/>
        <rFont val="Calibri"/>
        <family val="2"/>
        <scheme val="minor"/>
      </rPr>
      <t>9/10/13 V1.3</t>
    </r>
    <r>
      <rPr>
        <sz val="12"/>
        <color theme="1"/>
        <rFont val="Calibri"/>
        <family val="2"/>
        <scheme val="minor"/>
      </rPr>
      <t xml:space="preserve"> – This version contains the draft results for unit equipment prices only for the following additional measure groups: steam boilers (non-process), small non-condensing SHW boilers, large non-condensing SHW boilers, condensing SHW boilers, indirect evaporative coolers (nonres), small packaged HPs, large packaged HPs, clothes washers, televisions (LED, CCFL, plasma), integral ballast CFL lamps, LED lamps, and incandescent lamps.
</t>
    </r>
    <r>
      <rPr>
        <b/>
        <sz val="12"/>
        <color theme="1"/>
        <rFont val="Calibri"/>
        <family val="2"/>
        <scheme val="minor"/>
      </rPr>
      <t>10/23/13 V1.4</t>
    </r>
    <r>
      <rPr>
        <sz val="12"/>
        <color theme="1"/>
        <rFont val="Calibri"/>
        <family val="2"/>
        <scheme val="minor"/>
      </rPr>
      <t xml:space="preserve"> – This version contains the draft results for unit equipment prices only for the following additional measure groups: centrifugal VSD chillers, waterside economizers, split system DX, split system HPs, HVAC fan motors (residential), electric storage water heaters, large gas storage water heaters, linear fluorescent T8 lamps, linear fluorescent T5 lamps, HID lamps, photocells, general service linear fluorescent fixtures, high bay linear fluorescent fixtures, and bi-level linear fluorescent fixtures with integrated occupancy sensors.
This version also contains uniform formatting, with results organized by end-use category and accessible via a clickable index page. Additional narratives are also embedded in column AC that give more detailed documentation on the specific modeling issues and decisions encountered during the analysis of residential lighting and television prices.
</t>
    </r>
    <r>
      <rPr>
        <b/>
        <sz val="12"/>
        <color theme="1"/>
        <rFont val="Calibri"/>
        <family val="2"/>
        <scheme val="minor"/>
      </rPr>
      <t>11/22/13 V1.5</t>
    </r>
    <r>
      <rPr>
        <sz val="12"/>
        <color theme="1"/>
        <rFont val="Calibri"/>
        <family val="2"/>
        <scheme val="minor"/>
      </rPr>
      <t xml:space="preserve"> – This version contains the draft results for installation-related labor and non-equipment costs for add-on measures, ER measures, and cross-technology ROB measures.
</t>
    </r>
    <r>
      <rPr>
        <b/>
        <sz val="12"/>
        <color theme="1"/>
        <rFont val="Calibri"/>
        <family val="2"/>
        <scheme val="minor"/>
      </rPr>
      <t>1/14/14 V1.6</t>
    </r>
    <r>
      <rPr>
        <sz val="12"/>
        <color theme="1"/>
        <rFont val="Calibri"/>
        <family val="2"/>
        <scheme val="minor"/>
      </rPr>
      <t xml:space="preserve"> – This version contains an additional tab that provides equipment and non-equipment installation costs for all in-scope measures according to the related measure definitions in READI v1.0.4. Note that in some cases, the measure definitions in READI do not include some key variables related to equipment size or performance. In these cases, the study team has augmented the READI measure definitions with additional explicit specifications (e.g. capacities, installation scenario) in order to allow prices and/or full installed costs to be estimated directly from the hedonic models developed for this study. These additional measure specifications are denoted in red text. 
</t>
    </r>
    <r>
      <rPr>
        <b/>
        <sz val="12"/>
        <color theme="1"/>
        <rFont val="Calibri"/>
        <family val="2"/>
        <scheme val="minor"/>
      </rPr>
      <t>5/27/14 V1.7</t>
    </r>
    <r>
      <rPr>
        <sz val="12"/>
        <color theme="1"/>
        <rFont val="Calibri"/>
        <family val="2"/>
        <scheme val="minor"/>
      </rPr>
      <t xml:space="preserve"> – This version contains a revised hedonic model for residential HVAC fan motors (expanded price sample) and revised installation labor cost estimates for residential HVAC fan motors (NREL, 2014) and residential split system DX and HP (USDOE, 2011).</t>
    </r>
  </si>
  <si>
    <t>Version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</si>
</sst>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0.0"/>
    <numFmt numFmtId="166" formatCode="0.0%"/>
    <numFmt numFmtId="167" formatCode="0.000"/>
    <numFmt numFmtId="168" formatCode="_(* #,##0.000_);_(* \(#,##0.000\);_(* &quot;-&quot;??_);_(@_)"/>
    <numFmt numFmtId="169" formatCode="0.0000"/>
    <numFmt numFmtId="170" formatCode="&quot;$&quot;#,##0"/>
    <numFmt numFmtId="171" formatCode="#,##0.000"/>
    <numFmt numFmtId="172" formatCode="#,##0.000_);\(#,##0.000\)"/>
    <numFmt numFmtId="173" formatCode="#,##0.0"/>
  </numFmts>
  <fonts count="73">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9"/>
      <color theme="1"/>
      <name val="Calibri"/>
      <family val="2"/>
      <scheme val="minor"/>
    </font>
    <font>
      <u/>
      <sz val="11"/>
      <color theme="10"/>
      <name val="Calibri"/>
      <family val="2"/>
      <scheme val="minor"/>
    </font>
    <font>
      <i/>
      <sz val="11"/>
      <color theme="1"/>
      <name val="Calibri"/>
      <family val="2"/>
      <scheme val="minor"/>
    </font>
    <font>
      <sz val="9"/>
      <color indexed="81"/>
      <name val="Tahoma"/>
      <family val="2"/>
    </font>
    <font>
      <b/>
      <sz val="9"/>
      <color indexed="81"/>
      <name val="Tahoma"/>
      <family val="2"/>
    </font>
    <font>
      <sz val="11"/>
      <name val="Calibri"/>
      <family val="2"/>
      <scheme val="minor"/>
    </font>
    <font>
      <sz val="11"/>
      <color rgb="FF00B050"/>
      <name val="Calibri"/>
      <family val="2"/>
      <scheme val="minor"/>
    </font>
    <font>
      <sz val="11"/>
      <color rgb="FF000000"/>
      <name val="Calibri"/>
      <family val="2"/>
      <scheme val="minor"/>
    </font>
    <font>
      <sz val="10"/>
      <name val="Arial, Albany AMT, Helvetica"/>
    </font>
    <font>
      <sz val="11"/>
      <color indexed="8"/>
      <name val="Calibri"/>
      <family val="2"/>
      <scheme val="minor"/>
    </font>
    <font>
      <sz val="10"/>
      <name val="MS Sans Serif"/>
      <family val="2"/>
    </font>
    <font>
      <b/>
      <sz val="14"/>
      <color theme="1"/>
      <name val="Calibri"/>
      <family val="2"/>
      <scheme val="minor"/>
    </font>
    <font>
      <b/>
      <sz val="18"/>
      <color theme="1"/>
      <name val="Calibri"/>
      <family val="2"/>
      <scheme val="minor"/>
    </font>
    <font>
      <b/>
      <sz val="14"/>
      <color theme="0"/>
      <name val="Calibri"/>
      <family val="2"/>
      <scheme val="minor"/>
    </font>
    <font>
      <b/>
      <sz val="18"/>
      <color theme="0"/>
      <name val="Calibri"/>
      <family val="2"/>
      <scheme val="minor"/>
    </font>
    <font>
      <u/>
      <sz val="11"/>
      <color theme="10"/>
      <name val="Calibri"/>
      <family val="2"/>
    </font>
    <font>
      <b/>
      <sz val="18"/>
      <color theme="1"/>
      <name val="Arial"/>
      <family val="2"/>
    </font>
    <font>
      <sz val="11"/>
      <color theme="1"/>
      <name val="Arial"/>
      <family val="2"/>
    </font>
    <font>
      <b/>
      <u/>
      <sz val="16"/>
      <color theme="10"/>
      <name val="Calibri"/>
      <family val="2"/>
    </font>
    <font>
      <sz val="11"/>
      <name val="Arial"/>
      <family val="2"/>
    </font>
    <font>
      <sz val="14"/>
      <color theme="1"/>
      <name val="Calibri"/>
      <family val="2"/>
      <scheme val="minor"/>
    </font>
    <font>
      <u/>
      <sz val="14"/>
      <color theme="10"/>
      <name val="Calibri"/>
      <family val="2"/>
      <scheme val="minor"/>
    </font>
    <font>
      <sz val="18"/>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1"/>
      <color indexed="12"/>
      <name val="Calibri"/>
      <family val="2"/>
    </font>
    <font>
      <b/>
      <sz val="16"/>
      <color theme="1"/>
      <name val="Calibri"/>
      <family val="2"/>
      <scheme val="minor"/>
    </font>
    <font>
      <b/>
      <sz val="12"/>
      <color theme="1"/>
      <name val="Calibri"/>
      <family val="2"/>
      <scheme val="minor"/>
    </font>
    <font>
      <sz val="12"/>
      <color theme="1"/>
      <name val="Calibri"/>
      <family val="2"/>
      <scheme val="minor"/>
    </font>
    <font>
      <sz val="12"/>
      <color theme="1"/>
      <name val="Calibri"/>
      <family val="2"/>
    </font>
    <font>
      <sz val="10.199999999999999"/>
      <color theme="1"/>
      <name val="Calibri"/>
      <family val="2"/>
    </font>
    <font>
      <sz val="11"/>
      <color theme="1"/>
      <name val="Calibri"/>
      <family val="2"/>
    </font>
    <font>
      <sz val="8"/>
      <name val="Arial"/>
      <family val="2"/>
    </font>
    <font>
      <b/>
      <sz val="11"/>
      <color rgb="FFFF0000"/>
      <name val="Calibri"/>
      <family val="2"/>
      <scheme val="minor"/>
    </font>
    <font>
      <i/>
      <sz val="12"/>
      <color theme="1"/>
      <name val="Calibri"/>
      <family val="2"/>
      <scheme val="minor"/>
    </font>
    <font>
      <b/>
      <sz val="11"/>
      <name val="Times New Roman"/>
      <family val="1"/>
    </font>
    <font>
      <b/>
      <vertAlign val="superscript"/>
      <sz val="11"/>
      <name val="Times New Roman"/>
      <family val="1"/>
    </font>
    <font>
      <sz val="9"/>
      <color theme="1"/>
      <name val="Times New Roman"/>
      <family val="1"/>
    </font>
    <font>
      <b/>
      <sz val="12"/>
      <color theme="1"/>
      <name val="Arial"/>
      <family val="2"/>
    </font>
  </fonts>
  <fills count="6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FFFFCC"/>
        <bgColor indexed="64"/>
      </patternFill>
    </fill>
    <fill>
      <patternFill patternType="solid">
        <fgColor theme="0"/>
        <bgColor indexed="64"/>
      </patternFill>
    </fill>
    <fill>
      <patternFill patternType="solid">
        <fgColor rgb="FFFFFFFF"/>
        <bgColor indexed="64"/>
      </patternFill>
    </fill>
    <fill>
      <patternFill patternType="solid">
        <fgColor theme="1" tint="0.499984740745262"/>
        <bgColor indexed="64"/>
      </patternFill>
    </fill>
    <fill>
      <patternFill patternType="solid">
        <fgColor indexed="65"/>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6795556505021"/>
        <bgColor indexed="64"/>
      </patternFill>
    </fill>
    <fill>
      <patternFill patternType="solid">
        <fgColor indexed="9"/>
        <bgColor indexed="64"/>
      </patternFill>
    </fill>
    <fill>
      <patternFill patternType="solid">
        <fgColor theme="0" tint="-0.499984740745262"/>
        <bgColor indexed="64"/>
      </patternFill>
    </fill>
  </fills>
  <borders count="16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rgb="FF4F493B"/>
      </right>
      <top/>
      <bottom style="thin">
        <color rgb="FF4F493B"/>
      </bottom>
      <diagonal/>
    </border>
    <border>
      <left/>
      <right style="thin">
        <color indexed="64"/>
      </right>
      <top/>
      <bottom/>
      <diagonal/>
    </border>
    <border>
      <left style="thin">
        <color indexed="64"/>
      </left>
      <right/>
      <top style="medium">
        <color indexed="64"/>
      </top>
      <bottom style="thin">
        <color indexed="64"/>
      </bottom>
      <diagonal/>
    </border>
    <border>
      <left/>
      <right/>
      <top/>
      <bottom style="thin">
        <color rgb="FF4F493B"/>
      </bottom>
      <diagonal/>
    </border>
    <border>
      <left/>
      <right style="thin">
        <color indexed="64"/>
      </right>
      <top style="medium">
        <color indexed="64"/>
      </top>
      <bottom style="thin">
        <color indexed="64"/>
      </bottom>
      <diagonal/>
    </border>
    <border>
      <left/>
      <right style="thin">
        <color rgb="FF4F493B"/>
      </right>
      <top/>
      <bottom/>
      <diagonal/>
    </border>
    <border>
      <left/>
      <right style="thin">
        <color indexed="64"/>
      </right>
      <top/>
      <bottom style="medium">
        <color indexed="64"/>
      </bottom>
      <diagonal/>
    </border>
    <border>
      <left/>
      <right style="thin">
        <color rgb="FF4F493B"/>
      </right>
      <top style="medium">
        <color indexed="64"/>
      </top>
      <bottom style="thin">
        <color rgb="FF4F493B"/>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style="thin">
        <color rgb="FF4F493B"/>
      </right>
      <top/>
      <bottom style="thin">
        <color rgb="FF4F493B"/>
      </bottom>
      <diagonal/>
    </border>
    <border>
      <left style="thin">
        <color indexed="64"/>
      </left>
      <right style="thin">
        <color rgb="FF4F493B"/>
      </right>
      <top/>
      <bottom style="medium">
        <color indexed="64"/>
      </bottom>
      <diagonal/>
    </border>
    <border>
      <left style="thin">
        <color indexed="64"/>
      </left>
      <right style="thin">
        <color indexed="64"/>
      </right>
      <top style="thin">
        <color indexed="64"/>
      </top>
      <bottom style="thin">
        <color rgb="FF4F493B"/>
      </bottom>
      <diagonal/>
    </border>
    <border>
      <left style="thin">
        <color indexed="64"/>
      </left>
      <right style="thin">
        <color rgb="FF4F493B"/>
      </right>
      <top style="thin">
        <color indexed="64"/>
      </top>
      <bottom style="thin">
        <color indexed="64"/>
      </bottom>
      <diagonal/>
    </border>
    <border>
      <left/>
      <right/>
      <top style="medium">
        <color indexed="64"/>
      </top>
      <bottom style="thin">
        <color rgb="FF4F493B"/>
      </bottom>
      <diagonal/>
    </border>
    <border>
      <left style="thin">
        <color indexed="64"/>
      </left>
      <right/>
      <top style="thin">
        <color indexed="64"/>
      </top>
      <bottom style="thin">
        <color rgb="FF4F493B"/>
      </bottom>
      <diagonal/>
    </border>
    <border>
      <left style="thin">
        <color indexed="64"/>
      </left>
      <right/>
      <top/>
      <bottom style="thin">
        <color rgb="FF4F493B"/>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4F493B"/>
      </left>
      <right style="thin">
        <color rgb="FF4F493B"/>
      </right>
      <top style="thin">
        <color indexed="64"/>
      </top>
      <bottom style="thin">
        <color rgb="FF4F493B"/>
      </bottom>
      <diagonal/>
    </border>
    <border>
      <left style="thin">
        <color rgb="FF4F493B"/>
      </left>
      <right style="thin">
        <color rgb="FF4F493B"/>
      </right>
      <top style="thin">
        <color rgb="FF4F493B"/>
      </top>
      <bottom style="thin">
        <color rgb="FF4F493B"/>
      </bottom>
      <diagonal/>
    </border>
    <border>
      <left style="thin">
        <color rgb="FF4F493B"/>
      </left>
      <right/>
      <top style="thin">
        <color rgb="FF4F493B"/>
      </top>
      <bottom/>
      <diagonal/>
    </border>
    <border>
      <left style="thin">
        <color rgb="FF4F493B"/>
      </left>
      <right/>
      <top/>
      <bottom/>
      <diagonal/>
    </border>
    <border>
      <left style="thin">
        <color rgb="FF4F493B"/>
      </left>
      <right/>
      <top/>
      <bottom style="medium">
        <color indexed="64"/>
      </bottom>
      <diagonal/>
    </border>
    <border>
      <left style="thin">
        <color indexed="64"/>
      </left>
      <right style="thin">
        <color rgb="FF4F493B"/>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auto="1"/>
      </left>
      <right/>
      <top/>
      <bottom/>
      <diagonal/>
    </border>
    <border>
      <left style="thick">
        <color auto="1"/>
      </left>
      <right/>
      <top/>
      <bottom style="medium">
        <color indexed="64"/>
      </bottom>
      <diagonal/>
    </border>
    <border>
      <left style="thin">
        <color indexed="64"/>
      </left>
      <right style="medium">
        <color indexed="64"/>
      </right>
      <top style="thin">
        <color indexed="64"/>
      </top>
      <bottom style="thin">
        <color indexed="64"/>
      </bottom>
      <diagonal/>
    </border>
    <border>
      <left/>
      <right/>
      <top/>
      <bottom style="medium">
        <color auto="1"/>
      </bottom>
      <diagonal/>
    </border>
    <border>
      <left/>
      <right style="medium">
        <color indexed="64"/>
      </right>
      <top/>
      <bottom style="medium">
        <color auto="1"/>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ck">
        <color auto="1"/>
      </right>
      <top style="thin">
        <color indexed="64"/>
      </top>
      <bottom/>
      <diagonal/>
    </border>
    <border>
      <left style="medium">
        <color indexed="64"/>
      </left>
      <right style="thick">
        <color auto="1"/>
      </right>
      <top/>
      <bottom style="thin">
        <color indexed="64"/>
      </bottom>
      <diagonal/>
    </border>
    <border>
      <left style="medium">
        <color indexed="64"/>
      </left>
      <right style="thick">
        <color auto="1"/>
      </right>
      <top/>
      <bottom/>
      <diagonal/>
    </border>
    <border>
      <left style="thin">
        <color rgb="FF4F493B"/>
      </left>
      <right style="thin">
        <color rgb="FF4F493B"/>
      </right>
      <top/>
      <bottom style="thin">
        <color rgb="FF4F493B"/>
      </bottom>
      <diagonal/>
    </border>
    <border>
      <left style="thin">
        <color indexed="64"/>
      </left>
      <right/>
      <top/>
      <bottom style="medium">
        <color indexed="64"/>
      </bottom>
      <diagonal/>
    </border>
    <border>
      <left style="medium">
        <color auto="1"/>
      </left>
      <right style="thick">
        <color auto="1"/>
      </right>
      <top style="medium">
        <color indexed="64"/>
      </top>
      <bottom/>
      <diagonal/>
    </border>
    <border>
      <left style="medium">
        <color auto="1"/>
      </left>
      <right style="thick">
        <color auto="1"/>
      </right>
      <top/>
      <bottom style="medium">
        <color indexed="64"/>
      </bottom>
      <diagonal/>
    </border>
    <border>
      <left style="medium">
        <color auto="1"/>
      </left>
      <right style="thick">
        <color auto="1"/>
      </right>
      <top style="medium">
        <color indexed="64"/>
      </top>
      <bottom style="medium">
        <color indexed="64"/>
      </bottom>
      <diagonal/>
    </border>
    <border>
      <left style="medium">
        <color auto="1"/>
      </left>
      <right style="thick">
        <color auto="1"/>
      </right>
      <top style="thin">
        <color indexed="64"/>
      </top>
      <bottom style="thin">
        <color indexed="64"/>
      </bottom>
      <diagonal/>
    </border>
    <border>
      <left style="medium">
        <color auto="1"/>
      </left>
      <right style="thick">
        <color auto="1"/>
      </right>
      <top style="thin">
        <color indexed="64"/>
      </top>
      <bottom style="medium">
        <color indexed="64"/>
      </bottom>
      <diagonal/>
    </border>
    <border>
      <left style="medium">
        <color auto="1"/>
      </left>
      <right style="thick">
        <color auto="1"/>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thin">
        <color indexed="64"/>
      </bottom>
      <diagonal/>
    </border>
    <border>
      <left style="thick">
        <color auto="1"/>
      </left>
      <right style="thin">
        <color indexed="64"/>
      </right>
      <top style="thin">
        <color indexed="64"/>
      </top>
      <bottom/>
      <diagonal/>
    </border>
    <border>
      <left style="thick">
        <color auto="1"/>
      </left>
      <right style="thin">
        <color indexed="64"/>
      </right>
      <top/>
      <bottom/>
      <diagonal/>
    </border>
    <border>
      <left style="thick">
        <color auto="1"/>
      </left>
      <right style="thin">
        <color indexed="64"/>
      </right>
      <top/>
      <bottom style="thin">
        <color indexed="64"/>
      </bottom>
      <diagonal/>
    </border>
    <border>
      <left style="medium">
        <color indexed="64"/>
      </left>
      <right/>
      <top style="thin">
        <color indexed="64"/>
      </top>
      <bottom style="medium">
        <color indexed="64"/>
      </bottom>
      <diagonal/>
    </border>
    <border>
      <left style="thick">
        <color auto="1"/>
      </left>
      <right/>
      <top style="thin">
        <color indexed="64"/>
      </top>
      <bottom style="medium">
        <color indexed="64"/>
      </bottom>
      <diagonal/>
    </border>
    <border>
      <left style="thick">
        <color auto="1"/>
      </left>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rgb="FF4F493B"/>
      </right>
      <top/>
      <bottom style="thin">
        <color rgb="FF4F493B"/>
      </bottom>
      <diagonal/>
    </border>
    <border>
      <left style="medium">
        <color indexed="64"/>
      </left>
      <right/>
      <top/>
      <bottom style="thin">
        <color rgb="FF4F493B"/>
      </bottom>
      <diagonal/>
    </border>
    <border>
      <left style="medium">
        <color indexed="64"/>
      </left>
      <right style="thin">
        <color rgb="FF000000"/>
      </right>
      <top style="thin">
        <color rgb="FF000000"/>
      </top>
      <bottom style="thin">
        <color rgb="FF000000"/>
      </bottom>
      <diagonal/>
    </border>
    <border>
      <left style="thin">
        <color indexed="64"/>
      </left>
      <right style="thin">
        <color rgb="FF4F493B"/>
      </right>
      <top/>
      <bottom/>
      <diagonal/>
    </border>
    <border>
      <left style="thin">
        <color auto="1"/>
      </left>
      <right style="thin">
        <color auto="1"/>
      </right>
      <top style="thin">
        <color auto="1"/>
      </top>
      <bottom style="thin">
        <color auto="1"/>
      </bottom>
      <diagonal/>
    </border>
    <border>
      <left style="thin">
        <color indexed="64"/>
      </left>
      <right style="thin">
        <color rgb="FF4F493B"/>
      </right>
      <top style="thin">
        <color indexed="64"/>
      </top>
      <bottom/>
      <diagonal/>
    </border>
    <border>
      <left style="medium">
        <color auto="1"/>
      </left>
      <right style="medium">
        <color auto="1"/>
      </right>
      <top style="thin">
        <color auto="1"/>
      </top>
      <bottom style="thin">
        <color auto="1"/>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top/>
      <bottom style="medium">
        <color indexed="30"/>
      </bottom>
      <diagonal/>
    </border>
    <border>
      <left/>
      <right/>
      <top/>
      <bottom style="medium">
        <color indexed="64"/>
      </bottom>
      <diagonal/>
    </border>
    <border>
      <left/>
      <right style="medium">
        <color indexed="64"/>
      </right>
      <top style="thin">
        <color indexed="64"/>
      </top>
      <bottom/>
      <diagonal/>
    </border>
    <border>
      <left/>
      <right/>
      <top style="thin">
        <color auto="1"/>
      </top>
      <bottom/>
      <diagonal/>
    </border>
    <border>
      <left style="thin">
        <color indexed="64"/>
      </left>
      <right style="medium">
        <color indexed="64"/>
      </right>
      <top/>
      <bottom/>
      <diagonal/>
    </border>
    <border>
      <left/>
      <right/>
      <top/>
      <bottom style="medium">
        <color indexed="30"/>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right style="thin">
        <color indexed="64"/>
      </right>
      <top style="thin">
        <color indexed="64"/>
      </top>
      <bottom style="thin">
        <color rgb="FF4F493B"/>
      </bottom>
      <diagonal/>
    </border>
    <border>
      <left/>
      <right style="thin">
        <color auto="1"/>
      </right>
      <top style="thin">
        <color auto="1"/>
      </top>
      <bottom/>
      <diagonal/>
    </border>
    <border>
      <left style="thin">
        <color auto="1"/>
      </left>
      <right style="thin">
        <color auto="1"/>
      </right>
      <top style="thin">
        <color auto="1"/>
      </top>
      <bottom/>
      <diagonal/>
    </border>
    <border>
      <left style="thick">
        <color auto="1"/>
      </left>
      <right style="thin">
        <color indexed="64"/>
      </right>
      <top/>
      <bottom style="medium">
        <color indexed="64"/>
      </bottom>
      <diagonal/>
    </border>
    <border>
      <left style="thin">
        <color indexed="64"/>
      </left>
      <right style="medium">
        <color auto="1"/>
      </right>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right/>
      <top/>
      <bottom style="medium">
        <color indexed="64"/>
      </bottom>
      <diagonal/>
    </border>
    <border>
      <left/>
      <right/>
      <top/>
      <bottom style="medium">
        <color indexed="30"/>
      </bottom>
      <diagonal/>
    </border>
  </borders>
  <cellStyleXfs count="202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9" fillId="34" borderId="4" applyAlignment="0">
      <protection locked="0"/>
    </xf>
    <xf numFmtId="0" fontId="19" fillId="34" borderId="4">
      <protection locked="0"/>
    </xf>
    <xf numFmtId="0" fontId="18"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20" fillId="0" borderId="0" applyNumberFormat="0" applyFill="0" applyBorder="0" applyAlignment="0" applyProtection="0"/>
    <xf numFmtId="0" fontId="1" fillId="0" borderId="0"/>
    <xf numFmtId="0" fontId="18"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9" fontId="29" fillId="0" borderId="0" applyFont="0" applyFill="0" applyBorder="0" applyAlignment="0" applyProtection="0"/>
    <xf numFmtId="0" fontId="20" fillId="0" borderId="0" applyNumberFormat="0" applyFill="0" applyBorder="0" applyAlignment="0" applyProtection="0"/>
    <xf numFmtId="0" fontId="34" fillId="0" borderId="0" applyNumberFormat="0" applyFill="0" applyBorder="0" applyAlignment="0" applyProtection="0">
      <alignment vertical="top"/>
      <protection locked="0"/>
    </xf>
    <xf numFmtId="0" fontId="42" fillId="43" borderId="0" applyNumberFormat="0" applyBorder="0" applyAlignment="0" applyProtection="0"/>
    <xf numFmtId="0" fontId="42" fillId="44" borderId="0" applyNumberFormat="0" applyBorder="0" applyAlignment="0" applyProtection="0"/>
    <xf numFmtId="0" fontId="42" fillId="45" borderId="0" applyNumberFormat="0" applyBorder="0" applyAlignment="0" applyProtection="0"/>
    <xf numFmtId="0" fontId="42" fillId="46" borderId="0" applyNumberFormat="0" applyBorder="0" applyAlignment="0" applyProtection="0"/>
    <xf numFmtId="0" fontId="42" fillId="47" borderId="0" applyNumberFormat="0" applyBorder="0" applyAlignment="0" applyProtection="0"/>
    <xf numFmtId="0" fontId="42" fillId="48" borderId="0" applyNumberFormat="0" applyBorder="0" applyAlignment="0" applyProtection="0"/>
    <xf numFmtId="0" fontId="42" fillId="49" borderId="0" applyNumberFormat="0" applyBorder="0" applyAlignment="0" applyProtection="0"/>
    <xf numFmtId="0" fontId="42" fillId="50" borderId="0" applyNumberFormat="0" applyBorder="0" applyAlignment="0" applyProtection="0"/>
    <xf numFmtId="0" fontId="42" fillId="51" borderId="0" applyNumberFormat="0" applyBorder="0" applyAlignment="0" applyProtection="0"/>
    <xf numFmtId="0" fontId="42" fillId="46" borderId="0" applyNumberFormat="0" applyBorder="0" applyAlignment="0" applyProtection="0"/>
    <xf numFmtId="0" fontId="42" fillId="49" borderId="0" applyNumberFormat="0" applyBorder="0" applyAlignment="0" applyProtection="0"/>
    <xf numFmtId="0" fontId="42" fillId="52" borderId="0" applyNumberFormat="0" applyBorder="0" applyAlignment="0" applyProtection="0"/>
    <xf numFmtId="0" fontId="43" fillId="53" borderId="0" applyNumberFormat="0" applyBorder="0" applyAlignment="0" applyProtection="0"/>
    <xf numFmtId="0" fontId="43" fillId="50" borderId="0" applyNumberFormat="0" applyBorder="0" applyAlignment="0" applyProtection="0"/>
    <xf numFmtId="0" fontId="43" fillId="51"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56" borderId="0" applyNumberFormat="0" applyBorder="0" applyAlignment="0" applyProtection="0"/>
    <xf numFmtId="0" fontId="43" fillId="57" borderId="0" applyNumberFormat="0" applyBorder="0" applyAlignment="0" applyProtection="0"/>
    <xf numFmtId="0" fontId="43" fillId="58" borderId="0" applyNumberFormat="0" applyBorder="0" applyAlignment="0" applyProtection="0"/>
    <xf numFmtId="0" fontId="43" fillId="59"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60" borderId="0" applyNumberFormat="0" applyBorder="0" applyAlignment="0" applyProtection="0"/>
    <xf numFmtId="0" fontId="44" fillId="44" borderId="0" applyNumberFormat="0" applyBorder="0" applyAlignment="0" applyProtection="0"/>
    <xf numFmtId="0" fontId="45" fillId="61" borderId="86" applyNumberFormat="0" applyAlignment="0" applyProtection="0"/>
    <xf numFmtId="0" fontId="46" fillId="62" borderId="87" applyNumberFormat="0" applyAlignment="0" applyProtection="0"/>
    <xf numFmtId="44" fontId="42" fillId="0" borderId="0" applyFont="0" applyFill="0" applyBorder="0" applyAlignment="0" applyProtection="0"/>
    <xf numFmtId="0" fontId="47" fillId="0" borderId="0" applyNumberFormat="0" applyFill="0" applyBorder="0" applyAlignment="0" applyProtection="0"/>
    <xf numFmtId="0" fontId="48" fillId="45" borderId="0" applyNumberFormat="0" applyBorder="0" applyAlignment="0" applyProtection="0"/>
    <xf numFmtId="0" fontId="49" fillId="0" borderId="88" applyNumberFormat="0" applyFill="0" applyAlignment="0" applyProtection="0"/>
    <xf numFmtId="0" fontId="50" fillId="0" borderId="89" applyNumberFormat="0" applyFill="0" applyAlignment="0" applyProtection="0"/>
    <xf numFmtId="0" fontId="51" fillId="0" borderId="90" applyNumberFormat="0" applyFill="0" applyAlignment="0" applyProtection="0"/>
    <xf numFmtId="0" fontId="51" fillId="0" borderId="0" applyNumberFormat="0" applyFill="0" applyBorder="0" applyAlignment="0" applyProtection="0"/>
    <xf numFmtId="0" fontId="59" fillId="0" borderId="0" applyNumberFormat="0" applyFill="0" applyBorder="0" applyAlignment="0" applyProtection="0">
      <alignment vertical="top"/>
      <protection locked="0"/>
    </xf>
    <xf numFmtId="0" fontId="52" fillId="48" borderId="86" applyNumberFormat="0" applyAlignment="0" applyProtection="0"/>
    <xf numFmtId="0" fontId="53" fillId="0" borderId="91" applyNumberFormat="0" applyFill="0" applyAlignment="0" applyProtection="0"/>
    <xf numFmtId="0" fontId="54" fillId="63"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64" borderId="92" applyNumberFormat="0" applyFont="0" applyAlignment="0" applyProtection="0"/>
    <xf numFmtId="0" fontId="55" fillId="61" borderId="93" applyNumberFormat="0" applyAlignment="0" applyProtection="0"/>
    <xf numFmtId="9" fontId="18" fillId="0" borderId="0" applyFont="0" applyFill="0" applyBorder="0" applyAlignment="0" applyProtection="0"/>
    <xf numFmtId="0" fontId="56" fillId="0" borderId="0" applyNumberFormat="0" applyFill="0" applyBorder="0" applyAlignment="0" applyProtection="0"/>
    <xf numFmtId="0" fontId="57" fillId="0" borderId="94" applyNumberFormat="0" applyFill="0" applyAlignment="0" applyProtection="0"/>
    <xf numFmtId="0" fontId="58" fillId="0" borderId="0" applyNumberFormat="0" applyFill="0" applyBorder="0" applyAlignment="0" applyProtection="0"/>
    <xf numFmtId="0" fontId="29" fillId="0" borderId="0"/>
    <xf numFmtId="0" fontId="51" fillId="0" borderId="138" applyNumberFormat="0" applyFill="0" applyAlignment="0" applyProtection="0"/>
    <xf numFmtId="0" fontId="51" fillId="0" borderId="143" applyNumberFormat="0" applyFill="0" applyAlignment="0" applyProtection="0"/>
    <xf numFmtId="0" fontId="45" fillId="61" borderId="155" applyNumberFormat="0" applyAlignment="0" applyProtection="0"/>
    <xf numFmtId="0" fontId="52" fillId="48" borderId="155" applyNumberFormat="0" applyAlignment="0" applyProtection="0"/>
    <xf numFmtId="0" fontId="18" fillId="64" borderId="156" applyNumberFormat="0" applyFont="0" applyAlignment="0" applyProtection="0"/>
    <xf numFmtId="0" fontId="55" fillId="61" borderId="157" applyNumberFormat="0" applyAlignment="0" applyProtection="0"/>
    <xf numFmtId="0" fontId="57" fillId="0" borderId="158" applyNumberFormat="0" applyFill="0" applyAlignment="0" applyProtection="0"/>
    <xf numFmtId="0" fontId="51" fillId="0" borderId="143" applyNumberFormat="0" applyFill="0" applyAlignment="0" applyProtection="0"/>
    <xf numFmtId="0" fontId="51" fillId="0" borderId="159" applyNumberFormat="0" applyFill="0" applyAlignment="0" applyProtection="0"/>
    <xf numFmtId="0" fontId="51" fillId="0" borderId="159" applyNumberFormat="0" applyFill="0" applyAlignment="0" applyProtection="0"/>
    <xf numFmtId="0" fontId="51" fillId="0" borderId="161" applyNumberFormat="0" applyFill="0" applyAlignment="0" applyProtection="0"/>
    <xf numFmtId="0" fontId="51" fillId="0" borderId="161" applyNumberFormat="0" applyFill="0" applyAlignment="0" applyProtection="0"/>
    <xf numFmtId="0" fontId="45" fillId="61" borderId="86" applyNumberFormat="0" applyAlignment="0" applyProtection="0"/>
    <xf numFmtId="0" fontId="52" fillId="48" borderId="86" applyNumberFormat="0" applyAlignment="0" applyProtection="0"/>
    <xf numFmtId="0" fontId="18" fillId="64" borderId="92" applyNumberFormat="0" applyFont="0" applyAlignment="0" applyProtection="0"/>
    <xf numFmtId="0" fontId="55" fillId="61" borderId="93" applyNumberFormat="0" applyAlignment="0" applyProtection="0"/>
    <xf numFmtId="0" fontId="57" fillId="0" borderId="94" applyNumberFormat="0" applyFill="0" applyAlignment="0" applyProtection="0"/>
    <xf numFmtId="0" fontId="51" fillId="0" borderId="161" applyNumberFormat="0" applyFill="0" applyAlignment="0" applyProtection="0"/>
    <xf numFmtId="0" fontId="51" fillId="0" borderId="143" applyNumberFormat="0" applyFill="0" applyAlignment="0" applyProtection="0"/>
    <xf numFmtId="0" fontId="51" fillId="0" borderId="143" applyNumberFormat="0" applyFill="0" applyAlignment="0" applyProtection="0"/>
  </cellStyleXfs>
  <cellXfs count="2541">
    <xf numFmtId="0" fontId="0" fillId="0" borderId="0" xfId="0"/>
    <xf numFmtId="0" fontId="0" fillId="0" borderId="21" xfId="0" applyBorder="1"/>
    <xf numFmtId="164" fontId="0" fillId="0" borderId="10" xfId="59" applyNumberFormat="1" applyFont="1" applyBorder="1" applyAlignment="1">
      <alignment horizontal="left" vertical="center"/>
    </xf>
    <xf numFmtId="164" fontId="0" fillId="0" borderId="11" xfId="59" applyNumberFormat="1" applyFont="1" applyBorder="1" applyAlignment="1">
      <alignment horizontal="left" vertical="center"/>
    </xf>
    <xf numFmtId="164" fontId="0" fillId="0" borderId="13" xfId="59" applyNumberFormat="1" applyFont="1" applyBorder="1" applyAlignment="1">
      <alignment horizontal="left" vertical="center"/>
    </xf>
    <xf numFmtId="164" fontId="0" fillId="0" borderId="16" xfId="59" applyNumberFormat="1" applyFont="1" applyBorder="1" applyAlignment="1">
      <alignment horizontal="left" vertical="center"/>
    </xf>
    <xf numFmtId="0" fontId="0" fillId="0" borderId="0" xfId="0" applyFont="1" applyAlignment="1"/>
    <xf numFmtId="0" fontId="0" fillId="0" borderId="0" xfId="0" applyFont="1" applyBorder="1" applyAlignment="1"/>
    <xf numFmtId="0" fontId="0" fillId="0" borderId="16" xfId="0" applyFont="1" applyBorder="1" applyAlignment="1">
      <alignment vertical="center"/>
    </xf>
    <xf numFmtId="0" fontId="0" fillId="0" borderId="13" xfId="0" applyFont="1" applyBorder="1" applyAlignment="1">
      <alignment horizontal="left" vertical="center"/>
    </xf>
    <xf numFmtId="0" fontId="0" fillId="33" borderId="16" xfId="0" applyFont="1" applyFill="1" applyBorder="1" applyAlignment="1">
      <alignment vertical="center"/>
    </xf>
    <xf numFmtId="0" fontId="0" fillId="0" borderId="21" xfId="0" applyFont="1" applyBorder="1" applyAlignment="1"/>
    <xf numFmtId="0" fontId="0" fillId="0" borderId="11" xfId="0" applyFont="1" applyBorder="1" applyAlignment="1">
      <alignment vertical="center"/>
    </xf>
    <xf numFmtId="0" fontId="0" fillId="33" borderId="11" xfId="0" applyFont="1" applyFill="1" applyBorder="1" applyAlignment="1">
      <alignment vertical="center"/>
    </xf>
    <xf numFmtId="0" fontId="0" fillId="33" borderId="10" xfId="0" applyFont="1" applyFill="1" applyBorder="1" applyAlignment="1">
      <alignment vertical="center"/>
    </xf>
    <xf numFmtId="0" fontId="0" fillId="0" borderId="11" xfId="0" applyFont="1" applyBorder="1" applyAlignment="1"/>
    <xf numFmtId="0" fontId="0" fillId="33" borderId="17" xfId="0" applyFont="1" applyFill="1" applyBorder="1" applyAlignment="1">
      <alignment vertical="center"/>
    </xf>
    <xf numFmtId="0" fontId="0" fillId="0" borderId="43" xfId="0" applyFont="1" applyBorder="1" applyAlignment="1">
      <alignment horizontal="left" vertical="center"/>
    </xf>
    <xf numFmtId="0" fontId="0" fillId="33" borderId="43" xfId="0" applyFont="1" applyFill="1" applyBorder="1" applyAlignment="1">
      <alignment horizontal="left" vertical="center"/>
    </xf>
    <xf numFmtId="0" fontId="0" fillId="0" borderId="23" xfId="0" applyFont="1" applyBorder="1" applyAlignment="1"/>
    <xf numFmtId="0" fontId="0" fillId="35" borderId="10" xfId="0" applyFont="1" applyFill="1" applyBorder="1" applyAlignment="1"/>
    <xf numFmtId="0" fontId="0" fillId="35" borderId="11" xfId="0" applyFont="1" applyFill="1" applyBorder="1" applyAlignment="1"/>
    <xf numFmtId="0" fontId="0" fillId="33" borderId="15" xfId="0" applyFont="1" applyFill="1" applyBorder="1" applyAlignment="1"/>
    <xf numFmtId="0" fontId="0" fillId="0" borderId="14" xfId="0" applyFont="1" applyBorder="1" applyAlignment="1"/>
    <xf numFmtId="0" fontId="0" fillId="33" borderId="12" xfId="0" applyFont="1" applyFill="1" applyBorder="1" applyAlignment="1"/>
    <xf numFmtId="0" fontId="0" fillId="0" borderId="23" xfId="0" applyFont="1" applyBorder="1" applyAlignment="1">
      <alignment horizontal="left"/>
    </xf>
    <xf numFmtId="0" fontId="0" fillId="33" borderId="0" xfId="0" applyFont="1" applyFill="1" applyBorder="1" applyAlignment="1"/>
    <xf numFmtId="0" fontId="0" fillId="33" borderId="44" xfId="0" applyFont="1" applyFill="1" applyBorder="1" applyAlignment="1"/>
    <xf numFmtId="0" fontId="0" fillId="33" borderId="16" xfId="0" applyFont="1" applyFill="1" applyBorder="1" applyAlignment="1"/>
    <xf numFmtId="0" fontId="0" fillId="33" borderId="34" xfId="0" applyFont="1" applyFill="1" applyBorder="1" applyAlignment="1"/>
    <xf numFmtId="0" fontId="0" fillId="0" borderId="11" xfId="0" applyFont="1" applyBorder="1" applyAlignment="1">
      <alignment vertical="center" wrapText="1"/>
    </xf>
    <xf numFmtId="0" fontId="0" fillId="0" borderId="10" xfId="0" applyFont="1" applyBorder="1" applyAlignment="1">
      <alignment horizontal="left" vertical="center" wrapText="1"/>
    </xf>
    <xf numFmtId="164" fontId="0" fillId="0" borderId="11" xfId="0" applyNumberFormat="1" applyFont="1" applyBorder="1" applyAlignment="1">
      <alignment horizontal="left" vertical="center" wrapText="1"/>
    </xf>
    <xf numFmtId="0" fontId="0" fillId="0" borderId="17" xfId="0" applyFont="1" applyBorder="1"/>
    <xf numFmtId="0" fontId="0" fillId="0" borderId="10" xfId="0" applyFont="1" applyBorder="1"/>
    <xf numFmtId="0" fontId="0" fillId="0" borderId="11" xfId="0" applyFont="1" applyBorder="1" applyAlignment="1">
      <alignment horizontal="left" vertical="center" wrapText="1"/>
    </xf>
    <xf numFmtId="0" fontId="0" fillId="0" borderId="23" xfId="0" applyFont="1" applyBorder="1"/>
    <xf numFmtId="0" fontId="0" fillId="33" borderId="0" xfId="0" applyFont="1" applyFill="1" applyBorder="1"/>
    <xf numFmtId="0" fontId="0" fillId="33" borderId="15" xfId="0" applyFont="1" applyFill="1" applyBorder="1" applyAlignment="1">
      <alignment vertical="center"/>
    </xf>
    <xf numFmtId="0" fontId="0" fillId="33" borderId="44" xfId="0" applyFont="1" applyFill="1" applyBorder="1" applyAlignment="1">
      <alignment horizontal="left"/>
    </xf>
    <xf numFmtId="0" fontId="0" fillId="33" borderId="44" xfId="0" applyFont="1" applyFill="1" applyBorder="1"/>
    <xf numFmtId="0" fontId="0" fillId="33" borderId="0" xfId="0" applyFont="1" applyFill="1" applyBorder="1" applyAlignment="1">
      <alignment horizontal="left"/>
    </xf>
    <xf numFmtId="0" fontId="0" fillId="33" borderId="34" xfId="0" applyFont="1" applyFill="1" applyBorder="1"/>
    <xf numFmtId="0" fontId="0" fillId="35" borderId="11" xfId="0" applyFont="1" applyFill="1" applyBorder="1" applyAlignment="1">
      <alignment horizontal="left" vertical="center"/>
    </xf>
    <xf numFmtId="164" fontId="0" fillId="0" borderId="11" xfId="0" applyNumberFormat="1" applyFont="1" applyBorder="1" applyAlignment="1">
      <alignment horizontal="right" vertical="center"/>
    </xf>
    <xf numFmtId="0" fontId="0" fillId="33" borderId="23" xfId="0" applyFont="1" applyFill="1" applyBorder="1" applyAlignment="1">
      <alignment vertical="center"/>
    </xf>
    <xf numFmtId="0" fontId="0" fillId="0" borderId="14" xfId="0" applyFont="1" applyBorder="1"/>
    <xf numFmtId="0" fontId="0" fillId="0" borderId="43" xfId="0" applyFont="1" applyBorder="1" applyAlignment="1">
      <alignment vertical="center"/>
    </xf>
    <xf numFmtId="0" fontId="0" fillId="33" borderId="18" xfId="0" applyFont="1" applyFill="1" applyBorder="1" applyAlignment="1">
      <alignment horizontal="left" vertical="center"/>
    </xf>
    <xf numFmtId="0" fontId="0" fillId="35" borderId="14" xfId="0" applyFont="1" applyFill="1" applyBorder="1" applyAlignment="1"/>
    <xf numFmtId="0" fontId="0" fillId="35" borderId="59" xfId="0" applyFont="1" applyFill="1" applyBorder="1" applyAlignment="1"/>
    <xf numFmtId="0" fontId="0" fillId="0" borderId="59" xfId="0" applyFont="1" applyBorder="1"/>
    <xf numFmtId="164" fontId="0" fillId="0" borderId="10" xfId="0" applyNumberFormat="1" applyFont="1" applyFill="1" applyBorder="1" applyAlignment="1"/>
    <xf numFmtId="164" fontId="0" fillId="33" borderId="0" xfId="0" applyNumberFormat="1" applyFont="1" applyFill="1" applyBorder="1" applyAlignment="1"/>
    <xf numFmtId="0" fontId="0" fillId="0" borderId="15" xfId="0" applyFont="1" applyBorder="1" applyAlignment="1">
      <alignment horizontal="left" vertical="center"/>
    </xf>
    <xf numFmtId="164" fontId="0" fillId="0" borderId="15" xfId="0" applyNumberFormat="1" applyFont="1" applyBorder="1" applyAlignment="1">
      <alignment horizontal="left" vertical="center" wrapText="1"/>
    </xf>
    <xf numFmtId="0" fontId="0" fillId="0" borderId="19" xfId="0" applyFont="1" applyBorder="1"/>
    <xf numFmtId="0" fontId="0" fillId="0" borderId="10" xfId="0" applyFont="1" applyFill="1" applyBorder="1" applyAlignment="1">
      <alignment horizontal="left" vertical="center" wrapText="1"/>
    </xf>
    <xf numFmtId="164" fontId="0" fillId="0" borderId="10" xfId="0" applyNumberFormat="1" applyFont="1" applyFill="1" applyBorder="1" applyAlignment="1">
      <alignment horizontal="left" vertical="center"/>
    </xf>
    <xf numFmtId="0" fontId="0" fillId="35" borderId="10" xfId="0" applyFont="1" applyFill="1" applyBorder="1" applyAlignment="1">
      <alignment horizontal="left" vertical="center" wrapText="1"/>
    </xf>
    <xf numFmtId="164" fontId="0" fillId="35" borderId="10" xfId="0" applyNumberFormat="1" applyFont="1" applyFill="1" applyBorder="1" applyAlignment="1">
      <alignment horizontal="left" vertical="center"/>
    </xf>
    <xf numFmtId="164" fontId="0" fillId="35" borderId="11" xfId="0" applyNumberFormat="1" applyFont="1" applyFill="1" applyBorder="1" applyAlignment="1">
      <alignment horizontal="left" vertical="center" wrapText="1"/>
    </xf>
    <xf numFmtId="0" fontId="0" fillId="0" borderId="10" xfId="0" applyFont="1" applyBorder="1" applyAlignment="1">
      <alignment vertical="center"/>
    </xf>
    <xf numFmtId="164" fontId="0" fillId="33" borderId="12" xfId="0" applyNumberFormat="1" applyFont="1" applyFill="1" applyBorder="1" applyAlignment="1"/>
    <xf numFmtId="164" fontId="0" fillId="33" borderId="15" xfId="0" applyNumberFormat="1" applyFont="1" applyFill="1" applyBorder="1" applyAlignment="1"/>
    <xf numFmtId="0" fontId="0" fillId="35" borderId="10" xfId="0" applyFont="1" applyFill="1" applyBorder="1" applyAlignment="1">
      <alignment horizontal="left" vertical="center"/>
    </xf>
    <xf numFmtId="0" fontId="0" fillId="0" borderId="13" xfId="0" applyFont="1" applyBorder="1"/>
    <xf numFmtId="164" fontId="0" fillId="33" borderId="44" xfId="0" applyNumberFormat="1" applyFont="1" applyFill="1" applyBorder="1" applyAlignment="1"/>
    <xf numFmtId="164" fontId="0" fillId="33" borderId="34" xfId="0" applyNumberFormat="1" applyFont="1" applyFill="1" applyBorder="1" applyAlignment="1"/>
    <xf numFmtId="164" fontId="0" fillId="33" borderId="16" xfId="0" applyNumberFormat="1" applyFont="1" applyFill="1" applyBorder="1" applyAlignment="1"/>
    <xf numFmtId="0" fontId="0" fillId="33" borderId="11" xfId="0" applyFont="1" applyFill="1" applyBorder="1" applyAlignment="1"/>
    <xf numFmtId="0" fontId="0" fillId="35" borderId="23" xfId="0" applyFont="1" applyFill="1" applyBorder="1" applyAlignment="1"/>
    <xf numFmtId="0" fontId="0" fillId="0" borderId="14" xfId="0" applyFont="1" applyBorder="1" applyAlignment="1">
      <alignment vertical="center"/>
    </xf>
    <xf numFmtId="0" fontId="0" fillId="33" borderId="51" xfId="0" applyFont="1" applyFill="1" applyBorder="1" applyAlignment="1">
      <alignment horizontal="center" vertical="center" wrapText="1"/>
    </xf>
    <xf numFmtId="0" fontId="0" fillId="0" borderId="10" xfId="0" applyFont="1" applyFill="1" applyBorder="1" applyAlignment="1">
      <alignment vertical="center"/>
    </xf>
    <xf numFmtId="0" fontId="0" fillId="33" borderId="42" xfId="0" applyFont="1" applyFill="1" applyBorder="1" applyAlignment="1"/>
    <xf numFmtId="0" fontId="0" fillId="0" borderId="0" xfId="0" applyFont="1" applyFill="1" applyAlignment="1"/>
    <xf numFmtId="0" fontId="0" fillId="0" borderId="35" xfId="0" applyFont="1" applyBorder="1" applyAlignment="1">
      <alignment horizontal="left"/>
    </xf>
    <xf numFmtId="0" fontId="0" fillId="33" borderId="10" xfId="0" applyFont="1" applyFill="1" applyBorder="1" applyAlignment="1"/>
    <xf numFmtId="0" fontId="0" fillId="0" borderId="35" xfId="0" applyFont="1" applyBorder="1"/>
    <xf numFmtId="0" fontId="0" fillId="0" borderId="23" xfId="0" applyFont="1" applyFill="1" applyBorder="1" applyAlignment="1"/>
    <xf numFmtId="0" fontId="0" fillId="33" borderId="42" xfId="0" applyFont="1" applyFill="1" applyBorder="1" applyAlignment="1">
      <alignment horizontal="left"/>
    </xf>
    <xf numFmtId="0" fontId="0" fillId="0" borderId="16" xfId="0" applyFont="1" applyBorder="1" applyAlignment="1">
      <alignment vertical="center" wrapText="1"/>
    </xf>
    <xf numFmtId="0" fontId="0" fillId="0" borderId="13" xfId="0" applyFont="1" applyBorder="1" applyAlignment="1">
      <alignment horizontal="left" vertical="center" wrapText="1"/>
    </xf>
    <xf numFmtId="164" fontId="0" fillId="0" borderId="16" xfId="0" applyNumberFormat="1" applyFont="1" applyBorder="1" applyAlignment="1">
      <alignment horizontal="left" vertical="center" wrapText="1"/>
    </xf>
    <xf numFmtId="165" fontId="24" fillId="36" borderId="60" xfId="0" applyNumberFormat="1" applyFont="1" applyFill="1" applyBorder="1" applyAlignment="1" applyProtection="1">
      <alignment horizontal="left" wrapText="1"/>
    </xf>
    <xf numFmtId="0" fontId="24" fillId="36" borderId="10" xfId="0" applyNumberFormat="1" applyFont="1" applyFill="1" applyBorder="1" applyAlignment="1" applyProtection="1">
      <alignment horizontal="left" wrapText="1"/>
    </xf>
    <xf numFmtId="2" fontId="24" fillId="36" borderId="10" xfId="0" quotePrefix="1" applyNumberFormat="1" applyFont="1" applyFill="1" applyBorder="1" applyAlignment="1" applyProtection="1">
      <alignment horizontal="left" wrapText="1"/>
    </xf>
    <xf numFmtId="0" fontId="24" fillId="36" borderId="60" xfId="0" applyNumberFormat="1" applyFont="1" applyFill="1" applyBorder="1" applyAlignment="1" applyProtection="1">
      <alignment horizontal="left" wrapText="1"/>
    </xf>
    <xf numFmtId="0" fontId="24" fillId="36" borderId="65" xfId="0" applyNumberFormat="1" applyFont="1" applyFill="1" applyBorder="1" applyAlignment="1" applyProtection="1">
      <alignment horizontal="left" wrapText="1"/>
    </xf>
    <xf numFmtId="2" fontId="24" fillId="36" borderId="11" xfId="0" quotePrefix="1" applyNumberFormat="1" applyFont="1" applyFill="1" applyBorder="1" applyAlignment="1" applyProtection="1">
      <alignment horizontal="left" wrapText="1"/>
    </xf>
    <xf numFmtId="2" fontId="0" fillId="35" borderId="11" xfId="57" applyNumberFormat="1" applyFont="1" applyFill="1" applyBorder="1" applyAlignment="1">
      <alignment horizontal="left" vertical="center"/>
    </xf>
    <xf numFmtId="2" fontId="0" fillId="33" borderId="11" xfId="0" applyNumberFormat="1" applyFont="1" applyFill="1" applyBorder="1" applyAlignment="1">
      <alignment horizontal="left" vertical="center"/>
    </xf>
    <xf numFmtId="0" fontId="0" fillId="35" borderId="15" xfId="0" applyFont="1" applyFill="1" applyBorder="1" applyAlignment="1"/>
    <xf numFmtId="2" fontId="0" fillId="35" borderId="10" xfId="57" applyNumberFormat="1" applyFont="1" applyFill="1" applyBorder="1" applyAlignment="1">
      <alignment horizontal="left" vertical="center"/>
    </xf>
    <xf numFmtId="0" fontId="0" fillId="0" borderId="10" xfId="0" applyFont="1" applyFill="1" applyBorder="1" applyAlignment="1">
      <alignment horizontal="left"/>
    </xf>
    <xf numFmtId="0" fontId="0" fillId="0" borderId="23" xfId="0" applyFont="1" applyFill="1" applyBorder="1" applyAlignment="1">
      <alignment horizontal="left"/>
    </xf>
    <xf numFmtId="0" fontId="0" fillId="33" borderId="34" xfId="0" applyFont="1" applyFill="1" applyBorder="1" applyAlignment="1">
      <alignment horizontal="left"/>
    </xf>
    <xf numFmtId="164" fontId="0" fillId="0" borderId="11" xfId="0" applyNumberFormat="1" applyFont="1" applyFill="1" applyBorder="1" applyAlignment="1">
      <alignment horizontal="left" vertical="center" wrapText="1"/>
    </xf>
    <xf numFmtId="164" fontId="0" fillId="0" borderId="11" xfId="0" applyNumberFormat="1" applyFont="1" applyFill="1" applyBorder="1" applyAlignment="1">
      <alignment horizontal="left" vertical="center"/>
    </xf>
    <xf numFmtId="0" fontId="0" fillId="0" borderId="15" xfId="0" quotePrefix="1" applyFont="1" applyBorder="1" applyAlignment="1"/>
    <xf numFmtId="0" fontId="0" fillId="33" borderId="17" xfId="0" applyFont="1" applyFill="1" applyBorder="1" applyAlignment="1"/>
    <xf numFmtId="0" fontId="0" fillId="33" borderId="41" xfId="0" applyFont="1" applyFill="1" applyBorder="1" applyAlignment="1"/>
    <xf numFmtId="0" fontId="0" fillId="0" borderId="11" xfId="0" applyFont="1" applyFill="1" applyBorder="1" applyAlignment="1"/>
    <xf numFmtId="0" fontId="0" fillId="33" borderId="41" xfId="0" applyFont="1" applyFill="1" applyBorder="1" applyAlignment="1">
      <alignment vertical="center"/>
    </xf>
    <xf numFmtId="0" fontId="0" fillId="33" borderId="42" xfId="0" applyFont="1" applyFill="1" applyBorder="1" applyAlignment="1">
      <alignment vertical="center"/>
    </xf>
    <xf numFmtId="0" fontId="0" fillId="33" borderId="42" xfId="0" applyFont="1" applyFill="1" applyBorder="1"/>
    <xf numFmtId="0" fontId="0" fillId="33" borderId="40" xfId="0" applyFont="1" applyFill="1" applyBorder="1"/>
    <xf numFmtId="0" fontId="0" fillId="33" borderId="40" xfId="0" applyFont="1" applyFill="1" applyBorder="1" applyAlignment="1"/>
    <xf numFmtId="0" fontId="0" fillId="0" borderId="17" xfId="0" applyFont="1" applyFill="1" applyBorder="1" applyAlignment="1"/>
    <xf numFmtId="0" fontId="0" fillId="33" borderId="41" xfId="0" applyFont="1" applyFill="1" applyBorder="1"/>
    <xf numFmtId="0" fontId="0" fillId="35" borderId="17" xfId="0" applyFont="1" applyFill="1" applyBorder="1" applyAlignment="1"/>
    <xf numFmtId="0" fontId="0" fillId="35" borderId="19" xfId="0" applyFont="1" applyFill="1" applyBorder="1" applyAlignment="1"/>
    <xf numFmtId="0" fontId="0" fillId="0" borderId="17" xfId="0" applyFont="1" applyFill="1" applyBorder="1"/>
    <xf numFmtId="0" fontId="0" fillId="0" borderId="19" xfId="0" applyFont="1" applyFill="1" applyBorder="1" applyAlignment="1"/>
    <xf numFmtId="0" fontId="16" fillId="33" borderId="13" xfId="0" applyFont="1" applyFill="1" applyBorder="1" applyAlignment="1">
      <alignment horizontal="left" vertical="center"/>
    </xf>
    <xf numFmtId="0" fontId="16" fillId="33" borderId="16" xfId="0" applyFont="1" applyFill="1" applyBorder="1" applyAlignment="1">
      <alignment horizontal="left" vertical="center"/>
    </xf>
    <xf numFmtId="0" fontId="0" fillId="0" borderId="11" xfId="0" applyFont="1" applyBorder="1" applyAlignment="1">
      <alignment horizontal="left"/>
    </xf>
    <xf numFmtId="0" fontId="16" fillId="33" borderId="10" xfId="0" applyFont="1" applyFill="1" applyBorder="1" applyAlignment="1">
      <alignment horizontal="left" vertical="center"/>
    </xf>
    <xf numFmtId="0" fontId="16" fillId="33" borderId="11" xfId="0" applyFont="1" applyFill="1" applyBorder="1" applyAlignment="1">
      <alignment horizontal="left" vertical="center"/>
    </xf>
    <xf numFmtId="166" fontId="0" fillId="0" borderId="11" xfId="58" applyNumberFormat="1" applyFont="1" applyBorder="1" applyAlignment="1">
      <alignment horizontal="left"/>
    </xf>
    <xf numFmtId="0" fontId="0" fillId="0" borderId="15" xfId="0" applyFont="1" applyBorder="1" applyAlignment="1">
      <alignment horizontal="left"/>
    </xf>
    <xf numFmtId="0" fontId="0" fillId="33" borderId="15" xfId="0" applyFont="1" applyFill="1" applyBorder="1" applyAlignment="1">
      <alignment horizontal="left"/>
    </xf>
    <xf numFmtId="0" fontId="0" fillId="33" borderId="12" xfId="0" applyFont="1" applyFill="1" applyBorder="1" applyAlignment="1">
      <alignment horizontal="left"/>
    </xf>
    <xf numFmtId="0" fontId="16" fillId="33" borderId="13" xfId="0" applyFont="1" applyFill="1" applyBorder="1" applyAlignment="1">
      <alignment horizontal="left" vertical="center" wrapText="1"/>
    </xf>
    <xf numFmtId="0" fontId="16" fillId="33" borderId="16" xfId="0" applyFont="1" applyFill="1" applyBorder="1" applyAlignment="1">
      <alignment horizontal="left" vertical="center" wrapText="1"/>
    </xf>
    <xf numFmtId="2" fontId="0" fillId="0" borderId="11" xfId="0" applyNumberFormat="1" applyFont="1" applyBorder="1" applyAlignment="1">
      <alignment horizontal="left"/>
    </xf>
    <xf numFmtId="0" fontId="16" fillId="33" borderId="10" xfId="0" applyFont="1" applyFill="1" applyBorder="1" applyAlignment="1">
      <alignment horizontal="left" vertical="center" wrapText="1"/>
    </xf>
    <xf numFmtId="167" fontId="0" fillId="0" borderId="10" xfId="0" applyNumberFormat="1" applyFont="1" applyBorder="1" applyAlignment="1">
      <alignment horizontal="left"/>
    </xf>
    <xf numFmtId="0" fontId="16" fillId="33" borderId="11" xfId="0" applyFont="1" applyFill="1" applyBorder="1" applyAlignment="1">
      <alignment horizontal="left" vertical="center" wrapText="1"/>
    </xf>
    <xf numFmtId="165" fontId="0" fillId="0" borderId="15" xfId="0" applyNumberFormat="1" applyFont="1" applyBorder="1" applyAlignment="1">
      <alignment horizontal="left"/>
    </xf>
    <xf numFmtId="165" fontId="0" fillId="0" borderId="11" xfId="0" applyNumberFormat="1" applyFont="1" applyBorder="1" applyAlignment="1">
      <alignment horizontal="left"/>
    </xf>
    <xf numFmtId="0" fontId="0" fillId="33" borderId="16" xfId="0" applyFont="1" applyFill="1" applyBorder="1" applyAlignment="1">
      <alignment horizontal="left"/>
    </xf>
    <xf numFmtId="2" fontId="0" fillId="0" borderId="23" xfId="0" applyNumberFormat="1" applyFont="1" applyBorder="1" applyAlignment="1">
      <alignment horizontal="left"/>
    </xf>
    <xf numFmtId="167" fontId="24" fillId="36" borderId="34" xfId="57" applyNumberFormat="1" applyFont="1" applyFill="1" applyBorder="1" applyAlignment="1" applyProtection="1">
      <alignment horizontal="left" wrapText="1"/>
    </xf>
    <xf numFmtId="0" fontId="16" fillId="33" borderId="14" xfId="0" applyFont="1" applyFill="1" applyBorder="1" applyAlignment="1">
      <alignment horizontal="left" vertical="center" wrapText="1"/>
    </xf>
    <xf numFmtId="0" fontId="24" fillId="36" borderId="59" xfId="0" applyNumberFormat="1" applyFont="1" applyFill="1" applyBorder="1" applyAlignment="1" applyProtection="1">
      <alignment horizontal="left" wrapText="1"/>
    </xf>
    <xf numFmtId="9" fontId="24" fillId="36" borderId="0" xfId="58" applyFont="1" applyFill="1" applyBorder="1" applyAlignment="1" applyProtection="1">
      <alignment horizontal="left" wrapText="1"/>
    </xf>
    <xf numFmtId="0" fontId="24" fillId="36" borderId="63" xfId="0" applyNumberFormat="1" applyFont="1" applyFill="1" applyBorder="1" applyAlignment="1" applyProtection="1">
      <alignment horizontal="left" wrapText="1"/>
    </xf>
    <xf numFmtId="167" fontId="0" fillId="0" borderId="11" xfId="0" applyNumberFormat="1" applyFont="1" applyFill="1" applyBorder="1" applyAlignment="1">
      <alignment horizontal="left" vertical="center"/>
    </xf>
    <xf numFmtId="0" fontId="0" fillId="0" borderId="23" xfId="0" applyFont="1" applyFill="1" applyBorder="1" applyAlignment="1">
      <alignment horizontal="left" vertical="center" wrapText="1"/>
    </xf>
    <xf numFmtId="0" fontId="0" fillId="0" borderId="15" xfId="0" applyFont="1" applyFill="1" applyBorder="1" applyAlignment="1">
      <alignment horizontal="left" vertical="center" wrapText="1"/>
    </xf>
    <xf numFmtId="2" fontId="24" fillId="36" borderId="10" xfId="0" applyNumberFormat="1" applyFont="1" applyFill="1" applyBorder="1" applyAlignment="1" applyProtection="1">
      <alignment horizontal="left" wrapText="1"/>
    </xf>
    <xf numFmtId="167" fontId="0" fillId="38" borderId="10" xfId="0" applyNumberFormat="1" applyFont="1" applyFill="1" applyBorder="1" applyAlignment="1" applyProtection="1">
      <alignment horizontal="left"/>
    </xf>
    <xf numFmtId="2" fontId="0" fillId="0" borderId="10" xfId="0" quotePrefix="1" applyNumberFormat="1" applyFont="1" applyBorder="1" applyAlignment="1">
      <alignment horizontal="left"/>
    </xf>
    <xf numFmtId="9" fontId="24" fillId="36" borderId="63" xfId="58" applyFont="1" applyFill="1" applyBorder="1" applyAlignment="1" applyProtection="1">
      <alignment horizontal="left" wrapText="1"/>
    </xf>
    <xf numFmtId="2" fontId="0" fillId="0" borderId="10" xfId="0" quotePrefix="1" applyNumberFormat="1" applyFont="1" applyFill="1" applyBorder="1" applyAlignment="1">
      <alignment horizontal="left"/>
    </xf>
    <xf numFmtId="0" fontId="0" fillId="0" borderId="25" xfId="0" applyFont="1" applyBorder="1" applyAlignment="1">
      <alignment horizontal="left"/>
    </xf>
    <xf numFmtId="0" fontId="0" fillId="33" borderId="10" xfId="0" applyFont="1" applyFill="1" applyBorder="1" applyAlignment="1">
      <alignment horizontal="left"/>
    </xf>
    <xf numFmtId="0" fontId="16" fillId="33" borderId="35" xfId="0" applyFont="1" applyFill="1" applyBorder="1" applyAlignment="1">
      <alignment horizontal="left" vertical="center" wrapText="1"/>
    </xf>
    <xf numFmtId="0" fontId="16" fillId="33" borderId="62" xfId="0" applyFont="1" applyFill="1" applyBorder="1" applyAlignment="1">
      <alignment horizontal="left" vertical="center" wrapText="1"/>
    </xf>
    <xf numFmtId="9" fontId="24" fillId="36" borderId="11" xfId="58" applyFont="1" applyFill="1" applyBorder="1" applyAlignment="1" applyProtection="1">
      <alignment horizontal="left" wrapText="1"/>
    </xf>
    <xf numFmtId="167" fontId="24" fillId="36" borderId="60" xfId="0" applyNumberFormat="1" applyFont="1" applyFill="1" applyBorder="1" applyAlignment="1" applyProtection="1">
      <alignment horizontal="left" wrapText="1"/>
    </xf>
    <xf numFmtId="0" fontId="16" fillId="33" borderId="64" xfId="0" applyFont="1" applyFill="1" applyBorder="1" applyAlignment="1">
      <alignment horizontal="left" vertical="center" wrapText="1"/>
    </xf>
    <xf numFmtId="0" fontId="0" fillId="0" borderId="14" xfId="0" applyFont="1" applyFill="1" applyBorder="1" applyAlignment="1">
      <alignment horizontal="left" vertical="center"/>
    </xf>
    <xf numFmtId="0" fontId="0" fillId="0" borderId="14" xfId="0" applyFont="1" applyFill="1" applyBorder="1" applyAlignment="1">
      <alignment horizontal="left"/>
    </xf>
    <xf numFmtId="0" fontId="16" fillId="33" borderId="14" xfId="0" applyFont="1" applyFill="1" applyBorder="1" applyAlignment="1">
      <alignment horizontal="left" vertical="center"/>
    </xf>
    <xf numFmtId="167" fontId="24" fillId="36" borderId="63" xfId="0" applyNumberFormat="1" applyFont="1" applyFill="1" applyBorder="1" applyAlignment="1" applyProtection="1">
      <alignment horizontal="left" wrapText="1"/>
    </xf>
    <xf numFmtId="170" fontId="0" fillId="0" borderId="10" xfId="0" applyNumberFormat="1" applyFont="1" applyBorder="1" applyAlignment="1">
      <alignment horizontal="left"/>
    </xf>
    <xf numFmtId="170" fontId="0" fillId="0" borderId="10" xfId="0" applyNumberFormat="1" applyFont="1" applyFill="1" applyBorder="1" applyAlignment="1">
      <alignment horizontal="left"/>
    </xf>
    <xf numFmtId="170" fontId="0" fillId="0" borderId="23" xfId="0" applyNumberFormat="1" applyFont="1" applyFill="1" applyBorder="1" applyAlignment="1">
      <alignment horizontal="left"/>
    </xf>
    <xf numFmtId="164" fontId="0" fillId="33" borderId="44" xfId="0" applyNumberFormat="1" applyFont="1" applyFill="1" applyBorder="1" applyAlignment="1">
      <alignment horizontal="left"/>
    </xf>
    <xf numFmtId="164" fontId="0" fillId="33" borderId="44" xfId="0" applyNumberFormat="1" applyFont="1" applyFill="1" applyBorder="1" applyAlignment="1">
      <alignment horizontal="left" vertical="center"/>
    </xf>
    <xf numFmtId="164" fontId="0" fillId="33" borderId="0" xfId="0" applyNumberFormat="1" applyFont="1" applyFill="1" applyBorder="1" applyAlignment="1">
      <alignment horizontal="left"/>
    </xf>
    <xf numFmtId="164" fontId="0" fillId="33" borderId="0" xfId="0" applyNumberFormat="1" applyFont="1" applyFill="1" applyBorder="1" applyAlignment="1">
      <alignment horizontal="left" vertical="center"/>
    </xf>
    <xf numFmtId="164" fontId="0" fillId="0" borderId="10" xfId="0" applyNumberFormat="1" applyFont="1" applyFill="1" applyBorder="1" applyAlignment="1">
      <alignment horizontal="left"/>
    </xf>
    <xf numFmtId="164" fontId="0" fillId="0" borderId="11" xfId="0" applyNumberFormat="1" applyFont="1" applyFill="1" applyBorder="1" applyAlignment="1">
      <alignment horizontal="left"/>
    </xf>
    <xf numFmtId="164" fontId="0" fillId="33" borderId="34" xfId="0" applyNumberFormat="1" applyFont="1" applyFill="1" applyBorder="1" applyAlignment="1">
      <alignment horizontal="left"/>
    </xf>
    <xf numFmtId="170" fontId="0" fillId="35" borderId="10" xfId="59" applyNumberFormat="1" applyFont="1" applyFill="1" applyBorder="1" applyAlignment="1">
      <alignment horizontal="left"/>
    </xf>
    <xf numFmtId="164" fontId="0" fillId="0" borderId="10" xfId="0" applyNumberFormat="1" applyFont="1" applyBorder="1" applyAlignment="1">
      <alignment horizontal="left"/>
    </xf>
    <xf numFmtId="170" fontId="0" fillId="0" borderId="11" xfId="0" applyNumberFormat="1" applyFont="1" applyBorder="1" applyAlignment="1">
      <alignment horizontal="left"/>
    </xf>
    <xf numFmtId="170" fontId="0" fillId="0" borderId="23" xfId="0" applyNumberFormat="1" applyFont="1" applyBorder="1" applyAlignment="1">
      <alignment horizontal="left"/>
    </xf>
    <xf numFmtId="164" fontId="0" fillId="0" borderId="11" xfId="0" applyNumberFormat="1" applyFont="1" applyBorder="1" applyAlignment="1">
      <alignment horizontal="left"/>
    </xf>
    <xf numFmtId="0" fontId="24" fillId="36" borderId="60" xfId="0" applyNumberFormat="1" applyFont="1" applyFill="1" applyBorder="1" applyAlignment="1" applyProtection="1">
      <alignment horizontal="left" vertical="center" wrapText="1"/>
    </xf>
    <xf numFmtId="0" fontId="0" fillId="33" borderId="0" xfId="0" applyFont="1" applyFill="1" applyBorder="1" applyAlignment="1">
      <alignment horizontal="left" vertical="center"/>
    </xf>
    <xf numFmtId="0" fontId="0" fillId="33" borderId="51" xfId="0" applyFont="1" applyFill="1" applyBorder="1" applyAlignment="1">
      <alignment horizontal="left"/>
    </xf>
    <xf numFmtId="9" fontId="0" fillId="0" borderId="11" xfId="58" applyFont="1" applyBorder="1" applyAlignment="1">
      <alignment horizontal="left"/>
    </xf>
    <xf numFmtId="0" fontId="0" fillId="33" borderId="41" xfId="0" applyFont="1" applyFill="1" applyBorder="1" applyAlignment="1">
      <alignment horizontal="left" vertical="center"/>
    </xf>
    <xf numFmtId="0" fontId="0" fillId="33" borderId="31" xfId="0" applyFont="1" applyFill="1" applyBorder="1" applyAlignment="1">
      <alignment horizontal="left" vertical="center"/>
    </xf>
    <xf numFmtId="39" fontId="0" fillId="0" borderId="23" xfId="57" applyNumberFormat="1" applyFont="1" applyBorder="1" applyAlignment="1">
      <alignment horizontal="left"/>
    </xf>
    <xf numFmtId="39" fontId="0" fillId="0" borderId="10" xfId="57" applyNumberFormat="1" applyFont="1" applyBorder="1" applyAlignment="1">
      <alignment horizontal="left"/>
    </xf>
    <xf numFmtId="39" fontId="24" fillId="36" borderId="63" xfId="57" applyNumberFormat="1" applyFont="1" applyFill="1" applyBorder="1" applyAlignment="1" applyProtection="1">
      <alignment horizontal="left" wrapText="1"/>
    </xf>
    <xf numFmtId="0" fontId="0" fillId="33" borderId="33" xfId="0" applyFont="1" applyFill="1" applyBorder="1" applyAlignment="1">
      <alignment horizontal="left" vertical="center"/>
    </xf>
    <xf numFmtId="0" fontId="0" fillId="33" borderId="51" xfId="0" applyFont="1" applyFill="1" applyBorder="1"/>
    <xf numFmtId="0" fontId="0" fillId="33" borderId="51" xfId="0" applyFont="1" applyFill="1" applyBorder="1" applyAlignment="1"/>
    <xf numFmtId="0" fontId="0" fillId="33" borderId="32" xfId="0" applyFont="1" applyFill="1" applyBorder="1" applyAlignment="1">
      <alignment horizontal="left"/>
    </xf>
    <xf numFmtId="0" fontId="0" fillId="33" borderId="31" xfId="0" applyFont="1" applyFill="1" applyBorder="1" applyAlignment="1"/>
    <xf numFmtId="0" fontId="24" fillId="0" borderId="36" xfId="0" applyNumberFormat="1" applyFont="1" applyFill="1" applyBorder="1" applyAlignment="1" applyProtection="1">
      <alignment horizontal="left" wrapText="1"/>
    </xf>
    <xf numFmtId="164" fontId="0" fillId="33" borderId="11" xfId="0" applyNumberFormat="1" applyFont="1" applyFill="1" applyBorder="1" applyAlignment="1">
      <alignment horizontal="left" vertical="center"/>
    </xf>
    <xf numFmtId="39" fontId="24" fillId="0" borderId="10" xfId="57" applyNumberFormat="1" applyFont="1" applyFill="1" applyBorder="1" applyAlignment="1">
      <alignment horizontal="left"/>
    </xf>
    <xf numFmtId="39" fontId="0" fillId="0" borderId="10" xfId="57" applyNumberFormat="1" applyFont="1" applyFill="1" applyBorder="1" applyAlignment="1">
      <alignment horizontal="left"/>
    </xf>
    <xf numFmtId="170" fontId="0" fillId="0" borderId="11" xfId="0" applyNumberFormat="1" applyFont="1" applyFill="1" applyBorder="1" applyAlignment="1">
      <alignment horizontal="left"/>
    </xf>
    <xf numFmtId="170" fontId="0" fillId="0" borderId="15" xfId="0" applyNumberFormat="1" applyFont="1" applyFill="1" applyBorder="1" applyAlignment="1">
      <alignment horizontal="left"/>
    </xf>
    <xf numFmtId="0" fontId="0" fillId="0" borderId="15" xfId="0" applyFont="1" applyFill="1" applyBorder="1" applyAlignment="1"/>
    <xf numFmtId="39" fontId="0" fillId="0" borderId="36" xfId="57" applyNumberFormat="1" applyFont="1" applyFill="1" applyBorder="1" applyAlignment="1">
      <alignment horizontal="left"/>
    </xf>
    <xf numFmtId="167" fontId="0" fillId="33" borderId="10" xfId="0" applyNumberFormat="1" applyFont="1" applyFill="1" applyBorder="1" applyAlignment="1">
      <alignment horizontal="left"/>
    </xf>
    <xf numFmtId="0" fontId="14" fillId="0" borderId="10" xfId="0" applyFont="1" applyBorder="1" applyAlignment="1"/>
    <xf numFmtId="0" fontId="0" fillId="33" borderId="23" xfId="0" applyFont="1" applyFill="1" applyBorder="1" applyAlignment="1">
      <alignment horizontal="left"/>
    </xf>
    <xf numFmtId="0" fontId="0" fillId="33" borderId="43" xfId="0" applyFont="1" applyFill="1" applyBorder="1" applyAlignment="1">
      <alignment horizontal="left"/>
    </xf>
    <xf numFmtId="0" fontId="0" fillId="33" borderId="43" xfId="0" applyFont="1" applyFill="1" applyBorder="1" applyAlignment="1"/>
    <xf numFmtId="164" fontId="0" fillId="0" borderId="10" xfId="0" applyNumberFormat="1" applyBorder="1" applyAlignment="1">
      <alignment horizontal="left"/>
    </xf>
    <xf numFmtId="0" fontId="16" fillId="33" borderId="43" xfId="0" applyFont="1" applyFill="1" applyBorder="1" applyAlignment="1">
      <alignment horizontal="left" vertical="center"/>
    </xf>
    <xf numFmtId="0" fontId="0" fillId="0" borderId="43" xfId="0" applyFont="1" applyFill="1" applyBorder="1" applyAlignment="1">
      <alignment horizontal="left" vertical="center"/>
    </xf>
    <xf numFmtId="0" fontId="16" fillId="33" borderId="43" xfId="0" applyFont="1" applyFill="1" applyBorder="1" applyAlignment="1">
      <alignment horizontal="left" vertical="center" wrapText="1"/>
    </xf>
    <xf numFmtId="0" fontId="0" fillId="0" borderId="43" xfId="0" applyFont="1" applyBorder="1" applyAlignment="1">
      <alignment horizontal="left"/>
    </xf>
    <xf numFmtId="0" fontId="27" fillId="36" borderId="23" xfId="0" applyNumberFormat="1" applyFont="1" applyFill="1" applyBorder="1" applyAlignment="1" applyProtection="1">
      <alignment horizontal="left" wrapText="1"/>
    </xf>
    <xf numFmtId="0" fontId="14" fillId="33" borderId="0" xfId="0" applyFont="1" applyFill="1" applyBorder="1" applyAlignment="1"/>
    <xf numFmtId="9" fontId="24" fillId="36" borderId="43" xfId="58" applyFont="1" applyFill="1" applyBorder="1" applyAlignment="1" applyProtection="1">
      <alignment horizontal="left" wrapText="1"/>
    </xf>
    <xf numFmtId="167" fontId="0" fillId="33" borderId="10" xfId="0" applyNumberFormat="1" applyFont="1" applyFill="1" applyBorder="1" applyAlignment="1">
      <alignment horizontal="left" vertical="center"/>
    </xf>
    <xf numFmtId="0" fontId="14" fillId="0" borderId="23" xfId="0" applyFont="1" applyBorder="1" applyAlignment="1"/>
    <xf numFmtId="0" fontId="0" fillId="0" borderId="10" xfId="0" applyNumberFormat="1" applyFont="1" applyBorder="1" applyAlignment="1"/>
    <xf numFmtId="0" fontId="0" fillId="0" borderId="35" xfId="0" applyFont="1" applyFill="1" applyBorder="1" applyAlignment="1"/>
    <xf numFmtId="0" fontId="0" fillId="0" borderId="35" xfId="0" applyBorder="1"/>
    <xf numFmtId="0" fontId="0" fillId="0" borderId="23" xfId="0" applyFont="1" applyBorder="1" applyAlignment="1">
      <alignment horizontal="left" vertical="center" wrapText="1"/>
    </xf>
    <xf numFmtId="0" fontId="0" fillId="0" borderId="23" xfId="0" applyFont="1" applyFill="1" applyBorder="1" applyAlignment="1">
      <alignment horizontal="left" vertical="center"/>
    </xf>
    <xf numFmtId="164" fontId="0" fillId="0" borderId="23" xfId="0" applyNumberFormat="1" applyFont="1" applyFill="1" applyBorder="1" applyAlignment="1">
      <alignment horizontal="left" vertical="center"/>
    </xf>
    <xf numFmtId="0" fontId="0" fillId="33" borderId="19" xfId="0" applyFont="1" applyFill="1" applyBorder="1" applyAlignment="1"/>
    <xf numFmtId="0" fontId="0" fillId="0" borderId="14" xfId="0" applyFont="1" applyBorder="1" applyAlignment="1">
      <alignment horizontal="left" vertical="center"/>
    </xf>
    <xf numFmtId="0" fontId="0" fillId="0" borderId="25" xfId="0" applyFont="1" applyBorder="1" applyAlignment="1"/>
    <xf numFmtId="0" fontId="0" fillId="0" borderId="35" xfId="0" applyFont="1" applyBorder="1" applyAlignment="1"/>
    <xf numFmtId="164" fontId="0" fillId="0" borderId="35" xfId="0" applyNumberFormat="1" applyFont="1" applyBorder="1" applyAlignment="1">
      <alignment horizontal="left"/>
    </xf>
    <xf numFmtId="0" fontId="0" fillId="0" borderId="10" xfId="0" applyBorder="1" applyAlignment="1">
      <alignment horizontal="left" vertical="center"/>
    </xf>
    <xf numFmtId="0" fontId="0" fillId="0" borderId="11" xfId="0" applyBorder="1" applyAlignment="1">
      <alignment horizontal="left" vertical="center"/>
    </xf>
    <xf numFmtId="170" fontId="0" fillId="0" borderId="10" xfId="0" applyNumberFormat="1" applyBorder="1" applyAlignment="1">
      <alignment horizontal="left" vertical="center"/>
    </xf>
    <xf numFmtId="6" fontId="0" fillId="0" borderId="10" xfId="0" applyNumberFormat="1" applyBorder="1" applyAlignment="1">
      <alignment horizontal="left"/>
    </xf>
    <xf numFmtId="164" fontId="0" fillId="0" borderId="11" xfId="0" applyNumberFormat="1" applyBorder="1" applyAlignment="1">
      <alignment horizontal="left"/>
    </xf>
    <xf numFmtId="0" fontId="14" fillId="0" borderId="17" xfId="0" applyFont="1" applyBorder="1" applyAlignment="1">
      <alignment horizontal="left"/>
    </xf>
    <xf numFmtId="0" fontId="14" fillId="33" borderId="42" xfId="0" applyFont="1" applyFill="1" applyBorder="1" applyAlignment="1">
      <alignment horizontal="left"/>
    </xf>
    <xf numFmtId="0" fontId="14" fillId="33" borderId="31" xfId="0" applyFont="1" applyFill="1" applyBorder="1" applyAlignment="1">
      <alignment horizontal="left"/>
    </xf>
    <xf numFmtId="0" fontId="24" fillId="36" borderId="67" xfId="0" applyNumberFormat="1" applyFont="1" applyFill="1" applyBorder="1" applyAlignment="1" applyProtection="1">
      <alignment horizontal="left" wrapText="1"/>
    </xf>
    <xf numFmtId="167" fontId="0" fillId="0" borderId="68" xfId="0" applyNumberFormat="1" applyFont="1" applyBorder="1" applyAlignment="1">
      <alignment horizontal="left" vertical="center"/>
    </xf>
    <xf numFmtId="0" fontId="0" fillId="0" borderId="25" xfId="0" applyFont="1" applyBorder="1" applyAlignment="1">
      <alignment vertical="center"/>
    </xf>
    <xf numFmtId="0" fontId="0" fillId="0" borderId="13" xfId="0" applyFont="1" applyBorder="1" applyAlignment="1"/>
    <xf numFmtId="0" fontId="0" fillId="33" borderId="11" xfId="0" applyFont="1" applyFill="1" applyBorder="1" applyAlignment="1">
      <alignment horizontal="left"/>
    </xf>
    <xf numFmtId="0" fontId="0" fillId="33" borderId="17" xfId="0" applyFont="1" applyFill="1" applyBorder="1" applyAlignment="1">
      <alignment horizontal="left"/>
    </xf>
    <xf numFmtId="9" fontId="24" fillId="36" borderId="15" xfId="58" applyFont="1" applyFill="1" applyBorder="1" applyAlignment="1" applyProtection="1">
      <alignment horizontal="left" wrapText="1"/>
    </xf>
    <xf numFmtId="164" fontId="0" fillId="0" borderId="13" xfId="0" applyNumberFormat="1" applyBorder="1" applyAlignment="1">
      <alignment horizontal="left"/>
    </xf>
    <xf numFmtId="0" fontId="0" fillId="33" borderId="13" xfId="0" applyFont="1" applyFill="1" applyBorder="1" applyAlignment="1"/>
    <xf numFmtId="0" fontId="14" fillId="0" borderId="13" xfId="0" applyFont="1" applyBorder="1" applyAlignment="1"/>
    <xf numFmtId="0" fontId="0" fillId="33" borderId="31" xfId="0" applyFont="1" applyFill="1" applyBorder="1"/>
    <xf numFmtId="0" fontId="0" fillId="33" borderId="32" xfId="0" applyFont="1" applyFill="1" applyBorder="1" applyAlignment="1"/>
    <xf numFmtId="167" fontId="0" fillId="33" borderId="13" xfId="0" applyNumberFormat="1" applyFont="1" applyFill="1" applyBorder="1" applyAlignment="1">
      <alignment horizontal="left" vertical="center"/>
    </xf>
    <xf numFmtId="167" fontId="0" fillId="0" borderId="10" xfId="0" applyNumberFormat="1" applyFont="1" applyBorder="1" applyAlignment="1">
      <alignment horizontal="left" vertical="top"/>
    </xf>
    <xf numFmtId="167" fontId="0" fillId="33" borderId="23" xfId="0" applyNumberFormat="1" applyFont="1" applyFill="1" applyBorder="1" applyAlignment="1">
      <alignment horizontal="left" vertical="center"/>
    </xf>
    <xf numFmtId="167" fontId="0" fillId="33" borderId="16" xfId="0" applyNumberFormat="1" applyFont="1" applyFill="1" applyBorder="1" applyAlignment="1">
      <alignment horizontal="left" vertical="center"/>
    </xf>
    <xf numFmtId="167" fontId="0" fillId="33" borderId="11" xfId="0" applyNumberFormat="1" applyFont="1" applyFill="1" applyBorder="1" applyAlignment="1">
      <alignment horizontal="left" vertical="center"/>
    </xf>
    <xf numFmtId="167" fontId="0" fillId="33" borderId="0" xfId="0" applyNumberFormat="1" applyFont="1" applyFill="1" applyBorder="1" applyAlignment="1">
      <alignment horizontal="left" vertical="center"/>
    </xf>
    <xf numFmtId="167" fontId="0" fillId="33" borderId="15" xfId="0" applyNumberFormat="1" applyFont="1" applyFill="1" applyBorder="1" applyAlignment="1">
      <alignment horizontal="left" vertical="center"/>
    </xf>
    <xf numFmtId="167" fontId="24" fillId="0" borderId="11" xfId="57" applyNumberFormat="1" applyFont="1" applyFill="1" applyBorder="1" applyAlignment="1">
      <alignment horizontal="left" vertical="center"/>
    </xf>
    <xf numFmtId="167" fontId="0" fillId="0" borderId="11" xfId="57" applyNumberFormat="1" applyFont="1" applyFill="1" applyBorder="1" applyAlignment="1">
      <alignment horizontal="left" vertical="center"/>
    </xf>
    <xf numFmtId="167" fontId="0" fillId="33" borderId="33" xfId="0" applyNumberFormat="1" applyFont="1" applyFill="1" applyBorder="1" applyAlignment="1">
      <alignment horizontal="left" vertical="center"/>
    </xf>
    <xf numFmtId="167" fontId="0" fillId="0" borderId="10" xfId="0" applyNumberFormat="1" applyFont="1" applyFill="1" applyBorder="1" applyAlignment="1">
      <alignment horizontal="left"/>
    </xf>
    <xf numFmtId="167" fontId="0" fillId="33" borderId="0" xfId="0" applyNumberFormat="1" applyFont="1" applyFill="1" applyBorder="1" applyAlignment="1">
      <alignment horizontal="left"/>
    </xf>
    <xf numFmtId="167" fontId="0" fillId="33" borderId="44" xfId="0" applyNumberFormat="1" applyFont="1" applyFill="1" applyBorder="1" applyAlignment="1">
      <alignment horizontal="left"/>
    </xf>
    <xf numFmtId="167" fontId="0" fillId="33" borderId="35" xfId="0" applyNumberFormat="1" applyFont="1" applyFill="1" applyBorder="1" applyAlignment="1">
      <alignment horizontal="left"/>
    </xf>
    <xf numFmtId="167" fontId="0" fillId="33" borderId="51" xfId="0" applyNumberFormat="1" applyFont="1" applyFill="1" applyBorder="1" applyAlignment="1">
      <alignment horizontal="left"/>
    </xf>
    <xf numFmtId="167" fontId="0" fillId="0" borderId="23" xfId="0" applyNumberFormat="1" applyFont="1" applyBorder="1" applyAlignment="1">
      <alignment horizontal="left"/>
    </xf>
    <xf numFmtId="167" fontId="0" fillId="33" borderId="23" xfId="0" applyNumberFormat="1" applyFont="1" applyFill="1" applyBorder="1" applyAlignment="1">
      <alignment horizontal="left"/>
    </xf>
    <xf numFmtId="167" fontId="0" fillId="0" borderId="13" xfId="0" applyNumberFormat="1" applyFont="1" applyBorder="1" applyAlignment="1">
      <alignment horizontal="left"/>
    </xf>
    <xf numFmtId="167" fontId="0" fillId="0" borderId="35" xfId="0" applyNumberFormat="1" applyFont="1" applyBorder="1" applyAlignment="1">
      <alignment horizontal="left"/>
    </xf>
    <xf numFmtId="167" fontId="0" fillId="0" borderId="11" xfId="0" applyNumberFormat="1" applyFont="1" applyBorder="1" applyAlignment="1">
      <alignment horizontal="left"/>
    </xf>
    <xf numFmtId="167" fontId="0" fillId="0" borderId="10" xfId="57" applyNumberFormat="1" applyFont="1" applyBorder="1" applyAlignment="1">
      <alignment horizontal="left" vertical="center"/>
    </xf>
    <xf numFmtId="167" fontId="0" fillId="33" borderId="38" xfId="0" applyNumberFormat="1" applyFont="1" applyFill="1" applyBorder="1" applyAlignment="1">
      <alignment horizontal="left" vertical="center"/>
    </xf>
    <xf numFmtId="167" fontId="0" fillId="0" borderId="62" xfId="0" applyNumberFormat="1" applyFont="1" applyFill="1" applyBorder="1" applyAlignment="1">
      <alignment horizontal="left"/>
    </xf>
    <xf numFmtId="167" fontId="0" fillId="33" borderId="61" xfId="0" applyNumberFormat="1" applyFont="1" applyFill="1" applyBorder="1" applyAlignment="1">
      <alignment horizontal="left"/>
    </xf>
    <xf numFmtId="167" fontId="0" fillId="33" borderId="66" xfId="0" applyNumberFormat="1" applyFont="1" applyFill="1" applyBorder="1" applyAlignment="1">
      <alignment horizontal="left"/>
    </xf>
    <xf numFmtId="167" fontId="0" fillId="33" borderId="59" xfId="0" applyNumberFormat="1" applyFont="1" applyFill="1" applyBorder="1" applyAlignment="1">
      <alignment horizontal="left"/>
    </xf>
    <xf numFmtId="0" fontId="24" fillId="0" borderId="10" xfId="0" applyFont="1" applyBorder="1" applyAlignment="1"/>
    <xf numFmtId="0" fontId="0" fillId="33" borderId="21" xfId="0" applyFont="1" applyFill="1" applyBorder="1" applyAlignment="1">
      <alignment horizontal="left"/>
    </xf>
    <xf numFmtId="0" fontId="0" fillId="33" borderId="27" xfId="0" applyFont="1" applyFill="1" applyBorder="1" applyAlignment="1">
      <alignment horizontal="left"/>
    </xf>
    <xf numFmtId="0" fontId="0" fillId="33" borderId="36" xfId="0" applyFont="1" applyFill="1" applyBorder="1" applyAlignment="1">
      <alignment horizontal="left"/>
    </xf>
    <xf numFmtId="0" fontId="0" fillId="0" borderId="25" xfId="0" applyFill="1" applyBorder="1" applyAlignment="1">
      <alignment vertical="center"/>
    </xf>
    <xf numFmtId="0" fontId="0" fillId="0" borderId="11" xfId="0" applyBorder="1" applyAlignment="1">
      <alignment horizontal="left"/>
    </xf>
    <xf numFmtId="16" fontId="0" fillId="0" borderId="23" xfId="0" applyNumberFormat="1" applyFont="1" applyBorder="1" applyAlignment="1">
      <alignment vertical="center" wrapText="1"/>
    </xf>
    <xf numFmtId="167" fontId="0" fillId="33" borderId="23" xfId="0" applyNumberFormat="1" applyFont="1" applyFill="1" applyBorder="1" applyAlignment="1">
      <alignment vertical="center"/>
    </xf>
    <xf numFmtId="167" fontId="0" fillId="33" borderId="13" xfId="0" applyNumberFormat="1" applyFont="1" applyFill="1" applyBorder="1" applyAlignment="1">
      <alignment horizontal="left"/>
    </xf>
    <xf numFmtId="167" fontId="0" fillId="35" borderId="11" xfId="0" applyNumberFormat="1" applyFont="1" applyFill="1" applyBorder="1" applyAlignment="1"/>
    <xf numFmtId="0" fontId="0" fillId="0" borderId="25" xfId="0" applyBorder="1"/>
    <xf numFmtId="167" fontId="0" fillId="0" borderId="11" xfId="0" applyNumberFormat="1" applyFont="1" applyFill="1" applyBorder="1" applyAlignment="1"/>
    <xf numFmtId="167" fontId="0" fillId="0" borderId="15" xfId="0" applyNumberFormat="1" applyFont="1" applyFill="1" applyBorder="1" applyAlignment="1"/>
    <xf numFmtId="2" fontId="0" fillId="0" borderId="35" xfId="0" applyNumberFormat="1" applyFont="1" applyBorder="1" applyAlignment="1">
      <alignment horizontal="left"/>
    </xf>
    <xf numFmtId="0" fontId="0" fillId="0" borderId="35" xfId="0" applyFont="1" applyFill="1" applyBorder="1" applyAlignment="1">
      <alignment horizontal="left" vertical="center"/>
    </xf>
    <xf numFmtId="0" fontId="0" fillId="0" borderId="35" xfId="0" applyFont="1" applyFill="1" applyBorder="1" applyAlignment="1">
      <alignment horizontal="left"/>
    </xf>
    <xf numFmtId="167" fontId="0" fillId="0" borderId="35" xfId="0" applyNumberFormat="1" applyFont="1" applyFill="1" applyBorder="1" applyAlignment="1">
      <alignment horizontal="left"/>
    </xf>
    <xf numFmtId="0" fontId="0" fillId="0" borderId="35" xfId="0" applyFont="1" applyFill="1" applyBorder="1" applyAlignment="1">
      <alignment vertical="center"/>
    </xf>
    <xf numFmtId="3" fontId="0" fillId="0" borderId="35" xfId="0" applyNumberFormat="1" applyFont="1" applyFill="1" applyBorder="1" applyAlignment="1">
      <alignment horizontal="left" vertical="center"/>
    </xf>
    <xf numFmtId="167" fontId="0" fillId="0" borderId="36" xfId="0" applyNumberFormat="1" applyFont="1" applyBorder="1" applyAlignment="1">
      <alignment horizontal="left"/>
    </xf>
    <xf numFmtId="0" fontId="24" fillId="36" borderId="36" xfId="0" applyNumberFormat="1" applyFont="1" applyFill="1" applyBorder="1" applyAlignment="1" applyProtection="1">
      <alignment horizontal="left" wrapText="1"/>
    </xf>
    <xf numFmtId="0" fontId="24" fillId="36" borderId="23" xfId="0" applyNumberFormat="1" applyFont="1" applyFill="1" applyBorder="1" applyAlignment="1" applyProtection="1">
      <alignment horizontal="left" wrapText="1"/>
    </xf>
    <xf numFmtId="0" fontId="0" fillId="0" borderId="17" xfId="0" applyFont="1" applyBorder="1" applyAlignment="1"/>
    <xf numFmtId="0" fontId="0" fillId="0" borderId="10" xfId="0" applyBorder="1" applyAlignment="1">
      <alignment horizontal="left"/>
    </xf>
    <xf numFmtId="0" fontId="0" fillId="0" borderId="10" xfId="0" applyFont="1" applyBorder="1" applyAlignment="1"/>
    <xf numFmtId="0" fontId="0" fillId="0" borderId="10" xfId="0" applyFont="1" applyFill="1" applyBorder="1" applyAlignment="1"/>
    <xf numFmtId="0" fontId="0" fillId="0" borderId="36" xfId="0" applyFont="1" applyFill="1" applyBorder="1" applyAlignment="1"/>
    <xf numFmtId="0" fontId="0" fillId="33" borderId="14" xfId="0" applyFont="1" applyFill="1" applyBorder="1" applyAlignment="1">
      <alignment horizontal="left" vertical="center"/>
    </xf>
    <xf numFmtId="0" fontId="0" fillId="0" borderId="35" xfId="0" applyBorder="1" applyAlignment="1"/>
    <xf numFmtId="0" fontId="24" fillId="36" borderId="10" xfId="0" applyNumberFormat="1" applyFont="1" applyFill="1" applyBorder="1" applyAlignment="1" applyProtection="1">
      <alignment horizontal="left" vertical="center" wrapText="1"/>
    </xf>
    <xf numFmtId="0" fontId="0" fillId="0" borderId="10" xfId="0" applyNumberFormat="1" applyFill="1" applyBorder="1" applyAlignment="1"/>
    <xf numFmtId="0" fontId="0" fillId="33" borderId="25" xfId="0" applyFont="1" applyFill="1" applyBorder="1" applyAlignment="1">
      <alignment horizontal="left"/>
    </xf>
    <xf numFmtId="164" fontId="0" fillId="0" borderId="35" xfId="0" applyNumberFormat="1" applyFont="1" applyFill="1" applyBorder="1" applyAlignment="1">
      <alignment horizontal="left"/>
    </xf>
    <xf numFmtId="164" fontId="0" fillId="0" borderId="13" xfId="0" applyNumberFormat="1" applyFont="1" applyFill="1" applyBorder="1" applyAlignment="1">
      <alignment horizontal="left"/>
    </xf>
    <xf numFmtId="164" fontId="0" fillId="0" borderId="16" xfId="0" applyNumberFormat="1" applyFont="1" applyFill="1" applyBorder="1" applyAlignment="1">
      <alignment horizontal="left"/>
    </xf>
    <xf numFmtId="0" fontId="24" fillId="36" borderId="11" xfId="0" applyNumberFormat="1" applyFont="1" applyFill="1" applyBorder="1" applyAlignment="1" applyProtection="1">
      <alignment horizontal="left" wrapText="1"/>
    </xf>
    <xf numFmtId="167" fontId="0" fillId="33" borderId="12" xfId="0" applyNumberFormat="1" applyFont="1" applyFill="1" applyBorder="1" applyAlignment="1">
      <alignment horizontal="left"/>
    </xf>
    <xf numFmtId="164" fontId="0" fillId="0" borderId="23" xfId="0" applyNumberFormat="1" applyFont="1" applyBorder="1" applyAlignment="1">
      <alignment horizontal="left"/>
    </xf>
    <xf numFmtId="164" fontId="0" fillId="0" borderId="13" xfId="0" applyNumberFormat="1" applyFont="1" applyBorder="1" applyAlignment="1">
      <alignment horizontal="left"/>
    </xf>
    <xf numFmtId="0" fontId="0" fillId="33" borderId="42" xfId="0" applyFill="1" applyBorder="1"/>
    <xf numFmtId="0" fontId="0" fillId="0" borderId="62" xfId="0" applyFont="1" applyBorder="1" applyAlignment="1"/>
    <xf numFmtId="0" fontId="0" fillId="0" borderId="11" xfId="0" applyBorder="1"/>
    <xf numFmtId="164" fontId="0" fillId="0" borderId="10" xfId="59" applyNumberFormat="1" applyFont="1" applyBorder="1" applyAlignment="1">
      <alignment horizontal="left"/>
    </xf>
    <xf numFmtId="164" fontId="0" fillId="0" borderId="23" xfId="59" applyNumberFormat="1" applyFont="1" applyBorder="1" applyAlignment="1">
      <alignment horizontal="left"/>
    </xf>
    <xf numFmtId="164" fontId="0" fillId="33" borderId="51" xfId="0" applyNumberFormat="1" applyFont="1" applyFill="1" applyBorder="1" applyAlignment="1">
      <alignment horizontal="left"/>
    </xf>
    <xf numFmtId="164" fontId="0" fillId="35" borderId="10" xfId="59" applyNumberFormat="1" applyFont="1" applyFill="1" applyBorder="1" applyAlignment="1">
      <alignment horizontal="left"/>
    </xf>
    <xf numFmtId="0" fontId="0" fillId="33" borderId="44" xfId="0" applyFont="1" applyFill="1" applyBorder="1" applyAlignment="1">
      <alignment vertical="center"/>
    </xf>
    <xf numFmtId="167" fontId="27" fillId="36" borderId="60" xfId="0" applyNumberFormat="1" applyFont="1" applyFill="1" applyBorder="1" applyAlignment="1" applyProtection="1">
      <alignment horizontal="left" wrapText="1"/>
    </xf>
    <xf numFmtId="167" fontId="27" fillId="36" borderId="63" xfId="0" applyNumberFormat="1" applyFont="1" applyFill="1" applyBorder="1" applyAlignment="1" applyProtection="1">
      <alignment horizontal="left" wrapText="1"/>
    </xf>
    <xf numFmtId="0" fontId="27" fillId="36" borderId="10" xfId="0" applyNumberFormat="1" applyFont="1" applyFill="1" applyBorder="1" applyAlignment="1" applyProtection="1">
      <alignment horizontal="right" wrapText="1"/>
    </xf>
    <xf numFmtId="0" fontId="0" fillId="33" borderId="51" xfId="0" applyFont="1" applyFill="1" applyBorder="1" applyAlignment="1">
      <alignment vertical="center"/>
    </xf>
    <xf numFmtId="0" fontId="0" fillId="33" borderId="42" xfId="0" applyFont="1" applyFill="1" applyBorder="1" applyAlignment="1">
      <alignment horizontal="left" vertical="center"/>
    </xf>
    <xf numFmtId="164" fontId="0" fillId="0" borderId="15" xfId="0" applyNumberFormat="1" applyFont="1" applyFill="1" applyBorder="1" applyAlignment="1">
      <alignment horizontal="left" vertical="center"/>
    </xf>
    <xf numFmtId="164" fontId="0" fillId="0" borderId="70" xfId="0" applyNumberFormat="1" applyFont="1" applyBorder="1" applyAlignment="1">
      <alignment horizontal="left"/>
    </xf>
    <xf numFmtId="0" fontId="0" fillId="33" borderId="10" xfId="0" applyFont="1" applyFill="1" applyBorder="1" applyAlignment="1">
      <alignment horizontal="left" vertical="center"/>
    </xf>
    <xf numFmtId="167" fontId="27" fillId="36" borderId="10" xfId="0" applyNumberFormat="1" applyFont="1" applyFill="1" applyBorder="1" applyAlignment="1" applyProtection="1">
      <alignment horizontal="left" wrapText="1"/>
    </xf>
    <xf numFmtId="0" fontId="16" fillId="33" borderId="34" xfId="0" applyFont="1" applyFill="1" applyBorder="1" applyAlignment="1">
      <alignment horizontal="left" vertical="center" wrapText="1"/>
    </xf>
    <xf numFmtId="0" fontId="0" fillId="0" borderId="14" xfId="0" applyFont="1" applyBorder="1" applyAlignment="1">
      <alignment horizontal="left" vertical="center" wrapText="1"/>
    </xf>
    <xf numFmtId="0" fontId="0" fillId="0" borderId="0" xfId="0" applyFont="1" applyAlignment="1">
      <alignment vertical="center"/>
    </xf>
    <xf numFmtId="0" fontId="27" fillId="36" borderId="73" xfId="0" applyNumberFormat="1" applyFont="1" applyFill="1" applyBorder="1" applyAlignment="1" applyProtection="1">
      <alignment horizontal="left" wrapText="1"/>
    </xf>
    <xf numFmtId="0" fontId="0" fillId="0" borderId="0" xfId="0" applyFont="1" applyFill="1" applyBorder="1" applyAlignment="1">
      <alignment vertical="center"/>
    </xf>
    <xf numFmtId="0" fontId="0" fillId="0" borderId="42" xfId="0" applyFont="1" applyFill="1" applyBorder="1" applyAlignment="1">
      <alignment vertical="center"/>
    </xf>
    <xf numFmtId="170" fontId="0" fillId="0" borderId="35" xfId="0" applyNumberFormat="1" applyFont="1" applyBorder="1" applyAlignment="1">
      <alignment horizontal="left"/>
    </xf>
    <xf numFmtId="0" fontId="0" fillId="33" borderId="0" xfId="0" applyFont="1" applyFill="1" applyBorder="1" applyAlignment="1">
      <alignment vertical="center"/>
    </xf>
    <xf numFmtId="0" fontId="0" fillId="33" borderId="44" xfId="0" applyFill="1" applyBorder="1" applyAlignment="1">
      <alignment horizontal="left" vertical="center"/>
    </xf>
    <xf numFmtId="8" fontId="27" fillId="36" borderId="63" xfId="0" applyNumberFormat="1" applyFont="1" applyFill="1" applyBorder="1" applyAlignment="1" applyProtection="1">
      <alignment horizontal="right" wrapText="1"/>
    </xf>
    <xf numFmtId="167" fontId="0" fillId="0" borderId="14" xfId="0" applyNumberFormat="1" applyFont="1" applyBorder="1" applyAlignment="1">
      <alignment horizontal="left"/>
    </xf>
    <xf numFmtId="0" fontId="0" fillId="33" borderId="31" xfId="0" applyFill="1" applyBorder="1" applyAlignment="1"/>
    <xf numFmtId="0" fontId="0" fillId="0" borderId="10" xfId="0" applyBorder="1"/>
    <xf numFmtId="0" fontId="0" fillId="0" borderId="17" xfId="0" applyBorder="1"/>
    <xf numFmtId="0" fontId="0" fillId="0" borderId="0" xfId="0" applyAlignment="1"/>
    <xf numFmtId="0" fontId="0" fillId="0" borderId="10" xfId="0" applyBorder="1" applyAlignment="1"/>
    <xf numFmtId="0" fontId="16" fillId="33" borderId="10" xfId="0" applyFont="1" applyFill="1" applyBorder="1" applyAlignment="1">
      <alignment vertical="center"/>
    </xf>
    <xf numFmtId="0" fontId="0" fillId="33" borderId="10" xfId="0" applyFill="1" applyBorder="1" applyAlignment="1">
      <alignment horizontal="left" vertical="center"/>
    </xf>
    <xf numFmtId="0" fontId="0" fillId="33" borderId="11" xfId="0" applyFill="1" applyBorder="1" applyAlignment="1">
      <alignment horizontal="left" vertical="center"/>
    </xf>
    <xf numFmtId="0" fontId="0" fillId="33" borderId="17" xfId="0" applyFill="1" applyBorder="1" applyAlignment="1">
      <alignment horizontal="left" vertical="center"/>
    </xf>
    <xf numFmtId="0" fontId="0" fillId="33" borderId="19" xfId="0" applyFill="1" applyBorder="1" applyAlignment="1">
      <alignment horizontal="left" vertical="center"/>
    </xf>
    <xf numFmtId="0" fontId="0" fillId="33" borderId="41" xfId="0" applyFill="1" applyBorder="1" applyAlignment="1">
      <alignment horizontal="left" vertical="center"/>
    </xf>
    <xf numFmtId="0" fontId="0" fillId="0" borderId="10" xfId="0" applyFill="1" applyBorder="1" applyAlignment="1">
      <alignment vertical="center"/>
    </xf>
    <xf numFmtId="0" fontId="0" fillId="0" borderId="10" xfId="0" applyFill="1" applyBorder="1" applyAlignment="1">
      <alignment horizontal="left" vertical="center"/>
    </xf>
    <xf numFmtId="0" fontId="0" fillId="33" borderId="0" xfId="0" applyFill="1" applyBorder="1" applyAlignment="1"/>
    <xf numFmtId="0" fontId="27" fillId="36" borderId="10" xfId="0" applyNumberFormat="1" applyFont="1" applyFill="1" applyBorder="1" applyAlignment="1" applyProtection="1">
      <alignment horizontal="left" wrapText="1"/>
    </xf>
    <xf numFmtId="0" fontId="0" fillId="33" borderId="42" xfId="0" applyFill="1" applyBorder="1" applyAlignment="1"/>
    <xf numFmtId="170" fontId="0" fillId="0" borderId="11" xfId="0" applyNumberFormat="1" applyBorder="1" applyAlignment="1">
      <alignment horizontal="left" vertical="center"/>
    </xf>
    <xf numFmtId="0" fontId="0" fillId="0" borderId="11" xfId="0" applyFont="1" applyFill="1" applyBorder="1" applyAlignment="1">
      <alignment horizontal="left"/>
    </xf>
    <xf numFmtId="167" fontId="0" fillId="0" borderId="10" xfId="0" applyNumberFormat="1" applyBorder="1" applyAlignment="1">
      <alignment horizontal="left"/>
    </xf>
    <xf numFmtId="0" fontId="0" fillId="0" borderId="25" xfId="0" applyBorder="1" applyAlignment="1"/>
    <xf numFmtId="0" fontId="24" fillId="0" borderId="10" xfId="0" applyFont="1" applyFill="1" applyBorder="1" applyAlignment="1"/>
    <xf numFmtId="0" fontId="0" fillId="33" borderId="14" xfId="0" applyFont="1" applyFill="1" applyBorder="1" applyAlignment="1">
      <alignment horizontal="left"/>
    </xf>
    <xf numFmtId="0" fontId="0" fillId="0" borderId="14" xfId="0" applyFont="1" applyBorder="1" applyAlignment="1">
      <alignment horizontal="left"/>
    </xf>
    <xf numFmtId="167" fontId="24" fillId="36" borderId="10" xfId="0" applyNumberFormat="1" applyFont="1" applyFill="1" applyBorder="1" applyAlignment="1" applyProtection="1">
      <alignment horizontal="left" wrapText="1"/>
    </xf>
    <xf numFmtId="0" fontId="24" fillId="36" borderId="35" xfId="0" applyNumberFormat="1" applyFont="1" applyFill="1" applyBorder="1" applyAlignment="1" applyProtection="1">
      <alignment horizontal="left" wrapText="1"/>
    </xf>
    <xf numFmtId="167" fontId="24" fillId="36" borderId="71" xfId="0" applyNumberFormat="1" applyFont="1" applyFill="1" applyBorder="1" applyAlignment="1" applyProtection="1">
      <alignment horizontal="left" wrapText="1"/>
    </xf>
    <xf numFmtId="8" fontId="24" fillId="36" borderId="10" xfId="0" applyNumberFormat="1" applyFont="1" applyFill="1" applyBorder="1" applyAlignment="1" applyProtection="1">
      <alignment horizontal="left" vertical="center" wrapText="1"/>
    </xf>
    <xf numFmtId="8" fontId="24" fillId="36" borderId="11" xfId="0" applyNumberFormat="1" applyFont="1" applyFill="1" applyBorder="1" applyAlignment="1" applyProtection="1">
      <alignment horizontal="left" vertical="center" wrapText="1"/>
    </xf>
    <xf numFmtId="8" fontId="24" fillId="36" borderId="10" xfId="0" applyNumberFormat="1" applyFont="1" applyFill="1" applyBorder="1" applyAlignment="1" applyProtection="1">
      <alignment horizontal="left" wrapText="1"/>
    </xf>
    <xf numFmtId="8" fontId="24" fillId="36" borderId="11" xfId="0" applyNumberFormat="1" applyFont="1" applyFill="1" applyBorder="1" applyAlignment="1" applyProtection="1">
      <alignment horizontal="left" wrapText="1"/>
    </xf>
    <xf numFmtId="2" fontId="24" fillId="36" borderId="10" xfId="0" applyNumberFormat="1" applyFont="1" applyFill="1" applyBorder="1" applyAlignment="1" applyProtection="1">
      <alignment horizontal="left" vertical="center" wrapText="1"/>
    </xf>
    <xf numFmtId="9" fontId="24" fillId="36" borderId="70" xfId="58" applyFont="1" applyFill="1" applyBorder="1" applyAlignment="1" applyProtection="1">
      <alignment horizontal="left" wrapText="1"/>
    </xf>
    <xf numFmtId="9" fontId="24" fillId="36" borderId="33" xfId="58" applyFont="1" applyFill="1" applyBorder="1" applyAlignment="1" applyProtection="1">
      <alignment horizontal="left" wrapText="1"/>
    </xf>
    <xf numFmtId="8" fontId="24" fillId="36" borderId="60" xfId="0" applyNumberFormat="1" applyFont="1" applyFill="1" applyBorder="1" applyAlignment="1" applyProtection="1">
      <alignment horizontal="left" wrapText="1"/>
    </xf>
    <xf numFmtId="8" fontId="24" fillId="36" borderId="63" xfId="0" applyNumberFormat="1" applyFont="1" applyFill="1" applyBorder="1" applyAlignment="1" applyProtection="1">
      <alignment horizontal="left" wrapText="1"/>
    </xf>
    <xf numFmtId="2" fontId="24" fillId="36" borderId="60" xfId="0" applyNumberFormat="1" applyFont="1" applyFill="1" applyBorder="1" applyAlignment="1" applyProtection="1">
      <alignment horizontal="left" wrapText="1"/>
    </xf>
    <xf numFmtId="0" fontId="0" fillId="33" borderId="33" xfId="0" applyFont="1" applyFill="1" applyBorder="1" applyAlignment="1"/>
    <xf numFmtId="0" fontId="24" fillId="36" borderId="65" xfId="0" applyNumberFormat="1" applyFont="1" applyFill="1" applyBorder="1" applyAlignment="1" applyProtection="1">
      <alignment horizontal="left" vertical="center" wrapText="1"/>
    </xf>
    <xf numFmtId="8" fontId="24" fillId="36" borderId="60" xfId="0" applyNumberFormat="1" applyFont="1" applyFill="1" applyBorder="1" applyAlignment="1" applyProtection="1">
      <alignment horizontal="left" vertical="center" wrapText="1"/>
    </xf>
    <xf numFmtId="8" fontId="24" fillId="36" borderId="63" xfId="0" applyNumberFormat="1" applyFont="1" applyFill="1" applyBorder="1" applyAlignment="1" applyProtection="1">
      <alignment horizontal="left" vertical="center" wrapText="1"/>
    </xf>
    <xf numFmtId="0" fontId="0" fillId="0" borderId="35" xfId="0" applyFont="1" applyBorder="1" applyAlignment="1">
      <alignment vertical="center"/>
    </xf>
    <xf numFmtId="167" fontId="0" fillId="33" borderId="36" xfId="0" applyNumberFormat="1" applyFont="1" applyFill="1" applyBorder="1" applyAlignment="1">
      <alignment horizontal="left" vertical="center"/>
    </xf>
    <xf numFmtId="9" fontId="24" fillId="36" borderId="11" xfId="58" applyFont="1" applyFill="1" applyBorder="1" applyAlignment="1" applyProtection="1">
      <alignment horizontal="left" vertical="center" wrapText="1"/>
    </xf>
    <xf numFmtId="0" fontId="0" fillId="33" borderId="31" xfId="0" applyFont="1" applyFill="1" applyBorder="1" applyAlignment="1">
      <alignment vertical="center"/>
    </xf>
    <xf numFmtId="169" fontId="24" fillId="36" borderId="10" xfId="0" applyNumberFormat="1" applyFont="1" applyFill="1" applyBorder="1" applyAlignment="1" applyProtection="1">
      <alignment horizontal="left" vertical="center" wrapText="1"/>
    </xf>
    <xf numFmtId="169" fontId="24" fillId="36" borderId="60" xfId="0" applyNumberFormat="1" applyFont="1" applyFill="1" applyBorder="1" applyAlignment="1" applyProtection="1">
      <alignment horizontal="left" wrapText="1"/>
    </xf>
    <xf numFmtId="169" fontId="24" fillId="36" borderId="65" xfId="0" applyNumberFormat="1" applyFont="1" applyFill="1" applyBorder="1" applyAlignment="1" applyProtection="1">
      <alignment horizontal="left" vertical="center" wrapText="1"/>
    </xf>
    <xf numFmtId="0" fontId="24" fillId="36" borderId="14" xfId="0" applyNumberFormat="1" applyFont="1" applyFill="1" applyBorder="1" applyAlignment="1" applyProtection="1">
      <alignment horizontal="left" wrapText="1"/>
    </xf>
    <xf numFmtId="2" fontId="24" fillId="36" borderId="35" xfId="0" applyNumberFormat="1" applyFont="1" applyFill="1" applyBorder="1" applyAlignment="1" applyProtection="1">
      <alignment horizontal="left" wrapText="1"/>
    </xf>
    <xf numFmtId="0" fontId="0" fillId="0" borderId="35" xfId="0" applyBorder="1" applyAlignment="1">
      <alignment vertical="center"/>
    </xf>
    <xf numFmtId="0" fontId="24" fillId="36" borderId="74" xfId="0" applyNumberFormat="1" applyFont="1" applyFill="1" applyBorder="1" applyAlignment="1" applyProtection="1">
      <alignment horizontal="left" wrapText="1"/>
    </xf>
    <xf numFmtId="167" fontId="24" fillId="36" borderId="74" xfId="0" applyNumberFormat="1" applyFont="1" applyFill="1" applyBorder="1" applyAlignment="1" applyProtection="1">
      <alignment horizontal="left" wrapText="1"/>
    </xf>
    <xf numFmtId="8" fontId="24" fillId="36" borderId="67" xfId="0" applyNumberFormat="1" applyFont="1" applyFill="1" applyBorder="1" applyAlignment="1" applyProtection="1">
      <alignment horizontal="left" wrapText="1"/>
    </xf>
    <xf numFmtId="0" fontId="24" fillId="36" borderId="67" xfId="0" applyNumberFormat="1" applyFont="1" applyFill="1" applyBorder="1" applyAlignment="1" applyProtection="1">
      <alignment horizontal="left" vertical="center" wrapText="1"/>
    </xf>
    <xf numFmtId="8" fontId="24" fillId="36" borderId="67" xfId="0" applyNumberFormat="1" applyFont="1" applyFill="1" applyBorder="1" applyAlignment="1" applyProtection="1">
      <alignment horizontal="left" vertical="center" wrapText="1"/>
    </xf>
    <xf numFmtId="8" fontId="24" fillId="36" borderId="75" xfId="0" applyNumberFormat="1" applyFont="1" applyFill="1" applyBorder="1" applyAlignment="1" applyProtection="1">
      <alignment horizontal="left" vertical="center" wrapText="1"/>
    </xf>
    <xf numFmtId="167" fontId="0" fillId="0" borderId="35" xfId="0" applyNumberFormat="1" applyFont="1" applyBorder="1" applyAlignment="1">
      <alignment horizontal="left" vertical="center"/>
    </xf>
    <xf numFmtId="167" fontId="0" fillId="33" borderId="33" xfId="0" applyNumberFormat="1" applyFont="1" applyFill="1" applyBorder="1" applyAlignment="1">
      <alignment horizontal="left"/>
    </xf>
    <xf numFmtId="167" fontId="0" fillId="33" borderId="38" xfId="0" applyNumberFormat="1" applyFont="1" applyFill="1" applyBorder="1" applyAlignment="1">
      <alignment horizontal="left"/>
    </xf>
    <xf numFmtId="2" fontId="24" fillId="36" borderId="35" xfId="0" applyNumberFormat="1" applyFont="1" applyFill="1" applyBorder="1" applyAlignment="1" applyProtection="1">
      <alignment horizontal="left" vertical="center" wrapText="1"/>
    </xf>
    <xf numFmtId="0" fontId="24" fillId="36" borderId="36" xfId="0" applyNumberFormat="1" applyFont="1" applyFill="1" applyBorder="1" applyAlignment="1" applyProtection="1">
      <alignment horizontal="left" vertical="center" wrapText="1"/>
    </xf>
    <xf numFmtId="3" fontId="0" fillId="36" borderId="10" xfId="0" applyNumberFormat="1" applyFont="1" applyFill="1" applyBorder="1" applyAlignment="1" applyProtection="1">
      <alignment horizontal="left"/>
    </xf>
    <xf numFmtId="3" fontId="0" fillId="0" borderId="10" xfId="0" applyNumberFormat="1" applyFont="1" applyBorder="1" applyAlignment="1">
      <alignment horizontal="left"/>
    </xf>
    <xf numFmtId="0" fontId="0" fillId="36" borderId="10" xfId="0" applyNumberFormat="1" applyFont="1" applyFill="1" applyBorder="1" applyAlignment="1" applyProtection="1">
      <alignment horizontal="left"/>
    </xf>
    <xf numFmtId="0" fontId="0" fillId="36" borderId="36" xfId="0" applyNumberFormat="1" applyFont="1" applyFill="1" applyBorder="1" applyAlignment="1" applyProtection="1">
      <alignment horizontal="left"/>
    </xf>
    <xf numFmtId="2" fontId="24" fillId="36" borderId="36" xfId="0" applyNumberFormat="1" applyFont="1" applyFill="1" applyBorder="1" applyAlignment="1" applyProtection="1">
      <alignment horizontal="left" wrapText="1"/>
    </xf>
    <xf numFmtId="0" fontId="0" fillId="39" borderId="43" xfId="0" applyFont="1" applyFill="1" applyBorder="1" applyAlignment="1">
      <alignment horizontal="left" vertical="center"/>
    </xf>
    <xf numFmtId="0" fontId="24" fillId="36" borderId="13" xfId="0" applyNumberFormat="1" applyFont="1" applyFill="1" applyBorder="1" applyAlignment="1" applyProtection="1">
      <alignment horizontal="left" wrapText="1"/>
    </xf>
    <xf numFmtId="3" fontId="0" fillId="36" borderId="13" xfId="0" applyNumberFormat="1" applyFont="1" applyFill="1" applyBorder="1" applyAlignment="1" applyProtection="1">
      <alignment horizontal="left"/>
    </xf>
    <xf numFmtId="0" fontId="0" fillId="33" borderId="12" xfId="0" applyFill="1" applyBorder="1" applyAlignment="1"/>
    <xf numFmtId="0" fontId="0" fillId="33" borderId="32" xfId="0" applyFill="1" applyBorder="1" applyAlignment="1"/>
    <xf numFmtId="167" fontId="0" fillId="35" borderId="11" xfId="57" applyNumberFormat="1" applyFont="1" applyFill="1" applyBorder="1" applyAlignment="1"/>
    <xf numFmtId="167" fontId="0" fillId="35" borderId="15" xfId="57" applyNumberFormat="1" applyFont="1" applyFill="1" applyBorder="1" applyAlignment="1"/>
    <xf numFmtId="8" fontId="24" fillId="36" borderId="65" xfId="0" applyNumberFormat="1" applyFont="1" applyFill="1" applyBorder="1" applyAlignment="1" applyProtection="1">
      <alignment horizontal="left" wrapText="1"/>
    </xf>
    <xf numFmtId="8" fontId="24" fillId="36" borderId="0" xfId="0" applyNumberFormat="1" applyFont="1" applyFill="1" applyBorder="1" applyAlignment="1" applyProtection="1">
      <alignment horizontal="left" wrapText="1"/>
    </xf>
    <xf numFmtId="0" fontId="0" fillId="33" borderId="19" xfId="0" applyFont="1" applyFill="1" applyBorder="1" applyAlignment="1">
      <alignment horizontal="left"/>
    </xf>
    <xf numFmtId="2" fontId="24" fillId="36" borderId="23" xfId="0" applyNumberFormat="1" applyFont="1" applyFill="1" applyBorder="1" applyAlignment="1" applyProtection="1">
      <alignment horizontal="left" wrapText="1"/>
    </xf>
    <xf numFmtId="0" fontId="0" fillId="0" borderId="11" xfId="0" applyFont="1" applyFill="1" applyBorder="1" applyAlignment="1">
      <alignment horizontal="left" vertical="center"/>
    </xf>
    <xf numFmtId="8" fontId="24" fillId="36" borderId="75" xfId="0" applyNumberFormat="1" applyFont="1" applyFill="1" applyBorder="1" applyAlignment="1" applyProtection="1">
      <alignment horizontal="left" wrapText="1"/>
    </xf>
    <xf numFmtId="37" fontId="0" fillId="0" borderId="0" xfId="57" applyNumberFormat="1" applyFont="1" applyBorder="1" applyAlignment="1">
      <alignment horizontal="left"/>
    </xf>
    <xf numFmtId="1" fontId="0" fillId="0" borderId="0" xfId="0" applyNumberFormat="1" applyFont="1" applyBorder="1" applyAlignment="1">
      <alignment horizontal="left"/>
    </xf>
    <xf numFmtId="9" fontId="24" fillId="36" borderId="76" xfId="58" applyFont="1" applyFill="1" applyBorder="1" applyAlignment="1" applyProtection="1">
      <alignment horizontal="left" wrapText="1"/>
    </xf>
    <xf numFmtId="0" fontId="16" fillId="33" borderId="11" xfId="0" applyFont="1" applyFill="1" applyBorder="1" applyAlignment="1">
      <alignment vertical="center"/>
    </xf>
    <xf numFmtId="0" fontId="0" fillId="0" borderId="11" xfId="0" applyFill="1" applyBorder="1" applyAlignment="1">
      <alignment horizontal="left" vertical="center"/>
    </xf>
    <xf numFmtId="0" fontId="16" fillId="33" borderId="43" xfId="0" applyFont="1" applyFill="1" applyBorder="1" applyAlignment="1">
      <alignment vertical="center"/>
    </xf>
    <xf numFmtId="167" fontId="24" fillId="36" borderId="77" xfId="0" applyNumberFormat="1" applyFont="1" applyFill="1" applyBorder="1" applyAlignment="1" applyProtection="1">
      <alignment horizontal="left" wrapText="1"/>
    </xf>
    <xf numFmtId="167" fontId="24" fillId="36" borderId="11" xfId="0" applyNumberFormat="1" applyFont="1" applyFill="1" applyBorder="1" applyAlignment="1" applyProtection="1">
      <alignment horizontal="left" wrapText="1"/>
    </xf>
    <xf numFmtId="9" fontId="24" fillId="36" borderId="70" xfId="58" applyFont="1" applyFill="1" applyBorder="1" applyAlignment="1" applyProtection="1">
      <alignment horizontal="left" vertical="center" wrapText="1"/>
    </xf>
    <xf numFmtId="0" fontId="0" fillId="0" borderId="12" xfId="0" applyFont="1" applyBorder="1" applyAlignment="1">
      <alignment horizontal="left"/>
    </xf>
    <xf numFmtId="0" fontId="0" fillId="0" borderId="10" xfId="0" applyFont="1" applyFill="1" applyBorder="1" applyAlignment="1">
      <alignment horizontal="left" vertical="center"/>
    </xf>
    <xf numFmtId="167" fontId="24" fillId="0" borderId="13" xfId="0" applyNumberFormat="1" applyFont="1" applyFill="1" applyBorder="1" applyAlignment="1" applyProtection="1">
      <alignment horizontal="left" wrapText="1"/>
    </xf>
    <xf numFmtId="167" fontId="24" fillId="0" borderId="10" xfId="0" applyNumberFormat="1" applyFont="1" applyFill="1" applyBorder="1" applyAlignment="1" applyProtection="1">
      <alignment horizontal="left" wrapText="1"/>
    </xf>
    <xf numFmtId="37" fontId="24" fillId="36" borderId="11" xfId="57" applyNumberFormat="1" applyFont="1" applyFill="1" applyBorder="1" applyAlignment="1" applyProtection="1">
      <alignment horizontal="left" wrapText="1"/>
    </xf>
    <xf numFmtId="2" fontId="24" fillId="36" borderId="13" xfId="0" applyNumberFormat="1" applyFont="1" applyFill="1" applyBorder="1" applyAlignment="1" applyProtection="1">
      <alignment horizontal="left" wrapText="1"/>
    </xf>
    <xf numFmtId="0" fontId="16" fillId="33" borderId="39" xfId="0" applyFont="1" applyFill="1" applyBorder="1" applyAlignment="1">
      <alignment horizontal="left" vertical="center" wrapText="1"/>
    </xf>
    <xf numFmtId="0" fontId="0" fillId="0" borderId="13" xfId="0" applyFont="1" applyBorder="1" applyAlignment="1">
      <alignment vertical="center"/>
    </xf>
    <xf numFmtId="0" fontId="0" fillId="0" borderId="13" xfId="0" applyFont="1" applyFill="1" applyBorder="1" applyAlignment="1">
      <alignment horizontal="left" vertical="center"/>
    </xf>
    <xf numFmtId="0" fontId="0" fillId="0" borderId="12" xfId="0" applyFont="1" applyBorder="1" applyAlignment="1">
      <alignment horizontal="left" vertical="center"/>
    </xf>
    <xf numFmtId="0" fontId="27" fillId="36" borderId="36" xfId="0" applyNumberFormat="1" applyFont="1" applyFill="1" applyBorder="1" applyAlignment="1" applyProtection="1">
      <alignment horizontal="left" wrapText="1"/>
    </xf>
    <xf numFmtId="0" fontId="0" fillId="39" borderId="11" xfId="0" applyFont="1" applyFill="1" applyBorder="1" applyAlignment="1">
      <alignment horizontal="left" vertical="center"/>
    </xf>
    <xf numFmtId="0" fontId="27" fillId="36" borderId="10" xfId="0" applyNumberFormat="1" applyFont="1" applyFill="1" applyBorder="1" applyAlignment="1" applyProtection="1">
      <alignment horizontal="left"/>
    </xf>
    <xf numFmtId="37" fontId="28" fillId="36" borderId="13" xfId="57" applyNumberFormat="1" applyFont="1" applyFill="1" applyBorder="1" applyAlignment="1" applyProtection="1">
      <alignment horizontal="left"/>
    </xf>
    <xf numFmtId="37" fontId="28" fillId="36" borderId="10" xfId="57" applyNumberFormat="1" applyFont="1" applyFill="1" applyBorder="1" applyAlignment="1" applyProtection="1">
      <alignment horizontal="left"/>
    </xf>
    <xf numFmtId="37" fontId="0" fillId="0" borderId="10" xfId="0" applyNumberFormat="1" applyFont="1" applyBorder="1" applyAlignment="1">
      <alignment horizontal="left"/>
    </xf>
    <xf numFmtId="37" fontId="0" fillId="0" borderId="23" xfId="0" applyNumberFormat="1" applyFont="1" applyBorder="1" applyAlignment="1">
      <alignment horizontal="left"/>
    </xf>
    <xf numFmtId="0" fontId="0" fillId="0" borderId="36" xfId="0" applyFont="1" applyBorder="1" applyAlignment="1">
      <alignment horizontal="left"/>
    </xf>
    <xf numFmtId="2" fontId="0" fillId="33" borderId="10" xfId="0" applyNumberFormat="1" applyFont="1" applyFill="1" applyBorder="1" applyAlignment="1">
      <alignment horizontal="left"/>
    </xf>
    <xf numFmtId="2" fontId="0" fillId="0" borderId="25" xfId="0" applyNumberFormat="1" applyFont="1" applyBorder="1" applyAlignment="1">
      <alignment horizontal="left"/>
    </xf>
    <xf numFmtId="2" fontId="0" fillId="0" borderId="13" xfId="0" applyNumberFormat="1" applyFont="1" applyBorder="1" applyAlignment="1">
      <alignment horizontal="left"/>
    </xf>
    <xf numFmtId="171" fontId="24" fillId="36" borderId="10" xfId="0" applyNumberFormat="1" applyFont="1" applyFill="1" applyBorder="1" applyAlignment="1" applyProtection="1">
      <alignment horizontal="left" wrapText="1"/>
    </xf>
    <xf numFmtId="171" fontId="24" fillId="36" borderId="11" xfId="0" applyNumberFormat="1" applyFont="1" applyFill="1" applyBorder="1" applyAlignment="1" applyProtection="1">
      <alignment horizontal="left" wrapText="1"/>
    </xf>
    <xf numFmtId="3" fontId="24" fillId="36" borderId="10" xfId="0" applyNumberFormat="1" applyFont="1" applyFill="1" applyBorder="1" applyAlignment="1" applyProtection="1">
      <alignment horizontal="left" wrapText="1"/>
    </xf>
    <xf numFmtId="3" fontId="24" fillId="36" borderId="11" xfId="57" applyNumberFormat="1" applyFont="1" applyFill="1" applyBorder="1" applyAlignment="1" applyProtection="1">
      <alignment horizontal="left" wrapText="1"/>
    </xf>
    <xf numFmtId="1" fontId="24" fillId="36" borderId="10" xfId="0" applyNumberFormat="1" applyFont="1" applyFill="1" applyBorder="1" applyAlignment="1" applyProtection="1">
      <alignment horizontal="left" wrapText="1"/>
    </xf>
    <xf numFmtId="0" fontId="0" fillId="0" borderId="17" xfId="0" applyFont="1" applyBorder="1" applyAlignment="1">
      <alignment horizontal="left"/>
    </xf>
    <xf numFmtId="0" fontId="27" fillId="36" borderId="72" xfId="0" applyNumberFormat="1" applyFont="1" applyFill="1" applyBorder="1" applyAlignment="1" applyProtection="1">
      <alignment horizontal="left" wrapText="1"/>
    </xf>
    <xf numFmtId="167" fontId="27" fillId="36" borderId="71" xfId="0" applyNumberFormat="1" applyFont="1" applyFill="1" applyBorder="1" applyAlignment="1" applyProtection="1">
      <alignment horizontal="left" wrapText="1"/>
    </xf>
    <xf numFmtId="0" fontId="0" fillId="0" borderId="11" xfId="0" applyFont="1" applyBorder="1"/>
    <xf numFmtId="0" fontId="0" fillId="0" borderId="10" xfId="0" applyFont="1" applyBorder="1" applyAlignment="1">
      <alignment horizontal="left"/>
    </xf>
    <xf numFmtId="172" fontId="0" fillId="0" borderId="10" xfId="0" applyNumberFormat="1" applyFont="1" applyBorder="1" applyAlignment="1">
      <alignment horizontal="left"/>
    </xf>
    <xf numFmtId="172" fontId="0" fillId="0" borderId="36" xfId="0" applyNumberFormat="1" applyFont="1" applyBorder="1" applyAlignment="1">
      <alignment horizontal="left"/>
    </xf>
    <xf numFmtId="2" fontId="0" fillId="0" borderId="23" xfId="0" quotePrefix="1" applyNumberFormat="1" applyFont="1" applyBorder="1" applyAlignment="1">
      <alignment horizontal="left"/>
    </xf>
    <xf numFmtId="2" fontId="0" fillId="33" borderId="10" xfId="0" applyNumberFormat="1" applyFont="1" applyFill="1" applyBorder="1" applyAlignment="1">
      <alignment horizontal="left" vertical="center"/>
    </xf>
    <xf numFmtId="2" fontId="0" fillId="33" borderId="23" xfId="0" applyNumberFormat="1" applyFont="1" applyFill="1" applyBorder="1" applyAlignment="1">
      <alignment horizontal="left" vertical="center"/>
    </xf>
    <xf numFmtId="2" fontId="0" fillId="33" borderId="44" xfId="0" applyNumberFormat="1" applyFont="1" applyFill="1" applyBorder="1" applyAlignment="1">
      <alignment horizontal="left" vertical="center"/>
    </xf>
    <xf numFmtId="2" fontId="0" fillId="33" borderId="0" xfId="0" applyNumberFormat="1" applyFont="1" applyFill="1" applyBorder="1" applyAlignment="1">
      <alignment horizontal="left" vertical="center"/>
    </xf>
    <xf numFmtId="2" fontId="0" fillId="0" borderId="10" xfId="0" applyNumberFormat="1" applyFont="1" applyFill="1" applyBorder="1" applyAlignment="1">
      <alignment horizontal="left"/>
    </xf>
    <xf numFmtId="2" fontId="0" fillId="35" borderId="19" xfId="57" applyNumberFormat="1" applyFont="1" applyFill="1" applyBorder="1" applyAlignment="1">
      <alignment horizontal="left"/>
    </xf>
    <xf numFmtId="2" fontId="24" fillId="36" borderId="65" xfId="0" applyNumberFormat="1" applyFont="1" applyFill="1" applyBorder="1" applyAlignment="1" applyProtection="1">
      <alignment horizontal="left" wrapText="1"/>
    </xf>
    <xf numFmtId="2" fontId="24" fillId="36" borderId="63" xfId="0" applyNumberFormat="1" applyFont="1" applyFill="1" applyBorder="1" applyAlignment="1" applyProtection="1">
      <alignment horizontal="left" wrapText="1"/>
    </xf>
    <xf numFmtId="2" fontId="24" fillId="36" borderId="34" xfId="0" applyNumberFormat="1" applyFont="1" applyFill="1" applyBorder="1" applyAlignment="1" applyProtection="1">
      <alignment horizontal="left" wrapText="1"/>
    </xf>
    <xf numFmtId="2" fontId="0" fillId="33" borderId="33" xfId="0" applyNumberFormat="1" applyFont="1" applyFill="1" applyBorder="1" applyAlignment="1">
      <alignment horizontal="left" vertical="center"/>
    </xf>
    <xf numFmtId="2" fontId="27" fillId="36" borderId="60" xfId="0" applyNumberFormat="1" applyFont="1" applyFill="1" applyBorder="1" applyAlignment="1" applyProtection="1">
      <alignment horizontal="left" wrapText="1"/>
    </xf>
    <xf numFmtId="2" fontId="0" fillId="33" borderId="0" xfId="0" applyNumberFormat="1" applyFont="1" applyFill="1" applyBorder="1" applyAlignment="1">
      <alignment horizontal="left"/>
    </xf>
    <xf numFmtId="2" fontId="0" fillId="0" borderId="10" xfId="0" quotePrefix="1" applyNumberFormat="1" applyBorder="1" applyAlignment="1">
      <alignment horizontal="left"/>
    </xf>
    <xf numFmtId="2" fontId="0" fillId="0" borderId="23" xfId="0" applyNumberFormat="1" applyFont="1" applyBorder="1" applyAlignment="1">
      <alignment horizontal="left" vertical="center"/>
    </xf>
    <xf numFmtId="2" fontId="0" fillId="0" borderId="10" xfId="0" quotePrefix="1" applyNumberFormat="1" applyFont="1" applyBorder="1" applyAlignment="1">
      <alignment horizontal="left" vertical="center"/>
    </xf>
    <xf numFmtId="2" fontId="0" fillId="33" borderId="44" xfId="0" applyNumberFormat="1" applyFont="1" applyFill="1" applyBorder="1" applyAlignment="1">
      <alignment horizontal="left"/>
    </xf>
    <xf numFmtId="2" fontId="24" fillId="36" borderId="60" xfId="0" applyNumberFormat="1" applyFont="1" applyFill="1" applyBorder="1" applyAlignment="1" applyProtection="1">
      <alignment horizontal="left" vertical="center" wrapText="1"/>
    </xf>
    <xf numFmtId="2" fontId="24" fillId="36" borderId="67" xfId="0" applyNumberFormat="1" applyFont="1" applyFill="1" applyBorder="1" applyAlignment="1" applyProtection="1">
      <alignment horizontal="left" wrapText="1"/>
    </xf>
    <xf numFmtId="2" fontId="0" fillId="33" borderId="10" xfId="0" applyNumberFormat="1" applyFont="1" applyFill="1" applyBorder="1" applyAlignment="1"/>
    <xf numFmtId="2" fontId="0" fillId="33" borderId="0" xfId="0" applyNumberFormat="1" applyFont="1" applyFill="1" applyBorder="1" applyAlignment="1"/>
    <xf numFmtId="2" fontId="0" fillId="33" borderId="51" xfId="0" applyNumberFormat="1" applyFont="1" applyFill="1" applyBorder="1" applyAlignment="1"/>
    <xf numFmtId="2" fontId="0" fillId="33" borderId="44" xfId="0" applyNumberFormat="1" applyFont="1" applyFill="1" applyBorder="1" applyAlignment="1"/>
    <xf numFmtId="2" fontId="0" fillId="33" borderId="23" xfId="0" applyNumberFormat="1" applyFont="1" applyFill="1" applyBorder="1" applyAlignment="1"/>
    <xf numFmtId="2" fontId="0" fillId="33" borderId="51" xfId="0" applyNumberFormat="1" applyFont="1" applyFill="1" applyBorder="1" applyAlignment="1">
      <alignment horizontal="left"/>
    </xf>
    <xf numFmtId="2" fontId="0" fillId="0" borderId="35" xfId="0" applyNumberFormat="1" applyFont="1" applyFill="1" applyBorder="1" applyAlignment="1">
      <alignment horizontal="left"/>
    </xf>
    <xf numFmtId="2" fontId="0" fillId="33" borderId="33" xfId="0" applyNumberFormat="1" applyFont="1" applyFill="1" applyBorder="1" applyAlignment="1"/>
    <xf numFmtId="167" fontId="0" fillId="33" borderId="10" xfId="0" applyNumberFormat="1" applyFill="1" applyBorder="1" applyAlignment="1">
      <alignment horizontal="left" vertical="center"/>
    </xf>
    <xf numFmtId="167" fontId="0" fillId="33" borderId="35" xfId="0" applyNumberFormat="1" applyFont="1" applyFill="1" applyBorder="1" applyAlignment="1">
      <alignment horizontal="left" vertical="center"/>
    </xf>
    <xf numFmtId="167" fontId="0" fillId="33" borderId="24" xfId="0" applyNumberFormat="1" applyFont="1" applyFill="1" applyBorder="1" applyAlignment="1">
      <alignment horizontal="left" vertical="center"/>
    </xf>
    <xf numFmtId="2" fontId="0" fillId="0" borderId="16" xfId="0" applyNumberFormat="1" applyFont="1" applyBorder="1" applyAlignment="1">
      <alignment horizontal="left"/>
    </xf>
    <xf numFmtId="2" fontId="0" fillId="0" borderId="23" xfId="57" applyNumberFormat="1" applyFont="1" applyBorder="1" applyAlignment="1">
      <alignment horizontal="left"/>
    </xf>
    <xf numFmtId="2" fontId="0" fillId="0" borderId="10" xfId="57" applyNumberFormat="1" applyFont="1" applyBorder="1" applyAlignment="1">
      <alignment horizontal="left"/>
    </xf>
    <xf numFmtId="2" fontId="27" fillId="36" borderId="63" xfId="0" applyNumberFormat="1" applyFont="1" applyFill="1" applyBorder="1" applyAlignment="1" applyProtection="1">
      <alignment horizontal="left" wrapText="1"/>
    </xf>
    <xf numFmtId="2" fontId="0" fillId="0" borderId="11" xfId="0" quotePrefix="1" applyNumberFormat="1" applyBorder="1" applyAlignment="1">
      <alignment horizontal="left"/>
    </xf>
    <xf numFmtId="3" fontId="24" fillId="0" borderId="11" xfId="57" applyNumberFormat="1" applyFont="1" applyFill="1" applyBorder="1" applyAlignment="1" applyProtection="1">
      <alignment horizontal="left" wrapText="1"/>
    </xf>
    <xf numFmtId="3" fontId="0" fillId="0" borderId="35" xfId="0" applyNumberFormat="1" applyFill="1" applyBorder="1" applyAlignment="1" applyProtection="1"/>
    <xf numFmtId="0" fontId="0" fillId="0" borderId="35" xfId="0" applyFill="1" applyBorder="1" applyAlignment="1"/>
    <xf numFmtId="3" fontId="0" fillId="0" borderId="10" xfId="0" applyNumberFormat="1" applyFill="1" applyBorder="1" applyAlignment="1" applyProtection="1"/>
    <xf numFmtId="0" fontId="0" fillId="0" borderId="10" xfId="0" applyFill="1" applyBorder="1" applyAlignment="1"/>
    <xf numFmtId="164" fontId="0" fillId="0" borderId="15" xfId="0" applyNumberFormat="1" applyFont="1" applyBorder="1" applyAlignment="1">
      <alignment horizontal="left"/>
    </xf>
    <xf numFmtId="164" fontId="0" fillId="0" borderId="23" xfId="0" applyNumberFormat="1" applyFont="1" applyFill="1" applyBorder="1" applyAlignment="1">
      <alignment horizontal="left"/>
    </xf>
    <xf numFmtId="0" fontId="0" fillId="0" borderId="17" xfId="0" applyBorder="1" applyAlignment="1"/>
    <xf numFmtId="0" fontId="0" fillId="33" borderId="15" xfId="0" applyFont="1" applyFill="1" applyBorder="1"/>
    <xf numFmtId="0" fontId="0" fillId="33" borderId="12" xfId="0" applyFont="1" applyFill="1" applyBorder="1"/>
    <xf numFmtId="0" fontId="0" fillId="33" borderId="32" xfId="0" applyFont="1" applyFill="1" applyBorder="1"/>
    <xf numFmtId="0" fontId="0" fillId="33" borderId="37" xfId="0" applyFont="1" applyFill="1" applyBorder="1" applyAlignment="1"/>
    <xf numFmtId="0" fontId="0" fillId="33" borderId="12" xfId="0" applyFont="1" applyFill="1" applyBorder="1" applyAlignment="1">
      <alignment vertical="center"/>
    </xf>
    <xf numFmtId="9" fontId="0" fillId="33" borderId="0" xfId="58" applyFont="1" applyFill="1" applyBorder="1" applyAlignment="1">
      <alignment horizontal="left"/>
    </xf>
    <xf numFmtId="0" fontId="16" fillId="33" borderId="10" xfId="0" applyFont="1" applyFill="1" applyBorder="1" applyAlignment="1">
      <alignment vertical="center" wrapText="1"/>
    </xf>
    <xf numFmtId="0" fontId="16" fillId="33" borderId="11" xfId="0" applyFont="1" applyFill="1" applyBorder="1" applyAlignment="1">
      <alignment vertical="center" wrapText="1"/>
    </xf>
    <xf numFmtId="0" fontId="0" fillId="0" borderId="11" xfId="0" applyFill="1" applyBorder="1" applyAlignment="1">
      <alignment vertical="center"/>
    </xf>
    <xf numFmtId="0" fontId="0" fillId="0" borderId="11" xfId="0" applyFont="1" applyFill="1" applyBorder="1" applyAlignment="1">
      <alignment vertical="center"/>
    </xf>
    <xf numFmtId="0" fontId="0" fillId="0" borderId="10" xfId="0" quotePrefix="1" applyNumberFormat="1" applyFont="1" applyFill="1" applyBorder="1" applyAlignment="1"/>
    <xf numFmtId="0" fontId="0" fillId="0" borderId="10" xfId="0" quotePrefix="1" applyFont="1" applyBorder="1" applyAlignment="1"/>
    <xf numFmtId="0" fontId="0" fillId="0" borderId="10" xfId="0" quotePrefix="1" applyFont="1" applyFill="1" applyBorder="1" applyAlignment="1"/>
    <xf numFmtId="1" fontId="0" fillId="0" borderId="10" xfId="57" applyNumberFormat="1" applyFont="1" applyBorder="1" applyAlignment="1">
      <alignment horizontal="left"/>
    </xf>
    <xf numFmtId="1" fontId="24" fillId="0" borderId="10" xfId="57" applyNumberFormat="1" applyFont="1" applyBorder="1" applyAlignment="1">
      <alignment horizontal="left"/>
    </xf>
    <xf numFmtId="164" fontId="0" fillId="0" borderId="10" xfId="57" applyNumberFormat="1" applyFont="1" applyBorder="1" applyAlignment="1">
      <alignment horizontal="left"/>
    </xf>
    <xf numFmtId="164" fontId="24" fillId="0" borderId="10" xfId="57" applyNumberFormat="1" applyFont="1" applyBorder="1" applyAlignment="1">
      <alignment horizontal="left"/>
    </xf>
    <xf numFmtId="1" fontId="0" fillId="0" borderId="35" xfId="57" applyNumberFormat="1" applyFont="1" applyBorder="1" applyAlignment="1">
      <alignment horizontal="left"/>
    </xf>
    <xf numFmtId="164" fontId="0" fillId="0" borderId="35" xfId="57" applyNumberFormat="1" applyFont="1" applyBorder="1" applyAlignment="1">
      <alignment horizontal="left"/>
    </xf>
    <xf numFmtId="2" fontId="0" fillId="0" borderId="78" xfId="0" applyNumberFormat="1" applyFont="1" applyBorder="1" applyAlignment="1">
      <alignment horizontal="left" vertical="center" wrapText="1"/>
    </xf>
    <xf numFmtId="167" fontId="24" fillId="35" borderId="64" xfId="60" applyNumberFormat="1" applyFont="1" applyFill="1" applyBorder="1" applyAlignment="1">
      <alignment horizontal="left"/>
    </xf>
    <xf numFmtId="167" fontId="24" fillId="35" borderId="14" xfId="60" applyNumberFormat="1" applyFont="1" applyFill="1" applyBorder="1" applyAlignment="1">
      <alignment horizontal="left"/>
    </xf>
    <xf numFmtId="167" fontId="0" fillId="33" borderId="36" xfId="0" applyNumberFormat="1" applyFont="1" applyFill="1" applyBorder="1" applyAlignment="1">
      <alignment horizontal="left"/>
    </xf>
    <xf numFmtId="37" fontId="0" fillId="0" borderId="10" xfId="57" applyNumberFormat="1" applyFont="1" applyBorder="1" applyAlignment="1">
      <alignment horizontal="left"/>
    </xf>
    <xf numFmtId="2" fontId="0" fillId="0" borderId="79" xfId="0" applyNumberFormat="1" applyFont="1" applyBorder="1" applyAlignment="1">
      <alignment horizontal="left" vertical="center" wrapText="1"/>
    </xf>
    <xf numFmtId="167" fontId="0" fillId="0" borderId="35" xfId="58" applyNumberFormat="1" applyFont="1" applyBorder="1" applyAlignment="1">
      <alignment horizontal="left"/>
    </xf>
    <xf numFmtId="167" fontId="0" fillId="0" borderId="10" xfId="58" applyNumberFormat="1" applyFont="1" applyBorder="1" applyAlignment="1">
      <alignment horizontal="left"/>
    </xf>
    <xf numFmtId="7" fontId="0" fillId="33" borderId="0" xfId="59" applyNumberFormat="1" applyFont="1" applyFill="1" applyBorder="1" applyAlignment="1">
      <alignment horizontal="left"/>
    </xf>
    <xf numFmtId="7" fontId="0" fillId="0" borderId="10" xfId="59" applyNumberFormat="1" applyFont="1" applyBorder="1" applyAlignment="1">
      <alignment horizontal="left"/>
    </xf>
    <xf numFmtId="167" fontId="24" fillId="0" borderId="35" xfId="58" applyNumberFormat="1" applyFont="1" applyFill="1" applyBorder="1" applyAlignment="1">
      <alignment horizontal="left"/>
    </xf>
    <xf numFmtId="2" fontId="0" fillId="0" borderId="10" xfId="0" applyNumberFormat="1" applyFont="1" applyBorder="1" applyAlignment="1">
      <alignment horizontal="left" vertical="center" wrapText="1"/>
    </xf>
    <xf numFmtId="167" fontId="24" fillId="0" borderId="10" xfId="58" applyNumberFormat="1" applyFont="1" applyFill="1" applyBorder="1" applyAlignment="1">
      <alignment horizontal="left"/>
    </xf>
    <xf numFmtId="2" fontId="0" fillId="0" borderId="36" xfId="0" applyNumberFormat="1" applyFont="1" applyBorder="1" applyAlignment="1">
      <alignment horizontal="left"/>
    </xf>
    <xf numFmtId="0" fontId="16" fillId="33" borderId="14" xfId="0" applyFont="1" applyFill="1" applyBorder="1" applyAlignment="1">
      <alignment vertical="center" wrapText="1"/>
    </xf>
    <xf numFmtId="2" fontId="0" fillId="0" borderId="36" xfId="0" applyNumberFormat="1" applyFont="1" applyBorder="1" applyAlignment="1">
      <alignment horizontal="left" vertical="center" wrapText="1"/>
    </xf>
    <xf numFmtId="7" fontId="0" fillId="0" borderId="35" xfId="59" applyNumberFormat="1" applyFont="1" applyBorder="1" applyAlignment="1">
      <alignment horizontal="left"/>
    </xf>
    <xf numFmtId="0" fontId="0" fillId="0" borderId="13" xfId="0" applyFont="1" applyBorder="1" applyAlignment="1">
      <alignment horizontal="left"/>
    </xf>
    <xf numFmtId="167" fontId="0" fillId="0" borderId="10" xfId="0" applyNumberFormat="1" applyFont="1" applyBorder="1" applyAlignment="1">
      <alignment horizontal="left" vertical="center"/>
    </xf>
    <xf numFmtId="2" fontId="0" fillId="0" borderId="10" xfId="0" applyNumberFormat="1" applyFont="1" applyBorder="1" applyAlignment="1">
      <alignment horizontal="left"/>
    </xf>
    <xf numFmtId="2" fontId="0" fillId="0" borderId="17" xfId="0" applyNumberFormat="1" applyFont="1" applyBorder="1" applyAlignment="1">
      <alignment horizontal="left"/>
    </xf>
    <xf numFmtId="164" fontId="0" fillId="0" borderId="10" xfId="0" applyNumberFormat="1" applyFont="1" applyBorder="1" applyAlignment="1">
      <alignment horizontal="left" vertical="center"/>
    </xf>
    <xf numFmtId="164" fontId="0" fillId="0" borderId="10" xfId="0" applyNumberFormat="1" applyBorder="1" applyAlignment="1">
      <alignment horizontal="left" vertical="center"/>
    </xf>
    <xf numFmtId="164" fontId="0" fillId="0" borderId="11" xfId="0" applyNumberFormat="1" applyFont="1" applyBorder="1" applyAlignment="1">
      <alignment horizontal="left" vertical="center"/>
    </xf>
    <xf numFmtId="167" fontId="0" fillId="0" borderId="23" xfId="0" applyNumberFormat="1" applyFont="1" applyFill="1" applyBorder="1" applyAlignment="1">
      <alignment horizontal="left" vertical="center"/>
    </xf>
    <xf numFmtId="0" fontId="0" fillId="33" borderId="11" xfId="0" applyFont="1" applyFill="1" applyBorder="1" applyAlignment="1">
      <alignment horizontal="left" vertical="center"/>
    </xf>
    <xf numFmtId="0" fontId="0" fillId="33" borderId="15" xfId="0" applyFont="1" applyFill="1" applyBorder="1" applyAlignment="1">
      <alignment horizontal="left" vertical="center"/>
    </xf>
    <xf numFmtId="170" fontId="0" fillId="0" borderId="11" xfId="0" applyNumberFormat="1" applyFont="1" applyBorder="1" applyAlignment="1">
      <alignment horizontal="left" vertical="center"/>
    </xf>
    <xf numFmtId="0" fontId="0" fillId="33" borderId="16" xfId="0" applyFont="1" applyFill="1" applyBorder="1" applyAlignment="1">
      <alignment horizontal="left" vertical="center"/>
    </xf>
    <xf numFmtId="170" fontId="0" fillId="0" borderId="15" xfId="0" applyNumberFormat="1" applyFont="1" applyBorder="1" applyAlignment="1">
      <alignment horizontal="left" vertical="center"/>
    </xf>
    <xf numFmtId="0" fontId="0" fillId="0" borderId="12" xfId="0" applyFont="1" applyBorder="1" applyAlignment="1"/>
    <xf numFmtId="167" fontId="0" fillId="0" borderId="10" xfId="0" applyNumberFormat="1" applyFont="1" applyFill="1" applyBorder="1" applyAlignment="1">
      <alignment horizontal="left" vertical="center"/>
    </xf>
    <xf numFmtId="167" fontId="0" fillId="0" borderId="10" xfId="0" applyNumberFormat="1" applyFont="1" applyBorder="1" applyAlignment="1">
      <alignment horizontal="left" vertical="center" wrapText="1"/>
    </xf>
    <xf numFmtId="164" fontId="0" fillId="0" borderId="13" xfId="0" applyNumberFormat="1" applyBorder="1" applyAlignment="1">
      <alignment horizontal="left" vertical="center"/>
    </xf>
    <xf numFmtId="164" fontId="0" fillId="0" borderId="16" xfId="0" applyNumberFormat="1" applyFont="1" applyBorder="1" applyAlignment="1">
      <alignment horizontal="left" vertical="center"/>
    </xf>
    <xf numFmtId="164" fontId="0" fillId="0" borderId="15" xfId="0" applyNumberFormat="1" applyFont="1" applyBorder="1" applyAlignment="1">
      <alignment horizontal="left" vertical="center"/>
    </xf>
    <xf numFmtId="164" fontId="0" fillId="0" borderId="13" xfId="0" applyNumberFormat="1" applyFont="1" applyBorder="1" applyAlignment="1">
      <alignment horizontal="left" vertical="center"/>
    </xf>
    <xf numFmtId="164" fontId="0" fillId="0" borderId="35" xfId="0" applyNumberFormat="1" applyFont="1" applyBorder="1" applyAlignment="1">
      <alignment horizontal="left" vertical="center"/>
    </xf>
    <xf numFmtId="0" fontId="0" fillId="0" borderId="10" xfId="0" applyFont="1" applyBorder="1" applyAlignment="1">
      <alignment horizontal="left" vertical="center"/>
    </xf>
    <xf numFmtId="0" fontId="0" fillId="0" borderId="11" xfId="0" applyFont="1" applyBorder="1" applyAlignment="1">
      <alignment horizontal="left" vertical="center"/>
    </xf>
    <xf numFmtId="0" fontId="0" fillId="0" borderId="0" xfId="0" applyFont="1" applyFill="1" applyBorder="1" applyAlignment="1"/>
    <xf numFmtId="0" fontId="0" fillId="0" borderId="0" xfId="0" applyBorder="1"/>
    <xf numFmtId="0" fontId="0" fillId="0" borderId="0" xfId="0" applyBorder="1" applyAlignment="1"/>
    <xf numFmtId="0" fontId="0" fillId="0" borderId="54" xfId="0" applyFont="1" applyBorder="1" applyAlignment="1">
      <alignment vertical="center"/>
    </xf>
    <xf numFmtId="2" fontId="0" fillId="33" borderId="0" xfId="0" applyNumberFormat="1" applyFill="1" applyBorder="1" applyAlignment="1"/>
    <xf numFmtId="0" fontId="0" fillId="0" borderId="54" xfId="0" applyBorder="1" applyAlignment="1"/>
    <xf numFmtId="167" fontId="0" fillId="33" borderId="0" xfId="0" applyNumberFormat="1" applyFill="1" applyBorder="1" applyAlignment="1"/>
    <xf numFmtId="2" fontId="0" fillId="0" borderId="0" xfId="0" applyNumberFormat="1" applyFont="1" applyBorder="1" applyAlignment="1"/>
    <xf numFmtId="167" fontId="0" fillId="0" borderId="0" xfId="0" applyNumberFormat="1" applyFont="1" applyBorder="1" applyAlignment="1">
      <alignment horizontal="left" vertical="center"/>
    </xf>
    <xf numFmtId="0" fontId="0" fillId="0" borderId="54" xfId="0" applyFont="1" applyBorder="1" applyAlignment="1"/>
    <xf numFmtId="167" fontId="0" fillId="0" borderId="0" xfId="0" applyNumberFormat="1" applyFont="1" applyBorder="1" applyAlignment="1">
      <alignment horizontal="left"/>
    </xf>
    <xf numFmtId="0" fontId="0" fillId="0" borderId="0" xfId="0" applyFont="1" applyBorder="1" applyAlignment="1">
      <alignment vertical="center"/>
    </xf>
    <xf numFmtId="0" fontId="0" fillId="0" borderId="54" xfId="0" applyFont="1" applyFill="1" applyBorder="1" applyAlignment="1"/>
    <xf numFmtId="164" fontId="0" fillId="0" borderId="11" xfId="57" applyNumberFormat="1" applyFont="1" applyBorder="1" applyAlignment="1">
      <alignment horizontal="left"/>
    </xf>
    <xf numFmtId="164" fontId="0" fillId="0" borderId="62" xfId="57" applyNumberFormat="1" applyFont="1" applyBorder="1" applyAlignment="1">
      <alignment horizontal="left"/>
    </xf>
    <xf numFmtId="164" fontId="24" fillId="0" borderId="11" xfId="57" applyNumberFormat="1" applyFont="1" applyBorder="1" applyAlignment="1">
      <alignment horizontal="left"/>
    </xf>
    <xf numFmtId="0" fontId="14" fillId="0" borderId="17" xfId="0" applyFont="1" applyFill="1" applyBorder="1" applyAlignment="1">
      <alignment vertical="center"/>
    </xf>
    <xf numFmtId="37" fontId="24" fillId="0" borderId="11" xfId="57" applyNumberFormat="1" applyFont="1" applyFill="1" applyBorder="1" applyAlignment="1" applyProtection="1">
      <alignment horizontal="left" wrapText="1"/>
    </xf>
    <xf numFmtId="0" fontId="0" fillId="0" borderId="62" xfId="0" applyFont="1" applyBorder="1" applyAlignment="1">
      <alignment horizontal="left"/>
    </xf>
    <xf numFmtId="164" fontId="0" fillId="0" borderId="11" xfId="59" applyNumberFormat="1" applyFont="1" applyBorder="1" applyAlignment="1">
      <alignment horizontal="left"/>
    </xf>
    <xf numFmtId="164" fontId="0" fillId="0" borderId="16" xfId="59" applyNumberFormat="1" applyFont="1" applyBorder="1" applyAlignment="1">
      <alignment horizontal="left"/>
    </xf>
    <xf numFmtId="0" fontId="27" fillId="33" borderId="12" xfId="0" applyNumberFormat="1" applyFont="1" applyFill="1" applyBorder="1" applyAlignment="1" applyProtection="1">
      <alignment horizontal="left" wrapText="1"/>
    </xf>
    <xf numFmtId="167" fontId="0" fillId="0" borderId="70" xfId="0" applyNumberFormat="1" applyFont="1" applyFill="1" applyBorder="1" applyAlignment="1"/>
    <xf numFmtId="7" fontId="0" fillId="39" borderId="11" xfId="59" applyNumberFormat="1" applyFont="1" applyFill="1" applyBorder="1" applyAlignment="1">
      <alignment horizontal="left"/>
    </xf>
    <xf numFmtId="0" fontId="0" fillId="33" borderId="46" xfId="0" applyFont="1" applyFill="1" applyBorder="1" applyAlignment="1"/>
    <xf numFmtId="9" fontId="24" fillId="33" borderId="0" xfId="58" applyFont="1" applyFill="1" applyBorder="1" applyAlignment="1" applyProtection="1">
      <alignment horizontal="left" vertical="center" wrapText="1"/>
    </xf>
    <xf numFmtId="167" fontId="0" fillId="0" borderId="11" xfId="57" applyNumberFormat="1" applyFont="1" applyFill="1" applyBorder="1" applyAlignment="1"/>
    <xf numFmtId="164" fontId="0" fillId="0" borderId="15" xfId="59" applyNumberFormat="1" applyFont="1" applyBorder="1" applyAlignment="1">
      <alignment horizontal="left"/>
    </xf>
    <xf numFmtId="0" fontId="27" fillId="33" borderId="15" xfId="0" applyNumberFormat="1" applyFont="1" applyFill="1" applyBorder="1" applyAlignment="1" applyProtection="1">
      <alignment horizontal="left" wrapText="1"/>
    </xf>
    <xf numFmtId="167" fontId="0" fillId="0" borderId="10" xfId="0" applyNumberFormat="1" applyFont="1" applyFill="1" applyBorder="1" applyAlignment="1">
      <alignment horizontal="left" vertical="center"/>
    </xf>
    <xf numFmtId="167" fontId="0" fillId="0" borderId="10" xfId="0" applyNumberFormat="1" applyFont="1" applyBorder="1" applyAlignment="1">
      <alignment horizontal="left" vertical="center"/>
    </xf>
    <xf numFmtId="0" fontId="0" fillId="0" borderId="11" xfId="0" applyFont="1" applyBorder="1" applyAlignment="1">
      <alignment horizontal="left" vertical="center"/>
    </xf>
    <xf numFmtId="0" fontId="0" fillId="0" borderId="10" xfId="0" applyFont="1" applyBorder="1" applyAlignment="1">
      <alignment horizontal="left" vertical="center"/>
    </xf>
    <xf numFmtId="164" fontId="0" fillId="0" borderId="10" xfId="0" applyNumberFormat="1" applyFont="1" applyBorder="1" applyAlignment="1">
      <alignment horizontal="left" vertical="center"/>
    </xf>
    <xf numFmtId="164" fontId="0" fillId="0" borderId="23" xfId="0" applyNumberFormat="1" applyFont="1" applyBorder="1" applyAlignment="1">
      <alignment horizontal="left" vertical="center"/>
    </xf>
    <xf numFmtId="0" fontId="0" fillId="33" borderId="11" xfId="0" applyFont="1" applyFill="1" applyBorder="1" applyAlignment="1">
      <alignment horizontal="left" vertical="center"/>
    </xf>
    <xf numFmtId="2" fontId="0" fillId="0" borderId="10" xfId="0" applyNumberFormat="1" applyFont="1" applyBorder="1" applyAlignment="1">
      <alignment horizontal="left"/>
    </xf>
    <xf numFmtId="0" fontId="27" fillId="36" borderId="60" xfId="0" applyNumberFormat="1" applyFont="1" applyFill="1" applyBorder="1" applyAlignment="1" applyProtection="1">
      <alignment horizontal="right" wrapText="1"/>
    </xf>
    <xf numFmtId="0" fontId="27" fillId="36" borderId="60" xfId="0" applyNumberFormat="1" applyFont="1" applyFill="1" applyBorder="1" applyAlignment="1" applyProtection="1">
      <alignment horizontal="left" wrapText="1"/>
    </xf>
    <xf numFmtId="8" fontId="27" fillId="36" borderId="60" xfId="0" applyNumberFormat="1" applyFont="1" applyFill="1" applyBorder="1" applyAlignment="1" applyProtection="1">
      <alignment horizontal="right" wrapText="1"/>
    </xf>
    <xf numFmtId="0" fontId="0" fillId="33" borderId="37" xfId="0" applyFont="1" applyFill="1" applyBorder="1" applyAlignment="1">
      <alignment vertical="center"/>
    </xf>
    <xf numFmtId="0" fontId="0" fillId="0" borderId="54" xfId="0" applyFont="1" applyFill="1" applyBorder="1" applyAlignment="1">
      <alignment vertical="center"/>
    </xf>
    <xf numFmtId="167" fontId="24" fillId="36" borderId="60" xfId="0" applyNumberFormat="1" applyFont="1" applyFill="1" applyBorder="1" applyAlignment="1" applyProtection="1">
      <alignment horizontal="left" vertical="center" wrapText="1"/>
    </xf>
    <xf numFmtId="167" fontId="24" fillId="36" borderId="63" xfId="0" applyNumberFormat="1" applyFont="1" applyFill="1" applyBorder="1" applyAlignment="1" applyProtection="1">
      <alignment horizontal="left" vertical="center" wrapText="1"/>
    </xf>
    <xf numFmtId="167" fontId="24" fillId="36" borderId="13" xfId="0" applyNumberFormat="1" applyFont="1" applyFill="1" applyBorder="1" applyAlignment="1" applyProtection="1">
      <alignment horizontal="left" wrapText="1"/>
    </xf>
    <xf numFmtId="164" fontId="0" fillId="0" borderId="15" xfId="59" applyNumberFormat="1" applyFont="1" applyBorder="1" applyAlignment="1">
      <alignment horizontal="left" vertical="center"/>
    </xf>
    <xf numFmtId="2" fontId="24" fillId="36" borderId="63" xfId="0" applyNumberFormat="1" applyFont="1" applyFill="1" applyBorder="1" applyAlignment="1" applyProtection="1">
      <alignment horizontal="left" vertical="center" wrapText="1"/>
    </xf>
    <xf numFmtId="37" fontId="24" fillId="36" borderId="63" xfId="57" applyNumberFormat="1" applyFont="1" applyFill="1" applyBorder="1" applyAlignment="1" applyProtection="1">
      <alignment horizontal="left" wrapText="1"/>
    </xf>
    <xf numFmtId="167" fontId="0" fillId="0" borderId="10" xfId="0" applyNumberFormat="1" applyFont="1" applyBorder="1" applyAlignment="1">
      <alignment horizontal="left" vertical="center"/>
    </xf>
    <xf numFmtId="164" fontId="0" fillId="0" borderId="10" xfId="0" applyNumberFormat="1" applyBorder="1" applyAlignment="1">
      <alignment horizontal="left" vertical="center"/>
    </xf>
    <xf numFmtId="164" fontId="0" fillId="0" borderId="11" xfId="0" applyNumberFormat="1" applyFont="1" applyBorder="1" applyAlignment="1">
      <alignment horizontal="left" vertical="center"/>
    </xf>
    <xf numFmtId="0" fontId="0" fillId="0" borderId="10" xfId="0" applyFont="1" applyBorder="1" applyAlignment="1">
      <alignment horizontal="left" vertical="center"/>
    </xf>
    <xf numFmtId="164" fontId="0" fillId="0" borderId="13" xfId="0" applyNumberFormat="1" applyBorder="1" applyAlignment="1">
      <alignment horizontal="left" vertical="center"/>
    </xf>
    <xf numFmtId="0" fontId="0" fillId="0" borderId="13" xfId="0" applyFont="1" applyFill="1" applyBorder="1" applyAlignment="1">
      <alignment horizontal="left"/>
    </xf>
    <xf numFmtId="0" fontId="0" fillId="0" borderId="16" xfId="0" applyFont="1" applyBorder="1" applyAlignment="1">
      <alignment horizontal="left"/>
    </xf>
    <xf numFmtId="0" fontId="0" fillId="0" borderId="23" xfId="0" quotePrefix="1" applyFont="1" applyBorder="1" applyAlignment="1"/>
    <xf numFmtId="1" fontId="0" fillId="0" borderId="23" xfId="57" applyNumberFormat="1" applyFont="1" applyBorder="1" applyAlignment="1">
      <alignment horizontal="left"/>
    </xf>
    <xf numFmtId="2" fontId="0" fillId="0" borderId="23" xfId="0" applyNumberFormat="1" applyFont="1" applyBorder="1" applyAlignment="1">
      <alignment horizontal="left" vertical="center" wrapText="1"/>
    </xf>
    <xf numFmtId="167" fontId="0" fillId="0" borderId="15" xfId="0" applyNumberFormat="1" applyFont="1" applyBorder="1" applyAlignment="1">
      <alignment horizontal="left"/>
    </xf>
    <xf numFmtId="0" fontId="0" fillId="0" borderId="13" xfId="0" applyBorder="1"/>
    <xf numFmtId="0" fontId="0" fillId="0" borderId="25" xfId="0" applyFont="1" applyFill="1" applyBorder="1" applyAlignment="1"/>
    <xf numFmtId="0" fontId="0" fillId="33" borderId="12" xfId="0" applyFont="1" applyFill="1" applyBorder="1" applyAlignment="1">
      <alignment horizontal="left" vertical="center"/>
    </xf>
    <xf numFmtId="0" fontId="0" fillId="0" borderId="17" xfId="0" applyFont="1" applyFill="1" applyBorder="1" applyAlignment="1">
      <alignment horizontal="left" vertical="center"/>
    </xf>
    <xf numFmtId="0" fontId="0" fillId="0" borderId="0" xfId="0" applyFont="1" applyBorder="1" applyAlignment="1">
      <alignment horizontal="left" vertical="center"/>
    </xf>
    <xf numFmtId="0" fontId="0" fillId="0" borderId="54" xfId="0" applyFont="1" applyBorder="1" applyAlignment="1">
      <alignment horizontal="left" vertical="center"/>
    </xf>
    <xf numFmtId="0" fontId="0" fillId="0" borderId="0" xfId="0" applyFont="1" applyAlignment="1">
      <alignment horizontal="left" vertical="center"/>
    </xf>
    <xf numFmtId="0" fontId="0" fillId="0" borderId="25" xfId="0" applyBorder="1" applyAlignment="1">
      <alignment vertical="center"/>
    </xf>
    <xf numFmtId="3" fontId="0" fillId="0" borderId="14" xfId="0" applyNumberFormat="1" applyFont="1" applyBorder="1" applyAlignment="1">
      <alignment horizontal="left"/>
    </xf>
    <xf numFmtId="167" fontId="0" fillId="0" borderId="81" xfId="0" applyNumberFormat="1" applyFont="1" applyBorder="1" applyAlignment="1">
      <alignment horizontal="left"/>
    </xf>
    <xf numFmtId="167" fontId="0" fillId="0" borderId="34" xfId="0" applyNumberFormat="1" applyFont="1" applyBorder="1" applyAlignment="1">
      <alignment horizontal="left"/>
    </xf>
    <xf numFmtId="167" fontId="0" fillId="0" borderId="80" xfId="0" applyNumberFormat="1" applyFont="1" applyBorder="1" applyAlignment="1">
      <alignment horizontal="left"/>
    </xf>
    <xf numFmtId="167" fontId="0" fillId="0" borderId="43" xfId="0" applyNumberFormat="1" applyFont="1" applyBorder="1" applyAlignment="1">
      <alignment horizontal="left"/>
    </xf>
    <xf numFmtId="0" fontId="0" fillId="33" borderId="83" xfId="0" applyFont="1" applyFill="1" applyBorder="1" applyAlignment="1"/>
    <xf numFmtId="0" fontId="0" fillId="33" borderId="82" xfId="0" applyFont="1" applyFill="1" applyBorder="1" applyAlignment="1"/>
    <xf numFmtId="0" fontId="0" fillId="33" borderId="84" xfId="0" applyFont="1" applyFill="1" applyBorder="1" applyAlignment="1"/>
    <xf numFmtId="167" fontId="0" fillId="33" borderId="81" xfId="0" applyNumberFormat="1" applyFont="1" applyFill="1" applyBorder="1" applyAlignment="1">
      <alignment horizontal="left"/>
    </xf>
    <xf numFmtId="167" fontId="0" fillId="0" borderId="81" xfId="0" applyNumberFormat="1" applyFont="1" applyBorder="1" applyAlignment="1">
      <alignment horizontal="left" vertical="center"/>
    </xf>
    <xf numFmtId="167" fontId="0" fillId="0" borderId="10" xfId="0" applyNumberFormat="1" applyFont="1" applyBorder="1" applyAlignment="1">
      <alignment horizontal="left" vertical="center"/>
    </xf>
    <xf numFmtId="167" fontId="0" fillId="0" borderId="36" xfId="0" applyNumberFormat="1" applyFont="1" applyBorder="1" applyAlignment="1">
      <alignment horizontal="left" vertical="center"/>
    </xf>
    <xf numFmtId="2" fontId="0" fillId="0" borderId="10" xfId="0" applyNumberFormat="1" applyFont="1" applyBorder="1" applyAlignment="1">
      <alignment horizontal="left"/>
    </xf>
    <xf numFmtId="0" fontId="24" fillId="36" borderId="85" xfId="0" applyNumberFormat="1" applyFont="1" applyFill="1" applyBorder="1" applyAlignment="1" applyProtection="1">
      <alignment horizontal="left" wrapText="1"/>
    </xf>
    <xf numFmtId="2" fontId="24" fillId="36" borderId="81" xfId="0" applyNumberFormat="1" applyFont="1" applyFill="1" applyBorder="1" applyAlignment="1" applyProtection="1">
      <alignment horizontal="left" wrapText="1"/>
    </xf>
    <xf numFmtId="2" fontId="24" fillId="36" borderId="71" xfId="0" applyNumberFormat="1" applyFont="1" applyFill="1" applyBorder="1" applyAlignment="1" applyProtection="1">
      <alignment horizontal="left" wrapText="1"/>
    </xf>
    <xf numFmtId="0" fontId="24" fillId="36" borderId="71" xfId="0" applyNumberFormat="1" applyFont="1" applyFill="1" applyBorder="1" applyAlignment="1" applyProtection="1">
      <alignment horizontal="left" wrapText="1"/>
    </xf>
    <xf numFmtId="0" fontId="24" fillId="36" borderId="73" xfId="0" applyNumberFormat="1" applyFont="1" applyFill="1" applyBorder="1" applyAlignment="1" applyProtection="1">
      <alignment horizontal="left" wrapText="1"/>
    </xf>
    <xf numFmtId="0" fontId="0" fillId="0" borderId="17" xfId="0" applyFill="1" applyBorder="1" applyAlignment="1">
      <alignment horizontal="left"/>
    </xf>
    <xf numFmtId="0" fontId="0" fillId="0" borderId="10" xfId="0" quotePrefix="1" applyNumberFormat="1" applyFont="1" applyBorder="1" applyAlignment="1">
      <alignment horizontal="left" vertical="center"/>
    </xf>
    <xf numFmtId="1" fontId="0" fillId="0" borderId="10" xfId="57" applyNumberFormat="1" applyFont="1" applyBorder="1" applyAlignment="1">
      <alignment horizontal="left" vertical="center"/>
    </xf>
    <xf numFmtId="2" fontId="0" fillId="0" borderId="10" xfId="57" applyNumberFormat="1" applyFont="1" applyBorder="1" applyAlignment="1">
      <alignment horizontal="left" vertical="center"/>
    </xf>
    <xf numFmtId="0" fontId="0" fillId="0" borderId="17" xfId="0" applyFill="1" applyBorder="1" applyAlignment="1">
      <alignment horizontal="left" vertical="center"/>
    </xf>
    <xf numFmtId="0" fontId="0" fillId="33" borderId="0" xfId="0" applyFill="1" applyBorder="1" applyAlignment="1">
      <alignment horizontal="left" vertical="center"/>
    </xf>
    <xf numFmtId="7" fontId="0" fillId="33" borderId="0" xfId="59" applyNumberFormat="1" applyFont="1" applyFill="1" applyBorder="1" applyAlignment="1">
      <alignment horizontal="left" vertical="center"/>
    </xf>
    <xf numFmtId="0" fontId="0" fillId="0" borderId="10" xfId="0" quotePrefix="1" applyFont="1" applyFill="1" applyBorder="1" applyAlignment="1">
      <alignment vertical="center"/>
    </xf>
    <xf numFmtId="1" fontId="0" fillId="0" borderId="36" xfId="57" applyNumberFormat="1" applyFont="1" applyFill="1" applyBorder="1" applyAlignment="1">
      <alignment horizontal="left" vertical="center"/>
    </xf>
    <xf numFmtId="164" fontId="0" fillId="0" borderId="10" xfId="57" applyNumberFormat="1" applyFont="1" applyBorder="1" applyAlignment="1">
      <alignment horizontal="left" vertical="center"/>
    </xf>
    <xf numFmtId="164" fontId="0" fillId="0" borderId="11" xfId="57" applyNumberFormat="1" applyFont="1" applyBorder="1" applyAlignment="1">
      <alignment horizontal="left" vertical="center"/>
    </xf>
    <xf numFmtId="2" fontId="0" fillId="0" borderId="36" xfId="0" applyNumberFormat="1" applyFont="1" applyBorder="1" applyAlignment="1">
      <alignment horizontal="left" vertical="center"/>
    </xf>
    <xf numFmtId="0" fontId="0" fillId="0" borderId="10" xfId="0" quotePrefix="1" applyFont="1" applyBorder="1" applyAlignment="1">
      <alignment vertical="center"/>
    </xf>
    <xf numFmtId="0" fontId="0" fillId="0" borderId="19" xfId="0" applyFill="1" applyBorder="1" applyAlignment="1">
      <alignment horizontal="left"/>
    </xf>
    <xf numFmtId="2" fontId="0" fillId="33" borderId="36" xfId="0" applyNumberFormat="1" applyFont="1" applyFill="1" applyBorder="1" applyAlignment="1">
      <alignment horizontal="left"/>
    </xf>
    <xf numFmtId="0" fontId="14" fillId="0" borderId="17" xfId="0" applyFont="1" applyFill="1" applyBorder="1" applyAlignment="1">
      <alignment horizontal="left"/>
    </xf>
    <xf numFmtId="0" fontId="0" fillId="0" borderId="17" xfId="0" applyFont="1" applyBorder="1" applyAlignment="1">
      <alignment vertical="center"/>
    </xf>
    <xf numFmtId="7" fontId="0" fillId="0" borderId="69" xfId="59" applyNumberFormat="1" applyFont="1" applyBorder="1" applyAlignment="1">
      <alignment horizontal="left"/>
    </xf>
    <xf numFmtId="0" fontId="16" fillId="33" borderId="20" xfId="0" applyFont="1" applyFill="1" applyBorder="1" applyAlignment="1">
      <alignment vertical="center" wrapText="1"/>
    </xf>
    <xf numFmtId="0" fontId="16" fillId="33" borderId="12" xfId="0" applyFont="1" applyFill="1" applyBorder="1" applyAlignment="1">
      <alignment vertical="center" wrapText="1"/>
    </xf>
    <xf numFmtId="2" fontId="0" fillId="33" borderId="11" xfId="0" applyNumberFormat="1" applyFont="1" applyFill="1" applyBorder="1" applyAlignment="1">
      <alignment horizontal="left"/>
    </xf>
    <xf numFmtId="0" fontId="0" fillId="0" borderId="16" xfId="0" applyFont="1" applyFill="1" applyBorder="1" applyAlignment="1">
      <alignment horizontal="left"/>
    </xf>
    <xf numFmtId="169" fontId="24" fillId="36" borderId="63" xfId="0" applyNumberFormat="1" applyFont="1" applyFill="1" applyBorder="1" applyAlignment="1" applyProtection="1">
      <alignment horizontal="left" wrapText="1"/>
    </xf>
    <xf numFmtId="7" fontId="0" fillId="0" borderId="62" xfId="59" applyNumberFormat="1" applyFont="1" applyBorder="1" applyAlignment="1">
      <alignment horizontal="left"/>
    </xf>
    <xf numFmtId="164" fontId="0" fillId="35" borderId="11" xfId="59" applyNumberFormat="1" applyFont="1" applyFill="1" applyBorder="1" applyAlignment="1">
      <alignment horizontal="left"/>
    </xf>
    <xf numFmtId="0" fontId="36" fillId="40" borderId="0" xfId="0" applyFont="1" applyFill="1"/>
    <xf numFmtId="0" fontId="0" fillId="35" borderId="0" xfId="0" applyFill="1"/>
    <xf numFmtId="0" fontId="35" fillId="35" borderId="0" xfId="0" applyFont="1" applyFill="1" applyBorder="1"/>
    <xf numFmtId="0" fontId="36" fillId="35" borderId="0" xfId="0" applyFont="1" applyFill="1"/>
    <xf numFmtId="0" fontId="35" fillId="35" borderId="0" xfId="0" applyFont="1" applyFill="1"/>
    <xf numFmtId="0" fontId="0" fillId="40" borderId="0" xfId="0" applyFill="1"/>
    <xf numFmtId="0" fontId="0" fillId="40" borderId="0" xfId="0" applyFill="1" applyBorder="1"/>
    <xf numFmtId="0" fontId="36" fillId="35" borderId="0" xfId="0" applyFont="1" applyFill="1" applyAlignment="1">
      <alignment horizontal="left"/>
    </xf>
    <xf numFmtId="0" fontId="24" fillId="35" borderId="0" xfId="0" applyFont="1" applyFill="1"/>
    <xf numFmtId="0" fontId="34" fillId="35" borderId="0" xfId="62" applyFill="1" applyAlignment="1" applyProtection="1"/>
    <xf numFmtId="0" fontId="38" fillId="35" borderId="0" xfId="0" applyFont="1" applyFill="1" applyAlignment="1">
      <alignment horizontal="left"/>
    </xf>
    <xf numFmtId="49" fontId="38" fillId="35" borderId="0" xfId="0" applyNumberFormat="1" applyFont="1" applyFill="1" applyAlignment="1">
      <alignment horizontal="left"/>
    </xf>
    <xf numFmtId="0" fontId="0" fillId="35" borderId="0" xfId="0" applyFill="1"/>
    <xf numFmtId="0" fontId="0" fillId="35" borderId="0" xfId="0" applyFill="1" applyBorder="1"/>
    <xf numFmtId="0" fontId="0" fillId="40" borderId="0" xfId="0" applyFill="1"/>
    <xf numFmtId="0" fontId="0" fillId="42" borderId="48" xfId="0" applyFont="1" applyFill="1" applyBorder="1" applyAlignment="1">
      <alignment vertical="center"/>
    </xf>
    <xf numFmtId="0" fontId="0" fillId="42" borderId="53" xfId="0" applyFont="1" applyFill="1" applyBorder="1" applyAlignment="1">
      <alignment vertical="center"/>
    </xf>
    <xf numFmtId="0" fontId="0" fillId="42" borderId="53" xfId="0" applyFont="1" applyFill="1" applyBorder="1" applyAlignment="1">
      <alignment horizontal="left" vertical="center"/>
    </xf>
    <xf numFmtId="0" fontId="0" fillId="42" borderId="53" xfId="0" applyFont="1" applyFill="1" applyBorder="1" applyAlignment="1"/>
    <xf numFmtId="2" fontId="0" fillId="42" borderId="53" xfId="0" applyNumberFormat="1" applyFont="1" applyFill="1" applyBorder="1" applyAlignment="1">
      <alignment horizontal="left"/>
    </xf>
    <xf numFmtId="167" fontId="0" fillId="42" borderId="53" xfId="0" applyNumberFormat="1" applyFont="1" applyFill="1" applyBorder="1" applyAlignment="1">
      <alignment horizontal="left"/>
    </xf>
    <xf numFmtId="0" fontId="0" fillId="42" borderId="53" xfId="0" applyFont="1" applyFill="1" applyBorder="1" applyAlignment="1">
      <alignment horizontal="left"/>
    </xf>
    <xf numFmtId="0" fontId="0" fillId="42" borderId="48" xfId="0" applyFont="1" applyFill="1" applyBorder="1" applyAlignment="1"/>
    <xf numFmtId="164" fontId="0" fillId="42" borderId="53" xfId="0" applyNumberFormat="1" applyFont="1" applyFill="1" applyBorder="1" applyAlignment="1">
      <alignment horizontal="left"/>
    </xf>
    <xf numFmtId="0" fontId="0" fillId="42" borderId="42" xfId="0" applyFont="1" applyFill="1" applyBorder="1" applyAlignment="1"/>
    <xf numFmtId="0" fontId="0" fillId="42" borderId="0" xfId="0" applyFont="1" applyFill="1" applyBorder="1" applyAlignment="1"/>
    <xf numFmtId="0" fontId="0" fillId="42" borderId="54" xfId="0" applyFont="1" applyFill="1" applyBorder="1" applyAlignment="1"/>
    <xf numFmtId="0" fontId="0" fillId="42" borderId="49" xfId="0" applyFont="1" applyFill="1" applyBorder="1" applyAlignment="1"/>
    <xf numFmtId="0" fontId="32" fillId="42" borderId="48" xfId="0" applyFont="1" applyFill="1" applyBorder="1" applyAlignment="1">
      <alignment horizontal="left" vertical="center"/>
    </xf>
    <xf numFmtId="0" fontId="32" fillId="37" borderId="0" xfId="0" applyFont="1" applyFill="1" applyBorder="1" applyAlignment="1">
      <alignment horizontal="left" vertical="center" wrapText="1"/>
    </xf>
    <xf numFmtId="0" fontId="0" fillId="0" borderId="0" xfId="0" applyFont="1" applyAlignment="1">
      <alignment horizontal="left"/>
    </xf>
    <xf numFmtId="0" fontId="0" fillId="42" borderId="45" xfId="0" applyFont="1" applyFill="1" applyBorder="1" applyAlignment="1">
      <alignment vertical="center"/>
    </xf>
    <xf numFmtId="0" fontId="0" fillId="42" borderId="46" xfId="0" applyFont="1" applyFill="1" applyBorder="1" applyAlignment="1">
      <alignment vertical="center"/>
    </xf>
    <xf numFmtId="0" fontId="0" fillId="42" borderId="46" xfId="0" applyFont="1" applyFill="1" applyBorder="1" applyAlignment="1"/>
    <xf numFmtId="2" fontId="0" fillId="42" borderId="0" xfId="0" applyNumberFormat="1" applyFont="1" applyFill="1" applyBorder="1" applyAlignment="1">
      <alignment horizontal="left"/>
    </xf>
    <xf numFmtId="167" fontId="0" fillId="42" borderId="0" xfId="0" applyNumberFormat="1" applyFont="1" applyFill="1" applyBorder="1" applyAlignment="1">
      <alignment horizontal="left"/>
    </xf>
    <xf numFmtId="0" fontId="0" fillId="42" borderId="45" xfId="0" applyFont="1" applyFill="1" applyBorder="1" applyAlignment="1"/>
    <xf numFmtId="0" fontId="0" fillId="42" borderId="46" xfId="0" applyFont="1" applyFill="1" applyBorder="1" applyAlignment="1">
      <alignment horizontal="left"/>
    </xf>
    <xf numFmtId="0" fontId="0" fillId="42" borderId="0" xfId="0" applyFont="1" applyFill="1" applyAlignment="1"/>
    <xf numFmtId="164" fontId="0" fillId="42" borderId="46" xfId="0" applyNumberFormat="1" applyFont="1" applyFill="1" applyBorder="1" applyAlignment="1">
      <alignment horizontal="left"/>
    </xf>
    <xf numFmtId="1" fontId="0" fillId="42" borderId="53" xfId="0" applyNumberFormat="1" applyFont="1" applyFill="1" applyBorder="1" applyAlignment="1">
      <alignment horizontal="left" vertical="center"/>
    </xf>
    <xf numFmtId="2" fontId="0" fillId="42" borderId="53" xfId="0" applyNumberFormat="1" applyFont="1" applyFill="1" applyBorder="1" applyAlignment="1">
      <alignment horizontal="left" vertical="center"/>
    </xf>
    <xf numFmtId="164" fontId="0" fillId="42" borderId="53" xfId="0" applyNumberFormat="1" applyFont="1" applyFill="1" applyBorder="1" applyAlignment="1">
      <alignment horizontal="left" vertical="center"/>
    </xf>
    <xf numFmtId="7" fontId="0" fillId="42" borderId="53" xfId="59" applyNumberFormat="1" applyFont="1" applyFill="1" applyBorder="1" applyAlignment="1">
      <alignment horizontal="left"/>
    </xf>
    <xf numFmtId="164" fontId="0" fillId="42" borderId="48" xfId="0" applyNumberFormat="1" applyFont="1" applyFill="1" applyBorder="1" applyAlignment="1">
      <alignment horizontal="left"/>
    </xf>
    <xf numFmtId="0" fontId="0" fillId="42" borderId="46" xfId="0" applyFont="1" applyFill="1" applyBorder="1" applyAlignment="1">
      <alignment horizontal="left" vertical="center"/>
    </xf>
    <xf numFmtId="2" fontId="0" fillId="42" borderId="46" xfId="0" applyNumberFormat="1" applyFont="1" applyFill="1" applyBorder="1" applyAlignment="1">
      <alignment horizontal="left"/>
    </xf>
    <xf numFmtId="167" fontId="0" fillId="42" borderId="46" xfId="0" applyNumberFormat="1" applyFont="1" applyFill="1" applyBorder="1" applyAlignment="1">
      <alignment horizontal="left"/>
    </xf>
    <xf numFmtId="167" fontId="0" fillId="42" borderId="51" xfId="0" applyNumberFormat="1" applyFont="1" applyFill="1" applyBorder="1" applyAlignment="1">
      <alignment horizontal="left"/>
    </xf>
    <xf numFmtId="0" fontId="16" fillId="42" borderId="48" xfId="0" applyFont="1" applyFill="1" applyBorder="1" applyAlignment="1">
      <alignment horizontal="left" vertical="center"/>
    </xf>
    <xf numFmtId="164" fontId="0" fillId="0" borderId="10" xfId="0" applyNumberFormat="1" applyBorder="1" applyAlignment="1">
      <alignment horizontal="left" vertical="center"/>
    </xf>
    <xf numFmtId="0" fontId="0" fillId="0" borderId="13" xfId="0" applyFont="1" applyBorder="1" applyAlignment="1">
      <alignment vertical="center"/>
    </xf>
    <xf numFmtId="164" fontId="0" fillId="0" borderId="10" xfId="0" applyNumberFormat="1" applyFont="1" applyBorder="1" applyAlignment="1">
      <alignment horizontal="left" vertical="center"/>
    </xf>
    <xf numFmtId="0" fontId="0" fillId="0" borderId="10" xfId="0" applyFont="1" applyBorder="1" applyAlignment="1">
      <alignment vertical="center"/>
    </xf>
    <xf numFmtId="0" fontId="33" fillId="42" borderId="48" xfId="0" applyFont="1" applyFill="1" applyBorder="1" applyAlignment="1">
      <alignment horizontal="left" vertical="center"/>
    </xf>
    <xf numFmtId="0" fontId="41" fillId="41" borderId="0" xfId="0" applyFont="1" applyFill="1" applyAlignment="1">
      <alignment horizontal="left" vertical="center"/>
    </xf>
    <xf numFmtId="0" fontId="41" fillId="0" borderId="0" xfId="0" applyFont="1" applyBorder="1" applyAlignment="1">
      <alignment vertical="center"/>
    </xf>
    <xf numFmtId="0" fontId="41" fillId="0" borderId="54" xfId="0" applyFont="1" applyBorder="1" applyAlignment="1">
      <alignment vertical="center"/>
    </xf>
    <xf numFmtId="0" fontId="41" fillId="0" borderId="0" xfId="0" applyFont="1" applyAlignment="1">
      <alignment vertical="center"/>
    </xf>
    <xf numFmtId="164" fontId="0" fillId="33" borderId="12" xfId="0" applyNumberFormat="1" applyFont="1" applyFill="1" applyBorder="1" applyAlignment="1">
      <alignment horizontal="left"/>
    </xf>
    <xf numFmtId="0" fontId="0" fillId="0" borderId="17" xfId="0" applyFont="1" applyFill="1" applyBorder="1" applyAlignment="1">
      <alignment horizontal="left"/>
    </xf>
    <xf numFmtId="2" fontId="27" fillId="36" borderId="10" xfId="0" applyNumberFormat="1" applyFont="1" applyFill="1" applyBorder="1" applyAlignment="1" applyProtection="1">
      <alignment horizontal="left" wrapText="1"/>
    </xf>
    <xf numFmtId="0" fontId="24" fillId="0" borderId="10" xfId="0" applyFont="1" applyBorder="1" applyAlignment="1">
      <alignment vertical="center"/>
    </xf>
    <xf numFmtId="0" fontId="24" fillId="33" borderId="0" xfId="0" applyFont="1" applyFill="1" applyBorder="1" applyAlignment="1"/>
    <xf numFmtId="164" fontId="0" fillId="33" borderId="0" xfId="59" applyNumberFormat="1" applyFont="1" applyFill="1" applyBorder="1" applyAlignment="1">
      <alignment horizontal="left"/>
    </xf>
    <xf numFmtId="164" fontId="0" fillId="33" borderId="12" xfId="59" applyNumberFormat="1" applyFont="1" applyFill="1" applyBorder="1" applyAlignment="1">
      <alignment horizontal="left"/>
    </xf>
    <xf numFmtId="1" fontId="0" fillId="42" borderId="46" xfId="0" applyNumberFormat="1" applyFont="1" applyFill="1" applyBorder="1" applyAlignment="1">
      <alignment horizontal="left" vertical="center"/>
    </xf>
    <xf numFmtId="164" fontId="0" fillId="42" borderId="46" xfId="0" applyNumberFormat="1" applyFont="1" applyFill="1" applyBorder="1" applyAlignment="1">
      <alignment horizontal="left" vertical="center"/>
    </xf>
    <xf numFmtId="7" fontId="0" fillId="42" borderId="46" xfId="59" applyNumberFormat="1" applyFont="1" applyFill="1" applyBorder="1" applyAlignment="1">
      <alignment horizontal="left"/>
    </xf>
    <xf numFmtId="164" fontId="0" fillId="0" borderId="10" xfId="0" applyNumberFormat="1" applyFont="1" applyBorder="1" applyAlignment="1"/>
    <xf numFmtId="164" fontId="0" fillId="42" borderId="45" xfId="0" applyNumberFormat="1" applyFont="1" applyFill="1" applyBorder="1" applyAlignment="1">
      <alignment horizontal="left"/>
    </xf>
    <xf numFmtId="0" fontId="0" fillId="0" borderId="36" xfId="0" applyFont="1" applyBorder="1" applyAlignment="1"/>
    <xf numFmtId="164" fontId="0" fillId="0" borderId="36" xfId="0" applyNumberFormat="1" applyFont="1" applyBorder="1" applyAlignment="1">
      <alignment horizontal="left"/>
    </xf>
    <xf numFmtId="0" fontId="0" fillId="42" borderId="99" xfId="0" applyFont="1" applyFill="1" applyBorder="1" applyAlignment="1"/>
    <xf numFmtId="0" fontId="0" fillId="0" borderId="13" xfId="0" applyFont="1" applyFill="1" applyBorder="1" applyAlignment="1"/>
    <xf numFmtId="0" fontId="24" fillId="36" borderId="100" xfId="0" applyNumberFormat="1" applyFont="1" applyFill="1" applyBorder="1" applyAlignment="1" applyProtection="1">
      <alignment horizontal="left" wrapText="1"/>
    </xf>
    <xf numFmtId="0" fontId="0" fillId="33" borderId="13" xfId="0" applyFont="1" applyFill="1" applyBorder="1" applyAlignment="1">
      <alignment horizontal="left"/>
    </xf>
    <xf numFmtId="164" fontId="0" fillId="0" borderId="10" xfId="0" applyNumberFormat="1" applyBorder="1"/>
    <xf numFmtId="169" fontId="0" fillId="0" borderId="10" xfId="0" applyNumberFormat="1" applyFont="1" applyBorder="1" applyAlignment="1">
      <alignment horizontal="left"/>
    </xf>
    <xf numFmtId="164" fontId="0" fillId="0" borderId="13" xfId="0" applyNumberFormat="1" applyFont="1" applyBorder="1" applyAlignment="1"/>
    <xf numFmtId="0" fontId="0" fillId="33" borderId="35" xfId="0" applyFont="1" applyFill="1" applyBorder="1" applyAlignment="1">
      <alignment horizontal="left"/>
    </xf>
    <xf numFmtId="0" fontId="0" fillId="0" borderId="10" xfId="0" applyBorder="1" applyAlignment="1">
      <alignment horizontal="left" vertical="center"/>
    </xf>
    <xf numFmtId="0" fontId="0" fillId="0" borderId="10" xfId="0" applyFont="1" applyBorder="1" applyAlignment="1"/>
    <xf numFmtId="0" fontId="0" fillId="0" borderId="10" xfId="0" applyFont="1" applyFill="1" applyBorder="1" applyAlignment="1"/>
    <xf numFmtId="0" fontId="0" fillId="0" borderId="42" xfId="0" applyFont="1" applyBorder="1" applyAlignment="1"/>
    <xf numFmtId="0" fontId="0" fillId="0" borderId="10" xfId="0" applyFont="1" applyBorder="1" applyAlignment="1"/>
    <xf numFmtId="0" fontId="0" fillId="0" borderId="10" xfId="0" applyBorder="1" applyAlignment="1">
      <alignment horizontal="left" vertical="center"/>
    </xf>
    <xf numFmtId="0" fontId="0" fillId="42" borderId="10" xfId="0" applyFont="1" applyFill="1" applyBorder="1" applyAlignment="1"/>
    <xf numFmtId="0" fontId="0" fillId="42" borderId="35" xfId="0" applyFont="1" applyFill="1" applyBorder="1" applyAlignment="1"/>
    <xf numFmtId="0" fontId="0" fillId="42" borderId="36" xfId="0" applyFont="1" applyFill="1" applyBorder="1" applyAlignment="1"/>
    <xf numFmtId="0" fontId="0" fillId="42" borderId="23" xfId="0" applyFont="1" applyFill="1" applyBorder="1" applyAlignment="1"/>
    <xf numFmtId="0" fontId="0" fillId="0" borderId="10" xfId="0" applyFont="1" applyBorder="1" applyAlignment="1"/>
    <xf numFmtId="0" fontId="0" fillId="0" borderId="10" xfId="0" applyBorder="1" applyAlignment="1"/>
    <xf numFmtId="0" fontId="0" fillId="0" borderId="10" xfId="0" applyFont="1" applyFill="1" applyBorder="1" applyAlignment="1"/>
    <xf numFmtId="2" fontId="0" fillId="0" borderId="10" xfId="0" applyNumberFormat="1" applyFont="1" applyBorder="1" applyAlignment="1">
      <alignment horizontal="left"/>
    </xf>
    <xf numFmtId="16" fontId="0" fillId="0" borderId="10" xfId="0" applyNumberFormat="1" applyFont="1" applyBorder="1" applyAlignment="1"/>
    <xf numFmtId="0" fontId="0" fillId="0" borderId="0" xfId="0" applyFont="1" applyBorder="1" applyAlignment="1">
      <alignment horizontal="left"/>
    </xf>
    <xf numFmtId="0" fontId="0" fillId="33" borderId="98" xfId="0" applyFont="1" applyFill="1" applyBorder="1" applyAlignment="1"/>
    <xf numFmtId="0" fontId="21" fillId="35" borderId="35" xfId="0" applyFont="1" applyFill="1" applyBorder="1" applyAlignment="1">
      <alignment horizontal="centerContinuous"/>
    </xf>
    <xf numFmtId="0" fontId="0" fillId="0" borderId="62" xfId="0" applyFont="1" applyBorder="1" applyAlignment="1">
      <alignment horizontal="centerContinuous"/>
    </xf>
    <xf numFmtId="164" fontId="0" fillId="0" borderId="10" xfId="57" applyNumberFormat="1" applyFont="1" applyFill="1" applyBorder="1" applyAlignment="1">
      <alignment horizontal="left"/>
    </xf>
    <xf numFmtId="164" fontId="0" fillId="0" borderId="11" xfId="57" applyNumberFormat="1" applyFont="1" applyFill="1" applyBorder="1" applyAlignment="1">
      <alignment horizontal="left"/>
    </xf>
    <xf numFmtId="164" fontId="0" fillId="0" borderId="10" xfId="57" applyNumberFormat="1" applyFont="1" applyFill="1" applyBorder="1" applyAlignment="1">
      <alignment horizontal="left" vertical="center"/>
    </xf>
    <xf numFmtId="164" fontId="0" fillId="0" borderId="11" xfId="57" applyNumberFormat="1" applyFont="1" applyFill="1" applyBorder="1" applyAlignment="1">
      <alignment horizontal="left" vertical="center"/>
    </xf>
    <xf numFmtId="1" fontId="0" fillId="0" borderId="10" xfId="57" applyNumberFormat="1" applyFont="1" applyFill="1" applyBorder="1" applyAlignment="1">
      <alignment horizontal="left" vertical="center"/>
    </xf>
    <xf numFmtId="2" fontId="0" fillId="0" borderId="10" xfId="57" applyNumberFormat="1" applyFont="1" applyFill="1" applyBorder="1" applyAlignment="1">
      <alignment horizontal="left"/>
    </xf>
    <xf numFmtId="2" fontId="0" fillId="0" borderId="10" xfId="57" applyNumberFormat="1" applyFont="1" applyFill="1" applyBorder="1" applyAlignment="1">
      <alignment horizontal="left" vertical="center"/>
    </xf>
    <xf numFmtId="3" fontId="0" fillId="0" borderId="10" xfId="0" applyNumberFormat="1" applyFont="1" applyFill="1" applyBorder="1" applyAlignment="1">
      <alignment horizontal="left" vertical="center"/>
    </xf>
    <xf numFmtId="0" fontId="0" fillId="0" borderId="36" xfId="0" applyFont="1" applyFill="1" applyBorder="1" applyAlignment="1">
      <alignment vertical="center"/>
    </xf>
    <xf numFmtId="2" fontId="0" fillId="0" borderId="36" xfId="0" applyNumberFormat="1" applyFont="1" applyFill="1" applyBorder="1" applyAlignment="1">
      <alignment horizontal="left" vertical="center"/>
    </xf>
    <xf numFmtId="164" fontId="0" fillId="0" borderId="23" xfId="57" applyNumberFormat="1" applyFont="1" applyFill="1" applyBorder="1" applyAlignment="1">
      <alignment horizontal="left"/>
    </xf>
    <xf numFmtId="164" fontId="0" fillId="0" borderId="15" xfId="57" applyNumberFormat="1" applyFont="1" applyFill="1" applyBorder="1" applyAlignment="1">
      <alignment horizontal="left"/>
    </xf>
    <xf numFmtId="3" fontId="0" fillId="0" borderId="10" xfId="0" applyNumberFormat="1" applyFont="1" applyFill="1" applyBorder="1" applyAlignment="1">
      <alignment horizontal="left"/>
    </xf>
    <xf numFmtId="1" fontId="0" fillId="0" borderId="10" xfId="57" applyNumberFormat="1" applyFont="1" applyFill="1" applyBorder="1" applyAlignment="1">
      <alignment horizontal="left"/>
    </xf>
    <xf numFmtId="0" fontId="0" fillId="0" borderId="14" xfId="0" applyFill="1" applyBorder="1" applyAlignment="1">
      <alignment horizontal="left"/>
    </xf>
    <xf numFmtId="0" fontId="0" fillId="33" borderId="54" xfId="0" applyFont="1" applyFill="1" applyBorder="1" applyAlignment="1"/>
    <xf numFmtId="2" fontId="0" fillId="0" borderId="10" xfId="0" applyNumberFormat="1" applyFont="1" applyFill="1" applyBorder="1" applyAlignment="1">
      <alignment horizontal="left" vertical="center"/>
    </xf>
    <xf numFmtId="0" fontId="0" fillId="0" borderId="10" xfId="0" applyFont="1" applyBorder="1" applyAlignment="1"/>
    <xf numFmtId="0" fontId="0" fillId="0" borderId="10" xfId="0" applyBorder="1" applyAlignment="1"/>
    <xf numFmtId="0" fontId="0" fillId="0" borderId="18" xfId="0" applyFont="1" applyBorder="1" applyAlignment="1">
      <alignment horizontal="left" vertical="center"/>
    </xf>
    <xf numFmtId="0" fontId="0" fillId="0" borderId="17" xfId="0" applyBorder="1" applyAlignment="1">
      <alignment vertical="center"/>
    </xf>
    <xf numFmtId="0" fontId="0" fillId="33" borderId="16" xfId="0" applyFont="1" applyFill="1" applyBorder="1" applyAlignment="1">
      <alignment horizontal="left" vertical="center"/>
    </xf>
    <xf numFmtId="2" fontId="0" fillId="0" borderId="10" xfId="0" applyNumberFormat="1" applyFont="1" applyBorder="1" applyAlignment="1">
      <alignment horizontal="left"/>
    </xf>
    <xf numFmtId="167" fontId="0" fillId="0" borderId="16" xfId="0" applyNumberFormat="1" applyFont="1" applyFill="1" applyBorder="1" applyAlignment="1">
      <alignment horizontal="left" vertical="center"/>
    </xf>
    <xf numFmtId="170" fontId="0" fillId="0" borderId="16" xfId="0" applyNumberFormat="1" applyFont="1" applyBorder="1" applyAlignment="1">
      <alignment horizontal="left" vertical="center"/>
    </xf>
    <xf numFmtId="164" fontId="0" fillId="0" borderId="12" xfId="0" applyNumberFormat="1" applyFont="1" applyBorder="1" applyAlignment="1">
      <alignment horizontal="left" vertical="center"/>
    </xf>
    <xf numFmtId="164" fontId="0" fillId="0" borderId="13" xfId="0" applyNumberFormat="1" applyFont="1" applyBorder="1" applyAlignment="1">
      <alignment horizontal="left" vertical="center"/>
    </xf>
    <xf numFmtId="0" fontId="0" fillId="0" borderId="11" xfId="0" applyFont="1" applyBorder="1" applyAlignment="1">
      <alignment horizontal="left" vertical="center"/>
    </xf>
    <xf numFmtId="167" fontId="0" fillId="0" borderId="81" xfId="0" applyNumberFormat="1" applyFont="1" applyBorder="1" applyAlignment="1">
      <alignment horizontal="left" vertical="center"/>
    </xf>
    <xf numFmtId="0" fontId="0" fillId="35" borderId="0" xfId="0" applyFill="1"/>
    <xf numFmtId="0" fontId="0" fillId="0" borderId="13" xfId="0" applyBorder="1" applyAlignment="1"/>
    <xf numFmtId="0" fontId="21" fillId="0" borderId="64" xfId="0" applyFont="1" applyFill="1" applyBorder="1" applyAlignment="1">
      <alignment horizontal="left"/>
    </xf>
    <xf numFmtId="0" fontId="0" fillId="0" borderId="61" xfId="0" applyFill="1" applyBorder="1" applyAlignment="1">
      <alignment horizontal="left"/>
    </xf>
    <xf numFmtId="9" fontId="24" fillId="0" borderId="11" xfId="58" applyFont="1" applyFill="1" applyBorder="1" applyAlignment="1" applyProtection="1">
      <alignment horizontal="left" wrapText="1"/>
    </xf>
    <xf numFmtId="0" fontId="0" fillId="0" borderId="25" xfId="0" applyFill="1" applyBorder="1" applyAlignment="1">
      <alignment horizontal="left"/>
    </xf>
    <xf numFmtId="0" fontId="0" fillId="0" borderId="10" xfId="0" applyNumberFormat="1" applyFont="1" applyBorder="1" applyAlignment="1">
      <alignment horizontal="left"/>
    </xf>
    <xf numFmtId="164" fontId="0" fillId="0" borderId="13" xfId="57" applyNumberFormat="1" applyFont="1" applyBorder="1" applyAlignment="1">
      <alignment horizontal="left"/>
    </xf>
    <xf numFmtId="164" fontId="0" fillId="0" borderId="16" xfId="57" applyNumberFormat="1" applyFont="1" applyBorder="1" applyAlignment="1">
      <alignment horizontal="left"/>
    </xf>
    <xf numFmtId="2" fontId="24" fillId="36" borderId="106" xfId="0" applyNumberFormat="1" applyFont="1" applyFill="1" applyBorder="1" applyAlignment="1" applyProtection="1">
      <alignment horizontal="left" wrapText="1"/>
    </xf>
    <xf numFmtId="167" fontId="0" fillId="33" borderId="106" xfId="0" applyNumberFormat="1" applyFont="1" applyFill="1" applyBorder="1" applyAlignment="1">
      <alignment horizontal="left"/>
    </xf>
    <xf numFmtId="167" fontId="0" fillId="0" borderId="106" xfId="0" applyNumberFormat="1" applyFont="1" applyBorder="1" applyAlignment="1">
      <alignment horizontal="left" vertical="center"/>
    </xf>
    <xf numFmtId="0" fontId="0" fillId="42" borderId="98" xfId="0" applyFont="1" applyFill="1" applyBorder="1" applyAlignment="1"/>
    <xf numFmtId="0" fontId="0" fillId="0" borderId="39" xfId="0" applyFont="1" applyBorder="1" applyAlignment="1">
      <alignment horizontal="left"/>
    </xf>
    <xf numFmtId="0" fontId="0" fillId="0" borderId="64" xfId="0" applyFont="1" applyBorder="1" applyAlignment="1">
      <alignment horizontal="left"/>
    </xf>
    <xf numFmtId="0" fontId="0" fillId="0" borderId="64" xfId="0" applyFont="1" applyBorder="1" applyAlignment="1">
      <alignment horizontal="left" vertical="center"/>
    </xf>
    <xf numFmtId="0" fontId="0" fillId="33" borderId="44" xfId="0" applyFont="1" applyFill="1" applyBorder="1" applyAlignment="1">
      <alignment horizontal="left" vertical="center"/>
    </xf>
    <xf numFmtId="0" fontId="0" fillId="33" borderId="98" xfId="0" applyFont="1" applyFill="1" applyBorder="1" applyAlignment="1">
      <alignment horizontal="left"/>
    </xf>
    <xf numFmtId="2" fontId="0" fillId="33" borderId="14" xfId="0" applyNumberFormat="1" applyFont="1" applyFill="1" applyBorder="1" applyAlignment="1">
      <alignment horizontal="left"/>
    </xf>
    <xf numFmtId="0" fontId="0" fillId="42" borderId="110" xfId="0" applyFont="1" applyFill="1" applyBorder="1" applyAlignment="1">
      <alignment vertical="center"/>
    </xf>
    <xf numFmtId="0" fontId="0" fillId="0" borderId="104" xfId="0" applyFont="1" applyBorder="1" applyAlignment="1"/>
    <xf numFmtId="0" fontId="0" fillId="0" borderId="111" xfId="0" applyFont="1" applyBorder="1" applyAlignment="1"/>
    <xf numFmtId="0" fontId="0" fillId="42" borderId="108" xfId="0" applyFont="1" applyFill="1" applyBorder="1" applyAlignment="1">
      <alignment vertical="center"/>
    </xf>
    <xf numFmtId="0" fontId="0" fillId="0" borderId="113" xfId="0" applyFont="1" applyBorder="1" applyAlignment="1"/>
    <xf numFmtId="0" fontId="14" fillId="0" borderId="111" xfId="0" applyFont="1" applyBorder="1" applyAlignment="1"/>
    <xf numFmtId="0" fontId="14" fillId="0" borderId="111" xfId="0" applyFont="1" applyBorder="1" applyAlignment="1">
      <alignment vertical="center"/>
    </xf>
    <xf numFmtId="0" fontId="14" fillId="0" borderId="111" xfId="0" applyFont="1" applyFill="1" applyBorder="1" applyAlignment="1">
      <alignment vertical="center"/>
    </xf>
    <xf numFmtId="0" fontId="0" fillId="0" borderId="113" xfId="0" applyFont="1" applyBorder="1" applyAlignment="1">
      <alignment vertical="center"/>
    </xf>
    <xf numFmtId="0" fontId="24" fillId="36" borderId="111" xfId="0" applyNumberFormat="1" applyFont="1" applyFill="1" applyBorder="1" applyAlignment="1" applyProtection="1">
      <alignment horizontal="left" vertical="center" wrapText="1"/>
    </xf>
    <xf numFmtId="0" fontId="24" fillId="36" borderId="113" xfId="0" applyNumberFormat="1" applyFont="1" applyFill="1" applyBorder="1" applyAlignment="1" applyProtection="1">
      <alignment horizontal="left" vertical="center" wrapText="1"/>
    </xf>
    <xf numFmtId="0" fontId="0" fillId="0" borderId="111" xfId="0" applyFont="1" applyBorder="1" applyAlignment="1">
      <alignment horizontal="left" vertical="center" wrapText="1"/>
    </xf>
    <xf numFmtId="0" fontId="0" fillId="0" borderId="111" xfId="0" applyFont="1" applyFill="1" applyBorder="1" applyAlignment="1">
      <alignment horizontal="left" vertical="center" wrapText="1"/>
    </xf>
    <xf numFmtId="0" fontId="0" fillId="0" borderId="103" xfId="0" applyFont="1" applyFill="1" applyBorder="1" applyAlignment="1">
      <alignment vertical="center" wrapText="1"/>
    </xf>
    <xf numFmtId="0" fontId="0" fillId="0" borderId="112" xfId="0" applyFont="1" applyFill="1" applyBorder="1" applyAlignment="1">
      <alignment horizontal="left" vertical="center" wrapText="1"/>
    </xf>
    <xf numFmtId="0" fontId="0" fillId="0" borderId="113" xfId="0" applyFont="1" applyBorder="1" applyAlignment="1">
      <alignment horizontal="left"/>
    </xf>
    <xf numFmtId="0" fontId="0" fillId="0" borderId="111" xfId="0" applyFont="1" applyBorder="1" applyAlignment="1">
      <alignment horizontal="left"/>
    </xf>
    <xf numFmtId="0" fontId="0" fillId="0" borderId="113" xfId="0" applyFont="1" applyBorder="1" applyAlignment="1">
      <alignment horizontal="left" vertical="center"/>
    </xf>
    <xf numFmtId="0" fontId="0" fillId="0" borderId="105" xfId="0" applyFont="1" applyBorder="1" applyAlignment="1"/>
    <xf numFmtId="164" fontId="0" fillId="0" borderId="15" xfId="0" applyNumberFormat="1" applyFont="1" applyFill="1" applyBorder="1" applyAlignment="1">
      <alignment horizontal="left"/>
    </xf>
    <xf numFmtId="0" fontId="0" fillId="0" borderId="39" xfId="0" applyFont="1" applyBorder="1" applyAlignment="1"/>
    <xf numFmtId="0" fontId="0" fillId="33" borderId="59" xfId="0" applyFont="1" applyFill="1" applyBorder="1" applyAlignment="1">
      <alignment horizontal="left"/>
    </xf>
    <xf numFmtId="0" fontId="0" fillId="33" borderId="59" xfId="0" applyFont="1" applyFill="1" applyBorder="1" applyAlignment="1"/>
    <xf numFmtId="0" fontId="0" fillId="33" borderId="98" xfId="0" applyFill="1" applyBorder="1" applyAlignment="1"/>
    <xf numFmtId="0" fontId="0" fillId="0" borderId="21" xfId="0" applyFill="1" applyBorder="1" applyAlignment="1">
      <alignment horizontal="left" vertical="center"/>
    </xf>
    <xf numFmtId="9" fontId="24" fillId="36" borderId="107" xfId="58" applyFont="1" applyFill="1" applyBorder="1" applyAlignment="1" applyProtection="1">
      <alignment horizontal="left" wrapText="1"/>
    </xf>
    <xf numFmtId="2" fontId="24" fillId="36" borderId="11" xfId="0" applyNumberFormat="1" applyFont="1" applyFill="1" applyBorder="1" applyAlignment="1" applyProtection="1">
      <alignment horizontal="left" wrapText="1"/>
    </xf>
    <xf numFmtId="167" fontId="0" fillId="33" borderId="98" xfId="0" applyNumberFormat="1" applyFont="1" applyFill="1" applyBorder="1" applyAlignment="1">
      <alignment horizontal="left"/>
    </xf>
    <xf numFmtId="0" fontId="0" fillId="33" borderId="98" xfId="0" applyFont="1" applyFill="1" applyBorder="1" applyAlignment="1">
      <alignment vertical="center"/>
    </xf>
    <xf numFmtId="0" fontId="0" fillId="33" borderId="98" xfId="0" applyFont="1" applyFill="1" applyBorder="1" applyAlignment="1">
      <alignment horizontal="center" vertical="center" wrapText="1"/>
    </xf>
    <xf numFmtId="0" fontId="31" fillId="42" borderId="24" xfId="0" applyFont="1" applyFill="1" applyBorder="1" applyAlignment="1">
      <alignment horizontal="center" vertical="center"/>
    </xf>
    <xf numFmtId="0" fontId="0" fillId="42" borderId="24" xfId="0" applyFont="1" applyFill="1" applyBorder="1" applyAlignment="1">
      <alignment horizontal="left"/>
    </xf>
    <xf numFmtId="0" fontId="16" fillId="42" borderId="24" xfId="0" applyFont="1" applyFill="1" applyBorder="1" applyAlignment="1">
      <alignment horizontal="left" vertical="center" wrapText="1"/>
    </xf>
    <xf numFmtId="0" fontId="0" fillId="42" borderId="24" xfId="0" applyFont="1" applyFill="1" applyBorder="1" applyAlignment="1">
      <alignment horizontal="left" vertical="center"/>
    </xf>
    <xf numFmtId="0" fontId="0" fillId="42" borderId="24" xfId="0" applyFont="1" applyFill="1" applyBorder="1" applyAlignment="1"/>
    <xf numFmtId="0" fontId="0" fillId="42" borderId="24" xfId="0" applyFill="1" applyBorder="1" applyAlignment="1">
      <alignment horizontal="left" vertical="center"/>
    </xf>
    <xf numFmtId="0" fontId="0" fillId="42" borderId="24" xfId="0" applyFont="1" applyFill="1" applyBorder="1" applyAlignment="1">
      <alignment vertical="center"/>
    </xf>
    <xf numFmtId="0" fontId="0" fillId="42" borderId="100" xfId="0" applyFont="1" applyFill="1" applyBorder="1" applyAlignment="1"/>
    <xf numFmtId="0" fontId="0" fillId="42" borderId="100" xfId="0" applyFont="1" applyFill="1" applyBorder="1" applyAlignment="1">
      <alignment horizontal="left"/>
    </xf>
    <xf numFmtId="0" fontId="0" fillId="42" borderId="12" xfId="0" applyFont="1" applyFill="1" applyBorder="1" applyAlignment="1">
      <alignment horizontal="left"/>
    </xf>
    <xf numFmtId="0" fontId="16" fillId="42" borderId="12" xfId="0" applyFont="1" applyFill="1" applyBorder="1" applyAlignment="1">
      <alignment horizontal="left" vertical="center"/>
    </xf>
    <xf numFmtId="166" fontId="0" fillId="42" borderId="12" xfId="58" applyNumberFormat="1" applyFont="1" applyFill="1" applyBorder="1" applyAlignment="1">
      <alignment horizontal="left"/>
    </xf>
    <xf numFmtId="37" fontId="0" fillId="42" borderId="12" xfId="57" applyNumberFormat="1" applyFont="1" applyFill="1" applyBorder="1" applyAlignment="1">
      <alignment horizontal="left"/>
    </xf>
    <xf numFmtId="0" fontId="16" fillId="42" borderId="12" xfId="0" applyFont="1" applyFill="1" applyBorder="1" applyAlignment="1">
      <alignment horizontal="left" vertical="center" wrapText="1"/>
    </xf>
    <xf numFmtId="0" fontId="0" fillId="42" borderId="12" xfId="0" applyFont="1" applyFill="1" applyBorder="1" applyAlignment="1">
      <alignment horizontal="left" vertical="center"/>
    </xf>
    <xf numFmtId="37" fontId="24" fillId="42" borderId="12" xfId="57" applyNumberFormat="1" applyFont="1" applyFill="1" applyBorder="1" applyAlignment="1" applyProtection="1">
      <alignment horizontal="left" wrapText="1"/>
    </xf>
    <xf numFmtId="167" fontId="24" fillId="42" borderId="12" xfId="0" applyNumberFormat="1" applyFont="1" applyFill="1" applyBorder="1" applyAlignment="1" applyProtection="1">
      <alignment horizontal="left" wrapText="1"/>
    </xf>
    <xf numFmtId="9" fontId="24" fillId="42" borderId="12" xfId="58" applyFont="1" applyFill="1" applyBorder="1" applyAlignment="1" applyProtection="1">
      <alignment horizontal="left" wrapText="1"/>
    </xf>
    <xf numFmtId="167" fontId="0" fillId="42" borderId="12" xfId="0" applyNumberFormat="1" applyFont="1" applyFill="1" applyBorder="1" applyAlignment="1">
      <alignment horizontal="left"/>
    </xf>
    <xf numFmtId="0" fontId="0" fillId="42" borderId="12" xfId="0" applyFont="1" applyFill="1" applyBorder="1" applyAlignment="1"/>
    <xf numFmtId="3" fontId="24" fillId="42" borderId="12" xfId="57" applyNumberFormat="1" applyFont="1" applyFill="1" applyBorder="1" applyAlignment="1" applyProtection="1">
      <alignment horizontal="left" wrapText="1"/>
    </xf>
    <xf numFmtId="171" fontId="24" fillId="42" borderId="12" xfId="0" applyNumberFormat="1" applyFont="1" applyFill="1" applyBorder="1" applyAlignment="1" applyProtection="1">
      <alignment horizontal="left" wrapText="1"/>
    </xf>
    <xf numFmtId="1" fontId="0" fillId="42" borderId="12" xfId="0" applyNumberFormat="1" applyFont="1" applyFill="1" applyBorder="1" applyAlignment="1">
      <alignment horizontal="left"/>
    </xf>
    <xf numFmtId="165" fontId="0" fillId="42" borderId="12" xfId="0" applyNumberFormat="1" applyFont="1" applyFill="1" applyBorder="1" applyAlignment="1">
      <alignment horizontal="left"/>
    </xf>
    <xf numFmtId="0" fontId="0" fillId="42" borderId="12" xfId="0" applyFill="1" applyBorder="1" applyAlignment="1">
      <alignment horizontal="left"/>
    </xf>
    <xf numFmtId="9" fontId="24" fillId="42" borderId="12" xfId="58" applyFont="1" applyFill="1" applyBorder="1" applyAlignment="1" applyProtection="1">
      <alignment horizontal="left" vertical="center" wrapText="1"/>
    </xf>
    <xf numFmtId="167" fontId="24" fillId="42" borderId="12" xfId="0" applyNumberFormat="1" applyFont="1" applyFill="1" applyBorder="1" applyAlignment="1" applyProtection="1">
      <alignment horizontal="left" vertical="center" wrapText="1"/>
    </xf>
    <xf numFmtId="9" fontId="0" fillId="42" borderId="12" xfId="58" applyFont="1" applyFill="1" applyBorder="1" applyAlignment="1">
      <alignment horizontal="left"/>
    </xf>
    <xf numFmtId="39" fontId="24" fillId="42" borderId="12" xfId="57" applyNumberFormat="1" applyFont="1" applyFill="1" applyBorder="1" applyAlignment="1" applyProtection="1">
      <alignment horizontal="left" wrapText="1"/>
    </xf>
    <xf numFmtId="0" fontId="24" fillId="42" borderId="12" xfId="0" applyNumberFormat="1" applyFont="1" applyFill="1" applyBorder="1" applyAlignment="1" applyProtection="1">
      <alignment horizontal="left" wrapText="1"/>
    </xf>
    <xf numFmtId="167" fontId="27" fillId="42" borderId="12" xfId="0" applyNumberFormat="1" applyFont="1" applyFill="1" applyBorder="1" applyAlignment="1" applyProtection="1">
      <alignment horizontal="left" wrapText="1"/>
    </xf>
    <xf numFmtId="0" fontId="16" fillId="42" borderId="12" xfId="0" applyFont="1" applyFill="1" applyBorder="1" applyAlignment="1">
      <alignment vertical="center"/>
    </xf>
    <xf numFmtId="0" fontId="0" fillId="42" borderId="12" xfId="0" applyFill="1" applyBorder="1"/>
    <xf numFmtId="0" fontId="0" fillId="42" borderId="12" xfId="0" applyFill="1" applyBorder="1" applyAlignment="1">
      <alignment horizontal="left" vertical="center"/>
    </xf>
    <xf numFmtId="167" fontId="24" fillId="42" borderId="12" xfId="57" applyNumberFormat="1" applyFont="1" applyFill="1" applyBorder="1" applyAlignment="1" applyProtection="1">
      <alignment horizontal="left" wrapText="1"/>
    </xf>
    <xf numFmtId="0" fontId="0" fillId="42" borderId="12" xfId="0" applyFont="1" applyFill="1" applyBorder="1" applyAlignment="1">
      <alignment horizontal="left" vertical="center" wrapText="1"/>
    </xf>
    <xf numFmtId="0" fontId="16" fillId="42" borderId="12" xfId="0" applyFont="1" applyFill="1" applyBorder="1" applyAlignment="1">
      <alignment vertical="center" wrapText="1"/>
    </xf>
    <xf numFmtId="0" fontId="0" fillId="42" borderId="12" xfId="0" applyFont="1" applyFill="1" applyBorder="1"/>
    <xf numFmtId="0" fontId="0" fillId="42" borderId="12" xfId="0" applyFont="1" applyFill="1" applyBorder="1" applyAlignment="1">
      <alignment vertical="center"/>
    </xf>
    <xf numFmtId="0" fontId="0" fillId="42" borderId="12" xfId="0" applyFill="1" applyBorder="1" applyAlignment="1">
      <alignment vertical="center"/>
    </xf>
    <xf numFmtId="0" fontId="0" fillId="42" borderId="107" xfId="0" applyFont="1" applyFill="1" applyBorder="1" applyAlignment="1"/>
    <xf numFmtId="0" fontId="0" fillId="42" borderId="37" xfId="0" applyFont="1" applyFill="1" applyBorder="1" applyAlignment="1"/>
    <xf numFmtId="0" fontId="0" fillId="42" borderId="62" xfId="0" applyFont="1" applyFill="1" applyBorder="1" applyAlignment="1"/>
    <xf numFmtId="0" fontId="0" fillId="42" borderId="11" xfId="0" applyFont="1" applyFill="1" applyBorder="1" applyAlignment="1"/>
    <xf numFmtId="0" fontId="0" fillId="42" borderId="15" xfId="0" applyFont="1" applyFill="1" applyBorder="1" applyAlignment="1"/>
    <xf numFmtId="0" fontId="0" fillId="42" borderId="70" xfId="0" applyFont="1" applyFill="1" applyBorder="1" applyAlignment="1"/>
    <xf numFmtId="0" fontId="0" fillId="42" borderId="107" xfId="0" applyFont="1" applyFill="1" applyBorder="1" applyAlignment="1">
      <alignment horizontal="left"/>
    </xf>
    <xf numFmtId="169" fontId="24" fillId="42" borderId="12" xfId="0" applyNumberFormat="1" applyFont="1" applyFill="1" applyBorder="1" applyAlignment="1" applyProtection="1">
      <alignment horizontal="left" wrapText="1"/>
    </xf>
    <xf numFmtId="0" fontId="0" fillId="42" borderId="115" xfId="0" applyFont="1" applyFill="1" applyBorder="1" applyAlignment="1"/>
    <xf numFmtId="0" fontId="0" fillId="33" borderId="16" xfId="0" applyFont="1" applyFill="1" applyBorder="1"/>
    <xf numFmtId="0" fontId="0" fillId="33" borderId="15" xfId="0" applyFont="1" applyFill="1" applyBorder="1" applyAlignment="1">
      <alignment vertical="center" wrapText="1"/>
    </xf>
    <xf numFmtId="0" fontId="0" fillId="33" borderId="107" xfId="0" applyFont="1" applyFill="1" applyBorder="1" applyAlignment="1"/>
    <xf numFmtId="0" fontId="0" fillId="33" borderId="15" xfId="0" applyFill="1" applyBorder="1" applyAlignment="1">
      <alignment vertical="center"/>
    </xf>
    <xf numFmtId="0" fontId="0" fillId="33" borderId="12" xfId="0" applyFont="1" applyFill="1" applyBorder="1" applyAlignment="1">
      <alignment vertical="center" wrapText="1"/>
    </xf>
    <xf numFmtId="0" fontId="0" fillId="33" borderId="107" xfId="0" applyFont="1" applyFill="1" applyBorder="1" applyAlignment="1">
      <alignment horizontal="left"/>
    </xf>
    <xf numFmtId="0" fontId="0" fillId="33" borderId="12" xfId="0" applyFont="1" applyFill="1" applyBorder="1" applyAlignment="1">
      <alignment horizontal="right"/>
    </xf>
    <xf numFmtId="0" fontId="0" fillId="33" borderId="12" xfId="0" applyFont="1" applyFill="1" applyBorder="1" applyAlignment="1">
      <alignment horizontal="right" vertical="center"/>
    </xf>
    <xf numFmtId="0" fontId="0" fillId="33" borderId="107" xfId="0" applyFont="1" applyFill="1" applyBorder="1" applyAlignment="1">
      <alignment vertical="center"/>
    </xf>
    <xf numFmtId="0" fontId="0" fillId="33" borderId="107" xfId="0" applyFont="1" applyFill="1" applyBorder="1" applyAlignment="1">
      <alignment horizontal="center" vertical="center" wrapText="1"/>
    </xf>
    <xf numFmtId="0" fontId="31" fillId="42" borderId="0" xfId="0" applyFont="1" applyFill="1" applyBorder="1" applyAlignment="1">
      <alignment horizontal="center" vertical="center"/>
    </xf>
    <xf numFmtId="0" fontId="16" fillId="42" borderId="0" xfId="0" applyFont="1" applyFill="1" applyBorder="1" applyAlignment="1">
      <alignment horizontal="center" vertical="center"/>
    </xf>
    <xf numFmtId="0" fontId="0" fillId="33" borderId="0" xfId="0" applyFill="1" applyBorder="1"/>
    <xf numFmtId="0" fontId="0" fillId="33" borderId="98" xfId="0" applyFont="1" applyFill="1" applyBorder="1"/>
    <xf numFmtId="0" fontId="0" fillId="33" borderId="46" xfId="0" applyFill="1" applyBorder="1"/>
    <xf numFmtId="0" fontId="0" fillId="33" borderId="61" xfId="0" applyFont="1" applyFill="1" applyBorder="1" applyAlignment="1"/>
    <xf numFmtId="0" fontId="0" fillId="33" borderId="59" xfId="0" applyFont="1" applyFill="1" applyBorder="1" applyAlignment="1">
      <alignment vertical="center"/>
    </xf>
    <xf numFmtId="0" fontId="0" fillId="33" borderId="61" xfId="0" applyFont="1" applyFill="1" applyBorder="1"/>
    <xf numFmtId="0" fontId="0" fillId="33" borderId="39" xfId="0" applyFont="1" applyFill="1" applyBorder="1" applyAlignment="1"/>
    <xf numFmtId="0" fontId="0" fillId="33" borderId="59" xfId="0" applyFont="1" applyFill="1" applyBorder="1"/>
    <xf numFmtId="0" fontId="0" fillId="33" borderId="68" xfId="0" applyFill="1" applyBorder="1" applyAlignment="1"/>
    <xf numFmtId="0" fontId="0" fillId="33" borderId="61" xfId="0" applyFill="1" applyBorder="1" applyAlignment="1"/>
    <xf numFmtId="0" fontId="0" fillId="33" borderId="101" xfId="0" applyFont="1" applyFill="1" applyBorder="1" applyAlignment="1"/>
    <xf numFmtId="170" fontId="0" fillId="42" borderId="24" xfId="0" applyNumberFormat="1" applyFont="1" applyFill="1" applyBorder="1" applyAlignment="1">
      <alignment horizontal="left" vertical="center"/>
    </xf>
    <xf numFmtId="164" fontId="0" fillId="42" borderId="24" xfId="59" applyNumberFormat="1" applyFont="1" applyFill="1" applyBorder="1" applyAlignment="1">
      <alignment horizontal="left"/>
    </xf>
    <xf numFmtId="170" fontId="0" fillId="42" borderId="24" xfId="0" applyNumberFormat="1" applyFont="1" applyFill="1" applyBorder="1" applyAlignment="1">
      <alignment horizontal="left"/>
    </xf>
    <xf numFmtId="164" fontId="0" fillId="42" borderId="24" xfId="59" applyNumberFormat="1" applyFont="1" applyFill="1" applyBorder="1" applyAlignment="1">
      <alignment horizontal="left" vertical="center"/>
    </xf>
    <xf numFmtId="7" fontId="0" fillId="42" borderId="24" xfId="59" applyNumberFormat="1" applyFont="1" applyFill="1" applyBorder="1" applyAlignment="1">
      <alignment horizontal="left"/>
    </xf>
    <xf numFmtId="164" fontId="0" fillId="42" borderId="24" xfId="0" applyNumberFormat="1" applyFont="1" applyFill="1" applyBorder="1" applyAlignment="1">
      <alignment horizontal="left" vertical="center"/>
    </xf>
    <xf numFmtId="164" fontId="0" fillId="42" borderId="24" xfId="0" applyNumberFormat="1" applyFont="1" applyFill="1" applyBorder="1" applyAlignment="1">
      <alignment horizontal="left"/>
    </xf>
    <xf numFmtId="170" fontId="0" fillId="42" borderId="24" xfId="0" applyNumberFormat="1" applyFill="1" applyBorder="1" applyAlignment="1">
      <alignment horizontal="left" vertical="center"/>
    </xf>
    <xf numFmtId="164" fontId="0" fillId="42" borderId="24" xfId="0" applyNumberFormat="1" applyFill="1" applyBorder="1" applyAlignment="1">
      <alignment horizontal="left"/>
    </xf>
    <xf numFmtId="164" fontId="0" fillId="42" borderId="24" xfId="0" applyNumberFormat="1" applyFont="1" applyFill="1" applyBorder="1" applyAlignment="1">
      <alignment horizontal="right" vertical="center"/>
    </xf>
    <xf numFmtId="0" fontId="0" fillId="42" borderId="24" xfId="0" applyFont="1" applyFill="1" applyBorder="1" applyAlignment="1">
      <alignment horizontal="center" vertical="center" wrapText="1"/>
    </xf>
    <xf numFmtId="7" fontId="0" fillId="42" borderId="24" xfId="59" applyNumberFormat="1" applyFont="1" applyFill="1" applyBorder="1" applyAlignment="1">
      <alignment horizontal="left" vertical="center"/>
    </xf>
    <xf numFmtId="164" fontId="0" fillId="42" borderId="24" xfId="0" applyNumberFormat="1" applyFill="1" applyBorder="1" applyAlignment="1">
      <alignment horizontal="left" vertical="center"/>
    </xf>
    <xf numFmtId="7" fontId="0" fillId="42" borderId="100" xfId="59" applyNumberFormat="1" applyFont="1" applyFill="1" applyBorder="1" applyAlignment="1">
      <alignment horizontal="left"/>
    </xf>
    <xf numFmtId="4" fontId="0" fillId="0" borderId="16" xfId="0" applyNumberFormat="1" applyFont="1" applyBorder="1" applyAlignment="1"/>
    <xf numFmtId="0" fontId="21" fillId="0" borderId="62" xfId="0" applyFont="1" applyBorder="1" applyAlignment="1"/>
    <xf numFmtId="164" fontId="0" fillId="0" borderId="16" xfId="0" applyNumberFormat="1" applyFill="1" applyBorder="1" applyAlignment="1">
      <alignment horizontal="left"/>
    </xf>
    <xf numFmtId="164" fontId="0" fillId="0" borderId="11" xfId="0" applyNumberFormat="1" applyFill="1" applyBorder="1" applyAlignment="1">
      <alignment horizontal="left"/>
    </xf>
    <xf numFmtId="170" fontId="0" fillId="0" borderId="13" xfId="0" applyNumberFormat="1" applyBorder="1" applyAlignment="1">
      <alignment horizontal="left"/>
    </xf>
    <xf numFmtId="170" fontId="0" fillId="0" borderId="13" xfId="0" applyNumberFormat="1" applyFont="1" applyFill="1" applyBorder="1" applyAlignment="1">
      <alignment horizontal="left"/>
    </xf>
    <xf numFmtId="170" fontId="0" fillId="0" borderId="10" xfId="0" applyNumberFormat="1" applyBorder="1" applyAlignment="1">
      <alignment horizontal="left"/>
    </xf>
    <xf numFmtId="164" fontId="0" fillId="33" borderId="0" xfId="58" applyNumberFormat="1" applyFont="1" applyFill="1" applyBorder="1" applyAlignment="1">
      <alignment horizontal="left"/>
    </xf>
    <xf numFmtId="0" fontId="0" fillId="0" borderId="104" xfId="0" applyFont="1" applyFill="1" applyBorder="1" applyAlignment="1">
      <alignment vertical="center"/>
    </xf>
    <xf numFmtId="0" fontId="0" fillId="0" borderId="39" xfId="0" applyFont="1" applyBorder="1"/>
    <xf numFmtId="0" fontId="27" fillId="36" borderId="13" xfId="0" applyNumberFormat="1" applyFont="1" applyFill="1" applyBorder="1" applyAlignment="1" applyProtection="1">
      <alignment horizontal="left" wrapText="1"/>
    </xf>
    <xf numFmtId="0" fontId="27" fillId="36" borderId="13" xfId="0" applyNumberFormat="1" applyFont="1" applyFill="1" applyBorder="1" applyAlignment="1" applyProtection="1">
      <alignment horizontal="right" wrapText="1"/>
    </xf>
    <xf numFmtId="167" fontId="0" fillId="0" borderId="13" xfId="0" applyNumberFormat="1" applyFont="1" applyFill="1" applyBorder="1" applyAlignment="1">
      <alignment horizontal="left"/>
    </xf>
    <xf numFmtId="0" fontId="16" fillId="33" borderId="39" xfId="0" applyFont="1" applyFill="1" applyBorder="1" applyAlignment="1">
      <alignment horizontal="left" vertical="center"/>
    </xf>
    <xf numFmtId="170" fontId="0" fillId="0" borderId="13" xfId="0" applyNumberFormat="1" applyFont="1" applyBorder="1" applyAlignment="1">
      <alignment horizontal="left"/>
    </xf>
    <xf numFmtId="0" fontId="0" fillId="0" borderId="21" xfId="0" applyFont="1" applyFill="1" applyBorder="1"/>
    <xf numFmtId="0" fontId="24" fillId="0" borderId="13" xfId="0" applyFont="1" applyFill="1" applyBorder="1" applyAlignment="1"/>
    <xf numFmtId="167" fontId="0" fillId="33" borderId="13" xfId="0" applyNumberFormat="1" applyFill="1" applyBorder="1" applyAlignment="1">
      <alignment horizontal="left" vertical="center"/>
    </xf>
    <xf numFmtId="167" fontId="0" fillId="0" borderId="13" xfId="0" applyNumberFormat="1" applyBorder="1" applyAlignment="1">
      <alignment horizontal="left"/>
    </xf>
    <xf numFmtId="0" fontId="16" fillId="33" borderId="13" xfId="0" applyFont="1" applyFill="1" applyBorder="1" applyAlignment="1">
      <alignment vertical="center"/>
    </xf>
    <xf numFmtId="0" fontId="16" fillId="33" borderId="16" xfId="0" applyFont="1" applyFill="1" applyBorder="1" applyAlignment="1">
      <alignment vertical="center"/>
    </xf>
    <xf numFmtId="0" fontId="0" fillId="0" borderId="104" xfId="0" applyFont="1" applyBorder="1"/>
    <xf numFmtId="0" fontId="0" fillId="0" borderId="21" xfId="0" applyFont="1" applyBorder="1"/>
    <xf numFmtId="170" fontId="0" fillId="0" borderId="16" xfId="0" applyNumberFormat="1" applyFont="1" applyBorder="1" applyAlignment="1">
      <alignment horizontal="left"/>
    </xf>
    <xf numFmtId="170" fontId="0" fillId="0" borderId="10" xfId="0" applyNumberFormat="1" applyFont="1" applyFill="1" applyBorder="1" applyAlignment="1">
      <alignment horizontal="left" vertical="center"/>
    </xf>
    <xf numFmtId="170" fontId="0" fillId="35" borderId="10" xfId="0" applyNumberFormat="1" applyFont="1" applyFill="1" applyBorder="1" applyAlignment="1">
      <alignment horizontal="left"/>
    </xf>
    <xf numFmtId="170" fontId="0" fillId="33" borderId="0" xfId="0" applyNumberFormat="1" applyFont="1" applyFill="1" applyBorder="1" applyAlignment="1">
      <alignment horizontal="left"/>
    </xf>
    <xf numFmtId="170" fontId="0" fillId="42" borderId="46" xfId="0" applyNumberFormat="1" applyFont="1" applyFill="1" applyBorder="1" applyAlignment="1">
      <alignment horizontal="left"/>
    </xf>
    <xf numFmtId="170" fontId="0" fillId="42" borderId="53" xfId="0" applyNumberFormat="1" applyFont="1" applyFill="1" applyBorder="1" applyAlignment="1">
      <alignment horizontal="left"/>
    </xf>
    <xf numFmtId="170" fontId="0" fillId="42" borderId="0" xfId="0" applyNumberFormat="1" applyFont="1" applyFill="1" applyBorder="1" applyAlignment="1">
      <alignment horizontal="left"/>
    </xf>
    <xf numFmtId="170" fontId="0" fillId="42" borderId="51" xfId="0" applyNumberFormat="1" applyFont="1" applyFill="1" applyBorder="1" applyAlignment="1">
      <alignment horizontal="left"/>
    </xf>
    <xf numFmtId="170" fontId="0" fillId="33" borderId="0" xfId="0" applyNumberFormat="1" applyFont="1" applyFill="1" applyBorder="1" applyAlignment="1">
      <alignment horizontal="left" vertical="center"/>
    </xf>
    <xf numFmtId="0" fontId="0" fillId="0" borderId="34" xfId="0" applyFont="1" applyBorder="1" applyAlignment="1">
      <alignment vertical="center"/>
    </xf>
    <xf numFmtId="164" fontId="0" fillId="33" borderId="16" xfId="0" applyNumberFormat="1" applyFont="1" applyFill="1" applyBorder="1" applyAlignment="1">
      <alignment horizontal="left" vertical="center"/>
    </xf>
    <xf numFmtId="2" fontId="0" fillId="35" borderId="20" xfId="57" applyNumberFormat="1" applyFont="1" applyFill="1" applyBorder="1" applyAlignment="1">
      <alignment horizontal="left"/>
    </xf>
    <xf numFmtId="0" fontId="0" fillId="35" borderId="13" xfId="0" applyFont="1" applyFill="1" applyBorder="1" applyAlignment="1"/>
    <xf numFmtId="170" fontId="0" fillId="35" borderId="13" xfId="59" applyNumberFormat="1" applyFont="1" applyFill="1" applyBorder="1" applyAlignment="1">
      <alignment horizontal="left"/>
    </xf>
    <xf numFmtId="0" fontId="0" fillId="35" borderId="21" xfId="0" applyFont="1" applyFill="1" applyBorder="1" applyAlignment="1"/>
    <xf numFmtId="17" fontId="0" fillId="0" borderId="16" xfId="0" quotePrefix="1" applyNumberFormat="1" applyFont="1" applyBorder="1" applyAlignment="1">
      <alignment vertical="center"/>
    </xf>
    <xf numFmtId="0" fontId="0" fillId="35" borderId="13" xfId="0" applyFont="1" applyFill="1" applyBorder="1" applyAlignment="1">
      <alignment horizontal="left" vertical="center" wrapText="1"/>
    </xf>
    <xf numFmtId="2" fontId="0" fillId="35" borderId="16" xfId="57" applyNumberFormat="1" applyFont="1" applyFill="1" applyBorder="1" applyAlignment="1">
      <alignment horizontal="left" vertical="center"/>
    </xf>
    <xf numFmtId="164" fontId="0" fillId="35" borderId="13" xfId="0" applyNumberFormat="1" applyFont="1" applyFill="1" applyBorder="1" applyAlignment="1">
      <alignment horizontal="left" vertical="center"/>
    </xf>
    <xf numFmtId="164" fontId="0" fillId="35" borderId="16" xfId="0" applyNumberFormat="1" applyFont="1" applyFill="1" applyBorder="1" applyAlignment="1">
      <alignment horizontal="left" vertical="center" wrapText="1"/>
    </xf>
    <xf numFmtId="0" fontId="0" fillId="35" borderId="21" xfId="0" applyFont="1" applyFill="1" applyBorder="1" applyAlignment="1">
      <alignment horizontal="left" vertical="center"/>
    </xf>
    <xf numFmtId="2" fontId="0" fillId="0" borderId="16" xfId="57" applyNumberFormat="1" applyFont="1" applyBorder="1" applyAlignment="1">
      <alignment horizontal="left"/>
    </xf>
    <xf numFmtId="167" fontId="0" fillId="33" borderId="12" xfId="0" applyNumberFormat="1" applyFont="1" applyFill="1" applyBorder="1" applyAlignment="1">
      <alignment horizontal="left" vertical="center"/>
    </xf>
    <xf numFmtId="0" fontId="0" fillId="33" borderId="61" xfId="0" applyFont="1" applyFill="1" applyBorder="1" applyAlignment="1">
      <alignment vertical="center"/>
    </xf>
    <xf numFmtId="164" fontId="0" fillId="0" borderId="13" xfId="59" applyNumberFormat="1" applyFont="1" applyBorder="1" applyAlignment="1">
      <alignment horizontal="left"/>
    </xf>
    <xf numFmtId="164" fontId="0" fillId="0" borderId="13" xfId="0" applyNumberFormat="1" applyBorder="1"/>
    <xf numFmtId="0" fontId="0" fillId="0" borderId="35" xfId="0" applyFont="1" applyBorder="1" applyAlignment="1">
      <alignment vertical="center"/>
    </xf>
    <xf numFmtId="0" fontId="0" fillId="0" borderId="14" xfId="0" applyFont="1" applyBorder="1" applyAlignment="1">
      <alignment horizontal="left" vertical="center"/>
    </xf>
    <xf numFmtId="0" fontId="0" fillId="0" borderId="10" xfId="0" applyFont="1" applyBorder="1" applyAlignment="1"/>
    <xf numFmtId="0" fontId="0" fillId="0" borderId="10" xfId="0" applyBorder="1" applyAlignment="1"/>
    <xf numFmtId="0" fontId="0" fillId="0" borderId="111" xfId="0" applyFont="1" applyBorder="1" applyAlignment="1">
      <alignment vertical="center"/>
    </xf>
    <xf numFmtId="0" fontId="0" fillId="0" borderId="103" xfId="0" applyFont="1" applyBorder="1" applyAlignment="1">
      <alignment vertical="center"/>
    </xf>
    <xf numFmtId="0" fontId="0" fillId="0" borderId="111" xfId="0" applyFont="1" applyFill="1" applyBorder="1" applyAlignment="1">
      <alignment vertical="center"/>
    </xf>
    <xf numFmtId="0" fontId="0" fillId="0" borderId="103" xfId="0" applyFont="1" applyBorder="1" applyAlignment="1">
      <alignment horizontal="left" vertical="center" wrapText="1"/>
    </xf>
    <xf numFmtId="0" fontId="0" fillId="0" borderId="105" xfId="0" applyFont="1" applyBorder="1" applyAlignment="1">
      <alignment horizontal="left" vertical="center" wrapText="1"/>
    </xf>
    <xf numFmtId="0" fontId="0" fillId="0" borderId="59" xfId="0" applyFont="1" applyBorder="1" applyAlignment="1">
      <alignment horizontal="left" vertical="center"/>
    </xf>
    <xf numFmtId="0" fontId="0" fillId="0" borderId="39" xfId="0" applyFont="1" applyBorder="1" applyAlignment="1">
      <alignment horizontal="left" vertical="center"/>
    </xf>
    <xf numFmtId="0" fontId="0" fillId="0" borderId="111" xfId="0" applyFont="1" applyBorder="1" applyAlignment="1">
      <alignment horizontal="left" vertical="center"/>
    </xf>
    <xf numFmtId="0" fontId="0" fillId="33" borderId="14" xfId="0" applyFont="1" applyFill="1" applyBorder="1" applyAlignment="1">
      <alignment horizontal="left" vertical="center"/>
    </xf>
    <xf numFmtId="0" fontId="0" fillId="0" borderId="109" xfId="0" applyFont="1" applyFill="1" applyBorder="1" applyAlignment="1">
      <alignment horizontal="center" vertical="center" wrapText="1"/>
    </xf>
    <xf numFmtId="0" fontId="0" fillId="0" borderId="104" xfId="0" applyFont="1" applyBorder="1" applyAlignment="1">
      <alignment vertical="center"/>
    </xf>
    <xf numFmtId="0" fontId="0" fillId="0" borderId="59" xfId="0" applyFont="1" applyBorder="1" applyAlignment="1">
      <alignment vertical="center"/>
    </xf>
    <xf numFmtId="170" fontId="0" fillId="0" borderId="10" xfId="0" applyNumberFormat="1" applyFont="1" applyBorder="1" applyAlignment="1">
      <alignment horizontal="left" vertical="center"/>
    </xf>
    <xf numFmtId="0" fontId="0" fillId="0" borderId="14" xfId="0" applyFont="1" applyBorder="1" applyAlignment="1">
      <alignment vertical="center"/>
    </xf>
    <xf numFmtId="0" fontId="0" fillId="0" borderId="39" xfId="0" applyFont="1" applyFill="1" applyBorder="1" applyAlignment="1">
      <alignment horizontal="left" vertical="center"/>
    </xf>
    <xf numFmtId="164" fontId="0" fillId="0" borderId="10" xfId="0" applyNumberFormat="1" applyBorder="1" applyAlignment="1">
      <alignment horizontal="left" vertical="center"/>
    </xf>
    <xf numFmtId="0" fontId="0" fillId="0" borderId="112" xfId="0" applyFont="1" applyBorder="1" applyAlignment="1">
      <alignment horizontal="left" vertical="center"/>
    </xf>
    <xf numFmtId="164" fontId="0" fillId="0" borderId="10" xfId="0" applyNumberFormat="1" applyFont="1" applyBorder="1" applyAlignment="1">
      <alignment horizontal="left" vertical="center"/>
    </xf>
    <xf numFmtId="0" fontId="0" fillId="0" borderId="10" xfId="0" applyFont="1" applyBorder="1" applyAlignment="1">
      <alignment horizontal="left" vertical="center"/>
    </xf>
    <xf numFmtId="167" fontId="0" fillId="0" borderId="81" xfId="0" applyNumberFormat="1" applyFont="1" applyBorder="1" applyAlignment="1">
      <alignment horizontal="left" vertical="center"/>
    </xf>
    <xf numFmtId="0" fontId="0" fillId="35" borderId="0" xfId="0" applyFill="1" applyAlignment="1">
      <alignment vertical="top" wrapText="1"/>
    </xf>
    <xf numFmtId="0" fontId="0" fillId="35" borderId="0" xfId="0" applyFill="1" applyAlignment="1">
      <alignment vertical="top"/>
    </xf>
    <xf numFmtId="0" fontId="0" fillId="40" borderId="0" xfId="0" applyFill="1" applyAlignment="1">
      <alignment vertical="top"/>
    </xf>
    <xf numFmtId="0" fontId="62" fillId="35" borderId="0" xfId="0" applyFont="1" applyFill="1" applyAlignment="1">
      <alignment vertical="top" wrapText="1"/>
    </xf>
    <xf numFmtId="0" fontId="65" fillId="35" borderId="0" xfId="0" applyFont="1" applyFill="1" applyAlignment="1">
      <alignment horizontal="right"/>
    </xf>
    <xf numFmtId="0" fontId="63" fillId="35" borderId="0" xfId="0" applyFont="1" applyFill="1" applyAlignment="1">
      <alignment horizontal="right" vertical="top" wrapText="1"/>
    </xf>
    <xf numFmtId="170" fontId="0" fillId="0" borderId="11" xfId="0" applyNumberFormat="1" applyBorder="1" applyAlignment="1">
      <alignment horizontal="left"/>
    </xf>
    <xf numFmtId="170" fontId="0" fillId="33" borderId="12" xfId="0" applyNumberFormat="1" applyFont="1" applyFill="1" applyBorder="1" applyAlignment="1">
      <alignment horizontal="left"/>
    </xf>
    <xf numFmtId="170" fontId="0" fillId="33" borderId="0" xfId="59" applyNumberFormat="1" applyFont="1" applyFill="1" applyBorder="1" applyAlignment="1">
      <alignment horizontal="left"/>
    </xf>
    <xf numFmtId="170" fontId="0" fillId="33" borderId="44" xfId="0" applyNumberFormat="1" applyFont="1" applyFill="1" applyBorder="1" applyAlignment="1">
      <alignment horizontal="left"/>
    </xf>
    <xf numFmtId="170" fontId="0" fillId="35" borderId="64" xfId="59" applyNumberFormat="1" applyFont="1" applyFill="1" applyBorder="1" applyAlignment="1">
      <alignment horizontal="left"/>
    </xf>
    <xf numFmtId="170" fontId="0" fillId="35" borderId="11" xfId="59" applyNumberFormat="1" applyFont="1" applyFill="1" applyBorder="1" applyAlignment="1">
      <alignment horizontal="left"/>
    </xf>
    <xf numFmtId="170" fontId="0" fillId="35" borderId="14" xfId="59" applyNumberFormat="1" applyFont="1" applyFill="1" applyBorder="1" applyAlignment="1">
      <alignment horizontal="left"/>
    </xf>
    <xf numFmtId="170" fontId="0" fillId="0" borderId="10" xfId="0" applyNumberFormat="1" applyFont="1" applyBorder="1" applyAlignment="1">
      <alignment vertical="center"/>
    </xf>
    <xf numFmtId="170" fontId="0" fillId="0" borderId="15" xfId="0" applyNumberFormat="1" applyFont="1" applyBorder="1" applyAlignment="1">
      <alignment horizontal="left"/>
    </xf>
    <xf numFmtId="170" fontId="31" fillId="41" borderId="53" xfId="0" applyNumberFormat="1" applyFont="1" applyFill="1" applyBorder="1" applyAlignment="1">
      <alignment horizontal="left" vertical="center"/>
    </xf>
    <xf numFmtId="170" fontId="16" fillId="33" borderId="12" xfId="0" applyNumberFormat="1" applyFont="1" applyFill="1" applyBorder="1" applyAlignment="1">
      <alignment horizontal="left" vertical="center" wrapText="1"/>
    </xf>
    <xf numFmtId="170" fontId="16" fillId="33" borderId="23" xfId="0" applyNumberFormat="1" applyFont="1" applyFill="1" applyBorder="1" applyAlignment="1">
      <alignment horizontal="left" vertical="center" wrapText="1"/>
    </xf>
    <xf numFmtId="170" fontId="16" fillId="33" borderId="15" xfId="0" applyNumberFormat="1" applyFont="1" applyFill="1" applyBorder="1" applyAlignment="1">
      <alignment horizontal="left" vertical="center" wrapText="1"/>
    </xf>
    <xf numFmtId="170" fontId="0" fillId="33" borderId="0" xfId="58" applyNumberFormat="1" applyFont="1" applyFill="1" applyBorder="1" applyAlignment="1">
      <alignment horizontal="left"/>
    </xf>
    <xf numFmtId="170" fontId="0" fillId="33" borderId="0" xfId="0" applyNumberFormat="1" applyFill="1" applyBorder="1" applyAlignment="1">
      <alignment horizontal="left"/>
    </xf>
    <xf numFmtId="170" fontId="0" fillId="33" borderId="37" xfId="0" applyNumberFormat="1" applyFont="1" applyFill="1" applyBorder="1" applyAlignment="1">
      <alignment horizontal="left"/>
    </xf>
    <xf numFmtId="170" fontId="0" fillId="33" borderId="46" xfId="0" applyNumberFormat="1" applyFont="1" applyFill="1" applyBorder="1" applyAlignment="1">
      <alignment horizontal="left"/>
    </xf>
    <xf numFmtId="170" fontId="0" fillId="33" borderId="34" xfId="0" applyNumberFormat="1" applyFont="1" applyFill="1" applyBorder="1" applyAlignment="1">
      <alignment horizontal="left"/>
    </xf>
    <xf numFmtId="170" fontId="0" fillId="35" borderId="13" xfId="0" applyNumberFormat="1" applyFont="1" applyFill="1" applyBorder="1" applyAlignment="1">
      <alignment horizontal="left"/>
    </xf>
    <xf numFmtId="170" fontId="0" fillId="35" borderId="23" xfId="0" applyNumberFormat="1" applyFont="1" applyFill="1" applyBorder="1" applyAlignment="1">
      <alignment horizontal="left"/>
    </xf>
    <xf numFmtId="170" fontId="0" fillId="0" borderId="35" xfId="0" applyNumberFormat="1" applyBorder="1" applyAlignment="1">
      <alignment horizontal="left"/>
    </xf>
    <xf numFmtId="170" fontId="0" fillId="0" borderId="62" xfId="0" applyNumberFormat="1" applyBorder="1" applyAlignment="1">
      <alignment horizontal="left"/>
    </xf>
    <xf numFmtId="170" fontId="0" fillId="33" borderId="12" xfId="59" applyNumberFormat="1" applyFont="1" applyFill="1" applyBorder="1" applyAlignment="1">
      <alignment horizontal="left"/>
    </xf>
    <xf numFmtId="170" fontId="0" fillId="35" borderId="23" xfId="59" applyNumberFormat="1" applyFont="1" applyFill="1" applyBorder="1" applyAlignment="1">
      <alignment horizontal="left"/>
    </xf>
    <xf numFmtId="170" fontId="0" fillId="35" borderId="15" xfId="59" applyNumberFormat="1" applyFont="1" applyFill="1" applyBorder="1" applyAlignment="1">
      <alignment horizontal="left"/>
    </xf>
    <xf numFmtId="170" fontId="0" fillId="0" borderId="13" xfId="59" applyNumberFormat="1" applyFont="1" applyBorder="1" applyAlignment="1">
      <alignment horizontal="left"/>
    </xf>
    <xf numFmtId="170" fontId="0" fillId="0" borderId="10" xfId="59" applyNumberFormat="1" applyFont="1" applyBorder="1" applyAlignment="1">
      <alignment horizontal="left"/>
    </xf>
    <xf numFmtId="170" fontId="0" fillId="33" borderId="51" xfId="0" applyNumberFormat="1" applyFont="1" applyFill="1" applyBorder="1" applyAlignment="1">
      <alignment horizontal="left"/>
    </xf>
    <xf numFmtId="170" fontId="0" fillId="33" borderId="0" xfId="58" applyNumberFormat="1" applyFont="1" applyFill="1" applyBorder="1" applyAlignment="1">
      <alignment horizontal="left" vertical="center"/>
    </xf>
    <xf numFmtId="170" fontId="0" fillId="0" borderId="10" xfId="0" applyNumberFormat="1" applyBorder="1"/>
    <xf numFmtId="170" fontId="0" fillId="0" borderId="35" xfId="0" applyNumberFormat="1" applyBorder="1"/>
    <xf numFmtId="170" fontId="0" fillId="35" borderId="35" xfId="59" applyNumberFormat="1" applyFont="1" applyFill="1" applyBorder="1" applyAlignment="1">
      <alignment horizontal="left"/>
    </xf>
    <xf numFmtId="170" fontId="0" fillId="0" borderId="0" xfId="0" applyNumberFormat="1" applyFont="1" applyBorder="1" applyAlignment="1">
      <alignment horizontal="left"/>
    </xf>
    <xf numFmtId="170" fontId="0" fillId="33" borderId="0" xfId="0" applyNumberFormat="1" applyFill="1" applyBorder="1" applyAlignment="1">
      <alignment horizontal="left" vertical="center"/>
    </xf>
    <xf numFmtId="170" fontId="0" fillId="0" borderId="35" xfId="0" applyNumberFormat="1" applyFont="1" applyBorder="1" applyAlignment="1">
      <alignment horizontal="left" vertical="center"/>
    </xf>
    <xf numFmtId="170" fontId="0" fillId="0" borderId="10" xfId="0" applyNumberFormat="1" applyFont="1" applyBorder="1" applyAlignment="1"/>
    <xf numFmtId="170" fontId="0" fillId="0" borderId="10" xfId="0" applyNumberFormat="1" applyFont="1" applyFill="1" applyBorder="1" applyAlignment="1"/>
    <xf numFmtId="170" fontId="0" fillId="0" borderId="35" xfId="0" applyNumberFormat="1" applyFont="1" applyBorder="1" applyAlignment="1"/>
    <xf numFmtId="0" fontId="0" fillId="0" borderId="111" xfId="0" applyFont="1" applyBorder="1"/>
    <xf numFmtId="0" fontId="0" fillId="0" borderId="105" xfId="0" applyFont="1" applyFill="1" applyBorder="1" applyAlignment="1"/>
    <xf numFmtId="0" fontId="0" fillId="0" borderId="64" xfId="0" applyFont="1" applyFill="1" applyBorder="1" applyAlignment="1">
      <alignment horizontal="left" vertical="center"/>
    </xf>
    <xf numFmtId="0" fontId="0" fillId="0" borderId="105" xfId="0" applyFont="1" applyFill="1" applyBorder="1" applyAlignment="1">
      <alignment horizontal="left" vertical="center"/>
    </xf>
    <xf numFmtId="0" fontId="0" fillId="0" borderId="113" xfId="0" applyFont="1" applyFill="1" applyBorder="1" applyAlignment="1">
      <alignment vertical="center"/>
    </xf>
    <xf numFmtId="0" fontId="0" fillId="0" borderId="29" xfId="0" applyFont="1" applyFill="1" applyBorder="1" applyAlignment="1">
      <alignment horizontal="left" vertical="center"/>
    </xf>
    <xf numFmtId="0" fontId="13" fillId="42" borderId="110" xfId="0" applyFont="1" applyFill="1" applyBorder="1" applyAlignment="1">
      <alignment vertical="center"/>
    </xf>
    <xf numFmtId="0" fontId="24" fillId="36" borderId="113" xfId="0" applyNumberFormat="1" applyFont="1" applyFill="1" applyBorder="1" applyAlignment="1" applyProtection="1">
      <alignment horizontal="left" wrapText="1"/>
    </xf>
    <xf numFmtId="0" fontId="24" fillId="36" borderId="111" xfId="0" applyNumberFormat="1" applyFont="1" applyFill="1" applyBorder="1" applyAlignment="1" applyProtection="1">
      <alignment horizontal="left" wrapText="1"/>
    </xf>
    <xf numFmtId="0" fontId="24" fillId="36" borderId="104" xfId="0" applyNumberFormat="1" applyFont="1" applyFill="1" applyBorder="1" applyAlignment="1" applyProtection="1">
      <alignment horizontal="left" wrapText="1"/>
    </xf>
    <xf numFmtId="0" fontId="16" fillId="42" borderId="110" xfId="0" applyFont="1" applyFill="1" applyBorder="1" applyAlignment="1">
      <alignment vertical="center"/>
    </xf>
    <xf numFmtId="1" fontId="0" fillId="35" borderId="10" xfId="57" applyNumberFormat="1" applyFont="1" applyFill="1" applyBorder="1" applyAlignment="1">
      <alignment horizontal="left" vertical="center"/>
    </xf>
    <xf numFmtId="0" fontId="0" fillId="0" borderId="13" xfId="0" applyBorder="1" applyAlignment="1">
      <alignment horizontal="left"/>
    </xf>
    <xf numFmtId="164" fontId="0" fillId="0" borderId="16" xfId="0" applyNumberFormat="1" applyBorder="1" applyAlignment="1">
      <alignment horizontal="left" vertical="center"/>
    </xf>
    <xf numFmtId="167" fontId="0" fillId="35" borderId="97" xfId="0" applyNumberFormat="1" applyFont="1" applyFill="1" applyBorder="1" applyAlignment="1"/>
    <xf numFmtId="0" fontId="0" fillId="33" borderId="61" xfId="0" applyFont="1" applyFill="1" applyBorder="1" applyAlignment="1">
      <alignment horizontal="left"/>
    </xf>
    <xf numFmtId="170" fontId="24" fillId="0" borderId="10" xfId="0" applyNumberFormat="1" applyFont="1" applyBorder="1" applyAlignment="1">
      <alignment horizontal="left"/>
    </xf>
    <xf numFmtId="0" fontId="0" fillId="0" borderId="35" xfId="0" applyFill="1" applyBorder="1"/>
    <xf numFmtId="0" fontId="0" fillId="0" borderId="10" xfId="0" applyFill="1" applyBorder="1"/>
    <xf numFmtId="0" fontId="0" fillId="0" borderId="69" xfId="0" applyFill="1" applyBorder="1"/>
    <xf numFmtId="0" fontId="0" fillId="33" borderId="69" xfId="0" applyFont="1" applyFill="1" applyBorder="1" applyAlignment="1">
      <alignment horizontal="left"/>
    </xf>
    <xf numFmtId="0" fontId="0" fillId="0" borderId="35" xfId="0" applyBorder="1" applyAlignment="1">
      <alignment horizontal="left"/>
    </xf>
    <xf numFmtId="164" fontId="0" fillId="0" borderId="35" xfId="0" applyNumberFormat="1" applyBorder="1" applyAlignment="1">
      <alignment horizontal="left" vertical="center"/>
    </xf>
    <xf numFmtId="0" fontId="0" fillId="0" borderId="10" xfId="0" applyBorder="1" applyAlignment="1"/>
    <xf numFmtId="164" fontId="0" fillId="0" borderId="35" xfId="0" applyNumberFormat="1" applyFill="1" applyBorder="1" applyAlignment="1">
      <alignment horizontal="left"/>
    </xf>
    <xf numFmtId="164" fontId="0" fillId="0" borderId="62" xfId="0" applyNumberFormat="1" applyFill="1" applyBorder="1" applyAlignment="1">
      <alignment horizontal="left"/>
    </xf>
    <xf numFmtId="164" fontId="0" fillId="0" borderId="10" xfId="0" applyNumberFormat="1" applyFill="1" applyBorder="1" applyAlignment="1">
      <alignment horizontal="left"/>
    </xf>
    <xf numFmtId="7" fontId="0" fillId="0" borderId="13" xfId="59" applyNumberFormat="1" applyFont="1" applyFill="1" applyBorder="1" applyAlignment="1">
      <alignment horizontal="left"/>
    </xf>
    <xf numFmtId="7" fontId="0" fillId="0" borderId="16" xfId="59" applyNumberFormat="1" applyFont="1" applyFill="1" applyBorder="1" applyAlignment="1">
      <alignment horizontal="left"/>
    </xf>
    <xf numFmtId="0" fontId="0" fillId="0" borderId="35" xfId="0" applyFill="1" applyBorder="1" applyAlignment="1">
      <alignment horizontal="left"/>
    </xf>
    <xf numFmtId="0" fontId="0" fillId="0" borderId="10" xfId="0" applyFill="1" applyBorder="1" applyAlignment="1">
      <alignment horizontal="left"/>
    </xf>
    <xf numFmtId="164" fontId="0" fillId="39" borderId="11" xfId="0" applyNumberFormat="1" applyFont="1" applyFill="1" applyBorder="1" applyAlignment="1">
      <alignment horizontal="left"/>
    </xf>
    <xf numFmtId="0" fontId="0" fillId="39" borderId="11" xfId="0" applyFont="1" applyFill="1" applyBorder="1" applyAlignment="1"/>
    <xf numFmtId="8" fontId="24" fillId="0" borderId="60" xfId="0" applyNumberFormat="1" applyFont="1" applyFill="1" applyBorder="1" applyAlignment="1" applyProtection="1">
      <alignment horizontal="left" wrapText="1"/>
    </xf>
    <xf numFmtId="8" fontId="24" fillId="0" borderId="63" xfId="0" applyNumberFormat="1" applyFont="1" applyFill="1" applyBorder="1" applyAlignment="1" applyProtection="1">
      <alignment horizontal="left" wrapText="1"/>
    </xf>
    <xf numFmtId="0" fontId="0" fillId="0" borderId="62" xfId="0" applyFont="1" applyFill="1" applyBorder="1" applyAlignment="1">
      <alignment horizontal="left"/>
    </xf>
    <xf numFmtId="164" fontId="0" fillId="0" borderId="11" xfId="59" applyNumberFormat="1" applyFont="1" applyFill="1" applyBorder="1" applyAlignment="1">
      <alignment horizontal="left"/>
    </xf>
    <xf numFmtId="170" fontId="0" fillId="0" borderId="10" xfId="58" applyNumberFormat="1" applyFont="1" applyFill="1" applyBorder="1" applyAlignment="1">
      <alignment horizontal="left"/>
    </xf>
    <xf numFmtId="0" fontId="32" fillId="37" borderId="0" xfId="0" applyFont="1" applyFill="1" applyBorder="1" applyAlignment="1">
      <alignment horizontal="left" vertical="center" wrapText="1"/>
    </xf>
    <xf numFmtId="164" fontId="0" fillId="0" borderId="23" xfId="0" applyNumberFormat="1" applyFont="1" applyBorder="1" applyAlignment="1">
      <alignment horizontal="left" vertical="center"/>
    </xf>
    <xf numFmtId="0" fontId="0" fillId="33" borderId="16" xfId="0" applyFont="1" applyFill="1" applyBorder="1" applyAlignment="1">
      <alignment horizontal="left" vertical="center"/>
    </xf>
    <xf numFmtId="0" fontId="0" fillId="33" borderId="17" xfId="0" applyFont="1" applyFill="1" applyBorder="1" applyAlignment="1">
      <alignment horizontal="left" vertical="center"/>
    </xf>
    <xf numFmtId="0" fontId="0" fillId="33" borderId="11" xfId="0" applyFont="1" applyFill="1" applyBorder="1" applyAlignment="1">
      <alignment horizontal="left" vertical="center"/>
    </xf>
    <xf numFmtId="0" fontId="0" fillId="33" borderId="21" xfId="0" applyFont="1" applyFill="1" applyBorder="1" applyAlignment="1">
      <alignment horizontal="left" vertical="center"/>
    </xf>
    <xf numFmtId="0" fontId="0" fillId="0" borderId="17" xfId="0" applyFont="1" applyBorder="1" applyAlignment="1">
      <alignment horizontal="left" vertical="center"/>
    </xf>
    <xf numFmtId="0" fontId="0" fillId="0" borderId="21" xfId="0" applyFont="1" applyBorder="1" applyAlignment="1">
      <alignment horizontal="left" vertical="center"/>
    </xf>
    <xf numFmtId="0" fontId="0" fillId="33" borderId="15" xfId="0" applyFont="1" applyFill="1" applyBorder="1" applyAlignment="1">
      <alignment horizontal="left" vertical="center"/>
    </xf>
    <xf numFmtId="0" fontId="0" fillId="33" borderId="19" xfId="0" applyFont="1" applyFill="1" applyBorder="1" applyAlignment="1">
      <alignment horizontal="left" vertical="center"/>
    </xf>
    <xf numFmtId="0" fontId="32" fillId="37" borderId="0" xfId="0" applyFont="1" applyFill="1" applyBorder="1" applyAlignment="1">
      <alignment horizontal="left" vertical="center" wrapText="1"/>
    </xf>
    <xf numFmtId="9" fontId="24" fillId="33" borderId="0" xfId="58" applyFont="1" applyFill="1" applyBorder="1" applyAlignment="1" applyProtection="1">
      <alignment horizontal="left" wrapText="1"/>
    </xf>
    <xf numFmtId="39" fontId="0" fillId="0" borderId="23" xfId="57" applyNumberFormat="1" applyFont="1" applyFill="1" applyBorder="1" applyAlignment="1">
      <alignment horizontal="left"/>
    </xf>
    <xf numFmtId="39" fontId="0" fillId="33" borderId="33" xfId="57" applyNumberFormat="1" applyFont="1" applyFill="1" applyBorder="1" applyAlignment="1">
      <alignment horizontal="left"/>
    </xf>
    <xf numFmtId="9" fontId="24" fillId="33" borderId="38" xfId="58" applyFont="1" applyFill="1" applyBorder="1" applyAlignment="1" applyProtection="1">
      <alignment horizontal="left" wrapText="1"/>
    </xf>
    <xf numFmtId="0" fontId="0" fillId="33" borderId="52" xfId="0" applyFont="1" applyFill="1" applyBorder="1" applyAlignment="1"/>
    <xf numFmtId="0" fontId="0" fillId="33" borderId="120" xfId="0" applyFont="1" applyFill="1" applyBorder="1" applyAlignment="1"/>
    <xf numFmtId="0" fontId="0" fillId="33" borderId="70" xfId="0" applyFont="1" applyFill="1" applyBorder="1" applyAlignment="1">
      <alignment horizontal="right"/>
    </xf>
    <xf numFmtId="164" fontId="0" fillId="33" borderId="33" xfId="0" applyNumberFormat="1" applyFont="1" applyFill="1" applyBorder="1" applyAlignment="1">
      <alignment horizontal="left"/>
    </xf>
    <xf numFmtId="164" fontId="0" fillId="33" borderId="38" xfId="59" applyNumberFormat="1" applyFont="1" applyFill="1" applyBorder="1" applyAlignment="1">
      <alignment horizontal="left"/>
    </xf>
    <xf numFmtId="0" fontId="0" fillId="33" borderId="95" xfId="0" applyFont="1" applyFill="1" applyBorder="1" applyAlignment="1">
      <alignment horizontal="left" vertical="center"/>
    </xf>
    <xf numFmtId="0" fontId="0" fillId="33" borderId="96" xfId="0" applyFont="1" applyFill="1" applyBorder="1" applyAlignment="1">
      <alignment horizontal="left" vertical="center"/>
    </xf>
    <xf numFmtId="0" fontId="27" fillId="33" borderId="107" xfId="0" applyNumberFormat="1" applyFont="1" applyFill="1" applyBorder="1" applyAlignment="1" applyProtection="1">
      <alignment horizontal="left" wrapText="1"/>
    </xf>
    <xf numFmtId="164" fontId="0" fillId="33" borderId="59" xfId="59" applyNumberFormat="1" applyFont="1" applyFill="1" applyBorder="1" applyAlignment="1">
      <alignment horizontal="left"/>
    </xf>
    <xf numFmtId="164" fontId="0" fillId="33" borderId="101" xfId="59" applyNumberFormat="1" applyFont="1" applyFill="1" applyBorder="1" applyAlignment="1">
      <alignment horizontal="left"/>
    </xf>
    <xf numFmtId="0" fontId="0" fillId="0" borderId="103" xfId="0" applyFont="1" applyBorder="1" applyAlignment="1"/>
    <xf numFmtId="0" fontId="0" fillId="0" borderId="59" xfId="0" applyFont="1" applyBorder="1" applyAlignment="1">
      <alignment horizontal="left"/>
    </xf>
    <xf numFmtId="0" fontId="0" fillId="33" borderId="112" xfId="0" applyFont="1" applyFill="1" applyBorder="1" applyAlignment="1"/>
    <xf numFmtId="0" fontId="0" fillId="33" borderId="121" xfId="0" applyFont="1" applyFill="1" applyBorder="1" applyAlignment="1">
      <alignment horizontal="left"/>
    </xf>
    <xf numFmtId="0" fontId="14" fillId="0" borderId="19" xfId="0" applyFont="1" applyBorder="1" applyAlignment="1">
      <alignment horizontal="left"/>
    </xf>
    <xf numFmtId="0" fontId="14" fillId="33" borderId="120" xfId="0" applyFont="1" applyFill="1" applyBorder="1" applyAlignment="1">
      <alignment horizontal="left"/>
    </xf>
    <xf numFmtId="0" fontId="0" fillId="33" borderId="101" xfId="0" applyFont="1" applyFill="1" applyBorder="1" applyAlignment="1">
      <alignment horizontal="left"/>
    </xf>
    <xf numFmtId="0" fontId="0" fillId="33" borderId="122" xfId="0" applyFont="1" applyFill="1" applyBorder="1" applyAlignment="1">
      <alignment horizontal="left"/>
    </xf>
    <xf numFmtId="0" fontId="0" fillId="33" borderId="95" xfId="0" applyFont="1" applyFill="1" applyBorder="1" applyAlignment="1">
      <alignment horizontal="left"/>
    </xf>
    <xf numFmtId="0" fontId="0" fillId="33" borderId="96" xfId="0" applyFont="1" applyFill="1" applyBorder="1" applyAlignment="1">
      <alignment horizontal="left"/>
    </xf>
    <xf numFmtId="0" fontId="24" fillId="33" borderId="0" xfId="0" applyNumberFormat="1" applyFont="1" applyFill="1" applyBorder="1" applyAlignment="1" applyProtection="1">
      <alignment horizontal="left" wrapText="1"/>
    </xf>
    <xf numFmtId="0" fontId="0" fillId="33" borderId="12" xfId="0" applyFont="1" applyFill="1" applyBorder="1" applyAlignment="1">
      <alignment horizontal="center" vertical="center"/>
    </xf>
    <xf numFmtId="164" fontId="0" fillId="33" borderId="0" xfId="0" applyNumberFormat="1" applyFill="1" applyBorder="1" applyAlignment="1">
      <alignment horizontal="left"/>
    </xf>
    <xf numFmtId="0" fontId="0" fillId="42" borderId="124" xfId="0" applyFont="1" applyFill="1" applyBorder="1" applyAlignment="1"/>
    <xf numFmtId="0" fontId="0" fillId="42" borderId="123" xfId="0" applyFont="1" applyFill="1" applyBorder="1" applyAlignment="1"/>
    <xf numFmtId="0" fontId="0" fillId="42" borderId="125" xfId="0" applyFont="1" applyFill="1" applyBorder="1" applyAlignment="1"/>
    <xf numFmtId="0" fontId="41" fillId="0" borderId="42" xfId="0" applyFont="1" applyBorder="1" applyAlignment="1">
      <alignment vertical="center"/>
    </xf>
    <xf numFmtId="0" fontId="41" fillId="42" borderId="123" xfId="0" applyFont="1" applyFill="1" applyBorder="1" applyAlignment="1">
      <alignment vertical="center"/>
    </xf>
    <xf numFmtId="0" fontId="16" fillId="42" borderId="123" xfId="0" applyFont="1" applyFill="1" applyBorder="1" applyAlignment="1">
      <alignment vertical="center" wrapText="1"/>
    </xf>
    <xf numFmtId="0" fontId="0" fillId="42" borderId="123" xfId="0" applyFont="1" applyFill="1" applyBorder="1" applyAlignment="1">
      <alignment vertical="center"/>
    </xf>
    <xf numFmtId="0" fontId="0" fillId="42" borderId="123" xfId="0" applyFont="1" applyFill="1" applyBorder="1" applyAlignment="1">
      <alignment horizontal="left" vertical="center"/>
    </xf>
    <xf numFmtId="0" fontId="0" fillId="42" borderId="123" xfId="0" applyFill="1" applyBorder="1" applyAlignment="1"/>
    <xf numFmtId="49" fontId="0" fillId="0" borderId="11" xfId="0" applyNumberFormat="1" applyFont="1" applyBorder="1" applyAlignment="1">
      <alignment vertical="center"/>
    </xf>
    <xf numFmtId="0" fontId="0" fillId="33" borderId="70" xfId="0" applyFont="1" applyFill="1" applyBorder="1" applyAlignment="1">
      <alignment horizontal="left"/>
    </xf>
    <xf numFmtId="0" fontId="0" fillId="33" borderId="62" xfId="0" applyFont="1" applyFill="1" applyBorder="1" applyAlignment="1">
      <alignment horizontal="left"/>
    </xf>
    <xf numFmtId="0" fontId="0" fillId="0" borderId="62" xfId="0" applyFont="1" applyBorder="1" applyAlignment="1">
      <alignment vertical="center" wrapText="1"/>
    </xf>
    <xf numFmtId="0" fontId="14" fillId="0" borderId="43" xfId="0" applyFont="1" applyBorder="1" applyAlignment="1">
      <alignment horizontal="left"/>
    </xf>
    <xf numFmtId="0" fontId="14" fillId="0" borderId="11" xfId="0" applyFont="1" applyFill="1" applyBorder="1" applyAlignment="1">
      <alignment vertical="center"/>
    </xf>
    <xf numFmtId="0" fontId="14" fillId="0" borderId="11" xfId="0" applyFont="1" applyFill="1" applyBorder="1" applyAlignment="1">
      <alignment vertical="center" wrapText="1"/>
    </xf>
    <xf numFmtId="16" fontId="0" fillId="0" borderId="11" xfId="0" quotePrefix="1" applyNumberFormat="1" applyBorder="1" applyAlignment="1"/>
    <xf numFmtId="0" fontId="0" fillId="0" borderId="11" xfId="0" applyBorder="1" applyAlignment="1"/>
    <xf numFmtId="0" fontId="14" fillId="0" borderId="11" xfId="0" applyFont="1" applyBorder="1" applyAlignment="1"/>
    <xf numFmtId="0" fontId="14" fillId="0" borderId="15" xfId="0" applyFont="1" applyBorder="1" applyAlignment="1"/>
    <xf numFmtId="0" fontId="14" fillId="33" borderId="33" xfId="0" applyFont="1" applyFill="1" applyBorder="1" applyAlignment="1"/>
    <xf numFmtId="0" fontId="0" fillId="0" borderId="11" xfId="0" applyBorder="1" applyAlignment="1">
      <alignment horizontal="left" vertical="center" wrapText="1"/>
    </xf>
    <xf numFmtId="0" fontId="0" fillId="0" borderId="62" xfId="0" applyBorder="1" applyAlignment="1">
      <alignment wrapText="1"/>
    </xf>
    <xf numFmtId="0" fontId="0" fillId="0" borderId="11" xfId="0" applyBorder="1" applyAlignment="1">
      <alignment vertical="center" wrapText="1"/>
    </xf>
    <xf numFmtId="0" fontId="0" fillId="0" borderId="11" xfId="0" applyBorder="1" applyAlignment="1">
      <alignment wrapText="1"/>
    </xf>
    <xf numFmtId="0" fontId="0" fillId="0" borderId="16" xfId="0" applyFont="1" applyBorder="1" applyAlignment="1"/>
    <xf numFmtId="0" fontId="0" fillId="0" borderId="16" xfId="0" applyBorder="1" applyAlignment="1"/>
    <xf numFmtId="0" fontId="0" fillId="33" borderId="15" xfId="0" applyFill="1" applyBorder="1" applyAlignment="1">
      <alignment horizontal="left" vertical="center"/>
    </xf>
    <xf numFmtId="0" fontId="0" fillId="33" borderId="51" xfId="0" applyFill="1" applyBorder="1" applyAlignment="1"/>
    <xf numFmtId="0" fontId="0" fillId="0" borderId="11" xfId="0" applyFont="1" applyBorder="1" applyAlignment="1">
      <alignment wrapText="1"/>
    </xf>
    <xf numFmtId="0" fontId="0" fillId="0" borderId="11" xfId="0" applyBorder="1" applyAlignment="1">
      <alignment horizontal="left" wrapText="1"/>
    </xf>
    <xf numFmtId="0" fontId="0" fillId="35" borderId="16" xfId="0" quotePrefix="1" applyFont="1" applyFill="1" applyBorder="1" applyAlignment="1">
      <alignment horizontal="left" vertical="center"/>
    </xf>
    <xf numFmtId="0" fontId="0" fillId="33" borderId="11" xfId="0" applyFill="1" applyBorder="1" applyAlignment="1">
      <alignment horizontal="left"/>
    </xf>
    <xf numFmtId="17" fontId="0" fillId="0" borderId="11" xfId="0" applyNumberFormat="1" applyFill="1" applyBorder="1" applyAlignment="1">
      <alignment horizontal="left" vertical="center" wrapText="1"/>
    </xf>
    <xf numFmtId="165" fontId="0" fillId="0" borderId="11" xfId="0" applyNumberFormat="1" applyFont="1" applyFill="1" applyBorder="1" applyAlignment="1">
      <alignment horizontal="left"/>
    </xf>
    <xf numFmtId="0" fontId="0" fillId="0" borderId="11" xfId="0" quotePrefix="1" applyFill="1" applyBorder="1" applyAlignment="1">
      <alignment horizontal="left"/>
    </xf>
    <xf numFmtId="165" fontId="14" fillId="0" borderId="11" xfId="0" applyNumberFormat="1" applyFont="1" applyFill="1" applyBorder="1" applyAlignment="1">
      <alignment horizontal="left"/>
    </xf>
    <xf numFmtId="0" fontId="0" fillId="0" borderId="15" xfId="0" quotePrefix="1" applyFill="1" applyBorder="1" applyAlignment="1">
      <alignment horizontal="left"/>
    </xf>
    <xf numFmtId="165" fontId="0" fillId="0" borderId="11" xfId="0" quotePrefix="1" applyNumberFormat="1" applyFill="1" applyBorder="1" applyAlignment="1">
      <alignment horizontal="left" vertical="center"/>
    </xf>
    <xf numFmtId="0" fontId="0" fillId="0" borderId="11" xfId="0" quotePrefix="1" applyFill="1" applyBorder="1" applyAlignment="1">
      <alignment horizontal="left" vertical="center"/>
    </xf>
    <xf numFmtId="0" fontId="0" fillId="0" borderId="62" xfId="0" applyFill="1" applyBorder="1" applyAlignment="1">
      <alignment vertical="center"/>
    </xf>
    <xf numFmtId="0" fontId="0" fillId="0" borderId="21" xfId="0" applyBorder="1" applyAlignment="1"/>
    <xf numFmtId="0" fontId="0" fillId="33" borderId="25" xfId="0" applyFont="1" applyFill="1" applyBorder="1" applyAlignment="1"/>
    <xf numFmtId="0" fontId="0" fillId="33" borderId="25" xfId="0" applyFont="1" applyFill="1" applyBorder="1" applyAlignment="1">
      <alignment vertical="center"/>
    </xf>
    <xf numFmtId="0" fontId="0" fillId="33" borderId="41" xfId="0" applyFont="1" applyFill="1" applyBorder="1" applyAlignment="1">
      <alignment horizontal="left"/>
    </xf>
    <xf numFmtId="0" fontId="0" fillId="33" borderId="21" xfId="0" applyFill="1" applyBorder="1" applyAlignment="1">
      <alignment horizontal="left" vertical="center"/>
    </xf>
    <xf numFmtId="0" fontId="0" fillId="33" borderId="126" xfId="0" applyFont="1" applyFill="1" applyBorder="1" applyAlignment="1"/>
    <xf numFmtId="0" fontId="14" fillId="0" borderId="27" xfId="0" applyFont="1" applyFill="1" applyBorder="1" applyAlignment="1">
      <alignment horizontal="left"/>
    </xf>
    <xf numFmtId="0" fontId="14" fillId="0" borderId="11" xfId="0" applyFont="1" applyBorder="1" applyAlignment="1">
      <alignment vertical="center"/>
    </xf>
    <xf numFmtId="0" fontId="14" fillId="0" borderId="15" xfId="0" applyFont="1" applyBorder="1" applyAlignment="1">
      <alignment vertical="center"/>
    </xf>
    <xf numFmtId="0" fontId="14" fillId="36" borderId="11" xfId="0" applyNumberFormat="1" applyFont="1" applyFill="1" applyBorder="1" applyAlignment="1" applyProtection="1">
      <alignment horizontal="left" wrapText="1"/>
    </xf>
    <xf numFmtId="0" fontId="0" fillId="33" borderId="62" xfId="0" applyFont="1" applyFill="1" applyBorder="1" applyAlignment="1"/>
    <xf numFmtId="0" fontId="0" fillId="33" borderId="62" xfId="0" applyFont="1" applyFill="1" applyBorder="1" applyAlignment="1">
      <alignment vertical="center"/>
    </xf>
    <xf numFmtId="0" fontId="0" fillId="33" borderId="16" xfId="0" applyFill="1" applyBorder="1" applyAlignment="1">
      <alignment horizontal="left" vertical="center"/>
    </xf>
    <xf numFmtId="0" fontId="0" fillId="0" borderId="11" xfId="0" applyFill="1" applyBorder="1" applyAlignment="1"/>
    <xf numFmtId="17" fontId="0" fillId="0" borderId="11" xfId="0" quotePrefix="1" applyNumberFormat="1" applyFill="1" applyBorder="1" applyAlignment="1">
      <alignment horizontal="left" vertical="center"/>
    </xf>
    <xf numFmtId="16" fontId="0" fillId="0" borderId="11" xfId="0" quotePrefix="1" applyNumberFormat="1" applyFill="1" applyBorder="1" applyAlignment="1">
      <alignment horizontal="left"/>
    </xf>
    <xf numFmtId="165" fontId="14" fillId="0" borderId="70" xfId="0" quotePrefix="1" applyNumberFormat="1" applyFont="1" applyFill="1" applyBorder="1" applyAlignment="1">
      <alignment horizontal="left"/>
    </xf>
    <xf numFmtId="0" fontId="0" fillId="0" borderId="11" xfId="0" applyFill="1" applyBorder="1" applyAlignment="1">
      <alignment horizontal="left" vertical="center" wrapText="1"/>
    </xf>
    <xf numFmtId="173" fontId="14" fillId="0" borderId="11" xfId="0" quotePrefix="1" applyNumberFormat="1" applyFont="1" applyFill="1" applyBorder="1" applyAlignment="1">
      <alignment horizontal="left"/>
    </xf>
    <xf numFmtId="0" fontId="0" fillId="0" borderId="15" xfId="0" applyFont="1" applyFill="1" applyBorder="1" applyAlignment="1">
      <alignment vertical="center"/>
    </xf>
    <xf numFmtId="0" fontId="0" fillId="0" borderId="11" xfId="0" applyBorder="1" applyAlignment="1">
      <alignment vertical="center"/>
    </xf>
    <xf numFmtId="0" fontId="27" fillId="36" borderId="16" xfId="0" applyNumberFormat="1" applyFont="1" applyFill="1" applyBorder="1" applyAlignment="1" applyProtection="1">
      <alignment horizontal="left" wrapText="1"/>
    </xf>
    <xf numFmtId="0" fontId="27" fillId="36" borderId="11" xfId="0" applyNumberFormat="1" applyFont="1" applyFill="1" applyBorder="1" applyAlignment="1" applyProtection="1">
      <alignment horizontal="left" wrapText="1"/>
    </xf>
    <xf numFmtId="0" fontId="0" fillId="0" borderId="62" xfId="0" applyFill="1" applyBorder="1" applyAlignment="1"/>
    <xf numFmtId="2" fontId="0" fillId="42" borderId="48" xfId="0" applyNumberFormat="1" applyFont="1" applyFill="1" applyBorder="1" applyAlignment="1">
      <alignment horizontal="left"/>
    </xf>
    <xf numFmtId="2" fontId="0" fillId="0" borderId="21" xfId="0" applyNumberFormat="1" applyFont="1" applyBorder="1" applyAlignment="1">
      <alignment horizontal="left"/>
    </xf>
    <xf numFmtId="2" fontId="0" fillId="33" borderId="17" xfId="0" applyNumberFormat="1" applyFont="1" applyFill="1" applyBorder="1" applyAlignment="1">
      <alignment horizontal="left" vertical="center"/>
    </xf>
    <xf numFmtId="2" fontId="0" fillId="33" borderId="19" xfId="0" applyNumberFormat="1" applyFont="1" applyFill="1" applyBorder="1" applyAlignment="1">
      <alignment horizontal="left" vertical="center"/>
    </xf>
    <xf numFmtId="2" fontId="24" fillId="36" borderId="21" xfId="0" applyNumberFormat="1" applyFont="1" applyFill="1" applyBorder="1" applyAlignment="1" applyProtection="1">
      <alignment horizontal="left" wrapText="1"/>
    </xf>
    <xf numFmtId="2" fontId="24" fillId="36" borderId="17" xfId="0" applyNumberFormat="1" applyFont="1" applyFill="1" applyBorder="1" applyAlignment="1" applyProtection="1">
      <alignment horizontal="left" wrapText="1"/>
    </xf>
    <xf numFmtId="2" fontId="24" fillId="36" borderId="127" xfId="0" applyNumberFormat="1" applyFont="1" applyFill="1" applyBorder="1" applyAlignment="1" applyProtection="1">
      <alignment horizontal="left" vertical="top" wrapText="1"/>
    </xf>
    <xf numFmtId="2" fontId="24" fillId="36" borderId="27" xfId="0" applyNumberFormat="1" applyFont="1" applyFill="1" applyBorder="1" applyAlignment="1" applyProtection="1">
      <alignment horizontal="left" wrapText="1"/>
    </xf>
    <xf numFmtId="2" fontId="0" fillId="42" borderId="42" xfId="0" applyNumberFormat="1" applyFont="1" applyFill="1" applyBorder="1" applyAlignment="1">
      <alignment horizontal="left"/>
    </xf>
    <xf numFmtId="2" fontId="24" fillId="36" borderId="25" xfId="0" applyNumberFormat="1" applyFont="1" applyFill="1" applyBorder="1" applyAlignment="1" applyProtection="1">
      <alignment horizontal="left" wrapText="1"/>
    </xf>
    <xf numFmtId="2" fontId="24" fillId="36" borderId="19" xfId="0" applyNumberFormat="1" applyFont="1" applyFill="1" applyBorder="1" applyAlignment="1" applyProtection="1">
      <alignment horizontal="left" wrapText="1"/>
    </xf>
    <xf numFmtId="2" fontId="0" fillId="0" borderId="27" xfId="0" applyNumberFormat="1" applyFont="1" applyBorder="1" applyAlignment="1">
      <alignment horizontal="left"/>
    </xf>
    <xf numFmtId="2" fontId="0" fillId="0" borderId="19" xfId="0" applyNumberFormat="1" applyFont="1" applyBorder="1" applyAlignment="1">
      <alignment horizontal="left"/>
    </xf>
    <xf numFmtId="2" fontId="0" fillId="0" borderId="19" xfId="0" applyNumberFormat="1" applyFont="1" applyBorder="1" applyAlignment="1">
      <alignment horizontal="left" vertical="center"/>
    </xf>
    <xf numFmtId="2" fontId="0" fillId="0" borderId="17" xfId="0" applyNumberFormat="1" applyFont="1" applyBorder="1" applyAlignment="1">
      <alignment horizontal="left" vertical="center"/>
    </xf>
    <xf numFmtId="2" fontId="0" fillId="33" borderId="41" xfId="0" applyNumberFormat="1" applyFont="1" applyFill="1" applyBorder="1" applyAlignment="1">
      <alignment horizontal="left"/>
    </xf>
    <xf numFmtId="2" fontId="0" fillId="33" borderId="42" xfId="0" applyNumberFormat="1" applyFont="1" applyFill="1" applyBorder="1" applyAlignment="1">
      <alignment horizontal="left"/>
    </xf>
    <xf numFmtId="167" fontId="24" fillId="36" borderId="17" xfId="0" applyNumberFormat="1" applyFont="1" applyFill="1" applyBorder="1" applyAlignment="1" applyProtection="1">
      <alignment horizontal="left" wrapText="1"/>
    </xf>
    <xf numFmtId="2" fontId="24" fillId="36" borderId="127" xfId="0" applyNumberFormat="1" applyFont="1" applyFill="1" applyBorder="1" applyAlignment="1" applyProtection="1">
      <alignment horizontal="left" vertical="center" wrapText="1"/>
    </xf>
    <xf numFmtId="2" fontId="24" fillId="36" borderId="127" xfId="0" applyNumberFormat="1" applyFont="1" applyFill="1" applyBorder="1" applyAlignment="1" applyProtection="1">
      <alignment horizontal="left" wrapText="1"/>
    </xf>
    <xf numFmtId="2" fontId="0" fillId="33" borderId="17" xfId="0" applyNumberFormat="1" applyFont="1" applyFill="1" applyBorder="1" applyAlignment="1">
      <alignment horizontal="left"/>
    </xf>
    <xf numFmtId="2" fontId="0" fillId="33" borderId="42" xfId="0" applyNumberFormat="1" applyFont="1" applyFill="1" applyBorder="1" applyAlignment="1"/>
    <xf numFmtId="2" fontId="24" fillId="36" borderId="17" xfId="0" applyNumberFormat="1" applyFont="1" applyFill="1" applyBorder="1" applyAlignment="1" applyProtection="1">
      <alignment horizontal="left" vertical="center" wrapText="1"/>
    </xf>
    <xf numFmtId="2" fontId="0" fillId="33" borderId="41" xfId="0" applyNumberFormat="1" applyFont="1" applyFill="1" applyBorder="1" applyAlignment="1">
      <alignment horizontal="left" vertical="center"/>
    </xf>
    <xf numFmtId="2" fontId="0" fillId="33" borderId="31" xfId="0" applyNumberFormat="1" applyFont="1" applyFill="1" applyBorder="1" applyAlignment="1">
      <alignment horizontal="left" vertical="center"/>
    </xf>
    <xf numFmtId="2" fontId="0" fillId="42" borderId="45" xfId="0" applyNumberFormat="1" applyFont="1" applyFill="1" applyBorder="1" applyAlignment="1">
      <alignment horizontal="left"/>
    </xf>
    <xf numFmtId="2" fontId="0" fillId="33" borderId="17" xfId="0" applyNumberFormat="1" applyFont="1" applyFill="1" applyBorder="1" applyAlignment="1"/>
    <xf numFmtId="2" fontId="0" fillId="33" borderId="31" xfId="0" applyNumberFormat="1" applyFont="1" applyFill="1" applyBorder="1" applyAlignment="1"/>
    <xf numFmtId="2" fontId="0" fillId="33" borderId="41" xfId="0" applyNumberFormat="1" applyFont="1" applyFill="1" applyBorder="1" applyAlignment="1"/>
    <xf numFmtId="2" fontId="0" fillId="33" borderId="19" xfId="0" applyNumberFormat="1" applyFont="1" applyFill="1" applyBorder="1" applyAlignment="1"/>
    <xf numFmtId="2" fontId="24" fillId="36" borderId="25" xfId="0" applyNumberFormat="1" applyFont="1" applyFill="1" applyBorder="1" applyAlignment="1" applyProtection="1">
      <alignment horizontal="left" vertical="center" wrapText="1"/>
    </xf>
    <xf numFmtId="2" fontId="0" fillId="33" borderId="120" xfId="0" applyNumberFormat="1" applyFont="1" applyFill="1" applyBorder="1" applyAlignment="1"/>
    <xf numFmtId="2" fontId="27" fillId="36" borderId="127" xfId="0" applyNumberFormat="1" applyFont="1" applyFill="1" applyBorder="1" applyAlignment="1" applyProtection="1">
      <alignment horizontal="left" wrapText="1"/>
    </xf>
    <xf numFmtId="2" fontId="0" fillId="33" borderId="42" xfId="0" applyNumberFormat="1" applyFill="1" applyBorder="1" applyAlignment="1"/>
    <xf numFmtId="2" fontId="27" fillId="36" borderId="128" xfId="0" applyNumberFormat="1" applyFont="1" applyFill="1" applyBorder="1" applyAlignment="1" applyProtection="1">
      <alignment horizontal="left" wrapText="1"/>
    </xf>
    <xf numFmtId="0" fontId="27" fillId="36" borderId="127" xfId="0" applyNumberFormat="1" applyFont="1" applyFill="1" applyBorder="1" applyAlignment="1" applyProtection="1">
      <alignment horizontal="left" wrapText="1"/>
    </xf>
    <xf numFmtId="2" fontId="0" fillId="35" borderId="21" xfId="57" applyNumberFormat="1" applyFont="1" applyFill="1" applyBorder="1" applyAlignment="1">
      <alignment horizontal="left"/>
    </xf>
    <xf numFmtId="2" fontId="0" fillId="0" borderId="17" xfId="57" applyNumberFormat="1" applyFont="1" applyBorder="1" applyAlignment="1">
      <alignment horizontal="left"/>
    </xf>
    <xf numFmtId="2" fontId="0" fillId="0" borderId="19" xfId="57" applyNumberFormat="1" applyFont="1" applyBorder="1" applyAlignment="1">
      <alignment horizontal="left"/>
    </xf>
    <xf numFmtId="2" fontId="0" fillId="33" borderId="120" xfId="0" applyNumberFormat="1" applyFont="1" applyFill="1" applyBorder="1" applyAlignment="1">
      <alignment horizontal="left" vertical="center"/>
    </xf>
    <xf numFmtId="2" fontId="0" fillId="0" borderId="28" xfId="0" applyNumberFormat="1" applyFont="1" applyBorder="1" applyAlignment="1">
      <alignment horizontal="left"/>
    </xf>
    <xf numFmtId="2" fontId="0" fillId="0" borderId="18" xfId="0" applyNumberFormat="1" applyFont="1" applyBorder="1" applyAlignment="1">
      <alignment horizontal="left"/>
    </xf>
    <xf numFmtId="2" fontId="0" fillId="33" borderId="31" xfId="0" applyNumberFormat="1" applyFont="1" applyFill="1" applyBorder="1" applyAlignment="1">
      <alignment horizontal="left"/>
    </xf>
    <xf numFmtId="2" fontId="0" fillId="0" borderId="129" xfId="0" applyNumberFormat="1" applyFont="1" applyBorder="1" applyAlignment="1">
      <alignment horizontal="left" vertical="center" wrapText="1"/>
    </xf>
    <xf numFmtId="2" fontId="0" fillId="0" borderId="17" xfId="0" applyNumberFormat="1" applyFont="1" applyBorder="1" applyAlignment="1">
      <alignment horizontal="left" vertical="center" wrapText="1"/>
    </xf>
    <xf numFmtId="2" fontId="0" fillId="0" borderId="27" xfId="0" applyNumberFormat="1" applyFont="1" applyBorder="1" applyAlignment="1">
      <alignment horizontal="left" vertical="center" wrapText="1"/>
    </xf>
    <xf numFmtId="2" fontId="0" fillId="0" borderId="27" xfId="0" applyNumberFormat="1" applyFont="1" applyBorder="1" applyAlignment="1">
      <alignment horizontal="left" vertical="center"/>
    </xf>
    <xf numFmtId="2" fontId="0" fillId="0" borderId="19" xfId="0" applyNumberFormat="1" applyFont="1" applyBorder="1" applyAlignment="1">
      <alignment horizontal="left" vertical="center" wrapText="1"/>
    </xf>
    <xf numFmtId="2" fontId="0" fillId="33" borderId="27" xfId="0" applyNumberFormat="1" applyFont="1" applyFill="1" applyBorder="1" applyAlignment="1">
      <alignment horizontal="left"/>
    </xf>
    <xf numFmtId="2" fontId="0" fillId="0" borderId="25" xfId="0" applyNumberFormat="1" applyFont="1" applyFill="1" applyBorder="1" applyAlignment="1">
      <alignment horizontal="left"/>
    </xf>
    <xf numFmtId="2" fontId="0" fillId="0" borderId="17" xfId="0" applyNumberFormat="1" applyBorder="1" applyAlignment="1">
      <alignment horizontal="left"/>
    </xf>
    <xf numFmtId="2" fontId="0" fillId="0" borderId="42" xfId="0" applyNumberFormat="1" applyFont="1" applyBorder="1" applyAlignment="1"/>
    <xf numFmtId="0" fontId="0" fillId="0" borderId="19" xfId="0" applyFont="1" applyBorder="1" applyAlignment="1"/>
    <xf numFmtId="2" fontId="24" fillId="36" borderId="130" xfId="0" applyNumberFormat="1" applyFont="1" applyFill="1" applyBorder="1" applyAlignment="1" applyProtection="1">
      <alignment horizontal="left" wrapText="1"/>
    </xf>
    <xf numFmtId="2" fontId="24" fillId="65" borderId="15" xfId="0" applyNumberFormat="1" applyFont="1" applyFill="1" applyBorder="1" applyAlignment="1" applyProtection="1">
      <alignment horizontal="left" wrapText="1"/>
    </xf>
    <xf numFmtId="9" fontId="24" fillId="65" borderId="59" xfId="58" applyFont="1" applyFill="1" applyBorder="1" applyAlignment="1" applyProtection="1">
      <alignment horizontal="left" wrapText="1"/>
    </xf>
    <xf numFmtId="2" fontId="24" fillId="65" borderId="12" xfId="0" applyNumberFormat="1" applyFont="1" applyFill="1" applyBorder="1" applyAlignment="1" applyProtection="1">
      <alignment horizontal="left" wrapText="1"/>
    </xf>
    <xf numFmtId="9" fontId="24" fillId="65" borderId="61" xfId="58" applyFont="1" applyFill="1" applyBorder="1" applyAlignment="1" applyProtection="1">
      <alignment horizontal="left" wrapText="1"/>
    </xf>
    <xf numFmtId="2" fontId="24" fillId="65" borderId="107" xfId="0" applyNumberFormat="1" applyFont="1" applyFill="1" applyBorder="1" applyAlignment="1" applyProtection="1">
      <alignment horizontal="left" wrapText="1"/>
    </xf>
    <xf numFmtId="9" fontId="24" fillId="65" borderId="101" xfId="58" applyFont="1" applyFill="1" applyBorder="1" applyAlignment="1" applyProtection="1">
      <alignment horizontal="left" wrapText="1"/>
    </xf>
    <xf numFmtId="0" fontId="32" fillId="37" borderId="0" xfId="0" applyFont="1" applyFill="1" applyBorder="1" applyAlignment="1">
      <alignment horizontal="left" vertical="center" wrapText="1"/>
    </xf>
    <xf numFmtId="2" fontId="0" fillId="33" borderId="31" xfId="0" applyNumberFormat="1" applyFont="1" applyFill="1" applyBorder="1" applyAlignment="1">
      <alignment vertical="center"/>
    </xf>
    <xf numFmtId="2" fontId="0" fillId="33" borderId="98" xfId="0" applyNumberFormat="1" applyFont="1" applyFill="1" applyBorder="1" applyAlignment="1">
      <alignment vertical="center"/>
    </xf>
    <xf numFmtId="167" fontId="0" fillId="33" borderId="98" xfId="0" applyNumberFormat="1" applyFont="1" applyFill="1" applyBorder="1" applyAlignment="1">
      <alignment horizontal="left" vertical="center"/>
    </xf>
    <xf numFmtId="2" fontId="0" fillId="33" borderId="41" xfId="0" applyNumberFormat="1" applyFont="1" applyFill="1" applyBorder="1" applyAlignment="1">
      <alignment vertical="center"/>
    </xf>
    <xf numFmtId="2" fontId="0" fillId="33" borderId="44" xfId="0" applyNumberFormat="1" applyFont="1" applyFill="1" applyBorder="1" applyAlignment="1">
      <alignment vertical="center"/>
    </xf>
    <xf numFmtId="167" fontId="0" fillId="33" borderId="44" xfId="0" applyNumberFormat="1" applyFont="1" applyFill="1" applyBorder="1" applyAlignment="1">
      <alignment horizontal="left" vertical="center"/>
    </xf>
    <xf numFmtId="167" fontId="0" fillId="33" borderId="59" xfId="0" applyNumberFormat="1" applyFont="1" applyFill="1" applyBorder="1" applyAlignment="1">
      <alignment horizontal="left" vertical="center"/>
    </xf>
    <xf numFmtId="2" fontId="0" fillId="33" borderId="42" xfId="0" applyNumberFormat="1" applyFont="1" applyFill="1" applyBorder="1" applyAlignment="1">
      <alignment vertical="center"/>
    </xf>
    <xf numFmtId="2" fontId="0" fillId="33" borderId="0" xfId="0" applyNumberFormat="1" applyFont="1" applyFill="1" applyBorder="1" applyAlignment="1">
      <alignment vertical="center"/>
    </xf>
    <xf numFmtId="0" fontId="24" fillId="36" borderId="132" xfId="0" applyNumberFormat="1" applyFont="1" applyFill="1" applyBorder="1" applyAlignment="1" applyProtection="1">
      <alignment horizontal="left" vertical="center" wrapText="1"/>
    </xf>
    <xf numFmtId="9" fontId="24" fillId="36" borderId="15" xfId="58" applyFont="1" applyFill="1" applyBorder="1" applyAlignment="1" applyProtection="1">
      <alignment horizontal="left" vertical="center" wrapText="1"/>
    </xf>
    <xf numFmtId="0" fontId="24" fillId="65" borderId="15" xfId="0" applyNumberFormat="1" applyFont="1" applyFill="1" applyBorder="1" applyAlignment="1" applyProtection="1">
      <alignment horizontal="left" vertical="center" wrapText="1"/>
    </xf>
    <xf numFmtId="9" fontId="24" fillId="65" borderId="59" xfId="58" applyFont="1" applyFill="1" applyBorder="1" applyAlignment="1" applyProtection="1">
      <alignment horizontal="left" vertical="center" wrapText="1"/>
    </xf>
    <xf numFmtId="0" fontId="24" fillId="65" borderId="107" xfId="0" applyNumberFormat="1" applyFont="1" applyFill="1" applyBorder="1" applyAlignment="1" applyProtection="1">
      <alignment horizontal="left" vertical="center" wrapText="1"/>
    </xf>
    <xf numFmtId="9" fontId="24" fillId="65" borderId="101" xfId="58" applyFont="1" applyFill="1" applyBorder="1" applyAlignment="1" applyProtection="1">
      <alignment horizontal="left" vertical="center" wrapText="1"/>
    </xf>
    <xf numFmtId="0" fontId="0" fillId="33" borderId="54" xfId="0" applyFont="1" applyFill="1" applyBorder="1" applyAlignment="1">
      <alignment vertical="center"/>
    </xf>
    <xf numFmtId="0" fontId="0" fillId="33" borderId="99" xfId="0" applyFont="1" applyFill="1" applyBorder="1" applyAlignment="1">
      <alignment vertical="center"/>
    </xf>
    <xf numFmtId="164" fontId="0" fillId="33" borderId="0" xfId="57" applyNumberFormat="1" applyFont="1" applyFill="1" applyBorder="1" applyAlignment="1">
      <alignment horizontal="left"/>
    </xf>
    <xf numFmtId="2" fontId="24" fillId="33" borderId="42" xfId="0" applyNumberFormat="1" applyFont="1" applyFill="1" applyBorder="1" applyAlignment="1" applyProtection="1">
      <alignment horizontal="left" wrapText="1"/>
    </xf>
    <xf numFmtId="2" fontId="24" fillId="33" borderId="0" xfId="0" applyNumberFormat="1" applyFont="1" applyFill="1" applyBorder="1" applyAlignment="1" applyProtection="1">
      <alignment horizontal="left" wrapText="1"/>
    </xf>
    <xf numFmtId="164" fontId="0" fillId="0" borderId="23" xfId="57" applyNumberFormat="1" applyFont="1" applyBorder="1" applyAlignment="1">
      <alignment horizontal="left"/>
    </xf>
    <xf numFmtId="164" fontId="0" fillId="0" borderId="15" xfId="57" applyNumberFormat="1" applyFont="1" applyBorder="1" applyAlignment="1">
      <alignment horizontal="left"/>
    </xf>
    <xf numFmtId="0" fontId="0" fillId="33" borderId="33" xfId="0" applyFont="1" applyFill="1" applyBorder="1" applyAlignment="1">
      <alignment horizontal="left"/>
    </xf>
    <xf numFmtId="0" fontId="0" fillId="33" borderId="120" xfId="0" applyFont="1" applyFill="1" applyBorder="1" applyAlignment="1">
      <alignment horizontal="left"/>
    </xf>
    <xf numFmtId="0" fontId="0" fillId="33" borderId="112" xfId="0" applyFont="1" applyFill="1" applyBorder="1" applyAlignment="1">
      <alignment vertical="center"/>
    </xf>
    <xf numFmtId="164" fontId="0" fillId="33" borderId="33" xfId="57" applyNumberFormat="1" applyFont="1" applyFill="1" applyBorder="1" applyAlignment="1">
      <alignment horizontal="left"/>
    </xf>
    <xf numFmtId="2" fontId="24" fillId="33" borderId="120" xfId="0" applyNumberFormat="1" applyFont="1" applyFill="1" applyBorder="1" applyAlignment="1" applyProtection="1">
      <alignment horizontal="left" wrapText="1"/>
    </xf>
    <xf numFmtId="2" fontId="24" fillId="33" borderId="33" xfId="0" applyNumberFormat="1" applyFont="1" applyFill="1" applyBorder="1" applyAlignment="1" applyProtection="1">
      <alignment horizontal="left" wrapText="1"/>
    </xf>
    <xf numFmtId="0" fontId="0" fillId="33" borderId="33" xfId="0" applyFill="1" applyBorder="1"/>
    <xf numFmtId="0" fontId="0" fillId="33" borderId="31" xfId="0" applyFont="1" applyFill="1" applyBorder="1" applyAlignment="1">
      <alignment horizontal="left"/>
    </xf>
    <xf numFmtId="0" fontId="0" fillId="33" borderId="122" xfId="0" applyFont="1" applyFill="1" applyBorder="1" applyAlignment="1">
      <alignment horizontal="left" vertical="center"/>
    </xf>
    <xf numFmtId="164" fontId="0" fillId="33" borderId="44" xfId="57" applyNumberFormat="1" applyFont="1" applyFill="1" applyBorder="1" applyAlignment="1">
      <alignment horizontal="left"/>
    </xf>
    <xf numFmtId="2" fontId="24" fillId="33" borderId="41" xfId="0" applyNumberFormat="1" applyFont="1" applyFill="1" applyBorder="1" applyAlignment="1" applyProtection="1">
      <alignment horizontal="left" wrapText="1"/>
    </xf>
    <xf numFmtId="2" fontId="24" fillId="33" borderId="44" xfId="0" applyNumberFormat="1" applyFont="1" applyFill="1" applyBorder="1" applyAlignment="1" applyProtection="1">
      <alignment horizontal="left" wrapText="1"/>
    </xf>
    <xf numFmtId="164" fontId="0" fillId="33" borderId="98" xfId="57" applyNumberFormat="1" applyFont="1" applyFill="1" applyBorder="1" applyAlignment="1">
      <alignment horizontal="left"/>
    </xf>
    <xf numFmtId="2" fontId="24" fillId="33" borderId="31" xfId="0" applyNumberFormat="1" applyFont="1" applyFill="1" applyBorder="1" applyAlignment="1" applyProtection="1">
      <alignment horizontal="left" wrapText="1"/>
    </xf>
    <xf numFmtId="2" fontId="24" fillId="33" borderId="98" xfId="0" applyNumberFormat="1" applyFont="1" applyFill="1" applyBorder="1" applyAlignment="1" applyProtection="1">
      <alignment horizontal="left" wrapText="1"/>
    </xf>
    <xf numFmtId="0" fontId="0" fillId="33" borderId="98" xfId="0" applyFill="1" applyBorder="1" applyAlignment="1">
      <alignment horizontal="left" vertical="center"/>
    </xf>
    <xf numFmtId="2" fontId="0" fillId="0" borderId="19" xfId="0" applyNumberFormat="1" applyBorder="1" applyAlignment="1">
      <alignment horizontal="left"/>
    </xf>
    <xf numFmtId="164" fontId="0" fillId="42" borderId="98" xfId="0" applyNumberFormat="1" applyFont="1" applyFill="1" applyBorder="1" applyAlignment="1">
      <alignment horizontal="left"/>
    </xf>
    <xf numFmtId="2" fontId="0" fillId="33" borderId="44" xfId="0" applyNumberFormat="1" applyFill="1" applyBorder="1" applyAlignment="1">
      <alignment horizontal="left"/>
    </xf>
    <xf numFmtId="2" fontId="0" fillId="33" borderId="44" xfId="0" applyNumberFormat="1" applyFill="1" applyBorder="1" applyAlignment="1">
      <alignment horizontal="left" vertical="center"/>
    </xf>
    <xf numFmtId="2" fontId="0" fillId="33" borderId="0" xfId="0" applyNumberFormat="1" applyFill="1" applyBorder="1" applyAlignment="1">
      <alignment horizontal="left"/>
    </xf>
    <xf numFmtId="2" fontId="0" fillId="33" borderId="0" xfId="0" applyNumberFormat="1" applyFill="1" applyBorder="1" applyAlignment="1">
      <alignment horizontal="left" vertical="center"/>
    </xf>
    <xf numFmtId="164" fontId="0" fillId="33" borderId="98" xfId="0" applyNumberFormat="1" applyFont="1" applyFill="1" applyBorder="1" applyAlignment="1">
      <alignment horizontal="left"/>
    </xf>
    <xf numFmtId="2" fontId="0" fillId="33" borderId="98" xfId="0" applyNumberFormat="1" applyFill="1" applyBorder="1" applyAlignment="1">
      <alignment horizontal="left"/>
    </xf>
    <xf numFmtId="2" fontId="0" fillId="33" borderId="98" xfId="0" applyNumberFormat="1" applyFill="1" applyBorder="1" applyAlignment="1">
      <alignment horizontal="left" vertical="center"/>
    </xf>
    <xf numFmtId="164" fontId="0" fillId="42" borderId="42" xfId="0" applyNumberFormat="1" applyFont="1" applyFill="1" applyBorder="1" applyAlignment="1"/>
    <xf numFmtId="0" fontId="0" fillId="42" borderId="42" xfId="0" applyFont="1" applyFill="1" applyBorder="1" applyAlignment="1">
      <alignment vertical="center"/>
    </xf>
    <xf numFmtId="0" fontId="0" fillId="0" borderId="0" xfId="0"/>
    <xf numFmtId="2" fontId="0" fillId="0" borderId="131" xfId="0" applyNumberFormat="1" applyFont="1" applyFill="1" applyBorder="1" applyAlignment="1"/>
    <xf numFmtId="0" fontId="39" fillId="0" borderId="0" xfId="0" applyFont="1" applyBorder="1"/>
    <xf numFmtId="0" fontId="39" fillId="35" borderId="0" xfId="0" applyFont="1" applyFill="1" applyBorder="1"/>
    <xf numFmtId="0" fontId="39" fillId="40" borderId="0" xfId="0" applyFont="1" applyFill="1" applyBorder="1"/>
    <xf numFmtId="0" fontId="20" fillId="35" borderId="0" xfId="61" applyFill="1" applyBorder="1"/>
    <xf numFmtId="0" fontId="20" fillId="35" borderId="0" xfId="61" applyFill="1" applyBorder="1" applyAlignment="1"/>
    <xf numFmtId="0" fontId="40" fillId="35" borderId="0" xfId="61" applyFont="1" applyFill="1" applyBorder="1" applyAlignment="1"/>
    <xf numFmtId="0" fontId="40" fillId="35" borderId="0" xfId="61" applyFont="1" applyFill="1" applyBorder="1" applyAlignment="1">
      <alignment horizontal="left"/>
    </xf>
    <xf numFmtId="2" fontId="0" fillId="0" borderId="17" xfId="0" applyNumberFormat="1" applyFont="1" applyFill="1" applyBorder="1" applyAlignment="1"/>
    <xf numFmtId="164" fontId="0" fillId="42" borderId="0" xfId="0" applyNumberFormat="1" applyFont="1" applyFill="1" applyBorder="1" applyAlignment="1">
      <alignment horizontal="right"/>
    </xf>
    <xf numFmtId="0" fontId="0" fillId="0" borderId="39" xfId="0" applyFont="1" applyBorder="1" applyAlignment="1">
      <alignment horizontal="left" vertical="center"/>
    </xf>
    <xf numFmtId="0" fontId="0" fillId="42" borderId="144" xfId="0" applyFont="1" applyFill="1" applyBorder="1" applyAlignment="1"/>
    <xf numFmtId="0" fontId="0" fillId="65" borderId="41" xfId="0" applyFont="1" applyFill="1" applyBorder="1" applyAlignment="1"/>
    <xf numFmtId="0" fontId="16" fillId="33" borderId="131" xfId="0" applyFont="1" applyFill="1" applyBorder="1" applyAlignment="1">
      <alignment horizontal="left" vertical="center"/>
    </xf>
    <xf numFmtId="0" fontId="0" fillId="0" borderId="14" xfId="0" applyBorder="1" applyAlignment="1">
      <alignment horizontal="left"/>
    </xf>
    <xf numFmtId="0" fontId="24" fillId="36" borderId="150" xfId="0" applyNumberFormat="1" applyFont="1" applyFill="1" applyBorder="1" applyAlignment="1" applyProtection="1">
      <alignment horizontal="left" wrapText="1"/>
    </xf>
    <xf numFmtId="170" fontId="0" fillId="0" borderId="69" xfId="0" applyNumberFormat="1" applyFont="1" applyBorder="1" applyAlignment="1">
      <alignment vertical="center"/>
    </xf>
    <xf numFmtId="170" fontId="0" fillId="0" borderId="131" xfId="0" applyNumberFormat="1" applyFont="1" applyBorder="1" applyAlignment="1">
      <alignment vertical="center"/>
    </xf>
    <xf numFmtId="0" fontId="0" fillId="42" borderId="0" xfId="0" applyFont="1" applyFill="1" applyBorder="1" applyAlignment="1">
      <alignment vertical="center"/>
    </xf>
    <xf numFmtId="164" fontId="0" fillId="0" borderId="10" xfId="0" applyNumberFormat="1" applyBorder="1" applyAlignment="1">
      <alignment horizontal="left" vertical="center"/>
    </xf>
    <xf numFmtId="0" fontId="33" fillId="42" borderId="145" xfId="0" applyFont="1" applyFill="1" applyBorder="1" applyAlignment="1">
      <alignment horizontal="left" vertical="center"/>
    </xf>
    <xf numFmtId="0" fontId="0" fillId="0" borderId="46" xfId="0" applyBorder="1"/>
    <xf numFmtId="0" fontId="0" fillId="0" borderId="144" xfId="0" applyBorder="1"/>
    <xf numFmtId="170" fontId="0" fillId="0" borderId="131" xfId="0" applyNumberFormat="1" applyFont="1" applyBorder="1" applyAlignment="1">
      <alignment horizontal="left" vertical="center"/>
    </xf>
    <xf numFmtId="164" fontId="0" fillId="0" borderId="69" xfId="0" applyNumberFormat="1" applyFont="1" applyBorder="1" applyAlignment="1">
      <alignment horizontal="left"/>
    </xf>
    <xf numFmtId="164" fontId="0" fillId="0" borderId="131" xfId="0" applyNumberFormat="1" applyFont="1" applyBorder="1" applyAlignment="1">
      <alignment horizontal="left"/>
    </xf>
    <xf numFmtId="2" fontId="0" fillId="33" borderId="0" xfId="58" applyNumberFormat="1" applyFont="1" applyFill="1" applyBorder="1" applyAlignment="1">
      <alignment horizontal="left"/>
    </xf>
    <xf numFmtId="0" fontId="0" fillId="0" borderId="10" xfId="0" applyFont="1" applyFill="1" applyBorder="1"/>
    <xf numFmtId="170" fontId="0" fillId="0" borderId="131" xfId="0" applyNumberFormat="1" applyFont="1" applyBorder="1" applyAlignment="1">
      <alignment horizontal="left"/>
    </xf>
    <xf numFmtId="167" fontId="0" fillId="0" borderId="131" xfId="0" applyNumberFormat="1" applyFont="1" applyBorder="1" applyAlignment="1">
      <alignment horizontal="left"/>
    </xf>
    <xf numFmtId="2" fontId="0" fillId="35" borderId="11" xfId="0" applyNumberFormat="1" applyFont="1" applyFill="1" applyBorder="1" applyAlignment="1"/>
    <xf numFmtId="2" fontId="0" fillId="35" borderId="15" xfId="0" applyNumberFormat="1" applyFont="1" applyFill="1" applyBorder="1" applyAlignment="1"/>
    <xf numFmtId="167" fontId="0" fillId="0" borderId="131" xfId="0" applyNumberFormat="1" applyFont="1" applyFill="1" applyBorder="1" applyAlignment="1">
      <alignment vertical="center"/>
    </xf>
    <xf numFmtId="0" fontId="0" fillId="65" borderId="15" xfId="0" applyFont="1" applyFill="1" applyBorder="1" applyAlignment="1">
      <alignment vertical="center" wrapText="1"/>
    </xf>
    <xf numFmtId="0" fontId="0" fillId="65" borderId="141" xfId="0" applyFont="1" applyFill="1" applyBorder="1" applyAlignment="1"/>
    <xf numFmtId="0" fontId="0" fillId="65" borderId="151" xfId="0" applyFont="1" applyFill="1" applyBorder="1" applyAlignment="1"/>
    <xf numFmtId="170" fontId="0" fillId="65" borderId="141" xfId="0" applyNumberFormat="1" applyFont="1" applyFill="1" applyBorder="1" applyAlignment="1">
      <alignment horizontal="left"/>
    </xf>
    <xf numFmtId="0" fontId="0" fillId="65" borderId="42" xfId="0" applyFont="1" applyFill="1" applyBorder="1"/>
    <xf numFmtId="0" fontId="0" fillId="65" borderId="0" xfId="0" applyFont="1" applyFill="1" applyBorder="1"/>
    <xf numFmtId="170" fontId="0" fillId="65" borderId="0" xfId="0" applyNumberFormat="1" applyFont="1" applyFill="1" applyBorder="1" applyAlignment="1">
      <alignment horizontal="left"/>
    </xf>
    <xf numFmtId="2" fontId="0" fillId="65" borderId="0" xfId="0" applyNumberFormat="1" applyFont="1" applyFill="1" applyBorder="1" applyAlignment="1">
      <alignment horizontal="left"/>
    </xf>
    <xf numFmtId="2" fontId="0" fillId="33" borderId="0" xfId="59" applyNumberFormat="1" applyFont="1" applyFill="1" applyBorder="1" applyAlignment="1">
      <alignment horizontal="left"/>
    </xf>
    <xf numFmtId="0" fontId="0" fillId="0" borderId="0" xfId="0" applyFill="1"/>
    <xf numFmtId="0" fontId="0" fillId="42" borderId="144" xfId="0" applyFont="1" applyFill="1" applyBorder="1" applyAlignment="1">
      <alignment vertical="center"/>
    </xf>
    <xf numFmtId="0" fontId="0" fillId="0" borderId="0" xfId="0"/>
    <xf numFmtId="0" fontId="0" fillId="0" borderId="0" xfId="0" applyFill="1" applyBorder="1"/>
    <xf numFmtId="0" fontId="33" fillId="42" borderId="42" xfId="0" applyFont="1" applyFill="1" applyBorder="1" applyAlignment="1">
      <alignment horizontal="left" vertical="center"/>
    </xf>
    <xf numFmtId="0" fontId="33" fillId="42" borderId="45" xfId="0" applyFont="1" applyFill="1" applyBorder="1" applyAlignment="1">
      <alignment horizontal="left" vertical="center"/>
    </xf>
    <xf numFmtId="167" fontId="0" fillId="0" borderId="131" xfId="0" applyNumberFormat="1" applyFont="1" applyFill="1" applyBorder="1" applyAlignment="1">
      <alignment horizontal="left"/>
    </xf>
    <xf numFmtId="2" fontId="0" fillId="0" borderId="25" xfId="0" applyNumberFormat="1" applyFont="1" applyFill="1" applyBorder="1" applyAlignment="1"/>
    <xf numFmtId="164" fontId="0" fillId="0" borderId="13" xfId="57" applyNumberFormat="1" applyFont="1" applyFill="1" applyBorder="1" applyAlignment="1">
      <alignment horizontal="left"/>
    </xf>
    <xf numFmtId="2" fontId="24" fillId="0" borderId="60" xfId="0" applyNumberFormat="1" applyFont="1" applyFill="1" applyBorder="1" applyAlignment="1" applyProtection="1">
      <alignment horizontal="left" wrapText="1"/>
    </xf>
    <xf numFmtId="2" fontId="0" fillId="0" borderId="35" xfId="0" applyNumberFormat="1" applyFont="1" applyFill="1" applyBorder="1" applyAlignment="1"/>
    <xf numFmtId="0" fontId="24" fillId="0" borderId="13" xfId="0" applyNumberFormat="1" applyFont="1" applyFill="1" applyBorder="1" applyAlignment="1" applyProtection="1">
      <alignment horizontal="left" wrapText="1"/>
    </xf>
    <xf numFmtId="164" fontId="0" fillId="0" borderId="16" xfId="57" applyNumberFormat="1" applyFont="1" applyFill="1" applyBorder="1" applyAlignment="1">
      <alignment horizontal="left"/>
    </xf>
    <xf numFmtId="0" fontId="24" fillId="0" borderId="60" xfId="0" applyNumberFormat="1" applyFont="1" applyFill="1" applyBorder="1" applyAlignment="1" applyProtection="1">
      <alignment horizontal="left" wrapText="1"/>
    </xf>
    <xf numFmtId="0" fontId="0" fillId="42" borderId="131" xfId="0" applyFont="1" applyFill="1" applyBorder="1" applyAlignment="1">
      <alignment vertical="center"/>
    </xf>
    <xf numFmtId="0" fontId="0" fillId="0" borderId="0" xfId="0" applyFont="1" applyFill="1" applyBorder="1" applyAlignment="1">
      <alignment horizontal="left"/>
    </xf>
    <xf numFmtId="170" fontId="0" fillId="0" borderId="0" xfId="0" applyNumberFormat="1" applyFont="1" applyFill="1" applyBorder="1" applyAlignment="1">
      <alignment horizontal="left"/>
    </xf>
    <xf numFmtId="0" fontId="0" fillId="0" borderId="0" xfId="0"/>
    <xf numFmtId="164" fontId="0" fillId="0" borderId="10" xfId="0" applyNumberFormat="1" applyBorder="1" applyAlignment="1">
      <alignment horizontal="left" vertical="center"/>
    </xf>
    <xf numFmtId="164" fontId="0" fillId="0" borderId="17" xfId="0" applyNumberFormat="1" applyBorder="1" applyAlignment="1">
      <alignment horizontal="right" vertical="center"/>
    </xf>
    <xf numFmtId="0" fontId="0" fillId="42" borderId="11" xfId="0" applyFont="1" applyFill="1" applyBorder="1" applyAlignment="1">
      <alignment vertical="center"/>
    </xf>
    <xf numFmtId="0" fontId="0" fillId="0" borderId="123" xfId="0" applyBorder="1" applyAlignment="1">
      <alignment horizontal="left"/>
    </xf>
    <xf numFmtId="0" fontId="0" fillId="0" borderId="131" xfId="0" applyBorder="1" applyAlignment="1">
      <alignment vertical="center"/>
    </xf>
    <xf numFmtId="0" fontId="0" fillId="0" borderId="131" xfId="0" applyFill="1" applyBorder="1" applyAlignment="1">
      <alignment vertical="center"/>
    </xf>
    <xf numFmtId="0" fontId="0" fillId="0" borderId="0" xfId="0" applyFill="1" applyBorder="1" applyAlignment="1">
      <alignment vertical="center"/>
    </xf>
    <xf numFmtId="0" fontId="0" fillId="0" borderId="0" xfId="0" applyAlignment="1">
      <alignment vertical="center"/>
    </xf>
    <xf numFmtId="0" fontId="0" fillId="0" borderId="131" xfId="0" applyBorder="1" applyAlignment="1">
      <alignment horizontal="left" vertical="center"/>
    </xf>
    <xf numFmtId="0" fontId="0" fillId="0" borderId="0" xfId="0" applyFill="1" applyBorder="1" applyAlignment="1">
      <alignment horizontal="left" vertical="center"/>
    </xf>
    <xf numFmtId="0" fontId="0" fillId="0" borderId="0" xfId="0" applyAlignment="1">
      <alignment horizontal="left" vertical="center"/>
    </xf>
    <xf numFmtId="2" fontId="0" fillId="0" borderId="131" xfId="0" applyNumberFormat="1" applyBorder="1" applyAlignment="1">
      <alignment horizontal="right" vertical="center"/>
    </xf>
    <xf numFmtId="164" fontId="0" fillId="0" borderId="131" xfId="0" applyNumberFormat="1" applyBorder="1" applyAlignment="1">
      <alignment horizontal="right" vertical="center"/>
    </xf>
    <xf numFmtId="0" fontId="0" fillId="0" borderId="131" xfId="0" applyFill="1" applyBorder="1" applyAlignment="1">
      <alignment horizontal="right" vertical="center"/>
    </xf>
    <xf numFmtId="164" fontId="0" fillId="0" borderId="18" xfId="0" applyNumberFormat="1" applyBorder="1" applyAlignment="1">
      <alignment horizontal="right" vertical="center"/>
    </xf>
    <xf numFmtId="0" fontId="0" fillId="0" borderId="131" xfId="0" applyBorder="1" applyAlignment="1">
      <alignment vertical="center" wrapText="1"/>
    </xf>
    <xf numFmtId="0" fontId="0" fillId="39" borderId="131" xfId="0" applyFill="1" applyBorder="1" applyAlignment="1">
      <alignment vertical="center"/>
    </xf>
    <xf numFmtId="0" fontId="0" fillId="39" borderId="11" xfId="0" applyFill="1" applyBorder="1" applyAlignment="1">
      <alignment vertical="center"/>
    </xf>
    <xf numFmtId="0" fontId="0" fillId="39" borderId="0" xfId="0" applyFill="1" applyAlignment="1">
      <alignment vertical="center"/>
    </xf>
    <xf numFmtId="0" fontId="0" fillId="0" borderId="131" xfId="0" applyFill="1" applyBorder="1" applyAlignment="1">
      <alignment vertical="center" wrapText="1"/>
    </xf>
    <xf numFmtId="0" fontId="14" fillId="0" borderId="131" xfId="0" applyFont="1" applyBorder="1" applyAlignment="1">
      <alignment vertical="center" wrapText="1"/>
    </xf>
    <xf numFmtId="0" fontId="14" fillId="0" borderId="131" xfId="0" applyFont="1" applyFill="1" applyBorder="1" applyAlignment="1">
      <alignment vertical="center" wrapText="1"/>
    </xf>
    <xf numFmtId="0" fontId="0" fillId="0" borderId="0" xfId="0" applyFill="1" applyAlignment="1">
      <alignment vertical="center"/>
    </xf>
    <xf numFmtId="0" fontId="0" fillId="33" borderId="17" xfId="0" applyFill="1" applyBorder="1" applyAlignment="1">
      <alignment horizontal="right" vertical="center"/>
    </xf>
    <xf numFmtId="0" fontId="0" fillId="33" borderId="131" xfId="0" applyFill="1" applyBorder="1" applyAlignment="1">
      <alignment horizontal="right" vertical="center"/>
    </xf>
    <xf numFmtId="0" fontId="33" fillId="42" borderId="42" xfId="0" applyFont="1" applyFill="1" applyBorder="1" applyAlignment="1">
      <alignment horizontal="right" vertical="center"/>
    </xf>
    <xf numFmtId="0" fontId="0" fillId="42" borderId="45" xfId="0" applyFont="1" applyFill="1" applyBorder="1" applyAlignment="1">
      <alignment horizontal="right" vertical="center"/>
    </xf>
    <xf numFmtId="0" fontId="0" fillId="42" borderId="46" xfId="0" applyFont="1" applyFill="1" applyBorder="1" applyAlignment="1">
      <alignment horizontal="right" vertical="center"/>
    </xf>
    <xf numFmtId="164" fontId="0" fillId="0" borderId="131" xfId="0" applyNumberFormat="1" applyFill="1" applyBorder="1" applyAlignment="1">
      <alignment horizontal="right" vertical="center"/>
    </xf>
    <xf numFmtId="0" fontId="0" fillId="42" borderId="42" xfId="0" applyFont="1" applyFill="1" applyBorder="1" applyAlignment="1">
      <alignment horizontal="right" vertical="center"/>
    </xf>
    <xf numFmtId="0" fontId="0" fillId="42" borderId="0" xfId="0" applyFont="1" applyFill="1" applyBorder="1" applyAlignment="1">
      <alignment horizontal="right" vertical="center"/>
    </xf>
    <xf numFmtId="0" fontId="0" fillId="42" borderId="0" xfId="0" applyFont="1" applyFill="1" applyBorder="1" applyAlignment="1">
      <alignment horizontal="right"/>
    </xf>
    <xf numFmtId="2" fontId="0" fillId="42" borderId="0" xfId="0" applyNumberFormat="1" applyFont="1" applyFill="1" applyBorder="1" applyAlignment="1">
      <alignment horizontal="right"/>
    </xf>
    <xf numFmtId="167" fontId="0" fillId="42" borderId="0" xfId="0" applyNumberFormat="1" applyFont="1" applyFill="1" applyBorder="1" applyAlignment="1">
      <alignment horizontal="right"/>
    </xf>
    <xf numFmtId="0" fontId="14" fillId="0" borderId="131" xfId="0" applyFont="1" applyBorder="1" applyAlignment="1">
      <alignment vertical="center"/>
    </xf>
    <xf numFmtId="0" fontId="14" fillId="0" borderId="131" xfId="0" applyFont="1" applyFill="1" applyBorder="1" applyAlignment="1">
      <alignment vertical="center"/>
    </xf>
    <xf numFmtId="0" fontId="0" fillId="39" borderId="131" xfId="0" applyFill="1" applyBorder="1" applyAlignment="1">
      <alignment vertical="center" wrapText="1"/>
    </xf>
    <xf numFmtId="0" fontId="0" fillId="39" borderId="11" xfId="0" applyFill="1" applyBorder="1" applyAlignment="1">
      <alignment vertical="center" wrapText="1"/>
    </xf>
    <xf numFmtId="0" fontId="0" fillId="0" borderId="0" xfId="0" applyFill="1" applyBorder="1" applyAlignment="1">
      <alignment vertical="center" wrapText="1"/>
    </xf>
    <xf numFmtId="0" fontId="0" fillId="39" borderId="0" xfId="0" applyFill="1" applyAlignment="1">
      <alignment vertical="center" wrapText="1"/>
    </xf>
    <xf numFmtId="2" fontId="0" fillId="42" borderId="42" xfId="0" applyNumberFormat="1" applyFont="1" applyFill="1" applyBorder="1" applyAlignment="1">
      <alignment horizontal="right"/>
    </xf>
    <xf numFmtId="167" fontId="0" fillId="33" borderId="131" xfId="0" applyNumberFormat="1" applyFont="1" applyFill="1" applyBorder="1" applyAlignment="1">
      <alignment horizontal="right" vertical="center"/>
    </xf>
    <xf numFmtId="167" fontId="0" fillId="33" borderId="45" xfId="0" applyNumberFormat="1" applyFont="1" applyFill="1" applyBorder="1" applyAlignment="1">
      <alignment horizontal="right" vertical="center"/>
    </xf>
    <xf numFmtId="167" fontId="0" fillId="33" borderId="46" xfId="0" applyNumberFormat="1" applyFont="1" applyFill="1" applyBorder="1" applyAlignment="1">
      <alignment horizontal="right" vertical="center"/>
    </xf>
    <xf numFmtId="167" fontId="0" fillId="33" borderId="42" xfId="0" applyNumberFormat="1" applyFont="1" applyFill="1" applyBorder="1" applyAlignment="1">
      <alignment horizontal="right" vertical="center"/>
    </xf>
    <xf numFmtId="167" fontId="0" fillId="33" borderId="0" xfId="0" applyNumberFormat="1" applyFont="1" applyFill="1" applyBorder="1" applyAlignment="1">
      <alignment horizontal="right" vertical="center"/>
    </xf>
    <xf numFmtId="167" fontId="0" fillId="33" borderId="145" xfId="0" applyNumberFormat="1" applyFont="1" applyFill="1" applyBorder="1" applyAlignment="1">
      <alignment horizontal="right" vertical="center"/>
    </xf>
    <xf numFmtId="167" fontId="0" fillId="33" borderId="98" xfId="0" applyNumberFormat="1" applyFont="1" applyFill="1" applyBorder="1" applyAlignment="1">
      <alignment horizontal="right" vertical="center"/>
    </xf>
    <xf numFmtId="0" fontId="0" fillId="0" borderId="42" xfId="0" applyBorder="1" applyAlignment="1">
      <alignment horizontal="right"/>
    </xf>
    <xf numFmtId="0" fontId="0" fillId="0" borderId="0" xfId="0" applyAlignment="1">
      <alignment horizontal="right"/>
    </xf>
    <xf numFmtId="0" fontId="0" fillId="0" borderId="0" xfId="0" applyBorder="1" applyAlignment="1">
      <alignment horizontal="right"/>
    </xf>
    <xf numFmtId="2" fontId="0" fillId="42" borderId="53" xfId="0" applyNumberFormat="1" applyFont="1" applyFill="1" applyBorder="1" applyAlignment="1">
      <alignment horizontal="right"/>
    </xf>
    <xf numFmtId="167" fontId="0" fillId="42" borderId="53" xfId="0" applyNumberFormat="1" applyFont="1" applyFill="1" applyBorder="1" applyAlignment="1">
      <alignment horizontal="right"/>
    </xf>
    <xf numFmtId="0" fontId="0" fillId="42" borderId="48" xfId="0" applyFont="1" applyFill="1" applyBorder="1" applyAlignment="1">
      <alignment horizontal="right" vertical="center"/>
    </xf>
    <xf numFmtId="0" fontId="0" fillId="42" borderId="53" xfId="0" applyFont="1" applyFill="1" applyBorder="1" applyAlignment="1">
      <alignment horizontal="right" vertical="center"/>
    </xf>
    <xf numFmtId="0" fontId="33" fillId="42" borderId="48" xfId="0" applyFont="1" applyFill="1" applyBorder="1" applyAlignment="1">
      <alignment horizontal="right" vertical="center"/>
    </xf>
    <xf numFmtId="164" fontId="0" fillId="0" borderId="131" xfId="59" applyNumberFormat="1" applyFont="1" applyBorder="1" applyAlignment="1">
      <alignment horizontal="right" vertical="center"/>
    </xf>
    <xf numFmtId="0" fontId="0" fillId="0" borderId="131" xfId="0" applyBorder="1" applyAlignment="1">
      <alignment horizontal="right" vertical="center"/>
    </xf>
    <xf numFmtId="164" fontId="0" fillId="39" borderId="17" xfId="0" applyNumberFormat="1" applyFill="1" applyBorder="1" applyAlignment="1">
      <alignment horizontal="right" vertical="center"/>
    </xf>
    <xf numFmtId="2" fontId="0" fillId="39" borderId="131" xfId="0" applyNumberFormat="1" applyFill="1" applyBorder="1" applyAlignment="1">
      <alignment horizontal="right" vertical="center"/>
    </xf>
    <xf numFmtId="164" fontId="0" fillId="39" borderId="131" xfId="0" applyNumberFormat="1" applyFill="1" applyBorder="1" applyAlignment="1">
      <alignment horizontal="right" vertical="center"/>
    </xf>
    <xf numFmtId="164" fontId="0" fillId="39" borderId="131" xfId="59" applyNumberFormat="1" applyFont="1" applyFill="1" applyBorder="1" applyAlignment="1">
      <alignment horizontal="right" vertical="center"/>
    </xf>
    <xf numFmtId="0" fontId="0" fillId="42" borderId="145" xfId="0" applyFont="1" applyFill="1" applyBorder="1" applyAlignment="1">
      <alignment horizontal="right" vertical="center"/>
    </xf>
    <xf numFmtId="0" fontId="0" fillId="42" borderId="144" xfId="0" applyFont="1" applyFill="1" applyBorder="1" applyAlignment="1">
      <alignment horizontal="right" vertical="center"/>
    </xf>
    <xf numFmtId="0" fontId="0" fillId="42" borderId="17" xfId="0" applyFont="1" applyFill="1" applyBorder="1" applyAlignment="1">
      <alignment horizontal="right" vertical="center"/>
    </xf>
    <xf numFmtId="2" fontId="0" fillId="42" borderId="131" xfId="0" applyNumberFormat="1" applyFont="1" applyFill="1" applyBorder="1" applyAlignment="1">
      <alignment horizontal="right" vertical="center"/>
    </xf>
    <xf numFmtId="0" fontId="0" fillId="42" borderId="131" xfId="0" applyFont="1" applyFill="1" applyBorder="1" applyAlignment="1">
      <alignment horizontal="right" vertical="center"/>
    </xf>
    <xf numFmtId="164" fontId="0" fillId="42" borderId="131" xfId="0" applyNumberFormat="1" applyFont="1" applyFill="1" applyBorder="1" applyAlignment="1">
      <alignment horizontal="right" vertical="center"/>
    </xf>
    <xf numFmtId="0" fontId="33" fillId="42" borderId="45" xfId="0" applyFont="1" applyFill="1" applyBorder="1" applyAlignment="1">
      <alignment horizontal="right" vertical="center"/>
    </xf>
    <xf numFmtId="0" fontId="0" fillId="33" borderId="42" xfId="0" applyFill="1" applyBorder="1" applyAlignment="1">
      <alignment horizontal="right" vertical="center"/>
    </xf>
    <xf numFmtId="0" fontId="0" fillId="33" borderId="0" xfId="0" applyFill="1" applyAlignment="1">
      <alignment horizontal="right" vertical="center"/>
    </xf>
    <xf numFmtId="164" fontId="14" fillId="0" borderId="17" xfId="0" applyNumberFormat="1" applyFont="1" applyBorder="1" applyAlignment="1">
      <alignment horizontal="right" vertical="center"/>
    </xf>
    <xf numFmtId="164" fontId="0" fillId="33" borderId="131" xfId="0" applyNumberFormat="1" applyFill="1" applyBorder="1" applyAlignment="1">
      <alignment horizontal="right" vertical="center"/>
    </xf>
    <xf numFmtId="164" fontId="0" fillId="0" borderId="17" xfId="0" applyNumberFormat="1" applyFill="1" applyBorder="1" applyAlignment="1">
      <alignment horizontal="right" vertical="center"/>
    </xf>
    <xf numFmtId="2" fontId="0" fillId="0" borderId="131" xfId="0" applyNumberFormat="1" applyFill="1" applyBorder="1" applyAlignment="1">
      <alignment horizontal="right" vertical="center"/>
    </xf>
    <xf numFmtId="164" fontId="0" fillId="39" borderId="17" xfId="0" applyNumberFormat="1" applyFill="1" applyBorder="1" applyAlignment="1">
      <alignment horizontal="right" vertical="center" wrapText="1"/>
    </xf>
    <xf numFmtId="2" fontId="0" fillId="39" borderId="131" xfId="0" applyNumberFormat="1" applyFill="1" applyBorder="1" applyAlignment="1">
      <alignment horizontal="right" vertical="center" wrapText="1"/>
    </xf>
    <xf numFmtId="164" fontId="0" fillId="39" borderId="131" xfId="0" applyNumberFormat="1" applyFill="1" applyBorder="1" applyAlignment="1">
      <alignment horizontal="right" vertical="center" wrapText="1"/>
    </xf>
    <xf numFmtId="0" fontId="0" fillId="33" borderId="42" xfId="0" applyFill="1" applyBorder="1" applyAlignment="1">
      <alignment horizontal="right" vertical="center" wrapText="1"/>
    </xf>
    <xf numFmtId="0" fontId="0" fillId="33" borderId="0" xfId="0" applyFill="1" applyAlignment="1">
      <alignment horizontal="right" vertical="center" wrapText="1"/>
    </xf>
    <xf numFmtId="0" fontId="33" fillId="42" borderId="145" xfId="0" applyFont="1" applyFill="1" applyBorder="1" applyAlignment="1">
      <alignment horizontal="right" vertical="center"/>
    </xf>
    <xf numFmtId="2" fontId="0" fillId="33" borderId="131" xfId="0" applyNumberFormat="1" applyFont="1" applyFill="1" applyBorder="1" applyAlignment="1">
      <alignment horizontal="right" vertical="center"/>
    </xf>
    <xf numFmtId="2" fontId="0" fillId="0" borderId="0" xfId="0" applyNumberFormat="1" applyAlignment="1">
      <alignment horizontal="right"/>
    </xf>
    <xf numFmtId="2" fontId="0" fillId="42" borderId="53" xfId="0" applyNumberFormat="1" applyFont="1" applyFill="1" applyBorder="1" applyAlignment="1">
      <alignment horizontal="right" vertical="center"/>
    </xf>
    <xf numFmtId="2" fontId="33" fillId="42" borderId="48" xfId="0" applyNumberFormat="1" applyFont="1" applyFill="1" applyBorder="1" applyAlignment="1">
      <alignment horizontal="right" vertical="center"/>
    </xf>
    <xf numFmtId="2" fontId="0" fillId="42" borderId="46" xfId="0" applyNumberFormat="1" applyFont="1" applyFill="1" applyBorder="1" applyAlignment="1">
      <alignment horizontal="right" vertical="center"/>
    </xf>
    <xf numFmtId="2" fontId="0" fillId="42" borderId="0" xfId="0" applyNumberFormat="1" applyFont="1" applyFill="1" applyBorder="1" applyAlignment="1">
      <alignment horizontal="right" vertical="center"/>
    </xf>
    <xf numFmtId="2" fontId="0" fillId="42" borderId="144" xfId="0" applyNumberFormat="1" applyFont="1" applyFill="1" applyBorder="1" applyAlignment="1">
      <alignment horizontal="right" vertical="center"/>
    </xf>
    <xf numFmtId="2" fontId="33" fillId="42" borderId="45" xfId="0" applyNumberFormat="1" applyFont="1" applyFill="1" applyBorder="1" applyAlignment="1">
      <alignment horizontal="right" vertical="center"/>
    </xf>
    <xf numFmtId="2" fontId="33" fillId="42" borderId="42" xfId="0" applyNumberFormat="1" applyFont="1" applyFill="1" applyBorder="1" applyAlignment="1">
      <alignment horizontal="right" vertical="center"/>
    </xf>
    <xf numFmtId="2" fontId="0" fillId="33" borderId="131" xfId="0" applyNumberFormat="1" applyFill="1" applyBorder="1" applyAlignment="1">
      <alignment horizontal="right" vertical="center"/>
    </xf>
    <xf numFmtId="2" fontId="33" fillId="42" borderId="145" xfId="0" applyNumberFormat="1" applyFont="1" applyFill="1" applyBorder="1" applyAlignment="1">
      <alignment horizontal="right" vertical="center"/>
    </xf>
    <xf numFmtId="0" fontId="0" fillId="42" borderId="142" xfId="0" applyFont="1" applyFill="1" applyBorder="1" applyAlignment="1">
      <alignment horizontal="right"/>
    </xf>
    <xf numFmtId="0" fontId="0" fillId="42" borderId="49" xfId="0" applyFont="1" applyFill="1" applyBorder="1" applyAlignment="1">
      <alignment horizontal="right"/>
    </xf>
    <xf numFmtId="0" fontId="33" fillId="42" borderId="124" xfId="0" applyFont="1" applyFill="1" applyBorder="1" applyAlignment="1">
      <alignment horizontal="right" vertical="center"/>
    </xf>
    <xf numFmtId="0" fontId="0" fillId="0" borderId="97" xfId="0" applyBorder="1" applyAlignment="1">
      <alignment horizontal="right" vertical="center"/>
    </xf>
    <xf numFmtId="164" fontId="0" fillId="39" borderId="97" xfId="0" applyNumberFormat="1" applyFill="1" applyBorder="1" applyAlignment="1">
      <alignment horizontal="right" vertical="center"/>
    </xf>
    <xf numFmtId="164" fontId="0" fillId="0" borderId="97" xfId="0" applyNumberFormat="1" applyFill="1" applyBorder="1" applyAlignment="1">
      <alignment horizontal="right" vertical="center"/>
    </xf>
    <xf numFmtId="164" fontId="0" fillId="0" borderId="97" xfId="0" applyNumberFormat="1" applyBorder="1" applyAlignment="1">
      <alignment horizontal="right" vertical="center"/>
    </xf>
    <xf numFmtId="0" fontId="33" fillId="42" borderId="147" xfId="0" applyFont="1" applyFill="1" applyBorder="1" applyAlignment="1">
      <alignment horizontal="right" vertical="center"/>
    </xf>
    <xf numFmtId="0" fontId="33" fillId="42" borderId="123" xfId="0" applyFont="1" applyFill="1" applyBorder="1" applyAlignment="1">
      <alignment horizontal="right" vertical="center"/>
    </xf>
    <xf numFmtId="0" fontId="0" fillId="33" borderId="97" xfId="0" applyFill="1" applyBorder="1" applyAlignment="1">
      <alignment horizontal="right" vertical="center"/>
    </xf>
    <xf numFmtId="0" fontId="0" fillId="0" borderId="97" xfId="0" applyFill="1" applyBorder="1" applyAlignment="1">
      <alignment horizontal="right" vertical="center"/>
    </xf>
    <xf numFmtId="0" fontId="0" fillId="39" borderId="97" xfId="0" applyFill="1" applyBorder="1" applyAlignment="1">
      <alignment horizontal="right" vertical="center" wrapText="1"/>
    </xf>
    <xf numFmtId="164" fontId="0" fillId="39" borderId="97" xfId="0" applyNumberFormat="1" applyFill="1" applyBorder="1" applyAlignment="1">
      <alignment horizontal="right" vertical="center" wrapText="1"/>
    </xf>
    <xf numFmtId="0" fontId="0" fillId="39" borderId="97" xfId="0" applyFill="1" applyBorder="1" applyAlignment="1">
      <alignment horizontal="right" vertical="center"/>
    </xf>
    <xf numFmtId="0" fontId="33" fillId="42" borderId="148" xfId="0" applyFont="1" applyFill="1" applyBorder="1" applyAlignment="1">
      <alignment horizontal="right" vertical="center"/>
    </xf>
    <xf numFmtId="0" fontId="0" fillId="0" borderId="131" xfId="0" applyFill="1" applyBorder="1" applyAlignment="1">
      <alignment horizontal="left" vertical="center" wrapText="1"/>
    </xf>
    <xf numFmtId="0" fontId="41" fillId="41" borderId="45" xfId="0" applyFont="1" applyFill="1" applyBorder="1" applyAlignment="1">
      <alignment horizontal="left" vertical="center"/>
    </xf>
    <xf numFmtId="0" fontId="32" fillId="37" borderId="42" xfId="0" applyFont="1" applyFill="1" applyBorder="1" applyAlignment="1">
      <alignment horizontal="left" vertical="center" wrapText="1"/>
    </xf>
    <xf numFmtId="2" fontId="0" fillId="42" borderId="145" xfId="0" applyNumberFormat="1" applyFont="1" applyFill="1" applyBorder="1" applyAlignment="1">
      <alignment horizontal="left" vertical="center"/>
    </xf>
    <xf numFmtId="2" fontId="0" fillId="42" borderId="144" xfId="0" applyNumberFormat="1" applyFont="1" applyFill="1" applyBorder="1" applyAlignment="1">
      <alignment horizontal="left" vertical="center"/>
    </xf>
    <xf numFmtId="2" fontId="0" fillId="42" borderId="145" xfId="0" applyNumberFormat="1" applyFont="1" applyFill="1" applyBorder="1" applyAlignment="1">
      <alignment horizontal="right" vertical="center"/>
    </xf>
    <xf numFmtId="167" fontId="0" fillId="42" borderId="144" xfId="0" applyNumberFormat="1" applyFont="1" applyFill="1" applyBorder="1" applyAlignment="1">
      <alignment horizontal="right" vertical="center"/>
    </xf>
    <xf numFmtId="0" fontId="0" fillId="42" borderId="142" xfId="0" applyFont="1" applyFill="1" applyBorder="1" applyAlignment="1">
      <alignment horizontal="right" vertical="center"/>
    </xf>
    <xf numFmtId="2" fontId="0" fillId="42" borderId="98" xfId="0" applyNumberFormat="1" applyFont="1" applyFill="1" applyBorder="1" applyAlignment="1">
      <alignment horizontal="right" vertical="center"/>
    </xf>
    <xf numFmtId="167" fontId="0" fillId="42" borderId="98" xfId="0" applyNumberFormat="1" applyFont="1" applyFill="1" applyBorder="1" applyAlignment="1">
      <alignment horizontal="right" vertical="center"/>
    </xf>
    <xf numFmtId="0" fontId="0" fillId="42" borderId="98" xfId="0" applyFont="1" applyFill="1" applyBorder="1" applyAlignment="1">
      <alignment horizontal="right" vertical="center"/>
    </xf>
    <xf numFmtId="170" fontId="0" fillId="0" borderId="0" xfId="0" applyNumberFormat="1" applyFont="1" applyFill="1" applyBorder="1" applyAlignment="1">
      <alignment horizontal="left" vertical="center"/>
    </xf>
    <xf numFmtId="0" fontId="0" fillId="42" borderId="0" xfId="0" applyFont="1" applyFill="1" applyAlignment="1">
      <alignment vertical="center"/>
    </xf>
    <xf numFmtId="0" fontId="0" fillId="0" borderId="0" xfId="0" applyBorder="1" applyAlignment="1">
      <alignment vertical="center"/>
    </xf>
    <xf numFmtId="0" fontId="0" fillId="0" borderId="42" xfId="0" applyBorder="1" applyAlignment="1">
      <alignment horizontal="right" vertical="center"/>
    </xf>
    <xf numFmtId="2" fontId="0" fillId="0" borderId="0" xfId="0" applyNumberFormat="1" applyBorder="1" applyAlignment="1">
      <alignment horizontal="right" vertical="center"/>
    </xf>
    <xf numFmtId="0" fontId="0" fillId="0" borderId="0" xfId="0" applyBorder="1" applyAlignment="1">
      <alignment horizontal="right" vertical="center"/>
    </xf>
    <xf numFmtId="0" fontId="0" fillId="0" borderId="54" xfId="0" applyBorder="1" applyAlignment="1">
      <alignment horizontal="right" vertical="center"/>
    </xf>
    <xf numFmtId="0" fontId="0" fillId="0" borderId="0" xfId="0" applyAlignment="1">
      <alignment horizontal="right" vertical="center"/>
    </xf>
    <xf numFmtId="2" fontId="0" fillId="42" borderId="48" xfId="0" applyNumberFormat="1" applyFont="1" applyFill="1" applyBorder="1" applyAlignment="1">
      <alignment horizontal="left" vertical="center"/>
    </xf>
    <xf numFmtId="2" fontId="0" fillId="42" borderId="48" xfId="0" applyNumberFormat="1" applyFont="1" applyFill="1" applyBorder="1" applyAlignment="1">
      <alignment horizontal="right" vertical="center"/>
    </xf>
    <xf numFmtId="167" fontId="0" fillId="42" borderId="53" xfId="0" applyNumberFormat="1" applyFont="1" applyFill="1" applyBorder="1" applyAlignment="1">
      <alignment horizontal="right" vertical="center"/>
    </xf>
    <xf numFmtId="0" fontId="0" fillId="42" borderId="49" xfId="0" applyFont="1" applyFill="1" applyBorder="1" applyAlignment="1">
      <alignment horizontal="right" vertical="center"/>
    </xf>
    <xf numFmtId="0" fontId="0" fillId="0" borderId="0" xfId="0" applyFont="1" applyFill="1" applyBorder="1" applyAlignment="1">
      <alignment horizontal="left" vertical="center"/>
    </xf>
    <xf numFmtId="0" fontId="0" fillId="42" borderId="57" xfId="0" applyFont="1" applyFill="1" applyBorder="1" applyAlignment="1">
      <alignment horizontal="right" vertical="center"/>
    </xf>
    <xf numFmtId="167" fontId="0" fillId="42" borderId="46" xfId="0" applyNumberFormat="1" applyFont="1" applyFill="1" applyBorder="1" applyAlignment="1">
      <alignment horizontal="right" vertical="center"/>
    </xf>
    <xf numFmtId="0" fontId="0" fillId="0" borderId="131" xfId="0" applyFont="1" applyFill="1" applyBorder="1" applyAlignment="1">
      <alignment vertical="center"/>
    </xf>
    <xf numFmtId="0" fontId="0" fillId="0" borderId="17" xfId="0" applyBorder="1" applyAlignment="1">
      <alignment horizontal="right" vertical="center"/>
    </xf>
    <xf numFmtId="0" fontId="0" fillId="0" borderId="131" xfId="0" applyFont="1" applyBorder="1" applyAlignment="1">
      <alignment vertical="center"/>
    </xf>
    <xf numFmtId="0" fontId="0" fillId="0" borderId="152" xfId="0" applyFont="1" applyBorder="1" applyAlignment="1">
      <alignment vertical="center"/>
    </xf>
    <xf numFmtId="0" fontId="0" fillId="42" borderId="54" xfId="0" applyFont="1" applyFill="1" applyBorder="1" applyAlignment="1">
      <alignment horizontal="right" vertical="center"/>
    </xf>
    <xf numFmtId="167" fontId="0" fillId="42" borderId="0" xfId="0" applyNumberFormat="1" applyFont="1" applyFill="1" applyBorder="1" applyAlignment="1">
      <alignment horizontal="right" vertical="center"/>
    </xf>
    <xf numFmtId="2" fontId="0" fillId="42" borderId="42" xfId="0" applyNumberFormat="1" applyFont="1" applyFill="1" applyBorder="1" applyAlignment="1">
      <alignment horizontal="left" vertical="center"/>
    </xf>
    <xf numFmtId="2" fontId="0" fillId="42" borderId="0" xfId="0" applyNumberFormat="1" applyFont="1" applyFill="1" applyBorder="1" applyAlignment="1">
      <alignment horizontal="left" vertical="center"/>
    </xf>
    <xf numFmtId="2" fontId="0" fillId="42" borderId="42" xfId="0" applyNumberFormat="1" applyFont="1" applyFill="1" applyBorder="1" applyAlignment="1">
      <alignment horizontal="right" vertical="center"/>
    </xf>
    <xf numFmtId="0" fontId="0" fillId="42" borderId="12" xfId="0" applyFont="1" applyFill="1" applyBorder="1" applyAlignment="1">
      <alignment horizontal="right" vertical="center"/>
    </xf>
    <xf numFmtId="0" fontId="0" fillId="42" borderId="146" xfId="0" applyFont="1" applyFill="1" applyBorder="1" applyAlignment="1">
      <alignment horizontal="right" vertical="center"/>
    </xf>
    <xf numFmtId="0" fontId="0" fillId="42" borderId="0" xfId="0" applyFill="1" applyBorder="1" applyAlignment="1">
      <alignment vertical="center"/>
    </xf>
    <xf numFmtId="0" fontId="0" fillId="42" borderId="42" xfId="0" applyFill="1" applyBorder="1" applyAlignment="1">
      <alignment horizontal="right" vertical="center"/>
    </xf>
    <xf numFmtId="2" fontId="0" fillId="42" borderId="0" xfId="0" applyNumberFormat="1" applyFill="1" applyBorder="1" applyAlignment="1">
      <alignment horizontal="right" vertical="center"/>
    </xf>
    <xf numFmtId="0" fontId="0" fillId="42" borderId="0" xfId="0" applyFill="1" applyBorder="1" applyAlignment="1">
      <alignment horizontal="right" vertical="center"/>
    </xf>
    <xf numFmtId="0" fontId="0" fillId="42" borderId="54" xfId="0" applyFill="1" applyBorder="1" applyAlignment="1">
      <alignment horizontal="right" vertical="center"/>
    </xf>
    <xf numFmtId="0" fontId="0" fillId="42" borderId="0" xfId="0" applyFill="1" applyAlignment="1">
      <alignment horizontal="right" vertical="center"/>
    </xf>
    <xf numFmtId="0" fontId="0" fillId="42" borderId="0" xfId="0" applyFill="1" applyAlignment="1">
      <alignment vertical="center"/>
    </xf>
    <xf numFmtId="0" fontId="0" fillId="42" borderId="97" xfId="0" applyFont="1" applyFill="1" applyBorder="1" applyAlignment="1">
      <alignment horizontal="right" vertical="center"/>
    </xf>
    <xf numFmtId="164" fontId="0" fillId="0" borderId="0" xfId="0" applyNumberFormat="1" applyFill="1" applyBorder="1" applyAlignment="1">
      <alignment vertical="center"/>
    </xf>
    <xf numFmtId="0" fontId="0" fillId="39" borderId="131" xfId="0" applyFill="1" applyBorder="1" applyAlignment="1">
      <alignment horizontal="right" vertical="center"/>
    </xf>
    <xf numFmtId="0" fontId="0" fillId="39" borderId="17" xfId="0" applyFill="1" applyBorder="1" applyAlignment="1">
      <alignment horizontal="right" vertical="center"/>
    </xf>
    <xf numFmtId="164" fontId="0" fillId="0" borderId="17" xfId="0" applyNumberFormat="1" applyFont="1" applyBorder="1" applyAlignment="1">
      <alignment horizontal="right" vertical="center"/>
    </xf>
    <xf numFmtId="0" fontId="0" fillId="0" borderId="131" xfId="0" applyFont="1" applyBorder="1" applyAlignment="1">
      <alignment vertical="center" wrapText="1"/>
    </xf>
    <xf numFmtId="164" fontId="14" fillId="0" borderId="97" xfId="0" applyNumberFormat="1" applyFont="1" applyBorder="1" applyAlignment="1">
      <alignment horizontal="right" vertical="center"/>
    </xf>
    <xf numFmtId="0" fontId="14" fillId="0" borderId="97" xfId="0" applyFont="1" applyBorder="1" applyAlignment="1">
      <alignment horizontal="right" vertical="center"/>
    </xf>
    <xf numFmtId="164" fontId="14" fillId="39" borderId="17" xfId="0" applyNumberFormat="1" applyFont="1" applyFill="1" applyBorder="1" applyAlignment="1">
      <alignment horizontal="right" vertical="center"/>
    </xf>
    <xf numFmtId="164" fontId="14" fillId="39" borderId="97" xfId="0" applyNumberFormat="1" applyFont="1" applyFill="1" applyBorder="1" applyAlignment="1">
      <alignment horizontal="right" vertical="center"/>
    </xf>
    <xf numFmtId="164" fontId="24" fillId="0" borderId="17" xfId="0" applyNumberFormat="1" applyFont="1" applyFill="1" applyBorder="1" applyAlignment="1">
      <alignment horizontal="right" vertical="center"/>
    </xf>
    <xf numFmtId="164" fontId="0" fillId="33" borderId="17" xfId="0" applyNumberFormat="1" applyFill="1" applyBorder="1" applyAlignment="1">
      <alignment horizontal="right" vertical="center"/>
    </xf>
    <xf numFmtId="164" fontId="24" fillId="0" borderId="97" xfId="0" applyNumberFormat="1" applyFont="1" applyFill="1" applyBorder="1" applyAlignment="1">
      <alignment horizontal="right" vertical="center"/>
    </xf>
    <xf numFmtId="167" fontId="0" fillId="0" borderId="131" xfId="0" applyNumberFormat="1" applyBorder="1" applyAlignment="1">
      <alignment horizontal="right" vertical="center"/>
    </xf>
    <xf numFmtId="0" fontId="20" fillId="35" borderId="0" xfId="61" applyFill="1" applyBorder="1" applyAlignment="1"/>
    <xf numFmtId="164" fontId="0" fillId="33" borderId="131" xfId="0" applyNumberFormat="1" applyFont="1" applyFill="1" applyBorder="1" applyAlignment="1">
      <alignment horizontal="right" vertical="center"/>
    </xf>
    <xf numFmtId="164" fontId="0" fillId="42" borderId="144" xfId="0" applyNumberFormat="1" applyFont="1" applyFill="1" applyBorder="1" applyAlignment="1">
      <alignment horizontal="right" vertical="center"/>
    </xf>
    <xf numFmtId="164" fontId="0" fillId="0" borderId="0" xfId="0" applyNumberFormat="1" applyBorder="1" applyAlignment="1">
      <alignment horizontal="right" vertical="center"/>
    </xf>
    <xf numFmtId="164" fontId="0" fillId="42" borderId="53" xfId="0" applyNumberFormat="1" applyFont="1" applyFill="1" applyBorder="1" applyAlignment="1">
      <alignment horizontal="right" vertical="center"/>
    </xf>
    <xf numFmtId="164" fontId="33" fillId="42" borderId="48" xfId="0" applyNumberFormat="1" applyFont="1" applyFill="1" applyBorder="1" applyAlignment="1">
      <alignment horizontal="right" vertical="center"/>
    </xf>
    <xf numFmtId="164" fontId="0" fillId="42" borderId="46" xfId="0" applyNumberFormat="1" applyFont="1" applyFill="1" applyBorder="1" applyAlignment="1">
      <alignment horizontal="right" vertical="center"/>
    </xf>
    <xf numFmtId="164" fontId="0" fillId="42" borderId="0" xfId="0" applyNumberFormat="1" applyFont="1" applyFill="1" applyBorder="1" applyAlignment="1">
      <alignment horizontal="right" vertical="center"/>
    </xf>
    <xf numFmtId="164" fontId="0" fillId="42" borderId="0" xfId="0" applyNumberFormat="1" applyFill="1" applyBorder="1" applyAlignment="1">
      <alignment horizontal="right" vertical="center"/>
    </xf>
    <xf numFmtId="164" fontId="33" fillId="42" borderId="45" xfId="0" applyNumberFormat="1" applyFont="1" applyFill="1" applyBorder="1" applyAlignment="1">
      <alignment horizontal="right" vertical="center"/>
    </xf>
    <xf numFmtId="164" fontId="33" fillId="42" borderId="145" xfId="0" applyNumberFormat="1" applyFont="1" applyFill="1" applyBorder="1" applyAlignment="1">
      <alignment horizontal="right" vertical="center"/>
    </xf>
    <xf numFmtId="164" fontId="33" fillId="42" borderId="42" xfId="0" applyNumberFormat="1" applyFont="1" applyFill="1" applyBorder="1" applyAlignment="1">
      <alignment horizontal="right" vertical="center"/>
    </xf>
    <xf numFmtId="164" fontId="0" fillId="0" borderId="0" xfId="0" applyNumberFormat="1" applyAlignment="1">
      <alignment horizontal="right"/>
    </xf>
    <xf numFmtId="3" fontId="0" fillId="0" borderId="25" xfId="0" applyNumberFormat="1" applyBorder="1" applyAlignment="1">
      <alignment vertical="center"/>
    </xf>
    <xf numFmtId="3" fontId="0" fillId="0" borderId="35" xfId="0" applyNumberFormat="1" applyBorder="1" applyAlignment="1">
      <alignment vertical="center" wrapText="1"/>
    </xf>
    <xf numFmtId="0" fontId="0" fillId="0" borderId="26" xfId="0" applyBorder="1" applyAlignment="1">
      <alignment vertical="center"/>
    </xf>
    <xf numFmtId="3" fontId="0" fillId="0" borderId="17" xfId="0" applyNumberFormat="1" applyBorder="1" applyAlignment="1">
      <alignment vertical="center"/>
    </xf>
    <xf numFmtId="3" fontId="0" fillId="0" borderId="131" xfId="0" applyNumberFormat="1" applyBorder="1" applyAlignment="1">
      <alignment vertical="center" wrapText="1"/>
    </xf>
    <xf numFmtId="0" fontId="0" fillId="0" borderId="97" xfId="0" applyBorder="1" applyAlignment="1">
      <alignment vertical="center"/>
    </xf>
    <xf numFmtId="3" fontId="0" fillId="0" borderId="27" xfId="0" applyNumberFormat="1" applyBorder="1" applyAlignment="1">
      <alignment vertical="center"/>
    </xf>
    <xf numFmtId="3" fontId="0" fillId="0" borderId="36" xfId="0" applyNumberFormat="1" applyBorder="1" applyAlignment="1">
      <alignment vertical="center" wrapText="1"/>
    </xf>
    <xf numFmtId="0" fontId="0" fillId="0" borderId="36" xfId="0" applyBorder="1" applyAlignment="1">
      <alignment vertical="center"/>
    </xf>
    <xf numFmtId="0" fontId="0" fillId="0" borderId="114" xfId="0" applyBorder="1" applyAlignment="1">
      <alignment vertical="center"/>
    </xf>
    <xf numFmtId="164" fontId="0" fillId="0" borderId="21" xfId="0" applyNumberFormat="1" applyBorder="1" applyAlignment="1">
      <alignment horizontal="right" vertical="center"/>
    </xf>
    <xf numFmtId="2" fontId="0" fillId="0" borderId="13" xfId="0" applyNumberFormat="1" applyBorder="1" applyAlignment="1">
      <alignment horizontal="right" vertical="center"/>
    </xf>
    <xf numFmtId="0" fontId="0" fillId="0" borderId="13" xfId="0" applyBorder="1" applyAlignment="1">
      <alignment horizontal="right" vertical="center"/>
    </xf>
    <xf numFmtId="164" fontId="0" fillId="0" borderId="13" xfId="0" applyNumberFormat="1" applyBorder="1" applyAlignment="1">
      <alignment horizontal="right" vertical="center"/>
    </xf>
    <xf numFmtId="164" fontId="0" fillId="0" borderId="19" xfId="0" applyNumberFormat="1" applyBorder="1" applyAlignment="1">
      <alignment horizontal="right" vertical="center"/>
    </xf>
    <xf numFmtId="2" fontId="0" fillId="0" borderId="152" xfId="0" applyNumberFormat="1" applyBorder="1" applyAlignment="1">
      <alignment horizontal="right" vertical="center"/>
    </xf>
    <xf numFmtId="0" fontId="0" fillId="0" borderId="152" xfId="0" applyBorder="1" applyAlignment="1">
      <alignment horizontal="right" vertical="center"/>
    </xf>
    <xf numFmtId="164" fontId="0" fillId="0" borderId="152" xfId="0" applyNumberFormat="1" applyBorder="1" applyAlignment="1">
      <alignment horizontal="right" vertical="center"/>
    </xf>
    <xf numFmtId="3" fontId="0" fillId="0" borderId="19" xfId="0" applyNumberFormat="1" applyBorder="1" applyAlignment="1">
      <alignment vertical="center"/>
    </xf>
    <xf numFmtId="3" fontId="0" fillId="0" borderId="152" xfId="0" applyNumberFormat="1" applyBorder="1" applyAlignment="1">
      <alignment vertical="center" wrapText="1"/>
    </xf>
    <xf numFmtId="164" fontId="0" fillId="0" borderId="22" xfId="0" applyNumberFormat="1" applyBorder="1" applyAlignment="1">
      <alignment horizontal="right" vertical="center"/>
    </xf>
    <xf numFmtId="164" fontId="0" fillId="0" borderId="135" xfId="0" applyNumberFormat="1" applyBorder="1" applyAlignment="1">
      <alignment horizontal="right" vertical="center"/>
    </xf>
    <xf numFmtId="0" fontId="0" fillId="0" borderId="35" xfId="0" applyBorder="1" applyAlignment="1">
      <alignment vertical="center" wrapText="1"/>
    </xf>
    <xf numFmtId="0" fontId="0" fillId="0" borderId="19" xfId="0" applyBorder="1" applyAlignment="1">
      <alignment vertical="center"/>
    </xf>
    <xf numFmtId="0" fontId="0" fillId="0" borderId="152" xfId="0" applyBorder="1" applyAlignment="1">
      <alignment vertical="center" wrapText="1"/>
    </xf>
    <xf numFmtId="164" fontId="0" fillId="0" borderId="25" xfId="0" applyNumberFormat="1" applyBorder="1" applyAlignment="1">
      <alignment horizontal="right" vertical="center"/>
    </xf>
    <xf numFmtId="2" fontId="0" fillId="0" borderId="35" xfId="0" applyNumberFormat="1" applyBorder="1" applyAlignment="1">
      <alignment horizontal="right" vertical="center"/>
    </xf>
    <xf numFmtId="0" fontId="0" fillId="0" borderId="35" xfId="0" applyBorder="1" applyAlignment="1">
      <alignment horizontal="right" vertical="center"/>
    </xf>
    <xf numFmtId="164" fontId="0" fillId="0" borderId="35" xfId="0" applyNumberFormat="1" applyBorder="1" applyAlignment="1">
      <alignment horizontal="right" vertical="center"/>
    </xf>
    <xf numFmtId="164" fontId="0" fillId="0" borderId="26" xfId="0" applyNumberFormat="1" applyBorder="1" applyAlignment="1">
      <alignment horizontal="right" vertical="center"/>
    </xf>
    <xf numFmtId="167" fontId="0" fillId="33" borderId="35" xfId="0" applyNumberFormat="1" applyFont="1" applyFill="1" applyBorder="1" applyAlignment="1">
      <alignment horizontal="right" vertical="center"/>
    </xf>
    <xf numFmtId="164" fontId="0" fillId="33" borderId="35" xfId="0" applyNumberFormat="1" applyFont="1" applyFill="1" applyBorder="1" applyAlignment="1">
      <alignment horizontal="right" vertical="center"/>
    </xf>
    <xf numFmtId="164" fontId="0" fillId="0" borderId="27" xfId="0" applyNumberFormat="1" applyBorder="1" applyAlignment="1">
      <alignment horizontal="right" vertical="center"/>
    </xf>
    <xf numFmtId="2" fontId="0" fillId="0" borderId="36" xfId="0" applyNumberFormat="1" applyBorder="1" applyAlignment="1">
      <alignment horizontal="right" vertical="center"/>
    </xf>
    <xf numFmtId="0" fontId="0" fillId="0" borderId="36" xfId="0" applyBorder="1" applyAlignment="1">
      <alignment horizontal="right" vertical="center"/>
    </xf>
    <xf numFmtId="167" fontId="0" fillId="33" borderId="36" xfId="0" applyNumberFormat="1" applyFont="1" applyFill="1" applyBorder="1" applyAlignment="1">
      <alignment horizontal="right" vertical="center"/>
    </xf>
    <xf numFmtId="164" fontId="0" fillId="33" borderId="36" xfId="0" applyNumberFormat="1" applyFont="1" applyFill="1" applyBorder="1" applyAlignment="1">
      <alignment horizontal="right" vertical="center"/>
    </xf>
    <xf numFmtId="164" fontId="0" fillId="0" borderId="36" xfId="0" applyNumberFormat="1" applyBorder="1" applyAlignment="1">
      <alignment horizontal="right" vertical="center"/>
    </xf>
    <xf numFmtId="164" fontId="0" fillId="0" borderId="114" xfId="0" applyNumberFormat="1" applyBorder="1" applyAlignment="1">
      <alignment horizontal="right" vertical="center"/>
    </xf>
    <xf numFmtId="0" fontId="0" fillId="0" borderId="27" xfId="0" applyBorder="1" applyAlignment="1">
      <alignment vertical="center"/>
    </xf>
    <xf numFmtId="0" fontId="0" fillId="0" borderId="36" xfId="0" applyBorder="1" applyAlignment="1">
      <alignment vertical="center" wrapText="1"/>
    </xf>
    <xf numFmtId="0" fontId="0" fillId="0" borderId="25" xfId="0" applyBorder="1" applyAlignment="1">
      <alignment vertical="center" wrapText="1"/>
    </xf>
    <xf numFmtId="0" fontId="0" fillId="0" borderId="17" xfId="0" applyBorder="1" applyAlignment="1">
      <alignment vertical="center" wrapText="1"/>
    </xf>
    <xf numFmtId="0" fontId="0" fillId="0" borderId="27" xfId="0" applyBorder="1" applyAlignment="1">
      <alignment vertical="center" wrapText="1"/>
    </xf>
    <xf numFmtId="0" fontId="0" fillId="0" borderId="25" xfId="0" applyBorder="1" applyAlignment="1">
      <alignment horizontal="left" vertical="center"/>
    </xf>
    <xf numFmtId="0" fontId="0" fillId="0" borderId="35" xfId="0" applyBorder="1" applyAlignment="1">
      <alignment horizontal="left" vertical="center" wrapText="1"/>
    </xf>
    <xf numFmtId="0" fontId="0" fillId="0" borderId="131" xfId="0" applyBorder="1" applyAlignment="1">
      <alignment horizontal="left" vertical="center" wrapText="1"/>
    </xf>
    <xf numFmtId="0" fontId="0" fillId="0" borderId="19" xfId="0" applyBorder="1" applyAlignment="1">
      <alignment horizontal="left" vertical="center"/>
    </xf>
    <xf numFmtId="0" fontId="0" fillId="0" borderId="152" xfId="0" applyBorder="1" applyAlignment="1">
      <alignment horizontal="left" vertical="center" wrapText="1"/>
    </xf>
    <xf numFmtId="0" fontId="0" fillId="0" borderId="152" xfId="0" applyBorder="1" applyAlignment="1">
      <alignment vertical="center"/>
    </xf>
    <xf numFmtId="0" fontId="0" fillId="0" borderId="135" xfId="0" applyBorder="1" applyAlignment="1">
      <alignment vertical="center"/>
    </xf>
    <xf numFmtId="7" fontId="0" fillId="0" borderId="25" xfId="0" applyNumberFormat="1" applyBorder="1" applyAlignment="1">
      <alignment horizontal="right" vertical="center"/>
    </xf>
    <xf numFmtId="164" fontId="0" fillId="33" borderId="35" xfId="0" applyNumberFormat="1" applyFill="1" applyBorder="1" applyAlignment="1">
      <alignment horizontal="right" vertical="center"/>
    </xf>
    <xf numFmtId="7" fontId="0" fillId="0" borderId="35" xfId="0" applyNumberFormat="1" applyBorder="1" applyAlignment="1">
      <alignment horizontal="right" vertical="center"/>
    </xf>
    <xf numFmtId="0" fontId="0" fillId="0" borderId="26" xfId="0" applyBorder="1" applyAlignment="1">
      <alignment horizontal="right" vertical="center"/>
    </xf>
    <xf numFmtId="7" fontId="0" fillId="0" borderId="19" xfId="0" applyNumberFormat="1" applyBorder="1" applyAlignment="1">
      <alignment horizontal="right" vertical="center"/>
    </xf>
    <xf numFmtId="164" fontId="0" fillId="33" borderId="152" xfId="0" applyNumberFormat="1" applyFill="1" applyBorder="1" applyAlignment="1">
      <alignment horizontal="right" vertical="center"/>
    </xf>
    <xf numFmtId="7" fontId="0" fillId="0" borderId="152" xfId="0" applyNumberFormat="1" applyBorder="1" applyAlignment="1">
      <alignment horizontal="right" vertical="center"/>
    </xf>
    <xf numFmtId="7" fontId="0" fillId="0" borderId="135" xfId="0" applyNumberFormat="1" applyBorder="1" applyAlignment="1">
      <alignment horizontal="right" vertical="center"/>
    </xf>
    <xf numFmtId="164" fontId="0" fillId="0" borderId="131" xfId="0" applyNumberFormat="1" applyBorder="1" applyAlignment="1">
      <alignment vertical="center"/>
    </xf>
    <xf numFmtId="2" fontId="0" fillId="0" borderId="131" xfId="0" applyNumberFormat="1" applyBorder="1" applyAlignment="1">
      <alignment vertical="center"/>
    </xf>
    <xf numFmtId="164" fontId="0" fillId="0" borderId="17" xfId="0" applyNumberFormat="1" applyBorder="1" applyAlignment="1">
      <alignment vertical="center"/>
    </xf>
    <xf numFmtId="8" fontId="0" fillId="0" borderId="25" xfId="0" applyNumberFormat="1" applyBorder="1" applyAlignment="1">
      <alignment horizontal="right" vertical="center"/>
    </xf>
    <xf numFmtId="8" fontId="0" fillId="0" borderId="35" xfId="0" applyNumberFormat="1" applyBorder="1" applyAlignment="1">
      <alignment horizontal="right" vertical="center"/>
    </xf>
    <xf numFmtId="8" fontId="0" fillId="0" borderId="26" xfId="0" applyNumberFormat="1" applyBorder="1" applyAlignment="1">
      <alignment horizontal="right" vertical="center"/>
    </xf>
    <xf numFmtId="8" fontId="0" fillId="0" borderId="17" xfId="0" applyNumberFormat="1" applyBorder="1" applyAlignment="1">
      <alignment horizontal="right" vertical="center"/>
    </xf>
    <xf numFmtId="8" fontId="0" fillId="0" borderId="131" xfId="0" applyNumberFormat="1" applyBorder="1" applyAlignment="1">
      <alignment horizontal="right" vertical="center"/>
    </xf>
    <xf numFmtId="8" fontId="0" fillId="0" borderId="97" xfId="0" applyNumberFormat="1" applyBorder="1" applyAlignment="1">
      <alignment horizontal="right" vertical="center"/>
    </xf>
    <xf numFmtId="164" fontId="0" fillId="0" borderId="17" xfId="0" applyNumberFormat="1" applyBorder="1" applyAlignment="1">
      <alignment vertical="center" wrapText="1"/>
    </xf>
    <xf numFmtId="2" fontId="0" fillId="0" borderId="131" xfId="0" applyNumberFormat="1" applyBorder="1" applyAlignment="1">
      <alignment vertical="center" wrapText="1"/>
    </xf>
    <xf numFmtId="164" fontId="0" fillId="0" borderId="131" xfId="0" applyNumberFormat="1" applyBorder="1" applyAlignment="1">
      <alignment vertical="center" wrapText="1"/>
    </xf>
    <xf numFmtId="0" fontId="0" fillId="0" borderId="97" xfId="0" applyBorder="1" applyAlignment="1">
      <alignment vertical="center" wrapText="1"/>
    </xf>
    <xf numFmtId="8" fontId="0" fillId="0" borderId="27" xfId="0" applyNumberFormat="1" applyBorder="1" applyAlignment="1">
      <alignment horizontal="right" vertical="center"/>
    </xf>
    <xf numFmtId="8" fontId="0" fillId="0" borderId="36" xfId="0" applyNumberFormat="1" applyBorder="1" applyAlignment="1">
      <alignment horizontal="right" vertical="center"/>
    </xf>
    <xf numFmtId="8" fontId="0" fillId="0" borderId="114" xfId="0" applyNumberFormat="1" applyBorder="1" applyAlignment="1">
      <alignment horizontal="right" vertical="center"/>
    </xf>
    <xf numFmtId="0" fontId="0" fillId="0" borderId="97" xfId="0" applyBorder="1" applyAlignment="1">
      <alignment horizontal="right" vertical="center" wrapText="1"/>
    </xf>
    <xf numFmtId="0" fontId="32" fillId="37" borderId="42" xfId="0" applyFont="1" applyFill="1" applyBorder="1" applyAlignment="1">
      <alignment horizontal="left" vertical="center" wrapText="1"/>
    </xf>
    <xf numFmtId="164" fontId="0" fillId="0" borderId="69" xfId="0" applyNumberFormat="1" applyBorder="1" applyAlignment="1">
      <alignment horizontal="right" vertical="center"/>
    </xf>
    <xf numFmtId="164" fontId="0" fillId="0" borderId="69" xfId="59" applyNumberFormat="1" applyFont="1" applyBorder="1" applyAlignment="1">
      <alignment horizontal="right" vertical="center"/>
    </xf>
    <xf numFmtId="0" fontId="0" fillId="0" borderId="26" xfId="0" applyFill="1" applyBorder="1" applyAlignment="1">
      <alignment vertical="center"/>
    </xf>
    <xf numFmtId="0" fontId="0" fillId="0" borderId="97" xfId="0" applyFill="1" applyBorder="1" applyAlignment="1">
      <alignment vertical="center"/>
    </xf>
    <xf numFmtId="7" fontId="0" fillId="0" borderId="17" xfId="0" applyNumberFormat="1" applyBorder="1" applyAlignment="1">
      <alignment horizontal="right" vertical="center"/>
    </xf>
    <xf numFmtId="7" fontId="0" fillId="0" borderId="131" xfId="0" applyNumberFormat="1" applyBorder="1" applyAlignment="1">
      <alignment horizontal="right" vertical="center"/>
    </xf>
    <xf numFmtId="7" fontId="0" fillId="0" borderId="97" xfId="0" applyNumberFormat="1" applyBorder="1" applyAlignment="1">
      <alignment horizontal="right" vertical="center"/>
    </xf>
    <xf numFmtId="7" fontId="0" fillId="0" borderId="27" xfId="0" applyNumberFormat="1" applyBorder="1" applyAlignment="1">
      <alignment horizontal="right" vertical="center"/>
    </xf>
    <xf numFmtId="7" fontId="0" fillId="0" borderId="36" xfId="0" applyNumberFormat="1" applyBorder="1" applyAlignment="1">
      <alignment horizontal="right" vertical="center"/>
    </xf>
    <xf numFmtId="7" fontId="0" fillId="0" borderId="114" xfId="0" applyNumberFormat="1" applyBorder="1" applyAlignment="1">
      <alignment horizontal="right" vertical="center"/>
    </xf>
    <xf numFmtId="0" fontId="0" fillId="0" borderId="10" xfId="0" applyFill="1" applyBorder="1" applyAlignment="1">
      <alignment wrapText="1"/>
    </xf>
    <xf numFmtId="0" fontId="0" fillId="0" borderId="11" xfId="0" applyFill="1" applyBorder="1" applyAlignment="1">
      <alignment vertical="center" wrapText="1"/>
    </xf>
    <xf numFmtId="2" fontId="0" fillId="0" borderId="131" xfId="0" applyNumberFormat="1" applyFill="1" applyBorder="1" applyAlignment="1">
      <alignment horizontal="right" vertical="center" wrapText="1"/>
    </xf>
    <xf numFmtId="164" fontId="0" fillId="0" borderId="131" xfId="0" applyNumberFormat="1" applyFill="1" applyBorder="1" applyAlignment="1">
      <alignment horizontal="right" vertical="center" wrapText="1"/>
    </xf>
    <xf numFmtId="164" fontId="0" fillId="0" borderId="25" xfId="0" applyNumberFormat="1" applyFill="1" applyBorder="1" applyAlignment="1">
      <alignment horizontal="right" vertical="center" wrapText="1"/>
    </xf>
    <xf numFmtId="2" fontId="0" fillId="0" borderId="35" xfId="0" applyNumberFormat="1" applyFill="1" applyBorder="1" applyAlignment="1">
      <alignment horizontal="right" vertical="center" wrapText="1"/>
    </xf>
    <xf numFmtId="164" fontId="0" fillId="0" borderId="35" xfId="0" applyNumberFormat="1" applyFill="1" applyBorder="1" applyAlignment="1">
      <alignment horizontal="right" vertical="center" wrapText="1"/>
    </xf>
    <xf numFmtId="0" fontId="0" fillId="0" borderId="13" xfId="0" applyBorder="1" applyAlignment="1">
      <alignment wrapText="1"/>
    </xf>
    <xf numFmtId="0" fontId="0" fillId="0" borderId="10" xfId="0" applyBorder="1" applyAlignment="1">
      <alignment wrapText="1"/>
    </xf>
    <xf numFmtId="164" fontId="0" fillId="0" borderId="19" xfId="0" applyNumberFormat="1" applyFill="1" applyBorder="1" applyAlignment="1">
      <alignment horizontal="right" vertical="center"/>
    </xf>
    <xf numFmtId="2" fontId="0" fillId="0" borderId="152" xfId="0" applyNumberFormat="1" applyFill="1" applyBorder="1" applyAlignment="1">
      <alignment horizontal="right" vertical="center"/>
    </xf>
    <xf numFmtId="164" fontId="0" fillId="0" borderId="152" xfId="0" applyNumberFormat="1" applyFill="1" applyBorder="1" applyAlignment="1">
      <alignment horizontal="right" vertical="center"/>
    </xf>
    <xf numFmtId="164" fontId="0" fillId="0" borderId="135" xfId="0" applyNumberFormat="1" applyFill="1" applyBorder="1" applyAlignment="1">
      <alignment horizontal="right" vertical="center"/>
    </xf>
    <xf numFmtId="0" fontId="0" fillId="0" borderId="17" xfId="0" applyFill="1" applyBorder="1" applyAlignment="1">
      <alignment vertical="center"/>
    </xf>
    <xf numFmtId="0" fontId="0" fillId="0" borderId="19" xfId="0" applyFill="1" applyBorder="1" applyAlignment="1">
      <alignment vertical="center"/>
    </xf>
    <xf numFmtId="0" fontId="0" fillId="0" borderId="17" xfId="0" applyBorder="1" applyAlignment="1">
      <alignment horizontal="left" vertical="center"/>
    </xf>
    <xf numFmtId="0" fontId="0" fillId="0" borderId="17" xfId="0" applyFont="1" applyFill="1" applyBorder="1" applyAlignment="1">
      <alignment vertical="center"/>
    </xf>
    <xf numFmtId="0" fontId="0" fillId="0" borderId="17" xfId="0" applyBorder="1" applyAlignment="1">
      <alignment vertical="center"/>
    </xf>
    <xf numFmtId="0" fontId="0" fillId="0" borderId="42" xfId="0" applyBorder="1" applyAlignment="1">
      <alignment horizontal="left" vertical="center"/>
    </xf>
    <xf numFmtId="0" fontId="0" fillId="39" borderId="0" xfId="0" applyFill="1" applyBorder="1" applyAlignment="1">
      <alignment vertical="center" wrapText="1"/>
    </xf>
    <xf numFmtId="0" fontId="0" fillId="39" borderId="35" xfId="0" applyFill="1" applyBorder="1" applyAlignment="1">
      <alignment vertical="center"/>
    </xf>
    <xf numFmtId="0" fontId="0" fillId="39" borderId="35" xfId="0" applyFill="1" applyBorder="1" applyAlignment="1">
      <alignment horizontal="right" vertical="center"/>
    </xf>
    <xf numFmtId="2" fontId="0" fillId="39" borderId="35" xfId="0" applyNumberFormat="1" applyFill="1" applyBorder="1" applyAlignment="1">
      <alignment horizontal="right" vertical="center"/>
    </xf>
    <xf numFmtId="164" fontId="0" fillId="39" borderId="35" xfId="0" applyNumberFormat="1" applyFill="1" applyBorder="1" applyAlignment="1">
      <alignment horizontal="right" vertical="center"/>
    </xf>
    <xf numFmtId="0" fontId="0" fillId="39" borderId="26" xfId="0" applyFill="1" applyBorder="1" applyAlignment="1">
      <alignment horizontal="right" vertical="center"/>
    </xf>
    <xf numFmtId="0" fontId="0" fillId="39" borderId="62" xfId="0" applyFill="1" applyBorder="1" applyAlignment="1">
      <alignment vertical="center"/>
    </xf>
    <xf numFmtId="0" fontId="0" fillId="39" borderId="25" xfId="0" applyFill="1" applyBorder="1" applyAlignment="1">
      <alignment horizontal="right" vertical="center"/>
    </xf>
    <xf numFmtId="0" fontId="0" fillId="42" borderId="42" xfId="0" applyFont="1" applyFill="1" applyBorder="1" applyAlignment="1">
      <alignment horizontal="left" vertical="center"/>
    </xf>
    <xf numFmtId="0" fontId="0" fillId="0" borderId="18" xfId="0" applyBorder="1" applyAlignment="1">
      <alignment horizontal="left" vertical="center"/>
    </xf>
    <xf numFmtId="0" fontId="0" fillId="42" borderId="145" xfId="0" applyFont="1" applyFill="1" applyBorder="1" applyAlignment="1">
      <alignment horizontal="left" vertical="center"/>
    </xf>
    <xf numFmtId="0" fontId="0" fillId="42" borderId="48" xfId="0" applyFont="1" applyFill="1" applyBorder="1" applyAlignment="1">
      <alignment horizontal="left" vertical="center"/>
    </xf>
    <xf numFmtId="0" fontId="0" fillId="0" borderId="18" xfId="0" applyBorder="1" applyAlignment="1">
      <alignment horizontal="left" vertical="center" wrapText="1"/>
    </xf>
    <xf numFmtId="0" fontId="0" fillId="0" borderId="18" xfId="0" applyFill="1" applyBorder="1" applyAlignment="1">
      <alignment horizontal="left" vertical="center"/>
    </xf>
    <xf numFmtId="0" fontId="0" fillId="39" borderId="42" xfId="0" applyFill="1" applyBorder="1" applyAlignment="1">
      <alignment horizontal="left" vertical="center"/>
    </xf>
    <xf numFmtId="0" fontId="0" fillId="39" borderId="18" xfId="0" applyFill="1" applyBorder="1" applyAlignment="1">
      <alignment horizontal="left" vertical="center"/>
    </xf>
    <xf numFmtId="0" fontId="0" fillId="42" borderId="45" xfId="0" applyFont="1" applyFill="1" applyBorder="1" applyAlignment="1">
      <alignment horizontal="left" vertical="center"/>
    </xf>
    <xf numFmtId="0" fontId="0" fillId="0" borderId="28" xfId="0" applyBorder="1" applyAlignment="1">
      <alignment horizontal="left" vertical="center"/>
    </xf>
    <xf numFmtId="0" fontId="0" fillId="0" borderId="120" xfId="0" applyBorder="1" applyAlignment="1">
      <alignment horizontal="left" vertical="center"/>
    </xf>
    <xf numFmtId="0" fontId="0" fillId="42" borderId="42" xfId="0" applyFill="1" applyBorder="1" applyAlignment="1">
      <alignment horizontal="left" vertical="center"/>
    </xf>
    <xf numFmtId="0" fontId="0" fillId="42" borderId="18" xfId="0" applyFont="1" applyFill="1" applyBorder="1" applyAlignment="1">
      <alignment horizontal="left" vertical="center"/>
    </xf>
    <xf numFmtId="0" fontId="0" fillId="0" borderId="18" xfId="0" applyFill="1" applyBorder="1" applyAlignment="1">
      <alignment horizontal="left" vertical="center" wrapText="1"/>
    </xf>
    <xf numFmtId="0" fontId="0" fillId="39" borderId="18" xfId="0" applyFill="1" applyBorder="1" applyAlignment="1">
      <alignment horizontal="left" vertical="center" wrapText="1"/>
    </xf>
    <xf numFmtId="0" fontId="0" fillId="42" borderId="145" xfId="0" applyFont="1" applyFill="1" applyBorder="1" applyAlignment="1">
      <alignment vertical="center"/>
    </xf>
    <xf numFmtId="0" fontId="0" fillId="39" borderId="17" xfId="0" applyFont="1" applyFill="1" applyBorder="1" applyAlignment="1">
      <alignment vertical="center"/>
    </xf>
    <xf numFmtId="0" fontId="0" fillId="42" borderId="42" xfId="0" applyFill="1" applyBorder="1" applyAlignment="1">
      <alignment vertical="center"/>
    </xf>
    <xf numFmtId="0" fontId="0" fillId="42" borderId="17" xfId="0" applyFont="1" applyFill="1" applyBorder="1" applyAlignment="1">
      <alignment horizontal="left" vertical="center"/>
    </xf>
    <xf numFmtId="0" fontId="0" fillId="39" borderId="17" xfId="0" applyFill="1" applyBorder="1" applyAlignment="1">
      <alignment vertical="center"/>
    </xf>
    <xf numFmtId="0" fontId="0" fillId="39" borderId="19" xfId="0" applyFill="1" applyBorder="1" applyAlignment="1">
      <alignment vertical="center"/>
    </xf>
    <xf numFmtId="0" fontId="0" fillId="39" borderId="17" xfId="0" applyFill="1" applyBorder="1" applyAlignment="1">
      <alignment vertical="center" wrapText="1"/>
    </xf>
    <xf numFmtId="0" fontId="0" fillId="0" borderId="42" xfId="0" applyBorder="1" applyAlignment="1">
      <alignment vertical="center"/>
    </xf>
    <xf numFmtId="0" fontId="0" fillId="42" borderId="54" xfId="0" applyFont="1" applyFill="1" applyBorder="1" applyAlignment="1">
      <alignment horizontal="right"/>
    </xf>
    <xf numFmtId="167" fontId="0" fillId="33" borderId="57" xfId="0" applyNumberFormat="1" applyFont="1" applyFill="1" applyBorder="1" applyAlignment="1">
      <alignment horizontal="right" vertical="center"/>
    </xf>
    <xf numFmtId="167" fontId="0" fillId="33" borderId="54" xfId="0" applyNumberFormat="1" applyFont="1" applyFill="1" applyBorder="1" applyAlignment="1">
      <alignment horizontal="right" vertical="center"/>
    </xf>
    <xf numFmtId="167" fontId="0" fillId="33" borderId="146" xfId="0" applyNumberFormat="1" applyFont="1" applyFill="1" applyBorder="1" applyAlignment="1">
      <alignment horizontal="right" vertical="center"/>
    </xf>
    <xf numFmtId="0" fontId="0" fillId="33" borderId="54" xfId="0" applyFill="1" applyBorder="1" applyAlignment="1">
      <alignment horizontal="right" vertical="center"/>
    </xf>
    <xf numFmtId="2" fontId="0" fillId="42" borderId="97" xfId="0" applyNumberFormat="1" applyFont="1" applyFill="1" applyBorder="1" applyAlignment="1">
      <alignment horizontal="right" vertical="center"/>
    </xf>
    <xf numFmtId="164" fontId="0" fillId="33" borderId="97" xfId="0" applyNumberFormat="1" applyFill="1" applyBorder="1" applyAlignment="1">
      <alignment horizontal="right" vertical="center"/>
    </xf>
    <xf numFmtId="0" fontId="0" fillId="33" borderId="54" xfId="0" applyFill="1" applyBorder="1" applyAlignment="1">
      <alignment horizontal="right" vertical="center" wrapText="1"/>
    </xf>
    <xf numFmtId="0" fontId="0" fillId="0" borderId="54" xfId="0" applyBorder="1" applyAlignment="1">
      <alignment horizontal="right"/>
    </xf>
    <xf numFmtId="0" fontId="0" fillId="0" borderId="24" xfId="0" applyFill="1" applyBorder="1" applyAlignment="1">
      <alignment wrapText="1"/>
    </xf>
    <xf numFmtId="0" fontId="0" fillId="0" borderId="10" xfId="0" applyFont="1" applyBorder="1" applyAlignment="1">
      <alignment horizontal="center"/>
    </xf>
    <xf numFmtId="0" fontId="24" fillId="0" borderId="74" xfId="0" applyNumberFormat="1" applyFont="1" applyFill="1" applyBorder="1" applyAlignment="1" applyProtection="1">
      <alignment horizontal="left" wrapText="1"/>
    </xf>
    <xf numFmtId="0" fontId="0" fillId="0" borderId="0" xfId="0" applyProtection="1">
      <protection hidden="1"/>
    </xf>
    <xf numFmtId="0" fontId="0" fillId="0" borderId="0" xfId="0" applyFont="1" applyFill="1" applyBorder="1" applyAlignment="1" applyProtection="1">
      <protection hidden="1"/>
    </xf>
    <xf numFmtId="2" fontId="0" fillId="0" borderId="0" xfId="0" applyNumberFormat="1" applyProtection="1">
      <protection hidden="1"/>
    </xf>
    <xf numFmtId="0" fontId="0" fillId="0" borderId="17" xfId="0" applyFont="1" applyBorder="1" applyAlignment="1" applyProtection="1">
      <protection hidden="1"/>
    </xf>
    <xf numFmtId="0" fontId="0" fillId="0" borderId="0" xfId="0" applyNumberFormat="1" applyProtection="1">
      <protection hidden="1"/>
    </xf>
    <xf numFmtId="0" fontId="41" fillId="41" borderId="0" xfId="0" applyFont="1" applyFill="1" applyAlignment="1" applyProtection="1">
      <alignment horizontal="left" vertical="center"/>
      <protection locked="0"/>
    </xf>
    <xf numFmtId="170" fontId="31" fillId="41" borderId="53" xfId="0" applyNumberFormat="1" applyFont="1" applyFill="1" applyBorder="1" applyAlignment="1" applyProtection="1">
      <alignment horizontal="center" vertical="center"/>
      <protection locked="0"/>
    </xf>
    <xf numFmtId="164" fontId="31" fillId="41" borderId="53" xfId="0" applyNumberFormat="1" applyFont="1" applyFill="1" applyBorder="1" applyAlignment="1" applyProtection="1">
      <alignment horizontal="center" vertical="center"/>
      <protection locked="0"/>
    </xf>
    <xf numFmtId="0" fontId="0" fillId="33" borderId="0" xfId="0" applyFont="1" applyFill="1" applyBorder="1" applyAlignment="1" applyProtection="1">
      <protection locked="0"/>
    </xf>
    <xf numFmtId="0" fontId="0" fillId="33" borderId="123" xfId="0" applyFont="1" applyFill="1" applyBorder="1" applyAlignment="1" applyProtection="1">
      <protection locked="0"/>
    </xf>
    <xf numFmtId="0" fontId="16" fillId="33" borderId="0" xfId="0" applyFont="1" applyFill="1" applyBorder="1" applyAlignment="1" applyProtection="1">
      <alignment horizontal="center"/>
      <protection locked="0"/>
    </xf>
    <xf numFmtId="164" fontId="16" fillId="33" borderId="0" xfId="0" applyNumberFormat="1" applyFont="1" applyFill="1" applyBorder="1" applyAlignment="1" applyProtection="1">
      <alignment horizontal="center"/>
      <protection locked="0"/>
    </xf>
    <xf numFmtId="0" fontId="0" fillId="33" borderId="42" xfId="0" applyFont="1" applyFill="1" applyBorder="1" applyAlignment="1" applyProtection="1">
      <protection locked="0"/>
    </xf>
    <xf numFmtId="170" fontId="16" fillId="33" borderId="0" xfId="0" applyNumberFormat="1" applyFont="1" applyFill="1" applyBorder="1" applyAlignment="1" applyProtection="1">
      <alignment horizontal="left" vertical="center" wrapText="1"/>
      <protection locked="0"/>
    </xf>
    <xf numFmtId="170" fontId="16" fillId="33" borderId="123" xfId="0" applyNumberFormat="1" applyFont="1" applyFill="1" applyBorder="1" applyAlignment="1" applyProtection="1">
      <alignment horizontal="left" vertical="center" wrapText="1"/>
      <protection locked="0"/>
    </xf>
    <xf numFmtId="170" fontId="16" fillId="33" borderId="137" xfId="0" applyNumberFormat="1" applyFont="1" applyFill="1" applyBorder="1" applyAlignment="1" applyProtection="1">
      <alignment horizontal="left" vertical="center" wrapText="1"/>
      <protection locked="0"/>
    </xf>
    <xf numFmtId="0" fontId="16" fillId="33" borderId="14" xfId="0" applyFont="1" applyFill="1" applyBorder="1" applyAlignment="1" applyProtection="1">
      <alignment vertical="center" wrapText="1"/>
      <protection locked="0"/>
    </xf>
    <xf numFmtId="0" fontId="16" fillId="33" borderId="131" xfId="0" applyFont="1" applyFill="1" applyBorder="1" applyAlignment="1" applyProtection="1">
      <alignment vertical="center" wrapText="1"/>
      <protection locked="0"/>
    </xf>
    <xf numFmtId="164" fontId="16" fillId="33" borderId="131" xfId="0" applyNumberFormat="1" applyFont="1" applyFill="1" applyBorder="1" applyAlignment="1" applyProtection="1">
      <alignment horizontal="left" vertical="center" wrapText="1"/>
      <protection locked="0"/>
    </xf>
    <xf numFmtId="170" fontId="16" fillId="33" borderId="11" xfId="0" applyNumberFormat="1" applyFont="1" applyFill="1" applyBorder="1" applyAlignment="1" applyProtection="1">
      <alignment horizontal="left" vertical="center" wrapText="1"/>
      <protection locked="0"/>
    </xf>
    <xf numFmtId="164" fontId="16" fillId="33" borderId="97" xfId="0" applyNumberFormat="1" applyFont="1" applyFill="1" applyBorder="1" applyAlignment="1" applyProtection="1">
      <alignment horizontal="left" vertical="center" wrapText="1"/>
      <protection locked="0"/>
    </xf>
    <xf numFmtId="170" fontId="16" fillId="33" borderId="42" xfId="0" applyNumberFormat="1" applyFont="1" applyFill="1" applyBorder="1" applyAlignment="1" applyProtection="1">
      <alignment horizontal="left" vertical="center" wrapText="1"/>
      <protection locked="0"/>
    </xf>
    <xf numFmtId="0" fontId="16" fillId="33" borderId="55" xfId="0" applyFont="1" applyFill="1" applyBorder="1" applyAlignment="1" applyProtection="1">
      <alignment vertical="center" wrapText="1"/>
      <protection locked="0"/>
    </xf>
    <xf numFmtId="170" fontId="16" fillId="33" borderId="100" xfId="0" applyNumberFormat="1" applyFont="1" applyFill="1" applyBorder="1" applyAlignment="1" applyProtection="1">
      <alignment horizontal="left" vertical="center" wrapText="1"/>
      <protection locked="0"/>
    </xf>
    <xf numFmtId="170" fontId="16" fillId="33" borderId="107" xfId="0" applyNumberFormat="1" applyFont="1" applyFill="1" applyBorder="1" applyAlignment="1" applyProtection="1">
      <alignment horizontal="left" vertical="center" wrapText="1"/>
      <protection locked="0"/>
    </xf>
    <xf numFmtId="0" fontId="16" fillId="33" borderId="27" xfId="0" applyFont="1" applyFill="1" applyBorder="1" applyAlignment="1" applyProtection="1">
      <alignment vertical="center" wrapText="1"/>
      <protection locked="0"/>
    </xf>
    <xf numFmtId="170" fontId="16" fillId="33" borderId="114" xfId="0" applyNumberFormat="1" applyFont="1" applyFill="1" applyBorder="1" applyAlignment="1" applyProtection="1">
      <alignment horizontal="left" vertical="center" wrapText="1"/>
      <protection locked="0"/>
    </xf>
    <xf numFmtId="0" fontId="33" fillId="42" borderId="48" xfId="0" applyFont="1" applyFill="1" applyBorder="1" applyAlignment="1" applyProtection="1">
      <alignment horizontal="left" vertical="center"/>
      <protection locked="0"/>
    </xf>
    <xf numFmtId="0" fontId="0" fillId="42" borderId="0" xfId="0" applyFont="1" applyFill="1" applyBorder="1" applyAlignment="1" applyProtection="1">
      <protection locked="0"/>
    </xf>
    <xf numFmtId="0" fontId="0" fillId="42" borderId="123" xfId="0" applyFont="1" applyFill="1" applyBorder="1" applyAlignment="1" applyProtection="1">
      <protection locked="0"/>
    </xf>
    <xf numFmtId="164" fontId="0" fillId="42" borderId="0" xfId="0" applyNumberFormat="1" applyFont="1" applyFill="1" applyBorder="1" applyAlignment="1" applyProtection="1">
      <protection locked="0"/>
    </xf>
    <xf numFmtId="0" fontId="0" fillId="42" borderId="42" xfId="0" applyFont="1" applyFill="1" applyBorder="1" applyAlignment="1" applyProtection="1">
      <protection locked="0"/>
    </xf>
    <xf numFmtId="0" fontId="0" fillId="42" borderId="54" xfId="0" applyFont="1" applyFill="1" applyBorder="1" applyAlignment="1" applyProtection="1">
      <protection locked="0"/>
    </xf>
    <xf numFmtId="0" fontId="0" fillId="0" borderId="34" xfId="0" applyFont="1" applyBorder="1" applyAlignment="1" applyProtection="1">
      <protection locked="0"/>
    </xf>
    <xf numFmtId="0" fontId="0" fillId="0" borderId="134" xfId="0" applyFont="1" applyBorder="1" applyAlignment="1" applyProtection="1">
      <protection locked="0"/>
    </xf>
    <xf numFmtId="0" fontId="0" fillId="0" borderId="39" xfId="0" applyFont="1" applyBorder="1" applyAlignment="1" applyProtection="1">
      <protection locked="0"/>
    </xf>
    <xf numFmtId="0" fontId="0" fillId="0" borderId="13" xfId="0" applyFont="1" applyBorder="1" applyAlignment="1" applyProtection="1">
      <protection locked="0"/>
    </xf>
    <xf numFmtId="164" fontId="0" fillId="0" borderId="13" xfId="0" applyNumberFormat="1" applyFont="1" applyBorder="1" applyAlignment="1" applyProtection="1">
      <protection locked="0"/>
    </xf>
    <xf numFmtId="0" fontId="0" fillId="0" borderId="21" xfId="0" applyFont="1" applyBorder="1" applyAlignment="1" applyProtection="1">
      <protection locked="0"/>
    </xf>
    <xf numFmtId="164" fontId="0" fillId="0" borderId="16" xfId="0" applyNumberFormat="1" applyFont="1" applyBorder="1" applyAlignment="1" applyProtection="1">
      <protection locked="0"/>
    </xf>
    <xf numFmtId="164" fontId="0" fillId="0" borderId="12" xfId="0" applyNumberFormat="1" applyFont="1" applyBorder="1" applyAlignment="1" applyProtection="1">
      <protection locked="0"/>
    </xf>
    <xf numFmtId="0" fontId="0" fillId="0" borderId="22" xfId="0" applyFont="1" applyBorder="1" applyAlignment="1" applyProtection="1">
      <protection locked="0"/>
    </xf>
    <xf numFmtId="0" fontId="0" fillId="33" borderId="54" xfId="0" applyFont="1" applyFill="1" applyBorder="1" applyAlignment="1" applyProtection="1">
      <protection locked="0"/>
    </xf>
    <xf numFmtId="0" fontId="0" fillId="33" borderId="40" xfId="0" applyFont="1" applyFill="1" applyBorder="1" applyAlignment="1" applyProtection="1">
      <protection locked="0"/>
    </xf>
    <xf numFmtId="0" fontId="0" fillId="33" borderId="116" xfId="0" applyFont="1" applyFill="1" applyBorder="1" applyAlignment="1" applyProtection="1">
      <protection locked="0"/>
    </xf>
    <xf numFmtId="0" fontId="0" fillId="0" borderId="43" xfId="0" applyFont="1" applyBorder="1" applyAlignment="1" applyProtection="1">
      <protection locked="0"/>
    </xf>
    <xf numFmtId="0" fontId="0" fillId="0" borderId="133" xfId="0" applyFont="1" applyBorder="1" applyAlignment="1" applyProtection="1">
      <protection locked="0"/>
    </xf>
    <xf numFmtId="0" fontId="0" fillId="0" borderId="14" xfId="0" applyFont="1" applyBorder="1" applyAlignment="1" applyProtection="1">
      <protection locked="0"/>
    </xf>
    <xf numFmtId="0" fontId="0" fillId="0" borderId="131" xfId="0" applyFont="1" applyBorder="1" applyAlignment="1" applyProtection="1">
      <protection locked="0"/>
    </xf>
    <xf numFmtId="164" fontId="0" fillId="0" borderId="131" xfId="0" applyNumberFormat="1" applyFont="1" applyBorder="1" applyAlignment="1" applyProtection="1">
      <protection locked="0"/>
    </xf>
    <xf numFmtId="164" fontId="0" fillId="0" borderId="11" xfId="0" applyNumberFormat="1" applyFont="1" applyFill="1" applyBorder="1" applyAlignment="1" applyProtection="1">
      <protection locked="0"/>
    </xf>
    <xf numFmtId="164" fontId="0" fillId="0" borderId="131" xfId="0" applyNumberFormat="1" applyFont="1" applyFill="1" applyBorder="1" applyAlignment="1" applyProtection="1">
      <protection locked="0"/>
    </xf>
    <xf numFmtId="0" fontId="0" fillId="0" borderId="18" xfId="0" applyFont="1" applyBorder="1" applyAlignment="1" applyProtection="1">
      <protection locked="0"/>
    </xf>
    <xf numFmtId="0" fontId="0" fillId="33" borderId="41" xfId="0" applyFont="1" applyFill="1" applyBorder="1" applyAlignment="1" applyProtection="1">
      <protection locked="0"/>
    </xf>
    <xf numFmtId="0" fontId="0" fillId="33" borderId="141" xfId="0" applyFont="1" applyFill="1" applyBorder="1" applyAlignment="1" applyProtection="1">
      <protection locked="0"/>
    </xf>
    <xf numFmtId="0" fontId="0" fillId="33" borderId="140" xfId="0" applyFont="1" applyFill="1" applyBorder="1" applyAlignment="1" applyProtection="1">
      <protection locked="0"/>
    </xf>
    <xf numFmtId="0" fontId="0" fillId="0" borderId="17" xfId="0" applyFont="1" applyFill="1" applyBorder="1" applyAlignment="1" applyProtection="1">
      <protection locked="0"/>
    </xf>
    <xf numFmtId="0" fontId="0" fillId="0" borderId="97" xfId="0" applyFont="1" applyFill="1" applyBorder="1" applyAlignment="1" applyProtection="1">
      <protection locked="0"/>
    </xf>
    <xf numFmtId="164" fontId="0" fillId="33" borderId="0" xfId="0" applyNumberFormat="1" applyFont="1" applyFill="1" applyBorder="1" applyAlignment="1" applyProtection="1">
      <protection locked="0"/>
    </xf>
    <xf numFmtId="0" fontId="32" fillId="42" borderId="48" xfId="0" applyFont="1" applyFill="1" applyBorder="1" applyAlignment="1" applyProtection="1">
      <alignment horizontal="left" vertical="center"/>
      <protection locked="0"/>
    </xf>
    <xf numFmtId="0" fontId="0" fillId="0" borderId="11" xfId="0" applyFont="1" applyBorder="1" applyAlignment="1" applyProtection="1">
      <protection locked="0"/>
    </xf>
    <xf numFmtId="2" fontId="0" fillId="0" borderId="14" xfId="0" applyNumberFormat="1" applyFont="1" applyBorder="1" applyAlignment="1" applyProtection="1">
      <protection locked="0"/>
    </xf>
    <xf numFmtId="0" fontId="0" fillId="0" borderId="131" xfId="0" applyBorder="1" applyProtection="1">
      <protection locked="0"/>
    </xf>
    <xf numFmtId="9" fontId="0" fillId="0" borderId="11" xfId="58" applyFont="1" applyFill="1" applyBorder="1" applyAlignment="1" applyProtection="1">
      <protection locked="0"/>
    </xf>
    <xf numFmtId="164" fontId="0" fillId="0" borderId="97" xfId="0" applyNumberFormat="1" applyFont="1" applyFill="1" applyBorder="1" applyAlignment="1" applyProtection="1">
      <protection locked="0"/>
    </xf>
    <xf numFmtId="164" fontId="0" fillId="0" borderId="14" xfId="0" applyNumberFormat="1" applyFont="1" applyBorder="1" applyAlignment="1" applyProtection="1">
      <protection locked="0"/>
    </xf>
    <xf numFmtId="164" fontId="0" fillId="0" borderId="34" xfId="0" applyNumberFormat="1" applyFont="1" applyFill="1" applyBorder="1" applyAlignment="1" applyProtection="1">
      <protection locked="0"/>
    </xf>
    <xf numFmtId="164" fontId="0" fillId="0" borderId="13" xfId="0" applyNumberFormat="1" applyFont="1" applyFill="1" applyBorder="1" applyAlignment="1" applyProtection="1">
      <protection locked="0"/>
    </xf>
    <xf numFmtId="164" fontId="0" fillId="0" borderId="22" xfId="0" applyNumberFormat="1" applyFont="1" applyFill="1" applyBorder="1" applyAlignment="1" applyProtection="1">
      <protection locked="0"/>
    </xf>
    <xf numFmtId="0" fontId="0" fillId="33" borderId="0" xfId="58" applyNumberFormat="1" applyFont="1" applyFill="1" applyBorder="1" applyAlignment="1" applyProtection="1">
      <protection locked="0"/>
    </xf>
    <xf numFmtId="0" fontId="0" fillId="0" borderId="17" xfId="0" applyFont="1" applyBorder="1" applyAlignment="1" applyProtection="1">
      <protection locked="0"/>
    </xf>
    <xf numFmtId="0" fontId="0" fillId="0" borderId="97" xfId="0" applyFont="1" applyBorder="1" applyAlignment="1" applyProtection="1">
      <protection locked="0"/>
    </xf>
    <xf numFmtId="0" fontId="14" fillId="33" borderId="42" xfId="0" applyFont="1" applyFill="1" applyBorder="1" applyAlignment="1" applyProtection="1">
      <protection locked="0"/>
    </xf>
    <xf numFmtId="0" fontId="0" fillId="33" borderId="42" xfId="0" applyFont="1" applyFill="1" applyBorder="1" applyProtection="1">
      <protection locked="0"/>
    </xf>
    <xf numFmtId="9" fontId="0" fillId="33" borderId="0" xfId="58" applyFont="1" applyFill="1" applyBorder="1" applyAlignment="1" applyProtection="1">
      <protection locked="0"/>
    </xf>
    <xf numFmtId="9" fontId="0" fillId="33" borderId="123" xfId="58" applyFont="1" applyFill="1" applyBorder="1" applyAlignment="1" applyProtection="1">
      <protection locked="0"/>
    </xf>
    <xf numFmtId="164" fontId="0" fillId="33" borderId="0" xfId="58" applyNumberFormat="1" applyFont="1" applyFill="1" applyBorder="1" applyAlignment="1" applyProtection="1">
      <protection locked="0"/>
    </xf>
    <xf numFmtId="9" fontId="0" fillId="33" borderId="42" xfId="58" applyFont="1" applyFill="1" applyBorder="1" applyAlignment="1" applyProtection="1">
      <protection locked="0"/>
    </xf>
    <xf numFmtId="9" fontId="0" fillId="0" borderId="18" xfId="58" applyFont="1" applyBorder="1" applyAlignment="1" applyProtection="1">
      <protection locked="0"/>
    </xf>
    <xf numFmtId="0" fontId="32" fillId="37" borderId="0" xfId="0" applyFont="1" applyFill="1" applyBorder="1" applyAlignment="1" applyProtection="1">
      <alignment horizontal="left" vertical="center" wrapText="1"/>
      <protection locked="0"/>
    </xf>
    <xf numFmtId="0" fontId="0" fillId="42" borderId="17" xfId="0" applyFont="1" applyFill="1" applyBorder="1" applyAlignment="1" applyProtection="1">
      <protection locked="0"/>
    </xf>
    <xf numFmtId="0" fontId="0" fillId="42" borderId="131" xfId="0" applyFont="1" applyFill="1" applyBorder="1" applyAlignment="1" applyProtection="1">
      <protection locked="0"/>
    </xf>
    <xf numFmtId="0" fontId="0" fillId="42" borderId="97" xfId="0" applyFont="1" applyFill="1" applyBorder="1" applyAlignment="1" applyProtection="1">
      <protection locked="0"/>
    </xf>
    <xf numFmtId="0" fontId="0" fillId="0" borderId="43" xfId="0" applyFont="1" applyFill="1" applyBorder="1" applyAlignment="1" applyProtection="1">
      <alignment vertical="center"/>
      <protection locked="0"/>
    </xf>
    <xf numFmtId="0" fontId="0" fillId="0" borderId="133" xfId="0" applyFont="1" applyFill="1" applyBorder="1" applyAlignment="1" applyProtection="1">
      <alignment vertical="center"/>
      <protection locked="0"/>
    </xf>
    <xf numFmtId="2" fontId="0" fillId="0" borderId="14" xfId="0" applyNumberFormat="1" applyFont="1" applyFill="1" applyBorder="1" applyAlignment="1" applyProtection="1">
      <alignment vertical="center"/>
      <protection locked="0"/>
    </xf>
    <xf numFmtId="0" fontId="0" fillId="33" borderId="13" xfId="0" applyFill="1" applyBorder="1" applyProtection="1">
      <protection locked="0"/>
    </xf>
    <xf numFmtId="164" fontId="0" fillId="0" borderId="131" xfId="0" applyNumberFormat="1" applyFont="1" applyFill="1" applyBorder="1" applyAlignment="1" applyProtection="1">
      <alignment vertical="center"/>
      <protection locked="0"/>
    </xf>
    <xf numFmtId="164" fontId="0" fillId="0" borderId="0" xfId="0" applyNumberFormat="1" applyFont="1" applyBorder="1" applyAlignment="1" applyProtection="1">
      <protection locked="0"/>
    </xf>
    <xf numFmtId="2" fontId="0" fillId="0" borderId="131" xfId="0" applyNumberFormat="1" applyFont="1" applyFill="1" applyBorder="1" applyAlignment="1" applyProtection="1">
      <alignment vertical="center"/>
      <protection locked="0"/>
    </xf>
    <xf numFmtId="0" fontId="0" fillId="0" borderId="13" xfId="0" applyBorder="1" applyProtection="1">
      <protection locked="0"/>
    </xf>
    <xf numFmtId="164" fontId="0" fillId="0" borderId="43" xfId="0" applyNumberFormat="1" applyFont="1" applyFill="1" applyBorder="1" applyAlignment="1" applyProtection="1">
      <alignment vertical="center"/>
      <protection locked="0"/>
    </xf>
    <xf numFmtId="164" fontId="0" fillId="0" borderId="11" xfId="0" applyNumberFormat="1" applyFont="1" applyFill="1" applyBorder="1" applyAlignment="1" applyProtection="1">
      <alignment vertical="center"/>
      <protection locked="0"/>
    </xf>
    <xf numFmtId="164" fontId="0" fillId="0" borderId="97" xfId="0" applyNumberFormat="1" applyFont="1" applyFill="1" applyBorder="1" applyAlignment="1" applyProtection="1">
      <alignment vertical="center"/>
      <protection locked="0"/>
    </xf>
    <xf numFmtId="0" fontId="0" fillId="0" borderId="18" xfId="0" applyFont="1" applyFill="1" applyBorder="1" applyAlignment="1" applyProtection="1">
      <alignment vertical="center"/>
      <protection locked="0"/>
    </xf>
    <xf numFmtId="0" fontId="0" fillId="0" borderId="131" xfId="0" applyFont="1" applyFill="1" applyBorder="1" applyAlignment="1" applyProtection="1">
      <protection locked="0"/>
    </xf>
    <xf numFmtId="0" fontId="0" fillId="33" borderId="42" xfId="0" applyFont="1" applyFill="1" applyBorder="1" applyAlignment="1" applyProtection="1">
      <alignment vertical="center"/>
      <protection locked="0"/>
    </xf>
    <xf numFmtId="0" fontId="0" fillId="33" borderId="0" xfId="0" applyFont="1" applyFill="1" applyBorder="1" applyAlignment="1" applyProtection="1">
      <alignment vertical="center"/>
      <protection locked="0"/>
    </xf>
    <xf numFmtId="0" fontId="0" fillId="33" borderId="54" xfId="0" applyFont="1" applyFill="1" applyBorder="1" applyAlignment="1" applyProtection="1">
      <alignment vertical="center"/>
      <protection locked="0"/>
    </xf>
    <xf numFmtId="0" fontId="0" fillId="0" borderId="43" xfId="0" applyFont="1" applyFill="1" applyBorder="1" applyAlignment="1" applyProtection="1">
      <protection locked="0"/>
    </xf>
    <xf numFmtId="0" fontId="0" fillId="0" borderId="133" xfId="0" applyFont="1" applyFill="1" applyBorder="1" applyAlignment="1" applyProtection="1">
      <protection locked="0"/>
    </xf>
    <xf numFmtId="0" fontId="0" fillId="0" borderId="14" xfId="0" applyFont="1" applyFill="1" applyBorder="1" applyAlignment="1" applyProtection="1">
      <protection locked="0"/>
    </xf>
    <xf numFmtId="0" fontId="0" fillId="33" borderId="131" xfId="0" applyFont="1" applyFill="1" applyBorder="1" applyAlignment="1" applyProtection="1">
      <protection locked="0"/>
    </xf>
    <xf numFmtId="9" fontId="0" fillId="0" borderId="131" xfId="58" applyFont="1" applyFill="1" applyBorder="1" applyAlignment="1" applyProtection="1">
      <protection locked="0"/>
    </xf>
    <xf numFmtId="2" fontId="0" fillId="0" borderId="131" xfId="0" applyNumberFormat="1" applyFont="1" applyFill="1" applyBorder="1" applyAlignment="1" applyProtection="1">
      <protection locked="0"/>
    </xf>
    <xf numFmtId="0" fontId="0" fillId="0" borderId="18" xfId="0" applyFont="1" applyFill="1" applyBorder="1" applyAlignment="1" applyProtection="1">
      <protection locked="0"/>
    </xf>
    <xf numFmtId="2" fontId="24" fillId="0" borderId="131" xfId="2004" applyNumberFormat="1" applyFont="1" applyBorder="1" applyProtection="1">
      <protection locked="0"/>
    </xf>
    <xf numFmtId="0" fontId="24" fillId="0" borderId="11" xfId="2004" applyFont="1" applyBorder="1" applyProtection="1">
      <protection locked="0"/>
    </xf>
    <xf numFmtId="164" fontId="0" fillId="0" borderId="97" xfId="0" applyNumberFormat="1" applyFont="1" applyBorder="1" applyAlignment="1" applyProtection="1">
      <protection locked="0"/>
    </xf>
    <xf numFmtId="2" fontId="24" fillId="0" borderId="17" xfId="2004" applyNumberFormat="1" applyFont="1" applyBorder="1" applyProtection="1">
      <protection locked="0"/>
    </xf>
    <xf numFmtId="0" fontId="24" fillId="0" borderId="131" xfId="2004" applyFont="1" applyBorder="1" applyProtection="1">
      <protection locked="0"/>
    </xf>
    <xf numFmtId="0" fontId="0" fillId="0" borderId="11" xfId="0" applyFont="1" applyFill="1" applyBorder="1" applyAlignment="1" applyProtection="1">
      <protection locked="0"/>
    </xf>
    <xf numFmtId="164" fontId="0" fillId="33" borderId="140" xfId="0" applyNumberFormat="1" applyFont="1" applyFill="1" applyBorder="1" applyAlignment="1" applyProtection="1">
      <protection locked="0"/>
    </xf>
    <xf numFmtId="2" fontId="0" fillId="0" borderId="17" xfId="0" applyNumberFormat="1" applyFont="1" applyFill="1" applyBorder="1" applyAlignment="1" applyProtection="1">
      <protection locked="0"/>
    </xf>
    <xf numFmtId="0" fontId="0" fillId="0" borderId="19" xfId="0" applyFont="1" applyFill="1" applyBorder="1" applyAlignment="1" applyProtection="1">
      <protection locked="0"/>
    </xf>
    <xf numFmtId="0" fontId="0" fillId="0" borderId="135" xfId="0" applyFont="1" applyBorder="1" applyAlignment="1" applyProtection="1">
      <protection locked="0"/>
    </xf>
    <xf numFmtId="164" fontId="0" fillId="0" borderId="13" xfId="0" applyNumberFormat="1" applyFont="1" applyFill="1" applyBorder="1" applyAlignment="1" applyProtection="1">
      <alignment vertical="center"/>
      <protection locked="0"/>
    </xf>
    <xf numFmtId="0" fontId="0" fillId="0" borderId="134" xfId="0" applyFont="1" applyFill="1" applyBorder="1" applyAlignment="1" applyProtection="1">
      <alignment vertical="center"/>
      <protection locked="0"/>
    </xf>
    <xf numFmtId="164" fontId="0" fillId="33" borderId="54" xfId="0" applyNumberFormat="1" applyFont="1" applyFill="1" applyBorder="1" applyAlignment="1" applyProtection="1">
      <protection locked="0"/>
    </xf>
    <xf numFmtId="0" fontId="14" fillId="33" borderId="0" xfId="0" applyFont="1" applyFill="1" applyBorder="1" applyAlignment="1" applyProtection="1">
      <protection locked="0"/>
    </xf>
    <xf numFmtId="0" fontId="0" fillId="0" borderId="17" xfId="0" applyFont="1" applyFill="1" applyBorder="1" applyAlignment="1" applyProtection="1">
      <alignment vertical="center"/>
      <protection locked="0"/>
    </xf>
    <xf numFmtId="0" fontId="0" fillId="0" borderId="137" xfId="0" applyFont="1" applyFill="1" applyBorder="1" applyAlignment="1" applyProtection="1">
      <protection locked="0"/>
    </xf>
    <xf numFmtId="0" fontId="0" fillId="0" borderId="135" xfId="0" applyFont="1" applyFill="1" applyBorder="1" applyAlignment="1" applyProtection="1">
      <protection locked="0"/>
    </xf>
    <xf numFmtId="0" fontId="24" fillId="0" borderId="21" xfId="0" applyFont="1" applyFill="1" applyBorder="1" applyAlignment="1" applyProtection="1">
      <protection locked="0"/>
    </xf>
    <xf numFmtId="0" fontId="24" fillId="0" borderId="22" xfId="0" applyFont="1" applyFill="1" applyBorder="1" applyAlignment="1" applyProtection="1">
      <protection locked="0"/>
    </xf>
    <xf numFmtId="0" fontId="24" fillId="0" borderId="17" xfId="0" applyFont="1" applyFill="1" applyBorder="1" applyAlignment="1" applyProtection="1">
      <protection locked="0"/>
    </xf>
    <xf numFmtId="0" fontId="24" fillId="0" borderId="97" xfId="0" applyFont="1" applyFill="1" applyBorder="1" applyAlignment="1" applyProtection="1">
      <protection locked="0"/>
    </xf>
    <xf numFmtId="0" fontId="0" fillId="42" borderId="144" xfId="0" applyFont="1" applyFill="1" applyBorder="1" applyAlignment="1" applyProtection="1">
      <protection locked="0"/>
    </xf>
    <xf numFmtId="0" fontId="0" fillId="42" borderId="148" xfId="0" applyFont="1" applyFill="1" applyBorder="1" applyAlignment="1" applyProtection="1">
      <protection locked="0"/>
    </xf>
    <xf numFmtId="0" fontId="0" fillId="42" borderId="139" xfId="0" applyFont="1" applyFill="1" applyBorder="1" applyAlignment="1" applyProtection="1">
      <protection locked="0"/>
    </xf>
    <xf numFmtId="164" fontId="0" fillId="42" borderId="98" xfId="0" applyNumberFormat="1" applyFont="1" applyFill="1" applyBorder="1" applyAlignment="1" applyProtection="1">
      <protection locked="0"/>
    </xf>
    <xf numFmtId="0" fontId="0" fillId="42" borderId="98" xfId="0" applyFont="1" applyFill="1" applyBorder="1" applyAlignment="1" applyProtection="1">
      <protection locked="0"/>
    </xf>
    <xf numFmtId="0" fontId="0" fillId="42" borderId="31" xfId="0" applyFont="1" applyFill="1" applyBorder="1" applyAlignment="1" applyProtection="1">
      <protection locked="0"/>
    </xf>
    <xf numFmtId="164" fontId="0" fillId="42" borderId="139" xfId="0" applyNumberFormat="1" applyFont="1" applyFill="1" applyBorder="1" applyAlignment="1" applyProtection="1">
      <protection locked="0"/>
    </xf>
    <xf numFmtId="0" fontId="0" fillId="42" borderId="51" xfId="0" applyFont="1" applyFill="1" applyBorder="1" applyAlignment="1" applyProtection="1">
      <protection locked="0"/>
    </xf>
    <xf numFmtId="0" fontId="0" fillId="42" borderId="52" xfId="0" applyFont="1" applyFill="1" applyBorder="1" applyAlignment="1" applyProtection="1">
      <protection locked="0"/>
    </xf>
    <xf numFmtId="0" fontId="0" fillId="0" borderId="28" xfId="0" applyFont="1" applyBorder="1" applyAlignment="1" applyProtection="1">
      <protection locked="0"/>
    </xf>
    <xf numFmtId="0" fontId="0" fillId="0" borderId="136" xfId="0" applyFont="1" applyBorder="1" applyAlignment="1" applyProtection="1">
      <protection locked="0"/>
    </xf>
    <xf numFmtId="0" fontId="0" fillId="0" borderId="136" xfId="0" applyFont="1" applyFill="1" applyBorder="1" applyAlignment="1" applyProtection="1">
      <protection locked="0"/>
    </xf>
    <xf numFmtId="2" fontId="0" fillId="0" borderId="64" xfId="0" applyNumberFormat="1" applyFont="1" applyBorder="1" applyAlignment="1" applyProtection="1">
      <protection locked="0"/>
    </xf>
    <xf numFmtId="2" fontId="0" fillId="33" borderId="35" xfId="0" applyNumberFormat="1" applyFont="1" applyFill="1" applyBorder="1" applyAlignment="1" applyProtection="1">
      <protection locked="0"/>
    </xf>
    <xf numFmtId="164" fontId="0" fillId="0" borderId="35" xfId="0" applyNumberFormat="1" applyFont="1" applyBorder="1" applyAlignment="1" applyProtection="1">
      <protection locked="0"/>
    </xf>
    <xf numFmtId="164" fontId="0" fillId="0" borderId="62" xfId="0" applyNumberFormat="1" applyFont="1" applyBorder="1" applyAlignment="1" applyProtection="1">
      <protection locked="0"/>
    </xf>
    <xf numFmtId="164" fontId="0" fillId="0" borderId="26" xfId="0" applyNumberFormat="1" applyFont="1" applyBorder="1" applyAlignment="1" applyProtection="1">
      <protection locked="0"/>
    </xf>
    <xf numFmtId="0" fontId="24" fillId="0" borderId="25" xfId="0" applyFont="1" applyFill="1" applyBorder="1" applyAlignment="1" applyProtection="1">
      <protection locked="0"/>
    </xf>
    <xf numFmtId="0" fontId="0" fillId="0" borderId="35" xfId="0" applyFont="1" applyFill="1" applyBorder="1" applyAlignment="1" applyProtection="1">
      <protection locked="0"/>
    </xf>
    <xf numFmtId="165" fontId="0" fillId="0" borderId="35" xfId="0" applyNumberFormat="1" applyFont="1" applyFill="1" applyBorder="1" applyAlignment="1" applyProtection="1">
      <protection locked="0"/>
    </xf>
    <xf numFmtId="164" fontId="0" fillId="0" borderId="35" xfId="0" applyNumberFormat="1" applyFont="1" applyFill="1" applyBorder="1" applyAlignment="1" applyProtection="1">
      <protection locked="0"/>
    </xf>
    <xf numFmtId="164" fontId="0" fillId="0" borderId="62" xfId="0" applyNumberFormat="1" applyFont="1" applyFill="1" applyBorder="1" applyAlignment="1" applyProtection="1">
      <protection locked="0"/>
    </xf>
    <xf numFmtId="164" fontId="0" fillId="0" borderId="26" xfId="0" applyNumberFormat="1" applyFont="1" applyFill="1" applyBorder="1" applyAlignment="1" applyProtection="1">
      <protection locked="0"/>
    </xf>
    <xf numFmtId="0" fontId="0" fillId="0" borderId="25" xfId="0" applyFont="1" applyFill="1" applyBorder="1" applyAlignment="1" applyProtection="1">
      <protection locked="0"/>
    </xf>
    <xf numFmtId="0" fontId="0" fillId="0" borderId="26" xfId="0" applyFont="1" applyFill="1" applyBorder="1" applyAlignment="1" applyProtection="1">
      <protection locked="0"/>
    </xf>
    <xf numFmtId="0" fontId="0" fillId="0" borderId="25" xfId="0" applyFont="1" applyBorder="1" applyAlignment="1" applyProtection="1">
      <protection locked="0"/>
    </xf>
    <xf numFmtId="0" fontId="0" fillId="0" borderId="35" xfId="0" applyFont="1" applyBorder="1" applyAlignment="1" applyProtection="1">
      <protection locked="0"/>
    </xf>
    <xf numFmtId="2" fontId="0" fillId="33" borderId="131" xfId="0" applyNumberFormat="1" applyFont="1" applyFill="1" applyBorder="1" applyAlignment="1" applyProtection="1">
      <protection locked="0"/>
    </xf>
    <xf numFmtId="164" fontId="0" fillId="0" borderId="11" xfId="0" applyNumberFormat="1" applyFont="1" applyBorder="1" applyAlignment="1" applyProtection="1">
      <protection locked="0"/>
    </xf>
    <xf numFmtId="164" fontId="0" fillId="33" borderId="141" xfId="0" applyNumberFormat="1" applyFont="1" applyFill="1" applyBorder="1" applyAlignment="1" applyProtection="1">
      <protection locked="0"/>
    </xf>
    <xf numFmtId="0" fontId="0" fillId="0" borderId="40" xfId="0" applyFont="1" applyBorder="1" applyAlignment="1" applyProtection="1">
      <protection locked="0"/>
    </xf>
    <xf numFmtId="2" fontId="0" fillId="0" borderId="39" xfId="0" applyNumberFormat="1" applyFont="1" applyBorder="1" applyAlignment="1" applyProtection="1">
      <protection locked="0"/>
    </xf>
    <xf numFmtId="164" fontId="0" fillId="0" borderId="16" xfId="0" applyNumberFormat="1" applyFont="1" applyFill="1" applyBorder="1" applyAlignment="1" applyProtection="1">
      <protection locked="0"/>
    </xf>
    <xf numFmtId="0" fontId="0" fillId="0" borderId="21" xfId="0" applyFont="1" applyFill="1" applyBorder="1" applyAlignment="1" applyProtection="1">
      <protection locked="0"/>
    </xf>
    <xf numFmtId="0" fontId="0" fillId="0" borderId="13" xfId="0" applyFont="1" applyFill="1" applyBorder="1" applyAlignment="1" applyProtection="1">
      <protection locked="0"/>
    </xf>
    <xf numFmtId="164" fontId="0" fillId="0" borderId="22" xfId="0" applyNumberFormat="1" applyFont="1" applyFill="1" applyBorder="1" applyAlignment="1" applyProtection="1">
      <alignment horizontal="right"/>
      <protection locked="0"/>
    </xf>
    <xf numFmtId="0" fontId="0" fillId="33" borderId="44" xfId="0" applyFont="1" applyFill="1" applyBorder="1" applyAlignment="1" applyProtection="1">
      <protection locked="0"/>
    </xf>
    <xf numFmtId="164" fontId="0" fillId="33" borderId="44" xfId="0" applyNumberFormat="1" applyFont="1" applyFill="1" applyBorder="1" applyAlignment="1" applyProtection="1">
      <protection locked="0"/>
    </xf>
    <xf numFmtId="0" fontId="24" fillId="0" borderId="134" xfId="0" applyFont="1" applyFill="1" applyBorder="1" applyAlignment="1" applyProtection="1">
      <protection locked="0"/>
    </xf>
    <xf numFmtId="2" fontId="0" fillId="0" borderId="39" xfId="0" applyNumberFormat="1" applyFont="1" applyFill="1" applyBorder="1" applyAlignment="1" applyProtection="1">
      <protection locked="0"/>
    </xf>
    <xf numFmtId="0" fontId="0" fillId="33" borderId="13" xfId="0" applyFont="1" applyFill="1" applyBorder="1" applyAlignment="1" applyProtection="1">
      <protection locked="0"/>
    </xf>
    <xf numFmtId="0" fontId="0" fillId="0" borderId="13" xfId="0" applyFont="1" applyFill="1" applyBorder="1" applyAlignment="1" applyProtection="1">
      <alignment horizontal="right"/>
      <protection locked="0"/>
    </xf>
    <xf numFmtId="170" fontId="0" fillId="33" borderId="0" xfId="0" applyNumberFormat="1" applyFont="1" applyFill="1" applyBorder="1" applyAlignment="1" applyProtection="1">
      <protection locked="0"/>
    </xf>
    <xf numFmtId="170" fontId="0" fillId="0" borderId="131" xfId="0" applyNumberFormat="1" applyFont="1" applyBorder="1" applyAlignment="1" applyProtection="1">
      <protection locked="0"/>
    </xf>
    <xf numFmtId="170" fontId="0" fillId="0" borderId="97" xfId="0" applyNumberFormat="1" applyFont="1" applyBorder="1" applyAlignment="1" applyProtection="1">
      <protection locked="0"/>
    </xf>
    <xf numFmtId="2" fontId="0" fillId="0" borderId="43" xfId="0" applyNumberFormat="1" applyFont="1" applyFill="1" applyBorder="1" applyAlignment="1" applyProtection="1">
      <alignment vertical="center"/>
      <protection locked="0"/>
    </xf>
    <xf numFmtId="2" fontId="0" fillId="0" borderId="14" xfId="0" applyNumberFormat="1" applyFont="1" applyFill="1" applyBorder="1" applyAlignment="1" applyProtection="1">
      <protection locked="0"/>
    </xf>
    <xf numFmtId="2" fontId="0" fillId="0" borderId="131" xfId="0" applyNumberFormat="1" applyFont="1" applyBorder="1" applyAlignment="1" applyProtection="1">
      <protection locked="0"/>
    </xf>
    <xf numFmtId="0" fontId="0" fillId="33" borderId="42" xfId="0" applyFont="1" applyFill="1" applyBorder="1" applyAlignment="1" applyProtection="1">
      <alignment horizontal="left" vertical="center"/>
      <protection locked="0"/>
    </xf>
    <xf numFmtId="0" fontId="0" fillId="33" borderId="0" xfId="0" applyFont="1" applyFill="1" applyBorder="1" applyAlignment="1" applyProtection="1">
      <alignment horizontal="left" vertical="center"/>
      <protection locked="0"/>
    </xf>
    <xf numFmtId="0" fontId="0" fillId="33" borderId="54" xfId="0" applyFont="1" applyFill="1" applyBorder="1" applyAlignment="1" applyProtection="1">
      <alignment horizontal="left" vertical="center"/>
      <protection locked="0"/>
    </xf>
    <xf numFmtId="170" fontId="0" fillId="0" borderId="97" xfId="0" applyNumberFormat="1" applyFont="1" applyFill="1" applyBorder="1" applyAlignment="1" applyProtection="1">
      <protection locked="0"/>
    </xf>
    <xf numFmtId="0" fontId="0" fillId="0" borderId="97" xfId="0" applyNumberFormat="1" applyFont="1" applyFill="1" applyBorder="1" applyAlignment="1" applyProtection="1">
      <alignment horizontal="right" vertical="center"/>
      <protection locked="0"/>
    </xf>
    <xf numFmtId="164" fontId="0" fillId="0" borderId="131" xfId="0" applyNumberFormat="1" applyFont="1" applyBorder="1" applyAlignment="1" applyProtection="1">
      <alignment horizontal="right" vertical="center"/>
      <protection locked="0"/>
    </xf>
    <xf numFmtId="164" fontId="24" fillId="0" borderId="43" xfId="0" applyNumberFormat="1" applyFont="1" applyBorder="1" applyAlignment="1" applyProtection="1">
      <protection locked="0"/>
    </xf>
    <xf numFmtId="164" fontId="0" fillId="0" borderId="43" xfId="0" applyNumberFormat="1" applyFont="1" applyBorder="1" applyAlignment="1" applyProtection="1">
      <protection locked="0"/>
    </xf>
    <xf numFmtId="2" fontId="0" fillId="0" borderId="131" xfId="0" applyNumberFormat="1" applyFont="1" applyFill="1" applyBorder="1" applyAlignment="1" applyProtection="1">
      <alignment horizontal="right"/>
      <protection locked="0"/>
    </xf>
    <xf numFmtId="164" fontId="0" fillId="0" borderId="131" xfId="0" applyNumberFormat="1" applyFont="1" applyFill="1" applyBorder="1" applyAlignment="1" applyProtection="1">
      <alignment horizontal="right"/>
      <protection locked="0"/>
    </xf>
    <xf numFmtId="164" fontId="0" fillId="0" borderId="97" xfId="0" applyNumberFormat="1" applyFont="1" applyFill="1" applyBorder="1" applyAlignment="1" applyProtection="1">
      <alignment horizontal="right"/>
      <protection locked="0"/>
    </xf>
    <xf numFmtId="0" fontId="0" fillId="33" borderId="137" xfId="0" applyFont="1" applyFill="1" applyBorder="1" applyAlignment="1" applyProtection="1">
      <protection locked="0"/>
    </xf>
    <xf numFmtId="2" fontId="0" fillId="33" borderId="13" xfId="0" applyNumberFormat="1" applyFill="1" applyBorder="1" applyProtection="1">
      <protection locked="0"/>
    </xf>
    <xf numFmtId="164" fontId="0" fillId="0" borderId="23" xfId="0" applyNumberFormat="1" applyFont="1" applyFill="1" applyBorder="1" applyAlignment="1" applyProtection="1">
      <alignment vertical="center"/>
      <protection locked="0"/>
    </xf>
    <xf numFmtId="2" fontId="0" fillId="33" borderId="44" xfId="0" applyNumberFormat="1" applyFont="1" applyFill="1" applyBorder="1" applyAlignment="1" applyProtection="1">
      <protection locked="0"/>
    </xf>
    <xf numFmtId="164" fontId="0" fillId="33" borderId="141" xfId="0" applyNumberFormat="1" applyFont="1" applyFill="1" applyBorder="1" applyAlignment="1" applyProtection="1">
      <alignment vertical="center"/>
      <protection locked="0"/>
    </xf>
    <xf numFmtId="164" fontId="0" fillId="33" borderId="140" xfId="0" applyNumberFormat="1" applyFont="1" applyFill="1" applyBorder="1" applyAlignment="1" applyProtection="1">
      <alignment vertical="center"/>
      <protection locked="0"/>
    </xf>
    <xf numFmtId="2" fontId="0" fillId="33" borderId="0" xfId="0" applyNumberFormat="1" applyFont="1" applyFill="1" applyBorder="1" applyAlignment="1" applyProtection="1">
      <protection locked="0"/>
    </xf>
    <xf numFmtId="164" fontId="0" fillId="0" borderId="43" xfId="0" applyNumberFormat="1" applyFont="1" applyFill="1" applyBorder="1" applyAlignment="1" applyProtection="1">
      <protection locked="0"/>
    </xf>
    <xf numFmtId="0" fontId="0" fillId="0" borderId="24" xfId="0" applyBorder="1" applyAlignment="1" applyProtection="1">
      <alignment vertical="center"/>
      <protection locked="0"/>
    </xf>
    <xf numFmtId="0" fontId="0" fillId="0" borderId="133" xfId="0" applyFont="1" applyBorder="1" applyAlignment="1" applyProtection="1">
      <alignment vertical="center"/>
      <protection locked="0"/>
    </xf>
    <xf numFmtId="0" fontId="0" fillId="0" borderId="58" xfId="0" applyFont="1" applyBorder="1" applyAlignment="1" applyProtection="1">
      <alignment vertical="center"/>
      <protection locked="0"/>
    </xf>
    <xf numFmtId="0" fontId="0" fillId="0" borderId="58" xfId="0" applyFont="1" applyFill="1" applyBorder="1" applyAlignment="1" applyProtection="1">
      <protection locked="0"/>
    </xf>
    <xf numFmtId="0" fontId="29" fillId="33" borderId="42" xfId="2004" applyFill="1" applyBorder="1" applyProtection="1">
      <protection locked="0"/>
    </xf>
    <xf numFmtId="0" fontId="29" fillId="33" borderId="0" xfId="2004" applyFill="1" applyBorder="1" applyProtection="1">
      <protection locked="0"/>
    </xf>
    <xf numFmtId="164" fontId="0" fillId="0" borderId="131" xfId="0" applyNumberFormat="1" applyFont="1" applyFill="1" applyBorder="1" applyAlignment="1" applyProtection="1">
      <alignment horizontal="right" vertical="center"/>
      <protection locked="0"/>
    </xf>
    <xf numFmtId="0" fontId="0" fillId="0" borderId="23" xfId="0" applyFont="1" applyFill="1" applyBorder="1" applyAlignment="1" applyProtection="1">
      <protection locked="0"/>
    </xf>
    <xf numFmtId="2" fontId="0" fillId="0" borderId="23" xfId="0" applyNumberFormat="1" applyFont="1" applyFill="1" applyBorder="1" applyAlignment="1" applyProtection="1">
      <alignment horizontal="right"/>
      <protection locked="0"/>
    </xf>
    <xf numFmtId="164" fontId="0" fillId="0" borderId="23" xfId="0" applyNumberFormat="1" applyFont="1" applyFill="1" applyBorder="1" applyAlignment="1" applyProtection="1">
      <protection locked="0"/>
    </xf>
    <xf numFmtId="164" fontId="0" fillId="0" borderId="15" xfId="0" applyNumberFormat="1" applyFont="1" applyFill="1" applyBorder="1" applyAlignment="1" applyProtection="1">
      <protection locked="0"/>
    </xf>
    <xf numFmtId="164" fontId="0" fillId="0" borderId="135" xfId="0" applyNumberFormat="1" applyFont="1" applyFill="1" applyBorder="1" applyAlignment="1" applyProtection="1">
      <protection locked="0"/>
    </xf>
    <xf numFmtId="0" fontId="14" fillId="33" borderId="141" xfId="0" applyFont="1" applyFill="1" applyBorder="1" applyAlignment="1" applyProtection="1">
      <protection locked="0"/>
    </xf>
    <xf numFmtId="0" fontId="0" fillId="0" borderId="58" xfId="0" applyFont="1" applyBorder="1" applyAlignment="1" applyProtection="1">
      <protection locked="0"/>
    </xf>
    <xf numFmtId="2" fontId="18" fillId="0" borderId="64" xfId="0" applyNumberFormat="1" applyFont="1" applyFill="1" applyBorder="1" applyAlignment="1" applyProtection="1">
      <alignment wrapText="1"/>
      <protection locked="0"/>
    </xf>
    <xf numFmtId="0" fontId="0" fillId="0" borderId="35" xfId="0" applyBorder="1" applyAlignment="1" applyProtection="1">
      <alignment vertical="center"/>
      <protection locked="0"/>
    </xf>
    <xf numFmtId="164" fontId="0" fillId="0" borderId="35" xfId="0" applyNumberFormat="1" applyFont="1" applyBorder="1" applyAlignment="1" applyProtection="1">
      <alignment vertical="center"/>
      <protection locked="0"/>
    </xf>
    <xf numFmtId="164" fontId="0" fillId="0" borderId="35" xfId="0" applyNumberFormat="1" applyFont="1" applyBorder="1" applyAlignment="1" applyProtection="1">
      <alignment horizontal="right" vertical="center"/>
      <protection locked="0"/>
    </xf>
    <xf numFmtId="9" fontId="0" fillId="0" borderId="35" xfId="58" applyFont="1" applyBorder="1" applyAlignment="1" applyProtection="1">
      <alignment vertical="center"/>
      <protection locked="0"/>
    </xf>
    <xf numFmtId="0" fontId="18" fillId="0" borderId="17" xfId="0" applyNumberFormat="1" applyFont="1" applyFill="1" applyBorder="1" applyAlignment="1" applyProtection="1">
      <alignment wrapText="1"/>
      <protection locked="0"/>
    </xf>
    <xf numFmtId="0" fontId="0" fillId="0" borderId="26" xfId="0" applyFont="1" applyBorder="1" applyAlignment="1" applyProtection="1">
      <protection locked="0"/>
    </xf>
    <xf numFmtId="0" fontId="18" fillId="33" borderId="0" xfId="0" applyNumberFormat="1" applyFont="1" applyFill="1" applyBorder="1" applyAlignment="1" applyProtection="1">
      <alignment wrapText="1"/>
      <protection locked="0"/>
    </xf>
    <xf numFmtId="0" fontId="0" fillId="33" borderId="0" xfId="0" applyFill="1" applyBorder="1" applyAlignment="1" applyProtection="1">
      <alignment vertical="center"/>
      <protection locked="0"/>
    </xf>
    <xf numFmtId="164" fontId="0" fillId="33" borderId="0" xfId="0" applyNumberFormat="1" applyFont="1" applyFill="1" applyBorder="1" applyAlignment="1" applyProtection="1">
      <alignment vertical="center"/>
      <protection locked="0"/>
    </xf>
    <xf numFmtId="164" fontId="0" fillId="33" borderId="0" xfId="0" applyNumberFormat="1" applyFont="1" applyFill="1" applyBorder="1" applyAlignment="1" applyProtection="1">
      <alignment horizontal="right" vertical="center"/>
      <protection locked="0"/>
    </xf>
    <xf numFmtId="9" fontId="0" fillId="33" borderId="0" xfId="58" applyFont="1" applyFill="1" applyBorder="1" applyAlignment="1" applyProtection="1">
      <alignment vertical="center"/>
      <protection locked="0"/>
    </xf>
    <xf numFmtId="2" fontId="0" fillId="0" borderId="25" xfId="0" applyNumberFormat="1" applyBorder="1" applyAlignment="1" applyProtection="1">
      <protection locked="0"/>
    </xf>
    <xf numFmtId="0" fontId="0" fillId="33" borderId="42" xfId="0" applyFill="1" applyBorder="1" applyAlignment="1" applyProtection="1">
      <protection locked="0"/>
    </xf>
    <xf numFmtId="0" fontId="0" fillId="33" borderId="0" xfId="0" applyFill="1" applyBorder="1" applyAlignment="1" applyProtection="1">
      <protection locked="0"/>
    </xf>
    <xf numFmtId="0" fontId="0" fillId="0" borderId="25" xfId="0" applyBorder="1" applyAlignment="1" applyProtection="1">
      <protection locked="0"/>
    </xf>
    <xf numFmtId="0" fontId="0" fillId="0" borderId="17" xfId="0" applyBorder="1" applyAlignment="1" applyProtection="1">
      <protection locked="0"/>
    </xf>
    <xf numFmtId="0" fontId="0" fillId="0" borderId="17" xfId="0" applyFill="1" applyBorder="1" applyAlignment="1" applyProtection="1">
      <protection locked="0"/>
    </xf>
    <xf numFmtId="0" fontId="0" fillId="33" borderId="123" xfId="0" applyFill="1" applyBorder="1" applyAlignment="1" applyProtection="1">
      <protection locked="0"/>
    </xf>
    <xf numFmtId="164" fontId="0" fillId="33" borderId="0" xfId="0" applyNumberFormat="1" applyFill="1" applyBorder="1" applyAlignment="1" applyProtection="1">
      <protection locked="0"/>
    </xf>
    <xf numFmtId="0" fontId="0" fillId="33" borderId="54" xfId="0" applyFill="1" applyBorder="1" applyAlignment="1" applyProtection="1">
      <protection locked="0"/>
    </xf>
    <xf numFmtId="2" fontId="0" fillId="0" borderId="61" xfId="0" applyNumberFormat="1" applyFont="1" applyBorder="1" applyAlignment="1" applyProtection="1">
      <protection locked="0"/>
    </xf>
    <xf numFmtId="164" fontId="0" fillId="0" borderId="24" xfId="0" applyNumberFormat="1" applyFont="1" applyBorder="1" applyAlignment="1" applyProtection="1">
      <alignment vertical="center"/>
      <protection locked="0"/>
    </xf>
    <xf numFmtId="164" fontId="0" fillId="0" borderId="23" xfId="0" applyNumberFormat="1" applyFont="1" applyBorder="1" applyAlignment="1" applyProtection="1">
      <alignment horizontal="right" vertical="center"/>
      <protection locked="0"/>
    </xf>
    <xf numFmtId="164" fontId="0" fillId="0" borderId="24" xfId="0" applyNumberFormat="1" applyFont="1" applyFill="1" applyBorder="1" applyAlignment="1" applyProtection="1">
      <protection locked="0"/>
    </xf>
    <xf numFmtId="164" fontId="0" fillId="0" borderId="12" xfId="0" applyNumberFormat="1" applyFont="1" applyFill="1" applyBorder="1" applyAlignment="1" applyProtection="1">
      <protection locked="0"/>
    </xf>
    <xf numFmtId="9" fontId="0" fillId="0" borderId="24" xfId="58" applyFont="1" applyBorder="1" applyAlignment="1" applyProtection="1">
      <alignment vertical="center"/>
      <protection locked="0"/>
    </xf>
    <xf numFmtId="164" fontId="0" fillId="0" borderId="149" xfId="0" applyNumberFormat="1" applyFont="1" applyFill="1" applyBorder="1" applyAlignment="1" applyProtection="1">
      <protection locked="0"/>
    </xf>
    <xf numFmtId="0" fontId="0" fillId="65" borderId="41" xfId="0" applyFont="1" applyFill="1" applyBorder="1" applyAlignment="1" applyProtection="1">
      <protection locked="0"/>
    </xf>
    <xf numFmtId="0" fontId="0" fillId="65" borderId="137" xfId="0" applyFont="1" applyFill="1" applyBorder="1" applyAlignment="1" applyProtection="1">
      <protection locked="0"/>
    </xf>
    <xf numFmtId="0" fontId="0" fillId="65" borderId="141" xfId="0" applyFill="1" applyBorder="1" applyAlignment="1" applyProtection="1">
      <alignment vertical="center"/>
      <protection locked="0"/>
    </xf>
    <xf numFmtId="164" fontId="0" fillId="65" borderId="141" xfId="0" applyNumberFormat="1" applyFont="1" applyFill="1" applyBorder="1" applyAlignment="1" applyProtection="1">
      <alignment vertical="center"/>
      <protection locked="0"/>
    </xf>
    <xf numFmtId="164" fontId="0" fillId="65" borderId="141" xfId="0" applyNumberFormat="1" applyFont="1" applyFill="1" applyBorder="1" applyAlignment="1" applyProtection="1">
      <alignment horizontal="right" vertical="center"/>
      <protection locked="0"/>
    </xf>
    <xf numFmtId="164" fontId="0" fillId="65" borderId="141" xfId="0" applyNumberFormat="1" applyFont="1" applyFill="1" applyBorder="1" applyAlignment="1" applyProtection="1">
      <protection locked="0"/>
    </xf>
    <xf numFmtId="9" fontId="0" fillId="65" borderId="141" xfId="58" applyFont="1" applyFill="1" applyBorder="1" applyAlignment="1" applyProtection="1">
      <alignment vertical="center"/>
      <protection locked="0"/>
    </xf>
    <xf numFmtId="164" fontId="0" fillId="65" borderId="140" xfId="0" applyNumberFormat="1" applyFont="1" applyFill="1" applyBorder="1" applyAlignment="1" applyProtection="1">
      <protection locked="0"/>
    </xf>
    <xf numFmtId="0" fontId="14" fillId="0" borderId="131" xfId="0" applyFont="1" applyFill="1" applyBorder="1" applyAlignment="1" applyProtection="1">
      <protection locked="0"/>
    </xf>
    <xf numFmtId="0" fontId="0" fillId="65" borderId="42" xfId="0" applyFont="1" applyFill="1" applyBorder="1" applyAlignment="1" applyProtection="1">
      <protection locked="0"/>
    </xf>
    <xf numFmtId="0" fontId="0" fillId="65" borderId="123" xfId="0" applyFont="1" applyFill="1" applyBorder="1" applyAlignment="1" applyProtection="1">
      <protection locked="0"/>
    </xf>
    <xf numFmtId="0" fontId="0" fillId="65" borderId="0" xfId="0" applyFill="1" applyBorder="1" applyAlignment="1" applyProtection="1">
      <alignment vertical="center"/>
      <protection locked="0"/>
    </xf>
    <xf numFmtId="164" fontId="0" fillId="65" borderId="0" xfId="0" applyNumberFormat="1" applyFont="1" applyFill="1" applyBorder="1" applyAlignment="1" applyProtection="1">
      <alignment vertical="center"/>
      <protection locked="0"/>
    </xf>
    <xf numFmtId="164" fontId="0" fillId="65" borderId="0" xfId="0" applyNumberFormat="1" applyFont="1" applyFill="1" applyBorder="1" applyAlignment="1" applyProtection="1">
      <alignment horizontal="right" vertical="center"/>
      <protection locked="0"/>
    </xf>
    <xf numFmtId="164" fontId="0" fillId="65" borderId="0" xfId="0" applyNumberFormat="1" applyFont="1" applyFill="1" applyBorder="1" applyAlignment="1" applyProtection="1">
      <protection locked="0"/>
    </xf>
    <xf numFmtId="9" fontId="0" fillId="65" borderId="0" xfId="58" applyFont="1" applyFill="1" applyBorder="1" applyAlignment="1" applyProtection="1">
      <alignment vertical="center"/>
      <protection locked="0"/>
    </xf>
    <xf numFmtId="164" fontId="0" fillId="65" borderId="54" xfId="0" applyNumberFormat="1" applyFont="1" applyFill="1" applyBorder="1" applyAlignment="1" applyProtection="1">
      <protection locked="0"/>
    </xf>
    <xf numFmtId="0" fontId="0" fillId="0" borderId="147" xfId="0" applyFont="1" applyBorder="1" applyAlignment="1" applyProtection="1">
      <protection locked="0"/>
    </xf>
    <xf numFmtId="164" fontId="0" fillId="0" borderId="39" xfId="0" applyNumberFormat="1" applyFont="1" applyBorder="1" applyAlignment="1" applyProtection="1">
      <protection locked="0"/>
    </xf>
    <xf numFmtId="164" fontId="0" fillId="0" borderId="58" xfId="0" applyNumberFormat="1" applyFont="1" applyBorder="1" applyAlignment="1" applyProtection="1">
      <protection locked="0"/>
    </xf>
    <xf numFmtId="0" fontId="0" fillId="0" borderId="22" xfId="0" applyFont="1" applyFill="1" applyBorder="1" applyAlignment="1" applyProtection="1">
      <protection locked="0"/>
    </xf>
    <xf numFmtId="2" fontId="0" fillId="0" borderId="25" xfId="0" applyNumberFormat="1" applyFont="1" applyBorder="1" applyAlignment="1" applyProtection="1">
      <protection locked="0"/>
    </xf>
    <xf numFmtId="0" fontId="0" fillId="0" borderId="35" xfId="0" applyFont="1" applyBorder="1" applyAlignment="1" applyProtection="1">
      <alignment vertical="center"/>
      <protection locked="0"/>
    </xf>
    <xf numFmtId="2" fontId="0" fillId="0" borderId="17" xfId="0" applyNumberFormat="1" applyFont="1" applyBorder="1" applyAlignment="1" applyProtection="1">
      <protection locked="0"/>
    </xf>
    <xf numFmtId="164" fontId="0" fillId="0" borderId="131" xfId="0" applyNumberFormat="1" applyFont="1" applyBorder="1" applyAlignment="1" applyProtection="1">
      <alignment vertical="center"/>
      <protection locked="0"/>
    </xf>
    <xf numFmtId="164" fontId="0" fillId="0" borderId="14" xfId="0" applyNumberFormat="1" applyFont="1" applyFill="1" applyBorder="1" applyAlignment="1" applyProtection="1">
      <protection locked="0"/>
    </xf>
    <xf numFmtId="167" fontId="0" fillId="0" borderId="39" xfId="0" applyNumberFormat="1" applyFont="1" applyBorder="1" applyAlignment="1" applyProtection="1">
      <protection locked="0"/>
    </xf>
    <xf numFmtId="0" fontId="0" fillId="0" borderId="13" xfId="0" applyFont="1" applyBorder="1" applyAlignment="1" applyProtection="1">
      <alignment horizontal="center"/>
      <protection locked="0"/>
    </xf>
    <xf numFmtId="164" fontId="0" fillId="0" borderId="24" xfId="0" applyNumberFormat="1" applyFont="1" applyBorder="1" applyAlignment="1" applyProtection="1">
      <protection locked="0"/>
    </xf>
    <xf numFmtId="167" fontId="0" fillId="33" borderId="0" xfId="0" applyNumberFormat="1" applyFont="1" applyFill="1" applyBorder="1" applyAlignment="1" applyProtection="1">
      <protection locked="0"/>
    </xf>
    <xf numFmtId="167" fontId="0" fillId="42" borderId="0" xfId="0" applyNumberFormat="1" applyFont="1" applyFill="1" applyBorder="1" applyAlignment="1" applyProtection="1">
      <protection locked="0"/>
    </xf>
    <xf numFmtId="164" fontId="0" fillId="0" borderId="16" xfId="0" applyNumberFormat="1" applyFont="1" applyFill="1" applyBorder="1" applyAlignment="1" applyProtection="1">
      <alignment horizontal="right"/>
      <protection locked="0"/>
    </xf>
    <xf numFmtId="2" fontId="14" fillId="0" borderId="14" xfId="0" applyNumberFormat="1" applyFont="1" applyBorder="1" applyAlignment="1" applyProtection="1">
      <protection locked="0"/>
    </xf>
    <xf numFmtId="0" fontId="0" fillId="0" borderId="42" xfId="0" applyFont="1" applyBorder="1" applyAlignment="1" applyProtection="1">
      <protection locked="0"/>
    </xf>
    <xf numFmtId="0" fontId="0" fillId="0" borderId="54" xfId="0" applyFont="1" applyBorder="1" applyAlignment="1" applyProtection="1">
      <protection locked="0"/>
    </xf>
    <xf numFmtId="167" fontId="0" fillId="0" borderId="14" xfId="0" applyNumberFormat="1" applyFont="1" applyBorder="1" applyAlignment="1" applyProtection="1">
      <protection locked="0"/>
    </xf>
    <xf numFmtId="0" fontId="0" fillId="42" borderId="145" xfId="0" applyFont="1" applyFill="1" applyBorder="1" applyAlignment="1" applyProtection="1">
      <protection locked="0"/>
    </xf>
    <xf numFmtId="167" fontId="0" fillId="42" borderId="144" xfId="0" applyNumberFormat="1" applyFont="1" applyFill="1" applyBorder="1" applyAlignment="1" applyProtection="1">
      <protection locked="0"/>
    </xf>
    <xf numFmtId="167" fontId="0" fillId="0" borderId="64" xfId="0" applyNumberFormat="1" applyFont="1" applyBorder="1" applyAlignment="1" applyProtection="1">
      <protection locked="0"/>
    </xf>
    <xf numFmtId="0" fontId="0" fillId="33" borderId="35" xfId="0" applyFont="1" applyFill="1" applyBorder="1" applyAlignment="1" applyProtection="1">
      <protection locked="0"/>
    </xf>
    <xf numFmtId="169" fontId="0" fillId="0" borderId="14" xfId="0" applyNumberFormat="1" applyFont="1" applyBorder="1" applyAlignment="1" applyProtection="1">
      <protection locked="0"/>
    </xf>
    <xf numFmtId="169" fontId="0" fillId="0" borderId="17" xfId="0" applyNumberFormat="1" applyBorder="1" applyProtection="1">
      <protection locked="0"/>
    </xf>
    <xf numFmtId="6" fontId="0" fillId="0" borderId="131" xfId="0" applyNumberFormat="1" applyBorder="1" applyProtection="1">
      <protection locked="0"/>
    </xf>
    <xf numFmtId="2" fontId="0" fillId="0" borderId="131" xfId="0" applyNumberFormat="1" applyBorder="1" applyProtection="1">
      <protection locked="0"/>
    </xf>
    <xf numFmtId="167" fontId="0" fillId="0" borderId="131" xfId="0" applyNumberFormat="1" applyBorder="1" applyProtection="1">
      <protection locked="0"/>
    </xf>
    <xf numFmtId="167" fontId="0" fillId="0" borderId="131" xfId="0" applyNumberFormat="1" applyFont="1" applyBorder="1" applyAlignment="1" applyProtection="1">
      <protection locked="0"/>
    </xf>
    <xf numFmtId="167" fontId="0" fillId="0" borderId="97" xfId="0" applyNumberFormat="1" applyBorder="1" applyProtection="1">
      <protection locked="0"/>
    </xf>
    <xf numFmtId="0" fontId="14" fillId="33" borderId="19" xfId="0" applyFont="1" applyFill="1" applyBorder="1" applyAlignment="1" applyProtection="1">
      <protection locked="0"/>
    </xf>
    <xf numFmtId="167" fontId="0" fillId="0" borderId="131" xfId="0" applyNumberFormat="1" applyBorder="1" applyAlignment="1" applyProtection="1">
      <alignment wrapText="1"/>
      <protection locked="0"/>
    </xf>
    <xf numFmtId="167" fontId="0" fillId="0" borderId="97" xfId="0" applyNumberFormat="1" applyBorder="1" applyAlignment="1" applyProtection="1">
      <alignment wrapText="1"/>
      <protection locked="0"/>
    </xf>
    <xf numFmtId="169" fontId="0" fillId="33" borderId="42" xfId="0" applyNumberFormat="1" applyFont="1" applyFill="1" applyBorder="1" applyAlignment="1" applyProtection="1">
      <protection locked="0"/>
    </xf>
    <xf numFmtId="169" fontId="0" fillId="33" borderId="141" xfId="0" applyNumberFormat="1" applyFont="1" applyFill="1" applyBorder="1" applyAlignment="1" applyProtection="1">
      <protection locked="0"/>
    </xf>
    <xf numFmtId="0" fontId="0" fillId="0" borderId="137" xfId="0" applyFont="1" applyBorder="1" applyAlignment="1" applyProtection="1">
      <protection locked="0"/>
    </xf>
    <xf numFmtId="169" fontId="0" fillId="0" borderId="19" xfId="0" applyNumberFormat="1" applyBorder="1" applyProtection="1">
      <protection locked="0"/>
    </xf>
    <xf numFmtId="6" fontId="0" fillId="0" borderId="23" xfId="0" applyNumberFormat="1" applyBorder="1" applyProtection="1">
      <protection locked="0"/>
    </xf>
    <xf numFmtId="0" fontId="0" fillId="0" borderId="23" xfId="0" applyBorder="1" applyProtection="1">
      <protection locked="0"/>
    </xf>
    <xf numFmtId="167" fontId="0" fillId="0" borderId="23" xfId="0" applyNumberFormat="1" applyBorder="1" applyProtection="1">
      <protection locked="0"/>
    </xf>
    <xf numFmtId="167" fontId="0" fillId="0" borderId="23" xfId="0" applyNumberFormat="1" applyFont="1" applyBorder="1" applyAlignment="1" applyProtection="1">
      <protection locked="0"/>
    </xf>
    <xf numFmtId="167" fontId="0" fillId="0" borderId="135" xfId="0" applyNumberFormat="1" applyBorder="1" applyProtection="1">
      <protection locked="0"/>
    </xf>
    <xf numFmtId="169" fontId="0" fillId="33" borderId="141" xfId="0" applyNumberFormat="1" applyFill="1" applyBorder="1" applyProtection="1">
      <protection locked="0"/>
    </xf>
    <xf numFmtId="6" fontId="0" fillId="33" borderId="141" xfId="0" applyNumberFormat="1" applyFill="1" applyBorder="1" applyProtection="1">
      <protection locked="0"/>
    </xf>
    <xf numFmtId="0" fontId="0" fillId="33" borderId="141" xfId="0" applyFill="1" applyBorder="1" applyProtection="1">
      <protection locked="0"/>
    </xf>
    <xf numFmtId="167" fontId="0" fillId="33" borderId="141" xfId="0" applyNumberFormat="1" applyFill="1" applyBorder="1" applyProtection="1">
      <protection locked="0"/>
    </xf>
    <xf numFmtId="167" fontId="0" fillId="33" borderId="141" xfId="0" applyNumberFormat="1" applyFont="1" applyFill="1" applyBorder="1" applyAlignment="1" applyProtection="1">
      <protection locked="0"/>
    </xf>
    <xf numFmtId="167" fontId="0" fillId="33" borderId="140" xfId="0" applyNumberFormat="1" applyFill="1" applyBorder="1" applyProtection="1">
      <protection locked="0"/>
    </xf>
    <xf numFmtId="169" fontId="0" fillId="33" borderId="0" xfId="0" applyNumberFormat="1" applyFill="1" applyBorder="1" applyProtection="1">
      <protection locked="0"/>
    </xf>
    <xf numFmtId="6" fontId="0" fillId="33" borderId="0" xfId="0" applyNumberFormat="1" applyFill="1" applyBorder="1" applyProtection="1">
      <protection locked="0"/>
    </xf>
    <xf numFmtId="0" fontId="0" fillId="33" borderId="0" xfId="0" applyFill="1" applyBorder="1" applyProtection="1">
      <protection locked="0"/>
    </xf>
    <xf numFmtId="167" fontId="0" fillId="33" borderId="0" xfId="0" applyNumberFormat="1" applyFill="1" applyBorder="1" applyProtection="1">
      <protection locked="0"/>
    </xf>
    <xf numFmtId="167" fontId="0" fillId="33" borderId="54" xfId="0" applyNumberFormat="1" applyFill="1" applyBorder="1" applyProtection="1">
      <protection locked="0"/>
    </xf>
    <xf numFmtId="0" fontId="0" fillId="33" borderId="24" xfId="0" applyFont="1" applyFill="1" applyBorder="1" applyAlignment="1" applyProtection="1">
      <protection locked="0"/>
    </xf>
    <xf numFmtId="9" fontId="0" fillId="0" borderId="23" xfId="58" applyFont="1" applyFill="1" applyBorder="1" applyAlignment="1" applyProtection="1">
      <alignment vertical="center"/>
      <protection locked="0"/>
    </xf>
    <xf numFmtId="164" fontId="0" fillId="0" borderId="142" xfId="0" applyNumberFormat="1" applyFont="1" applyBorder="1" applyAlignment="1" applyProtection="1">
      <protection locked="0"/>
    </xf>
    <xf numFmtId="9" fontId="0" fillId="33" borderId="141" xfId="58" applyFont="1" applyFill="1" applyBorder="1" applyAlignment="1" applyProtection="1">
      <alignment vertical="center"/>
      <protection locked="0"/>
    </xf>
    <xf numFmtId="0" fontId="0" fillId="33" borderId="123" xfId="0" applyFont="1" applyFill="1" applyBorder="1" applyAlignment="1" applyProtection="1">
      <alignment vertical="center"/>
      <protection locked="0"/>
    </xf>
    <xf numFmtId="0" fontId="0" fillId="33" borderId="123" xfId="0" applyFont="1" applyFill="1" applyBorder="1" applyAlignment="1" applyProtection="1">
      <alignment horizontal="left" vertical="center"/>
      <protection locked="0"/>
    </xf>
    <xf numFmtId="164" fontId="0" fillId="33" borderId="0" xfId="0" applyNumberFormat="1" applyFont="1" applyFill="1" applyBorder="1" applyAlignment="1" applyProtection="1">
      <alignment horizontal="left" vertical="center"/>
      <protection locked="0"/>
    </xf>
    <xf numFmtId="164" fontId="0" fillId="0" borderId="22" xfId="0" applyNumberFormat="1" applyFont="1" applyBorder="1" applyAlignment="1" applyProtection="1">
      <protection locked="0"/>
    </xf>
    <xf numFmtId="2" fontId="0" fillId="33" borderId="13" xfId="0" applyNumberFormat="1" applyFont="1" applyFill="1" applyBorder="1" applyAlignment="1" applyProtection="1">
      <protection locked="0"/>
    </xf>
    <xf numFmtId="2" fontId="0" fillId="0" borderId="13" xfId="0" applyNumberFormat="1" applyFont="1" applyFill="1" applyBorder="1" applyAlignment="1" applyProtection="1">
      <protection locked="0"/>
    </xf>
    <xf numFmtId="0" fontId="29" fillId="0" borderId="17" xfId="2004" applyBorder="1" applyProtection="1">
      <protection locked="0"/>
    </xf>
    <xf numFmtId="0" fontId="29" fillId="0" borderId="131" xfId="2004" applyBorder="1" applyProtection="1">
      <protection locked="0"/>
    </xf>
    <xf numFmtId="0" fontId="16" fillId="42" borderId="48" xfId="0" applyFont="1" applyFill="1" applyBorder="1" applyAlignment="1" applyProtection="1">
      <alignment horizontal="left" vertical="center"/>
      <protection locked="0"/>
    </xf>
    <xf numFmtId="2" fontId="0" fillId="42" borderId="144" xfId="0" applyNumberFormat="1" applyFont="1" applyFill="1" applyBorder="1" applyAlignment="1" applyProtection="1">
      <protection locked="0"/>
    </xf>
    <xf numFmtId="2" fontId="0" fillId="42" borderId="139" xfId="0" applyNumberFormat="1" applyFont="1" applyFill="1" applyBorder="1" applyAlignment="1" applyProtection="1">
      <protection locked="0"/>
    </xf>
    <xf numFmtId="2" fontId="0" fillId="42" borderId="98" xfId="0" applyNumberFormat="1" applyFont="1" applyFill="1" applyBorder="1" applyAlignment="1" applyProtection="1">
      <protection locked="0"/>
    </xf>
    <xf numFmtId="2" fontId="0" fillId="0" borderId="0" xfId="0" applyNumberFormat="1" applyFont="1" applyBorder="1" applyAlignment="1" applyProtection="1">
      <protection locked="0"/>
    </xf>
    <xf numFmtId="2" fontId="0" fillId="42" borderId="0" xfId="0" applyNumberFormat="1" applyFont="1" applyFill="1" applyBorder="1" applyAlignment="1" applyProtection="1">
      <protection locked="0"/>
    </xf>
    <xf numFmtId="2" fontId="0" fillId="0" borderId="13" xfId="0" applyNumberFormat="1" applyFont="1" applyBorder="1" applyAlignment="1" applyProtection="1">
      <protection locked="0"/>
    </xf>
    <xf numFmtId="164" fontId="0" fillId="0" borderId="22" xfId="0" applyNumberFormat="1" applyFont="1" applyBorder="1" applyAlignment="1" applyProtection="1">
      <alignment horizontal="right"/>
      <protection locked="0"/>
    </xf>
    <xf numFmtId="164" fontId="0" fillId="33" borderId="0" xfId="0" applyNumberFormat="1" applyFont="1" applyFill="1" applyBorder="1" applyAlignment="1" applyProtection="1">
      <alignment horizontal="right"/>
      <protection locked="0"/>
    </xf>
    <xf numFmtId="2" fontId="0" fillId="0" borderId="17" xfId="0" applyNumberFormat="1" applyBorder="1" applyProtection="1">
      <protection locked="0"/>
    </xf>
    <xf numFmtId="165" fontId="0" fillId="0" borderId="131" xfId="0" applyNumberFormat="1" applyBorder="1" applyProtection="1">
      <protection locked="0"/>
    </xf>
    <xf numFmtId="0" fontId="0" fillId="0" borderId="97" xfId="0" applyBorder="1" applyProtection="1">
      <protection locked="0"/>
    </xf>
    <xf numFmtId="0" fontId="0" fillId="0" borderId="17" xfId="0" applyBorder="1" applyProtection="1">
      <protection locked="0"/>
    </xf>
    <xf numFmtId="0" fontId="0" fillId="33" borderId="34" xfId="0" applyFont="1" applyFill="1" applyBorder="1" applyAlignment="1" applyProtection="1">
      <protection locked="0"/>
    </xf>
    <xf numFmtId="164" fontId="0" fillId="33" borderId="34" xfId="0" applyNumberFormat="1" applyFont="1" applyFill="1" applyBorder="1" applyAlignment="1" applyProtection="1">
      <protection locked="0"/>
    </xf>
    <xf numFmtId="164" fontId="0" fillId="33" borderId="116" xfId="0" applyNumberFormat="1" applyFont="1" applyFill="1" applyBorder="1" applyAlignment="1" applyProtection="1">
      <protection locked="0"/>
    </xf>
    <xf numFmtId="164" fontId="0" fillId="42" borderId="0" xfId="0" applyNumberFormat="1" applyFont="1" applyFill="1" applyBorder="1" applyAlignment="1" applyProtection="1">
      <alignment horizontal="right"/>
      <protection locked="0"/>
    </xf>
    <xf numFmtId="2" fontId="0" fillId="0" borderId="17" xfId="0" applyNumberFormat="1" applyFill="1" applyBorder="1" applyProtection="1">
      <protection locked="0"/>
    </xf>
    <xf numFmtId="165" fontId="0" fillId="0" borderId="131" xfId="0" applyNumberFormat="1" applyFill="1" applyBorder="1" applyProtection="1">
      <protection locked="0"/>
    </xf>
    <xf numFmtId="0" fontId="0" fillId="0" borderId="131" xfId="0" applyFill="1" applyBorder="1" applyProtection="1">
      <protection locked="0"/>
    </xf>
    <xf numFmtId="0" fontId="0" fillId="0" borderId="97" xfId="0" applyFill="1" applyBorder="1" applyProtection="1">
      <protection locked="0"/>
    </xf>
    <xf numFmtId="0" fontId="0" fillId="0" borderId="17" xfId="0" applyFill="1" applyBorder="1" applyProtection="1">
      <protection locked="0"/>
    </xf>
    <xf numFmtId="0" fontId="0" fillId="0" borderId="40" xfId="0" applyFont="1" applyFill="1" applyBorder="1" applyAlignment="1" applyProtection="1">
      <protection locked="0"/>
    </xf>
    <xf numFmtId="0" fontId="0" fillId="33" borderId="134" xfId="0" applyFont="1" applyFill="1" applyBorder="1" applyAlignment="1" applyProtection="1">
      <protection locked="0"/>
    </xf>
    <xf numFmtId="2" fontId="0" fillId="0" borderId="35" xfId="0" applyNumberFormat="1" applyFont="1" applyBorder="1" applyAlignment="1" applyProtection="1">
      <protection locked="0"/>
    </xf>
    <xf numFmtId="164" fontId="0" fillId="0" borderId="37" xfId="0" applyNumberFormat="1" applyFont="1" applyBorder="1" applyAlignment="1" applyProtection="1">
      <protection locked="0"/>
    </xf>
    <xf numFmtId="164" fontId="0" fillId="0" borderId="11" xfId="0" applyNumberFormat="1" applyFont="1" applyFill="1" applyBorder="1" applyAlignment="1" applyProtection="1">
      <alignment horizontal="right"/>
      <protection locked="0"/>
    </xf>
    <xf numFmtId="164" fontId="0" fillId="0" borderId="97" xfId="0" applyNumberFormat="1" applyFont="1" applyBorder="1" applyAlignment="1" applyProtection="1">
      <alignment horizontal="right"/>
      <protection locked="0"/>
    </xf>
    <xf numFmtId="2" fontId="0" fillId="33" borderId="145" xfId="0" applyNumberFormat="1" applyFill="1" applyBorder="1" applyProtection="1">
      <protection locked="0"/>
    </xf>
    <xf numFmtId="0" fontId="0" fillId="33" borderId="144" xfId="0" applyFont="1" applyFill="1" applyBorder="1" applyAlignment="1" applyProtection="1">
      <protection locked="0"/>
    </xf>
    <xf numFmtId="0" fontId="0" fillId="33" borderId="144" xfId="0" applyFill="1" applyBorder="1" applyProtection="1">
      <protection locked="0"/>
    </xf>
    <xf numFmtId="0" fontId="0" fillId="33" borderId="146" xfId="0" applyFill="1" applyBorder="1" applyProtection="1">
      <protection locked="0"/>
    </xf>
    <xf numFmtId="164" fontId="0" fillId="0" borderId="97" xfId="0" applyNumberFormat="1" applyFont="1" applyBorder="1" applyAlignment="1" applyProtection="1">
      <alignment vertical="center"/>
      <protection locked="0"/>
    </xf>
    <xf numFmtId="0" fontId="0" fillId="0" borderId="0" xfId="0" applyFont="1" applyAlignment="1" applyProtection="1">
      <alignment horizontal="left"/>
      <protection locked="0"/>
    </xf>
    <xf numFmtId="0" fontId="0" fillId="0" borderId="0" xfId="0" applyFont="1" applyBorder="1" applyAlignment="1" applyProtection="1">
      <protection locked="0"/>
    </xf>
    <xf numFmtId="0" fontId="0" fillId="0" borderId="123" xfId="0" applyFont="1" applyBorder="1" applyAlignment="1" applyProtection="1">
      <protection locked="0"/>
    </xf>
    <xf numFmtId="0" fontId="0" fillId="0" borderId="0" xfId="0" applyProtection="1">
      <protection locked="0"/>
    </xf>
    <xf numFmtId="1" fontId="66" fillId="66" borderId="131" xfId="1950" applyNumberFormat="1" applyFont="1" applyFill="1" applyBorder="1" applyAlignment="1" applyProtection="1">
      <alignment horizontal="center"/>
      <protection locked="0"/>
    </xf>
    <xf numFmtId="0" fontId="66" fillId="66" borderId="131" xfId="1950" applyFont="1" applyFill="1" applyBorder="1" applyProtection="1">
      <protection locked="0"/>
    </xf>
    <xf numFmtId="0" fontId="66" fillId="66" borderId="131" xfId="1950" applyFont="1" applyFill="1" applyBorder="1" applyAlignment="1" applyProtection="1">
      <alignment horizontal="center"/>
      <protection locked="0"/>
    </xf>
    <xf numFmtId="0" fontId="0" fillId="0" borderId="0" xfId="0" applyFill="1" applyProtection="1">
      <protection locked="0"/>
    </xf>
    <xf numFmtId="0" fontId="66" fillId="66" borderId="0" xfId="1950" applyFont="1" applyFill="1" applyBorder="1" applyProtection="1">
      <protection locked="0"/>
    </xf>
    <xf numFmtId="0" fontId="0" fillId="0" borderId="0" xfId="0" applyBorder="1" applyProtection="1">
      <protection locked="0"/>
    </xf>
    <xf numFmtId="0" fontId="72" fillId="0" borderId="0" xfId="0" applyFont="1"/>
    <xf numFmtId="0" fontId="69" fillId="41" borderId="152" xfId="0" applyFont="1" applyFill="1" applyBorder="1" applyAlignment="1">
      <alignment horizontal="center" vertical="center" wrapText="1"/>
    </xf>
    <xf numFmtId="0" fontId="69" fillId="41" borderId="131" xfId="0" applyFont="1" applyFill="1" applyBorder="1" applyAlignment="1">
      <alignment horizontal="center" vertical="center" wrapText="1"/>
    </xf>
    <xf numFmtId="0" fontId="71" fillId="0" borderId="0" xfId="0" applyFont="1" applyBorder="1"/>
    <xf numFmtId="0" fontId="0" fillId="0" borderId="0" xfId="0"/>
    <xf numFmtId="0" fontId="71" fillId="0" borderId="0" xfId="0" applyFont="1" applyBorder="1"/>
    <xf numFmtId="0" fontId="72" fillId="0" borderId="0" xfId="0" applyFont="1"/>
    <xf numFmtId="0" fontId="0" fillId="0" borderId="0" xfId="0"/>
    <xf numFmtId="0" fontId="69" fillId="41" borderId="152" xfId="0" applyFont="1" applyFill="1" applyBorder="1" applyAlignment="1">
      <alignment horizontal="center" vertical="center" wrapText="1"/>
    </xf>
    <xf numFmtId="0" fontId="69" fillId="41" borderId="131" xfId="0" applyFont="1" applyFill="1" applyBorder="1" applyAlignment="1">
      <alignment horizontal="center" vertical="center" wrapText="1"/>
    </xf>
    <xf numFmtId="169" fontId="0" fillId="0" borderId="131" xfId="0" applyNumberFormat="1" applyBorder="1" applyProtection="1">
      <protection locked="0"/>
    </xf>
    <xf numFmtId="0" fontId="71" fillId="0" borderId="0" xfId="0" applyFont="1" applyBorder="1"/>
    <xf numFmtId="0" fontId="72" fillId="0" borderId="0" xfId="0" applyFont="1"/>
    <xf numFmtId="0" fontId="69" fillId="41" borderId="152" xfId="0" applyFont="1" applyFill="1" applyBorder="1" applyAlignment="1">
      <alignment horizontal="center" vertical="center" wrapText="1"/>
    </xf>
    <xf numFmtId="0" fontId="69" fillId="41" borderId="131" xfId="0" applyFont="1" applyFill="1" applyBorder="1" applyAlignment="1">
      <alignment horizontal="center" vertical="center" wrapText="1"/>
    </xf>
    <xf numFmtId="0" fontId="71" fillId="0" borderId="0" xfId="0" applyFont="1" applyBorder="1"/>
    <xf numFmtId="0" fontId="0" fillId="0" borderId="54" xfId="0" applyFont="1" applyFill="1" applyBorder="1" applyAlignment="1" applyProtection="1">
      <protection locked="0"/>
    </xf>
    <xf numFmtId="0" fontId="0" fillId="0" borderId="42" xfId="0" applyFont="1" applyFill="1" applyBorder="1" applyAlignment="1" applyProtection="1">
      <protection locked="0"/>
    </xf>
    <xf numFmtId="0" fontId="0" fillId="0" borderId="133" xfId="0" applyFont="1" applyBorder="1" applyAlignment="1" applyProtection="1">
      <protection locked="0"/>
    </xf>
    <xf numFmtId="0" fontId="0" fillId="0" borderId="11" xfId="0" applyFont="1" applyBorder="1" applyAlignment="1" applyProtection="1">
      <protection locked="0"/>
    </xf>
    <xf numFmtId="2" fontId="0" fillId="0" borderId="14" xfId="0" applyNumberFormat="1" applyFont="1" applyBorder="1" applyAlignment="1" applyProtection="1">
      <protection locked="0"/>
    </xf>
    <xf numFmtId="0" fontId="0" fillId="0" borderId="17" xfId="0" applyFont="1" applyFill="1" applyBorder="1" applyAlignment="1" applyProtection="1">
      <protection locked="0"/>
    </xf>
    <xf numFmtId="0" fontId="0" fillId="0" borderId="18" xfId="0" applyFont="1" applyFill="1" applyBorder="1" applyAlignment="1" applyProtection="1">
      <protection locked="0"/>
    </xf>
    <xf numFmtId="2" fontId="0" fillId="39" borderId="131" xfId="0" applyNumberFormat="1" applyFill="1" applyBorder="1" applyAlignment="1">
      <alignment horizontal="right" vertical="center"/>
    </xf>
    <xf numFmtId="0" fontId="0" fillId="33" borderId="0" xfId="0" applyFont="1" applyFill="1" applyBorder="1" applyAlignment="1" applyProtection="1">
      <protection locked="0"/>
    </xf>
    <xf numFmtId="0" fontId="0" fillId="33" borderId="123" xfId="0" applyFont="1" applyFill="1" applyBorder="1" applyAlignment="1" applyProtection="1">
      <protection locked="0"/>
    </xf>
    <xf numFmtId="0" fontId="0" fillId="33" borderId="42" xfId="0" applyFont="1" applyFill="1" applyBorder="1" applyAlignment="1" applyProtection="1">
      <protection locked="0"/>
    </xf>
    <xf numFmtId="164" fontId="0" fillId="0" borderId="131" xfId="0" applyNumberFormat="1" applyFont="1" applyFill="1" applyBorder="1" applyAlignment="1" applyProtection="1">
      <protection locked="0"/>
    </xf>
    <xf numFmtId="164" fontId="0" fillId="33" borderId="0" xfId="0" applyNumberFormat="1" applyFont="1" applyFill="1" applyBorder="1" applyAlignment="1" applyProtection="1">
      <protection locked="0"/>
    </xf>
    <xf numFmtId="0" fontId="32" fillId="37" borderId="0" xfId="0" applyFont="1" applyFill="1" applyBorder="1" applyAlignment="1" applyProtection="1">
      <alignment horizontal="left" vertical="center" wrapText="1"/>
      <protection locked="0"/>
    </xf>
    <xf numFmtId="0" fontId="0" fillId="0" borderId="43" xfId="0" applyFont="1" applyFill="1" applyBorder="1" applyAlignment="1" applyProtection="1">
      <alignment vertical="center"/>
      <protection locked="0"/>
    </xf>
    <xf numFmtId="164" fontId="0" fillId="0" borderId="131" xfId="0" applyNumberFormat="1" applyFont="1" applyFill="1" applyBorder="1" applyAlignment="1" applyProtection="1">
      <alignment vertical="center"/>
      <protection locked="0"/>
    </xf>
    <xf numFmtId="0" fontId="0" fillId="0" borderId="131" xfId="0" applyFont="1" applyFill="1" applyBorder="1" applyAlignment="1" applyProtection="1">
      <protection locked="0"/>
    </xf>
    <xf numFmtId="0" fontId="0" fillId="0" borderId="43" xfId="0" applyFont="1" applyFill="1" applyBorder="1" applyAlignment="1" applyProtection="1">
      <protection locked="0"/>
    </xf>
    <xf numFmtId="0" fontId="0" fillId="0" borderId="133" xfId="0" applyFont="1" applyFill="1" applyBorder="1" applyAlignment="1" applyProtection="1">
      <protection locked="0"/>
    </xf>
    <xf numFmtId="0" fontId="0" fillId="33" borderId="131" xfId="0" applyFont="1" applyFill="1" applyBorder="1" applyAlignment="1" applyProtection="1">
      <protection locked="0"/>
    </xf>
    <xf numFmtId="2" fontId="0" fillId="0" borderId="131" xfId="0" applyNumberFormat="1" applyFont="1" applyFill="1" applyBorder="1" applyAlignment="1" applyProtection="1">
      <protection locked="0"/>
    </xf>
    <xf numFmtId="2" fontId="0" fillId="33" borderId="35" xfId="0" applyNumberFormat="1" applyFont="1" applyFill="1" applyBorder="1" applyAlignment="1" applyProtection="1">
      <protection locked="0"/>
    </xf>
    <xf numFmtId="2" fontId="0" fillId="0" borderId="14" xfId="0" applyNumberFormat="1" applyFont="1" applyFill="1" applyBorder="1" applyAlignment="1" applyProtection="1">
      <protection locked="0"/>
    </xf>
    <xf numFmtId="0" fontId="0" fillId="0" borderId="54" xfId="0" applyFont="1" applyBorder="1" applyAlignment="1" applyProtection="1">
      <protection locked="0"/>
    </xf>
    <xf numFmtId="0" fontId="0" fillId="0" borderId="11" xfId="0" applyBorder="1" applyAlignment="1">
      <alignment vertical="center"/>
    </xf>
    <xf numFmtId="2" fontId="0" fillId="0" borderId="131" xfId="0" applyNumberFormat="1" applyBorder="1" applyAlignment="1">
      <alignment horizontal="right" vertical="center"/>
    </xf>
    <xf numFmtId="164" fontId="0" fillId="0" borderId="131" xfId="0" applyNumberFormat="1" applyBorder="1" applyAlignment="1">
      <alignment horizontal="right" vertical="center"/>
    </xf>
    <xf numFmtId="0" fontId="0" fillId="39" borderId="11" xfId="0" applyFill="1" applyBorder="1" applyAlignment="1">
      <alignment vertical="center"/>
    </xf>
    <xf numFmtId="167" fontId="0" fillId="33" borderId="42" xfId="0" applyNumberFormat="1" applyFont="1" applyFill="1" applyBorder="1" applyAlignment="1">
      <alignment horizontal="right" vertical="center"/>
    </xf>
    <xf numFmtId="167" fontId="0" fillId="33" borderId="0" xfId="0" applyNumberFormat="1" applyFont="1" applyFill="1" applyBorder="1" applyAlignment="1">
      <alignment horizontal="right" vertical="center"/>
    </xf>
    <xf numFmtId="2" fontId="0" fillId="39" borderId="131" xfId="0" applyNumberFormat="1" applyFill="1" applyBorder="1" applyAlignment="1">
      <alignment horizontal="right" vertical="center"/>
    </xf>
    <xf numFmtId="164" fontId="0" fillId="39" borderId="131" xfId="0" applyNumberFormat="1" applyFill="1" applyBorder="1" applyAlignment="1">
      <alignment horizontal="right" vertical="center"/>
    </xf>
    <xf numFmtId="167" fontId="0" fillId="33" borderId="54" xfId="0" applyNumberFormat="1" applyFont="1" applyFill="1" applyBorder="1" applyAlignment="1">
      <alignment horizontal="right" vertical="center"/>
    </xf>
    <xf numFmtId="0" fontId="0" fillId="0" borderId="133" xfId="0" applyFont="1" applyFill="1" applyBorder="1" applyAlignment="1" applyProtection="1">
      <alignment vertical="center"/>
      <protection locked="0"/>
    </xf>
    <xf numFmtId="2" fontId="0" fillId="0" borderId="14" xfId="0" applyNumberFormat="1" applyFont="1" applyFill="1" applyBorder="1" applyAlignment="1" applyProtection="1">
      <alignment vertical="center"/>
      <protection locked="0"/>
    </xf>
    <xf numFmtId="0" fontId="0" fillId="0" borderId="133" xfId="0" applyFont="1" applyFill="1" applyBorder="1" applyAlignment="1" applyProtection="1">
      <protection locked="0"/>
    </xf>
    <xf numFmtId="16" fontId="24" fillId="36" borderId="10" xfId="0" quotePrefix="1" applyNumberFormat="1" applyFont="1" applyFill="1" applyBorder="1" applyAlignment="1" applyProtection="1">
      <alignment horizontal="left" wrapText="1"/>
    </xf>
    <xf numFmtId="0" fontId="0" fillId="35" borderId="0" xfId="0" applyFill="1" applyBorder="1"/>
    <xf numFmtId="0" fontId="0" fillId="35" borderId="0" xfId="0" applyFill="1" applyAlignment="1">
      <alignment horizontal="left" vertical="top" wrapText="1"/>
    </xf>
    <xf numFmtId="0" fontId="62" fillId="35" borderId="0" xfId="0" applyFont="1" applyFill="1" applyAlignment="1">
      <alignment horizontal="left" vertical="top" wrapText="1"/>
    </xf>
    <xf numFmtId="0" fontId="20" fillId="35" borderId="0" xfId="61" applyFill="1" applyAlignment="1">
      <alignment horizontal="left" vertical="top" wrapText="1"/>
    </xf>
    <xf numFmtId="0" fontId="20" fillId="35" borderId="0" xfId="61" applyFill="1" applyAlignment="1">
      <alignment vertical="top" wrapText="1"/>
    </xf>
    <xf numFmtId="0" fontId="37" fillId="35" borderId="0" xfId="62" applyFont="1" applyFill="1" applyAlignment="1" applyProtection="1">
      <alignment horizontal="left"/>
    </xf>
    <xf numFmtId="0" fontId="20" fillId="35" borderId="0" xfId="61" applyFill="1" applyBorder="1" applyAlignment="1"/>
    <xf numFmtId="0" fontId="20" fillId="35" borderId="0" xfId="61" applyFill="1" applyBorder="1"/>
    <xf numFmtId="0" fontId="40" fillId="35" borderId="0" xfId="61" applyFont="1" applyFill="1" applyBorder="1" applyAlignment="1"/>
    <xf numFmtId="0" fontId="40" fillId="35" borderId="0" xfId="61" applyFont="1" applyFill="1" applyBorder="1" applyAlignment="1">
      <alignment horizontal="left"/>
    </xf>
    <xf numFmtId="0" fontId="39" fillId="35" borderId="0" xfId="0" applyFont="1" applyFill="1" applyBorder="1"/>
    <xf numFmtId="0" fontId="0" fillId="35" borderId="0" xfId="0" applyFill="1" applyBorder="1"/>
    <xf numFmtId="170" fontId="0" fillId="35" borderId="69" xfId="59" applyNumberFormat="1" applyFont="1" applyFill="1" applyBorder="1" applyAlignment="1">
      <alignment horizontal="left" vertical="center"/>
    </xf>
    <xf numFmtId="170" fontId="0" fillId="35" borderId="24" xfId="59" applyNumberFormat="1" applyFont="1" applyFill="1" applyBorder="1" applyAlignment="1">
      <alignment horizontal="left" vertical="center"/>
    </xf>
    <xf numFmtId="170" fontId="0" fillId="35" borderId="13" xfId="59" applyNumberFormat="1" applyFont="1" applyFill="1" applyBorder="1" applyAlignment="1">
      <alignment horizontal="left" vertical="center"/>
    </xf>
    <xf numFmtId="0" fontId="0" fillId="0" borderId="103" xfId="0" applyFont="1" applyBorder="1" applyAlignment="1">
      <alignment horizontal="center" vertical="center" wrapText="1"/>
    </xf>
    <xf numFmtId="0" fontId="0" fillId="0" borderId="105" xfId="0" applyFont="1" applyBorder="1" applyAlignment="1">
      <alignment horizontal="center" vertical="center" wrapText="1"/>
    </xf>
    <xf numFmtId="0" fontId="0" fillId="0" borderId="109" xfId="0" applyFont="1" applyBorder="1" applyAlignment="1">
      <alignment horizontal="center" vertical="center" wrapText="1"/>
    </xf>
    <xf numFmtId="0" fontId="32" fillId="37" borderId="57" xfId="0" applyFont="1" applyFill="1" applyBorder="1" applyAlignment="1">
      <alignment horizontal="left" vertical="center" wrapText="1"/>
    </xf>
    <xf numFmtId="0" fontId="32" fillId="37" borderId="54" xfId="0" applyFont="1" applyFill="1" applyBorder="1" applyAlignment="1">
      <alignment horizontal="left" vertical="center" wrapText="1"/>
    </xf>
    <xf numFmtId="0" fontId="32" fillId="37" borderId="146" xfId="0" applyFont="1" applyFill="1" applyBorder="1" applyAlignment="1">
      <alignment horizontal="left" vertical="center" wrapText="1"/>
    </xf>
    <xf numFmtId="0" fontId="0" fillId="0" borderId="103" xfId="0" applyFont="1" applyFill="1" applyBorder="1" applyAlignment="1">
      <alignment horizontal="center" vertical="center" wrapText="1"/>
    </xf>
    <xf numFmtId="0" fontId="0" fillId="0" borderId="105" xfId="0" applyFont="1" applyFill="1" applyBorder="1" applyAlignment="1">
      <alignment horizontal="center" vertical="center" wrapText="1"/>
    </xf>
    <xf numFmtId="0" fontId="0" fillId="0" borderId="109" xfId="0" applyFont="1" applyFill="1" applyBorder="1" applyAlignment="1">
      <alignment horizontal="center" vertical="center" wrapText="1"/>
    </xf>
    <xf numFmtId="0" fontId="32" fillId="37" borderId="52" xfId="0" applyFont="1" applyFill="1" applyBorder="1" applyAlignment="1">
      <alignment horizontal="left" vertical="center" wrapText="1"/>
    </xf>
    <xf numFmtId="2" fontId="0" fillId="0" borderId="10" xfId="0" applyNumberFormat="1" applyFont="1" applyBorder="1" applyAlignment="1">
      <alignment horizontal="left" vertical="center"/>
    </xf>
    <xf numFmtId="2" fontId="0" fillId="0" borderId="23" xfId="0" applyNumberFormat="1" applyBorder="1" applyAlignment="1">
      <alignment horizontal="left" vertical="center"/>
    </xf>
    <xf numFmtId="2" fontId="0" fillId="0" borderId="10" xfId="0" applyNumberFormat="1" applyBorder="1" applyAlignment="1">
      <alignment horizontal="left" vertical="center"/>
    </xf>
    <xf numFmtId="167" fontId="0" fillId="0" borderId="10" xfId="0" applyNumberFormat="1" applyFont="1" applyBorder="1" applyAlignment="1">
      <alignment horizontal="left" vertical="center"/>
    </xf>
    <xf numFmtId="167" fontId="0" fillId="0" borderId="23" xfId="0" applyNumberFormat="1" applyFont="1" applyBorder="1" applyAlignment="1">
      <alignment horizontal="left" vertical="center"/>
    </xf>
    <xf numFmtId="0" fontId="21" fillId="35" borderId="35" xfId="0" applyFont="1" applyFill="1" applyBorder="1" applyAlignment="1">
      <alignment horizontal="center"/>
    </xf>
    <xf numFmtId="0" fontId="0" fillId="0" borderId="26" xfId="0" applyFont="1" applyBorder="1" applyAlignment="1">
      <alignment horizontal="center"/>
    </xf>
    <xf numFmtId="0" fontId="0" fillId="0" borderId="62" xfId="0" applyFont="1" applyBorder="1" applyAlignment="1">
      <alignment horizontal="center"/>
    </xf>
    <xf numFmtId="0" fontId="0" fillId="0" borderId="69"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center" vertical="center"/>
    </xf>
    <xf numFmtId="0" fontId="21" fillId="35" borderId="62" xfId="0" applyFont="1" applyFill="1" applyBorder="1" applyAlignment="1">
      <alignment horizontal="center"/>
    </xf>
    <xf numFmtId="0" fontId="0" fillId="0" borderId="29" xfId="0" applyFont="1" applyBorder="1" applyAlignment="1">
      <alignment horizontal="center"/>
    </xf>
    <xf numFmtId="0" fontId="0" fillId="0" borderId="10" xfId="0" applyBorder="1" applyAlignment="1">
      <alignment horizontal="left" vertical="center"/>
    </xf>
    <xf numFmtId="0" fontId="21" fillId="35" borderId="16" xfId="0" applyFont="1" applyFill="1" applyBorder="1" applyAlignment="1">
      <alignment horizontal="center"/>
    </xf>
    <xf numFmtId="0" fontId="0" fillId="0" borderId="39" xfId="0" applyFont="1" applyBorder="1" applyAlignment="1">
      <alignment horizontal="center"/>
    </xf>
    <xf numFmtId="0" fontId="0" fillId="0" borderId="34" xfId="0" applyFont="1" applyBorder="1" applyAlignment="1">
      <alignment horizontal="center"/>
    </xf>
    <xf numFmtId="0" fontId="0" fillId="0" borderId="10" xfId="0" applyFont="1" applyBorder="1" applyAlignment="1">
      <alignment horizontal="center" vertical="center"/>
    </xf>
    <xf numFmtId="0" fontId="0" fillId="0" borderId="14" xfId="0" applyFont="1" applyBorder="1" applyAlignment="1">
      <alignment horizontal="left" vertical="center"/>
    </xf>
    <xf numFmtId="0" fontId="32" fillId="37" borderId="99" xfId="0" applyFont="1" applyFill="1" applyBorder="1" applyAlignment="1">
      <alignment horizontal="left" vertical="center" wrapText="1"/>
    </xf>
    <xf numFmtId="0" fontId="0" fillId="0" borderId="108" xfId="0" applyFont="1" applyFill="1" applyBorder="1" applyAlignment="1">
      <alignment horizontal="center" vertical="center" wrapText="1"/>
    </xf>
    <xf numFmtId="0" fontId="32" fillId="37" borderId="57" xfId="0" applyFont="1" applyFill="1" applyBorder="1" applyAlignment="1">
      <alignment horizontal="left" vertical="center"/>
    </xf>
    <xf numFmtId="0" fontId="32" fillId="37" borderId="54" xfId="0" applyFont="1" applyFill="1" applyBorder="1" applyAlignment="1">
      <alignment horizontal="left" vertical="center"/>
    </xf>
    <xf numFmtId="0" fontId="32" fillId="37" borderId="99" xfId="0" applyFont="1" applyFill="1" applyBorder="1" applyAlignment="1">
      <alignment horizontal="left" vertical="center"/>
    </xf>
    <xf numFmtId="0" fontId="21" fillId="35" borderId="34" xfId="0" applyFont="1" applyFill="1" applyBorder="1" applyAlignment="1">
      <alignment horizontal="center"/>
    </xf>
    <xf numFmtId="0" fontId="0" fillId="0" borderId="116" xfId="0" applyFont="1" applyBorder="1" applyAlignment="1">
      <alignment horizontal="center"/>
    </xf>
    <xf numFmtId="167" fontId="0" fillId="0" borderId="69" xfId="0" applyNumberFormat="1" applyFont="1" applyFill="1" applyBorder="1" applyAlignment="1">
      <alignment horizontal="left" vertical="center"/>
    </xf>
    <xf numFmtId="167" fontId="0" fillId="0" borderId="24" xfId="0" applyNumberFormat="1" applyFont="1" applyFill="1" applyBorder="1" applyAlignment="1">
      <alignment horizontal="left" vertical="center"/>
    </xf>
    <xf numFmtId="167" fontId="0" fillId="0" borderId="13" xfId="0" applyNumberFormat="1" applyFont="1" applyFill="1" applyBorder="1" applyAlignment="1">
      <alignment horizontal="left" vertical="center"/>
    </xf>
    <xf numFmtId="167" fontId="0" fillId="0" borderId="13" xfId="0" applyNumberFormat="1" applyFont="1" applyBorder="1" applyAlignment="1">
      <alignment horizontal="left" vertical="center"/>
    </xf>
    <xf numFmtId="2" fontId="0" fillId="0" borderId="13" xfId="0" applyNumberFormat="1" applyFont="1" applyBorder="1" applyAlignment="1">
      <alignment horizontal="left" vertical="center"/>
    </xf>
    <xf numFmtId="0" fontId="21" fillId="35" borderId="14" xfId="0" applyFont="1" applyFill="1" applyBorder="1" applyAlignment="1">
      <alignment horizontal="center"/>
    </xf>
    <xf numFmtId="0" fontId="0" fillId="0" borderId="10" xfId="0" applyFont="1" applyBorder="1" applyAlignment="1">
      <alignment horizontal="center"/>
    </xf>
    <xf numFmtId="0" fontId="0" fillId="33" borderId="42" xfId="0" applyFont="1" applyFill="1" applyBorder="1" applyAlignment="1">
      <alignment horizontal="center" vertical="center" wrapText="1"/>
    </xf>
    <xf numFmtId="0" fontId="0" fillId="33" borderId="0" xfId="0" applyFont="1" applyFill="1" applyBorder="1" applyAlignment="1">
      <alignment horizontal="center" vertical="center" wrapText="1"/>
    </xf>
    <xf numFmtId="0" fontId="0" fillId="0" borderId="111" xfId="0" applyFont="1" applyBorder="1" applyAlignment="1">
      <alignment horizontal="left" vertical="center"/>
    </xf>
    <xf numFmtId="0" fontId="0" fillId="0" borderId="69" xfId="0" applyFont="1" applyBorder="1" applyAlignment="1">
      <alignment horizontal="center" vertical="center"/>
    </xf>
    <xf numFmtId="0" fontId="0" fillId="0" borderId="24" xfId="0" applyFont="1" applyBorder="1" applyAlignment="1">
      <alignment horizontal="center" vertical="center"/>
    </xf>
    <xf numFmtId="0" fontId="0" fillId="0" borderId="13" xfId="0" applyFont="1" applyBorder="1" applyAlignment="1">
      <alignment horizontal="center" vertical="center"/>
    </xf>
    <xf numFmtId="167" fontId="0" fillId="0" borderId="81" xfId="0" applyNumberFormat="1" applyFont="1" applyBorder="1" applyAlignment="1">
      <alignment horizontal="left" vertical="center"/>
    </xf>
    <xf numFmtId="0" fontId="0" fillId="0" borderId="111" xfId="0" applyFont="1" applyBorder="1" applyAlignment="1">
      <alignment vertical="center"/>
    </xf>
    <xf numFmtId="0" fontId="0" fillId="0" borderId="69" xfId="0" applyBorder="1" applyAlignment="1">
      <alignment horizontal="center" vertical="center" wrapText="1"/>
    </xf>
    <xf numFmtId="0" fontId="0" fillId="0" borderId="24" xfId="0" applyBorder="1" applyAlignment="1">
      <alignment horizontal="center" vertical="center" wrapText="1"/>
    </xf>
    <xf numFmtId="0" fontId="0" fillId="0" borderId="13" xfId="0" applyBorder="1" applyAlignment="1">
      <alignment horizontal="center" vertical="center" wrapText="1"/>
    </xf>
    <xf numFmtId="170" fontId="0" fillId="0" borderId="10" xfId="0" applyNumberFormat="1" applyFont="1" applyFill="1" applyBorder="1" applyAlignment="1">
      <alignment horizontal="left" vertical="center"/>
    </xf>
    <xf numFmtId="0" fontId="32" fillId="37" borderId="46" xfId="0" applyFont="1" applyFill="1" applyBorder="1" applyAlignment="1">
      <alignment horizontal="left" vertical="center" wrapText="1"/>
    </xf>
    <xf numFmtId="0" fontId="32" fillId="37" borderId="0" xfId="0" applyFont="1" applyFill="1" applyBorder="1" applyAlignment="1">
      <alignment horizontal="left" vertical="center" wrapText="1"/>
    </xf>
    <xf numFmtId="0" fontId="0" fillId="0" borderId="59" xfId="0" applyFont="1" applyBorder="1" applyAlignment="1">
      <alignment horizontal="center" vertical="center"/>
    </xf>
    <xf numFmtId="0" fontId="0" fillId="0" borderId="61" xfId="0" applyFont="1" applyBorder="1" applyAlignment="1">
      <alignment horizontal="center" vertical="center"/>
    </xf>
    <xf numFmtId="0" fontId="0" fillId="0" borderId="39" xfId="0" applyFont="1" applyBorder="1" applyAlignment="1">
      <alignment horizontal="center" vertical="center"/>
    </xf>
    <xf numFmtId="167" fontId="0" fillId="0" borderId="23" xfId="0" applyNumberFormat="1" applyFont="1" applyFill="1" applyBorder="1" applyAlignment="1">
      <alignment horizontal="left" vertical="center"/>
    </xf>
    <xf numFmtId="0" fontId="0" fillId="0" borderId="103" xfId="0" applyFont="1" applyBorder="1" applyAlignment="1">
      <alignment vertical="center"/>
    </xf>
    <xf numFmtId="0" fontId="0" fillId="0" borderId="104" xfId="0" applyFont="1" applyBorder="1" applyAlignment="1">
      <alignment vertical="center"/>
    </xf>
    <xf numFmtId="0" fontId="0" fillId="0" borderId="59" xfId="0" applyFont="1" applyBorder="1" applyAlignment="1">
      <alignment horizontal="left" vertical="center"/>
    </xf>
    <xf numFmtId="0" fontId="0" fillId="0" borderId="39" xfId="0" applyFont="1" applyBorder="1" applyAlignment="1">
      <alignment horizontal="left" vertical="center"/>
    </xf>
    <xf numFmtId="0" fontId="0" fillId="0" borderId="111" xfId="0" applyFont="1" applyFill="1" applyBorder="1" applyAlignment="1">
      <alignment horizontal="left" vertical="center"/>
    </xf>
    <xf numFmtId="0" fontId="0" fillId="0" borderId="59" xfId="0" applyFont="1" applyFill="1" applyBorder="1" applyAlignment="1">
      <alignment horizontal="left" vertical="center"/>
    </xf>
    <xf numFmtId="0" fontId="0" fillId="0" borderId="39" xfId="0" applyFont="1" applyFill="1" applyBorder="1" applyAlignment="1">
      <alignment horizontal="left" vertical="center"/>
    </xf>
    <xf numFmtId="0" fontId="32" fillId="37" borderId="15" xfId="0" applyFont="1" applyFill="1" applyBorder="1" applyAlignment="1">
      <alignment horizontal="left" vertical="center" wrapText="1"/>
    </xf>
    <xf numFmtId="0" fontId="32" fillId="37" borderId="12" xfId="0" applyFont="1" applyFill="1" applyBorder="1" applyAlignment="1">
      <alignment horizontal="left" vertical="center" wrapText="1"/>
    </xf>
    <xf numFmtId="0" fontId="0" fillId="0" borderId="68" xfId="0" applyFont="1" applyBorder="1" applyAlignment="1">
      <alignment horizontal="left" vertical="center"/>
    </xf>
    <xf numFmtId="0" fontId="0" fillId="0" borderId="61" xfId="0" applyFont="1" applyBorder="1" applyAlignment="1">
      <alignment horizontal="left" vertical="center"/>
    </xf>
    <xf numFmtId="0" fontId="32" fillId="37" borderId="98" xfId="0" applyFont="1" applyFill="1" applyBorder="1" applyAlignment="1">
      <alignment horizontal="left" vertical="center" wrapText="1"/>
    </xf>
    <xf numFmtId="0" fontId="0" fillId="0" borderId="59" xfId="0" applyFont="1" applyBorder="1" applyAlignment="1">
      <alignment vertical="center"/>
    </xf>
    <xf numFmtId="0" fontId="0" fillId="0" borderId="39" xfId="0" applyFont="1" applyBorder="1" applyAlignment="1">
      <alignment vertical="center"/>
    </xf>
    <xf numFmtId="0" fontId="0" fillId="0" borderId="103" xfId="0" applyFont="1" applyBorder="1" applyAlignment="1">
      <alignment horizontal="left" vertical="center"/>
    </xf>
    <xf numFmtId="0" fontId="0" fillId="0" borderId="105" xfId="0" applyFont="1" applyBorder="1" applyAlignment="1">
      <alignment horizontal="left" vertical="center"/>
    </xf>
    <xf numFmtId="0" fontId="0" fillId="0" borderId="23" xfId="0" applyBorder="1" applyAlignment="1">
      <alignment horizontal="center" vertical="center"/>
    </xf>
    <xf numFmtId="0" fontId="0" fillId="0" borderId="103" xfId="0" applyFont="1" applyBorder="1" applyAlignment="1">
      <alignment horizontal="left" vertical="center" wrapText="1"/>
    </xf>
    <xf numFmtId="0" fontId="0" fillId="0" borderId="104" xfId="0" applyFont="1" applyBorder="1" applyAlignment="1">
      <alignment horizontal="left" vertical="center" wrapText="1"/>
    </xf>
    <xf numFmtId="167" fontId="0" fillId="0" borderId="24" xfId="0" applyNumberFormat="1" applyFont="1" applyBorder="1" applyAlignment="1">
      <alignment horizontal="left" vertical="center"/>
    </xf>
    <xf numFmtId="167" fontId="0" fillId="0" borderId="23" xfId="57" applyNumberFormat="1" applyFont="1" applyBorder="1" applyAlignment="1">
      <alignment horizontal="left" vertical="center"/>
    </xf>
    <xf numFmtId="167" fontId="0" fillId="0" borderId="13" xfId="57" applyNumberFormat="1" applyFont="1" applyBorder="1" applyAlignment="1">
      <alignment horizontal="left" vertical="center"/>
    </xf>
    <xf numFmtId="0" fontId="0" fillId="0" borderId="105" xfId="0" applyFont="1" applyBorder="1" applyAlignment="1">
      <alignment horizontal="left" vertical="center" wrapText="1"/>
    </xf>
    <xf numFmtId="0" fontId="32" fillId="37" borderId="44" xfId="0" applyFont="1" applyFill="1" applyBorder="1" applyAlignment="1">
      <alignment horizontal="left" vertical="center" wrapText="1"/>
    </xf>
    <xf numFmtId="0" fontId="32" fillId="37" borderId="34" xfId="0" applyFont="1" applyFill="1" applyBorder="1" applyAlignment="1">
      <alignment horizontal="left" vertical="center" wrapText="1"/>
    </xf>
    <xf numFmtId="167" fontId="0" fillId="0" borderId="10" xfId="0" applyNumberFormat="1" applyFont="1" applyFill="1" applyBorder="1" applyAlignment="1">
      <alignment horizontal="left" vertical="center"/>
    </xf>
    <xf numFmtId="0" fontId="32" fillId="37" borderId="16" xfId="0" applyFont="1" applyFill="1" applyBorder="1" applyAlignment="1">
      <alignment horizontal="left" vertical="center" wrapText="1"/>
    </xf>
    <xf numFmtId="0" fontId="0" fillId="0" borderId="38" xfId="0" applyFont="1" applyBorder="1" applyAlignment="1">
      <alignment horizontal="left" vertical="center"/>
    </xf>
    <xf numFmtId="0" fontId="24" fillId="36" borderId="14" xfId="0" applyNumberFormat="1" applyFont="1" applyFill="1" applyBorder="1" applyAlignment="1" applyProtection="1">
      <alignment horizontal="left" vertical="center"/>
    </xf>
    <xf numFmtId="0" fontId="24" fillId="36" borderId="111" xfId="0" applyNumberFormat="1" applyFont="1" applyFill="1" applyBorder="1" applyAlignment="1" applyProtection="1">
      <alignment horizontal="left" vertical="center" wrapText="1"/>
    </xf>
    <xf numFmtId="0" fontId="24" fillId="36" borderId="103" xfId="0" applyNumberFormat="1" applyFont="1" applyFill="1" applyBorder="1" applyAlignment="1" applyProtection="1">
      <alignment horizontal="left" vertical="center" wrapText="1"/>
    </xf>
    <xf numFmtId="0" fontId="24" fillId="36" borderId="105" xfId="0" applyNumberFormat="1" applyFont="1" applyFill="1" applyBorder="1" applyAlignment="1" applyProtection="1">
      <alignment horizontal="left" vertical="center" wrapText="1"/>
    </xf>
    <xf numFmtId="0" fontId="24" fillId="36" borderId="104" xfId="0" applyNumberFormat="1" applyFont="1" applyFill="1" applyBorder="1" applyAlignment="1" applyProtection="1">
      <alignment horizontal="left" vertical="center" wrapText="1"/>
    </xf>
    <xf numFmtId="167" fontId="0" fillId="0" borderId="10" xfId="0" applyNumberFormat="1" applyBorder="1" applyAlignment="1">
      <alignment horizontal="left" vertical="center"/>
    </xf>
    <xf numFmtId="0" fontId="0" fillId="0" borderId="111" xfId="0" applyFont="1" applyBorder="1" applyAlignment="1">
      <alignment horizontal="center" vertical="center" wrapText="1"/>
    </xf>
    <xf numFmtId="0" fontId="0" fillId="0" borderId="112" xfId="0" applyFont="1" applyBorder="1" applyAlignment="1">
      <alignment horizontal="center" vertical="center" wrapText="1"/>
    </xf>
    <xf numFmtId="164" fontId="0" fillId="0" borderId="10" xfId="0" applyNumberFormat="1" applyFont="1" applyBorder="1" applyAlignment="1">
      <alignment horizontal="left" vertical="center"/>
    </xf>
    <xf numFmtId="164" fontId="0" fillId="0" borderId="11" xfId="0" applyNumberFormat="1" applyFont="1" applyBorder="1" applyAlignment="1">
      <alignment horizontal="left" vertical="center"/>
    </xf>
    <xf numFmtId="0" fontId="0" fillId="0" borderId="104" xfId="0" applyFont="1" applyBorder="1" applyAlignment="1">
      <alignment horizontal="center" vertical="center" wrapText="1"/>
    </xf>
    <xf numFmtId="0" fontId="0" fillId="33" borderId="37" xfId="0" applyFont="1" applyFill="1" applyBorder="1" applyAlignment="1">
      <alignment horizontal="left" vertical="center"/>
    </xf>
    <xf numFmtId="0" fontId="0" fillId="33" borderId="16" xfId="0" applyFont="1" applyFill="1" applyBorder="1" applyAlignment="1">
      <alignment horizontal="left" vertical="center"/>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0" fillId="0" borderId="21" xfId="0" applyFont="1" applyBorder="1" applyAlignment="1">
      <alignment horizontal="center" vertical="center"/>
    </xf>
    <xf numFmtId="167" fontId="0" fillId="0" borderId="152" xfId="0" applyNumberFormat="1" applyFont="1" applyFill="1" applyBorder="1" applyAlignment="1">
      <alignment horizontal="left" vertical="center"/>
    </xf>
    <xf numFmtId="0" fontId="0" fillId="0" borderId="104" xfId="0" applyFont="1" applyBorder="1" applyAlignment="1">
      <alignment horizontal="left" vertical="center"/>
    </xf>
    <xf numFmtId="0" fontId="0" fillId="0" borderId="14" xfId="0" applyFont="1" applyBorder="1" applyAlignment="1">
      <alignment horizontal="center" vertical="center"/>
    </xf>
    <xf numFmtId="0" fontId="0" fillId="33" borderId="95" xfId="0" applyFont="1" applyFill="1" applyBorder="1" applyAlignment="1">
      <alignment horizontal="center" vertical="center"/>
    </xf>
    <xf numFmtId="0" fontId="0" fillId="33" borderId="0" xfId="0" applyFont="1" applyFill="1" applyBorder="1" applyAlignment="1">
      <alignment horizontal="center" vertical="center"/>
    </xf>
    <xf numFmtId="0" fontId="0" fillId="33" borderId="54" xfId="0" applyFont="1" applyFill="1" applyBorder="1" applyAlignment="1">
      <alignment horizontal="center" vertical="center"/>
    </xf>
    <xf numFmtId="0" fontId="0" fillId="33" borderId="96" xfId="0" applyFont="1" applyFill="1" applyBorder="1" applyAlignment="1">
      <alignment horizontal="center" vertical="center"/>
    </xf>
    <xf numFmtId="0" fontId="0" fillId="33" borderId="51" xfId="0" applyFont="1" applyFill="1" applyBorder="1" applyAlignment="1">
      <alignment horizontal="center" vertical="center"/>
    </xf>
    <xf numFmtId="0" fontId="0" fillId="33" borderId="52" xfId="0" applyFont="1" applyFill="1" applyBorder="1" applyAlignment="1">
      <alignment horizontal="center" vertical="center"/>
    </xf>
    <xf numFmtId="0" fontId="21" fillId="0" borderId="35" xfId="0" applyFont="1" applyFill="1" applyBorder="1" applyAlignment="1">
      <alignment horizontal="center"/>
    </xf>
    <xf numFmtId="0" fontId="0" fillId="0" borderId="26" xfId="0" applyFont="1" applyFill="1" applyBorder="1" applyAlignment="1">
      <alignment horizontal="center"/>
    </xf>
    <xf numFmtId="0" fontId="0" fillId="0" borderId="35" xfId="0" applyBorder="1" applyAlignment="1">
      <alignment horizontal="center" vertical="center"/>
    </xf>
    <xf numFmtId="0" fontId="0" fillId="0" borderId="10" xfId="0" applyBorder="1" applyAlignment="1">
      <alignment horizontal="center" vertical="center"/>
    </xf>
    <xf numFmtId="0" fontId="0" fillId="0" borderId="117" xfId="0" applyFont="1" applyBorder="1" applyAlignment="1">
      <alignment horizontal="left" vertical="center"/>
    </xf>
    <xf numFmtId="0" fontId="0" fillId="0" borderId="153" xfId="0" applyFont="1" applyBorder="1" applyAlignment="1">
      <alignment horizontal="left" vertical="center"/>
    </xf>
    <xf numFmtId="0" fontId="0" fillId="0" borderId="21" xfId="0" applyFont="1" applyBorder="1" applyAlignment="1">
      <alignment horizontal="left" vertical="center"/>
    </xf>
    <xf numFmtId="0" fontId="0" fillId="0" borderId="17" xfId="0" applyFont="1" applyBorder="1" applyAlignment="1">
      <alignment horizontal="left" vertical="center"/>
    </xf>
    <xf numFmtId="170" fontId="0" fillId="0" borderId="15" xfId="0" applyNumberFormat="1" applyBorder="1" applyAlignment="1">
      <alignment horizontal="left" vertical="center"/>
    </xf>
    <xf numFmtId="170" fontId="0" fillId="0" borderId="16" xfId="0" applyNumberFormat="1" applyBorder="1" applyAlignment="1">
      <alignment horizontal="left" vertical="center"/>
    </xf>
    <xf numFmtId="170" fontId="0" fillId="0" borderId="23" xfId="0" applyNumberFormat="1" applyBorder="1" applyAlignment="1">
      <alignment horizontal="left" vertical="center"/>
    </xf>
    <xf numFmtId="170" fontId="0" fillId="0" borderId="13" xfId="0" applyNumberFormat="1" applyBorder="1" applyAlignment="1">
      <alignment horizontal="left" vertical="center"/>
    </xf>
    <xf numFmtId="0" fontId="0" fillId="0" borderId="10" xfId="0" applyFont="1" applyFill="1" applyBorder="1" applyAlignment="1">
      <alignment horizontal="center" vertical="center" wrapText="1"/>
    </xf>
    <xf numFmtId="0" fontId="0" fillId="0" borderId="69" xfId="0" applyFont="1" applyBorder="1" applyAlignment="1">
      <alignment horizontal="center" vertical="center" wrapText="1"/>
    </xf>
    <xf numFmtId="0" fontId="0" fillId="0" borderId="24"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23" xfId="0" applyBorder="1" applyAlignment="1">
      <alignment horizontal="left" vertical="center"/>
    </xf>
    <xf numFmtId="0" fontId="0" fillId="0" borderId="105" xfId="0" applyFont="1" applyBorder="1" applyAlignment="1">
      <alignment vertical="center"/>
    </xf>
    <xf numFmtId="0" fontId="21" fillId="35" borderId="29" xfId="0" applyFont="1" applyFill="1" applyBorder="1" applyAlignment="1">
      <alignment horizontal="center"/>
    </xf>
    <xf numFmtId="0" fontId="0" fillId="0" borderId="11" xfId="0" applyBorder="1" applyAlignment="1">
      <alignment horizontal="center" wrapText="1"/>
    </xf>
    <xf numFmtId="0" fontId="0" fillId="0" borderId="58" xfId="0" applyBorder="1" applyAlignment="1">
      <alignment horizontal="center" wrapText="1"/>
    </xf>
    <xf numFmtId="164" fontId="0" fillId="0" borderId="62" xfId="0" applyNumberFormat="1" applyFont="1" applyBorder="1" applyAlignment="1">
      <alignment horizontal="left" vertical="center"/>
    </xf>
    <xf numFmtId="167" fontId="0" fillId="0" borderId="11" xfId="0" applyNumberFormat="1" applyFont="1" applyBorder="1" applyAlignment="1">
      <alignment horizontal="left" vertical="center"/>
    </xf>
    <xf numFmtId="164" fontId="0" fillId="0" borderId="35" xfId="0" applyNumberFormat="1" applyFont="1" applyBorder="1" applyAlignment="1">
      <alignment horizontal="left" vertical="center"/>
    </xf>
    <xf numFmtId="0" fontId="0" fillId="0" borderId="10" xfId="0" applyFont="1" applyBorder="1" applyAlignment="1">
      <alignment horizontal="left" vertical="center"/>
    </xf>
    <xf numFmtId="168" fontId="25" fillId="33" borderId="41" xfId="57" applyNumberFormat="1" applyFont="1" applyFill="1" applyBorder="1" applyAlignment="1">
      <alignment horizontal="left" vertical="center"/>
    </xf>
    <xf numFmtId="168" fontId="25" fillId="33" borderId="44" xfId="57" applyNumberFormat="1" applyFont="1" applyFill="1" applyBorder="1" applyAlignment="1">
      <alignment horizontal="left" vertical="center"/>
    </xf>
    <xf numFmtId="168" fontId="25" fillId="33" borderId="59" xfId="57" applyNumberFormat="1" applyFont="1" applyFill="1" applyBorder="1" applyAlignment="1">
      <alignment horizontal="left" vertical="center"/>
    </xf>
    <xf numFmtId="168" fontId="25" fillId="33" borderId="42" xfId="57" applyNumberFormat="1" applyFont="1" applyFill="1" applyBorder="1" applyAlignment="1">
      <alignment horizontal="left" vertical="center"/>
    </xf>
    <xf numFmtId="168" fontId="25" fillId="33" borderId="0" xfId="57" applyNumberFormat="1" applyFont="1" applyFill="1" applyBorder="1" applyAlignment="1">
      <alignment horizontal="left" vertical="center"/>
    </xf>
    <xf numFmtId="168" fontId="25" fillId="33" borderId="61" xfId="57" applyNumberFormat="1" applyFont="1" applyFill="1" applyBorder="1" applyAlignment="1">
      <alignment horizontal="left" vertical="center"/>
    </xf>
    <xf numFmtId="168" fontId="25" fillId="33" borderId="31" xfId="57" applyNumberFormat="1" applyFont="1" applyFill="1" applyBorder="1" applyAlignment="1">
      <alignment horizontal="left" vertical="center"/>
    </xf>
    <xf numFmtId="168" fontId="25" fillId="33" borderId="51" xfId="57" applyNumberFormat="1" applyFont="1" applyFill="1" applyBorder="1" applyAlignment="1">
      <alignment horizontal="left" vertical="center"/>
    </xf>
    <xf numFmtId="168" fontId="25" fillId="33" borderId="66" xfId="57" applyNumberFormat="1" applyFont="1" applyFill="1" applyBorder="1" applyAlignment="1">
      <alignment horizontal="left" vertical="center"/>
    </xf>
    <xf numFmtId="0" fontId="0" fillId="33" borderId="42" xfId="0" applyFont="1" applyFill="1" applyBorder="1" applyAlignment="1">
      <alignment horizontal="center" vertical="center"/>
    </xf>
    <xf numFmtId="0" fontId="0" fillId="33" borderId="40" xfId="0" applyFont="1" applyFill="1" applyBorder="1" applyAlignment="1">
      <alignment horizontal="center" vertical="center"/>
    </xf>
    <xf numFmtId="0" fontId="0" fillId="33" borderId="34" xfId="0" applyFont="1" applyFill="1" applyBorder="1" applyAlignment="1">
      <alignment horizontal="center" vertical="center"/>
    </xf>
    <xf numFmtId="0" fontId="0" fillId="0" borderId="35" xfId="0" applyFont="1" applyBorder="1" applyAlignment="1">
      <alignment horizontal="center"/>
    </xf>
    <xf numFmtId="0" fontId="0" fillId="0" borderId="10" xfId="0" applyFont="1" applyBorder="1" applyAlignment="1"/>
    <xf numFmtId="0" fontId="0" fillId="0" borderId="10" xfId="0" applyBorder="1" applyAlignment="1"/>
    <xf numFmtId="0" fontId="21" fillId="35" borderId="13" xfId="0" applyFont="1" applyFill="1" applyBorder="1" applyAlignment="1">
      <alignment horizontal="center"/>
    </xf>
    <xf numFmtId="0" fontId="0" fillId="0" borderId="22" xfId="0" applyFont="1" applyBorder="1" applyAlignment="1">
      <alignment horizontal="center"/>
    </xf>
    <xf numFmtId="0" fontId="21" fillId="35" borderId="30" xfId="0" applyFont="1" applyFill="1" applyBorder="1" applyAlignment="1">
      <alignment horizontal="center"/>
    </xf>
    <xf numFmtId="164" fontId="0" fillId="0" borderId="15" xfId="0" applyNumberFormat="1" applyFont="1" applyBorder="1" applyAlignment="1">
      <alignment horizontal="left" vertical="center"/>
    </xf>
    <xf numFmtId="0" fontId="0" fillId="0" borderId="17" xfId="0" applyFont="1" applyBorder="1" applyAlignment="1">
      <alignment horizontal="center" vertical="center"/>
    </xf>
    <xf numFmtId="0" fontId="21" fillId="0" borderId="13" xfId="0" applyFont="1" applyFill="1" applyBorder="1" applyAlignment="1">
      <alignment horizontal="center"/>
    </xf>
    <xf numFmtId="0" fontId="0" fillId="0" borderId="22" xfId="0" applyFont="1" applyFill="1" applyBorder="1" applyAlignment="1">
      <alignment horizontal="center"/>
    </xf>
    <xf numFmtId="164" fontId="0" fillId="0" borderId="23" xfId="0" applyNumberFormat="1" applyFont="1" applyBorder="1" applyAlignment="1">
      <alignment horizontal="left" vertical="center"/>
    </xf>
    <xf numFmtId="0" fontId="24" fillId="36" borderId="59" xfId="0" applyNumberFormat="1" applyFont="1" applyFill="1" applyBorder="1" applyAlignment="1" applyProtection="1">
      <alignment horizontal="left" vertical="center"/>
    </xf>
    <xf numFmtId="0" fontId="24" fillId="36" borderId="61" xfId="0" applyNumberFormat="1" applyFont="1" applyFill="1" applyBorder="1" applyAlignment="1" applyProtection="1">
      <alignment horizontal="left" vertical="center"/>
    </xf>
    <xf numFmtId="167" fontId="0" fillId="0" borderId="43" xfId="0" applyNumberFormat="1" applyFont="1" applyBorder="1" applyAlignment="1">
      <alignment horizontal="left" vertical="center"/>
    </xf>
    <xf numFmtId="0" fontId="0" fillId="0" borderId="69"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24" fillId="36" borderId="39" xfId="0" applyNumberFormat="1" applyFont="1" applyFill="1" applyBorder="1" applyAlignment="1" applyProtection="1">
      <alignment horizontal="left" vertical="center"/>
    </xf>
    <xf numFmtId="0" fontId="0" fillId="33" borderId="69" xfId="0" applyFont="1" applyFill="1" applyBorder="1" applyAlignment="1">
      <alignment horizontal="left" vertical="center"/>
    </xf>
    <xf numFmtId="0" fontId="0" fillId="33" borderId="13" xfId="0" applyFont="1" applyFill="1" applyBorder="1" applyAlignment="1">
      <alignment horizontal="left" vertical="center"/>
    </xf>
    <xf numFmtId="0" fontId="32" fillId="37" borderId="149" xfId="0" applyFont="1" applyFill="1" applyBorder="1" applyAlignment="1">
      <alignment horizontal="left" vertical="center" wrapText="1"/>
    </xf>
    <xf numFmtId="0" fontId="32" fillId="37" borderId="142" xfId="0" applyFont="1" applyFill="1" applyBorder="1" applyAlignment="1">
      <alignment horizontal="left" vertical="center" wrapText="1"/>
    </xf>
    <xf numFmtId="0" fontId="32" fillId="37" borderId="154" xfId="0" applyFont="1" applyFill="1" applyBorder="1" applyAlignment="1">
      <alignment horizontal="left" vertical="center" wrapText="1"/>
    </xf>
    <xf numFmtId="0" fontId="24" fillId="36" borderId="112" xfId="0" applyNumberFormat="1" applyFont="1" applyFill="1" applyBorder="1" applyAlignment="1" applyProtection="1">
      <alignment horizontal="left" vertical="center" wrapText="1"/>
    </xf>
    <xf numFmtId="164" fontId="0" fillId="0" borderId="13" xfId="0" applyNumberFormat="1" applyBorder="1" applyAlignment="1">
      <alignment horizontal="left" vertical="center"/>
    </xf>
    <xf numFmtId="164" fontId="0" fillId="0" borderId="10" xfId="0" applyNumberFormat="1" applyBorder="1" applyAlignment="1">
      <alignment horizontal="left" vertical="center"/>
    </xf>
    <xf numFmtId="0" fontId="0" fillId="33" borderId="17" xfId="0" applyFont="1" applyFill="1" applyBorder="1" applyAlignment="1">
      <alignment horizontal="left" vertical="center"/>
    </xf>
    <xf numFmtId="0" fontId="32" fillId="37" borderId="11" xfId="0" applyFont="1" applyFill="1" applyBorder="1" applyAlignment="1">
      <alignment horizontal="left" vertical="center"/>
    </xf>
    <xf numFmtId="0" fontId="21" fillId="35" borderId="39" xfId="0" applyFont="1" applyFill="1" applyBorder="1" applyAlignment="1">
      <alignment horizontal="center"/>
    </xf>
    <xf numFmtId="0" fontId="0" fillId="0" borderId="13" xfId="0" applyFont="1" applyBorder="1" applyAlignment="1">
      <alignment horizontal="center"/>
    </xf>
    <xf numFmtId="164" fontId="0" fillId="0" borderId="16" xfId="0" applyNumberFormat="1" applyFont="1" applyBorder="1" applyAlignment="1">
      <alignment horizontal="left" vertical="center"/>
    </xf>
    <xf numFmtId="170" fontId="0" fillId="0" borderId="16" xfId="0" applyNumberFormat="1" applyFont="1" applyBorder="1" applyAlignment="1">
      <alignment horizontal="left" vertical="center"/>
    </xf>
    <xf numFmtId="170" fontId="0" fillId="0" borderId="11" xfId="0" applyNumberFormat="1" applyFont="1" applyBorder="1" applyAlignment="1">
      <alignment horizontal="left" vertical="center"/>
    </xf>
    <xf numFmtId="170" fontId="0" fillId="0" borderId="23" xfId="0" applyNumberFormat="1" applyFont="1" applyBorder="1" applyAlignment="1">
      <alignment horizontal="left" vertical="center"/>
    </xf>
    <xf numFmtId="170" fontId="0" fillId="0" borderId="13" xfId="0" applyNumberFormat="1" applyFont="1" applyBorder="1" applyAlignment="1">
      <alignment horizontal="left" vertical="center"/>
    </xf>
    <xf numFmtId="0" fontId="0" fillId="33" borderId="21" xfId="0" applyFont="1" applyFill="1" applyBorder="1" applyAlignment="1">
      <alignment horizontal="left" vertical="center"/>
    </xf>
    <xf numFmtId="0" fontId="14" fillId="0" borderId="17" xfId="0" applyFont="1" applyBorder="1" applyAlignment="1">
      <alignment horizontal="left" vertical="center"/>
    </xf>
    <xf numFmtId="0" fontId="16" fillId="33" borderId="61" xfId="0" applyFont="1" applyFill="1" applyBorder="1" applyAlignment="1">
      <alignment horizontal="left" vertical="center"/>
    </xf>
    <xf numFmtId="0" fontId="16" fillId="33" borderId="101" xfId="0" applyFont="1" applyFill="1" applyBorder="1" applyAlignment="1">
      <alignment horizontal="left" vertical="center"/>
    </xf>
    <xf numFmtId="0" fontId="16" fillId="33" borderId="24" xfId="0" applyFont="1" applyFill="1" applyBorder="1" applyAlignment="1">
      <alignment horizontal="left" vertical="center"/>
    </xf>
    <xf numFmtId="0" fontId="16" fillId="33" borderId="56" xfId="0" applyFont="1" applyFill="1" applyBorder="1" applyAlignment="1">
      <alignment horizontal="left" vertical="center"/>
    </xf>
    <xf numFmtId="0" fontId="32" fillId="37" borderId="37" xfId="0" applyFont="1" applyFill="1" applyBorder="1" applyAlignment="1">
      <alignment horizontal="left" vertical="center" wrapText="1"/>
    </xf>
    <xf numFmtId="0" fontId="32" fillId="37" borderId="107" xfId="0" applyFont="1" applyFill="1" applyBorder="1" applyAlignment="1">
      <alignment horizontal="left" vertical="center" wrapText="1"/>
    </xf>
    <xf numFmtId="0" fontId="0" fillId="33" borderId="14" xfId="0" applyFont="1" applyFill="1" applyBorder="1" applyAlignment="1">
      <alignment horizontal="left" vertical="center"/>
    </xf>
    <xf numFmtId="0" fontId="0" fillId="33" borderId="59" xfId="0" applyFont="1" applyFill="1" applyBorder="1" applyAlignment="1">
      <alignment horizontal="left" vertical="center"/>
    </xf>
    <xf numFmtId="0" fontId="0" fillId="33" borderId="11" xfId="0" applyFont="1" applyFill="1" applyBorder="1" applyAlignment="1">
      <alignment horizontal="left" vertical="center"/>
    </xf>
    <xf numFmtId="0" fontId="0" fillId="33" borderId="15" xfId="0" applyFont="1" applyFill="1" applyBorder="1" applyAlignment="1">
      <alignment horizontal="left" vertical="center"/>
    </xf>
    <xf numFmtId="0" fontId="0" fillId="33" borderId="19" xfId="0" applyFont="1" applyFill="1" applyBorder="1" applyAlignment="1">
      <alignment horizontal="left" vertical="center"/>
    </xf>
    <xf numFmtId="0" fontId="16" fillId="33" borderId="12" xfId="0" applyFont="1" applyFill="1" applyBorder="1" applyAlignment="1">
      <alignment horizontal="left" vertical="center"/>
    </xf>
    <xf numFmtId="0" fontId="16" fillId="33" borderId="107" xfId="0" applyFont="1" applyFill="1" applyBorder="1" applyAlignment="1">
      <alignment horizontal="left" vertical="center"/>
    </xf>
    <xf numFmtId="0" fontId="16" fillId="33" borderId="20" xfId="0" applyFont="1" applyFill="1" applyBorder="1" applyAlignment="1">
      <alignment horizontal="left" vertical="center"/>
    </xf>
    <xf numFmtId="0" fontId="16" fillId="33" borderId="55" xfId="0" applyFont="1" applyFill="1" applyBorder="1" applyAlignment="1">
      <alignment horizontal="left" vertical="center"/>
    </xf>
    <xf numFmtId="0" fontId="32" fillId="37" borderId="45" xfId="0" applyFont="1" applyFill="1" applyBorder="1" applyAlignment="1">
      <alignment horizontal="left" vertical="center"/>
    </xf>
    <xf numFmtId="0" fontId="32" fillId="37" borderId="31" xfId="0" applyFont="1" applyFill="1" applyBorder="1" applyAlignment="1">
      <alignment horizontal="left" vertical="center"/>
    </xf>
    <xf numFmtId="0" fontId="0" fillId="0" borderId="112" xfId="0" applyFont="1" applyBorder="1" applyAlignment="1">
      <alignment horizontal="left" vertical="center"/>
    </xf>
    <xf numFmtId="0" fontId="0" fillId="0" borderId="101" xfId="0" applyFont="1" applyBorder="1" applyAlignment="1">
      <alignment horizontal="left" vertical="center"/>
    </xf>
    <xf numFmtId="170" fontId="0" fillId="0" borderId="15" xfId="0" applyNumberFormat="1" applyFont="1" applyBorder="1" applyAlignment="1">
      <alignment horizontal="left" vertical="center"/>
    </xf>
    <xf numFmtId="167" fontId="0" fillId="0" borderId="10" xfId="0" applyNumberFormat="1" applyFont="1" applyBorder="1" applyAlignment="1">
      <alignment horizontal="left" vertical="center" wrapText="1"/>
    </xf>
    <xf numFmtId="0" fontId="0" fillId="0" borderId="118" xfId="0" applyFont="1" applyBorder="1" applyAlignment="1">
      <alignment horizontal="left" vertical="center"/>
    </xf>
    <xf numFmtId="0" fontId="0" fillId="0" borderId="119" xfId="0" applyFont="1" applyBorder="1" applyAlignment="1">
      <alignment horizontal="left" vertical="center"/>
    </xf>
    <xf numFmtId="167" fontId="0" fillId="0" borderId="36" xfId="0" applyNumberFormat="1" applyFont="1" applyBorder="1" applyAlignment="1">
      <alignment horizontal="left" vertical="center"/>
    </xf>
    <xf numFmtId="0" fontId="0" fillId="0" borderId="23" xfId="0" applyFont="1" applyFill="1" applyBorder="1" applyAlignment="1">
      <alignment horizontal="center" vertical="center" wrapText="1"/>
    </xf>
    <xf numFmtId="167" fontId="0" fillId="38" borderId="10" xfId="0" applyNumberFormat="1" applyFont="1" applyFill="1" applyBorder="1" applyAlignment="1" applyProtection="1">
      <alignment horizontal="left" vertical="center"/>
    </xf>
    <xf numFmtId="170" fontId="31" fillId="41" borderId="53" xfId="0" applyNumberFormat="1" applyFont="1" applyFill="1" applyBorder="1" applyAlignment="1">
      <alignment horizontal="left" vertical="center"/>
    </xf>
    <xf numFmtId="170" fontId="16" fillId="33" borderId="29" xfId="0" applyNumberFormat="1" applyFont="1" applyFill="1" applyBorder="1" applyAlignment="1">
      <alignment horizontal="left" vertical="center" wrapText="1"/>
    </xf>
    <xf numFmtId="170" fontId="16" fillId="33" borderId="30" xfId="0" applyNumberFormat="1" applyFont="1" applyFill="1" applyBorder="1" applyAlignment="1">
      <alignment horizontal="left" vertical="center" wrapText="1"/>
    </xf>
    <xf numFmtId="0" fontId="31" fillId="41" borderId="48" xfId="0" applyFont="1" applyFill="1" applyBorder="1" applyAlignment="1">
      <alignment horizontal="center" vertical="center"/>
    </xf>
    <xf numFmtId="0" fontId="31" fillId="41" borderId="53" xfId="0" applyFont="1" applyFill="1" applyBorder="1" applyAlignment="1">
      <alignment horizontal="center" vertical="center"/>
    </xf>
    <xf numFmtId="170" fontId="0" fillId="0" borderId="10" xfId="0" applyNumberFormat="1" applyFont="1" applyBorder="1" applyAlignment="1">
      <alignment horizontal="left" vertical="center"/>
    </xf>
    <xf numFmtId="0" fontId="14" fillId="0" borderId="19" xfId="0" applyFont="1" applyBorder="1" applyAlignment="1">
      <alignment horizontal="left" vertical="center"/>
    </xf>
    <xf numFmtId="0" fontId="30" fillId="33" borderId="28" xfId="0" applyFont="1" applyFill="1" applyBorder="1" applyAlignment="1">
      <alignment horizontal="center" vertical="center" wrapText="1"/>
    </xf>
    <xf numFmtId="0" fontId="30" fillId="33" borderId="29" xfId="0" applyFont="1" applyFill="1" applyBorder="1" applyAlignment="1">
      <alignment horizontal="center" vertical="center" wrapText="1"/>
    </xf>
    <xf numFmtId="0" fontId="16" fillId="33" borderId="12" xfId="0" applyFont="1" applyFill="1" applyBorder="1" applyAlignment="1">
      <alignment horizontal="center" vertical="center"/>
    </xf>
    <xf numFmtId="0" fontId="16" fillId="33" borderId="61" xfId="0" applyFont="1" applyFill="1" applyBorder="1" applyAlignment="1">
      <alignment horizontal="center" vertical="center"/>
    </xf>
    <xf numFmtId="0" fontId="16" fillId="33" borderId="107" xfId="0" applyFont="1" applyFill="1" applyBorder="1" applyAlignment="1">
      <alignment horizontal="center" vertical="center"/>
    </xf>
    <xf numFmtId="0" fontId="16" fillId="33" borderId="101" xfId="0" applyFont="1" applyFill="1" applyBorder="1" applyAlignment="1">
      <alignment horizontal="center" vertical="center"/>
    </xf>
    <xf numFmtId="0" fontId="16" fillId="33" borderId="100" xfId="0" applyFont="1" applyFill="1" applyBorder="1" applyAlignment="1">
      <alignment horizontal="left" vertical="center"/>
    </xf>
    <xf numFmtId="0" fontId="31" fillId="41" borderId="50" xfId="0" applyFont="1" applyFill="1" applyBorder="1" applyAlignment="1">
      <alignment horizontal="center" vertical="center"/>
    </xf>
    <xf numFmtId="0" fontId="31" fillId="41" borderId="47" xfId="0" applyFont="1" applyFill="1" applyBorder="1" applyAlignment="1">
      <alignment horizontal="center" vertical="center"/>
    </xf>
    <xf numFmtId="0" fontId="31" fillId="41" borderId="102" xfId="0" applyFont="1" applyFill="1" applyBorder="1" applyAlignment="1">
      <alignment horizontal="center" vertical="center"/>
    </xf>
    <xf numFmtId="0" fontId="31" fillId="41" borderId="49" xfId="0" applyFont="1" applyFill="1" applyBorder="1" applyAlignment="1">
      <alignment horizontal="center" vertical="center"/>
    </xf>
    <xf numFmtId="0" fontId="30" fillId="33" borderId="45" xfId="0" applyFont="1" applyFill="1" applyBorder="1" applyAlignment="1">
      <alignment horizontal="center" vertical="center" wrapText="1"/>
    </xf>
    <xf numFmtId="0" fontId="30" fillId="33" borderId="46" xfId="0" applyFont="1" applyFill="1" applyBorder="1" applyAlignment="1">
      <alignment horizontal="center" vertical="center" wrapText="1"/>
    </xf>
    <xf numFmtId="0" fontId="30" fillId="33" borderId="57" xfId="0" applyFont="1" applyFill="1" applyBorder="1" applyAlignment="1">
      <alignment horizontal="center" vertical="center" wrapText="1"/>
    </xf>
    <xf numFmtId="0" fontId="30" fillId="33" borderId="31" xfId="0" applyFont="1" applyFill="1" applyBorder="1" applyAlignment="1">
      <alignment horizontal="center" vertical="center" wrapText="1"/>
    </xf>
    <xf numFmtId="0" fontId="30" fillId="33" borderId="51" xfId="0" applyFont="1" applyFill="1" applyBorder="1" applyAlignment="1">
      <alignment horizontal="center" vertical="center" wrapText="1"/>
    </xf>
    <xf numFmtId="0" fontId="30" fillId="33" borderId="52" xfId="0" applyFont="1" applyFill="1" applyBorder="1" applyAlignment="1">
      <alignment horizontal="center" vertical="center" wrapText="1"/>
    </xf>
    <xf numFmtId="167" fontId="16" fillId="33" borderId="24" xfId="0" applyNumberFormat="1" applyFont="1" applyFill="1" applyBorder="1" applyAlignment="1">
      <alignment horizontal="left" vertical="center" wrapText="1"/>
    </xf>
    <xf numFmtId="167" fontId="16" fillId="33" borderId="100" xfId="0" applyNumberFormat="1" applyFont="1" applyFill="1" applyBorder="1" applyAlignment="1">
      <alignment horizontal="left" vertical="center" wrapText="1"/>
    </xf>
    <xf numFmtId="0" fontId="0" fillId="0" borderId="14" xfId="0" applyFont="1" applyBorder="1" applyAlignment="1">
      <alignment vertical="center"/>
    </xf>
    <xf numFmtId="170" fontId="0" fillId="0" borderId="12" xfId="0" applyNumberFormat="1" applyFont="1" applyBorder="1" applyAlignment="1">
      <alignment horizontal="left" vertical="center"/>
    </xf>
    <xf numFmtId="0" fontId="16" fillId="33" borderId="12" xfId="0" applyFont="1" applyFill="1" applyBorder="1" applyAlignment="1">
      <alignment horizontal="left" vertical="center" wrapText="1"/>
    </xf>
    <xf numFmtId="0" fontId="16" fillId="33" borderId="107" xfId="0" applyFont="1" applyFill="1" applyBorder="1" applyAlignment="1">
      <alignment horizontal="left" vertical="center" wrapText="1"/>
    </xf>
    <xf numFmtId="0" fontId="24" fillId="36" borderId="117" xfId="0" applyNumberFormat="1" applyFont="1" applyFill="1" applyBorder="1" applyAlignment="1" applyProtection="1">
      <alignment horizontal="left" vertical="center"/>
    </xf>
    <xf numFmtId="0" fontId="24" fillId="36" borderId="118" xfId="0" applyNumberFormat="1" applyFont="1" applyFill="1" applyBorder="1" applyAlignment="1" applyProtection="1">
      <alignment horizontal="left" vertical="center"/>
    </xf>
    <xf numFmtId="0" fontId="24" fillId="36" borderId="119" xfId="0" applyNumberFormat="1" applyFont="1" applyFill="1" applyBorder="1" applyAlignment="1" applyProtection="1">
      <alignment horizontal="left" vertical="center"/>
    </xf>
    <xf numFmtId="2" fontId="16" fillId="33" borderId="20" xfId="0" applyNumberFormat="1" applyFont="1" applyFill="1" applyBorder="1" applyAlignment="1">
      <alignment horizontal="left" vertical="center" wrapText="1"/>
    </xf>
    <xf numFmtId="2" fontId="16" fillId="33" borderId="55" xfId="0" applyNumberFormat="1" applyFont="1" applyFill="1" applyBorder="1" applyAlignment="1">
      <alignment horizontal="left" vertical="center" wrapText="1"/>
    </xf>
    <xf numFmtId="2" fontId="16" fillId="33" borderId="24" xfId="0" applyNumberFormat="1" applyFont="1" applyFill="1" applyBorder="1" applyAlignment="1">
      <alignment horizontal="left" vertical="center"/>
    </xf>
    <xf numFmtId="2" fontId="16" fillId="33" borderId="100" xfId="0" applyNumberFormat="1" applyFont="1" applyFill="1" applyBorder="1" applyAlignment="1">
      <alignment horizontal="left" vertical="center"/>
    </xf>
    <xf numFmtId="0" fontId="31" fillId="41" borderId="31" xfId="0" applyFont="1" applyFill="1" applyBorder="1" applyAlignment="1">
      <alignment horizontal="center" vertical="center"/>
    </xf>
    <xf numFmtId="0" fontId="31" fillId="41" borderId="51" xfId="0" applyFont="1" applyFill="1" applyBorder="1" applyAlignment="1">
      <alignment horizontal="center" vertical="center"/>
    </xf>
    <xf numFmtId="0" fontId="31" fillId="41" borderId="52" xfId="0" applyFont="1" applyFill="1" applyBorder="1" applyAlignment="1">
      <alignment horizontal="center" vertical="center"/>
    </xf>
    <xf numFmtId="0" fontId="0" fillId="0" borderId="112" xfId="0" applyFont="1" applyBorder="1" applyAlignment="1">
      <alignment vertical="center"/>
    </xf>
    <xf numFmtId="0" fontId="0" fillId="0" borderId="103" xfId="0" applyFont="1" applyBorder="1" applyAlignment="1">
      <alignment horizontal="center" wrapText="1"/>
    </xf>
    <xf numFmtId="0" fontId="0" fillId="0" borderId="109" xfId="0" applyFont="1" applyBorder="1" applyAlignment="1">
      <alignment horizontal="center" wrapText="1"/>
    </xf>
    <xf numFmtId="0" fontId="0" fillId="0" borderId="17" xfId="0" applyFont="1" applyFill="1" applyBorder="1" applyAlignment="1">
      <alignment vertical="center"/>
    </xf>
    <xf numFmtId="0" fontId="0" fillId="0" borderId="17" xfId="0" applyBorder="1" applyAlignment="1">
      <alignment vertical="center"/>
    </xf>
    <xf numFmtId="2" fontId="0" fillId="0" borderId="19" xfId="0" applyNumberFormat="1" applyFont="1" applyFill="1" applyBorder="1" applyAlignment="1"/>
    <xf numFmtId="0" fontId="0" fillId="0" borderId="21" xfId="0" applyFill="1" applyBorder="1" applyAlignment="1"/>
    <xf numFmtId="0" fontId="0" fillId="0" borderId="109" xfId="0" applyFont="1" applyBorder="1" applyAlignment="1">
      <alignment vertical="center"/>
    </xf>
    <xf numFmtId="167" fontId="0" fillId="0" borderId="15" xfId="0" applyNumberFormat="1" applyFont="1" applyFill="1" applyBorder="1" applyAlignment="1">
      <alignment horizontal="left" vertical="center"/>
    </xf>
    <xf numFmtId="167" fontId="0" fillId="0" borderId="12" xfId="0" applyNumberFormat="1" applyFont="1" applyFill="1" applyBorder="1" applyAlignment="1">
      <alignment horizontal="left" vertical="center"/>
    </xf>
    <xf numFmtId="167" fontId="0" fillId="0" borderId="16" xfId="0" applyNumberFormat="1" applyFont="1" applyFill="1" applyBorder="1" applyAlignment="1">
      <alignment horizontal="left" vertical="center"/>
    </xf>
    <xf numFmtId="167" fontId="0" fillId="0" borderId="33" xfId="0" applyNumberFormat="1" applyFont="1" applyBorder="1" applyAlignment="1">
      <alignment horizontal="left" vertical="center"/>
    </xf>
    <xf numFmtId="0" fontId="0" fillId="0" borderId="11" xfId="0" applyFont="1" applyBorder="1" applyAlignment="1">
      <alignment horizontal="left" vertical="center"/>
    </xf>
    <xf numFmtId="0" fontId="0" fillId="0" borderId="61" xfId="0" applyFont="1" applyFill="1" applyBorder="1" applyAlignment="1">
      <alignment horizontal="left" vertical="center"/>
    </xf>
    <xf numFmtId="164" fontId="0" fillId="0" borderId="12" xfId="0" applyNumberFormat="1" applyFont="1" applyBorder="1" applyAlignment="1">
      <alignment horizontal="left" vertical="center"/>
    </xf>
    <xf numFmtId="0" fontId="14" fillId="36" borderId="17" xfId="0" applyNumberFormat="1" applyFont="1" applyFill="1" applyBorder="1" applyAlignment="1" applyProtection="1">
      <alignment horizontal="left" vertical="center" wrapText="1"/>
    </xf>
    <xf numFmtId="0" fontId="32" fillId="37" borderId="0" xfId="0" applyFont="1" applyFill="1" applyAlignment="1">
      <alignment horizontal="left" vertical="center" wrapText="1"/>
    </xf>
    <xf numFmtId="0" fontId="0" fillId="0" borderId="13" xfId="0" applyBorder="1"/>
    <xf numFmtId="0" fontId="0" fillId="0" borderId="24" xfId="0" applyBorder="1"/>
    <xf numFmtId="0" fontId="0" fillId="0" borderId="111" xfId="0" applyFont="1" applyFill="1" applyBorder="1" applyAlignment="1">
      <alignment vertical="center"/>
    </xf>
    <xf numFmtId="0" fontId="0" fillId="0" borderId="112" xfId="0" applyFont="1" applyFill="1" applyBorder="1" applyAlignment="1">
      <alignment vertical="center"/>
    </xf>
    <xf numFmtId="0" fontId="32" fillId="37" borderId="0" xfId="0" applyFont="1" applyFill="1" applyBorder="1" applyAlignment="1">
      <alignment horizontal="left" vertical="center"/>
    </xf>
    <xf numFmtId="0" fontId="0" fillId="0" borderId="0" xfId="0" applyBorder="1" applyAlignment="1">
      <alignment horizontal="left"/>
    </xf>
    <xf numFmtId="0" fontId="0" fillId="0" borderId="98" xfId="0" applyBorder="1" applyAlignment="1">
      <alignment horizontal="left"/>
    </xf>
    <xf numFmtId="0" fontId="0" fillId="0" borderId="35" xfId="0" applyFont="1" applyBorder="1" applyAlignment="1">
      <alignment horizontal="center" vertical="center"/>
    </xf>
    <xf numFmtId="0" fontId="32" fillId="37" borderId="98" xfId="0" applyFont="1" applyFill="1" applyBorder="1" applyAlignment="1">
      <alignment horizontal="left" vertical="center"/>
    </xf>
    <xf numFmtId="0" fontId="16" fillId="33" borderId="108" xfId="0" applyFont="1" applyFill="1" applyBorder="1" applyAlignment="1">
      <alignment horizontal="left" vertical="center"/>
    </xf>
    <xf numFmtId="0" fontId="16" fillId="33" borderId="109" xfId="0" applyFont="1" applyFill="1" applyBorder="1" applyAlignment="1">
      <alignment horizontal="left" vertical="center"/>
    </xf>
    <xf numFmtId="0" fontId="0" fillId="0" borderId="23" xfId="0" applyFont="1" applyBorder="1" applyAlignment="1">
      <alignment horizontal="center" vertical="center"/>
    </xf>
    <xf numFmtId="167" fontId="0" fillId="0" borderId="69" xfId="0" applyNumberFormat="1" applyFont="1" applyBorder="1" applyAlignment="1">
      <alignment horizontal="left" vertical="center"/>
    </xf>
    <xf numFmtId="0" fontId="24" fillId="0" borderId="59" xfId="0" applyFont="1" applyBorder="1" applyAlignment="1">
      <alignment horizontal="left" vertical="center"/>
    </xf>
    <xf numFmtId="0" fontId="24" fillId="0" borderId="39" xfId="0" applyFont="1" applyBorder="1" applyAlignment="1">
      <alignment horizontal="left" vertical="center"/>
    </xf>
    <xf numFmtId="0" fontId="0" fillId="0" borderId="69"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103" xfId="0" applyFont="1" applyBorder="1" applyAlignment="1">
      <alignment horizontal="center" vertical="center"/>
    </xf>
    <xf numFmtId="0" fontId="0" fillId="0" borderId="105" xfId="0" applyFont="1" applyBorder="1" applyAlignment="1">
      <alignment horizontal="center" vertical="center"/>
    </xf>
    <xf numFmtId="0" fontId="0" fillId="0" borderId="104" xfId="0" applyFont="1" applyBorder="1" applyAlignment="1">
      <alignment horizontal="center" vertical="center"/>
    </xf>
    <xf numFmtId="0" fontId="0" fillId="0" borderId="17" xfId="0" applyBorder="1" applyAlignment="1">
      <alignment horizontal="left" vertical="center"/>
    </xf>
    <xf numFmtId="0" fontId="0" fillId="0" borderId="108" xfId="0" applyFont="1" applyBorder="1" applyAlignment="1">
      <alignment horizontal="left" vertical="center" wrapText="1"/>
    </xf>
    <xf numFmtId="0" fontId="32" fillId="37" borderId="0" xfId="0" applyFont="1" applyFill="1" applyAlignment="1">
      <alignment horizontal="left" vertical="center"/>
    </xf>
    <xf numFmtId="0" fontId="0" fillId="0" borderId="69" xfId="0" applyFill="1" applyBorder="1" applyAlignment="1">
      <alignment horizontal="center" vertical="center" wrapText="1"/>
    </xf>
    <xf numFmtId="0" fontId="0" fillId="0" borderId="24"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100" xfId="0" applyFont="1" applyBorder="1" applyAlignment="1">
      <alignment horizontal="center" vertical="center"/>
    </xf>
    <xf numFmtId="0" fontId="0" fillId="0" borderId="69" xfId="0" applyFill="1" applyBorder="1" applyAlignment="1">
      <alignment horizontal="center" vertical="center"/>
    </xf>
    <xf numFmtId="0" fontId="0" fillId="0" borderId="24" xfId="0" applyFill="1" applyBorder="1" applyAlignment="1">
      <alignment horizontal="center" vertical="center"/>
    </xf>
    <xf numFmtId="0" fontId="0" fillId="0" borderId="100" xfId="0" applyFill="1" applyBorder="1" applyAlignment="1">
      <alignment horizontal="center" vertical="center"/>
    </xf>
    <xf numFmtId="9" fontId="0" fillId="0" borderId="131" xfId="58" applyFont="1" applyFill="1" applyBorder="1" applyAlignment="1" applyProtection="1">
      <alignment horizontal="right" vertical="center"/>
      <protection locked="0"/>
    </xf>
    <xf numFmtId="164" fontId="0" fillId="0" borderId="23" xfId="0" applyNumberFormat="1" applyFont="1" applyBorder="1" applyAlignment="1" applyProtection="1">
      <alignment horizontal="right" vertical="center"/>
      <protection locked="0"/>
    </xf>
    <xf numFmtId="164" fontId="0" fillId="0" borderId="24" xfId="0" applyNumberFormat="1" applyFont="1" applyBorder="1" applyAlignment="1" applyProtection="1">
      <alignment horizontal="right" vertical="center"/>
      <protection locked="0"/>
    </xf>
    <xf numFmtId="164" fontId="0" fillId="0" borderId="13" xfId="0" applyNumberFormat="1" applyFont="1" applyBorder="1" applyAlignment="1" applyProtection="1">
      <alignment horizontal="right" vertical="center"/>
      <protection locked="0"/>
    </xf>
    <xf numFmtId="9" fontId="0" fillId="0" borderId="131" xfId="58" applyFont="1" applyFill="1" applyBorder="1" applyAlignment="1" applyProtection="1">
      <alignment horizontal="center" vertical="center"/>
      <protection locked="0"/>
    </xf>
    <xf numFmtId="0" fontId="32" fillId="37" borderId="57" xfId="0" applyFont="1" applyFill="1" applyBorder="1" applyAlignment="1" applyProtection="1">
      <alignment horizontal="left" vertical="center" wrapText="1"/>
      <protection locked="0"/>
    </xf>
    <xf numFmtId="0" fontId="32" fillId="37" borderId="54" xfId="0" applyFont="1" applyFill="1" applyBorder="1" applyAlignment="1" applyProtection="1">
      <alignment horizontal="left" vertical="center" wrapText="1"/>
      <protection locked="0"/>
    </xf>
    <xf numFmtId="0" fontId="32" fillId="37" borderId="99" xfId="0" applyFont="1" applyFill="1" applyBorder="1" applyAlignment="1" applyProtection="1">
      <alignment horizontal="left" vertical="center" wrapText="1"/>
      <protection locked="0"/>
    </xf>
    <xf numFmtId="9" fontId="0" fillId="0" borderId="23" xfId="58" applyFont="1" applyFill="1" applyBorder="1" applyAlignment="1" applyProtection="1">
      <alignment horizontal="right" vertical="center"/>
      <protection locked="0"/>
    </xf>
    <xf numFmtId="9" fontId="0" fillId="0" borderId="13" xfId="58" applyFont="1" applyFill="1" applyBorder="1" applyAlignment="1" applyProtection="1">
      <alignment horizontal="right" vertical="center"/>
      <protection locked="0"/>
    </xf>
    <xf numFmtId="9" fontId="0" fillId="0" borderId="24" xfId="58" applyFont="1" applyBorder="1" applyAlignment="1" applyProtection="1">
      <alignment horizontal="right" vertical="center"/>
      <protection locked="0"/>
    </xf>
    <xf numFmtId="9" fontId="0" fillId="0" borderId="13" xfId="58" applyFont="1" applyBorder="1" applyAlignment="1" applyProtection="1">
      <alignment horizontal="right" vertical="center"/>
      <protection locked="0"/>
    </xf>
    <xf numFmtId="9" fontId="0" fillId="0" borderId="69" xfId="58" applyFont="1" applyBorder="1" applyAlignment="1" applyProtection="1">
      <alignment horizontal="right" vertical="center"/>
      <protection locked="0"/>
    </xf>
    <xf numFmtId="9" fontId="0" fillId="0" borderId="35" xfId="58" applyFont="1" applyFill="1" applyBorder="1" applyAlignment="1" applyProtection="1">
      <alignment horizontal="right" vertical="center"/>
      <protection locked="0"/>
    </xf>
    <xf numFmtId="0" fontId="32" fillId="37" borderId="46" xfId="0" applyFont="1" applyFill="1" applyBorder="1" applyAlignment="1" applyProtection="1">
      <alignment horizontal="left" vertical="center" wrapText="1"/>
      <protection locked="0"/>
    </xf>
    <xf numFmtId="0" fontId="32" fillId="37" borderId="0" xfId="0" applyFont="1" applyFill="1" applyBorder="1" applyAlignment="1" applyProtection="1">
      <alignment horizontal="left" vertical="center" wrapText="1"/>
      <protection locked="0"/>
    </xf>
    <xf numFmtId="0" fontId="32" fillId="37" borderId="144" xfId="0" applyFont="1" applyFill="1" applyBorder="1" applyAlignment="1" applyProtection="1">
      <alignment horizontal="left" vertical="center" wrapText="1"/>
      <protection locked="0"/>
    </xf>
    <xf numFmtId="0" fontId="32" fillId="37" borderId="160" xfId="0" applyFont="1" applyFill="1" applyBorder="1" applyAlignment="1" applyProtection="1">
      <alignment horizontal="left" vertical="center" wrapText="1"/>
      <protection locked="0"/>
    </xf>
    <xf numFmtId="0" fontId="32" fillId="37" borderId="52" xfId="0" applyFont="1" applyFill="1" applyBorder="1" applyAlignment="1" applyProtection="1">
      <alignment horizontal="left" vertical="center" wrapText="1"/>
      <protection locked="0"/>
    </xf>
    <xf numFmtId="0" fontId="32" fillId="37" borderId="15" xfId="0" applyFont="1" applyFill="1" applyBorder="1" applyAlignment="1" applyProtection="1">
      <alignment horizontal="left" vertical="center" wrapText="1"/>
      <protection locked="0"/>
    </xf>
    <xf numFmtId="0" fontId="32" fillId="37" borderId="12" xfId="0" applyFont="1" applyFill="1" applyBorder="1" applyAlignment="1" applyProtection="1">
      <alignment horizontal="left" vertical="center" wrapText="1"/>
      <protection locked="0"/>
    </xf>
    <xf numFmtId="0" fontId="32" fillId="37" borderId="16" xfId="0" applyFont="1" applyFill="1" applyBorder="1" applyAlignment="1" applyProtection="1">
      <alignment horizontal="left" vertical="center" wrapText="1"/>
      <protection locked="0"/>
    </xf>
    <xf numFmtId="0" fontId="32" fillId="37" borderId="98" xfId="0" applyFont="1" applyFill="1" applyBorder="1" applyAlignment="1" applyProtection="1">
      <alignment horizontal="left" vertical="center" wrapText="1"/>
      <protection locked="0"/>
    </xf>
    <xf numFmtId="0" fontId="32" fillId="37" borderId="0" xfId="0" applyFont="1" applyFill="1" applyBorder="1" applyAlignment="1" applyProtection="1">
      <alignment horizontal="left" vertical="center"/>
      <protection locked="0"/>
    </xf>
    <xf numFmtId="0" fontId="0" fillId="0" borderId="0" xfId="0" applyBorder="1" applyAlignment="1" applyProtection="1">
      <alignment horizontal="left"/>
      <protection locked="0"/>
    </xf>
    <xf numFmtId="0" fontId="0" fillId="0" borderId="98" xfId="0" applyBorder="1" applyAlignment="1" applyProtection="1">
      <alignment horizontal="left"/>
      <protection locked="0"/>
    </xf>
    <xf numFmtId="0" fontId="32" fillId="37" borderId="98" xfId="0" applyFont="1" applyFill="1" applyBorder="1" applyAlignment="1" applyProtection="1">
      <alignment horizontal="left" vertical="center"/>
      <protection locked="0"/>
    </xf>
    <xf numFmtId="9" fontId="0" fillId="0" borderId="24" xfId="58" applyFont="1" applyFill="1" applyBorder="1" applyAlignment="1" applyProtection="1">
      <alignment horizontal="right" vertical="center"/>
      <protection locked="0"/>
    </xf>
    <xf numFmtId="164" fontId="0" fillId="0" borderId="131" xfId="0" applyNumberFormat="1" applyFont="1" applyBorder="1" applyAlignment="1" applyProtection="1">
      <alignment horizontal="right" vertical="center"/>
      <protection locked="0"/>
    </xf>
    <xf numFmtId="9" fontId="0" fillId="0" borderId="131" xfId="58" applyFont="1" applyBorder="1" applyAlignment="1" applyProtection="1">
      <alignment horizontal="right" vertical="center"/>
      <protection locked="0"/>
    </xf>
    <xf numFmtId="0" fontId="30" fillId="33" borderId="28" xfId="0" applyFont="1" applyFill="1" applyBorder="1" applyAlignment="1" applyProtection="1">
      <alignment horizontal="center" vertical="center" wrapText="1"/>
      <protection locked="0"/>
    </xf>
    <xf numFmtId="0" fontId="30" fillId="33" borderId="29" xfId="0" applyFont="1" applyFill="1" applyBorder="1" applyAlignment="1" applyProtection="1">
      <alignment horizontal="center" vertical="center" wrapText="1"/>
      <protection locked="0"/>
    </xf>
    <xf numFmtId="0" fontId="30" fillId="33" borderId="30" xfId="0" applyFont="1" applyFill="1" applyBorder="1" applyAlignment="1" applyProtection="1">
      <alignment horizontal="center" vertical="center" wrapText="1"/>
      <protection locked="0"/>
    </xf>
    <xf numFmtId="164" fontId="0" fillId="0" borderId="135" xfId="0" applyNumberFormat="1" applyFont="1" applyFill="1" applyBorder="1" applyAlignment="1" applyProtection="1">
      <alignment horizontal="right" vertical="center"/>
      <protection locked="0"/>
    </xf>
    <xf numFmtId="164" fontId="0" fillId="0" borderId="142" xfId="0" applyNumberFormat="1" applyFont="1" applyFill="1" applyBorder="1" applyAlignment="1" applyProtection="1">
      <alignment horizontal="right" vertical="center"/>
      <protection locked="0"/>
    </xf>
    <xf numFmtId="0" fontId="0" fillId="0" borderId="23" xfId="0" applyFont="1" applyBorder="1" applyAlignment="1" applyProtection="1">
      <alignment horizontal="center" vertical="center"/>
      <protection locked="0"/>
    </xf>
    <xf numFmtId="0" fontId="0" fillId="0" borderId="24" xfId="0" applyFont="1" applyBorder="1" applyAlignment="1" applyProtection="1">
      <alignment horizontal="center" vertical="center"/>
      <protection locked="0"/>
    </xf>
    <xf numFmtId="0" fontId="0" fillId="0" borderId="13" xfId="0" applyFont="1" applyBorder="1" applyAlignment="1" applyProtection="1">
      <alignment horizontal="center" vertical="center"/>
      <protection locked="0"/>
    </xf>
    <xf numFmtId="164" fontId="0" fillId="0" borderId="23" xfId="0" applyNumberFormat="1" applyFont="1" applyFill="1" applyBorder="1" applyAlignment="1" applyProtection="1">
      <alignment horizontal="right" vertical="center"/>
      <protection locked="0"/>
    </xf>
    <xf numFmtId="164" fontId="0" fillId="0" borderId="24" xfId="0" applyNumberFormat="1" applyFont="1" applyFill="1" applyBorder="1" applyAlignment="1" applyProtection="1">
      <alignment horizontal="right" vertical="center"/>
      <protection locked="0"/>
    </xf>
    <xf numFmtId="164" fontId="0" fillId="0" borderId="13" xfId="0" applyNumberFormat="1" applyFont="1" applyFill="1" applyBorder="1" applyAlignment="1" applyProtection="1">
      <alignment horizontal="right" vertical="center"/>
      <protection locked="0"/>
    </xf>
    <xf numFmtId="0" fontId="0" fillId="0" borderId="2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142" xfId="0" applyNumberFormat="1" applyFont="1" applyBorder="1" applyAlignment="1" applyProtection="1">
      <alignment horizontal="right" vertical="center"/>
      <protection locked="0"/>
    </xf>
    <xf numFmtId="164" fontId="0" fillId="0" borderId="22" xfId="0" applyNumberFormat="1" applyFont="1" applyBorder="1" applyAlignment="1" applyProtection="1">
      <alignment horizontal="right" vertical="center"/>
      <protection locked="0"/>
    </xf>
    <xf numFmtId="164" fontId="0" fillId="0" borderId="22" xfId="0" applyNumberFormat="1" applyFont="1" applyFill="1" applyBorder="1" applyAlignment="1" applyProtection="1">
      <alignment horizontal="right" vertical="center"/>
      <protection locked="0"/>
    </xf>
    <xf numFmtId="164" fontId="0" fillId="0" borderId="97" xfId="0" applyNumberFormat="1" applyFont="1" applyFill="1" applyBorder="1" applyAlignment="1" applyProtection="1">
      <alignment horizontal="right" vertical="center"/>
      <protection locked="0"/>
    </xf>
    <xf numFmtId="0" fontId="32" fillId="37" borderId="45" xfId="0" applyFont="1" applyFill="1" applyBorder="1" applyAlignment="1" applyProtection="1">
      <alignment horizontal="left" vertical="center"/>
      <protection locked="0"/>
    </xf>
    <xf numFmtId="0" fontId="32" fillId="37" borderId="31" xfId="0" applyFont="1" applyFill="1" applyBorder="1" applyAlignment="1" applyProtection="1">
      <alignment horizontal="left" vertical="center"/>
      <protection locked="0"/>
    </xf>
    <xf numFmtId="170" fontId="31" fillId="41" borderId="53" xfId="0" applyNumberFormat="1" applyFont="1" applyFill="1" applyBorder="1" applyAlignment="1" applyProtection="1">
      <alignment horizontal="center" vertical="center"/>
      <protection locked="0"/>
    </xf>
    <xf numFmtId="170" fontId="31" fillId="41" borderId="49" xfId="0" applyNumberFormat="1" applyFont="1" applyFill="1" applyBorder="1" applyAlignment="1" applyProtection="1">
      <alignment horizontal="center" vertical="center"/>
      <protection locked="0"/>
    </xf>
    <xf numFmtId="170" fontId="31" fillId="41" borderId="48" xfId="0" applyNumberFormat="1" applyFont="1" applyFill="1" applyBorder="1" applyAlignment="1" applyProtection="1">
      <alignment horizontal="center" vertical="center"/>
      <protection locked="0"/>
    </xf>
    <xf numFmtId="0" fontId="16" fillId="33" borderId="28" xfId="0" applyFont="1" applyFill="1" applyBorder="1" applyAlignment="1" applyProtection="1">
      <alignment horizontal="center"/>
      <protection locked="0"/>
    </xf>
    <xf numFmtId="0" fontId="16" fillId="33" borderId="29" xfId="0" applyFont="1" applyFill="1" applyBorder="1" applyAlignment="1" applyProtection="1">
      <alignment horizontal="center"/>
      <protection locked="0"/>
    </xf>
    <xf numFmtId="0" fontId="32" fillId="37" borderId="44" xfId="0" applyFont="1" applyFill="1" applyBorder="1" applyAlignment="1" applyProtection="1">
      <alignment horizontal="left" vertical="center" wrapText="1"/>
      <protection locked="0"/>
    </xf>
    <xf numFmtId="0" fontId="32" fillId="37" borderId="37" xfId="0" applyFont="1" applyFill="1" applyBorder="1" applyAlignment="1" applyProtection="1">
      <alignment horizontal="left" vertical="center" wrapText="1"/>
      <protection locked="0"/>
    </xf>
    <xf numFmtId="0" fontId="32" fillId="37" borderId="107" xfId="0" applyFont="1" applyFill="1" applyBorder="1" applyAlignment="1" applyProtection="1">
      <alignment horizontal="left" vertical="center" wrapText="1"/>
      <protection locked="0"/>
    </xf>
    <xf numFmtId="0" fontId="32" fillId="37" borderId="34" xfId="0" applyFont="1" applyFill="1" applyBorder="1" applyAlignment="1" applyProtection="1">
      <alignment horizontal="left" vertical="center" wrapText="1"/>
      <protection locked="0"/>
    </xf>
    <xf numFmtId="0" fontId="16" fillId="33" borderId="45" xfId="0" applyFont="1" applyFill="1" applyBorder="1" applyAlignment="1" applyProtection="1">
      <alignment horizontal="center"/>
      <protection locked="0"/>
    </xf>
    <xf numFmtId="0" fontId="16" fillId="33" borderId="46" xfId="0" applyFont="1" applyFill="1" applyBorder="1" applyAlignment="1" applyProtection="1">
      <alignment horizontal="center"/>
      <protection locked="0"/>
    </xf>
    <xf numFmtId="0" fontId="16" fillId="33" borderId="57" xfId="0" applyFont="1" applyFill="1" applyBorder="1" applyAlignment="1" applyProtection="1">
      <alignment horizontal="center"/>
      <protection locked="0"/>
    </xf>
    <xf numFmtId="0" fontId="30" fillId="33" borderId="46" xfId="0" applyFont="1" applyFill="1" applyBorder="1" applyAlignment="1" applyProtection="1">
      <alignment horizontal="center"/>
      <protection locked="0"/>
    </xf>
    <xf numFmtId="164" fontId="0" fillId="0" borderId="97" xfId="0" applyNumberFormat="1" applyFont="1" applyBorder="1" applyAlignment="1" applyProtection="1">
      <alignment horizontal="right" vertical="center"/>
      <protection locked="0"/>
    </xf>
    <xf numFmtId="164" fontId="0" fillId="0" borderId="135" xfId="0" applyNumberFormat="1" applyFont="1" applyBorder="1" applyAlignment="1" applyProtection="1">
      <alignment horizontal="right" vertical="center"/>
      <protection locked="0"/>
    </xf>
    <xf numFmtId="164" fontId="0" fillId="0" borderId="69" xfId="0" applyNumberFormat="1" applyFont="1" applyBorder="1" applyAlignment="1" applyProtection="1">
      <alignment horizontal="right" vertical="center"/>
      <protection locked="0"/>
    </xf>
    <xf numFmtId="164" fontId="0" fillId="0" borderId="26" xfId="0" applyNumberFormat="1" applyFont="1" applyBorder="1" applyAlignment="1" applyProtection="1">
      <alignment horizontal="right" vertical="center"/>
      <protection locked="0"/>
    </xf>
    <xf numFmtId="164" fontId="0" fillId="0" borderId="142" xfId="0" applyNumberFormat="1" applyFont="1" applyBorder="1" applyAlignment="1" applyProtection="1">
      <alignment horizontal="center" vertical="center"/>
      <protection locked="0"/>
    </xf>
    <xf numFmtId="164" fontId="0" fillId="0" borderId="22" xfId="0" applyNumberFormat="1" applyFont="1" applyBorder="1" applyAlignment="1" applyProtection="1">
      <alignment horizontal="center" vertical="center"/>
      <protection locked="0"/>
    </xf>
    <xf numFmtId="0" fontId="32" fillId="37" borderId="0" xfId="0" applyFont="1" applyFill="1" applyAlignment="1" applyProtection="1">
      <alignment horizontal="left" vertical="center"/>
      <protection locked="0"/>
    </xf>
    <xf numFmtId="0" fontId="32" fillId="37" borderId="57" xfId="0" applyFont="1" applyFill="1" applyBorder="1" applyAlignment="1" applyProtection="1">
      <alignment horizontal="left" vertical="center"/>
      <protection locked="0"/>
    </xf>
    <xf numFmtId="0" fontId="32" fillId="37" borderId="54" xfId="0" applyFont="1" applyFill="1" applyBorder="1" applyAlignment="1" applyProtection="1">
      <alignment horizontal="left" vertical="center"/>
      <protection locked="0"/>
    </xf>
    <xf numFmtId="0" fontId="32" fillId="37" borderId="99" xfId="0" applyFont="1" applyFill="1" applyBorder="1" applyAlignment="1" applyProtection="1">
      <alignment horizontal="left" vertical="center"/>
      <protection locked="0"/>
    </xf>
    <xf numFmtId="0" fontId="32" fillId="37" borderId="0" xfId="0" applyFont="1" applyFill="1" applyAlignment="1" applyProtection="1">
      <alignment horizontal="left" vertical="center" wrapText="1"/>
      <protection locked="0"/>
    </xf>
    <xf numFmtId="0" fontId="41" fillId="41" borderId="53" xfId="0" applyFont="1" applyFill="1" applyBorder="1" applyAlignment="1">
      <alignment horizontal="center" vertical="center"/>
    </xf>
    <xf numFmtId="0" fontId="41" fillId="41" borderId="49" xfId="0" applyFont="1" applyFill="1" applyBorder="1" applyAlignment="1">
      <alignment horizontal="center" vertical="center"/>
    </xf>
    <xf numFmtId="0" fontId="32" fillId="37" borderId="45" xfId="0" applyFont="1" applyFill="1" applyBorder="1" applyAlignment="1">
      <alignment horizontal="left" vertical="center" wrapText="1"/>
    </xf>
    <xf numFmtId="0" fontId="32" fillId="37" borderId="42" xfId="0" applyFont="1" applyFill="1" applyBorder="1" applyAlignment="1">
      <alignment horizontal="left" vertical="center" wrapText="1"/>
    </xf>
    <xf numFmtId="0" fontId="32" fillId="37" borderId="145" xfId="0" applyFont="1" applyFill="1" applyBorder="1" applyAlignment="1">
      <alignment horizontal="left" vertical="center" wrapText="1"/>
    </xf>
    <xf numFmtId="0" fontId="61" fillId="33" borderId="69" xfId="0" applyFont="1" applyFill="1" applyBorder="1" applyAlignment="1">
      <alignment horizontal="center" vertical="center" wrapText="1"/>
    </xf>
    <xf numFmtId="0" fontId="61" fillId="33" borderId="100" xfId="0" applyFont="1" applyFill="1" applyBorder="1" applyAlignment="1">
      <alignment horizontal="center" vertical="center" wrapText="1"/>
    </xf>
    <xf numFmtId="0" fontId="61" fillId="33" borderId="149" xfId="0" applyFont="1" applyFill="1" applyBorder="1" applyAlignment="1">
      <alignment horizontal="center" vertical="center" wrapText="1"/>
    </xf>
    <xf numFmtId="0" fontId="61" fillId="33" borderId="154" xfId="0" applyFont="1" applyFill="1" applyBorder="1" applyAlignment="1">
      <alignment horizontal="center" vertical="center" wrapText="1"/>
    </xf>
    <xf numFmtId="0" fontId="32" fillId="37" borderId="145" xfId="0" applyFont="1" applyFill="1" applyBorder="1" applyAlignment="1">
      <alignment horizontal="left" vertical="center"/>
    </xf>
    <xf numFmtId="0" fontId="0" fillId="0" borderId="45" xfId="0" applyBorder="1" applyAlignment="1">
      <alignment horizontal="center" vertical="center" wrapText="1"/>
    </xf>
    <xf numFmtId="0" fontId="0" fillId="0" borderId="42" xfId="0" applyBorder="1" applyAlignment="1">
      <alignment horizontal="center" vertical="center" wrapText="1"/>
    </xf>
    <xf numFmtId="0" fontId="32" fillId="37" borderId="42" xfId="0" applyFont="1" applyFill="1" applyBorder="1" applyAlignment="1">
      <alignment horizontal="left" vertical="center"/>
    </xf>
    <xf numFmtId="0" fontId="61" fillId="33" borderId="69" xfId="0" applyFont="1" applyFill="1" applyBorder="1" applyAlignment="1">
      <alignment horizontal="left" vertical="center" wrapText="1"/>
    </xf>
    <xf numFmtId="0" fontId="61" fillId="33" borderId="100" xfId="0" applyFont="1" applyFill="1" applyBorder="1" applyAlignment="1">
      <alignment horizontal="left" vertical="center" wrapText="1"/>
    </xf>
    <xf numFmtId="0" fontId="61" fillId="33" borderId="69" xfId="0" applyFont="1" applyFill="1" applyBorder="1" applyAlignment="1">
      <alignment horizontal="left" vertical="center"/>
    </xf>
    <xf numFmtId="0" fontId="61" fillId="33" borderId="100" xfId="0" applyFont="1" applyFill="1" applyBorder="1" applyAlignment="1">
      <alignment horizontal="left" vertical="center"/>
    </xf>
    <xf numFmtId="0" fontId="61" fillId="33" borderId="126" xfId="0" applyFont="1" applyFill="1" applyBorder="1" applyAlignment="1">
      <alignment horizontal="left" vertical="center" wrapText="1"/>
    </xf>
    <xf numFmtId="0" fontId="61" fillId="33" borderId="55" xfId="0" applyFont="1" applyFill="1" applyBorder="1" applyAlignment="1">
      <alignment horizontal="left" vertical="center" wrapText="1"/>
    </xf>
    <xf numFmtId="0" fontId="61" fillId="33" borderId="45" xfId="0" applyFont="1" applyFill="1" applyBorder="1" applyAlignment="1">
      <alignment horizontal="left" vertical="center"/>
    </xf>
    <xf numFmtId="0" fontId="61" fillId="33" borderId="145" xfId="0" applyFont="1" applyFill="1" applyBorder="1" applyAlignment="1">
      <alignment horizontal="left" vertical="center"/>
    </xf>
    <xf numFmtId="0" fontId="32" fillId="37" borderId="41" xfId="0" applyFont="1" applyFill="1" applyBorder="1" applyAlignment="1">
      <alignment horizontal="left" vertical="center" wrapText="1"/>
    </xf>
    <xf numFmtId="0" fontId="61" fillId="33" borderId="37" xfId="0" applyFont="1" applyFill="1" applyBorder="1" applyAlignment="1">
      <alignment horizontal="left" vertical="center"/>
    </xf>
    <xf numFmtId="0" fontId="61" fillId="33" borderId="107" xfId="0" applyFont="1" applyFill="1" applyBorder="1" applyAlignment="1">
      <alignment horizontal="left" vertical="center"/>
    </xf>
    <xf numFmtId="0" fontId="61" fillId="33" borderId="69" xfId="0" applyFont="1" applyFill="1" applyBorder="1" applyAlignment="1">
      <alignment horizontal="center" vertical="center"/>
    </xf>
    <xf numFmtId="0" fontId="61" fillId="33" borderId="100" xfId="0" applyFont="1" applyFill="1" applyBorder="1" applyAlignment="1">
      <alignment horizontal="center" vertical="center"/>
    </xf>
    <xf numFmtId="164" fontId="61" fillId="33" borderId="69" xfId="0" applyNumberFormat="1" applyFont="1" applyFill="1" applyBorder="1" applyAlignment="1">
      <alignment horizontal="center" vertical="center" wrapText="1"/>
    </xf>
    <xf numFmtId="164" fontId="61" fillId="33" borderId="100" xfId="0" applyNumberFormat="1" applyFont="1" applyFill="1" applyBorder="1" applyAlignment="1">
      <alignment horizontal="center" vertical="center" wrapText="1"/>
    </xf>
    <xf numFmtId="0" fontId="61" fillId="33" borderId="126" xfId="0" applyFont="1" applyFill="1" applyBorder="1" applyAlignment="1">
      <alignment horizontal="center" vertical="center" wrapText="1"/>
    </xf>
    <xf numFmtId="0" fontId="61" fillId="33" borderId="55" xfId="0" applyFont="1" applyFill="1" applyBorder="1" applyAlignment="1">
      <alignment horizontal="center" vertical="center" wrapText="1"/>
    </xf>
    <xf numFmtId="2" fontId="61" fillId="33" borderId="69" xfId="0" applyNumberFormat="1" applyFont="1" applyFill="1" applyBorder="1" applyAlignment="1">
      <alignment horizontal="center" vertical="center" wrapText="1"/>
    </xf>
    <xf numFmtId="2" fontId="61" fillId="33" borderId="100" xfId="0" applyNumberFormat="1" applyFont="1" applyFill="1" applyBorder="1" applyAlignment="1">
      <alignment horizontal="center" vertical="center" wrapText="1"/>
    </xf>
    <xf numFmtId="0" fontId="0" fillId="0" borderId="42" xfId="0" applyBorder="1" applyAlignment="1">
      <alignment horizontal="left" vertical="center"/>
    </xf>
    <xf numFmtId="0" fontId="0" fillId="0" borderId="145" xfId="0" applyBorder="1" applyAlignment="1">
      <alignment horizontal="left" vertical="center"/>
    </xf>
    <xf numFmtId="0" fontId="0" fillId="0" borderId="41" xfId="0" applyBorder="1" applyAlignment="1">
      <alignment horizontal="center" vertical="center" wrapText="1"/>
    </xf>
    <xf numFmtId="0" fontId="0" fillId="0" borderId="40" xfId="0" applyBorder="1" applyAlignment="1">
      <alignment horizontal="center" vertical="center" wrapText="1"/>
    </xf>
    <xf numFmtId="0" fontId="0" fillId="0" borderId="41" xfId="0" applyFont="1" applyBorder="1" applyAlignment="1">
      <alignment horizontal="center" vertical="center" wrapText="1"/>
    </xf>
    <xf numFmtId="0" fontId="0" fillId="0" borderId="40" xfId="0" applyFont="1" applyBorder="1" applyAlignment="1">
      <alignment horizontal="center" vertical="center" wrapText="1"/>
    </xf>
    <xf numFmtId="0" fontId="32" fillId="37" borderId="147" xfId="0" applyFont="1" applyFill="1" applyBorder="1" applyAlignment="1">
      <alignment horizontal="left" vertical="center" wrapText="1"/>
    </xf>
    <xf numFmtId="0" fontId="32" fillId="37" borderId="123" xfId="0" applyFont="1" applyFill="1" applyBorder="1" applyAlignment="1">
      <alignment horizontal="left" vertical="center" wrapText="1"/>
    </xf>
    <xf numFmtId="0" fontId="32" fillId="37" borderId="134" xfId="0" applyFont="1" applyFill="1" applyBorder="1" applyAlignment="1">
      <alignment horizontal="left" vertical="center" wrapText="1"/>
    </xf>
    <xf numFmtId="0" fontId="32" fillId="37" borderId="137" xfId="0" applyFont="1" applyFill="1" applyBorder="1" applyAlignment="1">
      <alignment horizontal="left" vertical="center" wrapText="1"/>
    </xf>
    <xf numFmtId="0" fontId="32" fillId="37" borderId="148" xfId="0" applyFont="1" applyFill="1" applyBorder="1" applyAlignment="1">
      <alignment horizontal="left" vertical="center" wrapText="1"/>
    </xf>
    <xf numFmtId="0" fontId="32" fillId="67" borderId="147" xfId="0" applyFont="1" applyFill="1" applyBorder="1" applyAlignment="1">
      <alignment horizontal="left" vertical="center" wrapText="1"/>
    </xf>
    <xf numFmtId="0" fontId="32" fillId="67" borderId="123" xfId="0" applyFont="1" applyFill="1" applyBorder="1" applyAlignment="1">
      <alignment horizontal="left" vertical="center" wrapText="1"/>
    </xf>
    <xf numFmtId="0" fontId="32" fillId="67" borderId="148" xfId="0" applyFont="1" applyFill="1" applyBorder="1" applyAlignment="1">
      <alignment horizontal="left" vertical="center" wrapText="1"/>
    </xf>
    <xf numFmtId="0" fontId="0" fillId="0" borderId="45" xfId="0" applyFont="1" applyBorder="1" applyAlignment="1">
      <alignment horizontal="center" vertical="center" wrapText="1"/>
    </xf>
    <xf numFmtId="0" fontId="0" fillId="0" borderId="42" xfId="0" applyFont="1" applyBorder="1" applyAlignment="1">
      <alignment horizontal="center" vertical="center" wrapText="1"/>
    </xf>
    <xf numFmtId="0" fontId="0" fillId="0" borderId="41" xfId="0" applyFill="1" applyBorder="1" applyAlignment="1">
      <alignment horizontal="center" vertical="center"/>
    </xf>
    <xf numFmtId="0" fontId="0" fillId="0" borderId="42" xfId="0" applyFill="1" applyBorder="1" applyAlignment="1">
      <alignment horizontal="center" vertical="center"/>
    </xf>
  </cellXfs>
  <cellStyles count="2025">
    <cellStyle name="20% - Accent1" xfId="19" builtinId="30" customBuiltin="1"/>
    <cellStyle name="20% - Accent1 2" xfId="63"/>
    <cellStyle name="20% - Accent2" xfId="23" builtinId="34" customBuiltin="1"/>
    <cellStyle name="20% - Accent2 2" xfId="64"/>
    <cellStyle name="20% - Accent3" xfId="27" builtinId="38" customBuiltin="1"/>
    <cellStyle name="20% - Accent3 2" xfId="65"/>
    <cellStyle name="20% - Accent4" xfId="31" builtinId="42" customBuiltin="1"/>
    <cellStyle name="20% - Accent4 2" xfId="66"/>
    <cellStyle name="20% - Accent5" xfId="35" builtinId="46" customBuiltin="1"/>
    <cellStyle name="20% - Accent5 2" xfId="67"/>
    <cellStyle name="20% - Accent6" xfId="39" builtinId="50" customBuiltin="1"/>
    <cellStyle name="20% - Accent6 2" xfId="68"/>
    <cellStyle name="40% - Accent1" xfId="20" builtinId="31" customBuiltin="1"/>
    <cellStyle name="40% - Accent1 2" xfId="69"/>
    <cellStyle name="40% - Accent2" xfId="24" builtinId="35" customBuiltin="1"/>
    <cellStyle name="40% - Accent2 2" xfId="70"/>
    <cellStyle name="40% - Accent3" xfId="28" builtinId="39" customBuiltin="1"/>
    <cellStyle name="40% - Accent3 2" xfId="71"/>
    <cellStyle name="40% - Accent4" xfId="32" builtinId="43" customBuiltin="1"/>
    <cellStyle name="40% - Accent4 2" xfId="72"/>
    <cellStyle name="40% - Accent5" xfId="36" builtinId="47" customBuiltin="1"/>
    <cellStyle name="40% - Accent5 2" xfId="73"/>
    <cellStyle name="40% - Accent6" xfId="40" builtinId="51" customBuiltin="1"/>
    <cellStyle name="40% - Accent6 2" xfId="74"/>
    <cellStyle name="60% - Accent1" xfId="21" builtinId="32" customBuiltin="1"/>
    <cellStyle name="60% - Accent1 2" xfId="75"/>
    <cellStyle name="60% - Accent2" xfId="25" builtinId="36" customBuiltin="1"/>
    <cellStyle name="60% - Accent2 2" xfId="76"/>
    <cellStyle name="60% - Accent3" xfId="29" builtinId="40" customBuiltin="1"/>
    <cellStyle name="60% - Accent3 2" xfId="77"/>
    <cellStyle name="60% - Accent4" xfId="33" builtinId="44" customBuiltin="1"/>
    <cellStyle name="60% - Accent4 2" xfId="78"/>
    <cellStyle name="60% - Accent5" xfId="37" builtinId="48" customBuiltin="1"/>
    <cellStyle name="60% - Accent5 2" xfId="79"/>
    <cellStyle name="60% - Accent6" xfId="41" builtinId="52" customBuiltin="1"/>
    <cellStyle name="60% - Accent6 2" xfId="80"/>
    <cellStyle name="Accent1" xfId="18" builtinId="29" customBuiltin="1"/>
    <cellStyle name="Accent1 2" xfId="81"/>
    <cellStyle name="Accent2" xfId="22" builtinId="33" customBuiltin="1"/>
    <cellStyle name="Accent2 2" xfId="82"/>
    <cellStyle name="Accent3" xfId="26" builtinId="37" customBuiltin="1"/>
    <cellStyle name="Accent3 2" xfId="83"/>
    <cellStyle name="Accent4" xfId="30" builtinId="41" customBuiltin="1"/>
    <cellStyle name="Accent4 2" xfId="84"/>
    <cellStyle name="Accent5" xfId="34" builtinId="45" customBuiltin="1"/>
    <cellStyle name="Accent5 2" xfId="85"/>
    <cellStyle name="Accent6" xfId="38" builtinId="49" customBuiltin="1"/>
    <cellStyle name="Accent6 2" xfId="86"/>
    <cellStyle name="Bad" xfId="7" builtinId="27" customBuiltin="1"/>
    <cellStyle name="Bad 2" xfId="87"/>
    <cellStyle name="Calculation" xfId="11" builtinId="22" customBuiltin="1"/>
    <cellStyle name="Calculation 2" xfId="88"/>
    <cellStyle name="Calculation 2 2" xfId="2007"/>
    <cellStyle name="Calculation 2 2 2" xfId="2017"/>
    <cellStyle name="Check Cell" xfId="13" builtinId="23" customBuiltin="1"/>
    <cellStyle name="Check Cell 2" xfId="89"/>
    <cellStyle name="Comma" xfId="57" builtinId="3"/>
    <cellStyle name="Comma 2" xfId="44"/>
    <cellStyle name="Comma 3" xfId="43"/>
    <cellStyle name="Currency" xfId="59" builtinId="4"/>
    <cellStyle name="Currency 2" xfId="45"/>
    <cellStyle name="Currency 3" xfId="90"/>
    <cellStyle name="Currency 5" xfId="46"/>
    <cellStyle name="Currency 9" xfId="47"/>
    <cellStyle name="Explanatory Text" xfId="16" builtinId="53" customBuiltin="1"/>
    <cellStyle name="Explanatory Text 2" xfId="91"/>
    <cellStyle name="Good" xfId="6" builtinId="26" customBuiltin="1"/>
    <cellStyle name="Good 2" xfId="92"/>
    <cellStyle name="Heading 1" xfId="2" builtinId="16" customBuiltin="1"/>
    <cellStyle name="Heading 1 2" xfId="93"/>
    <cellStyle name="Heading 2" xfId="3" builtinId="17" customBuiltin="1"/>
    <cellStyle name="Heading 2 2" xfId="94"/>
    <cellStyle name="Heading 3" xfId="4" builtinId="18" customBuiltin="1"/>
    <cellStyle name="Heading 3 2" xfId="95"/>
    <cellStyle name="Heading 3 2 2" xfId="2005"/>
    <cellStyle name="Heading 3 2 2 2" xfId="2012"/>
    <cellStyle name="Heading 3 2 2 2 2" xfId="2022"/>
    <cellStyle name="Heading 3 2 2 3" xfId="2013"/>
    <cellStyle name="Heading 3 2 2 3 2" xfId="2023"/>
    <cellStyle name="Heading 3 2 2 4" xfId="2015"/>
    <cellStyle name="Heading 3 2 3" xfId="2006"/>
    <cellStyle name="Heading 3 2 3 2" xfId="2014"/>
    <cellStyle name="Heading 3 2 3 2 2" xfId="2024"/>
    <cellStyle name="Heading 3 2 3 3" xfId="2016"/>
    <cellStyle name="Heading 4" xfId="5" builtinId="19" customBuiltin="1"/>
    <cellStyle name="Heading 4 2" xfId="96"/>
    <cellStyle name="Hyperlink" xfId="61" builtinId="8"/>
    <cellStyle name="Hyperlink 2" xfId="54"/>
    <cellStyle name="Hyperlink 3" xfId="62"/>
    <cellStyle name="Hyperlink 4" xfId="97"/>
    <cellStyle name="Input" xfId="9" builtinId="20" customBuiltin="1"/>
    <cellStyle name="Input $" xfId="48"/>
    <cellStyle name="Input 2" xfId="98"/>
    <cellStyle name="Input 2 2" xfId="2008"/>
    <cellStyle name="Input 2 2 2" xfId="2018"/>
    <cellStyle name="Input Text" xfId="49"/>
    <cellStyle name="Linked Cell" xfId="12" builtinId="24" customBuiltin="1"/>
    <cellStyle name="Linked Cell 2" xfId="99"/>
    <cellStyle name="Neutral" xfId="8" builtinId="28" customBuiltin="1"/>
    <cellStyle name="Neutral 2" xfId="100"/>
    <cellStyle name="Normal" xfId="0" builtinId="0"/>
    <cellStyle name="Normal 10" xfId="2004"/>
    <cellStyle name="Normal 2" xfId="42"/>
    <cellStyle name="Normal 2 10" xfId="101"/>
    <cellStyle name="Normal 2 10 10" xfId="102"/>
    <cellStyle name="Normal 2 10 11" xfId="103"/>
    <cellStyle name="Normal 2 10 12" xfId="104"/>
    <cellStyle name="Normal 2 10 13" xfId="105"/>
    <cellStyle name="Normal 2 10 14" xfId="106"/>
    <cellStyle name="Normal 2 10 15" xfId="107"/>
    <cellStyle name="Normal 2 10 16" xfId="108"/>
    <cellStyle name="Normal 2 10 17" xfId="109"/>
    <cellStyle name="Normal 2 10 18" xfId="110"/>
    <cellStyle name="Normal 2 10 19" xfId="111"/>
    <cellStyle name="Normal 2 10 2" xfId="112"/>
    <cellStyle name="Normal 2 10 20" xfId="113"/>
    <cellStyle name="Normal 2 10 21" xfId="114"/>
    <cellStyle name="Normal 2 10 22" xfId="115"/>
    <cellStyle name="Normal 2 10 23" xfId="116"/>
    <cellStyle name="Normal 2 10 3" xfId="117"/>
    <cellStyle name="Normal 2 10 4" xfId="118"/>
    <cellStyle name="Normal 2 10 5" xfId="119"/>
    <cellStyle name="Normal 2 10 6" xfId="120"/>
    <cellStyle name="Normal 2 10 7" xfId="121"/>
    <cellStyle name="Normal 2 10 8" xfId="122"/>
    <cellStyle name="Normal 2 10 9" xfId="123"/>
    <cellStyle name="Normal 2 11" xfId="124"/>
    <cellStyle name="Normal 2 11 10" xfId="125"/>
    <cellStyle name="Normal 2 11 11" xfId="126"/>
    <cellStyle name="Normal 2 11 12" xfId="127"/>
    <cellStyle name="Normal 2 11 13" xfId="128"/>
    <cellStyle name="Normal 2 11 14" xfId="129"/>
    <cellStyle name="Normal 2 11 15" xfId="130"/>
    <cellStyle name="Normal 2 11 16" xfId="131"/>
    <cellStyle name="Normal 2 11 17" xfId="132"/>
    <cellStyle name="Normal 2 11 18" xfId="133"/>
    <cellStyle name="Normal 2 11 19" xfId="134"/>
    <cellStyle name="Normal 2 11 2" xfId="135"/>
    <cellStyle name="Normal 2 11 20" xfId="136"/>
    <cellStyle name="Normal 2 11 21" xfId="137"/>
    <cellStyle name="Normal 2 11 22" xfId="138"/>
    <cellStyle name="Normal 2 11 23" xfId="139"/>
    <cellStyle name="Normal 2 11 3" xfId="140"/>
    <cellStyle name="Normal 2 11 4" xfId="141"/>
    <cellStyle name="Normal 2 11 5" xfId="142"/>
    <cellStyle name="Normal 2 11 6" xfId="143"/>
    <cellStyle name="Normal 2 11 7" xfId="144"/>
    <cellStyle name="Normal 2 11 8" xfId="145"/>
    <cellStyle name="Normal 2 11 9" xfId="146"/>
    <cellStyle name="Normal 2 12" xfId="147"/>
    <cellStyle name="Normal 2 12 10" xfId="148"/>
    <cellStyle name="Normal 2 12 11" xfId="149"/>
    <cellStyle name="Normal 2 12 12" xfId="150"/>
    <cellStyle name="Normal 2 12 13" xfId="151"/>
    <cellStyle name="Normal 2 12 14" xfId="152"/>
    <cellStyle name="Normal 2 12 15" xfId="153"/>
    <cellStyle name="Normal 2 12 16" xfId="154"/>
    <cellStyle name="Normal 2 12 17" xfId="155"/>
    <cellStyle name="Normal 2 12 18" xfId="156"/>
    <cellStyle name="Normal 2 12 19" xfId="157"/>
    <cellStyle name="Normal 2 12 2" xfId="158"/>
    <cellStyle name="Normal 2 12 20" xfId="159"/>
    <cellStyle name="Normal 2 12 21" xfId="160"/>
    <cellStyle name="Normal 2 12 22" xfId="161"/>
    <cellStyle name="Normal 2 12 23" xfId="162"/>
    <cellStyle name="Normal 2 12 3" xfId="163"/>
    <cellStyle name="Normal 2 12 4" xfId="164"/>
    <cellStyle name="Normal 2 12 5" xfId="165"/>
    <cellStyle name="Normal 2 12 6" xfId="166"/>
    <cellStyle name="Normal 2 12 7" xfId="167"/>
    <cellStyle name="Normal 2 12 8" xfId="168"/>
    <cellStyle name="Normal 2 12 9" xfId="169"/>
    <cellStyle name="Normal 2 13" xfId="170"/>
    <cellStyle name="Normal 2 13 10" xfId="171"/>
    <cellStyle name="Normal 2 13 11" xfId="172"/>
    <cellStyle name="Normal 2 13 12" xfId="173"/>
    <cellStyle name="Normal 2 13 13" xfId="174"/>
    <cellStyle name="Normal 2 13 14" xfId="175"/>
    <cellStyle name="Normal 2 13 15" xfId="176"/>
    <cellStyle name="Normal 2 13 16" xfId="177"/>
    <cellStyle name="Normal 2 13 17" xfId="178"/>
    <cellStyle name="Normal 2 13 18" xfId="179"/>
    <cellStyle name="Normal 2 13 19" xfId="180"/>
    <cellStyle name="Normal 2 13 2" xfId="181"/>
    <cellStyle name="Normal 2 13 20" xfId="182"/>
    <cellStyle name="Normal 2 13 21" xfId="183"/>
    <cellStyle name="Normal 2 13 22" xfId="184"/>
    <cellStyle name="Normal 2 13 23" xfId="185"/>
    <cellStyle name="Normal 2 13 3" xfId="186"/>
    <cellStyle name="Normal 2 13 4" xfId="187"/>
    <cellStyle name="Normal 2 13 5" xfId="188"/>
    <cellStyle name="Normal 2 13 6" xfId="189"/>
    <cellStyle name="Normal 2 13 7" xfId="190"/>
    <cellStyle name="Normal 2 13 8" xfId="191"/>
    <cellStyle name="Normal 2 13 9" xfId="192"/>
    <cellStyle name="Normal 2 14" xfId="193"/>
    <cellStyle name="Normal 2 14 10" xfId="194"/>
    <cellStyle name="Normal 2 14 11" xfId="195"/>
    <cellStyle name="Normal 2 14 12" xfId="196"/>
    <cellStyle name="Normal 2 14 13" xfId="197"/>
    <cellStyle name="Normal 2 14 14" xfId="198"/>
    <cellStyle name="Normal 2 14 15" xfId="199"/>
    <cellStyle name="Normal 2 14 16" xfId="200"/>
    <cellStyle name="Normal 2 14 17" xfId="201"/>
    <cellStyle name="Normal 2 14 18" xfId="202"/>
    <cellStyle name="Normal 2 14 19" xfId="203"/>
    <cellStyle name="Normal 2 14 2" xfId="204"/>
    <cellStyle name="Normal 2 14 20" xfId="205"/>
    <cellStyle name="Normal 2 14 21" xfId="206"/>
    <cellStyle name="Normal 2 14 22" xfId="207"/>
    <cellStyle name="Normal 2 14 23" xfId="208"/>
    <cellStyle name="Normal 2 14 3" xfId="209"/>
    <cellStyle name="Normal 2 14 4" xfId="210"/>
    <cellStyle name="Normal 2 14 5" xfId="211"/>
    <cellStyle name="Normal 2 14 6" xfId="212"/>
    <cellStyle name="Normal 2 14 7" xfId="213"/>
    <cellStyle name="Normal 2 14 8" xfId="214"/>
    <cellStyle name="Normal 2 14 9" xfId="215"/>
    <cellStyle name="Normal 2 15" xfId="216"/>
    <cellStyle name="Normal 2 15 10" xfId="217"/>
    <cellStyle name="Normal 2 15 11" xfId="218"/>
    <cellStyle name="Normal 2 15 12" xfId="219"/>
    <cellStyle name="Normal 2 15 13" xfId="220"/>
    <cellStyle name="Normal 2 15 14" xfId="221"/>
    <cellStyle name="Normal 2 15 15" xfId="222"/>
    <cellStyle name="Normal 2 15 16" xfId="223"/>
    <cellStyle name="Normal 2 15 17" xfId="224"/>
    <cellStyle name="Normal 2 15 18" xfId="225"/>
    <cellStyle name="Normal 2 15 19" xfId="226"/>
    <cellStyle name="Normal 2 15 2" xfId="227"/>
    <cellStyle name="Normal 2 15 20" xfId="228"/>
    <cellStyle name="Normal 2 15 21" xfId="229"/>
    <cellStyle name="Normal 2 15 22" xfId="230"/>
    <cellStyle name="Normal 2 15 23" xfId="231"/>
    <cellStyle name="Normal 2 15 3" xfId="232"/>
    <cellStyle name="Normal 2 15 4" xfId="233"/>
    <cellStyle name="Normal 2 15 5" xfId="234"/>
    <cellStyle name="Normal 2 15 6" xfId="235"/>
    <cellStyle name="Normal 2 15 7" xfId="236"/>
    <cellStyle name="Normal 2 15 8" xfId="237"/>
    <cellStyle name="Normal 2 15 9" xfId="238"/>
    <cellStyle name="Normal 2 16" xfId="239"/>
    <cellStyle name="Normal 2 16 10" xfId="240"/>
    <cellStyle name="Normal 2 16 11" xfId="241"/>
    <cellStyle name="Normal 2 16 12" xfId="242"/>
    <cellStyle name="Normal 2 16 13" xfId="243"/>
    <cellStyle name="Normal 2 16 14" xfId="244"/>
    <cellStyle name="Normal 2 16 15" xfId="245"/>
    <cellStyle name="Normal 2 16 16" xfId="246"/>
    <cellStyle name="Normal 2 16 17" xfId="247"/>
    <cellStyle name="Normal 2 16 18" xfId="248"/>
    <cellStyle name="Normal 2 16 19" xfId="249"/>
    <cellStyle name="Normal 2 16 2" xfId="250"/>
    <cellStyle name="Normal 2 16 20" xfId="251"/>
    <cellStyle name="Normal 2 16 21" xfId="252"/>
    <cellStyle name="Normal 2 16 22" xfId="253"/>
    <cellStyle name="Normal 2 16 23" xfId="254"/>
    <cellStyle name="Normal 2 16 3" xfId="255"/>
    <cellStyle name="Normal 2 16 4" xfId="256"/>
    <cellStyle name="Normal 2 16 5" xfId="257"/>
    <cellStyle name="Normal 2 16 6" xfId="258"/>
    <cellStyle name="Normal 2 16 7" xfId="259"/>
    <cellStyle name="Normal 2 16 8" xfId="260"/>
    <cellStyle name="Normal 2 16 9" xfId="261"/>
    <cellStyle name="Normal 2 17" xfId="262"/>
    <cellStyle name="Normal 2 17 10" xfId="263"/>
    <cellStyle name="Normal 2 17 11" xfId="264"/>
    <cellStyle name="Normal 2 17 12" xfId="265"/>
    <cellStyle name="Normal 2 17 13" xfId="266"/>
    <cellStyle name="Normal 2 17 14" xfId="267"/>
    <cellStyle name="Normal 2 17 15" xfId="268"/>
    <cellStyle name="Normal 2 17 16" xfId="269"/>
    <cellStyle name="Normal 2 17 17" xfId="270"/>
    <cellStyle name="Normal 2 17 18" xfId="271"/>
    <cellStyle name="Normal 2 17 19" xfId="272"/>
    <cellStyle name="Normal 2 17 2" xfId="273"/>
    <cellStyle name="Normal 2 17 20" xfId="274"/>
    <cellStyle name="Normal 2 17 21" xfId="275"/>
    <cellStyle name="Normal 2 17 22" xfId="276"/>
    <cellStyle name="Normal 2 17 23" xfId="277"/>
    <cellStyle name="Normal 2 17 3" xfId="278"/>
    <cellStyle name="Normal 2 17 4" xfId="279"/>
    <cellStyle name="Normal 2 17 5" xfId="280"/>
    <cellStyle name="Normal 2 17 6" xfId="281"/>
    <cellStyle name="Normal 2 17 7" xfId="282"/>
    <cellStyle name="Normal 2 17 8" xfId="283"/>
    <cellStyle name="Normal 2 17 9" xfId="284"/>
    <cellStyle name="Normal 2 18" xfId="285"/>
    <cellStyle name="Normal 2 18 10" xfId="286"/>
    <cellStyle name="Normal 2 18 11" xfId="287"/>
    <cellStyle name="Normal 2 18 12" xfId="288"/>
    <cellStyle name="Normal 2 18 13" xfId="289"/>
    <cellStyle name="Normal 2 18 14" xfId="290"/>
    <cellStyle name="Normal 2 18 15" xfId="291"/>
    <cellStyle name="Normal 2 18 16" xfId="292"/>
    <cellStyle name="Normal 2 18 17" xfId="293"/>
    <cellStyle name="Normal 2 18 18" xfId="294"/>
    <cellStyle name="Normal 2 18 19" xfId="295"/>
    <cellStyle name="Normal 2 18 2" xfId="296"/>
    <cellStyle name="Normal 2 18 20" xfId="297"/>
    <cellStyle name="Normal 2 18 21" xfId="298"/>
    <cellStyle name="Normal 2 18 22" xfId="299"/>
    <cellStyle name="Normal 2 18 23" xfId="300"/>
    <cellStyle name="Normal 2 18 3" xfId="301"/>
    <cellStyle name="Normal 2 18 4" xfId="302"/>
    <cellStyle name="Normal 2 18 5" xfId="303"/>
    <cellStyle name="Normal 2 18 6" xfId="304"/>
    <cellStyle name="Normal 2 18 7" xfId="305"/>
    <cellStyle name="Normal 2 18 8" xfId="306"/>
    <cellStyle name="Normal 2 18 9" xfId="307"/>
    <cellStyle name="Normal 2 19" xfId="308"/>
    <cellStyle name="Normal 2 19 10" xfId="309"/>
    <cellStyle name="Normal 2 19 11" xfId="310"/>
    <cellStyle name="Normal 2 19 12" xfId="311"/>
    <cellStyle name="Normal 2 19 13" xfId="312"/>
    <cellStyle name="Normal 2 19 14" xfId="313"/>
    <cellStyle name="Normal 2 19 15" xfId="314"/>
    <cellStyle name="Normal 2 19 16" xfId="315"/>
    <cellStyle name="Normal 2 19 17" xfId="316"/>
    <cellStyle name="Normal 2 19 18" xfId="317"/>
    <cellStyle name="Normal 2 19 19" xfId="318"/>
    <cellStyle name="Normal 2 19 2" xfId="319"/>
    <cellStyle name="Normal 2 19 20" xfId="320"/>
    <cellStyle name="Normal 2 19 21" xfId="321"/>
    <cellStyle name="Normal 2 19 22" xfId="322"/>
    <cellStyle name="Normal 2 19 23" xfId="323"/>
    <cellStyle name="Normal 2 19 3" xfId="324"/>
    <cellStyle name="Normal 2 19 4" xfId="325"/>
    <cellStyle name="Normal 2 19 5" xfId="326"/>
    <cellStyle name="Normal 2 19 6" xfId="327"/>
    <cellStyle name="Normal 2 19 7" xfId="328"/>
    <cellStyle name="Normal 2 19 8" xfId="329"/>
    <cellStyle name="Normal 2 19 9" xfId="330"/>
    <cellStyle name="Normal 2 2" xfId="331"/>
    <cellStyle name="Normal 2 20" xfId="332"/>
    <cellStyle name="Normal 2 20 10" xfId="333"/>
    <cellStyle name="Normal 2 20 11" xfId="334"/>
    <cellStyle name="Normal 2 20 12" xfId="335"/>
    <cellStyle name="Normal 2 20 13" xfId="336"/>
    <cellStyle name="Normal 2 20 14" xfId="337"/>
    <cellStyle name="Normal 2 20 15" xfId="338"/>
    <cellStyle name="Normal 2 20 16" xfId="339"/>
    <cellStyle name="Normal 2 20 17" xfId="340"/>
    <cellStyle name="Normal 2 20 18" xfId="341"/>
    <cellStyle name="Normal 2 20 19" xfId="342"/>
    <cellStyle name="Normal 2 20 2" xfId="343"/>
    <cellStyle name="Normal 2 20 20" xfId="344"/>
    <cellStyle name="Normal 2 20 21" xfId="345"/>
    <cellStyle name="Normal 2 20 22" xfId="346"/>
    <cellStyle name="Normal 2 20 23" xfId="347"/>
    <cellStyle name="Normal 2 20 3" xfId="348"/>
    <cellStyle name="Normal 2 20 4" xfId="349"/>
    <cellStyle name="Normal 2 20 5" xfId="350"/>
    <cellStyle name="Normal 2 20 6" xfId="351"/>
    <cellStyle name="Normal 2 20 7" xfId="352"/>
    <cellStyle name="Normal 2 20 8" xfId="353"/>
    <cellStyle name="Normal 2 20 9" xfId="354"/>
    <cellStyle name="Normal 2 21" xfId="355"/>
    <cellStyle name="Normal 2 21 10" xfId="356"/>
    <cellStyle name="Normal 2 21 11" xfId="357"/>
    <cellStyle name="Normal 2 21 12" xfId="358"/>
    <cellStyle name="Normal 2 21 13" xfId="359"/>
    <cellStyle name="Normal 2 21 14" xfId="360"/>
    <cellStyle name="Normal 2 21 15" xfId="361"/>
    <cellStyle name="Normal 2 21 16" xfId="362"/>
    <cellStyle name="Normal 2 21 17" xfId="363"/>
    <cellStyle name="Normal 2 21 18" xfId="364"/>
    <cellStyle name="Normal 2 21 19" xfId="365"/>
    <cellStyle name="Normal 2 21 2" xfId="366"/>
    <cellStyle name="Normal 2 21 20" xfId="367"/>
    <cellStyle name="Normal 2 21 21" xfId="368"/>
    <cellStyle name="Normal 2 21 22" xfId="369"/>
    <cellStyle name="Normal 2 21 23" xfId="370"/>
    <cellStyle name="Normal 2 21 3" xfId="371"/>
    <cellStyle name="Normal 2 21 4" xfId="372"/>
    <cellStyle name="Normal 2 21 5" xfId="373"/>
    <cellStyle name="Normal 2 21 6" xfId="374"/>
    <cellStyle name="Normal 2 21 7" xfId="375"/>
    <cellStyle name="Normal 2 21 8" xfId="376"/>
    <cellStyle name="Normal 2 21 9" xfId="377"/>
    <cellStyle name="Normal 2 22" xfId="378"/>
    <cellStyle name="Normal 2 22 10" xfId="379"/>
    <cellStyle name="Normal 2 22 11" xfId="380"/>
    <cellStyle name="Normal 2 22 12" xfId="381"/>
    <cellStyle name="Normal 2 22 13" xfId="382"/>
    <cellStyle name="Normal 2 22 14" xfId="383"/>
    <cellStyle name="Normal 2 22 15" xfId="384"/>
    <cellStyle name="Normal 2 22 16" xfId="385"/>
    <cellStyle name="Normal 2 22 17" xfId="386"/>
    <cellStyle name="Normal 2 22 18" xfId="387"/>
    <cellStyle name="Normal 2 22 19" xfId="388"/>
    <cellStyle name="Normal 2 22 2" xfId="389"/>
    <cellStyle name="Normal 2 22 20" xfId="390"/>
    <cellStyle name="Normal 2 22 21" xfId="391"/>
    <cellStyle name="Normal 2 22 22" xfId="392"/>
    <cellStyle name="Normal 2 22 23" xfId="393"/>
    <cellStyle name="Normal 2 22 3" xfId="394"/>
    <cellStyle name="Normal 2 22 4" xfId="395"/>
    <cellStyle name="Normal 2 22 5" xfId="396"/>
    <cellStyle name="Normal 2 22 6" xfId="397"/>
    <cellStyle name="Normal 2 22 7" xfId="398"/>
    <cellStyle name="Normal 2 22 8" xfId="399"/>
    <cellStyle name="Normal 2 22 9" xfId="400"/>
    <cellStyle name="Normal 2 23" xfId="401"/>
    <cellStyle name="Normal 2 23 10" xfId="402"/>
    <cellStyle name="Normal 2 23 11" xfId="403"/>
    <cellStyle name="Normal 2 23 12" xfId="404"/>
    <cellStyle name="Normal 2 23 13" xfId="405"/>
    <cellStyle name="Normal 2 23 14" xfId="406"/>
    <cellStyle name="Normal 2 23 15" xfId="407"/>
    <cellStyle name="Normal 2 23 16" xfId="408"/>
    <cellStyle name="Normal 2 23 17" xfId="409"/>
    <cellStyle name="Normal 2 23 18" xfId="410"/>
    <cellStyle name="Normal 2 23 19" xfId="411"/>
    <cellStyle name="Normal 2 23 2" xfId="412"/>
    <cellStyle name="Normal 2 23 20" xfId="413"/>
    <cellStyle name="Normal 2 23 21" xfId="414"/>
    <cellStyle name="Normal 2 23 22" xfId="415"/>
    <cellStyle name="Normal 2 23 23" xfId="416"/>
    <cellStyle name="Normal 2 23 3" xfId="417"/>
    <cellStyle name="Normal 2 23 4" xfId="418"/>
    <cellStyle name="Normal 2 23 5" xfId="419"/>
    <cellStyle name="Normal 2 23 6" xfId="420"/>
    <cellStyle name="Normal 2 23 7" xfId="421"/>
    <cellStyle name="Normal 2 23 8" xfId="422"/>
    <cellStyle name="Normal 2 23 9" xfId="423"/>
    <cellStyle name="Normal 2 24" xfId="424"/>
    <cellStyle name="Normal 2 24 10" xfId="425"/>
    <cellStyle name="Normal 2 24 11" xfId="426"/>
    <cellStyle name="Normal 2 24 12" xfId="427"/>
    <cellStyle name="Normal 2 24 13" xfId="428"/>
    <cellStyle name="Normal 2 24 14" xfId="429"/>
    <cellStyle name="Normal 2 24 15" xfId="430"/>
    <cellStyle name="Normal 2 24 16" xfId="431"/>
    <cellStyle name="Normal 2 24 17" xfId="432"/>
    <cellStyle name="Normal 2 24 18" xfId="433"/>
    <cellStyle name="Normal 2 24 19" xfId="434"/>
    <cellStyle name="Normal 2 24 2" xfId="435"/>
    <cellStyle name="Normal 2 24 20" xfId="436"/>
    <cellStyle name="Normal 2 24 21" xfId="437"/>
    <cellStyle name="Normal 2 24 22" xfId="438"/>
    <cellStyle name="Normal 2 24 23" xfId="439"/>
    <cellStyle name="Normal 2 24 3" xfId="440"/>
    <cellStyle name="Normal 2 24 4" xfId="441"/>
    <cellStyle name="Normal 2 24 5" xfId="442"/>
    <cellStyle name="Normal 2 24 6" xfId="443"/>
    <cellStyle name="Normal 2 24 7" xfId="444"/>
    <cellStyle name="Normal 2 24 8" xfId="445"/>
    <cellStyle name="Normal 2 24 9" xfId="446"/>
    <cellStyle name="Normal 2 25" xfId="447"/>
    <cellStyle name="Normal 2 25 10" xfId="448"/>
    <cellStyle name="Normal 2 25 11" xfId="449"/>
    <cellStyle name="Normal 2 25 12" xfId="450"/>
    <cellStyle name="Normal 2 25 13" xfId="451"/>
    <cellStyle name="Normal 2 25 14" xfId="452"/>
    <cellStyle name="Normal 2 25 15" xfId="453"/>
    <cellStyle name="Normal 2 25 16" xfId="454"/>
    <cellStyle name="Normal 2 25 17" xfId="455"/>
    <cellStyle name="Normal 2 25 18" xfId="456"/>
    <cellStyle name="Normal 2 25 19" xfId="457"/>
    <cellStyle name="Normal 2 25 2" xfId="458"/>
    <cellStyle name="Normal 2 25 20" xfId="459"/>
    <cellStyle name="Normal 2 25 21" xfId="460"/>
    <cellStyle name="Normal 2 25 22" xfId="461"/>
    <cellStyle name="Normal 2 25 23" xfId="462"/>
    <cellStyle name="Normal 2 25 3" xfId="463"/>
    <cellStyle name="Normal 2 25 4" xfId="464"/>
    <cellStyle name="Normal 2 25 5" xfId="465"/>
    <cellStyle name="Normal 2 25 6" xfId="466"/>
    <cellStyle name="Normal 2 25 7" xfId="467"/>
    <cellStyle name="Normal 2 25 8" xfId="468"/>
    <cellStyle name="Normal 2 25 9" xfId="469"/>
    <cellStyle name="Normal 2 26" xfId="470"/>
    <cellStyle name="Normal 2 26 10" xfId="471"/>
    <cellStyle name="Normal 2 26 11" xfId="472"/>
    <cellStyle name="Normal 2 26 12" xfId="473"/>
    <cellStyle name="Normal 2 26 13" xfId="474"/>
    <cellStyle name="Normal 2 26 14" xfId="475"/>
    <cellStyle name="Normal 2 26 15" xfId="476"/>
    <cellStyle name="Normal 2 26 16" xfId="477"/>
    <cellStyle name="Normal 2 26 17" xfId="478"/>
    <cellStyle name="Normal 2 26 18" xfId="479"/>
    <cellStyle name="Normal 2 26 19" xfId="480"/>
    <cellStyle name="Normal 2 26 2" xfId="481"/>
    <cellStyle name="Normal 2 26 20" xfId="482"/>
    <cellStyle name="Normal 2 26 21" xfId="483"/>
    <cellStyle name="Normal 2 26 22" xfId="484"/>
    <cellStyle name="Normal 2 26 23" xfId="485"/>
    <cellStyle name="Normal 2 26 3" xfId="486"/>
    <cellStyle name="Normal 2 26 4" xfId="487"/>
    <cellStyle name="Normal 2 26 5" xfId="488"/>
    <cellStyle name="Normal 2 26 6" xfId="489"/>
    <cellStyle name="Normal 2 26 7" xfId="490"/>
    <cellStyle name="Normal 2 26 8" xfId="491"/>
    <cellStyle name="Normal 2 26 9" xfId="492"/>
    <cellStyle name="Normal 2 27" xfId="493"/>
    <cellStyle name="Normal 2 27 10" xfId="494"/>
    <cellStyle name="Normal 2 27 11" xfId="495"/>
    <cellStyle name="Normal 2 27 12" xfId="496"/>
    <cellStyle name="Normal 2 27 13" xfId="497"/>
    <cellStyle name="Normal 2 27 14" xfId="498"/>
    <cellStyle name="Normal 2 27 15" xfId="499"/>
    <cellStyle name="Normal 2 27 16" xfId="500"/>
    <cellStyle name="Normal 2 27 17" xfId="501"/>
    <cellStyle name="Normal 2 27 18" xfId="502"/>
    <cellStyle name="Normal 2 27 19" xfId="503"/>
    <cellStyle name="Normal 2 27 2" xfId="504"/>
    <cellStyle name="Normal 2 27 20" xfId="505"/>
    <cellStyle name="Normal 2 27 21" xfId="506"/>
    <cellStyle name="Normal 2 27 22" xfId="507"/>
    <cellStyle name="Normal 2 27 23" xfId="508"/>
    <cellStyle name="Normal 2 27 3" xfId="509"/>
    <cellStyle name="Normal 2 27 4" xfId="510"/>
    <cellStyle name="Normal 2 27 5" xfId="511"/>
    <cellStyle name="Normal 2 27 6" xfId="512"/>
    <cellStyle name="Normal 2 27 7" xfId="513"/>
    <cellStyle name="Normal 2 27 8" xfId="514"/>
    <cellStyle name="Normal 2 27 9" xfId="515"/>
    <cellStyle name="Normal 2 28" xfId="516"/>
    <cellStyle name="Normal 2 28 10" xfId="517"/>
    <cellStyle name="Normal 2 28 11" xfId="518"/>
    <cellStyle name="Normal 2 28 12" xfId="519"/>
    <cellStyle name="Normal 2 28 13" xfId="520"/>
    <cellStyle name="Normal 2 28 14" xfId="521"/>
    <cellStyle name="Normal 2 28 15" xfId="522"/>
    <cellStyle name="Normal 2 28 16" xfId="523"/>
    <cellStyle name="Normal 2 28 17" xfId="524"/>
    <cellStyle name="Normal 2 28 18" xfId="525"/>
    <cellStyle name="Normal 2 28 19" xfId="526"/>
    <cellStyle name="Normal 2 28 2" xfId="527"/>
    <cellStyle name="Normal 2 28 20" xfId="528"/>
    <cellStyle name="Normal 2 28 21" xfId="529"/>
    <cellStyle name="Normal 2 28 22" xfId="530"/>
    <cellStyle name="Normal 2 28 23" xfId="531"/>
    <cellStyle name="Normal 2 28 3" xfId="532"/>
    <cellStyle name="Normal 2 28 4" xfId="533"/>
    <cellStyle name="Normal 2 28 5" xfId="534"/>
    <cellStyle name="Normal 2 28 6" xfId="535"/>
    <cellStyle name="Normal 2 28 7" xfId="536"/>
    <cellStyle name="Normal 2 28 8" xfId="537"/>
    <cellStyle name="Normal 2 28 9" xfId="538"/>
    <cellStyle name="Normal 2 29" xfId="539"/>
    <cellStyle name="Normal 2 29 10" xfId="540"/>
    <cellStyle name="Normal 2 29 11" xfId="541"/>
    <cellStyle name="Normal 2 29 12" xfId="542"/>
    <cellStyle name="Normal 2 29 13" xfId="543"/>
    <cellStyle name="Normal 2 29 14" xfId="544"/>
    <cellStyle name="Normal 2 29 15" xfId="545"/>
    <cellStyle name="Normal 2 29 16" xfId="546"/>
    <cellStyle name="Normal 2 29 17" xfId="547"/>
    <cellStyle name="Normal 2 29 18" xfId="548"/>
    <cellStyle name="Normal 2 29 19" xfId="549"/>
    <cellStyle name="Normal 2 29 2" xfId="550"/>
    <cellStyle name="Normal 2 29 20" xfId="551"/>
    <cellStyle name="Normal 2 29 21" xfId="552"/>
    <cellStyle name="Normal 2 29 22" xfId="553"/>
    <cellStyle name="Normal 2 29 23" xfId="554"/>
    <cellStyle name="Normal 2 29 3" xfId="555"/>
    <cellStyle name="Normal 2 29 4" xfId="556"/>
    <cellStyle name="Normal 2 29 5" xfId="557"/>
    <cellStyle name="Normal 2 29 6" xfId="558"/>
    <cellStyle name="Normal 2 29 7" xfId="559"/>
    <cellStyle name="Normal 2 29 8" xfId="560"/>
    <cellStyle name="Normal 2 29 9" xfId="561"/>
    <cellStyle name="Normal 2 3" xfId="562"/>
    <cellStyle name="Normal 2 30" xfId="563"/>
    <cellStyle name="Normal 2 30 10" xfId="564"/>
    <cellStyle name="Normal 2 30 11" xfId="565"/>
    <cellStyle name="Normal 2 30 12" xfId="566"/>
    <cellStyle name="Normal 2 30 13" xfId="567"/>
    <cellStyle name="Normal 2 30 14" xfId="568"/>
    <cellStyle name="Normal 2 30 15" xfId="569"/>
    <cellStyle name="Normal 2 30 16" xfId="570"/>
    <cellStyle name="Normal 2 30 17" xfId="571"/>
    <cellStyle name="Normal 2 30 18" xfId="572"/>
    <cellStyle name="Normal 2 30 19" xfId="573"/>
    <cellStyle name="Normal 2 30 2" xfId="574"/>
    <cellStyle name="Normal 2 30 20" xfId="575"/>
    <cellStyle name="Normal 2 30 21" xfId="576"/>
    <cellStyle name="Normal 2 30 22" xfId="577"/>
    <cellStyle name="Normal 2 30 23" xfId="578"/>
    <cellStyle name="Normal 2 30 3" xfId="579"/>
    <cellStyle name="Normal 2 30 4" xfId="580"/>
    <cellStyle name="Normal 2 30 5" xfId="581"/>
    <cellStyle name="Normal 2 30 6" xfId="582"/>
    <cellStyle name="Normal 2 30 7" xfId="583"/>
    <cellStyle name="Normal 2 30 8" xfId="584"/>
    <cellStyle name="Normal 2 30 9" xfId="585"/>
    <cellStyle name="Normal 2 31" xfId="586"/>
    <cellStyle name="Normal 2 31 10" xfId="587"/>
    <cellStyle name="Normal 2 31 11" xfId="588"/>
    <cellStyle name="Normal 2 31 12" xfId="589"/>
    <cellStyle name="Normal 2 31 13" xfId="590"/>
    <cellStyle name="Normal 2 31 14" xfId="591"/>
    <cellStyle name="Normal 2 31 15" xfId="592"/>
    <cellStyle name="Normal 2 31 16" xfId="593"/>
    <cellStyle name="Normal 2 31 17" xfId="594"/>
    <cellStyle name="Normal 2 31 18" xfId="595"/>
    <cellStyle name="Normal 2 31 19" xfId="596"/>
    <cellStyle name="Normal 2 31 2" xfId="597"/>
    <cellStyle name="Normal 2 31 20" xfId="598"/>
    <cellStyle name="Normal 2 31 21" xfId="599"/>
    <cellStyle name="Normal 2 31 22" xfId="600"/>
    <cellStyle name="Normal 2 31 23" xfId="601"/>
    <cellStyle name="Normal 2 31 3" xfId="602"/>
    <cellStyle name="Normal 2 31 4" xfId="603"/>
    <cellStyle name="Normal 2 31 5" xfId="604"/>
    <cellStyle name="Normal 2 31 6" xfId="605"/>
    <cellStyle name="Normal 2 31 7" xfId="606"/>
    <cellStyle name="Normal 2 31 8" xfId="607"/>
    <cellStyle name="Normal 2 31 9" xfId="608"/>
    <cellStyle name="Normal 2 32" xfId="609"/>
    <cellStyle name="Normal 2 32 10" xfId="610"/>
    <cellStyle name="Normal 2 32 11" xfId="611"/>
    <cellStyle name="Normal 2 32 12" xfId="612"/>
    <cellStyle name="Normal 2 32 13" xfId="613"/>
    <cellStyle name="Normal 2 32 14" xfId="614"/>
    <cellStyle name="Normal 2 32 15" xfId="615"/>
    <cellStyle name="Normal 2 32 16" xfId="616"/>
    <cellStyle name="Normal 2 32 17" xfId="617"/>
    <cellStyle name="Normal 2 32 18" xfId="618"/>
    <cellStyle name="Normal 2 32 19" xfId="619"/>
    <cellStyle name="Normal 2 32 2" xfId="620"/>
    <cellStyle name="Normal 2 32 20" xfId="621"/>
    <cellStyle name="Normal 2 32 21" xfId="622"/>
    <cellStyle name="Normal 2 32 22" xfId="623"/>
    <cellStyle name="Normal 2 32 23" xfId="624"/>
    <cellStyle name="Normal 2 32 3" xfId="625"/>
    <cellStyle name="Normal 2 32 4" xfId="626"/>
    <cellStyle name="Normal 2 32 5" xfId="627"/>
    <cellStyle name="Normal 2 32 6" xfId="628"/>
    <cellStyle name="Normal 2 32 7" xfId="629"/>
    <cellStyle name="Normal 2 32 8" xfId="630"/>
    <cellStyle name="Normal 2 32 9" xfId="631"/>
    <cellStyle name="Normal 2 33" xfId="632"/>
    <cellStyle name="Normal 2 33 10" xfId="633"/>
    <cellStyle name="Normal 2 33 11" xfId="634"/>
    <cellStyle name="Normal 2 33 12" xfId="635"/>
    <cellStyle name="Normal 2 33 13" xfId="636"/>
    <cellStyle name="Normal 2 33 14" xfId="637"/>
    <cellStyle name="Normal 2 33 15" xfId="638"/>
    <cellStyle name="Normal 2 33 16" xfId="639"/>
    <cellStyle name="Normal 2 33 17" xfId="640"/>
    <cellStyle name="Normal 2 33 18" xfId="641"/>
    <cellStyle name="Normal 2 33 19" xfId="642"/>
    <cellStyle name="Normal 2 33 2" xfId="643"/>
    <cellStyle name="Normal 2 33 20" xfId="644"/>
    <cellStyle name="Normal 2 33 21" xfId="645"/>
    <cellStyle name="Normal 2 33 22" xfId="646"/>
    <cellStyle name="Normal 2 33 23" xfId="647"/>
    <cellStyle name="Normal 2 33 3" xfId="648"/>
    <cellStyle name="Normal 2 33 4" xfId="649"/>
    <cellStyle name="Normal 2 33 5" xfId="650"/>
    <cellStyle name="Normal 2 33 6" xfId="651"/>
    <cellStyle name="Normal 2 33 7" xfId="652"/>
    <cellStyle name="Normal 2 33 8" xfId="653"/>
    <cellStyle name="Normal 2 33 9" xfId="654"/>
    <cellStyle name="Normal 2 34" xfId="655"/>
    <cellStyle name="Normal 2 34 10" xfId="656"/>
    <cellStyle name="Normal 2 34 11" xfId="657"/>
    <cellStyle name="Normal 2 34 12" xfId="658"/>
    <cellStyle name="Normal 2 34 13" xfId="659"/>
    <cellStyle name="Normal 2 34 14" xfId="660"/>
    <cellStyle name="Normal 2 34 15" xfId="661"/>
    <cellStyle name="Normal 2 34 16" xfId="662"/>
    <cellStyle name="Normal 2 34 17" xfId="663"/>
    <cellStyle name="Normal 2 34 18" xfId="664"/>
    <cellStyle name="Normal 2 34 19" xfId="665"/>
    <cellStyle name="Normal 2 34 2" xfId="666"/>
    <cellStyle name="Normal 2 34 20" xfId="667"/>
    <cellStyle name="Normal 2 34 21" xfId="668"/>
    <cellStyle name="Normal 2 34 22" xfId="669"/>
    <cellStyle name="Normal 2 34 23" xfId="670"/>
    <cellStyle name="Normal 2 34 3" xfId="671"/>
    <cellStyle name="Normal 2 34 4" xfId="672"/>
    <cellStyle name="Normal 2 34 5" xfId="673"/>
    <cellStyle name="Normal 2 34 6" xfId="674"/>
    <cellStyle name="Normal 2 34 7" xfId="675"/>
    <cellStyle name="Normal 2 34 8" xfId="676"/>
    <cellStyle name="Normal 2 34 9" xfId="677"/>
    <cellStyle name="Normal 2 35" xfId="678"/>
    <cellStyle name="Normal 2 35 10" xfId="679"/>
    <cellStyle name="Normal 2 35 11" xfId="680"/>
    <cellStyle name="Normal 2 35 12" xfId="681"/>
    <cellStyle name="Normal 2 35 13" xfId="682"/>
    <cellStyle name="Normal 2 35 14" xfId="683"/>
    <cellStyle name="Normal 2 35 15" xfId="684"/>
    <cellStyle name="Normal 2 35 16" xfId="685"/>
    <cellStyle name="Normal 2 35 17" xfId="686"/>
    <cellStyle name="Normal 2 35 18" xfId="687"/>
    <cellStyle name="Normal 2 35 19" xfId="688"/>
    <cellStyle name="Normal 2 35 2" xfId="689"/>
    <cellStyle name="Normal 2 35 20" xfId="690"/>
    <cellStyle name="Normal 2 35 21" xfId="691"/>
    <cellStyle name="Normal 2 35 22" xfId="692"/>
    <cellStyle name="Normal 2 35 23" xfId="693"/>
    <cellStyle name="Normal 2 35 3" xfId="694"/>
    <cellStyle name="Normal 2 35 4" xfId="695"/>
    <cellStyle name="Normal 2 35 5" xfId="696"/>
    <cellStyle name="Normal 2 35 6" xfId="697"/>
    <cellStyle name="Normal 2 35 7" xfId="698"/>
    <cellStyle name="Normal 2 35 8" xfId="699"/>
    <cellStyle name="Normal 2 35 9" xfId="700"/>
    <cellStyle name="Normal 2 36" xfId="701"/>
    <cellStyle name="Normal 2 36 10" xfId="702"/>
    <cellStyle name="Normal 2 36 11" xfId="703"/>
    <cellStyle name="Normal 2 36 12" xfId="704"/>
    <cellStyle name="Normal 2 36 13" xfId="705"/>
    <cellStyle name="Normal 2 36 14" xfId="706"/>
    <cellStyle name="Normal 2 36 15" xfId="707"/>
    <cellStyle name="Normal 2 36 16" xfId="708"/>
    <cellStyle name="Normal 2 36 17" xfId="709"/>
    <cellStyle name="Normal 2 36 18" xfId="710"/>
    <cellStyle name="Normal 2 36 19" xfId="711"/>
    <cellStyle name="Normal 2 36 2" xfId="712"/>
    <cellStyle name="Normal 2 36 20" xfId="713"/>
    <cellStyle name="Normal 2 36 21" xfId="714"/>
    <cellStyle name="Normal 2 36 22" xfId="715"/>
    <cellStyle name="Normal 2 36 23" xfId="716"/>
    <cellStyle name="Normal 2 36 3" xfId="717"/>
    <cellStyle name="Normal 2 36 4" xfId="718"/>
    <cellStyle name="Normal 2 36 5" xfId="719"/>
    <cellStyle name="Normal 2 36 6" xfId="720"/>
    <cellStyle name="Normal 2 36 7" xfId="721"/>
    <cellStyle name="Normal 2 36 8" xfId="722"/>
    <cellStyle name="Normal 2 36 9" xfId="723"/>
    <cellStyle name="Normal 2 37" xfId="724"/>
    <cellStyle name="Normal 2 37 10" xfId="725"/>
    <cellStyle name="Normal 2 37 11" xfId="726"/>
    <cellStyle name="Normal 2 37 12" xfId="727"/>
    <cellStyle name="Normal 2 37 13" xfId="728"/>
    <cellStyle name="Normal 2 37 14" xfId="729"/>
    <cellStyle name="Normal 2 37 15" xfId="730"/>
    <cellStyle name="Normal 2 37 16" xfId="731"/>
    <cellStyle name="Normal 2 37 17" xfId="732"/>
    <cellStyle name="Normal 2 37 18" xfId="733"/>
    <cellStyle name="Normal 2 37 19" xfId="734"/>
    <cellStyle name="Normal 2 37 2" xfId="735"/>
    <cellStyle name="Normal 2 37 20" xfId="736"/>
    <cellStyle name="Normal 2 37 21" xfId="737"/>
    <cellStyle name="Normal 2 37 22" xfId="738"/>
    <cellStyle name="Normal 2 37 23" xfId="739"/>
    <cellStyle name="Normal 2 37 3" xfId="740"/>
    <cellStyle name="Normal 2 37 4" xfId="741"/>
    <cellStyle name="Normal 2 37 5" xfId="742"/>
    <cellStyle name="Normal 2 37 6" xfId="743"/>
    <cellStyle name="Normal 2 37 7" xfId="744"/>
    <cellStyle name="Normal 2 37 8" xfId="745"/>
    <cellStyle name="Normal 2 37 9" xfId="746"/>
    <cellStyle name="Normal 2 38" xfId="747"/>
    <cellStyle name="Normal 2 38 10" xfId="748"/>
    <cellStyle name="Normal 2 38 11" xfId="749"/>
    <cellStyle name="Normal 2 38 12" xfId="750"/>
    <cellStyle name="Normal 2 38 13" xfId="751"/>
    <cellStyle name="Normal 2 38 14" xfId="752"/>
    <cellStyle name="Normal 2 38 15" xfId="753"/>
    <cellStyle name="Normal 2 38 16" xfId="754"/>
    <cellStyle name="Normal 2 38 17" xfId="755"/>
    <cellStyle name="Normal 2 38 18" xfId="756"/>
    <cellStyle name="Normal 2 38 19" xfId="757"/>
    <cellStyle name="Normal 2 38 2" xfId="758"/>
    <cellStyle name="Normal 2 38 20" xfId="759"/>
    <cellStyle name="Normal 2 38 21" xfId="760"/>
    <cellStyle name="Normal 2 38 22" xfId="761"/>
    <cellStyle name="Normal 2 38 23" xfId="762"/>
    <cellStyle name="Normal 2 38 3" xfId="763"/>
    <cellStyle name="Normal 2 38 4" xfId="764"/>
    <cellStyle name="Normal 2 38 5" xfId="765"/>
    <cellStyle name="Normal 2 38 6" xfId="766"/>
    <cellStyle name="Normal 2 38 7" xfId="767"/>
    <cellStyle name="Normal 2 38 8" xfId="768"/>
    <cellStyle name="Normal 2 38 9" xfId="769"/>
    <cellStyle name="Normal 2 39" xfId="770"/>
    <cellStyle name="Normal 2 39 10" xfId="771"/>
    <cellStyle name="Normal 2 39 11" xfId="772"/>
    <cellStyle name="Normal 2 39 12" xfId="773"/>
    <cellStyle name="Normal 2 39 13" xfId="774"/>
    <cellStyle name="Normal 2 39 14" xfId="775"/>
    <cellStyle name="Normal 2 39 15" xfId="776"/>
    <cellStyle name="Normal 2 39 16" xfId="777"/>
    <cellStyle name="Normal 2 39 17" xfId="778"/>
    <cellStyle name="Normal 2 39 18" xfId="779"/>
    <cellStyle name="Normal 2 39 19" xfId="780"/>
    <cellStyle name="Normal 2 39 2" xfId="781"/>
    <cellStyle name="Normal 2 39 20" xfId="782"/>
    <cellStyle name="Normal 2 39 21" xfId="783"/>
    <cellStyle name="Normal 2 39 22" xfId="784"/>
    <cellStyle name="Normal 2 39 23" xfId="785"/>
    <cellStyle name="Normal 2 39 3" xfId="786"/>
    <cellStyle name="Normal 2 39 4" xfId="787"/>
    <cellStyle name="Normal 2 39 5" xfId="788"/>
    <cellStyle name="Normal 2 39 6" xfId="789"/>
    <cellStyle name="Normal 2 39 7" xfId="790"/>
    <cellStyle name="Normal 2 39 8" xfId="791"/>
    <cellStyle name="Normal 2 39 9" xfId="792"/>
    <cellStyle name="Normal 2 4" xfId="793"/>
    <cellStyle name="Normal 2 40" xfId="794"/>
    <cellStyle name="Normal 2 41" xfId="795"/>
    <cellStyle name="Normal 2 42" xfId="796"/>
    <cellStyle name="Normal 2 43" xfId="797"/>
    <cellStyle name="Normal 2 44" xfId="798"/>
    <cellStyle name="Normal 2 45" xfId="799"/>
    <cellStyle name="Normal 2 46" xfId="800"/>
    <cellStyle name="Normal 2 47" xfId="801"/>
    <cellStyle name="Normal 2 48" xfId="802"/>
    <cellStyle name="Normal 2 49" xfId="803"/>
    <cellStyle name="Normal 2 5" xfId="804"/>
    <cellStyle name="Normal 2 5 10" xfId="805"/>
    <cellStyle name="Normal 2 5 11" xfId="806"/>
    <cellStyle name="Normal 2 5 12" xfId="807"/>
    <cellStyle name="Normal 2 5 13" xfId="808"/>
    <cellStyle name="Normal 2 5 14" xfId="809"/>
    <cellStyle name="Normal 2 5 15" xfId="810"/>
    <cellStyle name="Normal 2 5 16" xfId="811"/>
    <cellStyle name="Normal 2 5 17" xfId="812"/>
    <cellStyle name="Normal 2 5 18" xfId="813"/>
    <cellStyle name="Normal 2 5 19" xfId="814"/>
    <cellStyle name="Normal 2 5 2" xfId="815"/>
    <cellStyle name="Normal 2 5 2 10" xfId="816"/>
    <cellStyle name="Normal 2 5 2 11" xfId="817"/>
    <cellStyle name="Normal 2 5 2 12" xfId="818"/>
    <cellStyle name="Normal 2 5 2 13" xfId="819"/>
    <cellStyle name="Normal 2 5 2 14" xfId="820"/>
    <cellStyle name="Normal 2 5 2 15" xfId="821"/>
    <cellStyle name="Normal 2 5 2 16" xfId="822"/>
    <cellStyle name="Normal 2 5 2 17" xfId="823"/>
    <cellStyle name="Normal 2 5 2 18" xfId="824"/>
    <cellStyle name="Normal 2 5 2 19" xfId="825"/>
    <cellStyle name="Normal 2 5 2 2" xfId="826"/>
    <cellStyle name="Normal 2 5 2 2 10" xfId="827"/>
    <cellStyle name="Normal 2 5 2 2 11" xfId="828"/>
    <cellStyle name="Normal 2 5 2 2 12" xfId="829"/>
    <cellStyle name="Normal 2 5 2 2 13" xfId="830"/>
    <cellStyle name="Normal 2 5 2 2 14" xfId="831"/>
    <cellStyle name="Normal 2 5 2 2 15" xfId="832"/>
    <cellStyle name="Normal 2 5 2 2 16" xfId="833"/>
    <cellStyle name="Normal 2 5 2 2 17" xfId="834"/>
    <cellStyle name="Normal 2 5 2 2 18" xfId="835"/>
    <cellStyle name="Normal 2 5 2 2 19" xfId="836"/>
    <cellStyle name="Normal 2 5 2 2 2" xfId="837"/>
    <cellStyle name="Normal 2 5 2 2 20" xfId="838"/>
    <cellStyle name="Normal 2 5 2 2 21" xfId="839"/>
    <cellStyle name="Normal 2 5 2 2 22" xfId="840"/>
    <cellStyle name="Normal 2 5 2 2 23" xfId="841"/>
    <cellStyle name="Normal 2 5 2 2 24" xfId="842"/>
    <cellStyle name="Normal 2 5 2 2 25" xfId="843"/>
    <cellStyle name="Normal 2 5 2 2 26" xfId="844"/>
    <cellStyle name="Normal 2 5 2 2 27" xfId="845"/>
    <cellStyle name="Normal 2 5 2 2 28" xfId="846"/>
    <cellStyle name="Normal 2 5 2 2 29" xfId="847"/>
    <cellStyle name="Normal 2 5 2 2 3" xfId="848"/>
    <cellStyle name="Normal 2 5 2 2 30" xfId="849"/>
    <cellStyle name="Normal 2 5 2 2 31" xfId="850"/>
    <cellStyle name="Normal 2 5 2 2 32" xfId="851"/>
    <cellStyle name="Normal 2 5 2 2 33" xfId="852"/>
    <cellStyle name="Normal 2 5 2 2 34" xfId="853"/>
    <cellStyle name="Normal 2 5 2 2 35" xfId="854"/>
    <cellStyle name="Normal 2 5 2 2 36" xfId="855"/>
    <cellStyle name="Normal 2 5 2 2 37" xfId="856"/>
    <cellStyle name="Normal 2 5 2 2 38" xfId="857"/>
    <cellStyle name="Normal 2 5 2 2 39" xfId="858"/>
    <cellStyle name="Normal 2 5 2 2 4" xfId="859"/>
    <cellStyle name="Normal 2 5 2 2 40" xfId="860"/>
    <cellStyle name="Normal 2 5 2 2 41" xfId="861"/>
    <cellStyle name="Normal 2 5 2 2 42" xfId="862"/>
    <cellStyle name="Normal 2 5 2 2 43" xfId="863"/>
    <cellStyle name="Normal 2 5 2 2 44" xfId="864"/>
    <cellStyle name="Normal 2 5 2 2 45" xfId="865"/>
    <cellStyle name="Normal 2 5 2 2 46" xfId="866"/>
    <cellStyle name="Normal 2 5 2 2 47" xfId="867"/>
    <cellStyle name="Normal 2 5 2 2 48" xfId="868"/>
    <cellStyle name="Normal 2 5 2 2 49" xfId="869"/>
    <cellStyle name="Normal 2 5 2 2 5" xfId="870"/>
    <cellStyle name="Normal 2 5 2 2 50" xfId="871"/>
    <cellStyle name="Normal 2 5 2 2 51" xfId="872"/>
    <cellStyle name="Normal 2 5 2 2 52" xfId="873"/>
    <cellStyle name="Normal 2 5 2 2 53" xfId="874"/>
    <cellStyle name="Normal 2 5 2 2 54" xfId="875"/>
    <cellStyle name="Normal 2 5 2 2 55" xfId="876"/>
    <cellStyle name="Normal 2 5 2 2 6" xfId="877"/>
    <cellStyle name="Normal 2 5 2 2 7" xfId="878"/>
    <cellStyle name="Normal 2 5 2 2 8" xfId="879"/>
    <cellStyle name="Normal 2 5 2 2 9" xfId="880"/>
    <cellStyle name="Normal 2 5 2 20" xfId="881"/>
    <cellStyle name="Normal 2 5 2 21" xfId="882"/>
    <cellStyle name="Normal 2 5 2 22" xfId="883"/>
    <cellStyle name="Normal 2 5 2 23" xfId="884"/>
    <cellStyle name="Normal 2 5 2 24" xfId="885"/>
    <cellStyle name="Normal 2 5 2 25" xfId="886"/>
    <cellStyle name="Normal 2 5 2 26" xfId="887"/>
    <cellStyle name="Normal 2 5 2 27" xfId="888"/>
    <cellStyle name="Normal 2 5 2 28" xfId="889"/>
    <cellStyle name="Normal 2 5 2 29" xfId="890"/>
    <cellStyle name="Normal 2 5 2 3" xfId="891"/>
    <cellStyle name="Normal 2 5 2 30" xfId="892"/>
    <cellStyle name="Normal 2 5 2 31" xfId="893"/>
    <cellStyle name="Normal 2 5 2 32" xfId="894"/>
    <cellStyle name="Normal 2 5 2 33" xfId="895"/>
    <cellStyle name="Normal 2 5 2 4" xfId="896"/>
    <cellStyle name="Normal 2 5 2 5" xfId="897"/>
    <cellStyle name="Normal 2 5 2 6" xfId="898"/>
    <cellStyle name="Normal 2 5 2 7" xfId="899"/>
    <cellStyle name="Normal 2 5 2 8" xfId="900"/>
    <cellStyle name="Normal 2 5 2 9" xfId="901"/>
    <cellStyle name="Normal 2 5 20" xfId="902"/>
    <cellStyle name="Normal 2 5 21" xfId="903"/>
    <cellStyle name="Normal 2 5 22" xfId="904"/>
    <cellStyle name="Normal 2 5 23" xfId="905"/>
    <cellStyle name="Normal 2 5 24" xfId="906"/>
    <cellStyle name="Normal 2 5 25" xfId="907"/>
    <cellStyle name="Normal 2 5 26" xfId="908"/>
    <cellStyle name="Normal 2 5 27" xfId="909"/>
    <cellStyle name="Normal 2 5 28" xfId="910"/>
    <cellStyle name="Normal 2 5 29" xfId="911"/>
    <cellStyle name="Normal 2 5 3" xfId="912"/>
    <cellStyle name="Normal 2 5 30" xfId="913"/>
    <cellStyle name="Normal 2 5 31" xfId="914"/>
    <cellStyle name="Normal 2 5 32" xfId="915"/>
    <cellStyle name="Normal 2 5 33" xfId="916"/>
    <cellStyle name="Normal 2 5 34" xfId="917"/>
    <cellStyle name="Normal 2 5 35" xfId="918"/>
    <cellStyle name="Normal 2 5 36" xfId="919"/>
    <cellStyle name="Normal 2 5 37" xfId="920"/>
    <cellStyle name="Normal 2 5 38" xfId="921"/>
    <cellStyle name="Normal 2 5 39" xfId="922"/>
    <cellStyle name="Normal 2 5 4" xfId="923"/>
    <cellStyle name="Normal 2 5 40" xfId="924"/>
    <cellStyle name="Normal 2 5 41" xfId="925"/>
    <cellStyle name="Normal 2 5 42" xfId="926"/>
    <cellStyle name="Normal 2 5 43" xfId="927"/>
    <cellStyle name="Normal 2 5 44" xfId="928"/>
    <cellStyle name="Normal 2 5 45" xfId="929"/>
    <cellStyle name="Normal 2 5 46" xfId="930"/>
    <cellStyle name="Normal 2 5 47" xfId="931"/>
    <cellStyle name="Normal 2 5 48" xfId="932"/>
    <cellStyle name="Normal 2 5 49" xfId="933"/>
    <cellStyle name="Normal 2 5 5" xfId="934"/>
    <cellStyle name="Normal 2 5 50" xfId="935"/>
    <cellStyle name="Normal 2 5 51" xfId="936"/>
    <cellStyle name="Normal 2 5 52" xfId="937"/>
    <cellStyle name="Normal 2 5 53" xfId="938"/>
    <cellStyle name="Normal 2 5 54" xfId="939"/>
    <cellStyle name="Normal 2 5 55" xfId="940"/>
    <cellStyle name="Normal 2 5 56" xfId="941"/>
    <cellStyle name="Normal 2 5 57" xfId="942"/>
    <cellStyle name="Normal 2 5 58" xfId="943"/>
    <cellStyle name="Normal 2 5 59" xfId="944"/>
    <cellStyle name="Normal 2 5 6" xfId="945"/>
    <cellStyle name="Normal 2 5 60" xfId="946"/>
    <cellStyle name="Normal 2 5 61" xfId="947"/>
    <cellStyle name="Normal 2 5 62" xfId="948"/>
    <cellStyle name="Normal 2 5 63" xfId="949"/>
    <cellStyle name="Normal 2 5 64" xfId="950"/>
    <cellStyle name="Normal 2 5 65" xfId="951"/>
    <cellStyle name="Normal 2 5 66" xfId="952"/>
    <cellStyle name="Normal 2 5 67" xfId="953"/>
    <cellStyle name="Normal 2 5 68" xfId="954"/>
    <cellStyle name="Normal 2 5 69" xfId="955"/>
    <cellStyle name="Normal 2 5 7" xfId="956"/>
    <cellStyle name="Normal 2 5 70" xfId="957"/>
    <cellStyle name="Normal 2 5 71" xfId="958"/>
    <cellStyle name="Normal 2 5 72" xfId="959"/>
    <cellStyle name="Normal 2 5 73" xfId="960"/>
    <cellStyle name="Normal 2 5 74" xfId="961"/>
    <cellStyle name="Normal 2 5 75" xfId="962"/>
    <cellStyle name="Normal 2 5 76" xfId="963"/>
    <cellStyle name="Normal 2 5 77" xfId="964"/>
    <cellStyle name="Normal 2 5 78" xfId="965"/>
    <cellStyle name="Normal 2 5 79" xfId="966"/>
    <cellStyle name="Normal 2 5 8" xfId="967"/>
    <cellStyle name="Normal 2 5 80" xfId="968"/>
    <cellStyle name="Normal 2 5 81" xfId="969"/>
    <cellStyle name="Normal 2 5 82" xfId="970"/>
    <cellStyle name="Normal 2 5 83" xfId="971"/>
    <cellStyle name="Normal 2 5 84" xfId="972"/>
    <cellStyle name="Normal 2 5 85" xfId="973"/>
    <cellStyle name="Normal 2 5 86" xfId="974"/>
    <cellStyle name="Normal 2 5 87" xfId="975"/>
    <cellStyle name="Normal 2 5 9" xfId="976"/>
    <cellStyle name="Normal 2 5_DEER 032008 Cost Summary Delivery - Rev 4 (2)" xfId="977"/>
    <cellStyle name="Normal 2 50" xfId="978"/>
    <cellStyle name="Normal 2 51" xfId="979"/>
    <cellStyle name="Normal 2 52" xfId="980"/>
    <cellStyle name="Normal 2 53" xfId="981"/>
    <cellStyle name="Normal 2 54" xfId="982"/>
    <cellStyle name="Normal 2 55" xfId="983"/>
    <cellStyle name="Normal 2 56" xfId="984"/>
    <cellStyle name="Normal 2 57" xfId="985"/>
    <cellStyle name="Normal 2 58" xfId="986"/>
    <cellStyle name="Normal 2 59" xfId="987"/>
    <cellStyle name="Normal 2 6" xfId="988"/>
    <cellStyle name="Normal 2 60" xfId="989"/>
    <cellStyle name="Normal 2 61" xfId="990"/>
    <cellStyle name="Normal 2 62" xfId="991"/>
    <cellStyle name="Normal 2 63" xfId="992"/>
    <cellStyle name="Normal 2 64" xfId="993"/>
    <cellStyle name="Normal 2 65" xfId="994"/>
    <cellStyle name="Normal 2 66" xfId="995"/>
    <cellStyle name="Normal 2 67" xfId="996"/>
    <cellStyle name="Normal 2 68" xfId="997"/>
    <cellStyle name="Normal 2 69" xfId="998"/>
    <cellStyle name="Normal 2 7" xfId="999"/>
    <cellStyle name="Normal 2 70" xfId="1000"/>
    <cellStyle name="Normal 2 71" xfId="1001"/>
    <cellStyle name="Normal 2 72" xfId="1002"/>
    <cellStyle name="Normal 2 73" xfId="1003"/>
    <cellStyle name="Normal 2 74" xfId="1004"/>
    <cellStyle name="Normal 2 75" xfId="1005"/>
    <cellStyle name="Normal 2 76" xfId="1006"/>
    <cellStyle name="Normal 2 77" xfId="1007"/>
    <cellStyle name="Normal 2 78" xfId="1008"/>
    <cellStyle name="Normal 2 79" xfId="1009"/>
    <cellStyle name="Normal 2 8" xfId="1010"/>
    <cellStyle name="Normal 2 8 10" xfId="1011"/>
    <cellStyle name="Normal 2 8 11" xfId="1012"/>
    <cellStyle name="Normal 2 8 12" xfId="1013"/>
    <cellStyle name="Normal 2 8 13" xfId="1014"/>
    <cellStyle name="Normal 2 8 14" xfId="1015"/>
    <cellStyle name="Normal 2 8 15" xfId="1016"/>
    <cellStyle name="Normal 2 8 16" xfId="1017"/>
    <cellStyle name="Normal 2 8 17" xfId="1018"/>
    <cellStyle name="Normal 2 8 18" xfId="1019"/>
    <cellStyle name="Normal 2 8 19" xfId="1020"/>
    <cellStyle name="Normal 2 8 2" xfId="1021"/>
    <cellStyle name="Normal 2 8 20" xfId="1022"/>
    <cellStyle name="Normal 2 8 21" xfId="1023"/>
    <cellStyle name="Normal 2 8 22" xfId="1024"/>
    <cellStyle name="Normal 2 8 23" xfId="1025"/>
    <cellStyle name="Normal 2 8 3" xfId="1026"/>
    <cellStyle name="Normal 2 8 4" xfId="1027"/>
    <cellStyle name="Normal 2 8 5" xfId="1028"/>
    <cellStyle name="Normal 2 8 6" xfId="1029"/>
    <cellStyle name="Normal 2 8 7" xfId="1030"/>
    <cellStyle name="Normal 2 8 8" xfId="1031"/>
    <cellStyle name="Normal 2 8 9" xfId="1032"/>
    <cellStyle name="Normal 2 80" xfId="1033"/>
    <cellStyle name="Normal 2 81" xfId="1034"/>
    <cellStyle name="Normal 2 82" xfId="1035"/>
    <cellStyle name="Normal 2 83" xfId="1036"/>
    <cellStyle name="Normal 2 84" xfId="1037"/>
    <cellStyle name="Normal 2 85" xfId="1038"/>
    <cellStyle name="Normal 2 86" xfId="1039"/>
    <cellStyle name="Normal 2 87" xfId="1040"/>
    <cellStyle name="Normal 2 88" xfId="1041"/>
    <cellStyle name="Normal 2 89" xfId="1042"/>
    <cellStyle name="Normal 2 9" xfId="1043"/>
    <cellStyle name="Normal 2 9 10" xfId="1044"/>
    <cellStyle name="Normal 2 9 11" xfId="1045"/>
    <cellStyle name="Normal 2 9 12" xfId="1046"/>
    <cellStyle name="Normal 2 9 13" xfId="1047"/>
    <cellStyle name="Normal 2 9 14" xfId="1048"/>
    <cellStyle name="Normal 2 9 15" xfId="1049"/>
    <cellStyle name="Normal 2 9 16" xfId="1050"/>
    <cellStyle name="Normal 2 9 17" xfId="1051"/>
    <cellStyle name="Normal 2 9 18" xfId="1052"/>
    <cellStyle name="Normal 2 9 19" xfId="1053"/>
    <cellStyle name="Normal 2 9 2" xfId="1054"/>
    <cellStyle name="Normal 2 9 20" xfId="1055"/>
    <cellStyle name="Normal 2 9 21" xfId="1056"/>
    <cellStyle name="Normal 2 9 22" xfId="1057"/>
    <cellStyle name="Normal 2 9 23" xfId="1058"/>
    <cellStyle name="Normal 2 9 3" xfId="1059"/>
    <cellStyle name="Normal 2 9 4" xfId="1060"/>
    <cellStyle name="Normal 2 9 5" xfId="1061"/>
    <cellStyle name="Normal 2 9 6" xfId="1062"/>
    <cellStyle name="Normal 2 9 7" xfId="1063"/>
    <cellStyle name="Normal 2 9 8" xfId="1064"/>
    <cellStyle name="Normal 2 9 9" xfId="1065"/>
    <cellStyle name="Normal 2 90" xfId="1066"/>
    <cellStyle name="Normal 2 91" xfId="1067"/>
    <cellStyle name="Normal 2 92" xfId="1068"/>
    <cellStyle name="Normal 2 93" xfId="1069"/>
    <cellStyle name="Normal 2_DEER 032008 Cost Summary Delivery - Rev 4 (2)" xfId="1070"/>
    <cellStyle name="Normal 3" xfId="50"/>
    <cellStyle name="Normal 3 10" xfId="1071"/>
    <cellStyle name="Normal 3 10 10" xfId="1072"/>
    <cellStyle name="Normal 3 10 11" xfId="1073"/>
    <cellStyle name="Normal 3 10 12" xfId="1074"/>
    <cellStyle name="Normal 3 10 13" xfId="1075"/>
    <cellStyle name="Normal 3 10 14" xfId="1076"/>
    <cellStyle name="Normal 3 10 15" xfId="1077"/>
    <cellStyle name="Normal 3 10 16" xfId="1078"/>
    <cellStyle name="Normal 3 10 17" xfId="1079"/>
    <cellStyle name="Normal 3 10 18" xfId="1080"/>
    <cellStyle name="Normal 3 10 19" xfId="1081"/>
    <cellStyle name="Normal 3 10 2" xfId="1082"/>
    <cellStyle name="Normal 3 10 20" xfId="1083"/>
    <cellStyle name="Normal 3 10 21" xfId="1084"/>
    <cellStyle name="Normal 3 10 22" xfId="1085"/>
    <cellStyle name="Normal 3 10 23" xfId="1086"/>
    <cellStyle name="Normal 3 10 3" xfId="1087"/>
    <cellStyle name="Normal 3 10 4" xfId="1088"/>
    <cellStyle name="Normal 3 10 5" xfId="1089"/>
    <cellStyle name="Normal 3 10 6" xfId="1090"/>
    <cellStyle name="Normal 3 10 7" xfId="1091"/>
    <cellStyle name="Normal 3 10 8" xfId="1092"/>
    <cellStyle name="Normal 3 10 9" xfId="1093"/>
    <cellStyle name="Normal 3 11" xfId="1094"/>
    <cellStyle name="Normal 3 11 10" xfId="1095"/>
    <cellStyle name="Normal 3 11 11" xfId="1096"/>
    <cellStyle name="Normal 3 11 12" xfId="1097"/>
    <cellStyle name="Normal 3 11 13" xfId="1098"/>
    <cellStyle name="Normal 3 11 14" xfId="1099"/>
    <cellStyle name="Normal 3 11 15" xfId="1100"/>
    <cellStyle name="Normal 3 11 16" xfId="1101"/>
    <cellStyle name="Normal 3 11 17" xfId="1102"/>
    <cellStyle name="Normal 3 11 18" xfId="1103"/>
    <cellStyle name="Normal 3 11 19" xfId="1104"/>
    <cellStyle name="Normal 3 11 2" xfId="1105"/>
    <cellStyle name="Normal 3 11 20" xfId="1106"/>
    <cellStyle name="Normal 3 11 21" xfId="1107"/>
    <cellStyle name="Normal 3 11 22" xfId="1108"/>
    <cellStyle name="Normal 3 11 23" xfId="1109"/>
    <cellStyle name="Normal 3 11 3" xfId="1110"/>
    <cellStyle name="Normal 3 11 4" xfId="1111"/>
    <cellStyle name="Normal 3 11 5" xfId="1112"/>
    <cellStyle name="Normal 3 11 6" xfId="1113"/>
    <cellStyle name="Normal 3 11 7" xfId="1114"/>
    <cellStyle name="Normal 3 11 8" xfId="1115"/>
    <cellStyle name="Normal 3 11 9" xfId="1116"/>
    <cellStyle name="Normal 3 12" xfId="1117"/>
    <cellStyle name="Normal 3 12 10" xfId="1118"/>
    <cellStyle name="Normal 3 12 11" xfId="1119"/>
    <cellStyle name="Normal 3 12 12" xfId="1120"/>
    <cellStyle name="Normal 3 12 13" xfId="1121"/>
    <cellStyle name="Normal 3 12 14" xfId="1122"/>
    <cellStyle name="Normal 3 12 15" xfId="1123"/>
    <cellStyle name="Normal 3 12 16" xfId="1124"/>
    <cellStyle name="Normal 3 12 17" xfId="1125"/>
    <cellStyle name="Normal 3 12 18" xfId="1126"/>
    <cellStyle name="Normal 3 12 19" xfId="1127"/>
    <cellStyle name="Normal 3 12 2" xfId="1128"/>
    <cellStyle name="Normal 3 12 20" xfId="1129"/>
    <cellStyle name="Normal 3 12 21" xfId="1130"/>
    <cellStyle name="Normal 3 12 22" xfId="1131"/>
    <cellStyle name="Normal 3 12 23" xfId="1132"/>
    <cellStyle name="Normal 3 12 3" xfId="1133"/>
    <cellStyle name="Normal 3 12 4" xfId="1134"/>
    <cellStyle name="Normal 3 12 5" xfId="1135"/>
    <cellStyle name="Normal 3 12 6" xfId="1136"/>
    <cellStyle name="Normal 3 12 7" xfId="1137"/>
    <cellStyle name="Normal 3 12 8" xfId="1138"/>
    <cellStyle name="Normal 3 12 9" xfId="1139"/>
    <cellStyle name="Normal 3 13" xfId="1140"/>
    <cellStyle name="Normal 3 13 10" xfId="1141"/>
    <cellStyle name="Normal 3 13 11" xfId="1142"/>
    <cellStyle name="Normal 3 13 12" xfId="1143"/>
    <cellStyle name="Normal 3 13 13" xfId="1144"/>
    <cellStyle name="Normal 3 13 14" xfId="1145"/>
    <cellStyle name="Normal 3 13 15" xfId="1146"/>
    <cellStyle name="Normal 3 13 16" xfId="1147"/>
    <cellStyle name="Normal 3 13 17" xfId="1148"/>
    <cellStyle name="Normal 3 13 18" xfId="1149"/>
    <cellStyle name="Normal 3 13 19" xfId="1150"/>
    <cellStyle name="Normal 3 13 2" xfId="1151"/>
    <cellStyle name="Normal 3 13 20" xfId="1152"/>
    <cellStyle name="Normal 3 13 21" xfId="1153"/>
    <cellStyle name="Normal 3 13 22" xfId="1154"/>
    <cellStyle name="Normal 3 13 23" xfId="1155"/>
    <cellStyle name="Normal 3 13 3" xfId="1156"/>
    <cellStyle name="Normal 3 13 4" xfId="1157"/>
    <cellStyle name="Normal 3 13 5" xfId="1158"/>
    <cellStyle name="Normal 3 13 6" xfId="1159"/>
    <cellStyle name="Normal 3 13 7" xfId="1160"/>
    <cellStyle name="Normal 3 13 8" xfId="1161"/>
    <cellStyle name="Normal 3 13 9" xfId="1162"/>
    <cellStyle name="Normal 3 14" xfId="1163"/>
    <cellStyle name="Normal 3 14 10" xfId="1164"/>
    <cellStyle name="Normal 3 14 11" xfId="1165"/>
    <cellStyle name="Normal 3 14 12" xfId="1166"/>
    <cellStyle name="Normal 3 14 13" xfId="1167"/>
    <cellStyle name="Normal 3 14 14" xfId="1168"/>
    <cellStyle name="Normal 3 14 15" xfId="1169"/>
    <cellStyle name="Normal 3 14 16" xfId="1170"/>
    <cellStyle name="Normal 3 14 17" xfId="1171"/>
    <cellStyle name="Normal 3 14 18" xfId="1172"/>
    <cellStyle name="Normal 3 14 19" xfId="1173"/>
    <cellStyle name="Normal 3 14 2" xfId="1174"/>
    <cellStyle name="Normal 3 14 20" xfId="1175"/>
    <cellStyle name="Normal 3 14 21" xfId="1176"/>
    <cellStyle name="Normal 3 14 22" xfId="1177"/>
    <cellStyle name="Normal 3 14 23" xfId="1178"/>
    <cellStyle name="Normal 3 14 3" xfId="1179"/>
    <cellStyle name="Normal 3 14 4" xfId="1180"/>
    <cellStyle name="Normal 3 14 5" xfId="1181"/>
    <cellStyle name="Normal 3 14 6" xfId="1182"/>
    <cellStyle name="Normal 3 14 7" xfId="1183"/>
    <cellStyle name="Normal 3 14 8" xfId="1184"/>
    <cellStyle name="Normal 3 14 9" xfId="1185"/>
    <cellStyle name="Normal 3 15" xfId="1186"/>
    <cellStyle name="Normal 3 15 10" xfId="1187"/>
    <cellStyle name="Normal 3 15 11" xfId="1188"/>
    <cellStyle name="Normal 3 15 12" xfId="1189"/>
    <cellStyle name="Normal 3 15 13" xfId="1190"/>
    <cellStyle name="Normal 3 15 14" xfId="1191"/>
    <cellStyle name="Normal 3 15 15" xfId="1192"/>
    <cellStyle name="Normal 3 15 16" xfId="1193"/>
    <cellStyle name="Normal 3 15 17" xfId="1194"/>
    <cellStyle name="Normal 3 15 18" xfId="1195"/>
    <cellStyle name="Normal 3 15 19" xfId="1196"/>
    <cellStyle name="Normal 3 15 2" xfId="1197"/>
    <cellStyle name="Normal 3 15 20" xfId="1198"/>
    <cellStyle name="Normal 3 15 21" xfId="1199"/>
    <cellStyle name="Normal 3 15 22" xfId="1200"/>
    <cellStyle name="Normal 3 15 23" xfId="1201"/>
    <cellStyle name="Normal 3 15 3" xfId="1202"/>
    <cellStyle name="Normal 3 15 4" xfId="1203"/>
    <cellStyle name="Normal 3 15 5" xfId="1204"/>
    <cellStyle name="Normal 3 15 6" xfId="1205"/>
    <cellStyle name="Normal 3 15 7" xfId="1206"/>
    <cellStyle name="Normal 3 15 8" xfId="1207"/>
    <cellStyle name="Normal 3 15 9" xfId="1208"/>
    <cellStyle name="Normal 3 16" xfId="1209"/>
    <cellStyle name="Normal 3 16 10" xfId="1210"/>
    <cellStyle name="Normal 3 16 11" xfId="1211"/>
    <cellStyle name="Normal 3 16 12" xfId="1212"/>
    <cellStyle name="Normal 3 16 13" xfId="1213"/>
    <cellStyle name="Normal 3 16 14" xfId="1214"/>
    <cellStyle name="Normal 3 16 15" xfId="1215"/>
    <cellStyle name="Normal 3 16 16" xfId="1216"/>
    <cellStyle name="Normal 3 16 17" xfId="1217"/>
    <cellStyle name="Normal 3 16 18" xfId="1218"/>
    <cellStyle name="Normal 3 16 19" xfId="1219"/>
    <cellStyle name="Normal 3 16 2" xfId="1220"/>
    <cellStyle name="Normal 3 16 20" xfId="1221"/>
    <cellStyle name="Normal 3 16 21" xfId="1222"/>
    <cellStyle name="Normal 3 16 22" xfId="1223"/>
    <cellStyle name="Normal 3 16 23" xfId="1224"/>
    <cellStyle name="Normal 3 16 3" xfId="1225"/>
    <cellStyle name="Normal 3 16 4" xfId="1226"/>
    <cellStyle name="Normal 3 16 5" xfId="1227"/>
    <cellStyle name="Normal 3 16 6" xfId="1228"/>
    <cellStyle name="Normal 3 16 7" xfId="1229"/>
    <cellStyle name="Normal 3 16 8" xfId="1230"/>
    <cellStyle name="Normal 3 16 9" xfId="1231"/>
    <cellStyle name="Normal 3 17" xfId="1232"/>
    <cellStyle name="Normal 3 17 10" xfId="1233"/>
    <cellStyle name="Normal 3 17 11" xfId="1234"/>
    <cellStyle name="Normal 3 17 12" xfId="1235"/>
    <cellStyle name="Normal 3 17 13" xfId="1236"/>
    <cellStyle name="Normal 3 17 14" xfId="1237"/>
    <cellStyle name="Normal 3 17 15" xfId="1238"/>
    <cellStyle name="Normal 3 17 16" xfId="1239"/>
    <cellStyle name="Normal 3 17 17" xfId="1240"/>
    <cellStyle name="Normal 3 17 18" xfId="1241"/>
    <cellStyle name="Normal 3 17 19" xfId="1242"/>
    <cellStyle name="Normal 3 17 2" xfId="1243"/>
    <cellStyle name="Normal 3 17 20" xfId="1244"/>
    <cellStyle name="Normal 3 17 21" xfId="1245"/>
    <cellStyle name="Normal 3 17 22" xfId="1246"/>
    <cellStyle name="Normal 3 17 23" xfId="1247"/>
    <cellStyle name="Normal 3 17 3" xfId="1248"/>
    <cellStyle name="Normal 3 17 4" xfId="1249"/>
    <cellStyle name="Normal 3 17 5" xfId="1250"/>
    <cellStyle name="Normal 3 17 6" xfId="1251"/>
    <cellStyle name="Normal 3 17 7" xfId="1252"/>
    <cellStyle name="Normal 3 17 8" xfId="1253"/>
    <cellStyle name="Normal 3 17 9" xfId="1254"/>
    <cellStyle name="Normal 3 18" xfId="1255"/>
    <cellStyle name="Normal 3 18 10" xfId="1256"/>
    <cellStyle name="Normal 3 18 11" xfId="1257"/>
    <cellStyle name="Normal 3 18 12" xfId="1258"/>
    <cellStyle name="Normal 3 18 13" xfId="1259"/>
    <cellStyle name="Normal 3 18 14" xfId="1260"/>
    <cellStyle name="Normal 3 18 15" xfId="1261"/>
    <cellStyle name="Normal 3 18 16" xfId="1262"/>
    <cellStyle name="Normal 3 18 17" xfId="1263"/>
    <cellStyle name="Normal 3 18 18" xfId="1264"/>
    <cellStyle name="Normal 3 18 19" xfId="1265"/>
    <cellStyle name="Normal 3 18 2" xfId="1266"/>
    <cellStyle name="Normal 3 18 20" xfId="1267"/>
    <cellStyle name="Normal 3 18 21" xfId="1268"/>
    <cellStyle name="Normal 3 18 22" xfId="1269"/>
    <cellStyle name="Normal 3 18 23" xfId="1270"/>
    <cellStyle name="Normal 3 18 3" xfId="1271"/>
    <cellStyle name="Normal 3 18 4" xfId="1272"/>
    <cellStyle name="Normal 3 18 5" xfId="1273"/>
    <cellStyle name="Normal 3 18 6" xfId="1274"/>
    <cellStyle name="Normal 3 18 7" xfId="1275"/>
    <cellStyle name="Normal 3 18 8" xfId="1276"/>
    <cellStyle name="Normal 3 18 9" xfId="1277"/>
    <cellStyle name="Normal 3 19" xfId="1278"/>
    <cellStyle name="Normal 3 19 10" xfId="1279"/>
    <cellStyle name="Normal 3 19 11" xfId="1280"/>
    <cellStyle name="Normal 3 19 12" xfId="1281"/>
    <cellStyle name="Normal 3 19 13" xfId="1282"/>
    <cellStyle name="Normal 3 19 14" xfId="1283"/>
    <cellStyle name="Normal 3 19 15" xfId="1284"/>
    <cellStyle name="Normal 3 19 16" xfId="1285"/>
    <cellStyle name="Normal 3 19 17" xfId="1286"/>
    <cellStyle name="Normal 3 19 18" xfId="1287"/>
    <cellStyle name="Normal 3 19 19" xfId="1288"/>
    <cellStyle name="Normal 3 19 2" xfId="1289"/>
    <cellStyle name="Normal 3 19 20" xfId="1290"/>
    <cellStyle name="Normal 3 19 21" xfId="1291"/>
    <cellStyle name="Normal 3 19 22" xfId="1292"/>
    <cellStyle name="Normal 3 19 23" xfId="1293"/>
    <cellStyle name="Normal 3 19 3" xfId="1294"/>
    <cellStyle name="Normal 3 19 4" xfId="1295"/>
    <cellStyle name="Normal 3 19 5" xfId="1296"/>
    <cellStyle name="Normal 3 19 6" xfId="1297"/>
    <cellStyle name="Normal 3 19 7" xfId="1298"/>
    <cellStyle name="Normal 3 19 8" xfId="1299"/>
    <cellStyle name="Normal 3 19 9" xfId="1300"/>
    <cellStyle name="Normal 3 2" xfId="55"/>
    <cellStyle name="Normal 3 2 10" xfId="1302"/>
    <cellStyle name="Normal 3 2 11" xfId="1303"/>
    <cellStyle name="Normal 3 2 12" xfId="1304"/>
    <cellStyle name="Normal 3 2 13" xfId="1305"/>
    <cellStyle name="Normal 3 2 14" xfId="1306"/>
    <cellStyle name="Normal 3 2 15" xfId="1307"/>
    <cellStyle name="Normal 3 2 16" xfId="1308"/>
    <cellStyle name="Normal 3 2 17" xfId="1309"/>
    <cellStyle name="Normal 3 2 18" xfId="1310"/>
    <cellStyle name="Normal 3 2 19" xfId="1311"/>
    <cellStyle name="Normal 3 2 2" xfId="1312"/>
    <cellStyle name="Normal 3 2 2 10" xfId="1313"/>
    <cellStyle name="Normal 3 2 2 11" xfId="1314"/>
    <cellStyle name="Normal 3 2 2 12" xfId="1315"/>
    <cellStyle name="Normal 3 2 2 13" xfId="1316"/>
    <cellStyle name="Normal 3 2 2 14" xfId="1317"/>
    <cellStyle name="Normal 3 2 2 15" xfId="1318"/>
    <cellStyle name="Normal 3 2 2 16" xfId="1319"/>
    <cellStyle name="Normal 3 2 2 17" xfId="1320"/>
    <cellStyle name="Normal 3 2 2 18" xfId="1321"/>
    <cellStyle name="Normal 3 2 2 19" xfId="1322"/>
    <cellStyle name="Normal 3 2 2 2" xfId="1323"/>
    <cellStyle name="Normal 3 2 2 20" xfId="1324"/>
    <cellStyle name="Normal 3 2 2 21" xfId="1325"/>
    <cellStyle name="Normal 3 2 2 22" xfId="1326"/>
    <cellStyle name="Normal 3 2 2 23" xfId="1327"/>
    <cellStyle name="Normal 3 2 2 24" xfId="1328"/>
    <cellStyle name="Normal 3 2 2 25" xfId="1329"/>
    <cellStyle name="Normal 3 2 2 26" xfId="1330"/>
    <cellStyle name="Normal 3 2 2 27" xfId="1331"/>
    <cellStyle name="Normal 3 2 2 28" xfId="1332"/>
    <cellStyle name="Normal 3 2 2 29" xfId="1333"/>
    <cellStyle name="Normal 3 2 2 3" xfId="1334"/>
    <cellStyle name="Normal 3 2 2 30" xfId="1335"/>
    <cellStyle name="Normal 3 2 2 31" xfId="1336"/>
    <cellStyle name="Normal 3 2 2 32" xfId="1337"/>
    <cellStyle name="Normal 3 2 2 33" xfId="1338"/>
    <cellStyle name="Normal 3 2 2 4" xfId="1339"/>
    <cellStyle name="Normal 3 2 2 5" xfId="1340"/>
    <cellStyle name="Normal 3 2 2 6" xfId="1341"/>
    <cellStyle name="Normal 3 2 2 7" xfId="1342"/>
    <cellStyle name="Normal 3 2 2 8" xfId="1343"/>
    <cellStyle name="Normal 3 2 2 9" xfId="1344"/>
    <cellStyle name="Normal 3 2 20" xfId="1345"/>
    <cellStyle name="Normal 3 2 21" xfId="1346"/>
    <cellStyle name="Normal 3 2 22" xfId="1347"/>
    <cellStyle name="Normal 3 2 23" xfId="1348"/>
    <cellStyle name="Normal 3 2 24" xfId="1349"/>
    <cellStyle name="Normal 3 2 25" xfId="1350"/>
    <cellStyle name="Normal 3 2 26" xfId="1351"/>
    <cellStyle name="Normal 3 2 27" xfId="1352"/>
    <cellStyle name="Normal 3 2 28" xfId="1353"/>
    <cellStyle name="Normal 3 2 29" xfId="1354"/>
    <cellStyle name="Normal 3 2 3" xfId="1355"/>
    <cellStyle name="Normal 3 2 30" xfId="1356"/>
    <cellStyle name="Normal 3 2 31" xfId="1357"/>
    <cellStyle name="Normal 3 2 32" xfId="1358"/>
    <cellStyle name="Normal 3 2 33" xfId="1359"/>
    <cellStyle name="Normal 3 2 34" xfId="1360"/>
    <cellStyle name="Normal 3 2 35" xfId="1361"/>
    <cellStyle name="Normal 3 2 36" xfId="1362"/>
    <cellStyle name="Normal 3 2 37" xfId="1363"/>
    <cellStyle name="Normal 3 2 38" xfId="1364"/>
    <cellStyle name="Normal 3 2 39" xfId="1365"/>
    <cellStyle name="Normal 3 2 4" xfId="1366"/>
    <cellStyle name="Normal 3 2 40" xfId="1367"/>
    <cellStyle name="Normal 3 2 41" xfId="1368"/>
    <cellStyle name="Normal 3 2 42" xfId="1369"/>
    <cellStyle name="Normal 3 2 43" xfId="1370"/>
    <cellStyle name="Normal 3 2 44" xfId="1371"/>
    <cellStyle name="Normal 3 2 45" xfId="1372"/>
    <cellStyle name="Normal 3 2 46" xfId="1373"/>
    <cellStyle name="Normal 3 2 47" xfId="1374"/>
    <cellStyle name="Normal 3 2 48" xfId="1375"/>
    <cellStyle name="Normal 3 2 49" xfId="1376"/>
    <cellStyle name="Normal 3 2 5" xfId="1377"/>
    <cellStyle name="Normal 3 2 50" xfId="1378"/>
    <cellStyle name="Normal 3 2 51" xfId="1379"/>
    <cellStyle name="Normal 3 2 52" xfId="1380"/>
    <cellStyle name="Normal 3 2 53" xfId="1381"/>
    <cellStyle name="Normal 3 2 54" xfId="1382"/>
    <cellStyle name="Normal 3 2 55" xfId="1383"/>
    <cellStyle name="Normal 3 2 56" xfId="1301"/>
    <cellStyle name="Normal 3 2 6" xfId="1384"/>
    <cellStyle name="Normal 3 2 7" xfId="1385"/>
    <cellStyle name="Normal 3 2 8" xfId="1386"/>
    <cellStyle name="Normal 3 2 9" xfId="1387"/>
    <cellStyle name="Normal 3 20" xfId="1388"/>
    <cellStyle name="Normal 3 20 10" xfId="1389"/>
    <cellStyle name="Normal 3 20 11" xfId="1390"/>
    <cellStyle name="Normal 3 20 12" xfId="1391"/>
    <cellStyle name="Normal 3 20 13" xfId="1392"/>
    <cellStyle name="Normal 3 20 14" xfId="1393"/>
    <cellStyle name="Normal 3 20 15" xfId="1394"/>
    <cellStyle name="Normal 3 20 16" xfId="1395"/>
    <cellStyle name="Normal 3 20 17" xfId="1396"/>
    <cellStyle name="Normal 3 20 18" xfId="1397"/>
    <cellStyle name="Normal 3 20 19" xfId="1398"/>
    <cellStyle name="Normal 3 20 2" xfId="1399"/>
    <cellStyle name="Normal 3 20 20" xfId="1400"/>
    <cellStyle name="Normal 3 20 21" xfId="1401"/>
    <cellStyle name="Normal 3 20 22" xfId="1402"/>
    <cellStyle name="Normal 3 20 23" xfId="1403"/>
    <cellStyle name="Normal 3 20 3" xfId="1404"/>
    <cellStyle name="Normal 3 20 4" xfId="1405"/>
    <cellStyle name="Normal 3 20 5" xfId="1406"/>
    <cellStyle name="Normal 3 20 6" xfId="1407"/>
    <cellStyle name="Normal 3 20 7" xfId="1408"/>
    <cellStyle name="Normal 3 20 8" xfId="1409"/>
    <cellStyle name="Normal 3 20 9" xfId="1410"/>
    <cellStyle name="Normal 3 21" xfId="1411"/>
    <cellStyle name="Normal 3 21 10" xfId="1412"/>
    <cellStyle name="Normal 3 21 11" xfId="1413"/>
    <cellStyle name="Normal 3 21 12" xfId="1414"/>
    <cellStyle name="Normal 3 21 13" xfId="1415"/>
    <cellStyle name="Normal 3 21 14" xfId="1416"/>
    <cellStyle name="Normal 3 21 15" xfId="1417"/>
    <cellStyle name="Normal 3 21 16" xfId="1418"/>
    <cellStyle name="Normal 3 21 17" xfId="1419"/>
    <cellStyle name="Normal 3 21 18" xfId="1420"/>
    <cellStyle name="Normal 3 21 19" xfId="1421"/>
    <cellStyle name="Normal 3 21 2" xfId="1422"/>
    <cellStyle name="Normal 3 21 20" xfId="1423"/>
    <cellStyle name="Normal 3 21 21" xfId="1424"/>
    <cellStyle name="Normal 3 21 22" xfId="1425"/>
    <cellStyle name="Normal 3 21 23" xfId="1426"/>
    <cellStyle name="Normal 3 21 3" xfId="1427"/>
    <cellStyle name="Normal 3 21 4" xfId="1428"/>
    <cellStyle name="Normal 3 21 5" xfId="1429"/>
    <cellStyle name="Normal 3 21 6" xfId="1430"/>
    <cellStyle name="Normal 3 21 7" xfId="1431"/>
    <cellStyle name="Normal 3 21 8" xfId="1432"/>
    <cellStyle name="Normal 3 21 9" xfId="1433"/>
    <cellStyle name="Normal 3 22" xfId="1434"/>
    <cellStyle name="Normal 3 22 10" xfId="1435"/>
    <cellStyle name="Normal 3 22 11" xfId="1436"/>
    <cellStyle name="Normal 3 22 12" xfId="1437"/>
    <cellStyle name="Normal 3 22 13" xfId="1438"/>
    <cellStyle name="Normal 3 22 14" xfId="1439"/>
    <cellStyle name="Normal 3 22 15" xfId="1440"/>
    <cellStyle name="Normal 3 22 16" xfId="1441"/>
    <cellStyle name="Normal 3 22 17" xfId="1442"/>
    <cellStyle name="Normal 3 22 18" xfId="1443"/>
    <cellStyle name="Normal 3 22 19" xfId="1444"/>
    <cellStyle name="Normal 3 22 2" xfId="1445"/>
    <cellStyle name="Normal 3 22 20" xfId="1446"/>
    <cellStyle name="Normal 3 22 21" xfId="1447"/>
    <cellStyle name="Normal 3 22 22" xfId="1448"/>
    <cellStyle name="Normal 3 22 23" xfId="1449"/>
    <cellStyle name="Normal 3 22 3" xfId="1450"/>
    <cellStyle name="Normal 3 22 4" xfId="1451"/>
    <cellStyle name="Normal 3 22 5" xfId="1452"/>
    <cellStyle name="Normal 3 22 6" xfId="1453"/>
    <cellStyle name="Normal 3 22 7" xfId="1454"/>
    <cellStyle name="Normal 3 22 8" xfId="1455"/>
    <cellStyle name="Normal 3 22 9" xfId="1456"/>
    <cellStyle name="Normal 3 23" xfId="1457"/>
    <cellStyle name="Normal 3 23 10" xfId="1458"/>
    <cellStyle name="Normal 3 23 11" xfId="1459"/>
    <cellStyle name="Normal 3 23 12" xfId="1460"/>
    <cellStyle name="Normal 3 23 13" xfId="1461"/>
    <cellStyle name="Normal 3 23 14" xfId="1462"/>
    <cellStyle name="Normal 3 23 15" xfId="1463"/>
    <cellStyle name="Normal 3 23 16" xfId="1464"/>
    <cellStyle name="Normal 3 23 17" xfId="1465"/>
    <cellStyle name="Normal 3 23 18" xfId="1466"/>
    <cellStyle name="Normal 3 23 19" xfId="1467"/>
    <cellStyle name="Normal 3 23 2" xfId="1468"/>
    <cellStyle name="Normal 3 23 20" xfId="1469"/>
    <cellStyle name="Normal 3 23 21" xfId="1470"/>
    <cellStyle name="Normal 3 23 22" xfId="1471"/>
    <cellStyle name="Normal 3 23 23" xfId="1472"/>
    <cellStyle name="Normal 3 23 3" xfId="1473"/>
    <cellStyle name="Normal 3 23 4" xfId="1474"/>
    <cellStyle name="Normal 3 23 5" xfId="1475"/>
    <cellStyle name="Normal 3 23 6" xfId="1476"/>
    <cellStyle name="Normal 3 23 7" xfId="1477"/>
    <cellStyle name="Normal 3 23 8" xfId="1478"/>
    <cellStyle name="Normal 3 23 9" xfId="1479"/>
    <cellStyle name="Normal 3 24" xfId="1480"/>
    <cellStyle name="Normal 3 24 10" xfId="1481"/>
    <cellStyle name="Normal 3 24 11" xfId="1482"/>
    <cellStyle name="Normal 3 24 12" xfId="1483"/>
    <cellStyle name="Normal 3 24 13" xfId="1484"/>
    <cellStyle name="Normal 3 24 14" xfId="1485"/>
    <cellStyle name="Normal 3 24 15" xfId="1486"/>
    <cellStyle name="Normal 3 24 16" xfId="1487"/>
    <cellStyle name="Normal 3 24 17" xfId="1488"/>
    <cellStyle name="Normal 3 24 18" xfId="1489"/>
    <cellStyle name="Normal 3 24 19" xfId="1490"/>
    <cellStyle name="Normal 3 24 2" xfId="1491"/>
    <cellStyle name="Normal 3 24 20" xfId="1492"/>
    <cellStyle name="Normal 3 24 21" xfId="1493"/>
    <cellStyle name="Normal 3 24 22" xfId="1494"/>
    <cellStyle name="Normal 3 24 23" xfId="1495"/>
    <cellStyle name="Normal 3 24 3" xfId="1496"/>
    <cellStyle name="Normal 3 24 4" xfId="1497"/>
    <cellStyle name="Normal 3 24 5" xfId="1498"/>
    <cellStyle name="Normal 3 24 6" xfId="1499"/>
    <cellStyle name="Normal 3 24 7" xfId="1500"/>
    <cellStyle name="Normal 3 24 8" xfId="1501"/>
    <cellStyle name="Normal 3 24 9" xfId="1502"/>
    <cellStyle name="Normal 3 25" xfId="1503"/>
    <cellStyle name="Normal 3 25 10" xfId="1504"/>
    <cellStyle name="Normal 3 25 11" xfId="1505"/>
    <cellStyle name="Normal 3 25 12" xfId="1506"/>
    <cellStyle name="Normal 3 25 13" xfId="1507"/>
    <cellStyle name="Normal 3 25 14" xfId="1508"/>
    <cellStyle name="Normal 3 25 15" xfId="1509"/>
    <cellStyle name="Normal 3 25 16" xfId="1510"/>
    <cellStyle name="Normal 3 25 17" xfId="1511"/>
    <cellStyle name="Normal 3 25 18" xfId="1512"/>
    <cellStyle name="Normal 3 25 19" xfId="1513"/>
    <cellStyle name="Normal 3 25 2" xfId="1514"/>
    <cellStyle name="Normal 3 25 20" xfId="1515"/>
    <cellStyle name="Normal 3 25 21" xfId="1516"/>
    <cellStyle name="Normal 3 25 22" xfId="1517"/>
    <cellStyle name="Normal 3 25 23" xfId="1518"/>
    <cellStyle name="Normal 3 25 3" xfId="1519"/>
    <cellStyle name="Normal 3 25 4" xfId="1520"/>
    <cellStyle name="Normal 3 25 5" xfId="1521"/>
    <cellStyle name="Normal 3 25 6" xfId="1522"/>
    <cellStyle name="Normal 3 25 7" xfId="1523"/>
    <cellStyle name="Normal 3 25 8" xfId="1524"/>
    <cellStyle name="Normal 3 25 9" xfId="1525"/>
    <cellStyle name="Normal 3 26" xfId="1526"/>
    <cellStyle name="Normal 3 26 10" xfId="1527"/>
    <cellStyle name="Normal 3 26 11" xfId="1528"/>
    <cellStyle name="Normal 3 26 12" xfId="1529"/>
    <cellStyle name="Normal 3 26 13" xfId="1530"/>
    <cellStyle name="Normal 3 26 14" xfId="1531"/>
    <cellStyle name="Normal 3 26 15" xfId="1532"/>
    <cellStyle name="Normal 3 26 16" xfId="1533"/>
    <cellStyle name="Normal 3 26 17" xfId="1534"/>
    <cellStyle name="Normal 3 26 18" xfId="1535"/>
    <cellStyle name="Normal 3 26 19" xfId="1536"/>
    <cellStyle name="Normal 3 26 2" xfId="1537"/>
    <cellStyle name="Normal 3 26 20" xfId="1538"/>
    <cellStyle name="Normal 3 26 21" xfId="1539"/>
    <cellStyle name="Normal 3 26 22" xfId="1540"/>
    <cellStyle name="Normal 3 26 23" xfId="1541"/>
    <cellStyle name="Normal 3 26 3" xfId="1542"/>
    <cellStyle name="Normal 3 26 4" xfId="1543"/>
    <cellStyle name="Normal 3 26 5" xfId="1544"/>
    <cellStyle name="Normal 3 26 6" xfId="1545"/>
    <cellStyle name="Normal 3 26 7" xfId="1546"/>
    <cellStyle name="Normal 3 26 8" xfId="1547"/>
    <cellStyle name="Normal 3 26 9" xfId="1548"/>
    <cellStyle name="Normal 3 27" xfId="1549"/>
    <cellStyle name="Normal 3 27 10" xfId="1550"/>
    <cellStyle name="Normal 3 27 11" xfId="1551"/>
    <cellStyle name="Normal 3 27 12" xfId="1552"/>
    <cellStyle name="Normal 3 27 13" xfId="1553"/>
    <cellStyle name="Normal 3 27 14" xfId="1554"/>
    <cellStyle name="Normal 3 27 15" xfId="1555"/>
    <cellStyle name="Normal 3 27 16" xfId="1556"/>
    <cellStyle name="Normal 3 27 17" xfId="1557"/>
    <cellStyle name="Normal 3 27 18" xfId="1558"/>
    <cellStyle name="Normal 3 27 19" xfId="1559"/>
    <cellStyle name="Normal 3 27 2" xfId="1560"/>
    <cellStyle name="Normal 3 27 20" xfId="1561"/>
    <cellStyle name="Normal 3 27 21" xfId="1562"/>
    <cellStyle name="Normal 3 27 22" xfId="1563"/>
    <cellStyle name="Normal 3 27 23" xfId="1564"/>
    <cellStyle name="Normal 3 27 3" xfId="1565"/>
    <cellStyle name="Normal 3 27 4" xfId="1566"/>
    <cellStyle name="Normal 3 27 5" xfId="1567"/>
    <cellStyle name="Normal 3 27 6" xfId="1568"/>
    <cellStyle name="Normal 3 27 7" xfId="1569"/>
    <cellStyle name="Normal 3 27 8" xfId="1570"/>
    <cellStyle name="Normal 3 27 9" xfId="1571"/>
    <cellStyle name="Normal 3 28" xfId="1572"/>
    <cellStyle name="Normal 3 28 10" xfId="1573"/>
    <cellStyle name="Normal 3 28 11" xfId="1574"/>
    <cellStyle name="Normal 3 28 12" xfId="1575"/>
    <cellStyle name="Normal 3 28 13" xfId="1576"/>
    <cellStyle name="Normal 3 28 14" xfId="1577"/>
    <cellStyle name="Normal 3 28 15" xfId="1578"/>
    <cellStyle name="Normal 3 28 16" xfId="1579"/>
    <cellStyle name="Normal 3 28 17" xfId="1580"/>
    <cellStyle name="Normal 3 28 18" xfId="1581"/>
    <cellStyle name="Normal 3 28 19" xfId="1582"/>
    <cellStyle name="Normal 3 28 2" xfId="1583"/>
    <cellStyle name="Normal 3 28 20" xfId="1584"/>
    <cellStyle name="Normal 3 28 21" xfId="1585"/>
    <cellStyle name="Normal 3 28 22" xfId="1586"/>
    <cellStyle name="Normal 3 28 23" xfId="1587"/>
    <cellStyle name="Normal 3 28 3" xfId="1588"/>
    <cellStyle name="Normal 3 28 4" xfId="1589"/>
    <cellStyle name="Normal 3 28 5" xfId="1590"/>
    <cellStyle name="Normal 3 28 6" xfId="1591"/>
    <cellStyle name="Normal 3 28 7" xfId="1592"/>
    <cellStyle name="Normal 3 28 8" xfId="1593"/>
    <cellStyle name="Normal 3 28 9" xfId="1594"/>
    <cellStyle name="Normal 3 29" xfId="1595"/>
    <cellStyle name="Normal 3 29 10" xfId="1596"/>
    <cellStyle name="Normal 3 29 11" xfId="1597"/>
    <cellStyle name="Normal 3 29 12" xfId="1598"/>
    <cellStyle name="Normal 3 29 13" xfId="1599"/>
    <cellStyle name="Normal 3 29 14" xfId="1600"/>
    <cellStyle name="Normal 3 29 15" xfId="1601"/>
    <cellStyle name="Normal 3 29 16" xfId="1602"/>
    <cellStyle name="Normal 3 29 17" xfId="1603"/>
    <cellStyle name="Normal 3 29 18" xfId="1604"/>
    <cellStyle name="Normal 3 29 19" xfId="1605"/>
    <cellStyle name="Normal 3 29 2" xfId="1606"/>
    <cellStyle name="Normal 3 29 20" xfId="1607"/>
    <cellStyle name="Normal 3 29 21" xfId="1608"/>
    <cellStyle name="Normal 3 29 22" xfId="1609"/>
    <cellStyle name="Normal 3 29 23" xfId="1610"/>
    <cellStyle name="Normal 3 29 3" xfId="1611"/>
    <cellStyle name="Normal 3 29 4" xfId="1612"/>
    <cellStyle name="Normal 3 29 5" xfId="1613"/>
    <cellStyle name="Normal 3 29 6" xfId="1614"/>
    <cellStyle name="Normal 3 29 7" xfId="1615"/>
    <cellStyle name="Normal 3 29 8" xfId="1616"/>
    <cellStyle name="Normal 3 29 9" xfId="1617"/>
    <cellStyle name="Normal 3 3" xfId="56"/>
    <cellStyle name="Normal 3 3 10" xfId="1618"/>
    <cellStyle name="Normal 3 3 11" xfId="1619"/>
    <cellStyle name="Normal 3 3 12" xfId="1620"/>
    <cellStyle name="Normal 3 3 13" xfId="1621"/>
    <cellStyle name="Normal 3 3 14" xfId="1622"/>
    <cellStyle name="Normal 3 3 15" xfId="1623"/>
    <cellStyle name="Normal 3 3 16" xfId="1624"/>
    <cellStyle name="Normal 3 3 17" xfId="1625"/>
    <cellStyle name="Normal 3 3 18" xfId="1626"/>
    <cellStyle name="Normal 3 3 19" xfId="1627"/>
    <cellStyle name="Normal 3 3 2" xfId="1628"/>
    <cellStyle name="Normal 3 3 20" xfId="1629"/>
    <cellStyle name="Normal 3 3 21" xfId="1630"/>
    <cellStyle name="Normal 3 3 22" xfId="1631"/>
    <cellStyle name="Normal 3 3 23" xfId="1632"/>
    <cellStyle name="Normal 3 3 3" xfId="1633"/>
    <cellStyle name="Normal 3 3 4" xfId="1634"/>
    <cellStyle name="Normal 3 3 5" xfId="1635"/>
    <cellStyle name="Normal 3 3 6" xfId="1636"/>
    <cellStyle name="Normal 3 3 7" xfId="1637"/>
    <cellStyle name="Normal 3 3 8" xfId="1638"/>
    <cellStyle name="Normal 3 3 9" xfId="1639"/>
    <cellStyle name="Normal 3 30" xfId="1640"/>
    <cellStyle name="Normal 3 30 10" xfId="1641"/>
    <cellStyle name="Normal 3 30 11" xfId="1642"/>
    <cellStyle name="Normal 3 30 12" xfId="1643"/>
    <cellStyle name="Normal 3 30 13" xfId="1644"/>
    <cellStyle name="Normal 3 30 14" xfId="1645"/>
    <cellStyle name="Normal 3 30 15" xfId="1646"/>
    <cellStyle name="Normal 3 30 16" xfId="1647"/>
    <cellStyle name="Normal 3 30 17" xfId="1648"/>
    <cellStyle name="Normal 3 30 18" xfId="1649"/>
    <cellStyle name="Normal 3 30 19" xfId="1650"/>
    <cellStyle name="Normal 3 30 2" xfId="1651"/>
    <cellStyle name="Normal 3 30 20" xfId="1652"/>
    <cellStyle name="Normal 3 30 21" xfId="1653"/>
    <cellStyle name="Normal 3 30 22" xfId="1654"/>
    <cellStyle name="Normal 3 30 23" xfId="1655"/>
    <cellStyle name="Normal 3 30 3" xfId="1656"/>
    <cellStyle name="Normal 3 30 4" xfId="1657"/>
    <cellStyle name="Normal 3 30 5" xfId="1658"/>
    <cellStyle name="Normal 3 30 6" xfId="1659"/>
    <cellStyle name="Normal 3 30 7" xfId="1660"/>
    <cellStyle name="Normal 3 30 8" xfId="1661"/>
    <cellStyle name="Normal 3 30 9" xfId="1662"/>
    <cellStyle name="Normal 3 31" xfId="1663"/>
    <cellStyle name="Normal 3 31 10" xfId="1664"/>
    <cellStyle name="Normal 3 31 11" xfId="1665"/>
    <cellStyle name="Normal 3 31 12" xfId="1666"/>
    <cellStyle name="Normal 3 31 13" xfId="1667"/>
    <cellStyle name="Normal 3 31 14" xfId="1668"/>
    <cellStyle name="Normal 3 31 15" xfId="1669"/>
    <cellStyle name="Normal 3 31 16" xfId="1670"/>
    <cellStyle name="Normal 3 31 17" xfId="1671"/>
    <cellStyle name="Normal 3 31 18" xfId="1672"/>
    <cellStyle name="Normal 3 31 19" xfId="1673"/>
    <cellStyle name="Normal 3 31 2" xfId="1674"/>
    <cellStyle name="Normal 3 31 20" xfId="1675"/>
    <cellStyle name="Normal 3 31 21" xfId="1676"/>
    <cellStyle name="Normal 3 31 22" xfId="1677"/>
    <cellStyle name="Normal 3 31 23" xfId="1678"/>
    <cellStyle name="Normal 3 31 3" xfId="1679"/>
    <cellStyle name="Normal 3 31 4" xfId="1680"/>
    <cellStyle name="Normal 3 31 5" xfId="1681"/>
    <cellStyle name="Normal 3 31 6" xfId="1682"/>
    <cellStyle name="Normal 3 31 7" xfId="1683"/>
    <cellStyle name="Normal 3 31 8" xfId="1684"/>
    <cellStyle name="Normal 3 31 9" xfId="1685"/>
    <cellStyle name="Normal 3 32" xfId="1686"/>
    <cellStyle name="Normal 3 32 10" xfId="1687"/>
    <cellStyle name="Normal 3 32 11" xfId="1688"/>
    <cellStyle name="Normal 3 32 12" xfId="1689"/>
    <cellStyle name="Normal 3 32 13" xfId="1690"/>
    <cellStyle name="Normal 3 32 14" xfId="1691"/>
    <cellStyle name="Normal 3 32 15" xfId="1692"/>
    <cellStyle name="Normal 3 32 16" xfId="1693"/>
    <cellStyle name="Normal 3 32 17" xfId="1694"/>
    <cellStyle name="Normal 3 32 18" xfId="1695"/>
    <cellStyle name="Normal 3 32 19" xfId="1696"/>
    <cellStyle name="Normal 3 32 2" xfId="1697"/>
    <cellStyle name="Normal 3 32 20" xfId="1698"/>
    <cellStyle name="Normal 3 32 21" xfId="1699"/>
    <cellStyle name="Normal 3 32 22" xfId="1700"/>
    <cellStyle name="Normal 3 32 23" xfId="1701"/>
    <cellStyle name="Normal 3 32 3" xfId="1702"/>
    <cellStyle name="Normal 3 32 4" xfId="1703"/>
    <cellStyle name="Normal 3 32 5" xfId="1704"/>
    <cellStyle name="Normal 3 32 6" xfId="1705"/>
    <cellStyle name="Normal 3 32 7" xfId="1706"/>
    <cellStyle name="Normal 3 32 8" xfId="1707"/>
    <cellStyle name="Normal 3 32 9" xfId="1708"/>
    <cellStyle name="Normal 3 33" xfId="1709"/>
    <cellStyle name="Normal 3 33 10" xfId="1710"/>
    <cellStyle name="Normal 3 33 11" xfId="1711"/>
    <cellStyle name="Normal 3 33 12" xfId="1712"/>
    <cellStyle name="Normal 3 33 13" xfId="1713"/>
    <cellStyle name="Normal 3 33 14" xfId="1714"/>
    <cellStyle name="Normal 3 33 15" xfId="1715"/>
    <cellStyle name="Normal 3 33 16" xfId="1716"/>
    <cellStyle name="Normal 3 33 17" xfId="1717"/>
    <cellStyle name="Normal 3 33 18" xfId="1718"/>
    <cellStyle name="Normal 3 33 19" xfId="1719"/>
    <cellStyle name="Normal 3 33 2" xfId="1720"/>
    <cellStyle name="Normal 3 33 20" xfId="1721"/>
    <cellStyle name="Normal 3 33 21" xfId="1722"/>
    <cellStyle name="Normal 3 33 22" xfId="1723"/>
    <cellStyle name="Normal 3 33 23" xfId="1724"/>
    <cellStyle name="Normal 3 33 3" xfId="1725"/>
    <cellStyle name="Normal 3 33 4" xfId="1726"/>
    <cellStyle name="Normal 3 33 5" xfId="1727"/>
    <cellStyle name="Normal 3 33 6" xfId="1728"/>
    <cellStyle name="Normal 3 33 7" xfId="1729"/>
    <cellStyle name="Normal 3 33 8" xfId="1730"/>
    <cellStyle name="Normal 3 33 9" xfId="1731"/>
    <cellStyle name="Normal 3 34" xfId="1732"/>
    <cellStyle name="Normal 3 35" xfId="1733"/>
    <cellStyle name="Normal 3 36" xfId="1734"/>
    <cellStyle name="Normal 3 37" xfId="1735"/>
    <cellStyle name="Normal 3 38" xfId="1736"/>
    <cellStyle name="Normal 3 39" xfId="1737"/>
    <cellStyle name="Normal 3 4" xfId="1738"/>
    <cellStyle name="Normal 3 4 10" xfId="1739"/>
    <cellStyle name="Normal 3 4 11" xfId="1740"/>
    <cellStyle name="Normal 3 4 12" xfId="1741"/>
    <cellStyle name="Normal 3 4 13" xfId="1742"/>
    <cellStyle name="Normal 3 4 14" xfId="1743"/>
    <cellStyle name="Normal 3 4 15" xfId="1744"/>
    <cellStyle name="Normal 3 4 16" xfId="1745"/>
    <cellStyle name="Normal 3 4 17" xfId="1746"/>
    <cellStyle name="Normal 3 4 18" xfId="1747"/>
    <cellStyle name="Normal 3 4 19" xfId="1748"/>
    <cellStyle name="Normal 3 4 2" xfId="1749"/>
    <cellStyle name="Normal 3 4 20" xfId="1750"/>
    <cellStyle name="Normal 3 4 21" xfId="1751"/>
    <cellStyle name="Normal 3 4 22" xfId="1752"/>
    <cellStyle name="Normal 3 4 23" xfId="1753"/>
    <cellStyle name="Normal 3 4 3" xfId="1754"/>
    <cellStyle name="Normal 3 4 4" xfId="1755"/>
    <cellStyle name="Normal 3 4 5" xfId="1756"/>
    <cellStyle name="Normal 3 4 6" xfId="1757"/>
    <cellStyle name="Normal 3 4 7" xfId="1758"/>
    <cellStyle name="Normal 3 4 8" xfId="1759"/>
    <cellStyle name="Normal 3 4 9" xfId="1760"/>
    <cellStyle name="Normal 3 40" xfId="1761"/>
    <cellStyle name="Normal 3 41" xfId="1762"/>
    <cellStyle name="Normal 3 42" xfId="1763"/>
    <cellStyle name="Normal 3 43" xfId="1764"/>
    <cellStyle name="Normal 3 44" xfId="1765"/>
    <cellStyle name="Normal 3 45" xfId="1766"/>
    <cellStyle name="Normal 3 46" xfId="1767"/>
    <cellStyle name="Normal 3 47" xfId="1768"/>
    <cellStyle name="Normal 3 48" xfId="1769"/>
    <cellStyle name="Normal 3 49" xfId="1770"/>
    <cellStyle name="Normal 3 5" xfId="1771"/>
    <cellStyle name="Normal 3 5 10" xfId="1772"/>
    <cellStyle name="Normal 3 5 11" xfId="1773"/>
    <cellStyle name="Normal 3 5 12" xfId="1774"/>
    <cellStyle name="Normal 3 5 13" xfId="1775"/>
    <cellStyle name="Normal 3 5 14" xfId="1776"/>
    <cellStyle name="Normal 3 5 15" xfId="1777"/>
    <cellStyle name="Normal 3 5 16" xfId="1778"/>
    <cellStyle name="Normal 3 5 17" xfId="1779"/>
    <cellStyle name="Normal 3 5 18" xfId="1780"/>
    <cellStyle name="Normal 3 5 19" xfId="1781"/>
    <cellStyle name="Normal 3 5 2" xfId="1782"/>
    <cellStyle name="Normal 3 5 20" xfId="1783"/>
    <cellStyle name="Normal 3 5 21" xfId="1784"/>
    <cellStyle name="Normal 3 5 22" xfId="1785"/>
    <cellStyle name="Normal 3 5 23" xfId="1786"/>
    <cellStyle name="Normal 3 5 3" xfId="1787"/>
    <cellStyle name="Normal 3 5 4" xfId="1788"/>
    <cellStyle name="Normal 3 5 5" xfId="1789"/>
    <cellStyle name="Normal 3 5 6" xfId="1790"/>
    <cellStyle name="Normal 3 5 7" xfId="1791"/>
    <cellStyle name="Normal 3 5 8" xfId="1792"/>
    <cellStyle name="Normal 3 5 9" xfId="1793"/>
    <cellStyle name="Normal 3 50" xfId="1794"/>
    <cellStyle name="Normal 3 51" xfId="1795"/>
    <cellStyle name="Normal 3 52" xfId="1796"/>
    <cellStyle name="Normal 3 53" xfId="1797"/>
    <cellStyle name="Normal 3 54" xfId="1798"/>
    <cellStyle name="Normal 3 55" xfId="1799"/>
    <cellStyle name="Normal 3 56" xfId="1800"/>
    <cellStyle name="Normal 3 57" xfId="1801"/>
    <cellStyle name="Normal 3 58" xfId="1802"/>
    <cellStyle name="Normal 3 59" xfId="1803"/>
    <cellStyle name="Normal 3 6" xfId="1804"/>
    <cellStyle name="Normal 3 6 10" xfId="1805"/>
    <cellStyle name="Normal 3 6 11" xfId="1806"/>
    <cellStyle name="Normal 3 6 12" xfId="1807"/>
    <cellStyle name="Normal 3 6 13" xfId="1808"/>
    <cellStyle name="Normal 3 6 14" xfId="1809"/>
    <cellStyle name="Normal 3 6 15" xfId="1810"/>
    <cellStyle name="Normal 3 6 16" xfId="1811"/>
    <cellStyle name="Normal 3 6 17" xfId="1812"/>
    <cellStyle name="Normal 3 6 18" xfId="1813"/>
    <cellStyle name="Normal 3 6 19" xfId="1814"/>
    <cellStyle name="Normal 3 6 2" xfId="1815"/>
    <cellStyle name="Normal 3 6 20" xfId="1816"/>
    <cellStyle name="Normal 3 6 21" xfId="1817"/>
    <cellStyle name="Normal 3 6 22" xfId="1818"/>
    <cellStyle name="Normal 3 6 23" xfId="1819"/>
    <cellStyle name="Normal 3 6 3" xfId="1820"/>
    <cellStyle name="Normal 3 6 4" xfId="1821"/>
    <cellStyle name="Normal 3 6 5" xfId="1822"/>
    <cellStyle name="Normal 3 6 6" xfId="1823"/>
    <cellStyle name="Normal 3 6 7" xfId="1824"/>
    <cellStyle name="Normal 3 6 8" xfId="1825"/>
    <cellStyle name="Normal 3 6 9" xfId="1826"/>
    <cellStyle name="Normal 3 60" xfId="1827"/>
    <cellStyle name="Normal 3 61" xfId="1828"/>
    <cellStyle name="Normal 3 62" xfId="1829"/>
    <cellStyle name="Normal 3 63" xfId="1830"/>
    <cellStyle name="Normal 3 64" xfId="1831"/>
    <cellStyle name="Normal 3 65" xfId="1832"/>
    <cellStyle name="Normal 3 7" xfId="1833"/>
    <cellStyle name="Normal 3 7 10" xfId="1834"/>
    <cellStyle name="Normal 3 7 11" xfId="1835"/>
    <cellStyle name="Normal 3 7 12" xfId="1836"/>
    <cellStyle name="Normal 3 7 13" xfId="1837"/>
    <cellStyle name="Normal 3 7 14" xfId="1838"/>
    <cellStyle name="Normal 3 7 15" xfId="1839"/>
    <cellStyle name="Normal 3 7 16" xfId="1840"/>
    <cellStyle name="Normal 3 7 17" xfId="1841"/>
    <cellStyle name="Normal 3 7 18" xfId="1842"/>
    <cellStyle name="Normal 3 7 19" xfId="1843"/>
    <cellStyle name="Normal 3 7 2" xfId="1844"/>
    <cellStyle name="Normal 3 7 20" xfId="1845"/>
    <cellStyle name="Normal 3 7 21" xfId="1846"/>
    <cellStyle name="Normal 3 7 22" xfId="1847"/>
    <cellStyle name="Normal 3 7 23" xfId="1848"/>
    <cellStyle name="Normal 3 7 3" xfId="1849"/>
    <cellStyle name="Normal 3 7 4" xfId="1850"/>
    <cellStyle name="Normal 3 7 5" xfId="1851"/>
    <cellStyle name="Normal 3 7 6" xfId="1852"/>
    <cellStyle name="Normal 3 7 7" xfId="1853"/>
    <cellStyle name="Normal 3 7 8" xfId="1854"/>
    <cellStyle name="Normal 3 7 9" xfId="1855"/>
    <cellStyle name="Normal 3 8" xfId="1856"/>
    <cellStyle name="Normal 3 8 10" xfId="1857"/>
    <cellStyle name="Normal 3 8 11" xfId="1858"/>
    <cellStyle name="Normal 3 8 12" xfId="1859"/>
    <cellStyle name="Normal 3 8 13" xfId="1860"/>
    <cellStyle name="Normal 3 8 14" xfId="1861"/>
    <cellStyle name="Normal 3 8 15" xfId="1862"/>
    <cellStyle name="Normal 3 8 16" xfId="1863"/>
    <cellStyle name="Normal 3 8 17" xfId="1864"/>
    <cellStyle name="Normal 3 8 18" xfId="1865"/>
    <cellStyle name="Normal 3 8 19" xfId="1866"/>
    <cellStyle name="Normal 3 8 2" xfId="1867"/>
    <cellStyle name="Normal 3 8 20" xfId="1868"/>
    <cellStyle name="Normal 3 8 21" xfId="1869"/>
    <cellStyle name="Normal 3 8 22" xfId="1870"/>
    <cellStyle name="Normal 3 8 23" xfId="1871"/>
    <cellStyle name="Normal 3 8 3" xfId="1872"/>
    <cellStyle name="Normal 3 8 4" xfId="1873"/>
    <cellStyle name="Normal 3 8 5" xfId="1874"/>
    <cellStyle name="Normal 3 8 6" xfId="1875"/>
    <cellStyle name="Normal 3 8 7" xfId="1876"/>
    <cellStyle name="Normal 3 8 8" xfId="1877"/>
    <cellStyle name="Normal 3 8 9" xfId="1878"/>
    <cellStyle name="Normal 3 9" xfId="1879"/>
    <cellStyle name="Normal 3 9 10" xfId="1880"/>
    <cellStyle name="Normal 3 9 11" xfId="1881"/>
    <cellStyle name="Normal 3 9 12" xfId="1882"/>
    <cellStyle name="Normal 3 9 13" xfId="1883"/>
    <cellStyle name="Normal 3 9 14" xfId="1884"/>
    <cellStyle name="Normal 3 9 15" xfId="1885"/>
    <cellStyle name="Normal 3 9 16" xfId="1886"/>
    <cellStyle name="Normal 3 9 17" xfId="1887"/>
    <cellStyle name="Normal 3 9 18" xfId="1888"/>
    <cellStyle name="Normal 3 9 19" xfId="1889"/>
    <cellStyle name="Normal 3 9 2" xfId="1890"/>
    <cellStyle name="Normal 3 9 20" xfId="1891"/>
    <cellStyle name="Normal 3 9 21" xfId="1892"/>
    <cellStyle name="Normal 3 9 22" xfId="1893"/>
    <cellStyle name="Normal 3 9 23" xfId="1894"/>
    <cellStyle name="Normal 3 9 3" xfId="1895"/>
    <cellStyle name="Normal 3 9 4" xfId="1896"/>
    <cellStyle name="Normal 3 9 5" xfId="1897"/>
    <cellStyle name="Normal 3 9 6" xfId="1898"/>
    <cellStyle name="Normal 3 9 7" xfId="1899"/>
    <cellStyle name="Normal 3 9 8" xfId="1900"/>
    <cellStyle name="Normal 3 9 9" xfId="1901"/>
    <cellStyle name="Normal 4" xfId="1902"/>
    <cellStyle name="Normal 4 2" xfId="1903"/>
    <cellStyle name="Normal 5" xfId="1904"/>
    <cellStyle name="Normal 5 10" xfId="1905"/>
    <cellStyle name="Normal 5 11" xfId="1906"/>
    <cellStyle name="Normal 5 12" xfId="1907"/>
    <cellStyle name="Normal 5 13" xfId="1908"/>
    <cellStyle name="Normal 5 14" xfId="1909"/>
    <cellStyle name="Normal 5 15" xfId="1910"/>
    <cellStyle name="Normal 5 16" xfId="1911"/>
    <cellStyle name="Normal 5 17" xfId="1912"/>
    <cellStyle name="Normal 5 18" xfId="1913"/>
    <cellStyle name="Normal 5 19" xfId="1914"/>
    <cellStyle name="Normal 5 2" xfId="1915"/>
    <cellStyle name="Normal 5 2 10" xfId="1916"/>
    <cellStyle name="Normal 5 2 11" xfId="1917"/>
    <cellStyle name="Normal 5 2 12" xfId="1918"/>
    <cellStyle name="Normal 5 2 13" xfId="1919"/>
    <cellStyle name="Normal 5 2 14" xfId="1920"/>
    <cellStyle name="Normal 5 2 15" xfId="1921"/>
    <cellStyle name="Normal 5 2 16" xfId="1922"/>
    <cellStyle name="Normal 5 2 17" xfId="1923"/>
    <cellStyle name="Normal 5 2 18" xfId="1924"/>
    <cellStyle name="Normal 5 2 19" xfId="1925"/>
    <cellStyle name="Normal 5 2 2" xfId="1926"/>
    <cellStyle name="Normal 5 2 20" xfId="1927"/>
    <cellStyle name="Normal 5 2 21" xfId="1928"/>
    <cellStyle name="Normal 5 2 22" xfId="1929"/>
    <cellStyle name="Normal 5 2 23" xfId="1930"/>
    <cellStyle name="Normal 5 2 3" xfId="1931"/>
    <cellStyle name="Normal 5 2 4" xfId="1932"/>
    <cellStyle name="Normal 5 2 5" xfId="1933"/>
    <cellStyle name="Normal 5 2 6" xfId="1934"/>
    <cellStyle name="Normal 5 2 7" xfId="1935"/>
    <cellStyle name="Normal 5 2 8" xfId="1936"/>
    <cellStyle name="Normal 5 2 9" xfId="1937"/>
    <cellStyle name="Normal 5 20" xfId="1938"/>
    <cellStyle name="Normal 5 21" xfId="1939"/>
    <cellStyle name="Normal 5 22" xfId="1940"/>
    <cellStyle name="Normal 5 23" xfId="1941"/>
    <cellStyle name="Normal 5 24" xfId="1942"/>
    <cellStyle name="Normal 5 3" xfId="1943"/>
    <cellStyle name="Normal 5 4" xfId="1944"/>
    <cellStyle name="Normal 5 5" xfId="1945"/>
    <cellStyle name="Normal 5 6" xfId="1946"/>
    <cellStyle name="Normal 5 7" xfId="1947"/>
    <cellStyle name="Normal 5 8" xfId="1948"/>
    <cellStyle name="Normal 5 9" xfId="1949"/>
    <cellStyle name="Normal 6" xfId="1950"/>
    <cellStyle name="Normal 7" xfId="1951"/>
    <cellStyle name="Normal 7 10" xfId="1952"/>
    <cellStyle name="Normal 7 11" xfId="1953"/>
    <cellStyle name="Normal 7 12" xfId="1954"/>
    <cellStyle name="Normal 7 13" xfId="1955"/>
    <cellStyle name="Normal 7 14" xfId="1956"/>
    <cellStyle name="Normal 7 15" xfId="1957"/>
    <cellStyle name="Normal 7 16" xfId="1958"/>
    <cellStyle name="Normal 7 17" xfId="1959"/>
    <cellStyle name="Normal 7 18" xfId="1960"/>
    <cellStyle name="Normal 7 19" xfId="1961"/>
    <cellStyle name="Normal 7 2" xfId="1962"/>
    <cellStyle name="Normal 7 2 10" xfId="1963"/>
    <cellStyle name="Normal 7 2 11" xfId="1964"/>
    <cellStyle name="Normal 7 2 12" xfId="1965"/>
    <cellStyle name="Normal 7 2 13" xfId="1966"/>
    <cellStyle name="Normal 7 2 14" xfId="1967"/>
    <cellStyle name="Normal 7 2 15" xfId="1968"/>
    <cellStyle name="Normal 7 2 16" xfId="1969"/>
    <cellStyle name="Normal 7 2 17" xfId="1970"/>
    <cellStyle name="Normal 7 2 18" xfId="1971"/>
    <cellStyle name="Normal 7 2 19" xfId="1972"/>
    <cellStyle name="Normal 7 2 2" xfId="1973"/>
    <cellStyle name="Normal 7 2 20" xfId="1974"/>
    <cellStyle name="Normal 7 2 21" xfId="1975"/>
    <cellStyle name="Normal 7 2 22" xfId="1976"/>
    <cellStyle name="Normal 7 2 23" xfId="1977"/>
    <cellStyle name="Normal 7 2 3" xfId="1978"/>
    <cellStyle name="Normal 7 2 4" xfId="1979"/>
    <cellStyle name="Normal 7 2 5" xfId="1980"/>
    <cellStyle name="Normal 7 2 6" xfId="1981"/>
    <cellStyle name="Normal 7 2 7" xfId="1982"/>
    <cellStyle name="Normal 7 2 8" xfId="1983"/>
    <cellStyle name="Normal 7 2 9" xfId="1984"/>
    <cellStyle name="Normal 7 20" xfId="1985"/>
    <cellStyle name="Normal 7 21" xfId="1986"/>
    <cellStyle name="Normal 7 22" xfId="1987"/>
    <cellStyle name="Normal 7 23" xfId="1988"/>
    <cellStyle name="Normal 7 24" xfId="1989"/>
    <cellStyle name="Normal 7 3" xfId="1990"/>
    <cellStyle name="Normal 7 4" xfId="1991"/>
    <cellStyle name="Normal 7 5" xfId="1992"/>
    <cellStyle name="Normal 7 6" xfId="1993"/>
    <cellStyle name="Normal 7 7" xfId="1994"/>
    <cellStyle name="Normal 7 8" xfId="1995"/>
    <cellStyle name="Normal 7 9" xfId="1996"/>
    <cellStyle name="Normal 8" xfId="1997"/>
    <cellStyle name="Note" xfId="15" builtinId="10" customBuiltin="1"/>
    <cellStyle name="Note 2" xfId="1998"/>
    <cellStyle name="Note 2 2" xfId="2009"/>
    <cellStyle name="Note 2 2 2" xfId="2019"/>
    <cellStyle name="Output" xfId="10" builtinId="21" customBuiltin="1"/>
    <cellStyle name="Output 2" xfId="1999"/>
    <cellStyle name="Output 2 2" xfId="2010"/>
    <cellStyle name="Output 2 2 2" xfId="2020"/>
    <cellStyle name="Percent" xfId="58" builtinId="5"/>
    <cellStyle name="Percent 2" xfId="51"/>
    <cellStyle name="Percent 2 2" xfId="60"/>
    <cellStyle name="Percent 4" xfId="2000"/>
    <cellStyle name="Percent 5" xfId="52"/>
    <cellStyle name="Percent 8" xfId="53"/>
    <cellStyle name="Title" xfId="1" builtinId="15" customBuiltin="1"/>
    <cellStyle name="Title 2" xfId="2001"/>
    <cellStyle name="Total" xfId="17" builtinId="25" customBuiltin="1"/>
    <cellStyle name="Total 2" xfId="2002"/>
    <cellStyle name="Total 2 2" xfId="2011"/>
    <cellStyle name="Total 2 2 2" xfId="2021"/>
    <cellStyle name="Warning Text" xfId="14" builtinId="11" customBuiltin="1"/>
    <cellStyle name="Warning Text 2" xfId="2003"/>
  </cellStyles>
  <dxfs count="0"/>
  <tableStyles count="0" defaultTableStyle="TableStyleMedium9" defaultPivotStyle="PivotStyleLight16"/>
  <colors>
    <mruColors>
      <color rgb="FFE6AF00"/>
      <color rgb="FFC09200"/>
      <color rgb="FFFFE48F"/>
      <color rgb="FFFFE79B"/>
      <color rgb="FFFFD13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trendline>
            <c:trendlineType val="linear"/>
            <c:dispRSqr val="1"/>
            <c:dispEq val="1"/>
            <c:trendlineLbl>
              <c:layout>
                <c:manualLayout>
                  <c:x val="-0.12821313799157574"/>
                  <c:y val="-4.3046465770094675E-2"/>
                </c:manualLayout>
              </c:layout>
              <c:numFmt formatCode="General" sourceLinked="0"/>
            </c:trendlineLbl>
          </c:trendline>
          <c:xVal>
            <c:numRef>
              <c:f>'Labor Results Matrix'!$AQ$16:$AQ$26</c:f>
            </c:numRef>
          </c:xVal>
          <c:yVal>
            <c:numRef>
              <c:f>'Labor Results Matrix'!$AO$16:$AO$26</c:f>
              <c:numCache>
                <c:formatCode>General</c:formatCode>
                <c:ptCount val="11"/>
                <c:pt idx="0">
                  <c:v>4</c:v>
                </c:pt>
                <c:pt idx="1">
                  <c:v>4.444</c:v>
                </c:pt>
                <c:pt idx="2">
                  <c:v>5</c:v>
                </c:pt>
                <c:pt idx="3">
                  <c:v>5.3330000000000002</c:v>
                </c:pt>
                <c:pt idx="4">
                  <c:v>5.3330000000000002</c:v>
                </c:pt>
                <c:pt idx="5">
                  <c:v>5.7140000000000004</c:v>
                </c:pt>
                <c:pt idx="6">
                  <c:v>4</c:v>
                </c:pt>
                <c:pt idx="7">
                  <c:v>4.2110000000000003</c:v>
                </c:pt>
                <c:pt idx="8">
                  <c:v>4.444</c:v>
                </c:pt>
                <c:pt idx="9">
                  <c:v>4.8479999999999999</c:v>
                </c:pt>
                <c:pt idx="10">
                  <c:v>5.1609999999999996</c:v>
                </c:pt>
              </c:numCache>
            </c:numRef>
          </c:yVal>
          <c:smooth val="0"/>
        </c:ser>
        <c:dLbls>
          <c:showLegendKey val="0"/>
          <c:showVal val="0"/>
          <c:showCatName val="0"/>
          <c:showSerName val="0"/>
          <c:showPercent val="0"/>
          <c:showBubbleSize val="0"/>
        </c:dLbls>
        <c:axId val="154250624"/>
        <c:axId val="154256896"/>
      </c:scatterChart>
      <c:valAx>
        <c:axId val="154250624"/>
        <c:scaling>
          <c:orientation val="minMax"/>
        </c:scaling>
        <c:delete val="0"/>
        <c:axPos val="b"/>
        <c:title>
          <c:tx>
            <c:rich>
              <a:bodyPr/>
              <a:lstStyle/>
              <a:p>
                <a:pPr>
                  <a:defRPr/>
                </a:pPr>
                <a:r>
                  <a:rPr lang="en-US"/>
                  <a:t>MBH</a:t>
                </a:r>
              </a:p>
            </c:rich>
          </c:tx>
          <c:overlay val="0"/>
        </c:title>
        <c:numFmt formatCode="General" sourceLinked="1"/>
        <c:majorTickMark val="out"/>
        <c:minorTickMark val="none"/>
        <c:tickLblPos val="nextTo"/>
        <c:crossAx val="154256896"/>
        <c:crosses val="autoZero"/>
        <c:crossBetween val="midCat"/>
      </c:valAx>
      <c:valAx>
        <c:axId val="154256896"/>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54250624"/>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Scroll compressor</a:t>
            </a:r>
          </a:p>
        </c:rich>
      </c:tx>
      <c:overlay val="0"/>
    </c:title>
    <c:autoTitleDeleted val="0"/>
    <c:plotArea>
      <c:layout/>
      <c:scatterChart>
        <c:scatterStyle val="lineMarker"/>
        <c:varyColors val="0"/>
        <c:ser>
          <c:idx val="0"/>
          <c:order val="0"/>
          <c:spPr>
            <a:ln w="28575">
              <a:noFill/>
            </a:ln>
          </c:spPr>
          <c:trendline>
            <c:trendlineType val="linear"/>
            <c:dispRSqr val="1"/>
            <c:dispEq val="1"/>
            <c:trendlineLbl>
              <c:layout>
                <c:manualLayout>
                  <c:x val="-3.1806853359465995E-2"/>
                  <c:y val="0.30513038039297508"/>
                </c:manualLayout>
              </c:layout>
              <c:numFmt formatCode="General" sourceLinked="0"/>
            </c:trendlineLbl>
          </c:trendline>
          <c:xVal>
            <c:numRef>
              <c:f>'Labor Results Matrix'!$AQ$226:$AQ$233</c:f>
            </c:numRef>
          </c:xVal>
          <c:yVal>
            <c:numRef>
              <c:f>'Labor Results Matrix'!$AO$228:$AO$235</c:f>
              <c:numCache>
                <c:formatCode>General</c:formatCode>
                <c:ptCount val="8"/>
                <c:pt idx="0">
                  <c:v>28.07</c:v>
                </c:pt>
                <c:pt idx="1">
                  <c:v>28.07</c:v>
                </c:pt>
                <c:pt idx="2">
                  <c:v>38.005000000000003</c:v>
                </c:pt>
                <c:pt idx="3">
                  <c:v>52.116999999999997</c:v>
                </c:pt>
                <c:pt idx="4">
                  <c:v>67.039000000000001</c:v>
                </c:pt>
                <c:pt idx="5">
                  <c:v>72.727000000000004</c:v>
                </c:pt>
                <c:pt idx="6">
                  <c:v>83.99</c:v>
                </c:pt>
                <c:pt idx="7">
                  <c:v>96.096000000000004</c:v>
                </c:pt>
              </c:numCache>
            </c:numRef>
          </c:yVal>
          <c:smooth val="0"/>
        </c:ser>
        <c:dLbls>
          <c:showLegendKey val="0"/>
          <c:showVal val="0"/>
          <c:showCatName val="0"/>
          <c:showSerName val="0"/>
          <c:showPercent val="0"/>
          <c:showBubbleSize val="0"/>
        </c:dLbls>
        <c:axId val="114990464"/>
        <c:axId val="115013120"/>
      </c:scatterChart>
      <c:valAx>
        <c:axId val="114990464"/>
        <c:scaling>
          <c:orientation val="minMax"/>
        </c:scaling>
        <c:delete val="0"/>
        <c:axPos val="b"/>
        <c:title>
          <c:tx>
            <c:rich>
              <a:bodyPr/>
              <a:lstStyle/>
              <a:p>
                <a:pPr>
                  <a:defRPr/>
                </a:pPr>
                <a:r>
                  <a:rPr lang="en-US"/>
                  <a:t>Tons</a:t>
                </a:r>
              </a:p>
            </c:rich>
          </c:tx>
          <c:overlay val="0"/>
        </c:title>
        <c:numFmt formatCode="General" sourceLinked="1"/>
        <c:majorTickMark val="out"/>
        <c:minorTickMark val="none"/>
        <c:tickLblPos val="nextTo"/>
        <c:crossAx val="115013120"/>
        <c:crosses val="autoZero"/>
        <c:crossBetween val="midCat"/>
      </c:valAx>
      <c:valAx>
        <c:axId val="115013120"/>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14990464"/>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Centrifugal compressor</a:t>
            </a:r>
          </a:p>
        </c:rich>
      </c:tx>
      <c:overlay val="0"/>
    </c:title>
    <c:autoTitleDeleted val="0"/>
    <c:plotArea>
      <c:layout/>
      <c:scatterChart>
        <c:scatterStyle val="lineMarker"/>
        <c:varyColors val="0"/>
        <c:ser>
          <c:idx val="0"/>
          <c:order val="0"/>
          <c:spPr>
            <a:ln w="28575">
              <a:noFill/>
            </a:ln>
          </c:spPr>
          <c:trendline>
            <c:trendlineType val="linear"/>
            <c:dispRSqr val="1"/>
            <c:dispEq val="1"/>
            <c:trendlineLbl>
              <c:layout>
                <c:manualLayout>
                  <c:x val="-3.1806853359465995E-2"/>
                  <c:y val="0.30513038039297508"/>
                </c:manualLayout>
              </c:layout>
              <c:numFmt formatCode="General" sourceLinked="0"/>
            </c:trendlineLbl>
          </c:trendline>
          <c:xVal>
            <c:numRef>
              <c:f>'Labor Results Matrix'!$AQ$234:$AQ$243</c:f>
            </c:numRef>
          </c:xVal>
          <c:yVal>
            <c:numRef>
              <c:f>'Labor Results Matrix'!$AO$236:$AO$245</c:f>
              <c:numCache>
                <c:formatCode>General</c:formatCode>
                <c:ptCount val="10"/>
                <c:pt idx="0">
                  <c:v>283</c:v>
                </c:pt>
                <c:pt idx="1">
                  <c:v>310</c:v>
                </c:pt>
                <c:pt idx="2">
                  <c:v>340</c:v>
                </c:pt>
                <c:pt idx="3">
                  <c:v>372</c:v>
                </c:pt>
                <c:pt idx="4">
                  <c:v>395</c:v>
                </c:pt>
                <c:pt idx="5">
                  <c:v>421</c:v>
                </c:pt>
                <c:pt idx="6">
                  <c:v>438</c:v>
                </c:pt>
                <c:pt idx="7">
                  <c:v>457</c:v>
                </c:pt>
                <c:pt idx="8">
                  <c:v>492</c:v>
                </c:pt>
                <c:pt idx="9">
                  <c:v>524</c:v>
                </c:pt>
              </c:numCache>
            </c:numRef>
          </c:yVal>
          <c:smooth val="0"/>
        </c:ser>
        <c:dLbls>
          <c:showLegendKey val="0"/>
          <c:showVal val="0"/>
          <c:showCatName val="0"/>
          <c:showSerName val="0"/>
          <c:showPercent val="0"/>
          <c:showBubbleSize val="0"/>
        </c:dLbls>
        <c:axId val="115706112"/>
        <c:axId val="115716480"/>
      </c:scatterChart>
      <c:valAx>
        <c:axId val="115706112"/>
        <c:scaling>
          <c:orientation val="minMax"/>
        </c:scaling>
        <c:delete val="0"/>
        <c:axPos val="b"/>
        <c:title>
          <c:tx>
            <c:rich>
              <a:bodyPr/>
              <a:lstStyle/>
              <a:p>
                <a:pPr>
                  <a:defRPr/>
                </a:pPr>
                <a:r>
                  <a:rPr lang="en-US"/>
                  <a:t>Tons</a:t>
                </a:r>
              </a:p>
            </c:rich>
          </c:tx>
          <c:overlay val="0"/>
        </c:title>
        <c:numFmt formatCode="General" sourceLinked="1"/>
        <c:majorTickMark val="out"/>
        <c:minorTickMark val="none"/>
        <c:tickLblPos val="nextTo"/>
        <c:crossAx val="115716480"/>
        <c:crosses val="autoZero"/>
        <c:crossBetween val="midCat"/>
      </c:valAx>
      <c:valAx>
        <c:axId val="115716480"/>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15706112"/>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Centrifugal compressor</a:t>
            </a:r>
          </a:p>
        </c:rich>
      </c:tx>
      <c:overlay val="0"/>
    </c:title>
    <c:autoTitleDeleted val="0"/>
    <c:plotArea>
      <c:layout/>
      <c:scatterChart>
        <c:scatterStyle val="lineMarker"/>
        <c:varyColors val="0"/>
        <c:ser>
          <c:idx val="0"/>
          <c:order val="0"/>
          <c:spPr>
            <a:ln w="28575">
              <a:noFill/>
            </a:ln>
          </c:spPr>
          <c:trendline>
            <c:trendlineType val="linear"/>
            <c:dispRSqr val="1"/>
            <c:dispEq val="1"/>
            <c:trendlineLbl>
              <c:layout>
                <c:manualLayout>
                  <c:x val="-3.1806853359465995E-2"/>
                  <c:y val="0.30513038039297508"/>
                </c:manualLayout>
              </c:layout>
              <c:numFmt formatCode="General" sourceLinked="0"/>
            </c:trendlineLbl>
          </c:trendline>
          <c:xVal>
            <c:numRef>
              <c:f>'Labor Results Matrix'!$AQ$234:$AQ$243</c:f>
            </c:numRef>
          </c:xVal>
          <c:yVal>
            <c:numRef>
              <c:f>'Labor Results Matrix'!$AO$236:$AO$245</c:f>
              <c:numCache>
                <c:formatCode>General</c:formatCode>
                <c:ptCount val="10"/>
                <c:pt idx="0">
                  <c:v>283</c:v>
                </c:pt>
                <c:pt idx="1">
                  <c:v>310</c:v>
                </c:pt>
                <c:pt idx="2">
                  <c:v>340</c:v>
                </c:pt>
                <c:pt idx="3">
                  <c:v>372</c:v>
                </c:pt>
                <c:pt idx="4">
                  <c:v>395</c:v>
                </c:pt>
                <c:pt idx="5">
                  <c:v>421</c:v>
                </c:pt>
                <c:pt idx="6">
                  <c:v>438</c:v>
                </c:pt>
                <c:pt idx="7">
                  <c:v>457</c:v>
                </c:pt>
                <c:pt idx="8">
                  <c:v>492</c:v>
                </c:pt>
                <c:pt idx="9">
                  <c:v>524</c:v>
                </c:pt>
              </c:numCache>
            </c:numRef>
          </c:yVal>
          <c:smooth val="0"/>
        </c:ser>
        <c:dLbls>
          <c:showLegendKey val="0"/>
          <c:showVal val="0"/>
          <c:showCatName val="0"/>
          <c:showSerName val="0"/>
          <c:showPercent val="0"/>
          <c:showBubbleSize val="0"/>
        </c:dLbls>
        <c:axId val="116663424"/>
        <c:axId val="116665344"/>
      </c:scatterChart>
      <c:valAx>
        <c:axId val="116663424"/>
        <c:scaling>
          <c:orientation val="minMax"/>
        </c:scaling>
        <c:delete val="0"/>
        <c:axPos val="b"/>
        <c:title>
          <c:tx>
            <c:rich>
              <a:bodyPr/>
              <a:lstStyle/>
              <a:p>
                <a:pPr>
                  <a:defRPr/>
                </a:pPr>
                <a:r>
                  <a:rPr lang="en-US"/>
                  <a:t>Tons</a:t>
                </a:r>
              </a:p>
            </c:rich>
          </c:tx>
          <c:overlay val="0"/>
        </c:title>
        <c:numFmt formatCode="General" sourceLinked="1"/>
        <c:majorTickMark val="out"/>
        <c:minorTickMark val="none"/>
        <c:tickLblPos val="nextTo"/>
        <c:crossAx val="116665344"/>
        <c:crosses val="autoZero"/>
        <c:crossBetween val="midCat"/>
      </c:valAx>
      <c:valAx>
        <c:axId val="116665344"/>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16663424"/>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trendline>
            <c:trendlineType val="exp"/>
            <c:dispRSqr val="1"/>
            <c:dispEq val="1"/>
            <c:trendlineLbl>
              <c:layout>
                <c:manualLayout>
                  <c:x val="-0.15298665791776056"/>
                  <c:y val="-9.733887430737824E-3"/>
                </c:manualLayout>
              </c:layout>
              <c:numFmt formatCode="General" sourceLinked="0"/>
            </c:trendlineLbl>
          </c:trendline>
          <c:xVal>
            <c:numRef>
              <c:f>'Labor Results Matrix'!$AQ$159:$AQ$165</c:f>
            </c:numRef>
          </c:xVal>
          <c:yVal>
            <c:numRef>
              <c:f>'Labor Results Matrix'!$AO$161:$AO$167</c:f>
              <c:numCache>
                <c:formatCode>General</c:formatCode>
                <c:ptCount val="7"/>
                <c:pt idx="0">
                  <c:v>6.4</c:v>
                </c:pt>
                <c:pt idx="1">
                  <c:v>7.6189999999999998</c:v>
                </c:pt>
                <c:pt idx="2">
                  <c:v>9.4120000000000008</c:v>
                </c:pt>
                <c:pt idx="3">
                  <c:v>12.308</c:v>
                </c:pt>
                <c:pt idx="4">
                  <c:v>14.545</c:v>
                </c:pt>
                <c:pt idx="5">
                  <c:v>17.777999999999999</c:v>
                </c:pt>
                <c:pt idx="6">
                  <c:v>26.667000000000002</c:v>
                </c:pt>
              </c:numCache>
            </c:numRef>
          </c:yVal>
          <c:smooth val="0"/>
        </c:ser>
        <c:dLbls>
          <c:showLegendKey val="0"/>
          <c:showVal val="0"/>
          <c:showCatName val="0"/>
          <c:showSerName val="0"/>
          <c:showPercent val="0"/>
          <c:showBubbleSize val="0"/>
        </c:dLbls>
        <c:axId val="116711424"/>
        <c:axId val="116713344"/>
      </c:scatterChart>
      <c:valAx>
        <c:axId val="116711424"/>
        <c:scaling>
          <c:orientation val="minMax"/>
        </c:scaling>
        <c:delete val="0"/>
        <c:axPos val="b"/>
        <c:title>
          <c:tx>
            <c:rich>
              <a:bodyPr/>
              <a:lstStyle/>
              <a:p>
                <a:pPr>
                  <a:defRPr/>
                </a:pPr>
                <a:r>
                  <a:rPr lang="en-US"/>
                  <a:t>Tons</a:t>
                </a:r>
              </a:p>
            </c:rich>
          </c:tx>
          <c:overlay val="0"/>
        </c:title>
        <c:numFmt formatCode="General" sourceLinked="1"/>
        <c:majorTickMark val="out"/>
        <c:minorTickMark val="none"/>
        <c:tickLblPos val="nextTo"/>
        <c:crossAx val="116713344"/>
        <c:crosses val="autoZero"/>
        <c:crossBetween val="midCat"/>
      </c:valAx>
      <c:valAx>
        <c:axId val="116713344"/>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16711424"/>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trendline>
            <c:trendlineType val="linear"/>
            <c:dispRSqr val="1"/>
            <c:dispEq val="1"/>
            <c:trendlineLbl>
              <c:layout>
                <c:manualLayout>
                  <c:x val="-0.12129428945793605"/>
                  <c:y val="-4.3077063283756177E-2"/>
                </c:manualLayout>
              </c:layout>
              <c:numFmt formatCode="General" sourceLinked="0"/>
            </c:trendlineLbl>
          </c:trendline>
          <c:xVal>
            <c:numRef>
              <c:f>'Labor Results Matrix'!$AQ$274:$AQ$277</c:f>
            </c:numRef>
          </c:xVal>
          <c:yVal>
            <c:numRef>
              <c:f>'Labor Results Matrix'!$AO$276:$AO$279</c:f>
              <c:numCache>
                <c:formatCode>General</c:formatCode>
                <c:ptCount val="4"/>
                <c:pt idx="0">
                  <c:v>29.091000000000001</c:v>
                </c:pt>
                <c:pt idx="1">
                  <c:v>32</c:v>
                </c:pt>
                <c:pt idx="2">
                  <c:v>40</c:v>
                </c:pt>
                <c:pt idx="3">
                  <c:v>60</c:v>
                </c:pt>
              </c:numCache>
            </c:numRef>
          </c:yVal>
          <c:smooth val="0"/>
        </c:ser>
        <c:dLbls>
          <c:showLegendKey val="0"/>
          <c:showVal val="0"/>
          <c:showCatName val="0"/>
          <c:showSerName val="0"/>
          <c:showPercent val="0"/>
          <c:showBubbleSize val="0"/>
        </c:dLbls>
        <c:axId val="116730112"/>
        <c:axId val="116736384"/>
      </c:scatterChart>
      <c:valAx>
        <c:axId val="116730112"/>
        <c:scaling>
          <c:orientation val="minMax"/>
        </c:scaling>
        <c:delete val="0"/>
        <c:axPos val="b"/>
        <c:title>
          <c:tx>
            <c:rich>
              <a:bodyPr/>
              <a:lstStyle/>
              <a:p>
                <a:pPr>
                  <a:defRPr/>
                </a:pPr>
                <a:r>
                  <a:rPr lang="en-US"/>
                  <a:t>Tons</a:t>
                </a:r>
              </a:p>
            </c:rich>
          </c:tx>
          <c:overlay val="0"/>
        </c:title>
        <c:numFmt formatCode="General" sourceLinked="1"/>
        <c:majorTickMark val="out"/>
        <c:minorTickMark val="none"/>
        <c:tickLblPos val="nextTo"/>
        <c:crossAx val="116736384"/>
        <c:crosses val="autoZero"/>
        <c:crossBetween val="midCat"/>
      </c:valAx>
      <c:valAx>
        <c:axId val="116736384"/>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16730112"/>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trendline>
            <c:trendlineType val="linear"/>
            <c:dispRSqr val="1"/>
            <c:dispEq val="1"/>
            <c:trendlineLbl>
              <c:layout>
                <c:manualLayout>
                  <c:x val="-5.1901356080489798E-2"/>
                  <c:y val="-6.1011227763196313E-2"/>
                </c:manualLayout>
              </c:layout>
              <c:numFmt formatCode="General" sourceLinked="0"/>
            </c:trendlineLbl>
          </c:trendline>
          <c:xVal>
            <c:numRef>
              <c:f>'Labor Results Matrix'!$AQ$288:$AQ$299</c:f>
            </c:numRef>
          </c:xVal>
          <c:yVal>
            <c:numRef>
              <c:f>'Labor Results Matrix'!$AO$290:$AO$301</c:f>
              <c:numCache>
                <c:formatCode>General</c:formatCode>
                <c:ptCount val="12"/>
                <c:pt idx="0">
                  <c:v>22.856999999999999</c:v>
                </c:pt>
                <c:pt idx="1">
                  <c:v>35.555999999999997</c:v>
                </c:pt>
                <c:pt idx="2">
                  <c:v>51.2</c:v>
                </c:pt>
                <c:pt idx="3">
                  <c:v>71.587999999999994</c:v>
                </c:pt>
                <c:pt idx="4">
                  <c:v>84.210999999999999</c:v>
                </c:pt>
                <c:pt idx="5">
                  <c:v>94.117999999999995</c:v>
                </c:pt>
                <c:pt idx="6">
                  <c:v>122</c:v>
                </c:pt>
                <c:pt idx="7">
                  <c:v>172</c:v>
                </c:pt>
                <c:pt idx="8">
                  <c:v>205</c:v>
                </c:pt>
                <c:pt idx="9">
                  <c:v>220</c:v>
                </c:pt>
                <c:pt idx="10">
                  <c:v>266</c:v>
                </c:pt>
                <c:pt idx="11">
                  <c:v>320</c:v>
                </c:pt>
              </c:numCache>
            </c:numRef>
          </c:yVal>
          <c:smooth val="0"/>
        </c:ser>
        <c:dLbls>
          <c:showLegendKey val="0"/>
          <c:showVal val="0"/>
          <c:showCatName val="0"/>
          <c:showSerName val="0"/>
          <c:showPercent val="0"/>
          <c:showBubbleSize val="0"/>
        </c:dLbls>
        <c:axId val="116781824"/>
        <c:axId val="116783744"/>
      </c:scatterChart>
      <c:valAx>
        <c:axId val="116781824"/>
        <c:scaling>
          <c:orientation val="minMax"/>
        </c:scaling>
        <c:delete val="0"/>
        <c:axPos val="b"/>
        <c:title>
          <c:tx>
            <c:rich>
              <a:bodyPr/>
              <a:lstStyle/>
              <a:p>
                <a:pPr>
                  <a:defRPr/>
                </a:pPr>
                <a:r>
                  <a:rPr lang="en-US"/>
                  <a:t>MBH</a:t>
                </a:r>
              </a:p>
            </c:rich>
          </c:tx>
          <c:overlay val="0"/>
        </c:title>
        <c:numFmt formatCode="General" sourceLinked="1"/>
        <c:majorTickMark val="out"/>
        <c:minorTickMark val="none"/>
        <c:tickLblPos val="nextTo"/>
        <c:crossAx val="116783744"/>
        <c:crosses val="autoZero"/>
        <c:crossBetween val="midCat"/>
      </c:valAx>
      <c:valAx>
        <c:axId val="116783744"/>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16781824"/>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trendline>
            <c:trendlineType val="linear"/>
            <c:dispRSqr val="1"/>
            <c:dispEq val="1"/>
            <c:trendlineLbl>
              <c:layout>
                <c:manualLayout>
                  <c:x val="-2.2930883639545058E-2"/>
                  <c:y val="-4.1554389034703987E-2"/>
                </c:manualLayout>
              </c:layout>
              <c:numFmt formatCode="General" sourceLinked="0"/>
            </c:trendlineLbl>
          </c:trendline>
          <c:xVal>
            <c:numRef>
              <c:f>'Labor Results Matrix'!$AQ$312:$AQ$317</c:f>
            </c:numRef>
          </c:xVal>
          <c:yVal>
            <c:numRef>
              <c:f>'Labor Results Matrix'!$AO$314:$AO$319</c:f>
              <c:numCache>
                <c:formatCode>General</c:formatCode>
                <c:ptCount val="6"/>
                <c:pt idx="0">
                  <c:v>4</c:v>
                </c:pt>
                <c:pt idx="1">
                  <c:v>4.21</c:v>
                </c:pt>
                <c:pt idx="2">
                  <c:v>4.4400000000000004</c:v>
                </c:pt>
                <c:pt idx="3">
                  <c:v>4.71</c:v>
                </c:pt>
                <c:pt idx="4">
                  <c:v>5.33</c:v>
                </c:pt>
                <c:pt idx="5">
                  <c:v>6.15</c:v>
                </c:pt>
              </c:numCache>
            </c:numRef>
          </c:yVal>
          <c:smooth val="0"/>
        </c:ser>
        <c:dLbls>
          <c:showLegendKey val="0"/>
          <c:showVal val="0"/>
          <c:showCatName val="0"/>
          <c:showSerName val="0"/>
          <c:showPercent val="0"/>
          <c:showBubbleSize val="0"/>
        </c:dLbls>
        <c:axId val="124865536"/>
        <c:axId val="124871808"/>
      </c:scatterChart>
      <c:valAx>
        <c:axId val="124865536"/>
        <c:scaling>
          <c:orientation val="minMax"/>
        </c:scaling>
        <c:delete val="0"/>
        <c:axPos val="b"/>
        <c:title>
          <c:tx>
            <c:rich>
              <a:bodyPr/>
              <a:lstStyle/>
              <a:p>
                <a:pPr>
                  <a:defRPr/>
                </a:pPr>
                <a:r>
                  <a:rPr lang="en-US"/>
                  <a:t>Gallons</a:t>
                </a:r>
              </a:p>
            </c:rich>
          </c:tx>
          <c:overlay val="0"/>
        </c:title>
        <c:numFmt formatCode="General" sourceLinked="1"/>
        <c:majorTickMark val="out"/>
        <c:minorTickMark val="none"/>
        <c:tickLblPos val="nextTo"/>
        <c:crossAx val="124871808"/>
        <c:crosses val="autoZero"/>
        <c:crossBetween val="midCat"/>
      </c:valAx>
      <c:valAx>
        <c:axId val="124871808"/>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24865536"/>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trendline>
            <c:trendlineType val="linear"/>
            <c:dispRSqr val="1"/>
            <c:dispEq val="1"/>
            <c:trendlineLbl>
              <c:layout>
                <c:manualLayout>
                  <c:x val="-2.2930883639545058E-2"/>
                  <c:y val="-4.1554389034703987E-2"/>
                </c:manualLayout>
              </c:layout>
              <c:numFmt formatCode="General" sourceLinked="0"/>
            </c:trendlineLbl>
          </c:trendline>
          <c:xVal>
            <c:numRef>
              <c:f>'Labor Results Matrix'!$AQ$333:$AQ$339</c:f>
            </c:numRef>
          </c:xVal>
          <c:yVal>
            <c:numRef>
              <c:f>'Labor Results Matrix'!$AO$335:$AO$341</c:f>
              <c:numCache>
                <c:formatCode>General</c:formatCode>
                <c:ptCount val="7"/>
                <c:pt idx="0">
                  <c:v>3.6360000000000001</c:v>
                </c:pt>
                <c:pt idx="1">
                  <c:v>3.6360000000000001</c:v>
                </c:pt>
                <c:pt idx="2">
                  <c:v>4</c:v>
                </c:pt>
                <c:pt idx="3">
                  <c:v>4</c:v>
                </c:pt>
                <c:pt idx="4">
                  <c:v>4.444</c:v>
                </c:pt>
                <c:pt idx="5">
                  <c:v>5</c:v>
                </c:pt>
                <c:pt idx="6">
                  <c:v>5.7140000000000004</c:v>
                </c:pt>
              </c:numCache>
            </c:numRef>
          </c:yVal>
          <c:smooth val="0"/>
        </c:ser>
        <c:dLbls>
          <c:showLegendKey val="0"/>
          <c:showVal val="0"/>
          <c:showCatName val="0"/>
          <c:showSerName val="0"/>
          <c:showPercent val="0"/>
          <c:showBubbleSize val="0"/>
        </c:dLbls>
        <c:axId val="124888576"/>
        <c:axId val="124890496"/>
      </c:scatterChart>
      <c:valAx>
        <c:axId val="124888576"/>
        <c:scaling>
          <c:orientation val="minMax"/>
        </c:scaling>
        <c:delete val="0"/>
        <c:axPos val="b"/>
        <c:title>
          <c:tx>
            <c:rich>
              <a:bodyPr/>
              <a:lstStyle/>
              <a:p>
                <a:pPr>
                  <a:defRPr/>
                </a:pPr>
                <a:r>
                  <a:rPr lang="en-US"/>
                  <a:t>Gallons</a:t>
                </a:r>
              </a:p>
            </c:rich>
          </c:tx>
          <c:overlay val="0"/>
        </c:title>
        <c:numFmt formatCode="General" sourceLinked="1"/>
        <c:majorTickMark val="out"/>
        <c:minorTickMark val="none"/>
        <c:tickLblPos val="nextTo"/>
        <c:crossAx val="124890496"/>
        <c:crosses val="autoZero"/>
        <c:crossBetween val="midCat"/>
      </c:valAx>
      <c:valAx>
        <c:axId val="124890496"/>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24888576"/>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trendline>
            <c:trendlineType val="linear"/>
            <c:dispRSqr val="1"/>
            <c:dispEq val="1"/>
            <c:trendlineLbl>
              <c:layout>
                <c:manualLayout>
                  <c:x val="-0.11389372708919154"/>
                  <c:y val="-5.9544124052461789E-2"/>
                </c:manualLayout>
              </c:layout>
              <c:numFmt formatCode="General" sourceLinked="0"/>
            </c:trendlineLbl>
          </c:trendline>
          <c:xVal>
            <c:numRef>
              <c:f>'Labor Results Matrix'!$AQ$344:$AQ$347</c:f>
            </c:numRef>
          </c:xVal>
          <c:yVal>
            <c:numRef>
              <c:f>'Labor Results Matrix'!$AO$346:$AO$349</c:f>
              <c:numCache>
                <c:formatCode>General</c:formatCode>
                <c:ptCount val="4"/>
                <c:pt idx="0">
                  <c:v>4</c:v>
                </c:pt>
                <c:pt idx="1">
                  <c:v>4.2110000000000003</c:v>
                </c:pt>
                <c:pt idx="2">
                  <c:v>4.444</c:v>
                </c:pt>
                <c:pt idx="3">
                  <c:v>5</c:v>
                </c:pt>
              </c:numCache>
            </c:numRef>
          </c:yVal>
          <c:smooth val="0"/>
        </c:ser>
        <c:dLbls>
          <c:showLegendKey val="0"/>
          <c:showVal val="0"/>
          <c:showCatName val="0"/>
          <c:showSerName val="0"/>
          <c:showPercent val="0"/>
          <c:showBubbleSize val="0"/>
        </c:dLbls>
        <c:axId val="124928000"/>
        <c:axId val="124929920"/>
      </c:scatterChart>
      <c:valAx>
        <c:axId val="124928000"/>
        <c:scaling>
          <c:orientation val="minMax"/>
        </c:scaling>
        <c:delete val="0"/>
        <c:axPos val="b"/>
        <c:title>
          <c:tx>
            <c:rich>
              <a:bodyPr/>
              <a:lstStyle/>
              <a:p>
                <a:pPr>
                  <a:defRPr/>
                </a:pPr>
                <a:r>
                  <a:rPr lang="en-US"/>
                  <a:t>Gallons</a:t>
                </a:r>
              </a:p>
            </c:rich>
          </c:tx>
          <c:overlay val="0"/>
        </c:title>
        <c:numFmt formatCode="General" sourceLinked="1"/>
        <c:majorTickMark val="out"/>
        <c:minorTickMark val="none"/>
        <c:tickLblPos val="nextTo"/>
        <c:crossAx val="124929920"/>
        <c:crosses val="autoZero"/>
        <c:crossBetween val="midCat"/>
      </c:valAx>
      <c:valAx>
        <c:axId val="124929920"/>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24928000"/>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trendline>
            <c:trendlineType val="linear"/>
            <c:dispRSqr val="1"/>
            <c:dispEq val="1"/>
            <c:trendlineLbl>
              <c:layout>
                <c:manualLayout>
                  <c:x val="-8.2381671041119639E-2"/>
                  <c:y val="-1.4363517060367481E-2"/>
                </c:manualLayout>
              </c:layout>
              <c:numFmt formatCode="General" sourceLinked="0"/>
            </c:trendlineLbl>
          </c:trendline>
          <c:xVal>
            <c:numRef>
              <c:f>'Labor Results Matrix'!$AQ$366:$AQ$374</c:f>
            </c:numRef>
          </c:xVal>
          <c:yVal>
            <c:numRef>
              <c:f>'Labor Results Matrix'!$AO$368:$AO$376</c:f>
              <c:numCache>
                <c:formatCode>General</c:formatCode>
                <c:ptCount val="9"/>
                <c:pt idx="0">
                  <c:v>5.7140000000000004</c:v>
                </c:pt>
                <c:pt idx="1">
                  <c:v>5.7140000000000004</c:v>
                </c:pt>
                <c:pt idx="2">
                  <c:v>6.6669999999999998</c:v>
                </c:pt>
                <c:pt idx="3">
                  <c:v>7.2729999999999997</c:v>
                </c:pt>
                <c:pt idx="4">
                  <c:v>8</c:v>
                </c:pt>
                <c:pt idx="5">
                  <c:v>10</c:v>
                </c:pt>
                <c:pt idx="6">
                  <c:v>11.429</c:v>
                </c:pt>
                <c:pt idx="7">
                  <c:v>13.333</c:v>
                </c:pt>
                <c:pt idx="8">
                  <c:v>16</c:v>
                </c:pt>
              </c:numCache>
            </c:numRef>
          </c:yVal>
          <c:smooth val="0"/>
        </c:ser>
        <c:dLbls>
          <c:showLegendKey val="0"/>
          <c:showVal val="0"/>
          <c:showCatName val="0"/>
          <c:showSerName val="0"/>
          <c:showPercent val="0"/>
          <c:showBubbleSize val="0"/>
        </c:dLbls>
        <c:axId val="124950784"/>
        <c:axId val="124969344"/>
      </c:scatterChart>
      <c:valAx>
        <c:axId val="124950784"/>
        <c:scaling>
          <c:orientation val="minMax"/>
        </c:scaling>
        <c:delete val="0"/>
        <c:axPos val="b"/>
        <c:title>
          <c:tx>
            <c:rich>
              <a:bodyPr/>
              <a:lstStyle/>
              <a:p>
                <a:pPr>
                  <a:defRPr/>
                </a:pPr>
                <a:r>
                  <a:rPr lang="en-US"/>
                  <a:t>MBH</a:t>
                </a:r>
              </a:p>
            </c:rich>
          </c:tx>
          <c:overlay val="0"/>
        </c:title>
        <c:numFmt formatCode="General" sourceLinked="1"/>
        <c:majorTickMark val="out"/>
        <c:minorTickMark val="none"/>
        <c:tickLblPos val="nextTo"/>
        <c:crossAx val="124969344"/>
        <c:crosses val="autoZero"/>
        <c:crossBetween val="midCat"/>
      </c:valAx>
      <c:valAx>
        <c:axId val="124969344"/>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24950784"/>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trendline>
            <c:trendlineType val="exp"/>
            <c:dispRSqr val="1"/>
            <c:dispEq val="1"/>
            <c:trendlineLbl>
              <c:layout>
                <c:manualLayout>
                  <c:x val="-9.0519923880830744E-2"/>
                  <c:y val="1.2104237781831978E-2"/>
                </c:manualLayout>
              </c:layout>
              <c:numFmt formatCode="General" sourceLinked="0"/>
            </c:trendlineLbl>
          </c:trendline>
          <c:xVal>
            <c:numRef>
              <c:f>'Labor Results Matrix'!$AQ$35:$AQ$39</c:f>
            </c:numRef>
          </c:xVal>
          <c:yVal>
            <c:numRef>
              <c:f>'Labor Results Matrix'!$AR$35:$AR$39</c:f>
            </c:numRef>
          </c:yVal>
          <c:smooth val="0"/>
        </c:ser>
        <c:ser>
          <c:idx val="1"/>
          <c:order val="1"/>
          <c:spPr>
            <a:ln w="28575">
              <a:noFill/>
            </a:ln>
          </c:spPr>
          <c:trendline>
            <c:trendlineType val="exp"/>
            <c:dispRSqr val="0"/>
            <c:dispEq val="1"/>
            <c:trendlineLbl>
              <c:numFmt formatCode="General" sourceLinked="0"/>
            </c:trendlineLbl>
          </c:trendline>
          <c:xVal>
            <c:numRef>
              <c:f>'Labor Results Matrix'!$AQ$41:$AQ$45</c:f>
            </c:numRef>
          </c:xVal>
          <c:yVal>
            <c:numRef>
              <c:f>'Labor Results Matrix'!$AO$41:$AO$45</c:f>
              <c:numCache>
                <c:formatCode>General</c:formatCode>
                <c:ptCount val="5"/>
                <c:pt idx="0">
                  <c:v>12</c:v>
                </c:pt>
                <c:pt idx="1">
                  <c:v>15</c:v>
                </c:pt>
                <c:pt idx="2">
                  <c:v>17.143000000000001</c:v>
                </c:pt>
                <c:pt idx="3">
                  <c:v>30</c:v>
                </c:pt>
                <c:pt idx="4">
                  <c:v>48</c:v>
                </c:pt>
              </c:numCache>
            </c:numRef>
          </c:yVal>
          <c:smooth val="0"/>
        </c:ser>
        <c:dLbls>
          <c:showLegendKey val="0"/>
          <c:showVal val="0"/>
          <c:showCatName val="0"/>
          <c:showSerName val="0"/>
          <c:showPercent val="0"/>
          <c:showBubbleSize val="0"/>
        </c:dLbls>
        <c:axId val="154279296"/>
        <c:axId val="154281472"/>
      </c:scatterChart>
      <c:valAx>
        <c:axId val="154279296"/>
        <c:scaling>
          <c:orientation val="minMax"/>
        </c:scaling>
        <c:delete val="0"/>
        <c:axPos val="b"/>
        <c:title>
          <c:tx>
            <c:rich>
              <a:bodyPr/>
              <a:lstStyle/>
              <a:p>
                <a:pPr>
                  <a:defRPr/>
                </a:pPr>
                <a:r>
                  <a:rPr lang="en-US"/>
                  <a:t>Tons</a:t>
                </a:r>
              </a:p>
            </c:rich>
          </c:tx>
          <c:overlay val="0"/>
        </c:title>
        <c:numFmt formatCode="General" sourceLinked="1"/>
        <c:majorTickMark val="out"/>
        <c:minorTickMark val="none"/>
        <c:tickLblPos val="nextTo"/>
        <c:crossAx val="154281472"/>
        <c:crosses val="autoZero"/>
        <c:crossBetween val="midCat"/>
      </c:valAx>
      <c:valAx>
        <c:axId val="154281472"/>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54279296"/>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trendline>
            <c:trendlineType val="linear"/>
            <c:dispRSqr val="1"/>
            <c:dispEq val="1"/>
            <c:trendlineLbl>
              <c:layout>
                <c:manualLayout>
                  <c:x val="-1.183470151337466E-2"/>
                  <c:y val="0.11363479565054369"/>
                </c:manualLayout>
              </c:layout>
              <c:numFmt formatCode="General" sourceLinked="0"/>
            </c:trendlineLbl>
          </c:trendline>
          <c:xVal>
            <c:numRef>
              <c:f>'Labor Results Matrix'!$AQ$382:$AQ$388</c:f>
            </c:numRef>
          </c:xVal>
          <c:yVal>
            <c:numRef>
              <c:f>'Labor Results Matrix'!$AO$384:$AO$390</c:f>
              <c:numCache>
                <c:formatCode>General</c:formatCode>
                <c:ptCount val="7"/>
                <c:pt idx="0">
                  <c:v>21.917999999999999</c:v>
                </c:pt>
                <c:pt idx="1">
                  <c:v>23.704000000000001</c:v>
                </c:pt>
                <c:pt idx="2">
                  <c:v>29.091000000000001</c:v>
                </c:pt>
                <c:pt idx="3">
                  <c:v>32</c:v>
                </c:pt>
                <c:pt idx="4">
                  <c:v>32</c:v>
                </c:pt>
                <c:pt idx="5">
                  <c:v>33.683999999999997</c:v>
                </c:pt>
                <c:pt idx="6">
                  <c:v>35.555999999999997</c:v>
                </c:pt>
              </c:numCache>
            </c:numRef>
          </c:yVal>
          <c:smooth val="0"/>
        </c:ser>
        <c:dLbls>
          <c:showLegendKey val="0"/>
          <c:showVal val="0"/>
          <c:showCatName val="0"/>
          <c:showSerName val="0"/>
          <c:showPercent val="0"/>
          <c:showBubbleSize val="0"/>
        </c:dLbls>
        <c:axId val="125723392"/>
        <c:axId val="125725312"/>
      </c:scatterChart>
      <c:valAx>
        <c:axId val="125723392"/>
        <c:scaling>
          <c:orientation val="minMax"/>
        </c:scaling>
        <c:delete val="0"/>
        <c:axPos val="b"/>
        <c:title>
          <c:tx>
            <c:rich>
              <a:bodyPr/>
              <a:lstStyle/>
              <a:p>
                <a:pPr>
                  <a:defRPr/>
                </a:pPr>
                <a:r>
                  <a:rPr lang="en-US"/>
                  <a:t>MBH</a:t>
                </a:r>
              </a:p>
            </c:rich>
          </c:tx>
          <c:overlay val="0"/>
        </c:title>
        <c:numFmt formatCode="General" sourceLinked="1"/>
        <c:majorTickMark val="out"/>
        <c:minorTickMark val="none"/>
        <c:tickLblPos val="nextTo"/>
        <c:crossAx val="125725312"/>
        <c:crosses val="autoZero"/>
        <c:crossBetween val="midCat"/>
      </c:valAx>
      <c:valAx>
        <c:axId val="125725312"/>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25723392"/>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trendline>
            <c:trendlineType val="linear"/>
            <c:dispRSqr val="1"/>
            <c:dispEq val="1"/>
            <c:trendlineLbl>
              <c:layout>
                <c:manualLayout>
                  <c:x val="-0.21377249120455688"/>
                  <c:y val="-3.8746156730408668E-2"/>
                </c:manualLayout>
              </c:layout>
              <c:numFmt formatCode="General" sourceLinked="0"/>
            </c:trendlineLbl>
          </c:trendline>
          <c:xVal>
            <c:numRef>
              <c:f>'Labor Results Matrix'!$AQ$393:$AQ$404</c:f>
            </c:numRef>
          </c:xVal>
          <c:yVal>
            <c:numRef>
              <c:f>'Labor Results Matrix'!$AO$395:$AO$406</c:f>
              <c:numCache>
                <c:formatCode>General</c:formatCode>
                <c:ptCount val="12"/>
                <c:pt idx="0">
                  <c:v>40</c:v>
                </c:pt>
                <c:pt idx="1">
                  <c:v>45.07</c:v>
                </c:pt>
                <c:pt idx="2">
                  <c:v>50</c:v>
                </c:pt>
                <c:pt idx="3">
                  <c:v>54.982999999999997</c:v>
                </c:pt>
                <c:pt idx="4">
                  <c:v>62.991999999999997</c:v>
                </c:pt>
                <c:pt idx="5">
                  <c:v>70.022000000000006</c:v>
                </c:pt>
                <c:pt idx="6">
                  <c:v>80</c:v>
                </c:pt>
                <c:pt idx="7">
                  <c:v>89.888000000000005</c:v>
                </c:pt>
                <c:pt idx="8">
                  <c:v>104</c:v>
                </c:pt>
                <c:pt idx="9">
                  <c:v>125</c:v>
                </c:pt>
                <c:pt idx="10">
                  <c:v>148</c:v>
                </c:pt>
                <c:pt idx="11">
                  <c:v>160</c:v>
                </c:pt>
              </c:numCache>
            </c:numRef>
          </c:yVal>
          <c:smooth val="0"/>
        </c:ser>
        <c:dLbls>
          <c:showLegendKey val="0"/>
          <c:showVal val="0"/>
          <c:showCatName val="0"/>
          <c:showSerName val="0"/>
          <c:showPercent val="0"/>
          <c:showBubbleSize val="0"/>
        </c:dLbls>
        <c:axId val="125758848"/>
        <c:axId val="125765120"/>
      </c:scatterChart>
      <c:valAx>
        <c:axId val="125758848"/>
        <c:scaling>
          <c:orientation val="minMax"/>
        </c:scaling>
        <c:delete val="0"/>
        <c:axPos val="b"/>
        <c:title>
          <c:tx>
            <c:rich>
              <a:bodyPr/>
              <a:lstStyle/>
              <a:p>
                <a:pPr>
                  <a:defRPr/>
                </a:pPr>
                <a:r>
                  <a:rPr lang="en-US"/>
                  <a:t>MBH</a:t>
                </a:r>
              </a:p>
            </c:rich>
          </c:tx>
          <c:overlay val="0"/>
        </c:title>
        <c:numFmt formatCode="General" sourceLinked="1"/>
        <c:majorTickMark val="out"/>
        <c:minorTickMark val="none"/>
        <c:tickLblPos val="nextTo"/>
        <c:crossAx val="125765120"/>
        <c:crosses val="autoZero"/>
        <c:crossBetween val="midCat"/>
      </c:valAx>
      <c:valAx>
        <c:axId val="125765120"/>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25758848"/>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trendline>
            <c:trendlineType val="linear"/>
            <c:dispRSqr val="1"/>
            <c:dispEq val="1"/>
            <c:trendlineLbl>
              <c:layout>
                <c:manualLayout>
                  <c:x val="-0.21377249120455688"/>
                  <c:y val="-3.8746156730408668E-2"/>
                </c:manualLayout>
              </c:layout>
              <c:numFmt formatCode="General" sourceLinked="0"/>
            </c:trendlineLbl>
          </c:trendline>
          <c:xVal>
            <c:numRef>
              <c:f>'Labor Results Matrix'!$AQ$412:$AQ$418</c:f>
            </c:numRef>
          </c:xVal>
          <c:yVal>
            <c:numRef>
              <c:f>'Labor Results Matrix'!$AO$414:$AO$420</c:f>
              <c:numCache>
                <c:formatCode>General</c:formatCode>
                <c:ptCount val="7"/>
                <c:pt idx="0">
                  <c:v>8.8889999999999993</c:v>
                </c:pt>
                <c:pt idx="1">
                  <c:v>10</c:v>
                </c:pt>
                <c:pt idx="2">
                  <c:v>11.429</c:v>
                </c:pt>
                <c:pt idx="3">
                  <c:v>13.333</c:v>
                </c:pt>
                <c:pt idx="4">
                  <c:v>15</c:v>
                </c:pt>
                <c:pt idx="5">
                  <c:v>17.143000000000001</c:v>
                </c:pt>
                <c:pt idx="6">
                  <c:v>20</c:v>
                </c:pt>
              </c:numCache>
            </c:numRef>
          </c:yVal>
          <c:smooth val="0"/>
        </c:ser>
        <c:dLbls>
          <c:showLegendKey val="0"/>
          <c:showVal val="0"/>
          <c:showCatName val="0"/>
          <c:showSerName val="0"/>
          <c:showPercent val="0"/>
          <c:showBubbleSize val="0"/>
        </c:dLbls>
        <c:axId val="125798272"/>
        <c:axId val="125808640"/>
      </c:scatterChart>
      <c:valAx>
        <c:axId val="125798272"/>
        <c:scaling>
          <c:orientation val="minMax"/>
        </c:scaling>
        <c:delete val="0"/>
        <c:axPos val="b"/>
        <c:title>
          <c:tx>
            <c:rich>
              <a:bodyPr/>
              <a:lstStyle/>
              <a:p>
                <a:pPr>
                  <a:defRPr/>
                </a:pPr>
                <a:r>
                  <a:rPr lang="en-US"/>
                  <a:t>MBH</a:t>
                </a:r>
              </a:p>
            </c:rich>
          </c:tx>
          <c:overlay val="0"/>
        </c:title>
        <c:numFmt formatCode="General" sourceLinked="1"/>
        <c:majorTickMark val="out"/>
        <c:minorTickMark val="none"/>
        <c:tickLblPos val="nextTo"/>
        <c:crossAx val="125808640"/>
        <c:crosses val="autoZero"/>
        <c:crossBetween val="midCat"/>
      </c:valAx>
      <c:valAx>
        <c:axId val="125808640"/>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25798272"/>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15 - 50 HP</a:t>
            </a:r>
          </a:p>
        </c:rich>
      </c:tx>
      <c:overlay val="0"/>
    </c:title>
    <c:autoTitleDeleted val="0"/>
    <c:plotArea>
      <c:layout/>
      <c:scatterChart>
        <c:scatterStyle val="lineMarker"/>
        <c:varyColors val="0"/>
        <c:ser>
          <c:idx val="0"/>
          <c:order val="0"/>
          <c:spPr>
            <a:ln w="28575">
              <a:noFill/>
            </a:ln>
          </c:spPr>
          <c:trendline>
            <c:trendlineType val="linear"/>
            <c:dispRSqr val="1"/>
            <c:dispEq val="1"/>
            <c:trendlineLbl>
              <c:layout>
                <c:manualLayout>
                  <c:x val="-0.13786299344654504"/>
                  <c:y val="-2.3997595057428371E-2"/>
                </c:manualLayout>
              </c:layout>
              <c:numFmt formatCode="General" sourceLinked="0"/>
            </c:trendlineLbl>
          </c:trendline>
          <c:xVal>
            <c:numRef>
              <c:f>'Labor Results Matrix'!$AQ$81:$AQ$85</c:f>
            </c:numRef>
          </c:xVal>
          <c:yVal>
            <c:numRef>
              <c:f>'Labor Results Matrix'!$AO$83:$AO$87</c:f>
              <c:numCache>
                <c:formatCode>General</c:formatCode>
                <c:ptCount val="5"/>
                <c:pt idx="0">
                  <c:v>17.978000000000002</c:v>
                </c:pt>
                <c:pt idx="1">
                  <c:v>17.978000000000002</c:v>
                </c:pt>
                <c:pt idx="2">
                  <c:v>23.881</c:v>
                </c:pt>
                <c:pt idx="3">
                  <c:v>23.881</c:v>
                </c:pt>
                <c:pt idx="4">
                  <c:v>30.189</c:v>
                </c:pt>
              </c:numCache>
            </c:numRef>
          </c:yVal>
          <c:smooth val="0"/>
        </c:ser>
        <c:dLbls>
          <c:showLegendKey val="0"/>
          <c:showVal val="0"/>
          <c:showCatName val="0"/>
          <c:showSerName val="0"/>
          <c:showPercent val="0"/>
          <c:showBubbleSize val="0"/>
        </c:dLbls>
        <c:axId val="127546112"/>
        <c:axId val="127548032"/>
      </c:scatterChart>
      <c:valAx>
        <c:axId val="127546112"/>
        <c:scaling>
          <c:orientation val="minMax"/>
        </c:scaling>
        <c:delete val="0"/>
        <c:axPos val="b"/>
        <c:title>
          <c:tx>
            <c:rich>
              <a:bodyPr/>
              <a:lstStyle/>
              <a:p>
                <a:pPr>
                  <a:defRPr/>
                </a:pPr>
                <a:r>
                  <a:rPr lang="en-US"/>
                  <a:t>HP</a:t>
                </a:r>
              </a:p>
            </c:rich>
          </c:tx>
          <c:overlay val="0"/>
        </c:title>
        <c:numFmt formatCode="General" sourceLinked="1"/>
        <c:majorTickMark val="out"/>
        <c:minorTickMark val="none"/>
        <c:tickLblPos val="nextTo"/>
        <c:crossAx val="127548032"/>
        <c:crosses val="autoZero"/>
        <c:crossBetween val="midCat"/>
      </c:valAx>
      <c:valAx>
        <c:axId val="127548032"/>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27546112"/>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trendline>
            <c:trendlineType val="linear"/>
            <c:dispRSqr val="1"/>
            <c:dispEq val="1"/>
            <c:trendlineLbl>
              <c:layout>
                <c:manualLayout>
                  <c:x val="3.968966139632215E-2"/>
                  <c:y val="0.12824639758210835"/>
                </c:manualLayout>
              </c:layout>
              <c:numFmt formatCode="General" sourceLinked="0"/>
            </c:trendlineLbl>
          </c:trendline>
          <c:xVal>
            <c:numRef>
              <c:f>'Labor Results Matrix'!$AQ$92:$AQ$95</c:f>
            </c:numRef>
          </c:xVal>
          <c:yVal>
            <c:numRef>
              <c:f>'Labor Results Matrix'!$AO$94:$AO$97</c:f>
              <c:numCache>
                <c:formatCode>General</c:formatCode>
                <c:ptCount val="4"/>
                <c:pt idx="0">
                  <c:v>10</c:v>
                </c:pt>
                <c:pt idx="1">
                  <c:v>10</c:v>
                </c:pt>
                <c:pt idx="2">
                  <c:v>11.94</c:v>
                </c:pt>
                <c:pt idx="3">
                  <c:v>11.94</c:v>
                </c:pt>
              </c:numCache>
            </c:numRef>
          </c:yVal>
          <c:smooth val="0"/>
        </c:ser>
        <c:dLbls>
          <c:showLegendKey val="0"/>
          <c:showVal val="0"/>
          <c:showCatName val="0"/>
          <c:showSerName val="0"/>
          <c:showPercent val="0"/>
          <c:showBubbleSize val="0"/>
        </c:dLbls>
        <c:axId val="127565184"/>
        <c:axId val="127571456"/>
      </c:scatterChart>
      <c:valAx>
        <c:axId val="127565184"/>
        <c:scaling>
          <c:orientation val="minMax"/>
        </c:scaling>
        <c:delete val="0"/>
        <c:axPos val="b"/>
        <c:title>
          <c:tx>
            <c:rich>
              <a:bodyPr/>
              <a:lstStyle/>
              <a:p>
                <a:pPr>
                  <a:defRPr/>
                </a:pPr>
                <a:r>
                  <a:rPr lang="en-US"/>
                  <a:t>HP</a:t>
                </a:r>
              </a:p>
            </c:rich>
          </c:tx>
          <c:overlay val="0"/>
        </c:title>
        <c:numFmt formatCode="General" sourceLinked="1"/>
        <c:majorTickMark val="out"/>
        <c:minorTickMark val="none"/>
        <c:tickLblPos val="nextTo"/>
        <c:crossAx val="127571456"/>
        <c:crosses val="autoZero"/>
        <c:crossBetween val="midCat"/>
      </c:valAx>
      <c:valAx>
        <c:axId val="127571456"/>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27565184"/>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&gt; 50 HP</a:t>
            </a:r>
          </a:p>
        </c:rich>
      </c:tx>
      <c:overlay val="0"/>
    </c:title>
    <c:autoTitleDeleted val="0"/>
    <c:plotArea>
      <c:layout/>
      <c:scatterChart>
        <c:scatterStyle val="lineMarker"/>
        <c:varyColors val="0"/>
        <c:ser>
          <c:idx val="0"/>
          <c:order val="0"/>
          <c:spPr>
            <a:ln w="28575">
              <a:noFill/>
            </a:ln>
          </c:spPr>
          <c:trendline>
            <c:trendlineType val="linear"/>
            <c:dispRSqr val="1"/>
            <c:dispEq val="1"/>
            <c:trendlineLbl>
              <c:layout>
                <c:manualLayout>
                  <c:x val="-0.13026685304458005"/>
                  <c:y val="9.6204463385921354E-2"/>
                </c:manualLayout>
              </c:layout>
              <c:numFmt formatCode="General" sourceLinked="0"/>
            </c:trendlineLbl>
          </c:trendline>
          <c:xVal>
            <c:numRef>
              <c:f>'Labor Results Matrix'!$AQ$86:$AQ$90</c:f>
            </c:numRef>
          </c:xVal>
          <c:yVal>
            <c:numRef>
              <c:f>'Labor Results Matrix'!$AO$88:$AO$92</c:f>
              <c:numCache>
                <c:formatCode>General</c:formatCode>
                <c:ptCount val="5"/>
                <c:pt idx="0">
                  <c:v>35.713999999999999</c:v>
                </c:pt>
                <c:pt idx="1">
                  <c:v>35.713999999999999</c:v>
                </c:pt>
                <c:pt idx="2">
                  <c:v>40</c:v>
                </c:pt>
                <c:pt idx="3">
                  <c:v>40</c:v>
                </c:pt>
                <c:pt idx="4">
                  <c:v>47.619</c:v>
                </c:pt>
              </c:numCache>
            </c:numRef>
          </c:yVal>
          <c:smooth val="0"/>
        </c:ser>
        <c:dLbls>
          <c:showLegendKey val="0"/>
          <c:showVal val="0"/>
          <c:showCatName val="0"/>
          <c:showSerName val="0"/>
          <c:showPercent val="0"/>
          <c:showBubbleSize val="0"/>
        </c:dLbls>
        <c:axId val="130950656"/>
        <c:axId val="130952576"/>
      </c:scatterChart>
      <c:valAx>
        <c:axId val="130950656"/>
        <c:scaling>
          <c:orientation val="minMax"/>
        </c:scaling>
        <c:delete val="0"/>
        <c:axPos val="b"/>
        <c:title>
          <c:tx>
            <c:rich>
              <a:bodyPr/>
              <a:lstStyle/>
              <a:p>
                <a:pPr>
                  <a:defRPr/>
                </a:pPr>
                <a:r>
                  <a:rPr lang="en-US"/>
                  <a:t>HP</a:t>
                </a:r>
              </a:p>
            </c:rich>
          </c:tx>
          <c:overlay val="0"/>
        </c:title>
        <c:numFmt formatCode="General" sourceLinked="1"/>
        <c:majorTickMark val="out"/>
        <c:minorTickMark val="none"/>
        <c:tickLblPos val="nextTo"/>
        <c:crossAx val="130952576"/>
        <c:crosses val="autoZero"/>
        <c:crossBetween val="midCat"/>
      </c:valAx>
      <c:valAx>
        <c:axId val="130952576"/>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30950656"/>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Direct drive</a:t>
            </a:r>
          </a:p>
        </c:rich>
      </c:tx>
      <c:overlay val="0"/>
    </c:title>
    <c:autoTitleDeleted val="0"/>
    <c:plotArea>
      <c:layout/>
      <c:scatterChart>
        <c:scatterStyle val="lineMarker"/>
        <c:varyColors val="0"/>
        <c:ser>
          <c:idx val="0"/>
          <c:order val="0"/>
          <c:spPr>
            <a:ln w="28575">
              <a:noFill/>
            </a:ln>
          </c:spPr>
          <c:trendline>
            <c:trendlineType val="linear"/>
            <c:dispRSqr val="1"/>
            <c:dispEq val="1"/>
            <c:trendlineLbl>
              <c:layout>
                <c:manualLayout>
                  <c:x val="-0.21029352934995468"/>
                  <c:y val="-4.7949380788300945E-2"/>
                </c:manualLayout>
              </c:layout>
              <c:numFmt formatCode="General" sourceLinked="0"/>
            </c:trendlineLbl>
          </c:trendline>
          <c:xVal>
            <c:numRef>
              <c:f>'Labor Results Matrix'!$AR$66:$AR$70</c:f>
            </c:numRef>
          </c:xVal>
          <c:yVal>
            <c:numRef>
              <c:f>'Labor Results Matrix'!$AO$68:$AO$72</c:f>
              <c:numCache>
                <c:formatCode>General</c:formatCode>
                <c:ptCount val="5"/>
                <c:pt idx="0">
                  <c:v>3.125</c:v>
                </c:pt>
                <c:pt idx="1">
                  <c:v>3.448</c:v>
                </c:pt>
                <c:pt idx="2">
                  <c:v>4.1669999999999998</c:v>
                </c:pt>
                <c:pt idx="3">
                  <c:v>4.5449999999999999</c:v>
                </c:pt>
                <c:pt idx="4">
                  <c:v>6.6669999999999998</c:v>
                </c:pt>
              </c:numCache>
            </c:numRef>
          </c:yVal>
          <c:smooth val="0"/>
        </c:ser>
        <c:dLbls>
          <c:showLegendKey val="0"/>
          <c:showVal val="0"/>
          <c:showCatName val="0"/>
          <c:showSerName val="0"/>
          <c:showPercent val="0"/>
          <c:showBubbleSize val="0"/>
        </c:dLbls>
        <c:axId val="130998656"/>
        <c:axId val="131000576"/>
      </c:scatterChart>
      <c:valAx>
        <c:axId val="130998656"/>
        <c:scaling>
          <c:orientation val="minMax"/>
        </c:scaling>
        <c:delete val="0"/>
        <c:axPos val="b"/>
        <c:title>
          <c:tx>
            <c:rich>
              <a:bodyPr/>
              <a:lstStyle/>
              <a:p>
                <a:pPr>
                  <a:defRPr/>
                </a:pPr>
                <a:r>
                  <a:rPr lang="en-US"/>
                  <a:t>HP</a:t>
                </a:r>
              </a:p>
            </c:rich>
          </c:tx>
          <c:overlay val="0"/>
        </c:title>
        <c:numFmt formatCode="General" sourceLinked="1"/>
        <c:majorTickMark val="out"/>
        <c:minorTickMark val="none"/>
        <c:tickLblPos val="nextTo"/>
        <c:crossAx val="131000576"/>
        <c:crosses val="autoZero"/>
        <c:crossBetween val="midCat"/>
      </c:valAx>
      <c:valAx>
        <c:axId val="131000576"/>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30998656"/>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V-belt drive</a:t>
            </a:r>
          </a:p>
        </c:rich>
      </c:tx>
      <c:overlay val="0"/>
    </c:title>
    <c:autoTitleDeleted val="0"/>
    <c:plotArea>
      <c:layout/>
      <c:scatterChart>
        <c:scatterStyle val="lineMarker"/>
        <c:varyColors val="0"/>
        <c:ser>
          <c:idx val="0"/>
          <c:order val="0"/>
          <c:spPr>
            <a:ln w="28575">
              <a:noFill/>
            </a:ln>
          </c:spPr>
          <c:trendline>
            <c:trendlineType val="linear"/>
            <c:dispRSqr val="1"/>
            <c:dispEq val="1"/>
            <c:trendlineLbl>
              <c:layout>
                <c:manualLayout>
                  <c:x val="-0.21029352934995468"/>
                  <c:y val="-4.7949380788300945E-2"/>
                </c:manualLayout>
              </c:layout>
              <c:numFmt formatCode="General" sourceLinked="0"/>
            </c:trendlineLbl>
          </c:trendline>
          <c:xVal>
            <c:numRef>
              <c:f>'Labor Results Matrix'!$AR$71:$AR$74</c:f>
            </c:numRef>
          </c:xVal>
          <c:yVal>
            <c:numRef>
              <c:f>'Labor Results Matrix'!$AO$73:$AO$76</c:f>
              <c:numCache>
                <c:formatCode>General</c:formatCode>
                <c:ptCount val="4"/>
                <c:pt idx="0">
                  <c:v>3.3330000000000002</c:v>
                </c:pt>
                <c:pt idx="1">
                  <c:v>4</c:v>
                </c:pt>
                <c:pt idx="2">
                  <c:v>4.3479999999999999</c:v>
                </c:pt>
                <c:pt idx="3">
                  <c:v>4.7619999999999996</c:v>
                </c:pt>
              </c:numCache>
            </c:numRef>
          </c:yVal>
          <c:smooth val="0"/>
        </c:ser>
        <c:dLbls>
          <c:showLegendKey val="0"/>
          <c:showVal val="0"/>
          <c:showCatName val="0"/>
          <c:showSerName val="0"/>
          <c:showPercent val="0"/>
          <c:showBubbleSize val="0"/>
        </c:dLbls>
        <c:axId val="131877888"/>
        <c:axId val="131884160"/>
      </c:scatterChart>
      <c:valAx>
        <c:axId val="131877888"/>
        <c:scaling>
          <c:orientation val="minMax"/>
        </c:scaling>
        <c:delete val="0"/>
        <c:axPos val="b"/>
        <c:title>
          <c:tx>
            <c:rich>
              <a:bodyPr/>
              <a:lstStyle/>
              <a:p>
                <a:pPr>
                  <a:defRPr/>
                </a:pPr>
                <a:r>
                  <a:rPr lang="en-US"/>
                  <a:t>HP</a:t>
                </a:r>
              </a:p>
            </c:rich>
          </c:tx>
          <c:overlay val="0"/>
        </c:title>
        <c:numFmt formatCode="General" sourceLinked="1"/>
        <c:majorTickMark val="out"/>
        <c:minorTickMark val="none"/>
        <c:tickLblPos val="nextTo"/>
        <c:crossAx val="131884160"/>
        <c:crosses val="autoZero"/>
        <c:crossBetween val="midCat"/>
      </c:valAx>
      <c:valAx>
        <c:axId val="131884160"/>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31877888"/>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trendline>
            <c:trendlineType val="linear"/>
            <c:dispRSqr val="1"/>
            <c:dispEq val="1"/>
            <c:trendlineLbl>
              <c:layout>
                <c:manualLayout>
                  <c:x val="-8.2381671041119639E-2"/>
                  <c:y val="-1.4363517060367481E-2"/>
                </c:manualLayout>
              </c:layout>
              <c:numFmt formatCode="General" sourceLinked="0"/>
            </c:trendlineLbl>
          </c:trendline>
          <c:xVal>
            <c:numRef>
              <c:f>'Labor Results Matrix'!$AQ$375:$AQ$378</c:f>
            </c:numRef>
          </c:xVal>
          <c:yVal>
            <c:numRef>
              <c:f>'Labor Results Matrix'!$AO$377:$AO$380</c:f>
              <c:numCache>
                <c:formatCode>General</c:formatCode>
                <c:ptCount val="4"/>
                <c:pt idx="0">
                  <c:v>20</c:v>
                </c:pt>
                <c:pt idx="1">
                  <c:v>20</c:v>
                </c:pt>
                <c:pt idx="2">
                  <c:v>22.856999999999999</c:v>
                </c:pt>
                <c:pt idx="3">
                  <c:v>26.667000000000002</c:v>
                </c:pt>
              </c:numCache>
            </c:numRef>
          </c:yVal>
          <c:smooth val="0"/>
        </c:ser>
        <c:dLbls>
          <c:showLegendKey val="0"/>
          <c:showVal val="0"/>
          <c:showCatName val="0"/>
          <c:showSerName val="0"/>
          <c:showPercent val="0"/>
          <c:showBubbleSize val="0"/>
        </c:dLbls>
        <c:axId val="131917696"/>
        <c:axId val="131989504"/>
      </c:scatterChart>
      <c:valAx>
        <c:axId val="131917696"/>
        <c:scaling>
          <c:orientation val="minMax"/>
        </c:scaling>
        <c:delete val="0"/>
        <c:axPos val="b"/>
        <c:title>
          <c:tx>
            <c:rich>
              <a:bodyPr/>
              <a:lstStyle/>
              <a:p>
                <a:pPr>
                  <a:defRPr/>
                </a:pPr>
                <a:r>
                  <a:rPr lang="en-US"/>
                  <a:t>MBH</a:t>
                </a:r>
              </a:p>
            </c:rich>
          </c:tx>
          <c:overlay val="0"/>
        </c:title>
        <c:numFmt formatCode="General" sourceLinked="1"/>
        <c:majorTickMark val="out"/>
        <c:minorTickMark val="none"/>
        <c:tickLblPos val="nextTo"/>
        <c:crossAx val="131989504"/>
        <c:crosses val="autoZero"/>
        <c:crossBetween val="midCat"/>
      </c:valAx>
      <c:valAx>
        <c:axId val="131989504"/>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31917696"/>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trendline>
            <c:trendlineType val="linear"/>
            <c:dispRSqr val="1"/>
            <c:dispEq val="1"/>
            <c:trendlineLbl>
              <c:layout>
                <c:manualLayout>
                  <c:x val="-0.12404235796931322"/>
                  <c:y val="6.9620578565447525E-2"/>
                </c:manualLayout>
              </c:layout>
              <c:numFmt formatCode="General" sourceLinked="0"/>
            </c:trendlineLbl>
          </c:trendline>
          <c:xVal>
            <c:numRef>
              <c:f>('Labor Results Matrix'!$AQ$159:$AQ$165,'Labor Results Matrix'!$AQ$176:$AQ$186)</c:f>
            </c:numRef>
          </c:xVal>
          <c:yVal>
            <c:numRef>
              <c:f>('Labor Results Matrix'!$AO$161:$AO$167,'Labor Results Matrix'!$AO$178:$AO$188)</c:f>
              <c:numCache>
                <c:formatCode>General</c:formatCode>
                <c:ptCount val="18"/>
                <c:pt idx="0">
                  <c:v>6.4</c:v>
                </c:pt>
                <c:pt idx="1">
                  <c:v>7.6189999999999998</c:v>
                </c:pt>
                <c:pt idx="2">
                  <c:v>9.4120000000000008</c:v>
                </c:pt>
                <c:pt idx="3">
                  <c:v>12.308</c:v>
                </c:pt>
                <c:pt idx="4">
                  <c:v>14.545</c:v>
                </c:pt>
                <c:pt idx="5">
                  <c:v>17.777999999999999</c:v>
                </c:pt>
                <c:pt idx="6">
                  <c:v>26.667000000000002</c:v>
                </c:pt>
                <c:pt idx="7">
                  <c:v>29.091000000000001</c:v>
                </c:pt>
                <c:pt idx="8">
                  <c:v>32</c:v>
                </c:pt>
                <c:pt idx="9">
                  <c:v>40</c:v>
                </c:pt>
                <c:pt idx="10">
                  <c:v>60</c:v>
                </c:pt>
                <c:pt idx="11">
                  <c:v>68.570999999999998</c:v>
                </c:pt>
                <c:pt idx="12">
                  <c:v>80</c:v>
                </c:pt>
                <c:pt idx="13">
                  <c:v>120</c:v>
                </c:pt>
                <c:pt idx="14">
                  <c:v>133</c:v>
                </c:pt>
                <c:pt idx="15">
                  <c:v>150</c:v>
                </c:pt>
                <c:pt idx="16">
                  <c:v>200</c:v>
                </c:pt>
                <c:pt idx="17">
                  <c:v>266</c:v>
                </c:pt>
              </c:numCache>
            </c:numRef>
          </c:yVal>
          <c:smooth val="0"/>
        </c:ser>
        <c:ser>
          <c:idx val="1"/>
          <c:order val="1"/>
          <c:spPr>
            <a:ln w="28575">
              <a:noFill/>
            </a:ln>
          </c:spPr>
          <c:trendline>
            <c:trendlineType val="linear"/>
            <c:dispRSqr val="0"/>
            <c:dispEq val="1"/>
            <c:trendlineLbl>
              <c:layout>
                <c:manualLayout>
                  <c:x val="8.1052649026747192E-2"/>
                  <c:y val="0.10470822929147312"/>
                </c:manualLayout>
              </c:layout>
              <c:numFmt formatCode="General" sourceLinked="0"/>
            </c:trendlineLbl>
          </c:trendline>
          <c:xVal>
            <c:numRef>
              <c:f>'Labor Results Matrix'!$BG$169:$BG$170</c:f>
            </c:numRef>
          </c:xVal>
          <c:yVal>
            <c:numRef>
              <c:f>'Labor Results Matrix'!$BI$169:$BI$170</c:f>
            </c:numRef>
          </c:yVal>
          <c:smooth val="0"/>
        </c:ser>
        <c:ser>
          <c:idx val="2"/>
          <c:order val="2"/>
          <c:spPr>
            <a:ln w="28575">
              <a:noFill/>
            </a:ln>
          </c:spPr>
          <c:trendline>
            <c:trendlineType val="linear"/>
            <c:dispRSqr val="1"/>
            <c:dispEq val="1"/>
            <c:trendlineLbl>
              <c:layout>
                <c:manualLayout>
                  <c:x val="0.20591079114431132"/>
                  <c:y val="2.0049398899874817E-2"/>
                </c:manualLayout>
              </c:layout>
              <c:numFmt formatCode="General" sourceLinked="0"/>
            </c:trendlineLbl>
          </c:trendline>
          <c:xVal>
            <c:numRef>
              <c:f>'Labor Results Matrix'!$BG$172:$BG$176</c:f>
            </c:numRef>
          </c:xVal>
          <c:yVal>
            <c:numRef>
              <c:f>'Labor Results Matrix'!$BI$172:$BI$176</c:f>
            </c:numRef>
          </c:yVal>
          <c:smooth val="0"/>
        </c:ser>
        <c:dLbls>
          <c:showLegendKey val="0"/>
          <c:showVal val="0"/>
          <c:showCatName val="0"/>
          <c:showSerName val="0"/>
          <c:showPercent val="0"/>
          <c:showBubbleSize val="0"/>
        </c:dLbls>
        <c:axId val="132026368"/>
        <c:axId val="132028288"/>
      </c:scatterChart>
      <c:valAx>
        <c:axId val="132026368"/>
        <c:scaling>
          <c:orientation val="minMax"/>
        </c:scaling>
        <c:delete val="0"/>
        <c:axPos val="b"/>
        <c:title>
          <c:tx>
            <c:rich>
              <a:bodyPr/>
              <a:lstStyle/>
              <a:p>
                <a:pPr>
                  <a:defRPr/>
                </a:pPr>
                <a:r>
                  <a:rPr lang="en-US"/>
                  <a:t>Tons</a:t>
                </a:r>
              </a:p>
            </c:rich>
          </c:tx>
          <c:overlay val="0"/>
        </c:title>
        <c:numFmt formatCode="General" sourceLinked="1"/>
        <c:majorTickMark val="out"/>
        <c:minorTickMark val="none"/>
        <c:tickLblPos val="nextTo"/>
        <c:crossAx val="132028288"/>
        <c:crosses val="autoZero"/>
        <c:crossBetween val="midCat"/>
      </c:valAx>
      <c:valAx>
        <c:axId val="132028288"/>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32026368"/>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trendline>
            <c:trendlineType val="linear"/>
            <c:dispRSqr val="1"/>
            <c:dispEq val="1"/>
            <c:trendlineLbl>
              <c:layout>
                <c:manualLayout>
                  <c:x val="-0.12129428945793605"/>
                  <c:y val="-4.3077063283756177E-2"/>
                </c:manualLayout>
              </c:layout>
              <c:numFmt formatCode="General" sourceLinked="0"/>
            </c:trendlineLbl>
          </c:trendline>
          <c:xVal>
            <c:numRef>
              <c:f>'Labor Results Matrix'!$AQ$176:$AQ$186</c:f>
            </c:numRef>
          </c:xVal>
          <c:yVal>
            <c:numRef>
              <c:f>'Labor Results Matrix'!$AO$178:$AO$188</c:f>
              <c:numCache>
                <c:formatCode>General</c:formatCode>
                <c:ptCount val="11"/>
                <c:pt idx="0">
                  <c:v>29.091000000000001</c:v>
                </c:pt>
                <c:pt idx="1">
                  <c:v>32</c:v>
                </c:pt>
                <c:pt idx="2">
                  <c:v>40</c:v>
                </c:pt>
                <c:pt idx="3">
                  <c:v>60</c:v>
                </c:pt>
                <c:pt idx="4">
                  <c:v>68.570999999999998</c:v>
                </c:pt>
                <c:pt idx="5">
                  <c:v>80</c:v>
                </c:pt>
                <c:pt idx="6">
                  <c:v>120</c:v>
                </c:pt>
                <c:pt idx="7">
                  <c:v>133</c:v>
                </c:pt>
                <c:pt idx="8">
                  <c:v>150</c:v>
                </c:pt>
                <c:pt idx="9">
                  <c:v>200</c:v>
                </c:pt>
                <c:pt idx="10">
                  <c:v>266</c:v>
                </c:pt>
              </c:numCache>
            </c:numRef>
          </c:yVal>
          <c:smooth val="0"/>
        </c:ser>
        <c:dLbls>
          <c:showLegendKey val="0"/>
          <c:showVal val="0"/>
          <c:showCatName val="0"/>
          <c:showSerName val="0"/>
          <c:showPercent val="0"/>
          <c:showBubbleSize val="0"/>
        </c:dLbls>
        <c:axId val="154314624"/>
        <c:axId val="154324992"/>
      </c:scatterChart>
      <c:valAx>
        <c:axId val="154314624"/>
        <c:scaling>
          <c:orientation val="minMax"/>
        </c:scaling>
        <c:delete val="0"/>
        <c:axPos val="b"/>
        <c:title>
          <c:tx>
            <c:rich>
              <a:bodyPr/>
              <a:lstStyle/>
              <a:p>
                <a:pPr>
                  <a:defRPr/>
                </a:pPr>
                <a:r>
                  <a:rPr lang="en-US"/>
                  <a:t>Tons</a:t>
                </a:r>
              </a:p>
            </c:rich>
          </c:tx>
          <c:overlay val="0"/>
        </c:title>
        <c:numFmt formatCode="General" sourceLinked="1"/>
        <c:majorTickMark val="out"/>
        <c:minorTickMark val="none"/>
        <c:tickLblPos val="nextTo"/>
        <c:crossAx val="154324992"/>
        <c:crosses val="autoZero"/>
        <c:crossBetween val="midCat"/>
      </c:valAx>
      <c:valAx>
        <c:axId val="154324992"/>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54314624"/>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trendline>
            <c:trendlineType val="linear"/>
            <c:dispRSqr val="1"/>
            <c:dispEq val="1"/>
            <c:trendlineLbl>
              <c:layout>
                <c:manualLayout>
                  <c:x val="-0.1201200787401577"/>
                  <c:y val="2.8720107903178776E-2"/>
                </c:manualLayout>
              </c:layout>
              <c:numFmt formatCode="General" sourceLinked="0"/>
            </c:trendlineLbl>
          </c:trendline>
          <c:xVal>
            <c:numRef>
              <c:f>'Labor Results Matrix'!$AQ$54:$AQ$57</c:f>
            </c:numRef>
          </c:xVal>
          <c:yVal>
            <c:numRef>
              <c:f>'Labor Results Matrix'!$AR$54:$AR$57</c:f>
            </c:numRef>
          </c:yVal>
          <c:smooth val="0"/>
        </c:ser>
        <c:dLbls>
          <c:showLegendKey val="0"/>
          <c:showVal val="0"/>
          <c:showCatName val="0"/>
          <c:showSerName val="0"/>
          <c:showPercent val="0"/>
          <c:showBubbleSize val="0"/>
        </c:dLbls>
        <c:axId val="154378624"/>
        <c:axId val="154380544"/>
      </c:scatterChart>
      <c:valAx>
        <c:axId val="154378624"/>
        <c:scaling>
          <c:orientation val="minMax"/>
        </c:scaling>
        <c:delete val="0"/>
        <c:axPos val="b"/>
        <c:title>
          <c:tx>
            <c:rich>
              <a:bodyPr/>
              <a:lstStyle/>
              <a:p>
                <a:pPr>
                  <a:defRPr/>
                </a:pPr>
                <a:r>
                  <a:rPr lang="en-US"/>
                  <a:t>Tons</a:t>
                </a:r>
              </a:p>
            </c:rich>
          </c:tx>
          <c:overlay val="0"/>
        </c:title>
        <c:numFmt formatCode="General" sourceLinked="1"/>
        <c:majorTickMark val="out"/>
        <c:minorTickMark val="none"/>
        <c:tickLblPos val="nextTo"/>
        <c:crossAx val="154380544"/>
        <c:crosses val="autoZero"/>
        <c:crossBetween val="midCat"/>
      </c:valAx>
      <c:valAx>
        <c:axId val="154380544"/>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54378624"/>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trendline>
            <c:trendlineType val="exp"/>
            <c:dispRSqr val="1"/>
            <c:dispEq val="1"/>
            <c:trendlineLbl>
              <c:numFmt formatCode="General" sourceLinked="0"/>
            </c:trendlineLbl>
          </c:trendline>
          <c:xVal>
            <c:numRef>
              <c:f>'Labor Results Matrix'!$AQ$130:$AQ$141</c:f>
            </c:numRef>
          </c:xVal>
          <c:yVal>
            <c:numRef>
              <c:f>'Labor Results Matrix'!$AO$132:$AO$143</c:f>
              <c:numCache>
                <c:formatCode>General</c:formatCode>
                <c:ptCount val="12"/>
                <c:pt idx="0">
                  <c:v>3.2</c:v>
                </c:pt>
                <c:pt idx="1">
                  <c:v>3.556</c:v>
                </c:pt>
                <c:pt idx="2">
                  <c:v>4</c:v>
                </c:pt>
                <c:pt idx="3">
                  <c:v>4.444</c:v>
                </c:pt>
                <c:pt idx="4">
                  <c:v>5</c:v>
                </c:pt>
                <c:pt idx="5">
                  <c:v>5.3330000000000002</c:v>
                </c:pt>
                <c:pt idx="6">
                  <c:v>5.7140000000000004</c:v>
                </c:pt>
                <c:pt idx="7">
                  <c:v>6.1539999999999999</c:v>
                </c:pt>
                <c:pt idx="8">
                  <c:v>7.2729999999999997</c:v>
                </c:pt>
                <c:pt idx="9">
                  <c:v>8.8889999999999993</c:v>
                </c:pt>
                <c:pt idx="10">
                  <c:v>11.429</c:v>
                </c:pt>
                <c:pt idx="11">
                  <c:v>16</c:v>
                </c:pt>
              </c:numCache>
            </c:numRef>
          </c:yVal>
          <c:smooth val="0"/>
        </c:ser>
        <c:dLbls>
          <c:showLegendKey val="0"/>
          <c:showVal val="0"/>
          <c:showCatName val="0"/>
          <c:showSerName val="0"/>
          <c:showPercent val="0"/>
          <c:showBubbleSize val="0"/>
        </c:dLbls>
        <c:axId val="154389504"/>
        <c:axId val="154424448"/>
      </c:scatterChart>
      <c:valAx>
        <c:axId val="154389504"/>
        <c:scaling>
          <c:orientation val="minMax"/>
        </c:scaling>
        <c:delete val="0"/>
        <c:axPos val="b"/>
        <c:title>
          <c:tx>
            <c:rich>
              <a:bodyPr/>
              <a:lstStyle/>
              <a:p>
                <a:pPr>
                  <a:defRPr/>
                </a:pPr>
                <a:r>
                  <a:rPr lang="en-US"/>
                  <a:t>Ton equivalent</a:t>
                </a:r>
              </a:p>
            </c:rich>
          </c:tx>
          <c:overlay val="0"/>
        </c:title>
        <c:numFmt formatCode="General" sourceLinked="1"/>
        <c:majorTickMark val="out"/>
        <c:minorTickMark val="none"/>
        <c:tickLblPos val="nextTo"/>
        <c:crossAx val="154424448"/>
        <c:crosses val="autoZero"/>
        <c:crossBetween val="midCat"/>
      </c:valAx>
      <c:valAx>
        <c:axId val="154424448"/>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54389504"/>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trendline>
            <c:trendlineType val="exp"/>
            <c:dispRSqr val="1"/>
            <c:dispEq val="1"/>
            <c:trendlineLbl>
              <c:layout>
                <c:manualLayout>
                  <c:x val="-0.15298665791776056"/>
                  <c:y val="-9.733887430737824E-3"/>
                </c:manualLayout>
              </c:layout>
              <c:numFmt formatCode="General" sourceLinked="0"/>
            </c:trendlineLbl>
          </c:trendline>
          <c:xVal>
            <c:numRef>
              <c:f>'Labor Results Matrix'!$AQ$159:$AQ$165</c:f>
            </c:numRef>
          </c:xVal>
          <c:yVal>
            <c:numRef>
              <c:f>'Labor Results Matrix'!$AO$161:$AO$167</c:f>
              <c:numCache>
                <c:formatCode>General</c:formatCode>
                <c:ptCount val="7"/>
                <c:pt idx="0">
                  <c:v>6.4</c:v>
                </c:pt>
                <c:pt idx="1">
                  <c:v>7.6189999999999998</c:v>
                </c:pt>
                <c:pt idx="2">
                  <c:v>9.4120000000000008</c:v>
                </c:pt>
                <c:pt idx="3">
                  <c:v>12.308</c:v>
                </c:pt>
                <c:pt idx="4">
                  <c:v>14.545</c:v>
                </c:pt>
                <c:pt idx="5">
                  <c:v>17.777999999999999</c:v>
                </c:pt>
                <c:pt idx="6">
                  <c:v>26.667000000000002</c:v>
                </c:pt>
              </c:numCache>
            </c:numRef>
          </c:yVal>
          <c:smooth val="0"/>
        </c:ser>
        <c:dLbls>
          <c:showLegendKey val="0"/>
          <c:showVal val="0"/>
          <c:showCatName val="0"/>
          <c:showSerName val="0"/>
          <c:showPercent val="0"/>
          <c:showBubbleSize val="0"/>
        </c:dLbls>
        <c:axId val="154461312"/>
        <c:axId val="154463232"/>
      </c:scatterChart>
      <c:valAx>
        <c:axId val="154461312"/>
        <c:scaling>
          <c:orientation val="minMax"/>
        </c:scaling>
        <c:delete val="0"/>
        <c:axPos val="b"/>
        <c:title>
          <c:tx>
            <c:rich>
              <a:bodyPr/>
              <a:lstStyle/>
              <a:p>
                <a:pPr>
                  <a:defRPr/>
                </a:pPr>
                <a:r>
                  <a:rPr lang="en-US"/>
                  <a:t>Tons</a:t>
                </a:r>
              </a:p>
            </c:rich>
          </c:tx>
          <c:overlay val="0"/>
        </c:title>
        <c:numFmt formatCode="General" sourceLinked="1"/>
        <c:majorTickMark val="out"/>
        <c:minorTickMark val="none"/>
        <c:tickLblPos val="nextTo"/>
        <c:crossAx val="154463232"/>
        <c:crosses val="autoZero"/>
        <c:crossBetween val="midCat"/>
      </c:valAx>
      <c:valAx>
        <c:axId val="154463232"/>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54461312"/>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Screw compressor</a:t>
            </a:r>
          </a:p>
        </c:rich>
      </c:tx>
      <c:overlay val="0"/>
    </c:title>
    <c:autoTitleDeleted val="0"/>
    <c:plotArea>
      <c:layout/>
      <c:scatterChart>
        <c:scatterStyle val="lineMarker"/>
        <c:varyColors val="0"/>
        <c:ser>
          <c:idx val="0"/>
          <c:order val="0"/>
          <c:spPr>
            <a:ln w="28575">
              <a:noFill/>
            </a:ln>
          </c:spPr>
          <c:trendline>
            <c:trendlineType val="linear"/>
            <c:dispRSqr val="1"/>
            <c:dispEq val="1"/>
            <c:trendlineLbl>
              <c:layout>
                <c:manualLayout>
                  <c:x val="-3.2636811316219767E-2"/>
                  <c:y val="0.13276428960000394"/>
                </c:manualLayout>
              </c:layout>
              <c:numFmt formatCode="General" sourceLinked="0"/>
            </c:trendlineLbl>
          </c:trendline>
          <c:xVal>
            <c:numRef>
              <c:f>'Labor Results Matrix'!$AQ$194:$AQ$199</c:f>
            </c:numRef>
          </c:xVal>
          <c:yVal>
            <c:numRef>
              <c:f>'Labor Results Matrix'!$AO$196:$AO$201</c:f>
              <c:numCache>
                <c:formatCode>General</c:formatCode>
                <c:ptCount val="6"/>
                <c:pt idx="0">
                  <c:v>228</c:v>
                </c:pt>
                <c:pt idx="1">
                  <c:v>246</c:v>
                </c:pt>
                <c:pt idx="2">
                  <c:v>250</c:v>
                </c:pt>
                <c:pt idx="3">
                  <c:v>258</c:v>
                </c:pt>
                <c:pt idx="4">
                  <c:v>266</c:v>
                </c:pt>
                <c:pt idx="5">
                  <c:v>275</c:v>
                </c:pt>
              </c:numCache>
            </c:numRef>
          </c:yVal>
          <c:smooth val="0"/>
        </c:ser>
        <c:dLbls>
          <c:showLegendKey val="0"/>
          <c:showVal val="0"/>
          <c:showCatName val="0"/>
          <c:showSerName val="0"/>
          <c:showPercent val="0"/>
          <c:showBubbleSize val="0"/>
        </c:dLbls>
        <c:axId val="98380800"/>
        <c:axId val="98428032"/>
      </c:scatterChart>
      <c:valAx>
        <c:axId val="98380800"/>
        <c:scaling>
          <c:orientation val="minMax"/>
        </c:scaling>
        <c:delete val="0"/>
        <c:axPos val="b"/>
        <c:title>
          <c:tx>
            <c:rich>
              <a:bodyPr/>
              <a:lstStyle/>
              <a:p>
                <a:pPr>
                  <a:defRPr/>
                </a:pPr>
                <a:r>
                  <a:rPr lang="en-US"/>
                  <a:t>Tons</a:t>
                </a:r>
              </a:p>
            </c:rich>
          </c:tx>
          <c:overlay val="0"/>
        </c:title>
        <c:numFmt formatCode="General" sourceLinked="1"/>
        <c:majorTickMark val="out"/>
        <c:minorTickMark val="none"/>
        <c:tickLblPos val="nextTo"/>
        <c:crossAx val="98428032"/>
        <c:crosses val="autoZero"/>
        <c:crossBetween val="midCat"/>
      </c:valAx>
      <c:valAx>
        <c:axId val="98428032"/>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98380800"/>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Scroll compressor</a:t>
            </a:r>
          </a:p>
        </c:rich>
      </c:tx>
      <c:overlay val="0"/>
    </c:title>
    <c:autoTitleDeleted val="0"/>
    <c:plotArea>
      <c:layout/>
      <c:scatterChart>
        <c:scatterStyle val="lineMarker"/>
        <c:varyColors val="0"/>
        <c:ser>
          <c:idx val="0"/>
          <c:order val="0"/>
          <c:spPr>
            <a:ln w="28575">
              <a:noFill/>
            </a:ln>
          </c:spPr>
          <c:trendline>
            <c:trendlineType val="linear"/>
            <c:dispRSqr val="1"/>
            <c:dispEq val="1"/>
            <c:trendlineLbl>
              <c:layout>
                <c:manualLayout>
                  <c:x val="-3.2636811316219767E-2"/>
                  <c:y val="0.13276428960000394"/>
                </c:manualLayout>
              </c:layout>
              <c:numFmt formatCode="General" sourceLinked="0"/>
            </c:trendlineLbl>
          </c:trendline>
          <c:xVal>
            <c:numRef>
              <c:f>'Labor Results Matrix'!$AQ$200:$AQ$208</c:f>
            </c:numRef>
          </c:xVal>
          <c:yVal>
            <c:numRef>
              <c:f>'Labor Results Matrix'!$AO$202:$AO$210</c:f>
              <c:numCache>
                <c:formatCode>General</c:formatCode>
                <c:ptCount val="9"/>
                <c:pt idx="0">
                  <c:v>94.117999999999995</c:v>
                </c:pt>
                <c:pt idx="1">
                  <c:v>94.117999999999995</c:v>
                </c:pt>
                <c:pt idx="2">
                  <c:v>94.117999999999995</c:v>
                </c:pt>
                <c:pt idx="3">
                  <c:v>94.117999999999995</c:v>
                </c:pt>
                <c:pt idx="4">
                  <c:v>101</c:v>
                </c:pt>
                <c:pt idx="5">
                  <c:v>104</c:v>
                </c:pt>
                <c:pt idx="6">
                  <c:v>108</c:v>
                </c:pt>
                <c:pt idx="7">
                  <c:v>109</c:v>
                </c:pt>
                <c:pt idx="8">
                  <c:v>113</c:v>
                </c:pt>
              </c:numCache>
            </c:numRef>
          </c:yVal>
          <c:smooth val="0"/>
        </c:ser>
        <c:dLbls>
          <c:showLegendKey val="0"/>
          <c:showVal val="0"/>
          <c:showCatName val="0"/>
          <c:showSerName val="0"/>
          <c:showPercent val="0"/>
          <c:showBubbleSize val="0"/>
        </c:dLbls>
        <c:axId val="149518208"/>
        <c:axId val="149524480"/>
      </c:scatterChart>
      <c:valAx>
        <c:axId val="149518208"/>
        <c:scaling>
          <c:orientation val="minMax"/>
        </c:scaling>
        <c:delete val="0"/>
        <c:axPos val="b"/>
        <c:title>
          <c:tx>
            <c:rich>
              <a:bodyPr/>
              <a:lstStyle/>
              <a:p>
                <a:pPr>
                  <a:defRPr/>
                </a:pPr>
                <a:r>
                  <a:rPr lang="en-US"/>
                  <a:t>Tons</a:t>
                </a:r>
              </a:p>
            </c:rich>
          </c:tx>
          <c:overlay val="0"/>
        </c:title>
        <c:numFmt formatCode="General" sourceLinked="1"/>
        <c:majorTickMark val="out"/>
        <c:minorTickMark val="none"/>
        <c:tickLblPos val="nextTo"/>
        <c:crossAx val="149524480"/>
        <c:crosses val="autoZero"/>
        <c:crossBetween val="midCat"/>
      </c:valAx>
      <c:valAx>
        <c:axId val="149524480"/>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49518208"/>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Screw compressor</a:t>
            </a:r>
          </a:p>
        </c:rich>
      </c:tx>
      <c:overlay val="0"/>
    </c:title>
    <c:autoTitleDeleted val="0"/>
    <c:plotArea>
      <c:layout/>
      <c:scatterChart>
        <c:scatterStyle val="lineMarker"/>
        <c:varyColors val="0"/>
        <c:ser>
          <c:idx val="0"/>
          <c:order val="0"/>
          <c:spPr>
            <a:ln w="28575">
              <a:noFill/>
            </a:ln>
          </c:spPr>
          <c:trendline>
            <c:trendlineType val="linear"/>
            <c:dispRSqr val="1"/>
            <c:dispEq val="1"/>
            <c:trendlineLbl>
              <c:layout>
                <c:manualLayout>
                  <c:x val="-3.2636811316219767E-2"/>
                  <c:y val="0.13276428960000394"/>
                </c:manualLayout>
              </c:layout>
              <c:numFmt formatCode="General" sourceLinked="0"/>
            </c:trendlineLbl>
          </c:trendline>
          <c:xVal>
            <c:numRef>
              <c:f>'Labor Results Matrix'!$AQ$219:$AQ$225</c:f>
            </c:numRef>
          </c:xVal>
          <c:yVal>
            <c:numRef>
              <c:f>'Labor Results Matrix'!$AO$221:$AO$227</c:f>
              <c:numCache>
                <c:formatCode>General</c:formatCode>
                <c:ptCount val="7"/>
                <c:pt idx="0">
                  <c:v>223</c:v>
                </c:pt>
                <c:pt idx="1">
                  <c:v>230</c:v>
                </c:pt>
                <c:pt idx="2">
                  <c:v>240</c:v>
                </c:pt>
                <c:pt idx="3">
                  <c:v>251</c:v>
                </c:pt>
                <c:pt idx="4">
                  <c:v>260</c:v>
                </c:pt>
                <c:pt idx="5">
                  <c:v>266</c:v>
                </c:pt>
                <c:pt idx="6">
                  <c:v>275</c:v>
                </c:pt>
              </c:numCache>
            </c:numRef>
          </c:yVal>
          <c:smooth val="0"/>
        </c:ser>
        <c:dLbls>
          <c:showLegendKey val="0"/>
          <c:showVal val="0"/>
          <c:showCatName val="0"/>
          <c:showSerName val="0"/>
          <c:showPercent val="0"/>
          <c:showBubbleSize val="0"/>
        </c:dLbls>
        <c:axId val="114979584"/>
        <c:axId val="114981504"/>
      </c:scatterChart>
      <c:valAx>
        <c:axId val="114979584"/>
        <c:scaling>
          <c:orientation val="minMax"/>
        </c:scaling>
        <c:delete val="0"/>
        <c:axPos val="b"/>
        <c:title>
          <c:tx>
            <c:rich>
              <a:bodyPr/>
              <a:lstStyle/>
              <a:p>
                <a:pPr>
                  <a:defRPr/>
                </a:pPr>
                <a:r>
                  <a:rPr lang="en-US"/>
                  <a:t>Tons</a:t>
                </a:r>
              </a:p>
            </c:rich>
          </c:tx>
          <c:overlay val="0"/>
        </c:title>
        <c:numFmt formatCode="General" sourceLinked="1"/>
        <c:majorTickMark val="out"/>
        <c:minorTickMark val="none"/>
        <c:tickLblPos val="nextTo"/>
        <c:crossAx val="114981504"/>
        <c:crosses val="autoZero"/>
        <c:crossBetween val="midCat"/>
      </c:valAx>
      <c:valAx>
        <c:axId val="114981504"/>
        <c:scaling>
          <c:orientation val="minMax"/>
        </c:scaling>
        <c:delete val="0"/>
        <c:axPos val="l"/>
        <c:majorGridlines/>
        <c:title>
          <c:tx>
            <c:rich>
              <a:bodyPr rot="-5400000" vert="horz"/>
              <a:lstStyle/>
              <a:p>
                <a:pPr>
                  <a:defRPr/>
                </a:pPr>
                <a:r>
                  <a:rPr lang="en-US"/>
                  <a:t>Labor hours</a:t>
                </a:r>
              </a:p>
            </c:rich>
          </c:tx>
          <c:overlay val="0"/>
        </c:title>
        <c:numFmt formatCode="General" sourceLinked="1"/>
        <c:majorTickMark val="out"/>
        <c:minorTickMark val="none"/>
        <c:tickLblPos val="nextTo"/>
        <c:crossAx val="114979584"/>
        <c:crosses val="autoZero"/>
        <c:crossBetween val="midCat"/>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media/image9.png"/><Relationship Id="rId1" Type="http://schemas.openxmlformats.org/officeDocument/2006/relationships/image" Target="../media/image8.jpeg"/><Relationship Id="rId4" Type="http://schemas.openxmlformats.org/officeDocument/2006/relationships/image" Target="../media/image11.jpeg"/></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 Id="rId4"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52</xdr:row>
      <xdr:rowOff>33891</xdr:rowOff>
    </xdr:to>
    <xdr:grpSp>
      <xdr:nvGrpSpPr>
        <xdr:cNvPr id="2" name="Group 1"/>
        <xdr:cNvGrpSpPr/>
      </xdr:nvGrpSpPr>
      <xdr:grpSpPr>
        <a:xfrm>
          <a:off x="0" y="0"/>
          <a:ext cx="7515225" cy="10501866"/>
          <a:chOff x="0" y="0"/>
          <a:chExt cx="7572375" cy="10301841"/>
        </a:xfrm>
      </xdr:grpSpPr>
      <xdr:pic>
        <xdr:nvPicPr>
          <xdr:cNvPr id="3" name="Picture 2"/>
          <xdr:cNvPicPr/>
        </xdr:nvPicPr>
        <xdr:blipFill>
          <a:blip xmlns:r="http://schemas.openxmlformats.org/officeDocument/2006/relationships" r:embed="rId1" cstate="print"/>
          <a:srcRect b="88247"/>
          <a:stretch>
            <a:fillRect/>
          </a:stretch>
        </xdr:blipFill>
        <xdr:spPr bwMode="auto">
          <a:xfrm>
            <a:off x="0" y="0"/>
            <a:ext cx="7352916" cy="1209675"/>
          </a:xfrm>
          <a:prstGeom prst="rect">
            <a:avLst/>
          </a:prstGeom>
          <a:noFill/>
          <a:ln w="9525">
            <a:noFill/>
            <a:miter lim="800000"/>
            <a:headEnd/>
            <a:tailEnd/>
          </a:ln>
        </xdr:spPr>
      </xdr:pic>
      <xdr:pic>
        <xdr:nvPicPr>
          <xdr:cNvPr id="4" name="Picture 3"/>
          <xdr:cNvPicPr/>
        </xdr:nvPicPr>
        <xdr:blipFill>
          <a:blip xmlns:r="http://schemas.openxmlformats.org/officeDocument/2006/relationships" r:embed="rId1" cstate="print"/>
          <a:srcRect t="11568" r="69947"/>
          <a:stretch>
            <a:fillRect/>
          </a:stretch>
        </xdr:blipFill>
        <xdr:spPr bwMode="auto">
          <a:xfrm>
            <a:off x="0" y="1200150"/>
            <a:ext cx="2209800" cy="9101691"/>
          </a:xfrm>
          <a:prstGeom prst="rect">
            <a:avLst/>
          </a:prstGeom>
          <a:noFill/>
          <a:ln w="9525">
            <a:noFill/>
            <a:miter lim="800000"/>
            <a:headEnd/>
            <a:tailEnd/>
          </a:ln>
        </xdr:spPr>
      </xdr:pic>
      <xdr:pic>
        <xdr:nvPicPr>
          <xdr:cNvPr id="5" name="Picture 4"/>
          <xdr:cNvPicPr/>
        </xdr:nvPicPr>
        <xdr:blipFill>
          <a:blip xmlns:r="http://schemas.openxmlformats.org/officeDocument/2006/relationships" r:embed="rId1" cstate="print"/>
          <a:srcRect l="34069" r="28882" b="88247"/>
          <a:stretch>
            <a:fillRect/>
          </a:stretch>
        </xdr:blipFill>
        <xdr:spPr bwMode="auto">
          <a:xfrm>
            <a:off x="7162802" y="0"/>
            <a:ext cx="409573" cy="1209675"/>
          </a:xfrm>
          <a:prstGeom prst="rect">
            <a:avLst/>
          </a:prstGeom>
          <a:noFill/>
          <a:ln w="9525">
            <a:noFill/>
            <a:miter lim="800000"/>
            <a:headEnd/>
            <a:tailEnd/>
          </a:ln>
        </xdr:spPr>
      </xdr:pic>
    </xdr:grpSp>
    <xdr:clientData/>
  </xdr:twoCellAnchor>
  <xdr:twoCellAnchor editAs="oneCell">
    <xdr:from>
      <xdr:col>13</xdr:col>
      <xdr:colOff>0</xdr:colOff>
      <xdr:row>0</xdr:row>
      <xdr:rowOff>0</xdr:rowOff>
    </xdr:from>
    <xdr:to>
      <xdr:col>25</xdr:col>
      <xdr:colOff>11206</xdr:colOff>
      <xdr:row>3</xdr:row>
      <xdr:rowOff>9421</xdr:rowOff>
    </xdr:to>
    <xdr:pic>
      <xdr:nvPicPr>
        <xdr:cNvPr id="7" name="Picture 6"/>
        <xdr:cNvPicPr>
          <a:picLocks noChangeAspect="1"/>
        </xdr:cNvPicPr>
      </xdr:nvPicPr>
      <xdr:blipFill rotWithShape="1">
        <a:blip xmlns:r="http://schemas.openxmlformats.org/officeDocument/2006/relationships" r:embed="rId2" cstate="print"/>
        <a:srcRect t="29889" r="2820"/>
        <a:stretch/>
      </xdr:blipFill>
      <xdr:spPr>
        <a:xfrm>
          <a:off x="0" y="10382250"/>
          <a:ext cx="7515225" cy="580921"/>
        </a:xfrm>
        <a:prstGeom prst="rect">
          <a:avLst/>
        </a:prstGeom>
      </xdr:spPr>
    </xdr:pic>
    <xdr:clientData/>
  </xdr:twoCellAnchor>
  <xdr:twoCellAnchor editAs="oneCell">
    <xdr:from>
      <xdr:col>0</xdr:col>
      <xdr:colOff>0</xdr:colOff>
      <xdr:row>53</xdr:row>
      <xdr:rowOff>0</xdr:rowOff>
    </xdr:from>
    <xdr:to>
      <xdr:col>12</xdr:col>
      <xdr:colOff>0</xdr:colOff>
      <xdr:row>56</xdr:row>
      <xdr:rowOff>9421</xdr:rowOff>
    </xdr:to>
    <xdr:pic>
      <xdr:nvPicPr>
        <xdr:cNvPr id="8" name="Picture 7"/>
        <xdr:cNvPicPr>
          <a:picLocks noChangeAspect="1"/>
        </xdr:cNvPicPr>
      </xdr:nvPicPr>
      <xdr:blipFill rotWithShape="1">
        <a:blip xmlns:r="http://schemas.openxmlformats.org/officeDocument/2006/relationships" r:embed="rId2" cstate="print"/>
        <a:srcRect t="29889" r="2820"/>
        <a:stretch/>
      </xdr:blipFill>
      <xdr:spPr>
        <a:xfrm>
          <a:off x="7676029" y="0"/>
          <a:ext cx="7463118" cy="58092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18</xdr:col>
          <xdr:colOff>133350</xdr:colOff>
          <xdr:row>37</xdr:row>
          <xdr:rowOff>142875</xdr:rowOff>
        </xdr:from>
        <xdr:to>
          <xdr:col>19</xdr:col>
          <xdr:colOff>438150</xdr:colOff>
          <xdr:row>41</xdr:row>
          <xdr:rowOff>66675</xdr:rowOff>
        </xdr:to>
        <xdr:sp macro="" textlink="">
          <xdr:nvSpPr>
            <xdr:cNvPr id="7175" name="Object 7" hidden="1">
              <a:extLst>
                <a:ext uri="{63B3BB69-23CF-44E3-9099-C40C66FF867C}">
                  <a14:compatExt spid="_x0000_s7175"/>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9525</xdr:colOff>
      <xdr:row>6</xdr:row>
      <xdr:rowOff>66675</xdr:rowOff>
    </xdr:to>
    <xdr:grpSp>
      <xdr:nvGrpSpPr>
        <xdr:cNvPr id="2" name="Group 1"/>
        <xdr:cNvGrpSpPr/>
      </xdr:nvGrpSpPr>
      <xdr:grpSpPr>
        <a:xfrm>
          <a:off x="0" y="0"/>
          <a:ext cx="8105775" cy="1209675"/>
          <a:chOff x="0" y="0"/>
          <a:chExt cx="7610475" cy="1209675"/>
        </a:xfrm>
      </xdr:grpSpPr>
      <xdr:pic>
        <xdr:nvPicPr>
          <xdr:cNvPr id="3" name="Picture 2"/>
          <xdr:cNvPicPr/>
        </xdr:nvPicPr>
        <xdr:blipFill>
          <a:blip xmlns:r="http://schemas.openxmlformats.org/officeDocument/2006/relationships" r:embed="rId1" cstate="print"/>
          <a:srcRect b="88247"/>
          <a:stretch>
            <a:fillRect/>
          </a:stretch>
        </xdr:blipFill>
        <xdr:spPr bwMode="auto">
          <a:xfrm>
            <a:off x="0" y="0"/>
            <a:ext cx="7396459" cy="1209675"/>
          </a:xfrm>
          <a:prstGeom prst="rect">
            <a:avLst/>
          </a:prstGeom>
          <a:noFill/>
          <a:ln w="9525">
            <a:noFill/>
            <a:miter lim="800000"/>
            <a:headEnd/>
            <a:tailEnd/>
          </a:ln>
        </xdr:spPr>
      </xdr:pic>
      <xdr:pic>
        <xdr:nvPicPr>
          <xdr:cNvPr id="4" name="Picture 3"/>
          <xdr:cNvPicPr/>
        </xdr:nvPicPr>
        <xdr:blipFill>
          <a:blip xmlns:r="http://schemas.openxmlformats.org/officeDocument/2006/relationships" r:embed="rId1" cstate="print"/>
          <a:srcRect l="34069" r="28882" b="88247"/>
          <a:stretch>
            <a:fillRect/>
          </a:stretch>
        </xdr:blipFill>
        <xdr:spPr bwMode="auto">
          <a:xfrm>
            <a:off x="7281867" y="0"/>
            <a:ext cx="328608" cy="1209675"/>
          </a:xfrm>
          <a:prstGeom prst="rect">
            <a:avLst/>
          </a:prstGeom>
          <a:noFill/>
          <a:ln w="9525">
            <a:noFill/>
            <a:miter lim="800000"/>
            <a:headEnd/>
            <a:tailEnd/>
          </a:ln>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28</xdr:col>
      <xdr:colOff>41462</xdr:colOff>
      <xdr:row>518</xdr:row>
      <xdr:rowOff>19050</xdr:rowOff>
    </xdr:from>
    <xdr:to>
      <xdr:col>28</xdr:col>
      <xdr:colOff>4986842</xdr:colOff>
      <xdr:row>531</xdr:row>
      <xdr:rowOff>142876</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32437668" y="5588374"/>
          <a:ext cx="4945380" cy="2600326"/>
        </a:xfrm>
        <a:prstGeom prst="rect">
          <a:avLst/>
        </a:prstGeom>
      </xdr:spPr>
    </xdr:pic>
    <xdr:clientData/>
  </xdr:twoCellAnchor>
  <xdr:twoCellAnchor editAs="oneCell">
    <xdr:from>
      <xdr:col>28</xdr:col>
      <xdr:colOff>49305</xdr:colOff>
      <xdr:row>6</xdr:row>
      <xdr:rowOff>30816</xdr:rowOff>
    </xdr:from>
    <xdr:to>
      <xdr:col>28</xdr:col>
      <xdr:colOff>4964206</xdr:colOff>
      <xdr:row>20</xdr:row>
      <xdr:rowOff>115641</xdr:rowOff>
    </xdr:to>
    <xdr:pic>
      <xdr:nvPicPr>
        <xdr:cNvPr id="4" name="Picture 3"/>
        <xdr:cNvPicPr>
          <a:picLocks noChangeAspect="1"/>
        </xdr:cNvPicPr>
      </xdr:nvPicPr>
      <xdr:blipFill>
        <a:blip xmlns:r="http://schemas.openxmlformats.org/officeDocument/2006/relationships" r:embed="rId2" cstate="print"/>
        <a:stretch>
          <a:fillRect/>
        </a:stretch>
      </xdr:blipFill>
      <xdr:spPr>
        <a:xfrm>
          <a:off x="32445511" y="1196228"/>
          <a:ext cx="4914901" cy="2751825"/>
        </a:xfrm>
        <a:prstGeom prst="rect">
          <a:avLst/>
        </a:prstGeom>
      </xdr:spPr>
    </xdr:pic>
    <xdr:clientData/>
  </xdr:twoCellAnchor>
  <xdr:twoCellAnchor editAs="oneCell">
    <xdr:from>
      <xdr:col>28</xdr:col>
      <xdr:colOff>44823</xdr:colOff>
      <xdr:row>57</xdr:row>
      <xdr:rowOff>56030</xdr:rowOff>
    </xdr:from>
    <xdr:to>
      <xdr:col>28</xdr:col>
      <xdr:colOff>5439783</xdr:colOff>
      <xdr:row>74</xdr:row>
      <xdr:rowOff>60065</xdr:rowOff>
    </xdr:to>
    <xdr:pic>
      <xdr:nvPicPr>
        <xdr:cNvPr id="8" name="Picture 7"/>
        <xdr:cNvPicPr>
          <a:picLocks noChangeAspect="1"/>
        </xdr:cNvPicPr>
      </xdr:nvPicPr>
      <xdr:blipFill>
        <a:blip xmlns:r="http://schemas.openxmlformats.org/officeDocument/2006/relationships" r:embed="rId3" cstate="print"/>
        <a:stretch>
          <a:fillRect/>
        </a:stretch>
      </xdr:blipFill>
      <xdr:spPr>
        <a:xfrm>
          <a:off x="32833235" y="106265383"/>
          <a:ext cx="5394960" cy="3253740"/>
        </a:xfrm>
        <a:prstGeom prst="rect">
          <a:avLst/>
        </a:prstGeom>
      </xdr:spPr>
    </xdr:pic>
    <xdr:clientData/>
  </xdr:twoCellAnchor>
  <xdr:twoCellAnchor editAs="oneCell">
    <xdr:from>
      <xdr:col>28</xdr:col>
      <xdr:colOff>56027</xdr:colOff>
      <xdr:row>29</xdr:row>
      <xdr:rowOff>44823</xdr:rowOff>
    </xdr:from>
    <xdr:to>
      <xdr:col>28</xdr:col>
      <xdr:colOff>5450987</xdr:colOff>
      <xdr:row>44</xdr:row>
      <xdr:rowOff>151503</xdr:rowOff>
    </xdr:to>
    <xdr:pic>
      <xdr:nvPicPr>
        <xdr:cNvPr id="9" name="Picture 8"/>
        <xdr:cNvPicPr>
          <a:picLocks noChangeAspect="1"/>
        </xdr:cNvPicPr>
      </xdr:nvPicPr>
      <xdr:blipFill>
        <a:blip xmlns:r="http://schemas.openxmlformats.org/officeDocument/2006/relationships" r:embed="rId4" cstate="print"/>
        <a:stretch>
          <a:fillRect/>
        </a:stretch>
      </xdr:blipFill>
      <xdr:spPr>
        <a:xfrm>
          <a:off x="32844439" y="101088264"/>
          <a:ext cx="5394960" cy="296418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28</xdr:col>
          <xdr:colOff>485775</xdr:colOff>
          <xdr:row>1024</xdr:row>
          <xdr:rowOff>180975</xdr:rowOff>
        </xdr:from>
        <xdr:to>
          <xdr:col>28</xdr:col>
          <xdr:colOff>1819275</xdr:colOff>
          <xdr:row>1030</xdr:row>
          <xdr:rowOff>38100</xdr:rowOff>
        </xdr:to>
        <xdr:sp macro="" textlink="">
          <xdr:nvSpPr>
            <xdr:cNvPr id="1840" name="Object 816" hidden="1">
              <a:extLst>
                <a:ext uri="{63B3BB69-23CF-44E3-9099-C40C66FF867C}">
                  <a14:compatExt spid="_x0000_s18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495300</xdr:colOff>
          <xdr:row>1031</xdr:row>
          <xdr:rowOff>9525</xdr:rowOff>
        </xdr:from>
        <xdr:to>
          <xdr:col>28</xdr:col>
          <xdr:colOff>1819275</xdr:colOff>
          <xdr:row>1036</xdr:row>
          <xdr:rowOff>57150</xdr:rowOff>
        </xdr:to>
        <xdr:sp macro="" textlink="">
          <xdr:nvSpPr>
            <xdr:cNvPr id="1841" name="Object 817" hidden="1">
              <a:extLst>
                <a:ext uri="{63B3BB69-23CF-44E3-9099-C40C66FF867C}">
                  <a14:compatExt spid="_x0000_s18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514350</xdr:colOff>
          <xdr:row>1037</xdr:row>
          <xdr:rowOff>38100</xdr:rowOff>
        </xdr:from>
        <xdr:to>
          <xdr:col>28</xdr:col>
          <xdr:colOff>1800225</xdr:colOff>
          <xdr:row>1042</xdr:row>
          <xdr:rowOff>57150</xdr:rowOff>
        </xdr:to>
        <xdr:sp macro="" textlink="">
          <xdr:nvSpPr>
            <xdr:cNvPr id="1842" name="Object 818" hidden="1">
              <a:extLst>
                <a:ext uri="{63B3BB69-23CF-44E3-9099-C40C66FF867C}">
                  <a14:compatExt spid="_x0000_s18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485775</xdr:colOff>
          <xdr:row>96</xdr:row>
          <xdr:rowOff>171450</xdr:rowOff>
        </xdr:from>
        <xdr:to>
          <xdr:col>28</xdr:col>
          <xdr:colOff>1714500</xdr:colOff>
          <xdr:row>101</xdr:row>
          <xdr:rowOff>152400</xdr:rowOff>
        </xdr:to>
        <xdr:sp macro="" textlink="">
          <xdr:nvSpPr>
            <xdr:cNvPr id="6275" name="Object 1155" hidden="1">
              <a:extLst>
                <a:ext uri="{63B3BB69-23CF-44E3-9099-C40C66FF867C}">
                  <a14:compatExt spid="_x0000_s6275"/>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46</xdr:col>
      <xdr:colOff>28014</xdr:colOff>
      <xdr:row>14</xdr:row>
      <xdr:rowOff>243247</xdr:rowOff>
    </xdr:from>
    <xdr:to>
      <xdr:col>55</xdr:col>
      <xdr:colOff>530679</xdr:colOff>
      <xdr:row>26</xdr:row>
      <xdr:rowOff>54429</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45</xdr:col>
      <xdr:colOff>606136</xdr:colOff>
      <xdr:row>27</xdr:row>
      <xdr:rowOff>1483</xdr:rowOff>
    </xdr:from>
    <xdr:to>
      <xdr:col>55</xdr:col>
      <xdr:colOff>545521</xdr:colOff>
      <xdr:row>44</xdr:row>
      <xdr:rowOff>74220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46</xdr:col>
      <xdr:colOff>595512</xdr:colOff>
      <xdr:row>167</xdr:row>
      <xdr:rowOff>240447</xdr:rowOff>
    </xdr:from>
    <xdr:to>
      <xdr:col>55</xdr:col>
      <xdr:colOff>530678</xdr:colOff>
      <xdr:row>185</xdr:row>
      <xdr:rowOff>95250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46</xdr:col>
      <xdr:colOff>0</xdr:colOff>
      <xdr:row>46</xdr:row>
      <xdr:rowOff>227237</xdr:rowOff>
    </xdr:from>
    <xdr:to>
      <xdr:col>55</xdr:col>
      <xdr:colOff>557894</xdr:colOff>
      <xdr:row>64</xdr:row>
      <xdr:rowOff>163285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46</xdr:col>
      <xdr:colOff>299357</xdr:colOff>
      <xdr:row>129</xdr:row>
      <xdr:rowOff>227238</xdr:rowOff>
    </xdr:from>
    <xdr:to>
      <xdr:col>54</xdr:col>
      <xdr:colOff>68035</xdr:colOff>
      <xdr:row>143</xdr:row>
      <xdr:rowOff>40822</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46</xdr:col>
      <xdr:colOff>517072</xdr:colOff>
      <xdr:row>154</xdr:row>
      <xdr:rowOff>63953</xdr:rowOff>
    </xdr:from>
    <xdr:to>
      <xdr:col>54</xdr:col>
      <xdr:colOff>190501</xdr:colOff>
      <xdr:row>167</xdr:row>
      <xdr:rowOff>221796</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194</xdr:row>
      <xdr:rowOff>0</xdr:rowOff>
    </xdr:from>
    <xdr:to>
      <xdr:col>55</xdr:col>
      <xdr:colOff>547487</xdr:colOff>
      <xdr:row>211</xdr:row>
      <xdr:rowOff>31697</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51</xdr:col>
      <xdr:colOff>481853</xdr:colOff>
      <xdr:row>194</xdr:row>
      <xdr:rowOff>0</xdr:rowOff>
    </xdr:from>
    <xdr:to>
      <xdr:col>60</xdr:col>
      <xdr:colOff>449836</xdr:colOff>
      <xdr:row>211</xdr:row>
      <xdr:rowOff>31697</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47</xdr:col>
      <xdr:colOff>0</xdr:colOff>
      <xdr:row>220</xdr:row>
      <xdr:rowOff>0</xdr:rowOff>
    </xdr:from>
    <xdr:to>
      <xdr:col>55</xdr:col>
      <xdr:colOff>547487</xdr:colOff>
      <xdr:row>237</xdr:row>
      <xdr:rowOff>99732</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51</xdr:col>
      <xdr:colOff>470647</xdr:colOff>
      <xdr:row>219</xdr:row>
      <xdr:rowOff>168088</xdr:rowOff>
    </xdr:from>
    <xdr:to>
      <xdr:col>60</xdr:col>
      <xdr:colOff>438630</xdr:colOff>
      <xdr:row>237</xdr:row>
      <xdr:rowOff>77320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55</xdr:col>
      <xdr:colOff>67235</xdr:colOff>
      <xdr:row>220</xdr:row>
      <xdr:rowOff>22412</xdr:rowOff>
    </xdr:from>
    <xdr:to>
      <xdr:col>63</xdr:col>
      <xdr:colOff>215313</xdr:colOff>
      <xdr:row>237</xdr:row>
      <xdr:rowOff>122144</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47</xdr:col>
      <xdr:colOff>13608</xdr:colOff>
      <xdr:row>245</xdr:row>
      <xdr:rowOff>-1</xdr:rowOff>
    </xdr:from>
    <xdr:to>
      <xdr:col>55</xdr:col>
      <xdr:colOff>517072</xdr:colOff>
      <xdr:row>259</xdr:row>
      <xdr:rowOff>13607</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47</xdr:col>
      <xdr:colOff>18409</xdr:colOff>
      <xdr:row>260</xdr:row>
      <xdr:rowOff>0</xdr:rowOff>
    </xdr:from>
    <xdr:to>
      <xdr:col>54</xdr:col>
      <xdr:colOff>310562</xdr:colOff>
      <xdr:row>269</xdr:row>
      <xdr:rowOff>78441</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47</xdr:col>
      <xdr:colOff>11206</xdr:colOff>
      <xdr:row>270</xdr:row>
      <xdr:rowOff>22412</xdr:rowOff>
    </xdr:from>
    <xdr:to>
      <xdr:col>54</xdr:col>
      <xdr:colOff>324972</xdr:colOff>
      <xdr:row>279</xdr:row>
      <xdr:rowOff>33617</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47</xdr:col>
      <xdr:colOff>13606</xdr:colOff>
      <xdr:row>280</xdr:row>
      <xdr:rowOff>9524</xdr:rowOff>
    </xdr:from>
    <xdr:to>
      <xdr:col>54</xdr:col>
      <xdr:colOff>299356</xdr:colOff>
      <xdr:row>294</xdr:row>
      <xdr:rowOff>85724</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47</xdr:col>
      <xdr:colOff>27215</xdr:colOff>
      <xdr:row>311</xdr:row>
      <xdr:rowOff>200024</xdr:rowOff>
    </xdr:from>
    <xdr:to>
      <xdr:col>54</xdr:col>
      <xdr:colOff>312965</xdr:colOff>
      <xdr:row>325</xdr:row>
      <xdr:rowOff>153760</xdr:rowOff>
    </xdr:to>
    <xdr:graphicFrame macro="">
      <xdr:nvGraphicFramePr>
        <xdr:cNvPr id="17" name="Chart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47</xdr:col>
      <xdr:colOff>0</xdr:colOff>
      <xdr:row>333</xdr:row>
      <xdr:rowOff>0</xdr:rowOff>
    </xdr:from>
    <xdr:to>
      <xdr:col>55</xdr:col>
      <xdr:colOff>95250</xdr:colOff>
      <xdr:row>344</xdr:row>
      <xdr:rowOff>68036</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47</xdr:col>
      <xdr:colOff>0</xdr:colOff>
      <xdr:row>345</xdr:row>
      <xdr:rowOff>0</xdr:rowOff>
    </xdr:from>
    <xdr:to>
      <xdr:col>55</xdr:col>
      <xdr:colOff>95250</xdr:colOff>
      <xdr:row>355</xdr:row>
      <xdr:rowOff>217715</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44</xdr:col>
      <xdr:colOff>369794</xdr:colOff>
      <xdr:row>366</xdr:row>
      <xdr:rowOff>281667</xdr:rowOff>
    </xdr:from>
    <xdr:to>
      <xdr:col>52</xdr:col>
      <xdr:colOff>50427</xdr:colOff>
      <xdr:row>381</xdr:row>
      <xdr:rowOff>58510</xdr:rowOff>
    </xdr:to>
    <xdr:graphicFrame macro="">
      <xdr:nvGraphicFramePr>
        <xdr:cNvPr id="20" name="Chart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46</xdr:col>
      <xdr:colOff>598715</xdr:colOff>
      <xdr:row>383</xdr:row>
      <xdr:rowOff>27214</xdr:rowOff>
    </xdr:from>
    <xdr:to>
      <xdr:col>54</xdr:col>
      <xdr:colOff>176894</xdr:colOff>
      <xdr:row>393</xdr:row>
      <xdr:rowOff>108856</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47</xdr:col>
      <xdr:colOff>0</xdr:colOff>
      <xdr:row>394</xdr:row>
      <xdr:rowOff>0</xdr:rowOff>
    </xdr:from>
    <xdr:to>
      <xdr:col>54</xdr:col>
      <xdr:colOff>190500</xdr:colOff>
      <xdr:row>404</xdr:row>
      <xdr:rowOff>95250</xdr:rowOff>
    </xdr:to>
    <xdr:graphicFrame macro="">
      <xdr:nvGraphicFramePr>
        <xdr:cNvPr id="22"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47</xdr:col>
      <xdr:colOff>0</xdr:colOff>
      <xdr:row>412</xdr:row>
      <xdr:rowOff>0</xdr:rowOff>
    </xdr:from>
    <xdr:to>
      <xdr:col>54</xdr:col>
      <xdr:colOff>190500</xdr:colOff>
      <xdr:row>422</xdr:row>
      <xdr:rowOff>40821</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46</xdr:col>
      <xdr:colOff>1</xdr:colOff>
      <xdr:row>81</xdr:row>
      <xdr:rowOff>1</xdr:rowOff>
    </xdr:from>
    <xdr:to>
      <xdr:col>55</xdr:col>
      <xdr:colOff>89648</xdr:colOff>
      <xdr:row>92</xdr:row>
      <xdr:rowOff>1</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46</xdr:col>
      <xdr:colOff>0</xdr:colOff>
      <xdr:row>93</xdr:row>
      <xdr:rowOff>0</xdr:rowOff>
    </xdr:from>
    <xdr:to>
      <xdr:col>55</xdr:col>
      <xdr:colOff>11206</xdr:colOff>
      <xdr:row>102</xdr:row>
      <xdr:rowOff>156882</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47</xdr:col>
      <xdr:colOff>504265</xdr:colOff>
      <xdr:row>81</xdr:row>
      <xdr:rowOff>33617</xdr:rowOff>
    </xdr:from>
    <xdr:to>
      <xdr:col>56</xdr:col>
      <xdr:colOff>593912</xdr:colOff>
      <xdr:row>92</xdr:row>
      <xdr:rowOff>33617</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46</xdr:col>
      <xdr:colOff>0</xdr:colOff>
      <xdr:row>67</xdr:row>
      <xdr:rowOff>1</xdr:rowOff>
    </xdr:from>
    <xdr:to>
      <xdr:col>55</xdr:col>
      <xdr:colOff>425824</xdr:colOff>
      <xdr:row>79</xdr:row>
      <xdr:rowOff>168089</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47</xdr:col>
      <xdr:colOff>425824</xdr:colOff>
      <xdr:row>67</xdr:row>
      <xdr:rowOff>0</xdr:rowOff>
    </xdr:from>
    <xdr:to>
      <xdr:col>57</xdr:col>
      <xdr:colOff>246531</xdr:colOff>
      <xdr:row>79</xdr:row>
      <xdr:rowOff>168088</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49</xdr:col>
      <xdr:colOff>168088</xdr:colOff>
      <xdr:row>366</xdr:row>
      <xdr:rowOff>291353</xdr:rowOff>
    </xdr:from>
    <xdr:to>
      <xdr:col>56</xdr:col>
      <xdr:colOff>453839</xdr:colOff>
      <xdr:row>381</xdr:row>
      <xdr:rowOff>68196</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48</xdr:col>
      <xdr:colOff>336177</xdr:colOff>
      <xdr:row>168</xdr:row>
      <xdr:rowOff>22412</xdr:rowOff>
    </xdr:from>
    <xdr:to>
      <xdr:col>57</xdr:col>
      <xdr:colOff>304160</xdr:colOff>
      <xdr:row>185</xdr:row>
      <xdr:rowOff>109897</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energydataweb.com/cpucFiles/56/WO017MeasureCostStudyResearchPlan_1.pdf" TargetMode="External"/><Relationship Id="rId7" Type="http://schemas.openxmlformats.org/officeDocument/2006/relationships/drawing" Target="../drawings/drawing1.xml"/><Relationship Id="rId2" Type="http://schemas.openxmlformats.org/officeDocument/2006/relationships/hyperlink" Target="mailto:katie.wu@cpuc.ca.gov&#160;" TargetMode="External"/><Relationship Id="rId1" Type="http://schemas.openxmlformats.org/officeDocument/2006/relationships/hyperlink" Target="mailto:michael.ting@itron.com" TargetMode="External"/><Relationship Id="rId6" Type="http://schemas.openxmlformats.org/officeDocument/2006/relationships/printerSettings" Target="../printerSettings/printerSettings1.bin"/><Relationship Id="rId5" Type="http://schemas.openxmlformats.org/officeDocument/2006/relationships/hyperlink" Target="http://www.energydataweb.com/cpucFiles/pdaDocs/872/Task%204%20memo_final%20with%20appendices.pdf" TargetMode="External"/><Relationship Id="rId10" Type="http://schemas.openxmlformats.org/officeDocument/2006/relationships/image" Target="../media/image1.emf"/><Relationship Id="rId4" Type="http://schemas.openxmlformats.org/officeDocument/2006/relationships/hyperlink" Target="http://www.energydataweb.com/cpucFiles/pdaDocs/873/Task%205%20memo_final.pdf" TargetMode="External"/><Relationship Id="rId9" Type="http://schemas.openxmlformats.org/officeDocument/2006/relationships/package" Target="../embeddings/Microsoft_Word_Document1.docx"/></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ackage" Target="../embeddings/Microsoft_Word_Document4.docx"/><Relationship Id="rId3" Type="http://schemas.openxmlformats.org/officeDocument/2006/relationships/vmlDrawing" Target="../drawings/vmlDrawing2.vml"/><Relationship Id="rId7" Type="http://schemas.openxmlformats.org/officeDocument/2006/relationships/image" Target="../media/image5.emf"/><Relationship Id="rId12" Type="http://schemas.openxmlformats.org/officeDocument/2006/relationships/comments" Target="../comments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package" Target="../embeddings/Microsoft_Word_Document3.docx"/><Relationship Id="rId11" Type="http://schemas.openxmlformats.org/officeDocument/2006/relationships/image" Target="../media/image7.emf"/><Relationship Id="rId5" Type="http://schemas.openxmlformats.org/officeDocument/2006/relationships/image" Target="../media/image4.emf"/><Relationship Id="rId10" Type="http://schemas.openxmlformats.org/officeDocument/2006/relationships/package" Target="../embeddings/Microsoft_Word_Document5.docx"/><Relationship Id="rId4" Type="http://schemas.openxmlformats.org/officeDocument/2006/relationships/package" Target="../embeddings/Microsoft_Word_Document2.docx"/><Relationship Id="rId9" Type="http://schemas.openxmlformats.org/officeDocument/2006/relationships/image" Target="../media/image6.emf"/></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2:BD1606"/>
  <sheetViews>
    <sheetView zoomScaleNormal="100" workbookViewId="0">
      <selection activeCell="G19" sqref="G19"/>
    </sheetView>
  </sheetViews>
  <sheetFormatPr defaultRowHeight="15"/>
  <cols>
    <col min="1" max="10" width="9.140625" style="668"/>
    <col min="11" max="11" width="10.140625" style="668" customWidth="1"/>
    <col min="12" max="12" width="11.140625" style="668" customWidth="1"/>
    <col min="13" max="13" width="3.140625" style="672" customWidth="1"/>
    <col min="14" max="24" width="9.140625" style="672"/>
    <col min="25" max="25" width="12" style="672" customWidth="1"/>
    <col min="26" max="26" width="6.5703125" style="681" customWidth="1"/>
    <col min="27" max="56" width="9.140625" style="672"/>
  </cols>
  <sheetData>
    <row r="2" spans="7:25">
      <c r="Y2" s="673"/>
    </row>
    <row r="3" spans="7:25">
      <c r="Y3" s="673"/>
    </row>
    <row r="4" spans="7:25" ht="15" customHeight="1">
      <c r="N4" s="796"/>
      <c r="O4" s="796"/>
      <c r="P4" s="796"/>
      <c r="Q4" s="796"/>
      <c r="R4" s="796"/>
      <c r="S4" s="796"/>
      <c r="T4" s="796"/>
      <c r="U4" s="796"/>
      <c r="V4" s="796"/>
      <c r="W4" s="796"/>
      <c r="X4" s="796"/>
      <c r="Y4" s="680"/>
    </row>
    <row r="5" spans="7:25" ht="15" customHeight="1">
      <c r="N5" s="796"/>
      <c r="O5" s="2103" t="s">
        <v>1381</v>
      </c>
      <c r="P5" s="2103"/>
      <c r="Q5" s="2103"/>
      <c r="R5" s="2103"/>
      <c r="S5" s="2103"/>
      <c r="T5" s="2103"/>
      <c r="U5" s="2103"/>
      <c r="V5" s="2103"/>
      <c r="W5" s="2103"/>
      <c r="X5" s="2103"/>
      <c r="Y5" s="1004"/>
    </row>
    <row r="6" spans="7:25" ht="15" customHeight="1">
      <c r="N6" s="796"/>
      <c r="O6" s="2103"/>
      <c r="P6" s="2103"/>
      <c r="Q6" s="2103"/>
      <c r="R6" s="2103"/>
      <c r="S6" s="2103"/>
      <c r="T6" s="2103"/>
      <c r="U6" s="2103"/>
      <c r="V6" s="2103"/>
      <c r="W6" s="2103"/>
      <c r="X6" s="2103"/>
      <c r="Y6" s="1004"/>
    </row>
    <row r="7" spans="7:25" ht="15" customHeight="1">
      <c r="N7" s="796"/>
      <c r="O7" s="2103"/>
      <c r="P7" s="2103"/>
      <c r="Q7" s="2103"/>
      <c r="R7" s="2103"/>
      <c r="S7" s="2103"/>
      <c r="T7" s="2103"/>
      <c r="U7" s="2103"/>
      <c r="V7" s="2103"/>
      <c r="W7" s="2103"/>
      <c r="X7" s="2103"/>
      <c r="Y7" s="1004"/>
    </row>
    <row r="8" spans="7:25" ht="15" customHeight="1">
      <c r="N8" s="796"/>
      <c r="O8" s="2103"/>
      <c r="P8" s="2103"/>
      <c r="Q8" s="2103"/>
      <c r="R8" s="2103"/>
      <c r="S8" s="2103"/>
      <c r="T8" s="2103"/>
      <c r="U8" s="2103"/>
      <c r="V8" s="2103"/>
      <c r="W8" s="2103"/>
      <c r="X8" s="2103"/>
      <c r="Y8" s="1004"/>
    </row>
    <row r="9" spans="7:25" ht="15" customHeight="1">
      <c r="N9" s="796"/>
      <c r="O9" s="2103"/>
      <c r="P9" s="2103"/>
      <c r="Q9" s="2103"/>
      <c r="R9" s="2103"/>
      <c r="S9" s="2103"/>
      <c r="T9" s="2103"/>
      <c r="U9" s="2103"/>
      <c r="V9" s="2103"/>
      <c r="W9" s="2103"/>
      <c r="X9" s="2103"/>
      <c r="Y9" s="1004"/>
    </row>
    <row r="10" spans="7:25" ht="15" customHeight="1">
      <c r="N10" s="796"/>
      <c r="O10" s="2103"/>
      <c r="P10" s="2103"/>
      <c r="Q10" s="2103"/>
      <c r="R10" s="2103"/>
      <c r="S10" s="2103"/>
      <c r="T10" s="2103"/>
      <c r="U10" s="2103"/>
      <c r="V10" s="2103"/>
      <c r="W10" s="2103"/>
      <c r="X10" s="2103"/>
      <c r="Y10" s="1004"/>
    </row>
    <row r="11" spans="7:25" ht="15" customHeight="1">
      <c r="N11" s="796"/>
      <c r="O11" s="2103"/>
      <c r="P11" s="2103"/>
      <c r="Q11" s="2103"/>
      <c r="R11" s="2103"/>
      <c r="S11" s="2103"/>
      <c r="T11" s="2103"/>
      <c r="U11" s="2103"/>
      <c r="V11" s="2103"/>
      <c r="W11" s="2103"/>
      <c r="X11" s="2103"/>
      <c r="Y11" s="1004"/>
    </row>
    <row r="12" spans="7:25" ht="15" customHeight="1">
      <c r="N12" s="796"/>
      <c r="O12" s="2103"/>
      <c r="P12" s="2103"/>
      <c r="Q12" s="2103"/>
      <c r="R12" s="2103"/>
      <c r="S12" s="2103"/>
      <c r="T12" s="2103"/>
      <c r="U12" s="2103"/>
      <c r="V12" s="2103"/>
      <c r="W12" s="2103"/>
      <c r="X12" s="2103"/>
      <c r="Y12" s="1004"/>
    </row>
    <row r="13" spans="7:25" ht="15" customHeight="1">
      <c r="N13" s="796"/>
      <c r="O13" s="2103"/>
      <c r="P13" s="2103"/>
      <c r="Q13" s="2103"/>
      <c r="R13" s="2103"/>
      <c r="S13" s="2103"/>
      <c r="T13" s="2103"/>
      <c r="U13" s="2103"/>
      <c r="V13" s="2103"/>
      <c r="W13" s="2103"/>
      <c r="X13" s="2103"/>
      <c r="Y13" s="1004"/>
    </row>
    <row r="14" spans="7:25" ht="23.25">
      <c r="G14" s="669" t="s">
        <v>2714</v>
      </c>
      <c r="H14" s="670"/>
      <c r="I14" s="670"/>
      <c r="J14" s="670"/>
      <c r="K14" s="670"/>
      <c r="N14" s="796"/>
      <c r="O14" s="2103"/>
      <c r="P14" s="2103"/>
      <c r="Q14" s="2103"/>
      <c r="R14" s="2103"/>
      <c r="S14" s="2103"/>
      <c r="T14" s="2103"/>
      <c r="U14" s="2103"/>
      <c r="V14" s="2103"/>
      <c r="W14" s="2103"/>
      <c r="X14" s="2103"/>
      <c r="Y14" s="1004"/>
    </row>
    <row r="15" spans="7:25" ht="23.25">
      <c r="G15" s="671" t="s">
        <v>1437</v>
      </c>
      <c r="H15" s="670"/>
      <c r="I15" s="670"/>
      <c r="J15" s="670"/>
      <c r="K15" s="670"/>
      <c r="N15" s="796"/>
      <c r="O15" s="2103"/>
      <c r="P15" s="2103"/>
      <c r="Q15" s="2103"/>
      <c r="R15" s="2103"/>
      <c r="S15" s="2103"/>
      <c r="T15" s="2103"/>
      <c r="U15" s="2103"/>
      <c r="V15" s="2103"/>
      <c r="W15" s="2103"/>
      <c r="X15" s="2103"/>
      <c r="Y15" s="1004"/>
    </row>
    <row r="16" spans="7:25" ht="23.25">
      <c r="G16" s="671" t="s">
        <v>1436</v>
      </c>
      <c r="N16" s="796"/>
      <c r="O16" s="2103"/>
      <c r="P16" s="2103"/>
      <c r="Q16" s="2103"/>
      <c r="R16" s="2103"/>
      <c r="S16" s="2103"/>
      <c r="T16" s="2103"/>
      <c r="U16" s="2103"/>
      <c r="V16" s="2103"/>
      <c r="W16" s="2103"/>
      <c r="X16" s="2103"/>
      <c r="Y16" s="1004"/>
    </row>
    <row r="17" spans="7:25" ht="15" customHeight="1">
      <c r="N17" s="796"/>
      <c r="O17" s="2103"/>
      <c r="P17" s="2103"/>
      <c r="Q17" s="2103"/>
      <c r="R17" s="2103"/>
      <c r="S17" s="2103"/>
      <c r="T17" s="2103"/>
      <c r="U17" s="2103"/>
      <c r="V17" s="2103"/>
      <c r="W17" s="2103"/>
      <c r="X17" s="2103"/>
      <c r="Y17" s="1004"/>
    </row>
    <row r="18" spans="7:25" ht="23.25">
      <c r="G18" s="671" t="s">
        <v>2779</v>
      </c>
      <c r="N18" s="796"/>
      <c r="O18" s="2103"/>
      <c r="P18" s="2103"/>
      <c r="Q18" s="2103"/>
      <c r="R18" s="2103"/>
      <c r="S18" s="2103"/>
      <c r="T18" s="2103"/>
      <c r="U18" s="2103"/>
      <c r="V18" s="2103"/>
      <c r="W18" s="2103"/>
      <c r="X18" s="2103"/>
      <c r="Y18" s="1004"/>
    </row>
    <row r="19" spans="7:25" ht="15" customHeight="1">
      <c r="N19" s="796"/>
      <c r="O19" s="2103"/>
      <c r="P19" s="2103"/>
      <c r="Q19" s="2103"/>
      <c r="R19" s="2103"/>
      <c r="S19" s="2103"/>
      <c r="T19" s="2103"/>
      <c r="U19" s="2103"/>
      <c r="V19" s="2103"/>
      <c r="W19" s="2103"/>
      <c r="X19" s="2103"/>
      <c r="Y19" s="1004"/>
    </row>
    <row r="20" spans="7:25" ht="15" customHeight="1">
      <c r="N20" s="796"/>
      <c r="O20" s="2103"/>
      <c r="P20" s="2103"/>
      <c r="Q20" s="2103"/>
      <c r="R20" s="2103"/>
      <c r="S20" s="2103"/>
      <c r="T20" s="2103"/>
      <c r="U20" s="2103"/>
      <c r="V20" s="2103"/>
      <c r="W20" s="2103"/>
      <c r="X20" s="2103"/>
      <c r="Y20" s="1004"/>
    </row>
    <row r="21" spans="7:25" ht="15" customHeight="1">
      <c r="N21" s="796"/>
      <c r="O21" s="2103"/>
      <c r="P21" s="2103"/>
      <c r="Q21" s="2103"/>
      <c r="R21" s="2103"/>
      <c r="S21" s="2103"/>
      <c r="T21" s="2103"/>
      <c r="U21" s="2103"/>
      <c r="V21" s="2103"/>
      <c r="W21" s="2103"/>
      <c r="X21" s="2103"/>
      <c r="Y21" s="1004"/>
    </row>
    <row r="22" spans="7:25" ht="15" customHeight="1">
      <c r="N22" s="796"/>
      <c r="O22" s="2103"/>
      <c r="P22" s="2103"/>
      <c r="Q22" s="2103"/>
      <c r="R22" s="2103"/>
      <c r="S22" s="2103"/>
      <c r="T22" s="2103"/>
      <c r="U22" s="2103"/>
      <c r="V22" s="2103"/>
      <c r="W22" s="2103"/>
      <c r="X22" s="2103"/>
      <c r="Y22" s="1004"/>
    </row>
    <row r="23" spans="7:25" ht="15" customHeight="1">
      <c r="N23" s="796"/>
      <c r="O23" s="2103"/>
      <c r="P23" s="2103"/>
      <c r="Q23" s="2103"/>
      <c r="R23" s="2103"/>
      <c r="S23" s="2103"/>
      <c r="T23" s="2103"/>
      <c r="U23" s="2103"/>
      <c r="V23" s="2103"/>
      <c r="W23" s="2103"/>
      <c r="X23" s="2103"/>
      <c r="Y23" s="1004"/>
    </row>
    <row r="24" spans="7:25" ht="21">
      <c r="G24" s="2106"/>
      <c r="H24" s="2106"/>
      <c r="I24" s="2106"/>
      <c r="J24" s="2106"/>
      <c r="N24" s="796"/>
      <c r="O24" s="2103"/>
      <c r="P24" s="2103"/>
      <c r="Q24" s="2103"/>
      <c r="R24" s="2103"/>
      <c r="S24" s="2103"/>
      <c r="T24" s="2103"/>
      <c r="U24" s="2103"/>
      <c r="V24" s="2103"/>
      <c r="W24" s="2103"/>
      <c r="X24" s="2103"/>
      <c r="Y24" s="1004"/>
    </row>
    <row r="25" spans="7:25" ht="15" customHeight="1">
      <c r="N25" s="796"/>
      <c r="O25" s="1007"/>
      <c r="P25" s="1007"/>
      <c r="Q25" s="1007"/>
      <c r="R25" s="1007"/>
      <c r="S25" s="1007"/>
      <c r="T25" s="1007"/>
      <c r="U25" s="1007"/>
      <c r="V25" s="1007"/>
      <c r="W25" s="1007"/>
      <c r="X25" s="1007"/>
      <c r="Y25" s="1004"/>
    </row>
    <row r="26" spans="7:25" ht="15" customHeight="1">
      <c r="N26" s="796"/>
      <c r="O26" s="1008" t="s">
        <v>1378</v>
      </c>
      <c r="P26" s="2104" t="s">
        <v>1377</v>
      </c>
      <c r="Q26" s="2104"/>
      <c r="R26" s="2104"/>
      <c r="S26" s="2104"/>
      <c r="T26" s="2104"/>
      <c r="U26" s="2104"/>
      <c r="V26" s="2104"/>
      <c r="W26" s="2104"/>
      <c r="X26" s="2104"/>
      <c r="Y26" s="1004"/>
    </row>
    <row r="27" spans="7:25" ht="15" customHeight="1">
      <c r="N27" s="796"/>
      <c r="O27" s="1009" t="s">
        <v>1378</v>
      </c>
      <c r="P27" s="2104" t="s">
        <v>1379</v>
      </c>
      <c r="Q27" s="2104"/>
      <c r="R27" s="2104"/>
      <c r="S27" s="2104"/>
      <c r="T27" s="2104"/>
      <c r="U27" s="2104"/>
      <c r="V27" s="2104"/>
      <c r="W27" s="2104"/>
      <c r="X27" s="2104"/>
      <c r="Y27" s="1004"/>
    </row>
    <row r="28" spans="7:25" ht="15" customHeight="1">
      <c r="N28" s="796"/>
      <c r="O28" s="1009" t="s">
        <v>1378</v>
      </c>
      <c r="P28" s="2105" t="s">
        <v>1380</v>
      </c>
      <c r="Q28" s="2105"/>
      <c r="R28" s="2105"/>
      <c r="S28" s="2105"/>
      <c r="T28" s="2105"/>
      <c r="U28" s="2105"/>
      <c r="V28" s="2105"/>
      <c r="W28" s="2105"/>
      <c r="X28" s="2105"/>
      <c r="Y28" s="1004"/>
    </row>
    <row r="29" spans="7:25">
      <c r="N29" s="796"/>
      <c r="O29" s="796"/>
      <c r="P29" s="796"/>
      <c r="Q29" s="796"/>
      <c r="R29" s="796"/>
      <c r="S29" s="796"/>
      <c r="T29" s="796"/>
      <c r="U29" s="796"/>
      <c r="V29" s="796"/>
      <c r="W29" s="796"/>
      <c r="X29" s="796"/>
      <c r="Y29" s="1004"/>
    </row>
    <row r="30" spans="7:25" ht="15.75" customHeight="1">
      <c r="N30" s="796"/>
      <c r="O30" s="2103" t="s">
        <v>1417</v>
      </c>
      <c r="P30" s="2103"/>
      <c r="Q30" s="2103"/>
      <c r="R30" s="2103"/>
      <c r="S30" s="2103"/>
      <c r="T30" s="2103"/>
      <c r="U30" s="2103"/>
      <c r="V30" s="2103"/>
      <c r="W30" s="2103"/>
      <c r="X30" s="2103"/>
      <c r="Y30" s="1004"/>
    </row>
    <row r="31" spans="7:25" ht="15" customHeight="1">
      <c r="N31" s="796"/>
      <c r="O31" s="2103"/>
      <c r="P31" s="2103"/>
      <c r="Q31" s="2103"/>
      <c r="R31" s="2103"/>
      <c r="S31" s="2103"/>
      <c r="T31" s="2103"/>
      <c r="U31" s="2103"/>
      <c r="V31" s="2103"/>
      <c r="W31" s="2103"/>
      <c r="X31" s="2103"/>
      <c r="Y31" s="1004"/>
    </row>
    <row r="32" spans="7:25" ht="15" customHeight="1">
      <c r="N32" s="796"/>
      <c r="O32" s="2103"/>
      <c r="P32" s="2103"/>
      <c r="Q32" s="2103"/>
      <c r="R32" s="2103"/>
      <c r="S32" s="2103"/>
      <c r="T32" s="2103"/>
      <c r="U32" s="2103"/>
      <c r="V32" s="2103"/>
      <c r="W32" s="2103"/>
      <c r="X32" s="2103"/>
      <c r="Y32" s="1004"/>
    </row>
    <row r="33" spans="5:25" ht="15" customHeight="1">
      <c r="E33" s="670" t="s">
        <v>1115</v>
      </c>
      <c r="G33" s="670"/>
      <c r="H33" s="670"/>
      <c r="I33" s="670" t="s">
        <v>1116</v>
      </c>
      <c r="J33" s="670"/>
      <c r="K33" s="670"/>
      <c r="N33" s="796"/>
      <c r="O33" s="2103"/>
      <c r="P33" s="2103"/>
      <c r="Q33" s="2103"/>
      <c r="R33" s="2103"/>
      <c r="S33" s="2103"/>
      <c r="T33" s="2103"/>
      <c r="U33" s="2103"/>
      <c r="V33" s="2103"/>
      <c r="W33" s="2103"/>
      <c r="X33" s="2103"/>
      <c r="Y33" s="1004"/>
    </row>
    <row r="34" spans="5:25" ht="15" customHeight="1">
      <c r="F34" s="670"/>
      <c r="G34" s="670"/>
      <c r="H34" s="670"/>
      <c r="I34" s="670" t="s">
        <v>1117</v>
      </c>
      <c r="J34" s="670"/>
      <c r="K34" s="670"/>
      <c r="N34" s="796"/>
      <c r="O34" s="2103"/>
      <c r="P34" s="2103"/>
      <c r="Q34" s="2103"/>
      <c r="R34" s="2103"/>
      <c r="S34" s="2103"/>
      <c r="T34" s="2103"/>
      <c r="U34" s="2103"/>
      <c r="V34" s="2103"/>
      <c r="W34" s="2103"/>
      <c r="X34" s="2103"/>
      <c r="Y34" s="1004"/>
    </row>
    <row r="35" spans="5:25" ht="15" customHeight="1">
      <c r="F35" s="670"/>
      <c r="G35" s="670"/>
      <c r="H35" s="670"/>
      <c r="I35" s="670" t="s">
        <v>1118</v>
      </c>
      <c r="J35" s="674" t="s">
        <v>1119</v>
      </c>
      <c r="K35" s="674"/>
      <c r="N35" s="796"/>
      <c r="O35" s="2103"/>
      <c r="P35" s="2103"/>
      <c r="Q35" s="2103"/>
      <c r="R35" s="2103"/>
      <c r="S35" s="2103"/>
      <c r="T35" s="2103"/>
      <c r="U35" s="2103"/>
      <c r="V35" s="2103"/>
      <c r="W35" s="2103"/>
      <c r="X35" s="2103"/>
      <c r="Y35" s="1004"/>
    </row>
    <row r="36" spans="5:25" ht="15" customHeight="1">
      <c r="F36" s="670"/>
      <c r="G36" s="670"/>
      <c r="H36" s="670"/>
      <c r="I36" s="670" t="s">
        <v>1120</v>
      </c>
      <c r="J36" s="676" t="s">
        <v>1121</v>
      </c>
      <c r="K36" s="670"/>
      <c r="N36" s="796"/>
      <c r="O36" s="2103"/>
      <c r="P36" s="2103"/>
      <c r="Q36" s="2103"/>
      <c r="R36" s="2103"/>
      <c r="S36" s="2103"/>
      <c r="T36" s="2103"/>
      <c r="U36" s="2103"/>
      <c r="V36" s="2103"/>
      <c r="W36" s="2103"/>
      <c r="X36" s="2103"/>
      <c r="Y36" s="1004"/>
    </row>
    <row r="37" spans="5:25" ht="15" customHeight="1">
      <c r="F37" s="670"/>
      <c r="G37" s="670"/>
      <c r="H37" s="670"/>
      <c r="N37" s="796"/>
      <c r="O37" s="2103"/>
      <c r="P37" s="2103"/>
      <c r="Q37" s="2103"/>
      <c r="R37" s="2103"/>
      <c r="S37" s="2103"/>
      <c r="T37" s="2103"/>
      <c r="U37" s="2103"/>
      <c r="V37" s="2103"/>
      <c r="W37" s="2103"/>
      <c r="X37" s="2103"/>
      <c r="Y37" s="1004"/>
    </row>
    <row r="38" spans="5:25" ht="15" customHeight="1">
      <c r="F38" s="670"/>
      <c r="G38" s="670"/>
      <c r="H38" s="670"/>
      <c r="I38" s="670" t="s">
        <v>1122</v>
      </c>
      <c r="N38" s="796"/>
      <c r="O38" s="2103"/>
      <c r="P38" s="2103"/>
      <c r="Q38" s="2103"/>
      <c r="R38" s="2103"/>
      <c r="S38" s="2103"/>
      <c r="T38" s="2103"/>
      <c r="U38" s="2103"/>
      <c r="V38" s="2103"/>
      <c r="W38" s="2103"/>
      <c r="X38" s="2103"/>
      <c r="Y38" s="1004"/>
    </row>
    <row r="39" spans="5:25" ht="15" customHeight="1">
      <c r="I39" s="670" t="s">
        <v>1123</v>
      </c>
      <c r="N39" s="796"/>
      <c r="O39" s="2103"/>
      <c r="P39" s="2103"/>
      <c r="Q39" s="2103"/>
      <c r="R39" s="2103"/>
      <c r="S39" s="2103"/>
      <c r="T39" s="2103"/>
      <c r="U39" s="2103"/>
      <c r="V39" s="2103"/>
      <c r="W39" s="2103"/>
      <c r="X39" s="2103"/>
      <c r="Y39" s="1004"/>
    </row>
    <row r="40" spans="5:25" ht="15" customHeight="1">
      <c r="H40" s="670"/>
      <c r="I40" s="670" t="s">
        <v>1124</v>
      </c>
      <c r="J40" s="670" t="s">
        <v>1125</v>
      </c>
      <c r="K40" s="670"/>
      <c r="N40" s="796"/>
      <c r="O40" s="2103"/>
      <c r="P40" s="2103"/>
      <c r="Q40" s="2103"/>
      <c r="R40" s="2103"/>
      <c r="S40" s="2103"/>
      <c r="T40" s="2103"/>
      <c r="U40" s="2103"/>
      <c r="V40" s="2103"/>
      <c r="W40" s="2103"/>
      <c r="X40" s="2103"/>
      <c r="Y40" s="1004"/>
    </row>
    <row r="41" spans="5:25" ht="15" customHeight="1">
      <c r="I41" s="670" t="s">
        <v>1120</v>
      </c>
      <c r="J41" s="676" t="s">
        <v>1126</v>
      </c>
      <c r="K41" s="670"/>
      <c r="L41" s="670"/>
      <c r="N41" s="796"/>
      <c r="O41" s="2103"/>
      <c r="P41" s="2103"/>
      <c r="Q41" s="2103"/>
      <c r="R41" s="2103"/>
      <c r="S41" s="2103"/>
      <c r="T41" s="2103"/>
      <c r="U41" s="2103"/>
      <c r="V41" s="2103"/>
      <c r="W41" s="2103"/>
      <c r="X41" s="2103"/>
      <c r="Y41" s="1004"/>
    </row>
    <row r="42" spans="5:25" ht="15" customHeight="1">
      <c r="N42" s="796"/>
      <c r="O42" s="1007"/>
      <c r="P42" s="1007"/>
      <c r="Q42" s="1007"/>
      <c r="R42" s="1007"/>
      <c r="S42" s="1007"/>
      <c r="T42" s="1007"/>
      <c r="U42" s="1007"/>
      <c r="V42" s="1007"/>
      <c r="W42" s="1007"/>
      <c r="X42" s="1007"/>
      <c r="Y42" s="1004"/>
    </row>
    <row r="43" spans="5:25" ht="15" customHeight="1">
      <c r="N43" s="796"/>
      <c r="O43" s="2103" t="s">
        <v>2713</v>
      </c>
      <c r="P43" s="2103"/>
      <c r="Q43" s="2103"/>
      <c r="R43" s="2103"/>
      <c r="S43" s="2103"/>
      <c r="T43" s="2103"/>
      <c r="U43" s="2103"/>
      <c r="V43" s="2103"/>
      <c r="W43" s="2103"/>
      <c r="X43" s="2103"/>
      <c r="Y43" s="1004"/>
    </row>
    <row r="44" spans="5:25" ht="15.75" customHeight="1">
      <c r="N44" s="796"/>
      <c r="O44" s="2103"/>
      <c r="P44" s="2103"/>
      <c r="Q44" s="2103"/>
      <c r="R44" s="2103"/>
      <c r="S44" s="2103"/>
      <c r="T44" s="2103"/>
      <c r="U44" s="2103"/>
      <c r="V44" s="2103"/>
      <c r="W44" s="2103"/>
      <c r="X44" s="2103"/>
      <c r="Y44" s="1004"/>
    </row>
    <row r="45" spans="5:25" ht="15.75" customHeight="1">
      <c r="N45" s="796"/>
      <c r="O45" s="2103"/>
      <c r="P45" s="2103"/>
      <c r="Q45" s="2103"/>
      <c r="R45" s="2103"/>
      <c r="S45" s="2103"/>
      <c r="T45" s="2103"/>
      <c r="U45" s="2103"/>
      <c r="V45" s="2103"/>
      <c r="W45" s="2103"/>
      <c r="X45" s="2103"/>
      <c r="Y45" s="1004"/>
    </row>
    <row r="46" spans="5:25" ht="15.75" customHeight="1">
      <c r="N46" s="796"/>
      <c r="O46" s="2103"/>
      <c r="P46" s="2103"/>
      <c r="Q46" s="2103"/>
      <c r="R46" s="2103"/>
      <c r="S46" s="2103"/>
      <c r="T46" s="2103"/>
      <c r="U46" s="2103"/>
      <c r="V46" s="2103"/>
      <c r="W46" s="2103"/>
      <c r="X46" s="2103"/>
      <c r="Y46" s="1004"/>
    </row>
    <row r="47" spans="5:25" ht="15.75" customHeight="1">
      <c r="I47" s="677" t="s">
        <v>1127</v>
      </c>
      <c r="N47" s="796"/>
      <c r="O47" s="2103"/>
      <c r="P47" s="2103"/>
      <c r="Q47" s="2103"/>
      <c r="R47" s="2103"/>
      <c r="S47" s="2103"/>
      <c r="T47" s="2103"/>
      <c r="U47" s="2103"/>
      <c r="V47" s="2103"/>
      <c r="W47" s="2103"/>
      <c r="X47" s="2103"/>
      <c r="Y47" s="1004"/>
    </row>
    <row r="48" spans="5:25" ht="15.75" customHeight="1">
      <c r="I48" s="677" t="s">
        <v>1128</v>
      </c>
      <c r="N48" s="796"/>
      <c r="O48" s="2103"/>
      <c r="P48" s="2103"/>
      <c r="Q48" s="2103"/>
      <c r="R48" s="2103"/>
      <c r="S48" s="2103"/>
      <c r="T48" s="2103"/>
      <c r="U48" s="2103"/>
      <c r="V48" s="2103"/>
      <c r="W48" s="2103"/>
      <c r="X48" s="2103"/>
      <c r="Y48" s="1004"/>
    </row>
    <row r="49" spans="1:25" ht="15.75" customHeight="1">
      <c r="I49" s="677" t="s">
        <v>1129</v>
      </c>
      <c r="N49" s="796"/>
      <c r="O49" s="2103"/>
      <c r="P49" s="2103"/>
      <c r="Q49" s="2103"/>
      <c r="R49" s="2103"/>
      <c r="S49" s="2103"/>
      <c r="T49" s="2103"/>
      <c r="U49" s="2103"/>
      <c r="V49" s="2103"/>
      <c r="W49" s="2103"/>
      <c r="X49" s="2103"/>
      <c r="Y49" s="680"/>
    </row>
    <row r="50" spans="1:25" ht="15" customHeight="1">
      <c r="I50" s="675"/>
      <c r="N50" s="796"/>
      <c r="O50" s="2103"/>
      <c r="P50" s="2103"/>
      <c r="Q50" s="2103"/>
      <c r="R50" s="2103"/>
      <c r="S50" s="2103"/>
      <c r="T50" s="2103"/>
      <c r="U50" s="2103"/>
      <c r="V50" s="2103"/>
      <c r="W50" s="2103"/>
      <c r="X50" s="2103"/>
      <c r="Y50" s="680"/>
    </row>
    <row r="51" spans="1:25">
      <c r="I51" s="678" t="s">
        <v>2777</v>
      </c>
      <c r="N51" s="796"/>
      <c r="O51" s="796"/>
      <c r="P51" s="796"/>
      <c r="Q51" s="796"/>
      <c r="R51" s="796"/>
      <c r="S51" s="796"/>
      <c r="T51" s="796"/>
      <c r="U51" s="796"/>
      <c r="V51" s="796"/>
      <c r="W51" s="796"/>
      <c r="X51" s="796"/>
      <c r="Y51" s="680"/>
    </row>
    <row r="52" spans="1:25">
      <c r="N52" s="796"/>
      <c r="O52" s="796"/>
      <c r="P52" s="796"/>
      <c r="Q52" s="796"/>
      <c r="R52" s="796"/>
      <c r="S52" s="796"/>
      <c r="T52" s="796"/>
      <c r="U52" s="796"/>
      <c r="V52" s="796"/>
      <c r="W52" s="796"/>
      <c r="X52" s="796"/>
      <c r="Y52" s="796"/>
    </row>
    <row r="53" spans="1:25">
      <c r="A53" s="672"/>
      <c r="B53" s="672"/>
      <c r="C53" s="672"/>
      <c r="D53" s="672"/>
      <c r="E53" s="667"/>
      <c r="F53" s="667"/>
      <c r="G53" s="667"/>
      <c r="H53" s="667"/>
      <c r="I53" s="667"/>
      <c r="J53" s="667"/>
      <c r="K53" s="667"/>
      <c r="L53" s="672"/>
      <c r="N53" s="681"/>
    </row>
    <row r="54" spans="1:25">
      <c r="A54" s="672"/>
      <c r="B54" s="672"/>
      <c r="C54" s="672"/>
      <c r="D54" s="672"/>
      <c r="E54" s="672"/>
      <c r="F54" s="672"/>
      <c r="G54" s="672"/>
      <c r="H54" s="672"/>
      <c r="I54" s="672"/>
      <c r="J54" s="672"/>
      <c r="K54" s="672"/>
      <c r="L54" s="672"/>
      <c r="M54" s="681"/>
    </row>
    <row r="55" spans="1:25">
      <c r="A55" s="672"/>
      <c r="B55" s="672"/>
      <c r="C55" s="672"/>
      <c r="D55" s="672"/>
      <c r="E55" s="672"/>
      <c r="F55" s="672"/>
      <c r="G55" s="672"/>
      <c r="H55" s="672"/>
      <c r="I55" s="672"/>
      <c r="J55" s="672"/>
      <c r="K55" s="672"/>
      <c r="L55" s="672"/>
      <c r="M55" s="681"/>
    </row>
    <row r="56" spans="1:25">
      <c r="A56" s="672"/>
      <c r="B56" s="672"/>
      <c r="C56" s="672"/>
      <c r="D56" s="672"/>
      <c r="E56" s="672"/>
      <c r="F56" s="672"/>
      <c r="G56" s="672"/>
      <c r="H56" s="672"/>
      <c r="I56" s="672"/>
      <c r="J56" s="672"/>
      <c r="K56" s="672"/>
      <c r="L56" s="672"/>
      <c r="M56" s="681"/>
    </row>
    <row r="57" spans="1:25">
      <c r="A57" s="796"/>
      <c r="B57" s="796"/>
      <c r="C57" s="1005"/>
      <c r="D57" s="1005"/>
      <c r="E57" s="1005"/>
      <c r="F57" s="1005"/>
      <c r="G57" s="1005"/>
      <c r="H57" s="1005"/>
      <c r="I57" s="1005"/>
      <c r="J57" s="1005"/>
      <c r="K57" s="1005"/>
      <c r="L57" s="1005"/>
      <c r="M57" s="1006"/>
    </row>
    <row r="58" spans="1:25" ht="15" customHeight="1">
      <c r="A58" s="1005"/>
      <c r="B58" s="2102" t="s">
        <v>2778</v>
      </c>
      <c r="C58" s="2102"/>
      <c r="D58" s="2102"/>
      <c r="E58" s="2102"/>
      <c r="F58" s="2102"/>
      <c r="G58" s="2102"/>
      <c r="H58" s="2102"/>
      <c r="I58" s="2102"/>
      <c r="J58" s="2102"/>
      <c r="K58" s="2102"/>
      <c r="L58" s="1005"/>
      <c r="M58" s="1006"/>
    </row>
    <row r="59" spans="1:25" ht="15" customHeight="1">
      <c r="A59" s="1005"/>
      <c r="B59" s="2102"/>
      <c r="C59" s="2102"/>
      <c r="D59" s="2102"/>
      <c r="E59" s="2102"/>
      <c r="F59" s="2102"/>
      <c r="G59" s="2102"/>
      <c r="H59" s="2102"/>
      <c r="I59" s="2102"/>
      <c r="J59" s="2102"/>
      <c r="K59" s="2102"/>
      <c r="L59" s="1005"/>
      <c r="M59" s="1006"/>
    </row>
    <row r="60" spans="1:25" ht="15" customHeight="1">
      <c r="A60" s="1005"/>
      <c r="B60" s="2102"/>
      <c r="C60" s="2102"/>
      <c r="D60" s="2102"/>
      <c r="E60" s="2102"/>
      <c r="F60" s="2102"/>
      <c r="G60" s="2102"/>
      <c r="H60" s="2102"/>
      <c r="I60" s="2102"/>
      <c r="J60" s="2102"/>
      <c r="K60" s="2102"/>
      <c r="L60" s="1005"/>
      <c r="M60" s="1006"/>
    </row>
    <row r="61" spans="1:25" ht="15" customHeight="1">
      <c r="A61" s="1005"/>
      <c r="B61" s="2102"/>
      <c r="C61" s="2102"/>
      <c r="D61" s="2102"/>
      <c r="E61" s="2102"/>
      <c r="F61" s="2102"/>
      <c r="G61" s="2102"/>
      <c r="H61" s="2102"/>
      <c r="I61" s="2102"/>
      <c r="J61" s="2102"/>
      <c r="K61" s="2102"/>
      <c r="L61" s="1005"/>
      <c r="M61" s="1006"/>
    </row>
    <row r="62" spans="1:25" ht="15" customHeight="1">
      <c r="A62" s="1005"/>
      <c r="B62" s="2102"/>
      <c r="C62" s="2102"/>
      <c r="D62" s="2102"/>
      <c r="E62" s="2102"/>
      <c r="F62" s="2102"/>
      <c r="G62" s="2102"/>
      <c r="H62" s="2102"/>
      <c r="I62" s="2102"/>
      <c r="J62" s="2102"/>
      <c r="K62" s="2102"/>
      <c r="L62" s="1005"/>
      <c r="M62" s="1006"/>
    </row>
    <row r="63" spans="1:25" ht="15" customHeight="1">
      <c r="A63" s="1005"/>
      <c r="B63" s="2102"/>
      <c r="C63" s="2102"/>
      <c r="D63" s="2102"/>
      <c r="E63" s="2102"/>
      <c r="F63" s="2102"/>
      <c r="G63" s="2102"/>
      <c r="H63" s="2102"/>
      <c r="I63" s="2102"/>
      <c r="J63" s="2102"/>
      <c r="K63" s="2102"/>
      <c r="L63" s="1005"/>
      <c r="M63" s="1006"/>
    </row>
    <row r="64" spans="1:25" ht="15" customHeight="1">
      <c r="A64" s="1005"/>
      <c r="B64" s="2102"/>
      <c r="C64" s="2102"/>
      <c r="D64" s="2102"/>
      <c r="E64" s="2102"/>
      <c r="F64" s="2102"/>
      <c r="G64" s="2102"/>
      <c r="H64" s="2102"/>
      <c r="I64" s="2102"/>
      <c r="J64" s="2102"/>
      <c r="K64" s="2102"/>
      <c r="L64" s="1005"/>
      <c r="M64" s="1006"/>
    </row>
    <row r="65" spans="1:13" ht="15" customHeight="1">
      <c r="A65" s="1005"/>
      <c r="B65" s="2102"/>
      <c r="C65" s="2102"/>
      <c r="D65" s="2102"/>
      <c r="E65" s="2102"/>
      <c r="F65" s="2102"/>
      <c r="G65" s="2102"/>
      <c r="H65" s="2102"/>
      <c r="I65" s="2102"/>
      <c r="J65" s="2102"/>
      <c r="K65" s="2102"/>
      <c r="L65" s="1005"/>
      <c r="M65" s="1006"/>
    </row>
    <row r="66" spans="1:13" ht="15" customHeight="1">
      <c r="A66" s="1005"/>
      <c r="B66" s="2102"/>
      <c r="C66" s="2102"/>
      <c r="D66" s="2102"/>
      <c r="E66" s="2102"/>
      <c r="F66" s="2102"/>
      <c r="G66" s="2102"/>
      <c r="H66" s="2102"/>
      <c r="I66" s="2102"/>
      <c r="J66" s="2102"/>
      <c r="K66" s="2102"/>
      <c r="L66" s="1005"/>
      <c r="M66" s="1006"/>
    </row>
    <row r="67" spans="1:13" ht="15" customHeight="1">
      <c r="A67" s="1005"/>
      <c r="B67" s="2102"/>
      <c r="C67" s="2102"/>
      <c r="D67" s="2102"/>
      <c r="E67" s="2102"/>
      <c r="F67" s="2102"/>
      <c r="G67" s="2102"/>
      <c r="H67" s="2102"/>
      <c r="I67" s="2102"/>
      <c r="J67" s="2102"/>
      <c r="K67" s="2102"/>
      <c r="L67" s="1005"/>
      <c r="M67" s="1006"/>
    </row>
    <row r="68" spans="1:13" ht="15" customHeight="1">
      <c r="A68" s="1005"/>
      <c r="B68" s="2102"/>
      <c r="C68" s="2102"/>
      <c r="D68" s="2102"/>
      <c r="E68" s="2102"/>
      <c r="F68" s="2102"/>
      <c r="G68" s="2102"/>
      <c r="H68" s="2102"/>
      <c r="I68" s="2102"/>
      <c r="J68" s="2102"/>
      <c r="K68" s="2102"/>
      <c r="L68" s="1005"/>
      <c r="M68" s="1006"/>
    </row>
    <row r="69" spans="1:13" ht="15" customHeight="1">
      <c r="A69" s="1005"/>
      <c r="B69" s="2102"/>
      <c r="C69" s="2102"/>
      <c r="D69" s="2102"/>
      <c r="E69" s="2102"/>
      <c r="F69" s="2102"/>
      <c r="G69" s="2102"/>
      <c r="H69" s="2102"/>
      <c r="I69" s="2102"/>
      <c r="J69" s="2102"/>
      <c r="K69" s="2102"/>
      <c r="L69" s="1005"/>
      <c r="M69" s="1006"/>
    </row>
    <row r="70" spans="1:13" ht="15" customHeight="1">
      <c r="A70" s="1005"/>
      <c r="B70" s="2102"/>
      <c r="C70" s="2102"/>
      <c r="D70" s="2102"/>
      <c r="E70" s="2102"/>
      <c r="F70" s="2102"/>
      <c r="G70" s="2102"/>
      <c r="H70" s="2102"/>
      <c r="I70" s="2102"/>
      <c r="J70" s="2102"/>
      <c r="K70" s="2102"/>
      <c r="L70" s="1005"/>
      <c r="M70" s="1006"/>
    </row>
    <row r="71" spans="1:13" ht="15" customHeight="1">
      <c r="A71" s="1005"/>
      <c r="B71" s="2102"/>
      <c r="C71" s="2102"/>
      <c r="D71" s="2102"/>
      <c r="E71" s="2102"/>
      <c r="F71" s="2102"/>
      <c r="G71" s="2102"/>
      <c r="H71" s="2102"/>
      <c r="I71" s="2102"/>
      <c r="J71" s="2102"/>
      <c r="K71" s="2102"/>
      <c r="L71" s="1005"/>
      <c r="M71" s="1006"/>
    </row>
    <row r="72" spans="1:13" ht="15" customHeight="1">
      <c r="A72" s="1005"/>
      <c r="B72" s="2102"/>
      <c r="C72" s="2102"/>
      <c r="D72" s="2102"/>
      <c r="E72" s="2102"/>
      <c r="F72" s="2102"/>
      <c r="G72" s="2102"/>
      <c r="H72" s="2102"/>
      <c r="I72" s="2102"/>
      <c r="J72" s="2102"/>
      <c r="K72" s="2102"/>
      <c r="L72" s="1005"/>
      <c r="M72" s="1006"/>
    </row>
    <row r="73" spans="1:13" ht="15" customHeight="1">
      <c r="A73" s="1005"/>
      <c r="B73" s="2102"/>
      <c r="C73" s="2102"/>
      <c r="D73" s="2102"/>
      <c r="E73" s="2102"/>
      <c r="F73" s="2102"/>
      <c r="G73" s="2102"/>
      <c r="H73" s="2102"/>
      <c r="I73" s="2102"/>
      <c r="J73" s="2102"/>
      <c r="K73" s="2102"/>
      <c r="L73" s="1005"/>
      <c r="M73" s="1006"/>
    </row>
    <row r="74" spans="1:13" ht="15" customHeight="1">
      <c r="A74" s="1005"/>
      <c r="B74" s="2102"/>
      <c r="C74" s="2102"/>
      <c r="D74" s="2102"/>
      <c r="E74" s="2102"/>
      <c r="F74" s="2102"/>
      <c r="G74" s="2102"/>
      <c r="H74" s="2102"/>
      <c r="I74" s="2102"/>
      <c r="J74" s="2102"/>
      <c r="K74" s="2102"/>
      <c r="L74" s="1005"/>
      <c r="M74" s="1006"/>
    </row>
    <row r="75" spans="1:13" ht="15" customHeight="1">
      <c r="A75" s="1005"/>
      <c r="B75" s="2102"/>
      <c r="C75" s="2102"/>
      <c r="D75" s="2102"/>
      <c r="E75" s="2102"/>
      <c r="F75" s="2102"/>
      <c r="G75" s="2102"/>
      <c r="H75" s="2102"/>
      <c r="I75" s="2102"/>
      <c r="J75" s="2102"/>
      <c r="K75" s="2102"/>
      <c r="L75" s="1005"/>
      <c r="M75" s="1006"/>
    </row>
    <row r="76" spans="1:13" ht="15" customHeight="1">
      <c r="A76" s="1005"/>
      <c r="B76" s="2102"/>
      <c r="C76" s="2102"/>
      <c r="D76" s="2102"/>
      <c r="E76" s="2102"/>
      <c r="F76" s="2102"/>
      <c r="G76" s="2102"/>
      <c r="H76" s="2102"/>
      <c r="I76" s="2102"/>
      <c r="J76" s="2102"/>
      <c r="K76" s="2102"/>
      <c r="L76" s="1005"/>
      <c r="M76" s="1006"/>
    </row>
    <row r="77" spans="1:13" ht="15" customHeight="1">
      <c r="A77" s="1005"/>
      <c r="B77" s="2102"/>
      <c r="C77" s="2102"/>
      <c r="D77" s="2102"/>
      <c r="E77" s="2102"/>
      <c r="F77" s="2102"/>
      <c r="G77" s="2102"/>
      <c r="H77" s="2102"/>
      <c r="I77" s="2102"/>
      <c r="J77" s="2102"/>
      <c r="K77" s="2102"/>
      <c r="L77" s="1005"/>
      <c r="M77" s="1006"/>
    </row>
    <row r="78" spans="1:13" ht="15" customHeight="1">
      <c r="A78" s="1005"/>
      <c r="B78" s="2102"/>
      <c r="C78" s="2102"/>
      <c r="D78" s="2102"/>
      <c r="E78" s="2102"/>
      <c r="F78" s="2102"/>
      <c r="G78" s="2102"/>
      <c r="H78" s="2102"/>
      <c r="I78" s="2102"/>
      <c r="J78" s="2102"/>
      <c r="K78" s="2102"/>
      <c r="L78" s="1005"/>
      <c r="M78" s="1006"/>
    </row>
    <row r="79" spans="1:13" ht="15" customHeight="1">
      <c r="A79" s="1005"/>
      <c r="B79" s="2102"/>
      <c r="C79" s="2102"/>
      <c r="D79" s="2102"/>
      <c r="E79" s="2102"/>
      <c r="F79" s="2102"/>
      <c r="G79" s="2102"/>
      <c r="H79" s="2102"/>
      <c r="I79" s="2102"/>
      <c r="J79" s="2102"/>
      <c r="K79" s="2102"/>
      <c r="L79" s="1005"/>
      <c r="M79" s="1006"/>
    </row>
    <row r="80" spans="1:13" ht="15" customHeight="1">
      <c r="A80" s="1005"/>
      <c r="B80" s="2102"/>
      <c r="C80" s="2102"/>
      <c r="D80" s="2102"/>
      <c r="E80" s="2102"/>
      <c r="F80" s="2102"/>
      <c r="G80" s="2102"/>
      <c r="H80" s="2102"/>
      <c r="I80" s="2102"/>
      <c r="J80" s="2102"/>
      <c r="K80" s="2102"/>
      <c r="L80" s="1005"/>
      <c r="M80" s="1006"/>
    </row>
    <row r="81" spans="1:13" ht="15" customHeight="1">
      <c r="A81" s="1005"/>
      <c r="B81" s="2102"/>
      <c r="C81" s="2102"/>
      <c r="D81" s="2102"/>
      <c r="E81" s="2102"/>
      <c r="F81" s="2102"/>
      <c r="G81" s="2102"/>
      <c r="H81" s="2102"/>
      <c r="I81" s="2102"/>
      <c r="J81" s="2102"/>
      <c r="K81" s="2102"/>
      <c r="L81" s="1005"/>
      <c r="M81" s="1006"/>
    </row>
    <row r="82" spans="1:13" ht="15" customHeight="1">
      <c r="A82" s="1005"/>
      <c r="B82" s="2102"/>
      <c r="C82" s="2102"/>
      <c r="D82" s="2102"/>
      <c r="E82" s="2102"/>
      <c r="F82" s="2102"/>
      <c r="G82" s="2102"/>
      <c r="H82" s="2102"/>
      <c r="I82" s="2102"/>
      <c r="J82" s="2102"/>
      <c r="K82" s="2102"/>
      <c r="L82" s="1005"/>
      <c r="M82" s="1006"/>
    </row>
    <row r="83" spans="1:13" ht="15" customHeight="1">
      <c r="A83" s="1005"/>
      <c r="B83" s="2102"/>
      <c r="C83" s="2102"/>
      <c r="D83" s="2102"/>
      <c r="E83" s="2102"/>
      <c r="F83" s="2102"/>
      <c r="G83" s="2102"/>
      <c r="H83" s="2102"/>
      <c r="I83" s="2102"/>
      <c r="J83" s="2102"/>
      <c r="K83" s="2102"/>
      <c r="L83" s="1005"/>
      <c r="M83" s="1006"/>
    </row>
    <row r="84" spans="1:13" ht="15" customHeight="1">
      <c r="A84" s="1005"/>
      <c r="B84" s="2102"/>
      <c r="C84" s="2102"/>
      <c r="D84" s="2102"/>
      <c r="E84" s="2102"/>
      <c r="F84" s="2102"/>
      <c r="G84" s="2102"/>
      <c r="H84" s="2102"/>
      <c r="I84" s="2102"/>
      <c r="J84" s="2102"/>
      <c r="K84" s="2102"/>
      <c r="L84" s="1005"/>
      <c r="M84" s="1006"/>
    </row>
    <row r="85" spans="1:13" ht="15" customHeight="1">
      <c r="A85" s="1005"/>
      <c r="B85" s="2102"/>
      <c r="C85" s="2102"/>
      <c r="D85" s="2102"/>
      <c r="E85" s="2102"/>
      <c r="F85" s="2102"/>
      <c r="G85" s="2102"/>
      <c r="H85" s="2102"/>
      <c r="I85" s="2102"/>
      <c r="J85" s="2102"/>
      <c r="K85" s="2102"/>
      <c r="L85" s="1005"/>
      <c r="M85" s="1006"/>
    </row>
    <row r="86" spans="1:13" ht="15" customHeight="1">
      <c r="A86" s="1005"/>
      <c r="B86" s="2102"/>
      <c r="C86" s="2102"/>
      <c r="D86" s="2102"/>
      <c r="E86" s="2102"/>
      <c r="F86" s="2102"/>
      <c r="G86" s="2102"/>
      <c r="H86" s="2102"/>
      <c r="I86" s="2102"/>
      <c r="J86" s="2102"/>
      <c r="K86" s="2102"/>
      <c r="L86" s="1005"/>
      <c r="M86" s="1006"/>
    </row>
    <row r="87" spans="1:13" ht="15" customHeight="1">
      <c r="A87" s="1005"/>
      <c r="B87" s="2102"/>
      <c r="C87" s="2102"/>
      <c r="D87" s="2102"/>
      <c r="E87" s="2102"/>
      <c r="F87" s="2102"/>
      <c r="G87" s="2102"/>
      <c r="H87" s="2102"/>
      <c r="I87" s="2102"/>
      <c r="J87" s="2102"/>
      <c r="K87" s="2102"/>
      <c r="L87" s="1005"/>
      <c r="M87" s="1006"/>
    </row>
    <row r="88" spans="1:13" ht="15" customHeight="1">
      <c r="A88" s="1005"/>
      <c r="B88" s="2102"/>
      <c r="C88" s="2102"/>
      <c r="D88" s="2102"/>
      <c r="E88" s="2102"/>
      <c r="F88" s="2102"/>
      <c r="G88" s="2102"/>
      <c r="H88" s="2102"/>
      <c r="I88" s="2102"/>
      <c r="J88" s="2102"/>
      <c r="K88" s="2102"/>
      <c r="L88" s="1005"/>
      <c r="M88" s="1006"/>
    </row>
    <row r="89" spans="1:13" ht="15" customHeight="1">
      <c r="A89" s="1005"/>
      <c r="B89" s="2102"/>
      <c r="C89" s="2102"/>
      <c r="D89" s="2102"/>
      <c r="E89" s="2102"/>
      <c r="F89" s="2102"/>
      <c r="G89" s="2102"/>
      <c r="H89" s="2102"/>
      <c r="I89" s="2102"/>
      <c r="J89" s="2102"/>
      <c r="K89" s="2102"/>
      <c r="L89" s="1005"/>
      <c r="M89" s="1006"/>
    </row>
    <row r="90" spans="1:13" ht="15" customHeight="1">
      <c r="A90" s="1005"/>
      <c r="B90" s="2102"/>
      <c r="C90" s="2102"/>
      <c r="D90" s="2102"/>
      <c r="E90" s="2102"/>
      <c r="F90" s="2102"/>
      <c r="G90" s="2102"/>
      <c r="H90" s="2102"/>
      <c r="I90" s="2102"/>
      <c r="J90" s="2102"/>
      <c r="K90" s="2102"/>
      <c r="L90" s="1005"/>
      <c r="M90" s="1006"/>
    </row>
    <row r="91" spans="1:13" ht="15" customHeight="1">
      <c r="A91" s="1005"/>
      <c r="B91" s="2102"/>
      <c r="C91" s="2102"/>
      <c r="D91" s="2102"/>
      <c r="E91" s="2102"/>
      <c r="F91" s="2102"/>
      <c r="G91" s="2102"/>
      <c r="H91" s="2102"/>
      <c r="I91" s="2102"/>
      <c r="J91" s="2102"/>
      <c r="K91" s="2102"/>
      <c r="L91" s="1005"/>
      <c r="M91" s="1006"/>
    </row>
    <row r="92" spans="1:13" ht="15" customHeight="1">
      <c r="A92" s="1005"/>
      <c r="B92" s="2102"/>
      <c r="C92" s="2102"/>
      <c r="D92" s="2102"/>
      <c r="E92" s="2102"/>
      <c r="F92" s="2102"/>
      <c r="G92" s="2102"/>
      <c r="H92" s="2102"/>
      <c r="I92" s="2102"/>
      <c r="J92" s="2102"/>
      <c r="K92" s="2102"/>
      <c r="L92" s="1005"/>
      <c r="M92" s="1006"/>
    </row>
    <row r="93" spans="1:13" ht="15" customHeight="1">
      <c r="A93" s="1005"/>
      <c r="B93" s="2102"/>
      <c r="C93" s="2102"/>
      <c r="D93" s="2102"/>
      <c r="E93" s="2102"/>
      <c r="F93" s="2102"/>
      <c r="G93" s="2102"/>
      <c r="H93" s="2102"/>
      <c r="I93" s="2102"/>
      <c r="J93" s="2102"/>
      <c r="K93" s="2102"/>
      <c r="L93" s="1005"/>
      <c r="M93" s="1006"/>
    </row>
    <row r="94" spans="1:13" ht="15" customHeight="1">
      <c r="A94" s="1005"/>
      <c r="B94" s="2102"/>
      <c r="C94" s="2102"/>
      <c r="D94" s="2102"/>
      <c r="E94" s="2102"/>
      <c r="F94" s="2102"/>
      <c r="G94" s="2102"/>
      <c r="H94" s="2102"/>
      <c r="I94" s="2102"/>
      <c r="J94" s="2102"/>
      <c r="K94" s="2102"/>
      <c r="L94" s="1005"/>
      <c r="M94" s="1006"/>
    </row>
    <row r="95" spans="1:13" ht="15" customHeight="1">
      <c r="A95" s="1005"/>
      <c r="B95" s="2102"/>
      <c r="C95" s="2102"/>
      <c r="D95" s="2102"/>
      <c r="E95" s="2102"/>
      <c r="F95" s="2102"/>
      <c r="G95" s="2102"/>
      <c r="H95" s="2102"/>
      <c r="I95" s="2102"/>
      <c r="J95" s="2102"/>
      <c r="K95" s="2102"/>
      <c r="L95" s="1005"/>
      <c r="M95" s="1006"/>
    </row>
    <row r="96" spans="1:13" ht="15" customHeight="1">
      <c r="A96" s="1005"/>
      <c r="B96" s="2102"/>
      <c r="C96" s="2102"/>
      <c r="D96" s="2102"/>
      <c r="E96" s="2102"/>
      <c r="F96" s="2102"/>
      <c r="G96" s="2102"/>
      <c r="H96" s="2102"/>
      <c r="I96" s="2102"/>
      <c r="J96" s="2102"/>
      <c r="K96" s="2102"/>
      <c r="L96" s="1005"/>
      <c r="M96" s="1006"/>
    </row>
    <row r="97" spans="1:13" ht="15" customHeight="1">
      <c r="A97" s="1005"/>
      <c r="B97" s="2102"/>
      <c r="C97" s="2102"/>
      <c r="D97" s="2102"/>
      <c r="E97" s="2102"/>
      <c r="F97" s="2102"/>
      <c r="G97" s="2102"/>
      <c r="H97" s="2102"/>
      <c r="I97" s="2102"/>
      <c r="J97" s="2102"/>
      <c r="K97" s="2102"/>
      <c r="L97" s="1005"/>
      <c r="M97" s="1006"/>
    </row>
    <row r="98" spans="1:13" ht="15" customHeight="1">
      <c r="A98" s="1005"/>
      <c r="B98" s="2102"/>
      <c r="C98" s="2102"/>
      <c r="D98" s="2102"/>
      <c r="E98" s="2102"/>
      <c r="F98" s="2102"/>
      <c r="G98" s="2102"/>
      <c r="H98" s="2102"/>
      <c r="I98" s="2102"/>
      <c r="J98" s="2102"/>
      <c r="K98" s="2102"/>
      <c r="L98" s="1005"/>
      <c r="M98" s="1006"/>
    </row>
    <row r="99" spans="1:13" ht="15" customHeight="1">
      <c r="A99" s="1005"/>
      <c r="B99" s="2102"/>
      <c r="C99" s="2102"/>
      <c r="D99" s="2102"/>
      <c r="E99" s="2102"/>
      <c r="F99" s="2102"/>
      <c r="G99" s="2102"/>
      <c r="H99" s="2102"/>
      <c r="I99" s="2102"/>
      <c r="J99" s="2102"/>
      <c r="K99" s="2102"/>
      <c r="L99" s="1005"/>
      <c r="M99" s="1006"/>
    </row>
    <row r="100" spans="1:13" ht="15" customHeight="1">
      <c r="A100" s="1005"/>
      <c r="B100" s="2102"/>
      <c r="C100" s="2102"/>
      <c r="D100" s="2102"/>
      <c r="E100" s="2102"/>
      <c r="F100" s="2102"/>
      <c r="G100" s="2102"/>
      <c r="H100" s="2102"/>
      <c r="I100" s="2102"/>
      <c r="J100" s="2102"/>
      <c r="K100" s="2102"/>
      <c r="L100" s="1005"/>
      <c r="M100" s="1006"/>
    </row>
    <row r="101" spans="1:13" ht="15" customHeight="1">
      <c r="A101" s="1005"/>
      <c r="B101" s="2102"/>
      <c r="C101" s="2102"/>
      <c r="D101" s="2102"/>
      <c r="E101" s="2102"/>
      <c r="F101" s="2102"/>
      <c r="G101" s="2102"/>
      <c r="H101" s="2102"/>
      <c r="I101" s="2102"/>
      <c r="J101" s="2102"/>
      <c r="K101" s="2102"/>
      <c r="L101" s="1005"/>
      <c r="M101" s="1006"/>
    </row>
    <row r="102" spans="1:13" ht="15" customHeight="1">
      <c r="A102" s="1005"/>
      <c r="B102" s="2102"/>
      <c r="C102" s="2102"/>
      <c r="D102" s="2102"/>
      <c r="E102" s="2102"/>
      <c r="F102" s="2102"/>
      <c r="G102" s="2102"/>
      <c r="H102" s="2102"/>
      <c r="I102" s="2102"/>
      <c r="J102" s="2102"/>
      <c r="K102" s="2102"/>
      <c r="L102" s="1005"/>
      <c r="M102" s="1006"/>
    </row>
    <row r="103" spans="1:13" ht="15" customHeight="1">
      <c r="A103" s="1005"/>
      <c r="B103" s="2102"/>
      <c r="C103" s="2102"/>
      <c r="D103" s="2102"/>
      <c r="E103" s="2102"/>
      <c r="F103" s="2102"/>
      <c r="G103" s="2102"/>
      <c r="H103" s="2102"/>
      <c r="I103" s="2102"/>
      <c r="J103" s="2102"/>
      <c r="K103" s="2102"/>
      <c r="L103" s="1005"/>
      <c r="M103" s="1006"/>
    </row>
    <row r="104" spans="1:13" ht="15" customHeight="1">
      <c r="A104" s="1005"/>
      <c r="B104" s="2102"/>
      <c r="C104" s="2102"/>
      <c r="D104" s="2102"/>
      <c r="E104" s="2102"/>
      <c r="F104" s="2102"/>
      <c r="G104" s="2102"/>
      <c r="H104" s="2102"/>
      <c r="I104" s="2102"/>
      <c r="J104" s="2102"/>
      <c r="K104" s="2102"/>
      <c r="L104" s="1005"/>
      <c r="M104" s="1006"/>
    </row>
    <row r="105" spans="1:13">
      <c r="A105" s="1005"/>
      <c r="B105" s="2102"/>
      <c r="C105" s="2102"/>
      <c r="D105" s="2102"/>
      <c r="E105" s="2102"/>
      <c r="F105" s="2102"/>
      <c r="G105" s="2102"/>
      <c r="H105" s="2102"/>
      <c r="I105" s="2102"/>
      <c r="J105" s="2102"/>
      <c r="K105" s="2102"/>
      <c r="L105" s="1005"/>
      <c r="M105" s="1006"/>
    </row>
    <row r="106" spans="1:13">
      <c r="B106" s="2102"/>
      <c r="C106" s="2102"/>
      <c r="D106" s="2102"/>
      <c r="E106" s="2102"/>
      <c r="F106" s="2102"/>
      <c r="G106" s="2102"/>
      <c r="H106" s="2102"/>
      <c r="I106" s="2102"/>
      <c r="J106" s="2102"/>
      <c r="K106" s="2102"/>
      <c r="M106" s="681"/>
    </row>
    <row r="107" spans="1:13">
      <c r="A107" s="796"/>
      <c r="B107" s="796"/>
      <c r="C107" s="796"/>
      <c r="D107" s="796"/>
      <c r="E107" s="796"/>
      <c r="F107" s="796"/>
      <c r="G107" s="796"/>
      <c r="H107" s="796"/>
      <c r="I107" s="796"/>
      <c r="J107" s="796"/>
      <c r="K107" s="796"/>
      <c r="L107" s="2101"/>
      <c r="M107" s="681"/>
    </row>
    <row r="108" spans="1:13">
      <c r="A108" s="672"/>
      <c r="B108" s="672"/>
      <c r="C108" s="672"/>
      <c r="D108" s="672"/>
      <c r="E108" s="672"/>
      <c r="F108" s="672"/>
      <c r="G108" s="672"/>
      <c r="H108" s="672"/>
      <c r="I108" s="672"/>
      <c r="J108" s="672"/>
      <c r="K108" s="672"/>
      <c r="L108" s="673"/>
    </row>
    <row r="109" spans="1:13">
      <c r="A109" s="672"/>
      <c r="B109" s="672"/>
      <c r="C109" s="672"/>
      <c r="D109" s="672"/>
      <c r="E109" s="672"/>
      <c r="F109" s="672"/>
      <c r="G109" s="672"/>
      <c r="H109" s="672"/>
      <c r="I109" s="672"/>
      <c r="J109" s="672"/>
      <c r="K109" s="672"/>
      <c r="L109" s="673"/>
    </row>
    <row r="110" spans="1:13">
      <c r="A110" s="672"/>
      <c r="B110" s="672"/>
      <c r="C110" s="672"/>
      <c r="D110" s="672"/>
      <c r="E110" s="672"/>
      <c r="F110" s="672"/>
      <c r="G110" s="672"/>
      <c r="H110" s="672"/>
      <c r="I110" s="672"/>
      <c r="J110" s="672"/>
      <c r="K110" s="672"/>
      <c r="L110" s="673"/>
    </row>
    <row r="111" spans="1:13">
      <c r="A111" s="672"/>
      <c r="B111" s="672"/>
      <c r="C111" s="672"/>
      <c r="D111" s="672"/>
      <c r="E111" s="672"/>
      <c r="F111" s="672"/>
      <c r="G111" s="672"/>
      <c r="H111" s="672"/>
      <c r="I111" s="672"/>
      <c r="J111" s="672"/>
      <c r="K111" s="672"/>
      <c r="L111" s="673"/>
    </row>
    <row r="112" spans="1:13">
      <c r="A112" s="672"/>
      <c r="B112" s="672"/>
      <c r="C112" s="672"/>
      <c r="D112" s="672"/>
      <c r="E112" s="672"/>
      <c r="F112" s="672"/>
      <c r="G112" s="672"/>
      <c r="H112" s="672"/>
      <c r="I112" s="672"/>
      <c r="J112" s="672"/>
      <c r="K112" s="672"/>
      <c r="L112" s="673"/>
    </row>
    <row r="113" spans="1:12">
      <c r="A113" s="672"/>
      <c r="B113" s="672"/>
      <c r="C113" s="672"/>
      <c r="D113" s="672"/>
      <c r="E113" s="672"/>
      <c r="F113" s="672"/>
      <c r="G113" s="672"/>
      <c r="H113" s="672"/>
      <c r="I113" s="672"/>
      <c r="J113" s="672"/>
      <c r="K113" s="672"/>
      <c r="L113" s="673"/>
    </row>
    <row r="114" spans="1:12">
      <c r="A114" s="672"/>
      <c r="B114" s="672"/>
      <c r="C114" s="672"/>
      <c r="D114" s="672"/>
      <c r="E114" s="672"/>
      <c r="F114" s="672"/>
      <c r="G114" s="672"/>
      <c r="H114" s="672"/>
      <c r="I114" s="672"/>
      <c r="J114" s="672"/>
      <c r="K114" s="672"/>
      <c r="L114" s="673"/>
    </row>
    <row r="115" spans="1:12">
      <c r="A115" s="672"/>
      <c r="B115" s="672"/>
      <c r="C115" s="672"/>
      <c r="D115" s="672"/>
      <c r="E115" s="672"/>
      <c r="F115" s="672"/>
      <c r="G115" s="672"/>
      <c r="H115" s="672"/>
      <c r="I115" s="672"/>
      <c r="J115" s="672"/>
      <c r="K115" s="672"/>
      <c r="L115" s="673"/>
    </row>
    <row r="116" spans="1:12">
      <c r="A116" s="672"/>
      <c r="B116" s="672"/>
      <c r="C116" s="672"/>
      <c r="D116" s="672"/>
      <c r="E116" s="672"/>
      <c r="F116" s="672"/>
      <c r="G116" s="672"/>
      <c r="H116" s="672"/>
      <c r="I116" s="672"/>
      <c r="J116" s="672"/>
      <c r="K116" s="672"/>
      <c r="L116" s="673"/>
    </row>
    <row r="117" spans="1:12">
      <c r="A117" s="672"/>
      <c r="B117" s="672"/>
      <c r="C117" s="672"/>
      <c r="D117" s="672"/>
      <c r="E117" s="672"/>
      <c r="F117" s="672"/>
      <c r="G117" s="672"/>
      <c r="H117" s="672"/>
      <c r="I117" s="672"/>
      <c r="J117" s="672"/>
      <c r="K117" s="672"/>
      <c r="L117" s="673"/>
    </row>
    <row r="118" spans="1:12">
      <c r="A118" s="672"/>
      <c r="B118" s="672"/>
      <c r="C118" s="672"/>
      <c r="D118" s="672"/>
      <c r="E118" s="672"/>
      <c r="F118" s="672"/>
      <c r="G118" s="672"/>
      <c r="H118" s="672"/>
      <c r="I118" s="672"/>
      <c r="J118" s="672"/>
      <c r="K118" s="672"/>
      <c r="L118" s="673"/>
    </row>
    <row r="119" spans="1:12">
      <c r="A119" s="672"/>
      <c r="B119" s="672"/>
      <c r="C119" s="672"/>
      <c r="D119" s="672"/>
      <c r="E119" s="672"/>
      <c r="F119" s="672"/>
      <c r="G119" s="672"/>
      <c r="H119" s="672"/>
      <c r="I119" s="672"/>
      <c r="J119" s="672"/>
      <c r="K119" s="672"/>
      <c r="L119" s="673"/>
    </row>
    <row r="120" spans="1:12">
      <c r="A120" s="672"/>
      <c r="B120" s="672"/>
      <c r="C120" s="672"/>
      <c r="D120" s="672"/>
      <c r="E120" s="672"/>
      <c r="F120" s="672"/>
      <c r="G120" s="672"/>
      <c r="H120" s="672"/>
      <c r="I120" s="672"/>
      <c r="J120" s="672"/>
      <c r="K120" s="672"/>
      <c r="L120" s="673"/>
    </row>
    <row r="121" spans="1:12">
      <c r="A121" s="672"/>
      <c r="B121" s="672"/>
      <c r="C121" s="672"/>
      <c r="D121" s="672"/>
      <c r="E121" s="672"/>
      <c r="F121" s="672"/>
      <c r="G121" s="672"/>
      <c r="H121" s="672"/>
      <c r="I121" s="672"/>
      <c r="J121" s="672"/>
      <c r="K121" s="672"/>
      <c r="L121" s="673"/>
    </row>
    <row r="122" spans="1:12">
      <c r="A122" s="672"/>
      <c r="B122" s="672"/>
      <c r="C122" s="672"/>
      <c r="D122" s="672"/>
      <c r="E122" s="672"/>
      <c r="F122" s="672"/>
      <c r="G122" s="672"/>
      <c r="H122" s="672"/>
      <c r="I122" s="672"/>
      <c r="J122" s="672"/>
      <c r="K122" s="672"/>
      <c r="L122" s="673"/>
    </row>
    <row r="123" spans="1:12">
      <c r="A123" s="672"/>
      <c r="B123" s="672"/>
      <c r="C123" s="672"/>
      <c r="D123" s="672"/>
      <c r="E123" s="672"/>
      <c r="F123" s="672"/>
      <c r="G123" s="672"/>
      <c r="H123" s="672"/>
      <c r="I123" s="672"/>
      <c r="J123" s="672"/>
      <c r="K123" s="672"/>
      <c r="L123" s="673"/>
    </row>
    <row r="124" spans="1:12">
      <c r="A124" s="672"/>
      <c r="B124" s="672"/>
      <c r="C124" s="672"/>
      <c r="D124" s="672"/>
      <c r="E124" s="672"/>
      <c r="F124" s="672"/>
      <c r="G124" s="672"/>
      <c r="H124" s="672"/>
      <c r="I124" s="672"/>
      <c r="J124" s="672"/>
      <c r="K124" s="672"/>
      <c r="L124" s="673"/>
    </row>
    <row r="125" spans="1:12">
      <c r="A125" s="672"/>
      <c r="B125" s="672"/>
      <c r="C125" s="672"/>
      <c r="D125" s="672"/>
      <c r="E125" s="672"/>
      <c r="F125" s="672"/>
      <c r="G125" s="672"/>
      <c r="H125" s="672"/>
      <c r="I125" s="672"/>
      <c r="J125" s="672"/>
      <c r="K125" s="672"/>
      <c r="L125" s="673"/>
    </row>
    <row r="126" spans="1:12">
      <c r="A126" s="672"/>
      <c r="B126" s="672"/>
      <c r="C126" s="672"/>
      <c r="D126" s="672"/>
      <c r="E126" s="672"/>
      <c r="F126" s="672"/>
      <c r="G126" s="672"/>
      <c r="H126" s="672"/>
      <c r="I126" s="672"/>
      <c r="J126" s="672"/>
      <c r="K126" s="672"/>
      <c r="L126" s="673"/>
    </row>
    <row r="127" spans="1:12">
      <c r="A127" s="672"/>
      <c r="B127" s="672"/>
      <c r="C127" s="672"/>
      <c r="D127" s="672"/>
      <c r="E127" s="672"/>
      <c r="F127" s="672"/>
      <c r="G127" s="672"/>
      <c r="H127" s="672"/>
      <c r="I127" s="672"/>
      <c r="J127" s="672"/>
      <c r="K127" s="672"/>
      <c r="L127" s="673"/>
    </row>
    <row r="128" spans="1:12">
      <c r="A128" s="672"/>
      <c r="B128" s="672"/>
      <c r="C128" s="672"/>
      <c r="D128" s="672"/>
      <c r="E128" s="672"/>
      <c r="F128" s="672"/>
      <c r="G128" s="672"/>
      <c r="H128" s="672"/>
      <c r="I128" s="672"/>
      <c r="J128" s="672"/>
      <c r="K128" s="672"/>
      <c r="L128" s="673"/>
    </row>
    <row r="129" spans="1:12">
      <c r="A129" s="672"/>
      <c r="B129" s="672"/>
      <c r="C129" s="672"/>
      <c r="D129" s="672"/>
      <c r="E129" s="672"/>
      <c r="F129" s="672"/>
      <c r="G129" s="672"/>
      <c r="H129" s="672"/>
      <c r="I129" s="672"/>
      <c r="J129" s="672"/>
      <c r="K129" s="672"/>
      <c r="L129" s="673"/>
    </row>
    <row r="130" spans="1:12">
      <c r="A130" s="672"/>
      <c r="B130" s="672"/>
      <c r="C130" s="672"/>
      <c r="D130" s="672"/>
      <c r="E130" s="672"/>
      <c r="F130" s="672"/>
      <c r="G130" s="672"/>
      <c r="H130" s="672"/>
      <c r="I130" s="672"/>
      <c r="J130" s="672"/>
      <c r="K130" s="672"/>
      <c r="L130" s="673"/>
    </row>
    <row r="131" spans="1:12">
      <c r="A131" s="672"/>
      <c r="B131" s="672"/>
      <c r="C131" s="672"/>
      <c r="D131" s="672"/>
      <c r="E131" s="672"/>
      <c r="F131" s="672"/>
      <c r="G131" s="672"/>
      <c r="H131" s="672"/>
      <c r="I131" s="672"/>
      <c r="J131" s="672"/>
      <c r="K131" s="672"/>
      <c r="L131" s="673"/>
    </row>
    <row r="132" spans="1:12">
      <c r="A132" s="672"/>
      <c r="B132" s="672"/>
      <c r="C132" s="672"/>
      <c r="D132" s="672"/>
      <c r="E132" s="672"/>
      <c r="F132" s="672"/>
      <c r="G132" s="672"/>
      <c r="H132" s="672"/>
      <c r="I132" s="672"/>
      <c r="J132" s="672"/>
      <c r="K132" s="672"/>
      <c r="L132" s="673"/>
    </row>
    <row r="133" spans="1:12">
      <c r="A133" s="672"/>
      <c r="B133" s="672"/>
      <c r="C133" s="672"/>
      <c r="D133" s="672"/>
      <c r="E133" s="672"/>
      <c r="F133" s="672"/>
      <c r="G133" s="672"/>
      <c r="H133" s="672"/>
      <c r="I133" s="672"/>
      <c r="J133" s="672"/>
      <c r="K133" s="672"/>
      <c r="L133" s="673"/>
    </row>
    <row r="134" spans="1:12">
      <c r="A134" s="672"/>
      <c r="B134" s="672"/>
      <c r="C134" s="672"/>
      <c r="D134" s="672"/>
      <c r="E134" s="672"/>
      <c r="F134" s="672"/>
      <c r="G134" s="672"/>
      <c r="H134" s="672"/>
      <c r="I134" s="672"/>
      <c r="J134" s="672"/>
      <c r="K134" s="672"/>
      <c r="L134" s="673"/>
    </row>
    <row r="135" spans="1:12">
      <c r="A135" s="672"/>
      <c r="B135" s="672"/>
      <c r="C135" s="672"/>
      <c r="D135" s="672"/>
      <c r="E135" s="672"/>
      <c r="F135" s="672"/>
      <c r="G135" s="672"/>
      <c r="H135" s="672"/>
      <c r="I135" s="672"/>
      <c r="J135" s="672"/>
      <c r="K135" s="672"/>
      <c r="L135" s="673"/>
    </row>
    <row r="136" spans="1:12">
      <c r="A136" s="672"/>
      <c r="B136" s="672"/>
      <c r="C136" s="672"/>
      <c r="D136" s="672"/>
      <c r="E136" s="672"/>
      <c r="F136" s="672"/>
      <c r="G136" s="672"/>
      <c r="H136" s="672"/>
      <c r="I136" s="672"/>
      <c r="J136" s="672"/>
      <c r="K136" s="672"/>
      <c r="L136" s="673"/>
    </row>
    <row r="137" spans="1:12">
      <c r="A137" s="672"/>
      <c r="B137" s="672"/>
      <c r="C137" s="672"/>
      <c r="D137" s="672"/>
      <c r="E137" s="672"/>
      <c r="F137" s="672"/>
      <c r="G137" s="672"/>
      <c r="H137" s="672"/>
      <c r="I137" s="672"/>
      <c r="J137" s="672"/>
      <c r="K137" s="672"/>
      <c r="L137" s="673"/>
    </row>
    <row r="138" spans="1:12">
      <c r="A138" s="672"/>
      <c r="B138" s="672"/>
      <c r="C138" s="672"/>
      <c r="D138" s="672"/>
      <c r="E138" s="672"/>
      <c r="F138" s="672"/>
      <c r="G138" s="672"/>
      <c r="H138" s="672"/>
      <c r="I138" s="672"/>
      <c r="J138" s="672"/>
      <c r="K138" s="672"/>
      <c r="L138" s="673"/>
    </row>
    <row r="139" spans="1:12">
      <c r="A139" s="672"/>
      <c r="B139" s="672"/>
      <c r="C139" s="672"/>
      <c r="D139" s="672"/>
      <c r="E139" s="672"/>
      <c r="F139" s="672"/>
      <c r="G139" s="672"/>
      <c r="H139" s="672"/>
      <c r="I139" s="672"/>
      <c r="J139" s="672"/>
      <c r="K139" s="672"/>
      <c r="L139" s="673"/>
    </row>
    <row r="140" spans="1:12">
      <c r="A140" s="672"/>
      <c r="B140" s="672"/>
      <c r="C140" s="672"/>
      <c r="D140" s="672"/>
      <c r="E140" s="672"/>
      <c r="F140" s="672"/>
      <c r="G140" s="672"/>
      <c r="H140" s="672"/>
      <c r="I140" s="672"/>
      <c r="J140" s="672"/>
      <c r="K140" s="672"/>
      <c r="L140" s="673"/>
    </row>
    <row r="141" spans="1:12">
      <c r="A141" s="672"/>
      <c r="B141" s="672"/>
      <c r="C141" s="672"/>
      <c r="D141" s="672"/>
      <c r="E141" s="672"/>
      <c r="F141" s="672"/>
      <c r="G141" s="672"/>
      <c r="H141" s="672"/>
      <c r="I141" s="672"/>
      <c r="J141" s="672"/>
      <c r="K141" s="672"/>
      <c r="L141" s="673"/>
    </row>
    <row r="142" spans="1:12">
      <c r="A142" s="672"/>
      <c r="B142" s="672"/>
      <c r="C142" s="672"/>
      <c r="D142" s="672"/>
      <c r="E142" s="672"/>
      <c r="F142" s="672"/>
      <c r="G142" s="672"/>
      <c r="H142" s="672"/>
      <c r="I142" s="672"/>
      <c r="J142" s="672"/>
      <c r="K142" s="672"/>
      <c r="L142" s="673"/>
    </row>
    <row r="143" spans="1:12">
      <c r="A143" s="672"/>
      <c r="B143" s="672"/>
      <c r="C143" s="672"/>
      <c r="D143" s="672"/>
      <c r="E143" s="672"/>
      <c r="F143" s="672"/>
      <c r="G143" s="672"/>
      <c r="H143" s="672"/>
      <c r="I143" s="672"/>
      <c r="J143" s="672"/>
      <c r="K143" s="672"/>
      <c r="L143" s="673"/>
    </row>
    <row r="144" spans="1:12">
      <c r="A144" s="672"/>
      <c r="B144" s="672"/>
      <c r="C144" s="672"/>
      <c r="D144" s="672"/>
      <c r="E144" s="672"/>
      <c r="F144" s="672"/>
      <c r="G144" s="672"/>
      <c r="H144" s="672"/>
      <c r="I144" s="672"/>
      <c r="J144" s="672"/>
      <c r="K144" s="672"/>
      <c r="L144" s="673"/>
    </row>
    <row r="145" spans="1:12">
      <c r="A145" s="672"/>
      <c r="B145" s="672"/>
      <c r="C145" s="672"/>
      <c r="D145" s="672"/>
      <c r="E145" s="672"/>
      <c r="F145" s="672"/>
      <c r="G145" s="672"/>
      <c r="H145" s="672"/>
      <c r="I145" s="672"/>
      <c r="J145" s="672"/>
      <c r="K145" s="672"/>
      <c r="L145" s="673"/>
    </row>
    <row r="146" spans="1:12">
      <c r="A146" s="672"/>
      <c r="B146" s="672"/>
      <c r="C146" s="672"/>
      <c r="D146" s="672"/>
      <c r="E146" s="672"/>
      <c r="F146" s="672"/>
      <c r="G146" s="672"/>
      <c r="H146" s="672"/>
      <c r="I146" s="672"/>
      <c r="J146" s="672"/>
      <c r="K146" s="672"/>
      <c r="L146" s="673"/>
    </row>
    <row r="147" spans="1:12">
      <c r="A147" s="672"/>
      <c r="B147" s="672"/>
      <c r="C147" s="672"/>
      <c r="D147" s="672"/>
      <c r="E147" s="672"/>
      <c r="F147" s="672"/>
      <c r="G147" s="672"/>
      <c r="H147" s="672"/>
      <c r="I147" s="672"/>
      <c r="J147" s="672"/>
      <c r="K147" s="672"/>
      <c r="L147" s="673"/>
    </row>
    <row r="148" spans="1:12">
      <c r="A148" s="672"/>
      <c r="B148" s="672"/>
      <c r="C148" s="672"/>
      <c r="D148" s="672"/>
      <c r="E148" s="672"/>
      <c r="F148" s="672"/>
      <c r="G148" s="672"/>
      <c r="H148" s="672"/>
      <c r="I148" s="672"/>
      <c r="J148" s="672"/>
      <c r="K148" s="672"/>
      <c r="L148" s="673"/>
    </row>
    <row r="149" spans="1:12">
      <c r="A149" s="672"/>
      <c r="B149" s="672"/>
      <c r="C149" s="672"/>
      <c r="D149" s="672"/>
      <c r="E149" s="672"/>
      <c r="F149" s="672"/>
      <c r="G149" s="672"/>
      <c r="H149" s="672"/>
      <c r="I149" s="672"/>
      <c r="J149" s="672"/>
      <c r="K149" s="672"/>
      <c r="L149" s="673"/>
    </row>
    <row r="150" spans="1:12">
      <c r="A150" s="672"/>
      <c r="B150" s="672"/>
      <c r="C150" s="672"/>
      <c r="D150" s="672"/>
      <c r="E150" s="672"/>
      <c r="F150" s="672"/>
      <c r="G150" s="672"/>
      <c r="H150" s="672"/>
      <c r="I150" s="672"/>
      <c r="J150" s="672"/>
      <c r="K150" s="672"/>
      <c r="L150" s="673"/>
    </row>
    <row r="151" spans="1:12">
      <c r="A151" s="672"/>
      <c r="B151" s="672"/>
      <c r="C151" s="672"/>
      <c r="D151" s="672"/>
      <c r="E151" s="672"/>
      <c r="F151" s="672"/>
      <c r="G151" s="672"/>
      <c r="H151" s="672"/>
      <c r="I151" s="672"/>
      <c r="J151" s="672"/>
      <c r="K151" s="672"/>
      <c r="L151" s="673"/>
    </row>
    <row r="152" spans="1:12">
      <c r="A152" s="672"/>
      <c r="B152" s="672"/>
      <c r="C152" s="672"/>
      <c r="D152" s="672"/>
      <c r="E152" s="672"/>
      <c r="F152" s="672"/>
      <c r="G152" s="672"/>
      <c r="H152" s="672"/>
      <c r="I152" s="672"/>
      <c r="J152" s="672"/>
      <c r="K152" s="672"/>
      <c r="L152" s="673"/>
    </row>
    <row r="153" spans="1:12">
      <c r="A153" s="672"/>
      <c r="B153" s="672"/>
      <c r="C153" s="672"/>
      <c r="D153" s="672"/>
      <c r="E153" s="672"/>
      <c r="F153" s="672"/>
      <c r="G153" s="672"/>
      <c r="H153" s="672"/>
      <c r="I153" s="672"/>
      <c r="J153" s="672"/>
      <c r="K153" s="672"/>
      <c r="L153" s="673"/>
    </row>
    <row r="154" spans="1:12">
      <c r="A154" s="672"/>
      <c r="B154" s="672"/>
      <c r="C154" s="672"/>
      <c r="D154" s="672"/>
      <c r="E154" s="672"/>
      <c r="F154" s="672"/>
      <c r="G154" s="672"/>
      <c r="H154" s="672"/>
      <c r="I154" s="672"/>
      <c r="J154" s="672"/>
      <c r="K154" s="672"/>
      <c r="L154" s="673"/>
    </row>
    <row r="155" spans="1:12">
      <c r="A155" s="672"/>
      <c r="B155" s="672"/>
      <c r="C155" s="672"/>
      <c r="D155" s="672"/>
      <c r="E155" s="672"/>
      <c r="F155" s="672"/>
      <c r="G155" s="672"/>
      <c r="H155" s="672"/>
      <c r="I155" s="672"/>
      <c r="J155" s="672"/>
      <c r="K155" s="672"/>
      <c r="L155" s="673"/>
    </row>
    <row r="156" spans="1:12">
      <c r="A156" s="672"/>
      <c r="B156" s="672"/>
      <c r="C156" s="672"/>
      <c r="D156" s="672"/>
      <c r="E156" s="672"/>
      <c r="F156" s="672"/>
      <c r="G156" s="672"/>
      <c r="H156" s="672"/>
      <c r="I156" s="672"/>
      <c r="J156" s="672"/>
      <c r="K156" s="672"/>
      <c r="L156" s="673"/>
    </row>
    <row r="157" spans="1:12">
      <c r="A157" s="672"/>
      <c r="B157" s="672"/>
      <c r="C157" s="672"/>
      <c r="D157" s="672"/>
      <c r="E157" s="672"/>
      <c r="F157" s="672"/>
      <c r="G157" s="672"/>
      <c r="H157" s="672"/>
      <c r="I157" s="672"/>
      <c r="J157" s="672"/>
      <c r="K157" s="672"/>
      <c r="L157" s="673"/>
    </row>
    <row r="158" spans="1:12">
      <c r="A158" s="672"/>
      <c r="B158" s="672"/>
      <c r="C158" s="672"/>
      <c r="D158" s="672"/>
      <c r="E158" s="672"/>
      <c r="F158" s="672"/>
      <c r="G158" s="672"/>
      <c r="H158" s="672"/>
      <c r="I158" s="672"/>
      <c r="J158" s="672"/>
      <c r="K158" s="672"/>
      <c r="L158" s="673"/>
    </row>
    <row r="159" spans="1:12">
      <c r="A159" s="672"/>
      <c r="B159" s="672"/>
      <c r="C159" s="672"/>
      <c r="D159" s="672"/>
      <c r="E159" s="672"/>
      <c r="F159" s="672"/>
      <c r="G159" s="672"/>
      <c r="H159" s="672"/>
      <c r="I159" s="672"/>
      <c r="J159" s="672"/>
      <c r="K159" s="672"/>
      <c r="L159" s="673"/>
    </row>
    <row r="160" spans="1:12">
      <c r="A160" s="672"/>
      <c r="B160" s="672"/>
      <c r="C160" s="672"/>
      <c r="D160" s="672"/>
      <c r="E160" s="672"/>
      <c r="F160" s="672"/>
      <c r="G160" s="672"/>
      <c r="H160" s="672"/>
      <c r="I160" s="672"/>
      <c r="J160" s="672"/>
      <c r="K160" s="672"/>
      <c r="L160" s="673"/>
    </row>
    <row r="161" spans="1:12">
      <c r="A161" s="672"/>
      <c r="B161" s="672"/>
      <c r="C161" s="672"/>
      <c r="D161" s="672"/>
      <c r="E161" s="672"/>
      <c r="F161" s="672"/>
      <c r="G161" s="672"/>
      <c r="H161" s="672"/>
      <c r="I161" s="672"/>
      <c r="J161" s="672"/>
      <c r="K161" s="672"/>
      <c r="L161" s="673"/>
    </row>
    <row r="162" spans="1:12">
      <c r="A162" s="672"/>
      <c r="B162" s="672"/>
      <c r="C162" s="672"/>
      <c r="D162" s="672"/>
      <c r="E162" s="672"/>
      <c r="F162" s="672"/>
      <c r="G162" s="672"/>
      <c r="H162" s="672"/>
      <c r="I162" s="672"/>
      <c r="J162" s="672"/>
      <c r="K162" s="672"/>
      <c r="L162" s="673"/>
    </row>
    <row r="163" spans="1:12">
      <c r="A163" s="672"/>
      <c r="B163" s="672"/>
      <c r="C163" s="672"/>
      <c r="D163" s="672"/>
      <c r="E163" s="672"/>
      <c r="F163" s="672"/>
      <c r="G163" s="672"/>
      <c r="H163" s="672"/>
      <c r="I163" s="672"/>
      <c r="J163" s="672"/>
      <c r="K163" s="672"/>
      <c r="L163" s="673"/>
    </row>
    <row r="164" spans="1:12">
      <c r="A164" s="672"/>
      <c r="B164" s="672"/>
      <c r="C164" s="672"/>
      <c r="D164" s="672"/>
      <c r="E164" s="672"/>
      <c r="F164" s="672"/>
      <c r="G164" s="672"/>
      <c r="H164" s="672"/>
      <c r="I164" s="672"/>
      <c r="J164" s="672"/>
      <c r="K164" s="672"/>
      <c r="L164" s="673"/>
    </row>
    <row r="165" spans="1:12">
      <c r="A165" s="672"/>
      <c r="B165" s="672"/>
      <c r="C165" s="672"/>
      <c r="D165" s="672"/>
      <c r="E165" s="672"/>
      <c r="F165" s="672"/>
      <c r="G165" s="672"/>
      <c r="H165" s="672"/>
      <c r="I165" s="672"/>
      <c r="J165" s="672"/>
      <c r="K165" s="672"/>
      <c r="L165" s="673"/>
    </row>
    <row r="166" spans="1:12">
      <c r="A166" s="672"/>
      <c r="B166" s="672"/>
      <c r="C166" s="672"/>
      <c r="D166" s="672"/>
      <c r="E166" s="672"/>
      <c r="F166" s="672"/>
      <c r="G166" s="672"/>
      <c r="H166" s="672"/>
      <c r="I166" s="672"/>
      <c r="J166" s="672"/>
      <c r="K166" s="672"/>
      <c r="L166" s="673"/>
    </row>
    <row r="167" spans="1:12">
      <c r="A167" s="672"/>
      <c r="B167" s="672"/>
      <c r="C167" s="672"/>
      <c r="D167" s="672"/>
      <c r="E167" s="672"/>
      <c r="F167" s="672"/>
      <c r="G167" s="672"/>
      <c r="H167" s="672"/>
      <c r="I167" s="672"/>
      <c r="J167" s="672"/>
      <c r="K167" s="672"/>
      <c r="L167" s="673"/>
    </row>
    <row r="168" spans="1:12">
      <c r="A168" s="672"/>
      <c r="B168" s="672"/>
      <c r="C168" s="672"/>
      <c r="D168" s="672"/>
      <c r="E168" s="672"/>
      <c r="F168" s="672"/>
      <c r="G168" s="672"/>
      <c r="H168" s="672"/>
      <c r="I168" s="672"/>
      <c r="J168" s="672"/>
      <c r="K168" s="672"/>
      <c r="L168" s="673"/>
    </row>
    <row r="169" spans="1:12">
      <c r="A169" s="672"/>
      <c r="B169" s="672"/>
      <c r="C169" s="672"/>
      <c r="D169" s="672"/>
      <c r="E169" s="672"/>
      <c r="F169" s="672"/>
      <c r="G169" s="672"/>
      <c r="H169" s="672"/>
      <c r="I169" s="672"/>
      <c r="J169" s="672"/>
      <c r="K169" s="672"/>
      <c r="L169" s="673"/>
    </row>
    <row r="170" spans="1:12">
      <c r="A170" s="672"/>
      <c r="B170" s="672"/>
      <c r="C170" s="672"/>
      <c r="D170" s="672"/>
      <c r="E170" s="672"/>
      <c r="F170" s="672"/>
      <c r="G170" s="672"/>
      <c r="H170" s="672"/>
      <c r="I170" s="672"/>
      <c r="J170" s="672"/>
      <c r="K170" s="672"/>
      <c r="L170" s="673"/>
    </row>
    <row r="171" spans="1:12">
      <c r="A171" s="672"/>
      <c r="B171" s="672"/>
      <c r="C171" s="672"/>
      <c r="D171" s="672"/>
      <c r="E171" s="672"/>
      <c r="F171" s="672"/>
      <c r="G171" s="672"/>
      <c r="H171" s="672"/>
      <c r="I171" s="672"/>
      <c r="J171" s="672"/>
      <c r="K171" s="672"/>
      <c r="L171" s="673"/>
    </row>
    <row r="172" spans="1:12">
      <c r="A172" s="672"/>
      <c r="B172" s="672"/>
      <c r="C172" s="672"/>
      <c r="D172" s="672"/>
      <c r="E172" s="672"/>
      <c r="F172" s="672"/>
      <c r="G172" s="672"/>
      <c r="H172" s="672"/>
      <c r="I172" s="672"/>
      <c r="J172" s="672"/>
      <c r="K172" s="672"/>
      <c r="L172" s="673"/>
    </row>
    <row r="173" spans="1:12">
      <c r="A173" s="672"/>
      <c r="B173" s="672"/>
      <c r="C173" s="672"/>
      <c r="D173" s="672"/>
      <c r="E173" s="672"/>
      <c r="F173" s="672"/>
      <c r="G173" s="672"/>
      <c r="H173" s="672"/>
      <c r="I173" s="672"/>
      <c r="J173" s="672"/>
      <c r="K173" s="672"/>
      <c r="L173" s="673"/>
    </row>
    <row r="174" spans="1:12">
      <c r="A174" s="672"/>
      <c r="B174" s="672"/>
      <c r="C174" s="672"/>
      <c r="D174" s="672"/>
      <c r="E174" s="672"/>
      <c r="F174" s="672"/>
      <c r="G174" s="672"/>
      <c r="H174" s="672"/>
      <c r="I174" s="672"/>
      <c r="J174" s="672"/>
      <c r="K174" s="672"/>
      <c r="L174" s="673"/>
    </row>
    <row r="175" spans="1:12">
      <c r="A175" s="672"/>
      <c r="B175" s="672"/>
      <c r="C175" s="672"/>
      <c r="D175" s="672"/>
      <c r="E175" s="672"/>
      <c r="F175" s="672"/>
      <c r="G175" s="672"/>
      <c r="H175" s="672"/>
      <c r="I175" s="672"/>
      <c r="J175" s="672"/>
      <c r="K175" s="672"/>
      <c r="L175" s="673"/>
    </row>
    <row r="176" spans="1:12">
      <c r="A176" s="672"/>
      <c r="B176" s="672"/>
      <c r="C176" s="672"/>
      <c r="D176" s="672"/>
      <c r="E176" s="672"/>
      <c r="F176" s="672"/>
      <c r="G176" s="672"/>
      <c r="H176" s="672"/>
      <c r="I176" s="672"/>
      <c r="J176" s="672"/>
      <c r="K176" s="672"/>
      <c r="L176" s="673"/>
    </row>
    <row r="177" spans="1:12">
      <c r="A177" s="672"/>
      <c r="B177" s="672"/>
      <c r="C177" s="672"/>
      <c r="D177" s="672"/>
      <c r="E177" s="672"/>
      <c r="F177" s="672"/>
      <c r="G177" s="672"/>
      <c r="H177" s="672"/>
      <c r="I177" s="672"/>
      <c r="J177" s="672"/>
      <c r="K177" s="672"/>
      <c r="L177" s="673"/>
    </row>
    <row r="178" spans="1:12">
      <c r="A178" s="672"/>
      <c r="B178" s="672"/>
      <c r="C178" s="672"/>
      <c r="D178" s="672"/>
      <c r="E178" s="672"/>
      <c r="F178" s="672"/>
      <c r="G178" s="672"/>
      <c r="H178" s="672"/>
      <c r="I178" s="672"/>
      <c r="J178" s="672"/>
      <c r="K178" s="672"/>
      <c r="L178" s="673"/>
    </row>
    <row r="179" spans="1:12">
      <c r="A179" s="672"/>
      <c r="B179" s="672"/>
      <c r="C179" s="672"/>
      <c r="D179" s="672"/>
      <c r="E179" s="672"/>
      <c r="F179" s="672"/>
      <c r="G179" s="672"/>
      <c r="H179" s="672"/>
      <c r="I179" s="672"/>
      <c r="J179" s="672"/>
      <c r="K179" s="672"/>
      <c r="L179" s="673"/>
    </row>
    <row r="180" spans="1:12">
      <c r="A180" s="672"/>
      <c r="B180" s="672"/>
      <c r="C180" s="672"/>
      <c r="D180" s="672"/>
      <c r="E180" s="672"/>
      <c r="F180" s="672"/>
      <c r="G180" s="672"/>
      <c r="H180" s="672"/>
      <c r="I180" s="672"/>
      <c r="J180" s="672"/>
      <c r="K180" s="672"/>
      <c r="L180" s="673"/>
    </row>
    <row r="181" spans="1:12">
      <c r="A181" s="672"/>
      <c r="B181" s="672"/>
      <c r="C181" s="672"/>
      <c r="D181" s="672"/>
      <c r="E181" s="672"/>
      <c r="F181" s="672"/>
      <c r="G181" s="672"/>
      <c r="H181" s="672"/>
      <c r="I181" s="672"/>
      <c r="J181" s="672"/>
      <c r="K181" s="672"/>
      <c r="L181" s="673"/>
    </row>
    <row r="182" spans="1:12">
      <c r="A182" s="672"/>
      <c r="B182" s="672"/>
      <c r="C182" s="672"/>
      <c r="D182" s="672"/>
      <c r="E182" s="672"/>
      <c r="F182" s="672"/>
      <c r="G182" s="672"/>
      <c r="H182" s="672"/>
      <c r="I182" s="672"/>
      <c r="J182" s="672"/>
      <c r="K182" s="672"/>
      <c r="L182" s="673"/>
    </row>
    <row r="183" spans="1:12">
      <c r="A183" s="672"/>
      <c r="B183" s="672"/>
      <c r="C183" s="672"/>
      <c r="D183" s="672"/>
      <c r="E183" s="672"/>
      <c r="F183" s="672"/>
      <c r="G183" s="672"/>
      <c r="H183" s="672"/>
      <c r="I183" s="672"/>
      <c r="J183" s="672"/>
      <c r="K183" s="672"/>
      <c r="L183" s="673"/>
    </row>
    <row r="184" spans="1:12">
      <c r="A184" s="672"/>
      <c r="B184" s="672"/>
      <c r="C184" s="672"/>
      <c r="D184" s="672"/>
      <c r="E184" s="672"/>
      <c r="F184" s="672"/>
      <c r="G184" s="672"/>
      <c r="H184" s="672"/>
      <c r="I184" s="672"/>
      <c r="J184" s="672"/>
      <c r="K184" s="672"/>
      <c r="L184" s="673"/>
    </row>
    <row r="185" spans="1:12">
      <c r="A185" s="672"/>
      <c r="B185" s="672"/>
      <c r="C185" s="672"/>
      <c r="D185" s="672"/>
      <c r="E185" s="672"/>
      <c r="F185" s="672"/>
      <c r="G185" s="672"/>
      <c r="H185" s="672"/>
      <c r="I185" s="672"/>
      <c r="J185" s="672"/>
      <c r="K185" s="672"/>
      <c r="L185" s="673"/>
    </row>
    <row r="186" spans="1:12">
      <c r="A186" s="672"/>
      <c r="B186" s="672"/>
      <c r="C186" s="672"/>
      <c r="D186" s="672"/>
      <c r="E186" s="672"/>
      <c r="F186" s="672"/>
      <c r="G186" s="672"/>
      <c r="H186" s="672"/>
      <c r="I186" s="672"/>
      <c r="J186" s="672"/>
      <c r="K186" s="672"/>
      <c r="L186" s="673"/>
    </row>
    <row r="187" spans="1:12">
      <c r="A187" s="672"/>
      <c r="B187" s="672"/>
      <c r="C187" s="672"/>
      <c r="D187" s="672"/>
      <c r="E187" s="672"/>
      <c r="F187" s="672"/>
      <c r="G187" s="672"/>
      <c r="H187" s="672"/>
      <c r="I187" s="672"/>
      <c r="J187" s="672"/>
      <c r="K187" s="672"/>
      <c r="L187" s="673"/>
    </row>
    <row r="188" spans="1:12">
      <c r="A188" s="672"/>
      <c r="B188" s="672"/>
      <c r="C188" s="672"/>
      <c r="D188" s="672"/>
      <c r="E188" s="672"/>
      <c r="F188" s="672"/>
      <c r="G188" s="672"/>
      <c r="H188" s="672"/>
      <c r="I188" s="672"/>
      <c r="J188" s="672"/>
      <c r="K188" s="672"/>
      <c r="L188" s="673"/>
    </row>
    <row r="189" spans="1:12">
      <c r="A189" s="672"/>
      <c r="B189" s="672"/>
      <c r="C189" s="672"/>
      <c r="D189" s="672"/>
      <c r="E189" s="672"/>
      <c r="F189" s="672"/>
      <c r="G189" s="672"/>
      <c r="H189" s="672"/>
      <c r="I189" s="672"/>
      <c r="J189" s="672"/>
      <c r="K189" s="672"/>
      <c r="L189" s="673"/>
    </row>
    <row r="190" spans="1:12">
      <c r="A190" s="672"/>
      <c r="B190" s="672"/>
      <c r="C190" s="672"/>
      <c r="D190" s="672"/>
      <c r="E190" s="672"/>
      <c r="F190" s="672"/>
      <c r="G190" s="672"/>
      <c r="H190" s="672"/>
      <c r="I190" s="672"/>
      <c r="J190" s="672"/>
      <c r="K190" s="672"/>
      <c r="L190" s="673"/>
    </row>
    <row r="191" spans="1:12">
      <c r="A191" s="672"/>
      <c r="B191" s="672"/>
      <c r="C191" s="672"/>
      <c r="D191" s="672"/>
      <c r="E191" s="672"/>
      <c r="F191" s="672"/>
      <c r="G191" s="672"/>
      <c r="H191" s="672"/>
      <c r="I191" s="672"/>
      <c r="J191" s="672"/>
      <c r="K191" s="672"/>
      <c r="L191" s="673"/>
    </row>
    <row r="192" spans="1:12">
      <c r="A192" s="672"/>
      <c r="B192" s="672"/>
      <c r="C192" s="672"/>
      <c r="D192" s="672"/>
      <c r="E192" s="672"/>
      <c r="F192" s="672"/>
      <c r="G192" s="672"/>
      <c r="H192" s="672"/>
      <c r="I192" s="672"/>
      <c r="J192" s="672"/>
      <c r="K192" s="672"/>
      <c r="L192" s="673"/>
    </row>
    <row r="193" spans="1:12">
      <c r="A193" s="672"/>
      <c r="B193" s="672"/>
      <c r="C193" s="672"/>
      <c r="D193" s="672"/>
      <c r="E193" s="672"/>
      <c r="F193" s="672"/>
      <c r="G193" s="672"/>
      <c r="H193" s="672"/>
      <c r="I193" s="672"/>
      <c r="J193" s="672"/>
      <c r="K193" s="672"/>
      <c r="L193" s="673"/>
    </row>
    <row r="194" spans="1:12">
      <c r="A194" s="672"/>
      <c r="B194" s="672"/>
      <c r="C194" s="672"/>
      <c r="D194" s="672"/>
      <c r="E194" s="672"/>
      <c r="F194" s="672"/>
      <c r="G194" s="672"/>
      <c r="H194" s="672"/>
      <c r="I194" s="672"/>
      <c r="J194" s="672"/>
      <c r="K194" s="672"/>
      <c r="L194" s="673"/>
    </row>
    <row r="195" spans="1:12">
      <c r="A195" s="672"/>
      <c r="B195" s="672"/>
      <c r="C195" s="672"/>
      <c r="D195" s="672"/>
      <c r="E195" s="672"/>
      <c r="F195" s="672"/>
      <c r="G195" s="672"/>
      <c r="H195" s="672"/>
      <c r="I195" s="672"/>
      <c r="J195" s="672"/>
      <c r="K195" s="672"/>
      <c r="L195" s="673"/>
    </row>
    <row r="196" spans="1:12">
      <c r="A196" s="672"/>
      <c r="B196" s="672"/>
      <c r="C196" s="672"/>
      <c r="D196" s="672"/>
      <c r="E196" s="672"/>
      <c r="F196" s="672"/>
      <c r="G196" s="672"/>
      <c r="H196" s="672"/>
      <c r="I196" s="672"/>
      <c r="J196" s="672"/>
      <c r="K196" s="672"/>
      <c r="L196" s="673"/>
    </row>
    <row r="197" spans="1:12">
      <c r="A197" s="672"/>
      <c r="B197" s="672"/>
      <c r="C197" s="672"/>
      <c r="D197" s="672"/>
      <c r="E197" s="672"/>
      <c r="F197" s="672"/>
      <c r="G197" s="672"/>
      <c r="H197" s="672"/>
      <c r="I197" s="672"/>
      <c r="J197" s="672"/>
      <c r="K197" s="672"/>
      <c r="L197" s="673"/>
    </row>
    <row r="198" spans="1:12">
      <c r="A198" s="672"/>
      <c r="B198" s="672"/>
      <c r="C198" s="672"/>
      <c r="D198" s="672"/>
      <c r="E198" s="672"/>
      <c r="F198" s="672"/>
      <c r="G198" s="672"/>
      <c r="H198" s="672"/>
      <c r="I198" s="672"/>
      <c r="J198" s="672"/>
      <c r="K198" s="672"/>
      <c r="L198" s="673"/>
    </row>
    <row r="199" spans="1:12">
      <c r="A199" s="672"/>
      <c r="B199" s="672"/>
      <c r="C199" s="672"/>
      <c r="D199" s="672"/>
      <c r="E199" s="672"/>
      <c r="F199" s="672"/>
      <c r="G199" s="672"/>
      <c r="H199" s="672"/>
      <c r="I199" s="672"/>
      <c r="J199" s="672"/>
      <c r="K199" s="672"/>
      <c r="L199" s="673"/>
    </row>
    <row r="200" spans="1:12">
      <c r="A200" s="672"/>
      <c r="B200" s="672"/>
      <c r="C200" s="672"/>
      <c r="D200" s="672"/>
      <c r="E200" s="672"/>
      <c r="F200" s="672"/>
      <c r="G200" s="672"/>
      <c r="H200" s="672"/>
      <c r="I200" s="672"/>
      <c r="J200" s="672"/>
      <c r="K200" s="672"/>
      <c r="L200" s="673"/>
    </row>
    <row r="201" spans="1:12">
      <c r="A201" s="672"/>
      <c r="B201" s="672"/>
      <c r="C201" s="672"/>
      <c r="D201" s="672"/>
      <c r="E201" s="672"/>
      <c r="F201" s="672"/>
      <c r="G201" s="672"/>
      <c r="H201" s="672"/>
      <c r="I201" s="672"/>
      <c r="J201" s="672"/>
      <c r="K201" s="672"/>
      <c r="L201" s="673"/>
    </row>
    <row r="202" spans="1:12">
      <c r="A202" s="672"/>
      <c r="B202" s="672"/>
      <c r="C202" s="672"/>
      <c r="D202" s="672"/>
      <c r="E202" s="672"/>
      <c r="F202" s="672"/>
      <c r="G202" s="672"/>
      <c r="H202" s="672"/>
      <c r="I202" s="672"/>
      <c r="J202" s="672"/>
      <c r="K202" s="672"/>
      <c r="L202" s="673"/>
    </row>
    <row r="203" spans="1:12">
      <c r="A203" s="672"/>
      <c r="B203" s="672"/>
      <c r="C203" s="672"/>
      <c r="D203" s="672"/>
      <c r="E203" s="672"/>
      <c r="F203" s="672"/>
      <c r="G203" s="672"/>
      <c r="H203" s="672"/>
      <c r="I203" s="672"/>
      <c r="J203" s="672"/>
      <c r="K203" s="672"/>
      <c r="L203" s="673"/>
    </row>
    <row r="204" spans="1:12">
      <c r="A204" s="672"/>
      <c r="B204" s="672"/>
      <c r="C204" s="672"/>
      <c r="D204" s="672"/>
      <c r="E204" s="672"/>
      <c r="F204" s="672"/>
      <c r="G204" s="672"/>
      <c r="H204" s="672"/>
      <c r="I204" s="672"/>
      <c r="J204" s="672"/>
      <c r="K204" s="672"/>
      <c r="L204" s="673"/>
    </row>
    <row r="205" spans="1:12">
      <c r="A205" s="672"/>
      <c r="B205" s="672"/>
      <c r="C205" s="672"/>
      <c r="D205" s="672"/>
      <c r="E205" s="672"/>
      <c r="F205" s="672"/>
      <c r="G205" s="672"/>
      <c r="H205" s="672"/>
      <c r="I205" s="672"/>
      <c r="J205" s="672"/>
      <c r="K205" s="672"/>
      <c r="L205" s="673"/>
    </row>
    <row r="206" spans="1:12">
      <c r="A206" s="672"/>
      <c r="B206" s="672"/>
      <c r="C206" s="672"/>
      <c r="D206" s="672"/>
      <c r="E206" s="672"/>
      <c r="F206" s="672"/>
      <c r="G206" s="672"/>
      <c r="H206" s="672"/>
      <c r="I206" s="672"/>
      <c r="J206" s="672"/>
      <c r="K206" s="672"/>
      <c r="L206" s="673"/>
    </row>
    <row r="207" spans="1:12">
      <c r="A207" s="672"/>
      <c r="B207" s="672"/>
      <c r="C207" s="672"/>
      <c r="D207" s="672"/>
      <c r="E207" s="672"/>
      <c r="F207" s="672"/>
      <c r="G207" s="672"/>
      <c r="H207" s="672"/>
      <c r="I207" s="672"/>
      <c r="J207" s="672"/>
      <c r="K207" s="672"/>
      <c r="L207" s="673"/>
    </row>
    <row r="208" spans="1:12">
      <c r="A208" s="672"/>
      <c r="B208" s="672"/>
      <c r="C208" s="672"/>
      <c r="D208" s="672"/>
      <c r="E208" s="672"/>
      <c r="F208" s="672"/>
      <c r="G208" s="672"/>
      <c r="H208" s="672"/>
      <c r="I208" s="672"/>
      <c r="J208" s="672"/>
      <c r="K208" s="672"/>
      <c r="L208" s="673"/>
    </row>
    <row r="209" spans="1:12">
      <c r="A209" s="672"/>
      <c r="B209" s="672"/>
      <c r="C209" s="672"/>
      <c r="D209" s="672"/>
      <c r="E209" s="672"/>
      <c r="F209" s="672"/>
      <c r="G209" s="672"/>
      <c r="H209" s="672"/>
      <c r="I209" s="672"/>
      <c r="J209" s="672"/>
      <c r="K209" s="672"/>
      <c r="L209" s="673"/>
    </row>
    <row r="210" spans="1:12">
      <c r="A210" s="672"/>
      <c r="B210" s="672"/>
      <c r="C210" s="672"/>
      <c r="D210" s="672"/>
      <c r="E210" s="672"/>
      <c r="F210" s="672"/>
      <c r="G210" s="672"/>
      <c r="H210" s="672"/>
      <c r="I210" s="672"/>
      <c r="J210" s="672"/>
      <c r="K210" s="672"/>
      <c r="L210" s="673"/>
    </row>
    <row r="211" spans="1:12">
      <c r="A211" s="672"/>
      <c r="B211" s="672"/>
      <c r="C211" s="672"/>
      <c r="D211" s="672"/>
      <c r="E211" s="672"/>
      <c r="F211" s="672"/>
      <c r="G211" s="672"/>
      <c r="H211" s="672"/>
      <c r="I211" s="672"/>
      <c r="J211" s="672"/>
      <c r="K211" s="672"/>
      <c r="L211" s="673"/>
    </row>
    <row r="212" spans="1:12">
      <c r="A212" s="672"/>
      <c r="B212" s="672"/>
      <c r="C212" s="672"/>
      <c r="D212" s="672"/>
      <c r="E212" s="672"/>
      <c r="F212" s="672"/>
      <c r="G212" s="672"/>
      <c r="H212" s="672"/>
      <c r="I212" s="672"/>
      <c r="J212" s="672"/>
      <c r="K212" s="672"/>
      <c r="L212" s="673"/>
    </row>
    <row r="213" spans="1:12">
      <c r="A213" s="672"/>
      <c r="B213" s="672"/>
      <c r="C213" s="672"/>
      <c r="D213" s="672"/>
      <c r="E213" s="672"/>
      <c r="F213" s="672"/>
      <c r="G213" s="672"/>
      <c r="H213" s="672"/>
      <c r="I213" s="672"/>
      <c r="J213" s="672"/>
      <c r="K213" s="672"/>
      <c r="L213" s="673"/>
    </row>
    <row r="214" spans="1:12">
      <c r="A214" s="672"/>
      <c r="B214" s="672"/>
      <c r="C214" s="672"/>
      <c r="D214" s="672"/>
      <c r="E214" s="672"/>
      <c r="F214" s="672"/>
      <c r="G214" s="672"/>
      <c r="H214" s="672"/>
      <c r="I214" s="672"/>
      <c r="J214" s="672"/>
      <c r="K214" s="672"/>
      <c r="L214" s="673"/>
    </row>
    <row r="215" spans="1:12">
      <c r="A215" s="672"/>
      <c r="B215" s="672"/>
      <c r="C215" s="672"/>
      <c r="D215" s="672"/>
      <c r="E215" s="672"/>
      <c r="F215" s="672"/>
      <c r="G215" s="672"/>
      <c r="H215" s="672"/>
      <c r="I215" s="672"/>
      <c r="J215" s="672"/>
      <c r="K215" s="672"/>
      <c r="L215" s="673"/>
    </row>
    <row r="216" spans="1:12">
      <c r="A216" s="672"/>
      <c r="B216" s="672"/>
      <c r="C216" s="672"/>
      <c r="D216" s="672"/>
      <c r="E216" s="672"/>
      <c r="F216" s="672"/>
      <c r="G216" s="672"/>
      <c r="H216" s="672"/>
      <c r="I216" s="672"/>
      <c r="J216" s="672"/>
      <c r="K216" s="672"/>
      <c r="L216" s="673"/>
    </row>
    <row r="217" spans="1:12">
      <c r="A217" s="672"/>
      <c r="B217" s="672"/>
      <c r="C217" s="672"/>
      <c r="D217" s="672"/>
      <c r="E217" s="672"/>
      <c r="F217" s="672"/>
      <c r="G217" s="672"/>
      <c r="H217" s="672"/>
      <c r="I217" s="672"/>
      <c r="J217" s="672"/>
      <c r="K217" s="672"/>
      <c r="L217" s="673"/>
    </row>
    <row r="218" spans="1:12">
      <c r="A218" s="672"/>
      <c r="B218" s="672"/>
      <c r="C218" s="672"/>
      <c r="D218" s="672"/>
      <c r="E218" s="672"/>
      <c r="F218" s="672"/>
      <c r="G218" s="672"/>
      <c r="H218" s="672"/>
      <c r="I218" s="672"/>
      <c r="J218" s="672"/>
      <c r="K218" s="672"/>
      <c r="L218" s="673"/>
    </row>
    <row r="219" spans="1:12">
      <c r="A219" s="672"/>
      <c r="B219" s="672"/>
      <c r="C219" s="672"/>
      <c r="D219" s="672"/>
      <c r="E219" s="672"/>
      <c r="F219" s="672"/>
      <c r="G219" s="672"/>
      <c r="H219" s="672"/>
      <c r="I219" s="672"/>
      <c r="J219" s="672"/>
      <c r="K219" s="672"/>
      <c r="L219" s="673"/>
    </row>
    <row r="220" spans="1:12">
      <c r="A220" s="672"/>
      <c r="B220" s="672"/>
      <c r="C220" s="672"/>
      <c r="D220" s="672"/>
      <c r="E220" s="672"/>
      <c r="F220" s="672"/>
      <c r="G220" s="672"/>
      <c r="H220" s="672"/>
      <c r="I220" s="672"/>
      <c r="J220" s="672"/>
      <c r="K220" s="672"/>
      <c r="L220" s="673"/>
    </row>
    <row r="221" spans="1:12">
      <c r="A221" s="672"/>
      <c r="B221" s="672"/>
      <c r="C221" s="672"/>
      <c r="D221" s="672"/>
      <c r="E221" s="672"/>
      <c r="F221" s="672"/>
      <c r="G221" s="672"/>
      <c r="H221" s="672"/>
      <c r="I221" s="672"/>
      <c r="J221" s="672"/>
      <c r="K221" s="672"/>
      <c r="L221" s="673"/>
    </row>
    <row r="222" spans="1:12">
      <c r="A222" s="672"/>
      <c r="B222" s="672"/>
      <c r="C222" s="672"/>
      <c r="D222" s="672"/>
      <c r="E222" s="672"/>
      <c r="F222" s="672"/>
      <c r="G222" s="672"/>
      <c r="H222" s="672"/>
      <c r="I222" s="672"/>
      <c r="J222" s="672"/>
      <c r="K222" s="672"/>
      <c r="L222" s="673"/>
    </row>
    <row r="223" spans="1:12">
      <c r="A223" s="672"/>
      <c r="B223" s="672"/>
      <c r="C223" s="672"/>
      <c r="D223" s="672"/>
      <c r="E223" s="672"/>
      <c r="F223" s="672"/>
      <c r="G223" s="672"/>
      <c r="H223" s="672"/>
      <c r="I223" s="672"/>
      <c r="J223" s="672"/>
      <c r="K223" s="672"/>
      <c r="L223" s="673"/>
    </row>
    <row r="224" spans="1:12">
      <c r="A224" s="672"/>
      <c r="B224" s="672"/>
      <c r="C224" s="672"/>
      <c r="D224" s="672"/>
      <c r="E224" s="672"/>
      <c r="F224" s="672"/>
      <c r="G224" s="672"/>
      <c r="H224" s="672"/>
      <c r="I224" s="672"/>
      <c r="J224" s="672"/>
      <c r="K224" s="672"/>
      <c r="L224" s="673"/>
    </row>
    <row r="225" spans="1:12">
      <c r="A225" s="672"/>
      <c r="B225" s="672"/>
      <c r="C225" s="672"/>
      <c r="D225" s="672"/>
      <c r="E225" s="672"/>
      <c r="F225" s="672"/>
      <c r="G225" s="672"/>
      <c r="H225" s="672"/>
      <c r="I225" s="672"/>
      <c r="J225" s="672"/>
      <c r="K225" s="672"/>
      <c r="L225" s="673"/>
    </row>
    <row r="226" spans="1:12">
      <c r="A226" s="672"/>
      <c r="B226" s="672"/>
      <c r="C226" s="672"/>
      <c r="D226" s="672"/>
      <c r="E226" s="672"/>
      <c r="F226" s="672"/>
      <c r="G226" s="672"/>
      <c r="H226" s="672"/>
      <c r="I226" s="672"/>
      <c r="J226" s="672"/>
      <c r="K226" s="672"/>
      <c r="L226" s="673"/>
    </row>
    <row r="227" spans="1:12">
      <c r="A227" s="672"/>
      <c r="B227" s="672"/>
      <c r="C227" s="672"/>
      <c r="D227" s="672"/>
      <c r="E227" s="672"/>
      <c r="F227" s="672"/>
      <c r="G227" s="672"/>
      <c r="H227" s="672"/>
      <c r="I227" s="672"/>
      <c r="J227" s="672"/>
      <c r="K227" s="672"/>
      <c r="L227" s="673"/>
    </row>
    <row r="228" spans="1:12">
      <c r="A228" s="672"/>
      <c r="B228" s="672"/>
      <c r="C228" s="672"/>
      <c r="D228" s="672"/>
      <c r="E228" s="672"/>
      <c r="F228" s="672"/>
      <c r="G228" s="672"/>
      <c r="H228" s="672"/>
      <c r="I228" s="672"/>
      <c r="J228" s="672"/>
      <c r="K228" s="672"/>
      <c r="L228" s="673"/>
    </row>
    <row r="229" spans="1:12">
      <c r="A229" s="672"/>
      <c r="B229" s="672"/>
      <c r="C229" s="672"/>
      <c r="D229" s="672"/>
      <c r="E229" s="672"/>
      <c r="F229" s="672"/>
      <c r="G229" s="672"/>
      <c r="H229" s="672"/>
      <c r="I229" s="672"/>
      <c r="J229" s="672"/>
      <c r="K229" s="672"/>
      <c r="L229" s="673"/>
    </row>
    <row r="230" spans="1:12">
      <c r="A230" s="672"/>
      <c r="B230" s="672"/>
      <c r="C230" s="672"/>
      <c r="D230" s="672"/>
      <c r="E230" s="672"/>
      <c r="F230" s="672"/>
      <c r="G230" s="672"/>
      <c r="H230" s="672"/>
      <c r="I230" s="672"/>
      <c r="J230" s="672"/>
      <c r="K230" s="672"/>
      <c r="L230" s="673"/>
    </row>
    <row r="231" spans="1:12">
      <c r="A231" s="672"/>
      <c r="B231" s="672"/>
      <c r="C231" s="672"/>
      <c r="D231" s="672"/>
      <c r="E231" s="672"/>
      <c r="F231" s="672"/>
      <c r="G231" s="672"/>
      <c r="H231" s="672"/>
      <c r="I231" s="672"/>
      <c r="J231" s="672"/>
      <c r="K231" s="672"/>
      <c r="L231" s="673"/>
    </row>
    <row r="232" spans="1:12">
      <c r="A232" s="672"/>
      <c r="B232" s="672"/>
      <c r="C232" s="672"/>
      <c r="D232" s="672"/>
      <c r="E232" s="672"/>
      <c r="F232" s="672"/>
      <c r="G232" s="672"/>
      <c r="H232" s="672"/>
      <c r="I232" s="672"/>
      <c r="J232" s="672"/>
      <c r="K232" s="672"/>
      <c r="L232" s="673"/>
    </row>
    <row r="233" spans="1:12">
      <c r="A233" s="672"/>
      <c r="B233" s="672"/>
      <c r="C233" s="672"/>
      <c r="D233" s="672"/>
      <c r="E233" s="672"/>
      <c r="F233" s="672"/>
      <c r="G233" s="672"/>
      <c r="H233" s="672"/>
      <c r="I233" s="672"/>
      <c r="J233" s="672"/>
      <c r="K233" s="672"/>
      <c r="L233" s="673"/>
    </row>
    <row r="234" spans="1:12">
      <c r="A234" s="672"/>
      <c r="B234" s="672"/>
      <c r="C234" s="672"/>
      <c r="D234" s="672"/>
      <c r="E234" s="672"/>
      <c r="F234" s="672"/>
      <c r="G234" s="672"/>
      <c r="H234" s="672"/>
      <c r="I234" s="672"/>
      <c r="J234" s="672"/>
      <c r="K234" s="672"/>
      <c r="L234" s="673"/>
    </row>
    <row r="235" spans="1:12">
      <c r="A235" s="672"/>
      <c r="B235" s="672"/>
      <c r="C235" s="672"/>
      <c r="D235" s="672"/>
      <c r="E235" s="672"/>
      <c r="F235" s="672"/>
      <c r="G235" s="672"/>
      <c r="H235" s="672"/>
      <c r="I235" s="672"/>
      <c r="J235" s="672"/>
      <c r="K235" s="672"/>
      <c r="L235" s="673"/>
    </row>
    <row r="236" spans="1:12">
      <c r="A236" s="672"/>
      <c r="B236" s="672"/>
      <c r="C236" s="672"/>
      <c r="D236" s="672"/>
      <c r="E236" s="672"/>
      <c r="F236" s="672"/>
      <c r="G236" s="672"/>
      <c r="H236" s="672"/>
      <c r="I236" s="672"/>
      <c r="J236" s="672"/>
      <c r="K236" s="672"/>
      <c r="L236" s="673"/>
    </row>
    <row r="237" spans="1:12">
      <c r="A237" s="672"/>
      <c r="B237" s="672"/>
      <c r="C237" s="672"/>
      <c r="D237" s="672"/>
      <c r="E237" s="672"/>
      <c r="F237" s="672"/>
      <c r="G237" s="672"/>
      <c r="H237" s="672"/>
      <c r="I237" s="672"/>
      <c r="J237" s="672"/>
      <c r="K237" s="672"/>
      <c r="L237" s="673"/>
    </row>
    <row r="238" spans="1:12">
      <c r="A238" s="672"/>
      <c r="B238" s="672"/>
      <c r="C238" s="672"/>
      <c r="D238" s="672"/>
      <c r="E238" s="672"/>
      <c r="F238" s="672"/>
      <c r="G238" s="672"/>
      <c r="H238" s="672"/>
      <c r="I238" s="672"/>
      <c r="J238" s="672"/>
      <c r="K238" s="672"/>
      <c r="L238" s="673"/>
    </row>
    <row r="239" spans="1:12">
      <c r="A239" s="672"/>
      <c r="B239" s="672"/>
      <c r="C239" s="672"/>
      <c r="D239" s="672"/>
      <c r="E239" s="672"/>
      <c r="F239" s="672"/>
      <c r="G239" s="672"/>
      <c r="H239" s="672"/>
      <c r="I239" s="672"/>
      <c r="J239" s="672"/>
      <c r="K239" s="672"/>
      <c r="L239" s="673"/>
    </row>
    <row r="240" spans="1:12">
      <c r="A240" s="672"/>
      <c r="B240" s="672"/>
      <c r="C240" s="672"/>
      <c r="D240" s="672"/>
      <c r="E240" s="672"/>
      <c r="F240" s="672"/>
      <c r="G240" s="672"/>
      <c r="H240" s="672"/>
      <c r="I240" s="672"/>
      <c r="J240" s="672"/>
      <c r="K240" s="672"/>
      <c r="L240" s="673"/>
    </row>
    <row r="241" spans="1:12">
      <c r="A241" s="672"/>
      <c r="B241" s="672"/>
      <c r="C241" s="672"/>
      <c r="D241" s="672"/>
      <c r="E241" s="672"/>
      <c r="F241" s="672"/>
      <c r="G241" s="672"/>
      <c r="H241" s="672"/>
      <c r="I241" s="672"/>
      <c r="J241" s="672"/>
      <c r="K241" s="672"/>
      <c r="L241" s="673"/>
    </row>
    <row r="242" spans="1:12">
      <c r="A242" s="672"/>
      <c r="B242" s="672"/>
      <c r="C242" s="672"/>
      <c r="D242" s="672"/>
      <c r="E242" s="672"/>
      <c r="F242" s="672"/>
      <c r="G242" s="672"/>
      <c r="H242" s="672"/>
      <c r="I242" s="672"/>
      <c r="J242" s="672"/>
      <c r="K242" s="672"/>
      <c r="L242" s="673"/>
    </row>
    <row r="243" spans="1:12">
      <c r="A243" s="672"/>
      <c r="B243" s="672"/>
      <c r="C243" s="672"/>
      <c r="D243" s="672"/>
      <c r="E243" s="672"/>
      <c r="F243" s="672"/>
      <c r="G243" s="672"/>
      <c r="H243" s="672"/>
      <c r="I243" s="672"/>
      <c r="J243" s="672"/>
      <c r="K243" s="672"/>
      <c r="L243" s="673"/>
    </row>
    <row r="244" spans="1:12">
      <c r="A244" s="672"/>
      <c r="B244" s="672"/>
      <c r="C244" s="672"/>
      <c r="D244" s="672"/>
      <c r="E244" s="672"/>
      <c r="F244" s="672"/>
      <c r="G244" s="672"/>
      <c r="H244" s="672"/>
      <c r="I244" s="672"/>
      <c r="J244" s="672"/>
      <c r="K244" s="672"/>
      <c r="L244" s="673"/>
    </row>
    <row r="245" spans="1:12">
      <c r="A245" s="672"/>
      <c r="B245" s="672"/>
      <c r="C245" s="672"/>
      <c r="D245" s="672"/>
      <c r="E245" s="672"/>
      <c r="F245" s="672"/>
      <c r="G245" s="672"/>
      <c r="H245" s="672"/>
      <c r="I245" s="672"/>
      <c r="J245" s="672"/>
      <c r="K245" s="672"/>
      <c r="L245" s="673"/>
    </row>
    <row r="246" spans="1:12">
      <c r="A246" s="672"/>
      <c r="B246" s="672"/>
      <c r="C246" s="672"/>
      <c r="D246" s="672"/>
      <c r="E246" s="672"/>
      <c r="F246" s="672"/>
      <c r="G246" s="672"/>
      <c r="H246" s="672"/>
      <c r="I246" s="672"/>
      <c r="J246" s="672"/>
      <c r="K246" s="672"/>
      <c r="L246" s="673"/>
    </row>
    <row r="247" spans="1:12">
      <c r="A247" s="672"/>
      <c r="B247" s="672"/>
      <c r="C247" s="672"/>
      <c r="D247" s="672"/>
      <c r="E247" s="672"/>
      <c r="F247" s="672"/>
      <c r="G247" s="672"/>
      <c r="H247" s="672"/>
      <c r="I247" s="672"/>
      <c r="J247" s="672"/>
      <c r="K247" s="672"/>
      <c r="L247" s="673"/>
    </row>
    <row r="248" spans="1:12">
      <c r="A248" s="672"/>
      <c r="B248" s="672"/>
      <c r="C248" s="672"/>
      <c r="D248" s="672"/>
      <c r="E248" s="672"/>
      <c r="F248" s="672"/>
      <c r="G248" s="672"/>
      <c r="H248" s="672"/>
      <c r="I248" s="672"/>
      <c r="J248" s="672"/>
      <c r="K248" s="672"/>
      <c r="L248" s="673"/>
    </row>
    <row r="249" spans="1:12">
      <c r="A249" s="672"/>
      <c r="B249" s="672"/>
      <c r="C249" s="672"/>
      <c r="D249" s="672"/>
      <c r="E249" s="672"/>
      <c r="F249" s="672"/>
      <c r="G249" s="672"/>
      <c r="H249" s="672"/>
      <c r="I249" s="672"/>
      <c r="J249" s="672"/>
      <c r="K249" s="672"/>
      <c r="L249" s="673"/>
    </row>
    <row r="250" spans="1:12">
      <c r="A250" s="672"/>
      <c r="B250" s="672"/>
      <c r="C250" s="672"/>
      <c r="D250" s="672"/>
      <c r="E250" s="672"/>
      <c r="F250" s="672"/>
      <c r="G250" s="672"/>
      <c r="H250" s="672"/>
      <c r="I250" s="672"/>
      <c r="J250" s="672"/>
      <c r="K250" s="672"/>
      <c r="L250" s="673"/>
    </row>
    <row r="251" spans="1:12">
      <c r="A251" s="672"/>
      <c r="B251" s="672"/>
      <c r="C251" s="672"/>
      <c r="D251" s="672"/>
      <c r="E251" s="672"/>
      <c r="F251" s="672"/>
      <c r="G251" s="672"/>
      <c r="H251" s="672"/>
      <c r="I251" s="672"/>
      <c r="J251" s="672"/>
      <c r="K251" s="672"/>
      <c r="L251" s="673"/>
    </row>
    <row r="252" spans="1:12">
      <c r="A252" s="672"/>
      <c r="B252" s="672"/>
      <c r="C252" s="672"/>
      <c r="D252" s="672"/>
      <c r="E252" s="672"/>
      <c r="F252" s="672"/>
      <c r="G252" s="672"/>
      <c r="H252" s="672"/>
      <c r="I252" s="672"/>
      <c r="J252" s="672"/>
      <c r="K252" s="672"/>
      <c r="L252" s="673"/>
    </row>
    <row r="253" spans="1:12">
      <c r="A253" s="672"/>
      <c r="B253" s="672"/>
      <c r="C253" s="672"/>
      <c r="D253" s="672"/>
      <c r="E253" s="672"/>
      <c r="F253" s="672"/>
      <c r="G253" s="672"/>
      <c r="H253" s="672"/>
      <c r="I253" s="672"/>
      <c r="J253" s="672"/>
      <c r="K253" s="672"/>
      <c r="L253" s="673"/>
    </row>
    <row r="254" spans="1:12">
      <c r="A254" s="672"/>
      <c r="B254" s="672"/>
      <c r="C254" s="672"/>
      <c r="D254" s="672"/>
      <c r="E254" s="672"/>
      <c r="F254" s="672"/>
      <c r="G254" s="672"/>
      <c r="H254" s="672"/>
      <c r="I254" s="672"/>
      <c r="J254" s="672"/>
      <c r="K254" s="672"/>
      <c r="L254" s="673"/>
    </row>
    <row r="255" spans="1:12">
      <c r="A255" s="672"/>
      <c r="B255" s="672"/>
      <c r="C255" s="672"/>
      <c r="D255" s="672"/>
      <c r="E255" s="672"/>
      <c r="F255" s="672"/>
      <c r="G255" s="672"/>
      <c r="H255" s="672"/>
      <c r="I255" s="672"/>
      <c r="J255" s="672"/>
      <c r="K255" s="672"/>
      <c r="L255" s="673"/>
    </row>
    <row r="256" spans="1:12">
      <c r="A256" s="672"/>
      <c r="B256" s="672"/>
      <c r="C256" s="672"/>
      <c r="D256" s="672"/>
      <c r="E256" s="672"/>
      <c r="F256" s="672"/>
      <c r="G256" s="672"/>
      <c r="H256" s="672"/>
      <c r="I256" s="672"/>
      <c r="J256" s="672"/>
      <c r="K256" s="672"/>
      <c r="L256" s="673"/>
    </row>
    <row r="257" spans="1:12">
      <c r="A257" s="672"/>
      <c r="B257" s="672"/>
      <c r="C257" s="672"/>
      <c r="D257" s="672"/>
      <c r="E257" s="672"/>
      <c r="F257" s="672"/>
      <c r="G257" s="672"/>
      <c r="H257" s="672"/>
      <c r="I257" s="672"/>
      <c r="J257" s="672"/>
      <c r="K257" s="672"/>
      <c r="L257" s="673"/>
    </row>
    <row r="258" spans="1:12">
      <c r="A258" s="672"/>
      <c r="B258" s="672"/>
      <c r="C258" s="672"/>
      <c r="D258" s="672"/>
      <c r="E258" s="672"/>
      <c r="F258" s="672"/>
      <c r="G258" s="672"/>
      <c r="H258" s="672"/>
      <c r="I258" s="672"/>
      <c r="J258" s="672"/>
      <c r="K258" s="672"/>
      <c r="L258" s="673"/>
    </row>
    <row r="259" spans="1:12">
      <c r="A259" s="672"/>
      <c r="B259" s="672"/>
      <c r="C259" s="672"/>
      <c r="D259" s="672"/>
      <c r="E259" s="672"/>
      <c r="F259" s="672"/>
      <c r="G259" s="672"/>
      <c r="H259" s="672"/>
      <c r="I259" s="672"/>
      <c r="J259" s="672"/>
      <c r="K259" s="672"/>
      <c r="L259" s="673"/>
    </row>
    <row r="260" spans="1:12">
      <c r="A260" s="672"/>
      <c r="B260" s="672"/>
      <c r="C260" s="672"/>
      <c r="D260" s="672"/>
      <c r="E260" s="672"/>
      <c r="F260" s="672"/>
      <c r="G260" s="672"/>
      <c r="H260" s="672"/>
      <c r="I260" s="672"/>
      <c r="J260" s="672"/>
      <c r="K260" s="672"/>
      <c r="L260" s="673"/>
    </row>
    <row r="261" spans="1:12">
      <c r="A261" s="672"/>
      <c r="B261" s="672"/>
      <c r="C261" s="672"/>
      <c r="D261" s="672"/>
      <c r="E261" s="672"/>
      <c r="F261" s="672"/>
      <c r="G261" s="672"/>
      <c r="H261" s="672"/>
      <c r="I261" s="672"/>
      <c r="J261" s="672"/>
      <c r="K261" s="672"/>
      <c r="L261" s="673"/>
    </row>
    <row r="262" spans="1:12">
      <c r="A262" s="672"/>
      <c r="B262" s="672"/>
      <c r="C262" s="672"/>
      <c r="D262" s="672"/>
      <c r="E262" s="672"/>
      <c r="F262" s="672"/>
      <c r="G262" s="672"/>
      <c r="H262" s="672"/>
      <c r="I262" s="672"/>
      <c r="J262" s="672"/>
      <c r="K262" s="672"/>
      <c r="L262" s="673"/>
    </row>
    <row r="263" spans="1:12">
      <c r="A263" s="672"/>
      <c r="B263" s="672"/>
      <c r="C263" s="672"/>
      <c r="D263" s="672"/>
      <c r="E263" s="672"/>
      <c r="F263" s="672"/>
      <c r="G263" s="672"/>
      <c r="H263" s="672"/>
      <c r="I263" s="672"/>
      <c r="J263" s="672"/>
      <c r="K263" s="672"/>
      <c r="L263" s="673"/>
    </row>
    <row r="264" spans="1:12">
      <c r="A264" s="672"/>
      <c r="B264" s="672"/>
      <c r="C264" s="672"/>
      <c r="D264" s="672"/>
      <c r="E264" s="672"/>
      <c r="F264" s="672"/>
      <c r="G264" s="672"/>
      <c r="H264" s="672"/>
      <c r="I264" s="672"/>
      <c r="J264" s="672"/>
      <c r="K264" s="672"/>
      <c r="L264" s="673"/>
    </row>
    <row r="265" spans="1:12">
      <c r="A265" s="672"/>
      <c r="B265" s="672"/>
      <c r="C265" s="672"/>
      <c r="D265" s="672"/>
      <c r="E265" s="672"/>
      <c r="F265" s="672"/>
      <c r="G265" s="672"/>
      <c r="H265" s="672"/>
      <c r="I265" s="672"/>
      <c r="J265" s="672"/>
      <c r="K265" s="672"/>
      <c r="L265" s="673"/>
    </row>
    <row r="266" spans="1:12">
      <c r="A266" s="672"/>
      <c r="B266" s="672"/>
      <c r="C266" s="672"/>
      <c r="D266" s="672"/>
      <c r="E266" s="672"/>
      <c r="F266" s="672"/>
      <c r="G266" s="672"/>
      <c r="H266" s="672"/>
      <c r="I266" s="672"/>
      <c r="J266" s="672"/>
      <c r="K266" s="672"/>
      <c r="L266" s="673"/>
    </row>
    <row r="267" spans="1:12">
      <c r="A267" s="672"/>
      <c r="B267" s="672"/>
      <c r="C267" s="672"/>
      <c r="D267" s="672"/>
      <c r="E267" s="672"/>
      <c r="F267" s="672"/>
      <c r="G267" s="672"/>
      <c r="H267" s="672"/>
      <c r="I267" s="672"/>
      <c r="J267" s="672"/>
      <c r="K267" s="672"/>
      <c r="L267" s="673"/>
    </row>
    <row r="268" spans="1:12">
      <c r="A268" s="672"/>
      <c r="B268" s="672"/>
      <c r="C268" s="672"/>
      <c r="D268" s="672"/>
      <c r="E268" s="672"/>
      <c r="F268" s="672"/>
      <c r="G268" s="672"/>
      <c r="H268" s="672"/>
      <c r="I268" s="672"/>
      <c r="J268" s="672"/>
      <c r="K268" s="672"/>
      <c r="L268" s="673"/>
    </row>
    <row r="269" spans="1:12">
      <c r="A269" s="672"/>
      <c r="B269" s="672"/>
      <c r="C269" s="672"/>
      <c r="D269" s="672"/>
      <c r="E269" s="672"/>
      <c r="F269" s="672"/>
      <c r="G269" s="672"/>
      <c r="H269" s="672"/>
      <c r="I269" s="672"/>
      <c r="J269" s="672"/>
      <c r="K269" s="672"/>
      <c r="L269" s="673"/>
    </row>
    <row r="270" spans="1:12">
      <c r="A270" s="672"/>
      <c r="B270" s="672"/>
      <c r="C270" s="672"/>
      <c r="D270" s="672"/>
      <c r="E270" s="672"/>
      <c r="F270" s="672"/>
      <c r="G270" s="672"/>
      <c r="H270" s="672"/>
      <c r="I270" s="672"/>
      <c r="J270" s="672"/>
      <c r="K270" s="672"/>
      <c r="L270" s="673"/>
    </row>
    <row r="271" spans="1:12">
      <c r="A271" s="672"/>
      <c r="B271" s="672"/>
      <c r="C271" s="672"/>
      <c r="D271" s="672"/>
      <c r="E271" s="672"/>
      <c r="F271" s="672"/>
      <c r="G271" s="672"/>
      <c r="H271" s="672"/>
      <c r="I271" s="672"/>
      <c r="J271" s="672"/>
      <c r="K271" s="672"/>
      <c r="L271" s="673"/>
    </row>
    <row r="272" spans="1:12">
      <c r="A272" s="672"/>
      <c r="B272" s="672"/>
      <c r="C272" s="672"/>
      <c r="D272" s="672"/>
      <c r="E272" s="672"/>
      <c r="F272" s="672"/>
      <c r="G272" s="672"/>
      <c r="H272" s="672"/>
      <c r="I272" s="672"/>
      <c r="J272" s="672"/>
      <c r="K272" s="672"/>
      <c r="L272" s="673"/>
    </row>
    <row r="273" spans="1:12">
      <c r="A273" s="672"/>
      <c r="B273" s="672"/>
      <c r="C273" s="672"/>
      <c r="D273" s="672"/>
      <c r="E273" s="672"/>
      <c r="F273" s="672"/>
      <c r="G273" s="672"/>
      <c r="H273" s="672"/>
      <c r="I273" s="672"/>
      <c r="J273" s="672"/>
      <c r="K273" s="672"/>
      <c r="L273" s="673"/>
    </row>
    <row r="274" spans="1:12">
      <c r="A274" s="672"/>
      <c r="B274" s="672"/>
      <c r="C274" s="672"/>
      <c r="D274" s="672"/>
      <c r="E274" s="672"/>
      <c r="F274" s="672"/>
      <c r="G274" s="672"/>
      <c r="H274" s="672"/>
      <c r="I274" s="672"/>
      <c r="J274" s="672"/>
      <c r="K274" s="672"/>
      <c r="L274" s="673"/>
    </row>
    <row r="275" spans="1:12">
      <c r="A275" s="672"/>
      <c r="B275" s="672"/>
      <c r="C275" s="672"/>
      <c r="D275" s="672"/>
      <c r="E275" s="672"/>
      <c r="F275" s="672"/>
      <c r="G275" s="672"/>
      <c r="H275" s="672"/>
      <c r="I275" s="672"/>
      <c r="J275" s="672"/>
      <c r="K275" s="672"/>
      <c r="L275" s="673"/>
    </row>
    <row r="276" spans="1:12">
      <c r="A276" s="672"/>
      <c r="B276" s="672"/>
      <c r="C276" s="672"/>
      <c r="D276" s="672"/>
      <c r="E276" s="672"/>
      <c r="F276" s="672"/>
      <c r="G276" s="672"/>
      <c r="H276" s="672"/>
      <c r="I276" s="672"/>
      <c r="J276" s="672"/>
      <c r="K276" s="672"/>
      <c r="L276" s="673"/>
    </row>
    <row r="277" spans="1:12">
      <c r="A277" s="672"/>
      <c r="B277" s="672"/>
      <c r="C277" s="672"/>
      <c r="D277" s="672"/>
      <c r="E277" s="672"/>
      <c r="F277" s="672"/>
      <c r="G277" s="672"/>
      <c r="H277" s="672"/>
      <c r="I277" s="672"/>
      <c r="J277" s="672"/>
      <c r="K277" s="672"/>
      <c r="L277" s="673"/>
    </row>
    <row r="278" spans="1:12">
      <c r="A278" s="672"/>
      <c r="B278" s="672"/>
      <c r="C278" s="672"/>
      <c r="D278" s="672"/>
      <c r="E278" s="672"/>
      <c r="F278" s="672"/>
      <c r="G278" s="672"/>
      <c r="H278" s="672"/>
      <c r="I278" s="672"/>
      <c r="J278" s="672"/>
      <c r="K278" s="672"/>
      <c r="L278" s="673"/>
    </row>
    <row r="279" spans="1:12">
      <c r="A279" s="672"/>
      <c r="B279" s="672"/>
      <c r="C279" s="672"/>
      <c r="D279" s="672"/>
      <c r="E279" s="672"/>
      <c r="F279" s="672"/>
      <c r="G279" s="672"/>
      <c r="H279" s="672"/>
      <c r="I279" s="672"/>
      <c r="J279" s="672"/>
      <c r="K279" s="672"/>
      <c r="L279" s="673"/>
    </row>
    <row r="280" spans="1:12">
      <c r="A280" s="672"/>
      <c r="B280" s="672"/>
      <c r="C280" s="672"/>
      <c r="D280" s="672"/>
      <c r="E280" s="672"/>
      <c r="F280" s="672"/>
      <c r="G280" s="672"/>
      <c r="H280" s="672"/>
      <c r="I280" s="672"/>
      <c r="J280" s="672"/>
      <c r="K280" s="672"/>
      <c r="L280" s="673"/>
    </row>
    <row r="281" spans="1:12">
      <c r="A281" s="672"/>
      <c r="B281" s="672"/>
      <c r="C281" s="672"/>
      <c r="D281" s="672"/>
      <c r="E281" s="672"/>
      <c r="F281" s="672"/>
      <c r="G281" s="672"/>
      <c r="H281" s="672"/>
      <c r="I281" s="672"/>
      <c r="J281" s="672"/>
      <c r="K281" s="672"/>
      <c r="L281" s="673"/>
    </row>
    <row r="282" spans="1:12">
      <c r="A282" s="672"/>
      <c r="B282" s="672"/>
      <c r="C282" s="672"/>
      <c r="D282" s="672"/>
      <c r="E282" s="672"/>
      <c r="F282" s="672"/>
      <c r="G282" s="672"/>
      <c r="H282" s="672"/>
      <c r="I282" s="672"/>
      <c r="J282" s="672"/>
      <c r="K282" s="672"/>
      <c r="L282" s="673"/>
    </row>
    <row r="283" spans="1:12">
      <c r="A283" s="672"/>
      <c r="B283" s="672"/>
      <c r="C283" s="672"/>
      <c r="D283" s="672"/>
      <c r="E283" s="672"/>
      <c r="F283" s="672"/>
      <c r="G283" s="672"/>
      <c r="H283" s="672"/>
      <c r="I283" s="672"/>
      <c r="J283" s="672"/>
      <c r="K283" s="672"/>
      <c r="L283" s="673"/>
    </row>
    <row r="284" spans="1:12">
      <c r="A284" s="672"/>
      <c r="B284" s="672"/>
      <c r="C284" s="672"/>
      <c r="D284" s="672"/>
      <c r="E284" s="672"/>
      <c r="F284" s="672"/>
      <c r="G284" s="672"/>
      <c r="H284" s="672"/>
      <c r="I284" s="672"/>
      <c r="J284" s="672"/>
      <c r="K284" s="672"/>
      <c r="L284" s="673"/>
    </row>
    <row r="285" spans="1:12">
      <c r="A285" s="672"/>
      <c r="B285" s="672"/>
      <c r="C285" s="672"/>
      <c r="D285" s="672"/>
      <c r="E285" s="672"/>
      <c r="F285" s="672"/>
      <c r="G285" s="672"/>
      <c r="H285" s="672"/>
      <c r="I285" s="672"/>
      <c r="J285" s="672"/>
      <c r="K285" s="672"/>
      <c r="L285" s="673"/>
    </row>
    <row r="286" spans="1:12">
      <c r="A286" s="672"/>
      <c r="B286" s="672"/>
      <c r="C286" s="672"/>
      <c r="D286" s="672"/>
      <c r="E286" s="672"/>
      <c r="F286" s="672"/>
      <c r="G286" s="672"/>
      <c r="H286" s="672"/>
      <c r="I286" s="672"/>
      <c r="J286" s="672"/>
      <c r="K286" s="672"/>
      <c r="L286" s="673"/>
    </row>
    <row r="287" spans="1:12">
      <c r="A287" s="672"/>
      <c r="B287" s="672"/>
      <c r="C287" s="672"/>
      <c r="D287" s="672"/>
      <c r="E287" s="672"/>
      <c r="F287" s="672"/>
      <c r="G287" s="672"/>
      <c r="H287" s="672"/>
      <c r="I287" s="672"/>
      <c r="J287" s="672"/>
      <c r="K287" s="672"/>
      <c r="L287" s="673"/>
    </row>
    <row r="288" spans="1:12">
      <c r="A288" s="672"/>
      <c r="B288" s="672"/>
      <c r="C288" s="672"/>
      <c r="D288" s="672"/>
      <c r="E288" s="672"/>
      <c r="F288" s="672"/>
      <c r="G288" s="672"/>
      <c r="H288" s="672"/>
      <c r="I288" s="672"/>
      <c r="J288" s="672"/>
      <c r="K288" s="672"/>
      <c r="L288" s="673"/>
    </row>
    <row r="289" spans="1:12">
      <c r="A289" s="672"/>
      <c r="B289" s="672"/>
      <c r="C289" s="672"/>
      <c r="D289" s="672"/>
      <c r="E289" s="672"/>
      <c r="F289" s="672"/>
      <c r="G289" s="672"/>
      <c r="H289" s="672"/>
      <c r="I289" s="672"/>
      <c r="J289" s="672"/>
      <c r="K289" s="672"/>
      <c r="L289" s="673"/>
    </row>
    <row r="290" spans="1:12">
      <c r="A290" s="672"/>
      <c r="B290" s="672"/>
      <c r="C290" s="672"/>
      <c r="D290" s="672"/>
      <c r="E290" s="672"/>
      <c r="F290" s="672"/>
      <c r="G290" s="672"/>
      <c r="H290" s="672"/>
      <c r="I290" s="672"/>
      <c r="J290" s="672"/>
      <c r="K290" s="672"/>
      <c r="L290" s="673"/>
    </row>
    <row r="291" spans="1:12">
      <c r="A291" s="672"/>
      <c r="B291" s="672"/>
      <c r="C291" s="672"/>
      <c r="D291" s="672"/>
      <c r="E291" s="672"/>
      <c r="F291" s="672"/>
      <c r="G291" s="672"/>
      <c r="H291" s="672"/>
      <c r="I291" s="672"/>
      <c r="J291" s="672"/>
      <c r="K291" s="672"/>
      <c r="L291" s="673"/>
    </row>
    <row r="292" spans="1:12">
      <c r="A292" s="672"/>
      <c r="B292" s="672"/>
      <c r="C292" s="672"/>
      <c r="D292" s="672"/>
      <c r="E292" s="672"/>
      <c r="F292" s="672"/>
      <c r="G292" s="672"/>
      <c r="H292" s="672"/>
      <c r="I292" s="672"/>
      <c r="J292" s="672"/>
      <c r="K292" s="672"/>
      <c r="L292" s="673"/>
    </row>
    <row r="293" spans="1:12">
      <c r="A293" s="672"/>
      <c r="B293" s="672"/>
      <c r="C293" s="672"/>
      <c r="D293" s="672"/>
      <c r="E293" s="672"/>
      <c r="F293" s="672"/>
      <c r="G293" s="672"/>
      <c r="H293" s="672"/>
      <c r="I293" s="672"/>
      <c r="J293" s="672"/>
      <c r="K293" s="672"/>
      <c r="L293" s="673"/>
    </row>
    <row r="294" spans="1:12">
      <c r="A294" s="672"/>
      <c r="B294" s="672"/>
      <c r="C294" s="672"/>
      <c r="D294" s="672"/>
      <c r="E294" s="672"/>
      <c r="F294" s="672"/>
      <c r="G294" s="672"/>
      <c r="H294" s="672"/>
      <c r="I294" s="672"/>
      <c r="J294" s="672"/>
      <c r="K294" s="672"/>
      <c r="L294" s="673"/>
    </row>
    <row r="295" spans="1:12">
      <c r="A295" s="672"/>
      <c r="B295" s="672"/>
      <c r="C295" s="672"/>
      <c r="D295" s="672"/>
      <c r="E295" s="672"/>
      <c r="F295" s="672"/>
      <c r="G295" s="672"/>
      <c r="H295" s="672"/>
      <c r="I295" s="672"/>
      <c r="J295" s="672"/>
      <c r="K295" s="672"/>
      <c r="L295" s="673"/>
    </row>
    <row r="296" spans="1:12">
      <c r="A296" s="672"/>
      <c r="B296" s="672"/>
      <c r="C296" s="672"/>
      <c r="D296" s="672"/>
      <c r="E296" s="672"/>
      <c r="F296" s="672"/>
      <c r="G296" s="672"/>
      <c r="H296" s="672"/>
      <c r="I296" s="672"/>
      <c r="J296" s="672"/>
      <c r="K296" s="672"/>
      <c r="L296" s="673"/>
    </row>
    <row r="297" spans="1:12">
      <c r="A297" s="672"/>
      <c r="B297" s="672"/>
      <c r="C297" s="672"/>
      <c r="D297" s="672"/>
      <c r="E297" s="672"/>
      <c r="F297" s="672"/>
      <c r="G297" s="672"/>
      <c r="H297" s="672"/>
      <c r="I297" s="672"/>
      <c r="J297" s="672"/>
      <c r="K297" s="672"/>
      <c r="L297" s="673"/>
    </row>
    <row r="298" spans="1:12">
      <c r="A298" s="672"/>
      <c r="B298" s="672"/>
      <c r="C298" s="672"/>
      <c r="D298" s="672"/>
      <c r="E298" s="672"/>
      <c r="F298" s="672"/>
      <c r="G298" s="672"/>
      <c r="H298" s="672"/>
      <c r="I298" s="672"/>
      <c r="J298" s="672"/>
      <c r="K298" s="672"/>
      <c r="L298" s="673"/>
    </row>
    <row r="299" spans="1:12">
      <c r="A299" s="672"/>
      <c r="B299" s="672"/>
      <c r="C299" s="672"/>
      <c r="D299" s="672"/>
      <c r="E299" s="672"/>
      <c r="F299" s="672"/>
      <c r="G299" s="672"/>
      <c r="H299" s="672"/>
      <c r="I299" s="672"/>
      <c r="J299" s="672"/>
      <c r="K299" s="672"/>
      <c r="L299" s="673"/>
    </row>
    <row r="300" spans="1:12">
      <c r="A300" s="672"/>
      <c r="B300" s="672"/>
      <c r="C300" s="672"/>
      <c r="D300" s="672"/>
      <c r="E300" s="672"/>
      <c r="F300" s="672"/>
      <c r="G300" s="672"/>
      <c r="H300" s="672"/>
      <c r="I300" s="672"/>
      <c r="J300" s="672"/>
      <c r="K300" s="672"/>
      <c r="L300" s="673"/>
    </row>
    <row r="301" spans="1:12">
      <c r="A301" s="672"/>
      <c r="B301" s="672"/>
      <c r="C301" s="672"/>
      <c r="D301" s="672"/>
      <c r="E301" s="672"/>
      <c r="F301" s="672"/>
      <c r="G301" s="672"/>
      <c r="H301" s="672"/>
      <c r="I301" s="672"/>
      <c r="J301" s="672"/>
      <c r="K301" s="672"/>
      <c r="L301" s="673"/>
    </row>
    <row r="302" spans="1:12">
      <c r="A302" s="672"/>
      <c r="B302" s="672"/>
      <c r="C302" s="672"/>
      <c r="D302" s="672"/>
      <c r="E302" s="672"/>
      <c r="F302" s="672"/>
      <c r="G302" s="672"/>
      <c r="H302" s="672"/>
      <c r="I302" s="672"/>
      <c r="J302" s="672"/>
      <c r="K302" s="672"/>
      <c r="L302" s="673"/>
    </row>
    <row r="303" spans="1:12">
      <c r="A303" s="672"/>
      <c r="B303" s="672"/>
      <c r="C303" s="672"/>
      <c r="D303" s="672"/>
      <c r="E303" s="672"/>
      <c r="F303" s="672"/>
      <c r="G303" s="672"/>
      <c r="H303" s="672"/>
      <c r="I303" s="672"/>
      <c r="J303" s="672"/>
      <c r="K303" s="672"/>
      <c r="L303" s="673"/>
    </row>
    <row r="304" spans="1:12">
      <c r="A304" s="672"/>
      <c r="B304" s="672"/>
      <c r="C304" s="672"/>
      <c r="D304" s="672"/>
      <c r="E304" s="672"/>
      <c r="F304" s="672"/>
      <c r="G304" s="672"/>
      <c r="H304" s="672"/>
      <c r="I304" s="672"/>
      <c r="J304" s="672"/>
      <c r="K304" s="672"/>
      <c r="L304" s="673"/>
    </row>
    <row r="305" spans="1:12">
      <c r="A305" s="672"/>
      <c r="B305" s="672"/>
      <c r="C305" s="672"/>
      <c r="D305" s="672"/>
      <c r="E305" s="672"/>
      <c r="F305" s="672"/>
      <c r="G305" s="672"/>
      <c r="H305" s="672"/>
      <c r="I305" s="672"/>
      <c r="J305" s="672"/>
      <c r="K305" s="672"/>
      <c r="L305" s="673"/>
    </row>
    <row r="306" spans="1:12">
      <c r="A306" s="672"/>
      <c r="B306" s="672"/>
      <c r="C306" s="672"/>
      <c r="D306" s="672"/>
      <c r="E306" s="672"/>
      <c r="F306" s="672"/>
      <c r="G306" s="672"/>
      <c r="H306" s="672"/>
      <c r="I306" s="672"/>
      <c r="J306" s="672"/>
      <c r="K306" s="672"/>
      <c r="L306" s="673"/>
    </row>
    <row r="307" spans="1:12">
      <c r="A307" s="672"/>
      <c r="B307" s="672"/>
      <c r="C307" s="672"/>
      <c r="D307" s="672"/>
      <c r="E307" s="672"/>
      <c r="F307" s="672"/>
      <c r="G307" s="672"/>
      <c r="H307" s="672"/>
      <c r="I307" s="672"/>
      <c r="J307" s="672"/>
      <c r="K307" s="672"/>
      <c r="L307" s="673"/>
    </row>
    <row r="308" spans="1:12">
      <c r="A308" s="672"/>
      <c r="B308" s="672"/>
      <c r="C308" s="672"/>
      <c r="D308" s="672"/>
      <c r="E308" s="672"/>
      <c r="F308" s="672"/>
      <c r="G308" s="672"/>
      <c r="H308" s="672"/>
      <c r="I308" s="672"/>
      <c r="J308" s="672"/>
      <c r="K308" s="672"/>
      <c r="L308" s="673"/>
    </row>
    <row r="309" spans="1:12">
      <c r="A309" s="672"/>
      <c r="B309" s="672"/>
      <c r="C309" s="672"/>
      <c r="D309" s="672"/>
      <c r="E309" s="672"/>
      <c r="F309" s="672"/>
      <c r="G309" s="672"/>
      <c r="H309" s="672"/>
      <c r="I309" s="672"/>
      <c r="J309" s="672"/>
      <c r="K309" s="672"/>
      <c r="L309" s="673"/>
    </row>
    <row r="310" spans="1:12">
      <c r="A310" s="672"/>
      <c r="B310" s="672"/>
      <c r="C310" s="672"/>
      <c r="D310" s="672"/>
      <c r="E310" s="672"/>
      <c r="F310" s="672"/>
      <c r="G310" s="672"/>
      <c r="H310" s="672"/>
      <c r="I310" s="672"/>
      <c r="J310" s="672"/>
      <c r="K310" s="672"/>
      <c r="L310" s="673"/>
    </row>
    <row r="311" spans="1:12">
      <c r="A311" s="672"/>
      <c r="B311" s="672"/>
      <c r="C311" s="672"/>
      <c r="D311" s="672"/>
      <c r="E311" s="672"/>
      <c r="F311" s="672"/>
      <c r="G311" s="672"/>
      <c r="H311" s="672"/>
      <c r="I311" s="672"/>
      <c r="J311" s="672"/>
      <c r="K311" s="672"/>
      <c r="L311" s="673"/>
    </row>
    <row r="312" spans="1:12">
      <c r="A312" s="672"/>
      <c r="B312" s="672"/>
      <c r="C312" s="672"/>
      <c r="D312" s="672"/>
      <c r="E312" s="672"/>
      <c r="F312" s="672"/>
      <c r="G312" s="672"/>
      <c r="H312" s="672"/>
      <c r="I312" s="672"/>
      <c r="J312" s="672"/>
      <c r="K312" s="672"/>
      <c r="L312" s="673"/>
    </row>
    <row r="313" spans="1:12">
      <c r="A313" s="672"/>
      <c r="B313" s="672"/>
      <c r="C313" s="672"/>
      <c r="D313" s="672"/>
      <c r="E313" s="672"/>
      <c r="F313" s="672"/>
      <c r="G313" s="672"/>
      <c r="H313" s="672"/>
      <c r="I313" s="672"/>
      <c r="J313" s="672"/>
      <c r="K313" s="672"/>
      <c r="L313" s="673"/>
    </row>
    <row r="314" spans="1:12">
      <c r="A314" s="672"/>
      <c r="B314" s="672"/>
      <c r="C314" s="672"/>
      <c r="D314" s="672"/>
      <c r="E314" s="672"/>
      <c r="F314" s="672"/>
      <c r="G314" s="672"/>
      <c r="H314" s="672"/>
      <c r="I314" s="672"/>
      <c r="J314" s="672"/>
      <c r="K314" s="672"/>
      <c r="L314" s="673"/>
    </row>
    <row r="315" spans="1:12">
      <c r="A315" s="672"/>
      <c r="B315" s="672"/>
      <c r="C315" s="672"/>
      <c r="D315" s="672"/>
      <c r="E315" s="672"/>
      <c r="F315" s="672"/>
      <c r="G315" s="672"/>
      <c r="H315" s="672"/>
      <c r="I315" s="672"/>
      <c r="J315" s="672"/>
      <c r="K315" s="672"/>
      <c r="L315" s="673"/>
    </row>
    <row r="316" spans="1:12">
      <c r="A316" s="672"/>
      <c r="B316" s="672"/>
      <c r="C316" s="672"/>
      <c r="D316" s="672"/>
      <c r="E316" s="672"/>
      <c r="F316" s="672"/>
      <c r="G316" s="672"/>
      <c r="H316" s="672"/>
      <c r="I316" s="672"/>
      <c r="J316" s="672"/>
      <c r="K316" s="672"/>
      <c r="L316" s="673"/>
    </row>
    <row r="317" spans="1:12">
      <c r="A317" s="672"/>
      <c r="B317" s="672"/>
      <c r="C317" s="672"/>
      <c r="D317" s="672"/>
      <c r="E317" s="672"/>
      <c r="F317" s="672"/>
      <c r="G317" s="672"/>
      <c r="H317" s="672"/>
      <c r="I317" s="672"/>
      <c r="J317" s="672"/>
      <c r="K317" s="672"/>
      <c r="L317" s="673"/>
    </row>
    <row r="318" spans="1:12">
      <c r="A318" s="672"/>
      <c r="B318" s="672"/>
      <c r="C318" s="672"/>
      <c r="D318" s="672"/>
      <c r="E318" s="672"/>
      <c r="F318" s="672"/>
      <c r="G318" s="672"/>
      <c r="H318" s="672"/>
      <c r="I318" s="672"/>
      <c r="J318" s="672"/>
      <c r="K318" s="672"/>
      <c r="L318" s="673"/>
    </row>
    <row r="319" spans="1:12">
      <c r="A319" s="672"/>
      <c r="B319" s="672"/>
      <c r="C319" s="672"/>
      <c r="D319" s="672"/>
      <c r="E319" s="672"/>
      <c r="F319" s="672"/>
      <c r="G319" s="672"/>
      <c r="H319" s="672"/>
      <c r="I319" s="672"/>
      <c r="J319" s="672"/>
      <c r="K319" s="672"/>
      <c r="L319" s="673"/>
    </row>
    <row r="320" spans="1:12">
      <c r="A320" s="672"/>
      <c r="B320" s="672"/>
      <c r="C320" s="672"/>
      <c r="D320" s="672"/>
      <c r="E320" s="672"/>
      <c r="F320" s="672"/>
      <c r="G320" s="672"/>
      <c r="H320" s="672"/>
      <c r="I320" s="672"/>
      <c r="J320" s="672"/>
      <c r="K320" s="672"/>
      <c r="L320" s="673"/>
    </row>
    <row r="321" spans="1:12">
      <c r="A321" s="672"/>
      <c r="B321" s="672"/>
      <c r="C321" s="672"/>
      <c r="D321" s="672"/>
      <c r="E321" s="672"/>
      <c r="F321" s="672"/>
      <c r="G321" s="672"/>
      <c r="H321" s="672"/>
      <c r="I321" s="672"/>
      <c r="J321" s="672"/>
      <c r="K321" s="672"/>
      <c r="L321" s="673"/>
    </row>
    <row r="322" spans="1:12">
      <c r="A322" s="672"/>
      <c r="B322" s="672"/>
      <c r="C322" s="672"/>
      <c r="D322" s="672"/>
      <c r="E322" s="672"/>
      <c r="F322" s="672"/>
      <c r="G322" s="672"/>
      <c r="H322" s="672"/>
      <c r="I322" s="672"/>
      <c r="J322" s="672"/>
      <c r="K322" s="672"/>
      <c r="L322" s="673"/>
    </row>
    <row r="323" spans="1:12">
      <c r="A323" s="672"/>
      <c r="B323" s="672"/>
      <c r="C323" s="672"/>
      <c r="D323" s="672"/>
      <c r="E323" s="672"/>
      <c r="F323" s="672"/>
      <c r="G323" s="672"/>
      <c r="H323" s="672"/>
      <c r="I323" s="672"/>
      <c r="J323" s="672"/>
      <c r="K323" s="672"/>
      <c r="L323" s="673"/>
    </row>
    <row r="324" spans="1:12">
      <c r="A324" s="672"/>
      <c r="B324" s="672"/>
      <c r="C324" s="672"/>
      <c r="D324" s="672"/>
      <c r="E324" s="672"/>
      <c r="F324" s="672"/>
      <c r="G324" s="672"/>
      <c r="H324" s="672"/>
      <c r="I324" s="672"/>
      <c r="J324" s="672"/>
      <c r="K324" s="672"/>
      <c r="L324" s="673"/>
    </row>
    <row r="325" spans="1:12">
      <c r="A325" s="672"/>
      <c r="B325" s="672"/>
      <c r="C325" s="672"/>
      <c r="D325" s="672"/>
      <c r="E325" s="672"/>
      <c r="F325" s="672"/>
      <c r="G325" s="672"/>
      <c r="H325" s="672"/>
      <c r="I325" s="672"/>
      <c r="J325" s="672"/>
      <c r="K325" s="672"/>
      <c r="L325" s="673"/>
    </row>
    <row r="326" spans="1:12">
      <c r="A326" s="672"/>
      <c r="B326" s="672"/>
      <c r="C326" s="672"/>
      <c r="D326" s="672"/>
      <c r="E326" s="672"/>
      <c r="F326" s="672"/>
      <c r="G326" s="672"/>
      <c r="H326" s="672"/>
      <c r="I326" s="672"/>
      <c r="J326" s="672"/>
      <c r="K326" s="672"/>
      <c r="L326" s="673"/>
    </row>
    <row r="327" spans="1:12">
      <c r="A327" s="672"/>
      <c r="B327" s="672"/>
      <c r="C327" s="672"/>
      <c r="D327" s="672"/>
      <c r="E327" s="672"/>
      <c r="F327" s="672"/>
      <c r="G327" s="672"/>
      <c r="H327" s="672"/>
      <c r="I327" s="672"/>
      <c r="J327" s="672"/>
      <c r="K327" s="672"/>
      <c r="L327" s="673"/>
    </row>
    <row r="328" spans="1:12">
      <c r="A328" s="672"/>
      <c r="B328" s="672"/>
      <c r="C328" s="672"/>
      <c r="D328" s="672"/>
      <c r="E328" s="672"/>
      <c r="F328" s="672"/>
      <c r="G328" s="672"/>
      <c r="H328" s="672"/>
      <c r="I328" s="672"/>
      <c r="J328" s="672"/>
      <c r="K328" s="672"/>
      <c r="L328" s="673"/>
    </row>
    <row r="329" spans="1:12">
      <c r="A329" s="672"/>
      <c r="B329" s="672"/>
      <c r="C329" s="672"/>
      <c r="D329" s="672"/>
      <c r="E329" s="672"/>
      <c r="F329" s="672"/>
      <c r="G329" s="672"/>
      <c r="H329" s="672"/>
      <c r="I329" s="672"/>
      <c r="J329" s="672"/>
      <c r="K329" s="672"/>
      <c r="L329" s="673"/>
    </row>
    <row r="330" spans="1:12">
      <c r="A330" s="672"/>
      <c r="B330" s="672"/>
      <c r="C330" s="672"/>
      <c r="D330" s="672"/>
      <c r="E330" s="672"/>
      <c r="F330" s="672"/>
      <c r="G330" s="672"/>
      <c r="H330" s="672"/>
      <c r="I330" s="672"/>
      <c r="J330" s="672"/>
      <c r="K330" s="672"/>
      <c r="L330" s="673"/>
    </row>
    <row r="331" spans="1:12">
      <c r="A331" s="672"/>
      <c r="B331" s="672"/>
      <c r="C331" s="672"/>
      <c r="D331" s="672"/>
      <c r="E331" s="672"/>
      <c r="F331" s="672"/>
      <c r="G331" s="672"/>
      <c r="H331" s="672"/>
      <c r="I331" s="672"/>
      <c r="J331" s="672"/>
      <c r="K331" s="672"/>
      <c r="L331" s="673"/>
    </row>
    <row r="332" spans="1:12">
      <c r="A332" s="672"/>
      <c r="B332" s="672"/>
      <c r="C332" s="672"/>
      <c r="D332" s="672"/>
      <c r="E332" s="672"/>
      <c r="F332" s="672"/>
      <c r="G332" s="672"/>
      <c r="H332" s="672"/>
      <c r="I332" s="672"/>
      <c r="J332" s="672"/>
      <c r="K332" s="672"/>
      <c r="L332" s="673"/>
    </row>
    <row r="333" spans="1:12">
      <c r="A333" s="672"/>
      <c r="B333" s="672"/>
      <c r="C333" s="672"/>
      <c r="D333" s="672"/>
      <c r="E333" s="672"/>
      <c r="F333" s="672"/>
      <c r="G333" s="672"/>
      <c r="H333" s="672"/>
      <c r="I333" s="672"/>
      <c r="J333" s="672"/>
      <c r="K333" s="672"/>
      <c r="L333" s="673"/>
    </row>
    <row r="334" spans="1:12">
      <c r="A334" s="672"/>
      <c r="B334" s="672"/>
      <c r="C334" s="672"/>
      <c r="D334" s="672"/>
      <c r="E334" s="672"/>
      <c r="F334" s="672"/>
      <c r="G334" s="672"/>
      <c r="H334" s="672"/>
      <c r="I334" s="672"/>
      <c r="J334" s="672"/>
      <c r="K334" s="672"/>
      <c r="L334" s="673"/>
    </row>
    <row r="335" spans="1:12">
      <c r="A335" s="672"/>
      <c r="B335" s="672"/>
      <c r="C335" s="672"/>
      <c r="D335" s="672"/>
      <c r="E335" s="672"/>
      <c r="F335" s="672"/>
      <c r="G335" s="672"/>
      <c r="H335" s="672"/>
      <c r="I335" s="672"/>
      <c r="J335" s="672"/>
      <c r="K335" s="672"/>
      <c r="L335" s="673"/>
    </row>
    <row r="336" spans="1:12">
      <c r="A336" s="672"/>
      <c r="B336" s="672"/>
      <c r="C336" s="672"/>
      <c r="D336" s="672"/>
      <c r="E336" s="672"/>
      <c r="F336" s="672"/>
      <c r="G336" s="672"/>
      <c r="H336" s="672"/>
      <c r="I336" s="672"/>
      <c r="J336" s="672"/>
      <c r="K336" s="672"/>
      <c r="L336" s="673"/>
    </row>
    <row r="337" spans="1:12">
      <c r="A337" s="672"/>
      <c r="B337" s="672"/>
      <c r="C337" s="672"/>
      <c r="D337" s="672"/>
      <c r="E337" s="672"/>
      <c r="F337" s="672"/>
      <c r="G337" s="672"/>
      <c r="H337" s="672"/>
      <c r="I337" s="672"/>
      <c r="J337" s="672"/>
      <c r="K337" s="672"/>
      <c r="L337" s="673"/>
    </row>
    <row r="338" spans="1:12">
      <c r="A338" s="672"/>
      <c r="B338" s="672"/>
      <c r="C338" s="672"/>
      <c r="D338" s="672"/>
      <c r="E338" s="672"/>
      <c r="F338" s="672"/>
      <c r="G338" s="672"/>
      <c r="H338" s="672"/>
      <c r="I338" s="672"/>
      <c r="J338" s="672"/>
      <c r="K338" s="672"/>
      <c r="L338" s="673"/>
    </row>
    <row r="339" spans="1:12">
      <c r="A339" s="672"/>
      <c r="B339" s="672"/>
      <c r="C339" s="672"/>
      <c r="D339" s="672"/>
      <c r="E339" s="672"/>
      <c r="F339" s="672"/>
      <c r="G339" s="672"/>
      <c r="H339" s="672"/>
      <c r="I339" s="672"/>
      <c r="J339" s="672"/>
      <c r="K339" s="672"/>
      <c r="L339" s="673"/>
    </row>
    <row r="340" spans="1:12">
      <c r="A340" s="672"/>
      <c r="B340" s="672"/>
      <c r="C340" s="672"/>
      <c r="D340" s="672"/>
      <c r="E340" s="672"/>
      <c r="F340" s="672"/>
      <c r="G340" s="672"/>
      <c r="H340" s="672"/>
      <c r="I340" s="672"/>
      <c r="J340" s="672"/>
      <c r="K340" s="672"/>
      <c r="L340" s="673"/>
    </row>
    <row r="341" spans="1:12">
      <c r="A341" s="672"/>
      <c r="B341" s="672"/>
      <c r="C341" s="672"/>
      <c r="D341" s="672"/>
      <c r="E341" s="672"/>
      <c r="F341" s="672"/>
      <c r="G341" s="672"/>
      <c r="H341" s="672"/>
      <c r="I341" s="672"/>
      <c r="J341" s="672"/>
      <c r="K341" s="672"/>
      <c r="L341" s="673"/>
    </row>
    <row r="342" spans="1:12">
      <c r="A342" s="672"/>
      <c r="B342" s="672"/>
      <c r="C342" s="672"/>
      <c r="D342" s="672"/>
      <c r="E342" s="672"/>
      <c r="F342" s="672"/>
      <c r="G342" s="672"/>
      <c r="H342" s="672"/>
      <c r="I342" s="672"/>
      <c r="J342" s="672"/>
      <c r="K342" s="672"/>
      <c r="L342" s="673"/>
    </row>
    <row r="343" spans="1:12">
      <c r="A343" s="672"/>
      <c r="B343" s="672"/>
      <c r="C343" s="672"/>
      <c r="D343" s="672"/>
      <c r="E343" s="672"/>
      <c r="F343" s="672"/>
      <c r="G343" s="672"/>
      <c r="H343" s="672"/>
      <c r="I343" s="672"/>
      <c r="J343" s="672"/>
      <c r="K343" s="672"/>
      <c r="L343" s="673"/>
    </row>
    <row r="344" spans="1:12">
      <c r="A344" s="672"/>
      <c r="B344" s="672"/>
      <c r="C344" s="672"/>
      <c r="D344" s="672"/>
      <c r="E344" s="672"/>
      <c r="F344" s="672"/>
      <c r="G344" s="672"/>
      <c r="H344" s="672"/>
      <c r="I344" s="672"/>
      <c r="J344" s="672"/>
      <c r="K344" s="672"/>
      <c r="L344" s="673"/>
    </row>
    <row r="345" spans="1:12">
      <c r="A345" s="672"/>
      <c r="B345" s="672"/>
      <c r="C345" s="672"/>
      <c r="D345" s="672"/>
      <c r="E345" s="672"/>
      <c r="F345" s="672"/>
      <c r="G345" s="672"/>
      <c r="H345" s="672"/>
      <c r="I345" s="672"/>
      <c r="J345" s="672"/>
      <c r="K345" s="672"/>
      <c r="L345" s="673"/>
    </row>
    <row r="346" spans="1:12">
      <c r="A346" s="672"/>
      <c r="B346" s="672"/>
      <c r="C346" s="672"/>
      <c r="D346" s="672"/>
      <c r="E346" s="672"/>
      <c r="F346" s="672"/>
      <c r="G346" s="672"/>
      <c r="H346" s="672"/>
      <c r="I346" s="672"/>
      <c r="J346" s="672"/>
      <c r="K346" s="672"/>
      <c r="L346" s="673"/>
    </row>
    <row r="347" spans="1:12">
      <c r="A347" s="672"/>
      <c r="B347" s="672"/>
      <c r="C347" s="672"/>
      <c r="D347" s="672"/>
      <c r="E347" s="672"/>
      <c r="F347" s="672"/>
      <c r="G347" s="672"/>
      <c r="H347" s="672"/>
      <c r="I347" s="672"/>
      <c r="J347" s="672"/>
      <c r="K347" s="672"/>
      <c r="L347" s="673"/>
    </row>
    <row r="348" spans="1:12">
      <c r="A348" s="672"/>
      <c r="B348" s="672"/>
      <c r="C348" s="672"/>
      <c r="D348" s="672"/>
      <c r="E348" s="672"/>
      <c r="F348" s="672"/>
      <c r="G348" s="672"/>
      <c r="H348" s="672"/>
      <c r="I348" s="672"/>
      <c r="J348" s="672"/>
      <c r="K348" s="672"/>
      <c r="L348" s="673"/>
    </row>
    <row r="349" spans="1:12">
      <c r="A349" s="672"/>
      <c r="B349" s="672"/>
      <c r="C349" s="672"/>
      <c r="D349" s="672"/>
      <c r="E349" s="672"/>
      <c r="F349" s="672"/>
      <c r="G349" s="672"/>
      <c r="H349" s="672"/>
      <c r="I349" s="672"/>
      <c r="J349" s="672"/>
      <c r="K349" s="672"/>
      <c r="L349" s="673"/>
    </row>
    <row r="350" spans="1:12">
      <c r="A350" s="672"/>
      <c r="B350" s="672"/>
      <c r="C350" s="672"/>
      <c r="D350" s="672"/>
      <c r="E350" s="672"/>
      <c r="F350" s="672"/>
      <c r="G350" s="672"/>
      <c r="H350" s="672"/>
      <c r="I350" s="672"/>
      <c r="J350" s="672"/>
      <c r="K350" s="672"/>
      <c r="L350" s="673"/>
    </row>
    <row r="351" spans="1:12">
      <c r="A351" s="672"/>
      <c r="B351" s="672"/>
      <c r="C351" s="672"/>
      <c r="D351" s="672"/>
      <c r="E351" s="672"/>
      <c r="F351" s="672"/>
      <c r="G351" s="672"/>
      <c r="H351" s="672"/>
      <c r="I351" s="672"/>
      <c r="J351" s="672"/>
      <c r="K351" s="672"/>
      <c r="L351" s="673"/>
    </row>
    <row r="352" spans="1:12">
      <c r="A352" s="672"/>
      <c r="B352" s="672"/>
      <c r="C352" s="672"/>
      <c r="D352" s="672"/>
      <c r="E352" s="672"/>
      <c r="F352" s="672"/>
      <c r="G352" s="672"/>
      <c r="H352" s="672"/>
      <c r="I352" s="672"/>
      <c r="J352" s="672"/>
      <c r="K352" s="672"/>
      <c r="L352" s="673"/>
    </row>
    <row r="353" spans="1:12">
      <c r="A353" s="672"/>
      <c r="B353" s="672"/>
      <c r="C353" s="672"/>
      <c r="D353" s="672"/>
      <c r="E353" s="672"/>
      <c r="F353" s="672"/>
      <c r="G353" s="672"/>
      <c r="H353" s="672"/>
      <c r="I353" s="672"/>
      <c r="J353" s="672"/>
      <c r="K353" s="672"/>
      <c r="L353" s="673"/>
    </row>
    <row r="354" spans="1:12">
      <c r="A354" s="672"/>
      <c r="B354" s="672"/>
      <c r="C354" s="672"/>
      <c r="D354" s="672"/>
      <c r="E354" s="672"/>
      <c r="F354" s="672"/>
      <c r="G354" s="672"/>
      <c r="H354" s="672"/>
      <c r="I354" s="672"/>
      <c r="J354" s="672"/>
      <c r="K354" s="672"/>
      <c r="L354" s="673"/>
    </row>
    <row r="355" spans="1:12">
      <c r="A355" s="672"/>
      <c r="B355" s="672"/>
      <c r="C355" s="672"/>
      <c r="D355" s="672"/>
      <c r="E355" s="672"/>
      <c r="F355" s="672"/>
      <c r="G355" s="672"/>
      <c r="H355" s="672"/>
      <c r="I355" s="672"/>
      <c r="J355" s="672"/>
      <c r="K355" s="672"/>
      <c r="L355" s="673"/>
    </row>
    <row r="356" spans="1:12">
      <c r="A356" s="672"/>
      <c r="B356" s="672"/>
      <c r="C356" s="672"/>
      <c r="D356" s="672"/>
      <c r="E356" s="672"/>
      <c r="F356" s="672"/>
      <c r="G356" s="672"/>
      <c r="H356" s="672"/>
      <c r="I356" s="672"/>
      <c r="J356" s="672"/>
      <c r="K356" s="672"/>
      <c r="L356" s="673"/>
    </row>
    <row r="357" spans="1:12">
      <c r="A357" s="672"/>
      <c r="B357" s="672"/>
      <c r="C357" s="672"/>
      <c r="D357" s="672"/>
      <c r="E357" s="672"/>
      <c r="F357" s="672"/>
      <c r="G357" s="672"/>
      <c r="H357" s="672"/>
      <c r="I357" s="672"/>
      <c r="J357" s="672"/>
      <c r="K357" s="672"/>
      <c r="L357" s="673"/>
    </row>
    <row r="358" spans="1:12">
      <c r="A358" s="672"/>
      <c r="B358" s="672"/>
      <c r="C358" s="672"/>
      <c r="D358" s="672"/>
      <c r="E358" s="672"/>
      <c r="F358" s="672"/>
      <c r="G358" s="672"/>
      <c r="H358" s="672"/>
      <c r="I358" s="672"/>
      <c r="J358" s="672"/>
      <c r="K358" s="672"/>
      <c r="L358" s="673"/>
    </row>
    <row r="359" spans="1:12">
      <c r="A359" s="672"/>
      <c r="B359" s="672"/>
      <c r="C359" s="672"/>
      <c r="D359" s="672"/>
      <c r="E359" s="672"/>
      <c r="F359" s="672"/>
      <c r="G359" s="672"/>
      <c r="H359" s="672"/>
      <c r="I359" s="672"/>
      <c r="J359" s="672"/>
      <c r="K359" s="672"/>
      <c r="L359" s="673"/>
    </row>
    <row r="360" spans="1:12">
      <c r="A360" s="672"/>
      <c r="B360" s="672"/>
      <c r="C360" s="672"/>
      <c r="D360" s="672"/>
      <c r="E360" s="672"/>
      <c r="F360" s="672"/>
      <c r="G360" s="672"/>
      <c r="H360" s="672"/>
      <c r="I360" s="672"/>
      <c r="J360" s="672"/>
      <c r="K360" s="672"/>
      <c r="L360" s="673"/>
    </row>
    <row r="361" spans="1:12">
      <c r="A361" s="672"/>
      <c r="B361" s="672"/>
      <c r="C361" s="672"/>
      <c r="D361" s="672"/>
      <c r="E361" s="672"/>
      <c r="F361" s="672"/>
      <c r="G361" s="672"/>
      <c r="H361" s="672"/>
      <c r="I361" s="672"/>
      <c r="J361" s="672"/>
      <c r="K361" s="672"/>
      <c r="L361" s="673"/>
    </row>
    <row r="362" spans="1:12">
      <c r="A362" s="672"/>
      <c r="B362" s="672"/>
      <c r="C362" s="672"/>
      <c r="D362" s="672"/>
      <c r="E362" s="672"/>
      <c r="F362" s="672"/>
      <c r="G362" s="672"/>
      <c r="H362" s="672"/>
      <c r="I362" s="672"/>
      <c r="J362" s="672"/>
      <c r="K362" s="672"/>
      <c r="L362" s="673"/>
    </row>
    <row r="363" spans="1:12">
      <c r="A363" s="672"/>
      <c r="B363" s="672"/>
      <c r="C363" s="672"/>
      <c r="D363" s="672"/>
      <c r="E363" s="672"/>
      <c r="F363" s="672"/>
      <c r="G363" s="672"/>
      <c r="H363" s="672"/>
      <c r="I363" s="672"/>
      <c r="J363" s="672"/>
      <c r="K363" s="672"/>
      <c r="L363" s="673"/>
    </row>
    <row r="364" spans="1:12">
      <c r="A364" s="672"/>
      <c r="B364" s="672"/>
      <c r="C364" s="672"/>
      <c r="D364" s="672"/>
      <c r="E364" s="672"/>
      <c r="F364" s="672"/>
      <c r="G364" s="672"/>
      <c r="H364" s="672"/>
      <c r="I364" s="672"/>
      <c r="J364" s="672"/>
      <c r="K364" s="672"/>
      <c r="L364" s="673"/>
    </row>
    <row r="365" spans="1:12">
      <c r="A365" s="672"/>
      <c r="B365" s="672"/>
      <c r="C365" s="672"/>
      <c r="D365" s="672"/>
      <c r="E365" s="672"/>
      <c r="F365" s="672"/>
      <c r="G365" s="672"/>
      <c r="H365" s="672"/>
      <c r="I365" s="672"/>
      <c r="J365" s="672"/>
      <c r="K365" s="672"/>
      <c r="L365" s="673"/>
    </row>
    <row r="366" spans="1:12">
      <c r="A366" s="672"/>
      <c r="B366" s="672"/>
      <c r="C366" s="672"/>
      <c r="D366" s="672"/>
      <c r="E366" s="672"/>
      <c r="F366" s="672"/>
      <c r="G366" s="672"/>
      <c r="H366" s="672"/>
      <c r="I366" s="672"/>
      <c r="J366" s="672"/>
      <c r="K366" s="672"/>
      <c r="L366" s="673"/>
    </row>
    <row r="367" spans="1:12">
      <c r="A367" s="672"/>
      <c r="B367" s="672"/>
      <c r="C367" s="672"/>
      <c r="D367" s="672"/>
      <c r="E367" s="672"/>
      <c r="F367" s="672"/>
      <c r="G367" s="672"/>
      <c r="H367" s="672"/>
      <c r="I367" s="672"/>
      <c r="J367" s="672"/>
      <c r="K367" s="672"/>
      <c r="L367" s="673"/>
    </row>
    <row r="368" spans="1:12">
      <c r="A368" s="672"/>
      <c r="B368" s="672"/>
      <c r="C368" s="672"/>
      <c r="D368" s="672"/>
      <c r="E368" s="672"/>
      <c r="F368" s="672"/>
      <c r="G368" s="672"/>
      <c r="H368" s="672"/>
      <c r="I368" s="672"/>
      <c r="J368" s="672"/>
      <c r="K368" s="672"/>
      <c r="L368" s="673"/>
    </row>
    <row r="369" spans="1:12">
      <c r="A369" s="672"/>
      <c r="B369" s="672"/>
      <c r="C369" s="672"/>
      <c r="D369" s="672"/>
      <c r="E369" s="672"/>
      <c r="F369" s="672"/>
      <c r="G369" s="672"/>
      <c r="H369" s="672"/>
      <c r="I369" s="672"/>
      <c r="J369" s="672"/>
      <c r="K369" s="672"/>
      <c r="L369" s="673"/>
    </row>
    <row r="370" spans="1:12">
      <c r="A370" s="672"/>
      <c r="B370" s="672"/>
      <c r="C370" s="672"/>
      <c r="D370" s="672"/>
      <c r="E370" s="672"/>
      <c r="F370" s="672"/>
      <c r="G370" s="672"/>
      <c r="H370" s="672"/>
      <c r="I370" s="672"/>
      <c r="J370" s="672"/>
      <c r="K370" s="672"/>
      <c r="L370" s="673"/>
    </row>
    <row r="371" spans="1:12">
      <c r="A371" s="672"/>
      <c r="B371" s="672"/>
      <c r="C371" s="672"/>
      <c r="D371" s="672"/>
      <c r="E371" s="672"/>
      <c r="F371" s="672"/>
      <c r="G371" s="672"/>
      <c r="H371" s="672"/>
      <c r="I371" s="672"/>
      <c r="J371" s="672"/>
      <c r="K371" s="672"/>
      <c r="L371" s="673"/>
    </row>
    <row r="372" spans="1:12">
      <c r="A372" s="672"/>
      <c r="B372" s="672"/>
      <c r="C372" s="672"/>
      <c r="D372" s="672"/>
      <c r="E372" s="672"/>
      <c r="F372" s="672"/>
      <c r="G372" s="672"/>
      <c r="H372" s="672"/>
      <c r="I372" s="672"/>
      <c r="J372" s="672"/>
      <c r="K372" s="672"/>
      <c r="L372" s="673"/>
    </row>
    <row r="373" spans="1:12">
      <c r="A373" s="672"/>
      <c r="B373" s="672"/>
      <c r="C373" s="672"/>
      <c r="D373" s="672"/>
      <c r="E373" s="672"/>
      <c r="F373" s="672"/>
      <c r="G373" s="672"/>
      <c r="H373" s="672"/>
      <c r="I373" s="672"/>
      <c r="J373" s="672"/>
      <c r="K373" s="672"/>
      <c r="L373" s="673"/>
    </row>
    <row r="374" spans="1:12">
      <c r="A374" s="672"/>
      <c r="B374" s="672"/>
      <c r="C374" s="672"/>
      <c r="D374" s="672"/>
      <c r="E374" s="672"/>
      <c r="F374" s="672"/>
      <c r="G374" s="672"/>
      <c r="H374" s="672"/>
      <c r="I374" s="672"/>
      <c r="J374" s="672"/>
      <c r="K374" s="672"/>
      <c r="L374" s="673"/>
    </row>
    <row r="375" spans="1:12">
      <c r="A375" s="672"/>
      <c r="B375" s="672"/>
      <c r="C375" s="672"/>
      <c r="D375" s="672"/>
      <c r="E375" s="672"/>
      <c r="F375" s="672"/>
      <c r="G375" s="672"/>
      <c r="H375" s="672"/>
      <c r="I375" s="672"/>
      <c r="J375" s="672"/>
      <c r="K375" s="672"/>
      <c r="L375" s="673"/>
    </row>
    <row r="376" spans="1:12">
      <c r="A376" s="672"/>
      <c r="B376" s="672"/>
      <c r="C376" s="672"/>
      <c r="D376" s="672"/>
      <c r="E376" s="672"/>
      <c r="F376" s="672"/>
      <c r="G376" s="672"/>
      <c r="H376" s="672"/>
      <c r="I376" s="672"/>
      <c r="J376" s="672"/>
      <c r="K376" s="672"/>
      <c r="L376" s="673"/>
    </row>
    <row r="377" spans="1:12">
      <c r="A377" s="672"/>
      <c r="B377" s="672"/>
      <c r="C377" s="672"/>
      <c r="D377" s="672"/>
      <c r="E377" s="672"/>
      <c r="F377" s="672"/>
      <c r="G377" s="672"/>
      <c r="H377" s="672"/>
      <c r="I377" s="672"/>
      <c r="J377" s="672"/>
      <c r="K377" s="672"/>
      <c r="L377" s="673"/>
    </row>
    <row r="378" spans="1:12">
      <c r="A378" s="672"/>
      <c r="B378" s="672"/>
      <c r="C378" s="672"/>
      <c r="D378" s="672"/>
      <c r="E378" s="672"/>
      <c r="F378" s="672"/>
      <c r="G378" s="672"/>
      <c r="H378" s="672"/>
      <c r="I378" s="672"/>
      <c r="J378" s="672"/>
      <c r="K378" s="672"/>
      <c r="L378" s="673"/>
    </row>
    <row r="379" spans="1:12">
      <c r="A379" s="672"/>
      <c r="B379" s="672"/>
      <c r="C379" s="672"/>
      <c r="D379" s="672"/>
      <c r="E379" s="672"/>
      <c r="F379" s="672"/>
      <c r="G379" s="672"/>
      <c r="H379" s="672"/>
      <c r="I379" s="672"/>
      <c r="J379" s="672"/>
      <c r="K379" s="672"/>
      <c r="L379" s="673"/>
    </row>
    <row r="380" spans="1:12">
      <c r="A380" s="672"/>
      <c r="B380" s="672"/>
      <c r="C380" s="672"/>
      <c r="D380" s="672"/>
      <c r="E380" s="672"/>
      <c r="F380" s="672"/>
      <c r="G380" s="672"/>
      <c r="H380" s="672"/>
      <c r="I380" s="672"/>
      <c r="J380" s="672"/>
      <c r="K380" s="672"/>
      <c r="L380" s="673"/>
    </row>
    <row r="381" spans="1:12">
      <c r="A381" s="672"/>
      <c r="B381" s="672"/>
      <c r="C381" s="672"/>
      <c r="D381" s="672"/>
      <c r="E381" s="672"/>
      <c r="F381" s="672"/>
      <c r="G381" s="672"/>
      <c r="H381" s="672"/>
      <c r="I381" s="672"/>
      <c r="J381" s="672"/>
      <c r="K381" s="672"/>
      <c r="L381" s="673"/>
    </row>
    <row r="382" spans="1:12">
      <c r="A382" s="672"/>
      <c r="B382" s="672"/>
      <c r="C382" s="672"/>
      <c r="D382" s="672"/>
      <c r="E382" s="672"/>
      <c r="F382" s="672"/>
      <c r="G382" s="672"/>
      <c r="H382" s="672"/>
      <c r="I382" s="672"/>
      <c r="J382" s="672"/>
      <c r="K382" s="672"/>
      <c r="L382" s="673"/>
    </row>
    <row r="383" spans="1:12">
      <c r="A383" s="672"/>
      <c r="B383" s="672"/>
      <c r="C383" s="672"/>
      <c r="D383" s="672"/>
      <c r="E383" s="672"/>
      <c r="F383" s="672"/>
      <c r="G383" s="672"/>
      <c r="H383" s="672"/>
      <c r="I383" s="672"/>
      <c r="J383" s="672"/>
      <c r="K383" s="672"/>
      <c r="L383" s="673"/>
    </row>
    <row r="384" spans="1:12">
      <c r="A384" s="672"/>
      <c r="B384" s="672"/>
      <c r="C384" s="672"/>
      <c r="D384" s="672"/>
      <c r="E384" s="672"/>
      <c r="F384" s="672"/>
      <c r="G384" s="672"/>
      <c r="H384" s="672"/>
      <c r="I384" s="672"/>
      <c r="J384" s="672"/>
      <c r="K384" s="672"/>
      <c r="L384" s="673"/>
    </row>
    <row r="385" spans="1:12">
      <c r="A385" s="672"/>
      <c r="B385" s="672"/>
      <c r="C385" s="672"/>
      <c r="D385" s="672"/>
      <c r="E385" s="672"/>
      <c r="F385" s="672"/>
      <c r="G385" s="672"/>
      <c r="H385" s="672"/>
      <c r="I385" s="672"/>
      <c r="J385" s="672"/>
      <c r="K385" s="672"/>
      <c r="L385" s="673"/>
    </row>
    <row r="386" spans="1:12">
      <c r="A386" s="672"/>
      <c r="B386" s="672"/>
      <c r="C386" s="672"/>
      <c r="D386" s="672"/>
      <c r="E386" s="672"/>
      <c r="F386" s="672"/>
      <c r="G386" s="672"/>
      <c r="H386" s="672"/>
      <c r="I386" s="672"/>
      <c r="J386" s="672"/>
      <c r="K386" s="672"/>
      <c r="L386" s="673"/>
    </row>
    <row r="387" spans="1:12">
      <c r="A387" s="672"/>
      <c r="B387" s="672"/>
      <c r="C387" s="672"/>
      <c r="D387" s="672"/>
      <c r="E387" s="672"/>
      <c r="F387" s="672"/>
      <c r="G387" s="672"/>
      <c r="H387" s="672"/>
      <c r="I387" s="672"/>
      <c r="J387" s="672"/>
      <c r="K387" s="672"/>
      <c r="L387" s="673"/>
    </row>
    <row r="388" spans="1:12">
      <c r="A388" s="672"/>
      <c r="B388" s="672"/>
      <c r="C388" s="672"/>
      <c r="D388" s="672"/>
      <c r="E388" s="672"/>
      <c r="F388" s="672"/>
      <c r="G388" s="672"/>
      <c r="H388" s="672"/>
      <c r="I388" s="672"/>
      <c r="J388" s="672"/>
      <c r="K388" s="672"/>
      <c r="L388" s="673"/>
    </row>
    <row r="389" spans="1:12">
      <c r="A389" s="672"/>
      <c r="B389" s="672"/>
      <c r="C389" s="672"/>
      <c r="D389" s="672"/>
      <c r="E389" s="672"/>
      <c r="F389" s="672"/>
      <c r="G389" s="672"/>
      <c r="H389" s="672"/>
      <c r="I389" s="672"/>
      <c r="J389" s="672"/>
      <c r="K389" s="672"/>
      <c r="L389" s="673"/>
    </row>
    <row r="390" spans="1:12">
      <c r="A390" s="672"/>
      <c r="B390" s="672"/>
      <c r="C390" s="672"/>
      <c r="D390" s="672"/>
      <c r="E390" s="672"/>
      <c r="F390" s="672"/>
      <c r="G390" s="672"/>
      <c r="H390" s="672"/>
      <c r="I390" s="672"/>
      <c r="J390" s="672"/>
      <c r="K390" s="672"/>
      <c r="L390" s="673"/>
    </row>
    <row r="391" spans="1:12">
      <c r="A391" s="672"/>
      <c r="B391" s="672"/>
      <c r="C391" s="672"/>
      <c r="D391" s="672"/>
      <c r="E391" s="672"/>
      <c r="F391" s="672"/>
      <c r="G391" s="672"/>
      <c r="H391" s="672"/>
      <c r="I391" s="672"/>
      <c r="J391" s="672"/>
      <c r="K391" s="672"/>
      <c r="L391" s="673"/>
    </row>
    <row r="392" spans="1:12">
      <c r="A392" s="672"/>
      <c r="B392" s="672"/>
      <c r="C392" s="672"/>
      <c r="D392" s="672"/>
      <c r="E392" s="672"/>
      <c r="F392" s="672"/>
      <c r="G392" s="672"/>
      <c r="H392" s="672"/>
      <c r="I392" s="672"/>
      <c r="J392" s="672"/>
      <c r="K392" s="672"/>
      <c r="L392" s="673"/>
    </row>
    <row r="393" spans="1:12">
      <c r="A393" s="672"/>
      <c r="B393" s="672"/>
      <c r="C393" s="672"/>
      <c r="D393" s="672"/>
      <c r="E393" s="672"/>
      <c r="F393" s="672"/>
      <c r="G393" s="672"/>
      <c r="H393" s="672"/>
      <c r="I393" s="672"/>
      <c r="J393" s="672"/>
      <c r="K393" s="672"/>
      <c r="L393" s="673"/>
    </row>
    <row r="394" spans="1:12">
      <c r="A394" s="672"/>
      <c r="B394" s="672"/>
      <c r="C394" s="672"/>
      <c r="D394" s="672"/>
      <c r="E394" s="672"/>
      <c r="F394" s="672"/>
      <c r="G394" s="672"/>
      <c r="H394" s="672"/>
      <c r="I394" s="672"/>
      <c r="J394" s="672"/>
      <c r="K394" s="672"/>
      <c r="L394" s="673"/>
    </row>
    <row r="395" spans="1:12">
      <c r="A395" s="672"/>
      <c r="B395" s="672"/>
      <c r="C395" s="672"/>
      <c r="D395" s="672"/>
      <c r="E395" s="672"/>
      <c r="F395" s="672"/>
      <c r="G395" s="672"/>
      <c r="H395" s="672"/>
      <c r="I395" s="672"/>
      <c r="J395" s="672"/>
      <c r="K395" s="672"/>
      <c r="L395" s="673"/>
    </row>
    <row r="396" spans="1:12">
      <c r="A396" s="672"/>
      <c r="B396" s="672"/>
      <c r="C396" s="672"/>
      <c r="D396" s="672"/>
      <c r="E396" s="672"/>
      <c r="F396" s="672"/>
      <c r="G396" s="672"/>
      <c r="H396" s="672"/>
      <c r="I396" s="672"/>
      <c r="J396" s="672"/>
      <c r="K396" s="672"/>
      <c r="L396" s="673"/>
    </row>
    <row r="397" spans="1:12">
      <c r="A397" s="672"/>
      <c r="B397" s="672"/>
      <c r="C397" s="672"/>
      <c r="D397" s="672"/>
      <c r="E397" s="672"/>
      <c r="F397" s="672"/>
      <c r="G397" s="672"/>
      <c r="H397" s="672"/>
      <c r="I397" s="672"/>
      <c r="J397" s="672"/>
      <c r="K397" s="672"/>
      <c r="L397" s="673"/>
    </row>
    <row r="398" spans="1:12">
      <c r="A398" s="672"/>
      <c r="B398" s="672"/>
      <c r="C398" s="672"/>
      <c r="D398" s="672"/>
      <c r="E398" s="672"/>
      <c r="F398" s="672"/>
      <c r="G398" s="672"/>
      <c r="H398" s="672"/>
      <c r="I398" s="672"/>
      <c r="J398" s="672"/>
      <c r="K398" s="672"/>
      <c r="L398" s="673"/>
    </row>
    <row r="399" spans="1:12">
      <c r="A399" s="672"/>
      <c r="B399" s="672"/>
      <c r="C399" s="672"/>
      <c r="D399" s="672"/>
      <c r="E399" s="672"/>
      <c r="F399" s="672"/>
      <c r="G399" s="672"/>
      <c r="H399" s="672"/>
      <c r="I399" s="672"/>
      <c r="J399" s="672"/>
      <c r="K399" s="672"/>
      <c r="L399" s="673"/>
    </row>
    <row r="400" spans="1:12">
      <c r="A400" s="672"/>
      <c r="B400" s="672"/>
      <c r="C400" s="672"/>
      <c r="D400" s="672"/>
      <c r="E400" s="672"/>
      <c r="F400" s="672"/>
      <c r="G400" s="672"/>
      <c r="H400" s="672"/>
      <c r="I400" s="672"/>
      <c r="J400" s="672"/>
      <c r="K400" s="672"/>
      <c r="L400" s="673"/>
    </row>
    <row r="401" spans="1:12">
      <c r="A401" s="672"/>
      <c r="B401" s="672"/>
      <c r="C401" s="672"/>
      <c r="D401" s="672"/>
      <c r="E401" s="672"/>
      <c r="F401" s="672"/>
      <c r="G401" s="672"/>
      <c r="H401" s="672"/>
      <c r="I401" s="672"/>
      <c r="J401" s="672"/>
      <c r="K401" s="672"/>
      <c r="L401" s="673"/>
    </row>
    <row r="402" spans="1:12">
      <c r="A402" s="672"/>
      <c r="B402" s="672"/>
      <c r="C402" s="672"/>
      <c r="D402" s="672"/>
      <c r="E402" s="672"/>
      <c r="F402" s="672"/>
      <c r="G402" s="672"/>
      <c r="H402" s="672"/>
      <c r="I402" s="672"/>
      <c r="J402" s="672"/>
      <c r="K402" s="672"/>
      <c r="L402" s="673"/>
    </row>
    <row r="403" spans="1:12">
      <c r="A403" s="672"/>
      <c r="B403" s="672"/>
      <c r="C403" s="672"/>
      <c r="D403" s="672"/>
      <c r="E403" s="672"/>
      <c r="F403" s="672"/>
      <c r="G403" s="672"/>
      <c r="H403" s="672"/>
      <c r="I403" s="672"/>
      <c r="J403" s="672"/>
      <c r="K403" s="672"/>
      <c r="L403" s="673"/>
    </row>
    <row r="404" spans="1:12">
      <c r="A404" s="672"/>
      <c r="B404" s="672"/>
      <c r="C404" s="672"/>
      <c r="D404" s="672"/>
      <c r="E404" s="672"/>
      <c r="F404" s="672"/>
      <c r="G404" s="672"/>
      <c r="H404" s="672"/>
      <c r="I404" s="672"/>
      <c r="J404" s="672"/>
      <c r="K404" s="672"/>
      <c r="L404" s="673"/>
    </row>
    <row r="405" spans="1:12">
      <c r="A405" s="672"/>
      <c r="B405" s="672"/>
      <c r="C405" s="672"/>
      <c r="D405" s="672"/>
      <c r="E405" s="672"/>
      <c r="F405" s="672"/>
      <c r="G405" s="672"/>
      <c r="H405" s="672"/>
      <c r="I405" s="672"/>
      <c r="J405" s="672"/>
      <c r="K405" s="672"/>
      <c r="L405" s="673"/>
    </row>
    <row r="406" spans="1:12">
      <c r="A406" s="672"/>
      <c r="B406" s="672"/>
      <c r="C406" s="672"/>
      <c r="D406" s="672"/>
      <c r="E406" s="672"/>
      <c r="F406" s="672"/>
      <c r="G406" s="672"/>
      <c r="H406" s="672"/>
      <c r="I406" s="672"/>
      <c r="J406" s="672"/>
      <c r="K406" s="672"/>
      <c r="L406" s="673"/>
    </row>
    <row r="407" spans="1:12">
      <c r="A407" s="672"/>
      <c r="B407" s="672"/>
      <c r="C407" s="672"/>
      <c r="D407" s="672"/>
      <c r="E407" s="672"/>
      <c r="F407" s="672"/>
      <c r="G407" s="672"/>
      <c r="H407" s="672"/>
      <c r="I407" s="672"/>
      <c r="J407" s="672"/>
      <c r="K407" s="672"/>
      <c r="L407" s="673"/>
    </row>
    <row r="408" spans="1:12">
      <c r="A408" s="672"/>
      <c r="B408" s="672"/>
      <c r="C408" s="672"/>
      <c r="D408" s="672"/>
      <c r="E408" s="672"/>
      <c r="F408" s="672"/>
      <c r="G408" s="672"/>
      <c r="H408" s="672"/>
      <c r="I408" s="672"/>
      <c r="J408" s="672"/>
      <c r="K408" s="672"/>
      <c r="L408" s="673"/>
    </row>
    <row r="409" spans="1:12">
      <c r="A409" s="672"/>
      <c r="B409" s="672"/>
      <c r="C409" s="672"/>
      <c r="D409" s="672"/>
      <c r="E409" s="672"/>
      <c r="F409" s="672"/>
      <c r="G409" s="672"/>
      <c r="H409" s="672"/>
      <c r="I409" s="672"/>
      <c r="J409" s="672"/>
      <c r="K409" s="672"/>
      <c r="L409" s="673"/>
    </row>
    <row r="410" spans="1:12">
      <c r="A410" s="672"/>
      <c r="B410" s="672"/>
      <c r="C410" s="672"/>
      <c r="D410" s="672"/>
      <c r="E410" s="672"/>
      <c r="F410" s="672"/>
      <c r="G410" s="672"/>
      <c r="H410" s="672"/>
      <c r="I410" s="672"/>
      <c r="J410" s="672"/>
      <c r="K410" s="672"/>
      <c r="L410" s="673"/>
    </row>
    <row r="411" spans="1:12">
      <c r="A411" s="672"/>
      <c r="B411" s="672"/>
      <c r="C411" s="672"/>
      <c r="D411" s="672"/>
      <c r="E411" s="672"/>
      <c r="F411" s="672"/>
      <c r="G411" s="672"/>
      <c r="H411" s="672"/>
      <c r="I411" s="672"/>
      <c r="J411" s="672"/>
      <c r="K411" s="672"/>
      <c r="L411" s="673"/>
    </row>
    <row r="412" spans="1:12">
      <c r="A412" s="672"/>
      <c r="B412" s="672"/>
      <c r="C412" s="672"/>
      <c r="D412" s="672"/>
      <c r="E412" s="672"/>
      <c r="F412" s="672"/>
      <c r="G412" s="672"/>
      <c r="H412" s="672"/>
      <c r="I412" s="672"/>
      <c r="J412" s="672"/>
      <c r="K412" s="672"/>
      <c r="L412" s="673"/>
    </row>
    <row r="413" spans="1:12">
      <c r="A413" s="672"/>
      <c r="B413" s="672"/>
      <c r="C413" s="672"/>
      <c r="D413" s="672"/>
      <c r="E413" s="672"/>
      <c r="F413" s="672"/>
      <c r="G413" s="672"/>
      <c r="H413" s="672"/>
      <c r="I413" s="672"/>
      <c r="J413" s="672"/>
      <c r="K413" s="672"/>
      <c r="L413" s="673"/>
    </row>
    <row r="414" spans="1:12">
      <c r="A414" s="672"/>
      <c r="B414" s="672"/>
      <c r="C414" s="672"/>
      <c r="D414" s="672"/>
      <c r="E414" s="672"/>
      <c r="F414" s="672"/>
      <c r="G414" s="672"/>
      <c r="H414" s="672"/>
      <c r="I414" s="672"/>
      <c r="J414" s="672"/>
      <c r="K414" s="672"/>
      <c r="L414" s="673"/>
    </row>
    <row r="415" spans="1:12">
      <c r="A415" s="672"/>
      <c r="B415" s="672"/>
      <c r="C415" s="672"/>
      <c r="D415" s="672"/>
      <c r="E415" s="672"/>
      <c r="F415" s="672"/>
      <c r="G415" s="672"/>
      <c r="H415" s="672"/>
      <c r="I415" s="672"/>
      <c r="J415" s="672"/>
      <c r="K415" s="672"/>
      <c r="L415" s="673"/>
    </row>
    <row r="416" spans="1:12">
      <c r="A416" s="672"/>
      <c r="B416" s="672"/>
      <c r="C416" s="672"/>
      <c r="D416" s="672"/>
      <c r="E416" s="672"/>
      <c r="F416" s="672"/>
      <c r="G416" s="672"/>
      <c r="H416" s="672"/>
      <c r="I416" s="672"/>
      <c r="J416" s="672"/>
      <c r="K416" s="672"/>
      <c r="L416" s="673"/>
    </row>
    <row r="417" spans="1:12">
      <c r="A417" s="672"/>
      <c r="B417" s="672"/>
      <c r="C417" s="672"/>
      <c r="D417" s="672"/>
      <c r="E417" s="672"/>
      <c r="F417" s="672"/>
      <c r="G417" s="672"/>
      <c r="H417" s="672"/>
      <c r="I417" s="672"/>
      <c r="J417" s="672"/>
      <c r="K417" s="672"/>
      <c r="L417" s="673"/>
    </row>
    <row r="418" spans="1:12">
      <c r="A418" s="672"/>
      <c r="B418" s="672"/>
      <c r="C418" s="672"/>
      <c r="D418" s="672"/>
      <c r="E418" s="672"/>
      <c r="F418" s="672"/>
      <c r="G418" s="672"/>
      <c r="H418" s="672"/>
      <c r="I418" s="672"/>
      <c r="J418" s="672"/>
      <c r="K418" s="672"/>
      <c r="L418" s="673"/>
    </row>
    <row r="419" spans="1:12">
      <c r="A419" s="672"/>
      <c r="B419" s="672"/>
      <c r="C419" s="672"/>
      <c r="D419" s="672"/>
      <c r="E419" s="672"/>
      <c r="F419" s="672"/>
      <c r="G419" s="672"/>
      <c r="H419" s="672"/>
      <c r="I419" s="672"/>
      <c r="J419" s="672"/>
      <c r="K419" s="672"/>
      <c r="L419" s="673"/>
    </row>
    <row r="420" spans="1:12">
      <c r="A420" s="672"/>
      <c r="B420" s="672"/>
      <c r="C420" s="672"/>
      <c r="D420" s="672"/>
      <c r="E420" s="672"/>
      <c r="F420" s="672"/>
      <c r="G420" s="672"/>
      <c r="H420" s="672"/>
      <c r="I420" s="672"/>
      <c r="J420" s="672"/>
      <c r="K420" s="672"/>
      <c r="L420" s="673"/>
    </row>
    <row r="421" spans="1:12">
      <c r="A421" s="672"/>
      <c r="B421" s="672"/>
      <c r="C421" s="672"/>
      <c r="D421" s="672"/>
      <c r="E421" s="672"/>
      <c r="F421" s="672"/>
      <c r="G421" s="672"/>
      <c r="H421" s="672"/>
      <c r="I421" s="672"/>
      <c r="J421" s="672"/>
      <c r="K421" s="672"/>
      <c r="L421" s="673"/>
    </row>
    <row r="422" spans="1:12">
      <c r="A422" s="672"/>
      <c r="B422" s="672"/>
      <c r="C422" s="672"/>
      <c r="D422" s="672"/>
      <c r="E422" s="672"/>
      <c r="F422" s="672"/>
      <c r="G422" s="672"/>
      <c r="H422" s="672"/>
      <c r="I422" s="672"/>
      <c r="J422" s="672"/>
      <c r="K422" s="672"/>
      <c r="L422" s="673"/>
    </row>
    <row r="423" spans="1:12">
      <c r="A423" s="672"/>
      <c r="B423" s="672"/>
      <c r="C423" s="672"/>
      <c r="D423" s="672"/>
      <c r="E423" s="672"/>
      <c r="F423" s="672"/>
      <c r="G423" s="672"/>
      <c r="H423" s="672"/>
      <c r="I423" s="672"/>
      <c r="J423" s="672"/>
      <c r="K423" s="672"/>
      <c r="L423" s="673"/>
    </row>
    <row r="424" spans="1:12">
      <c r="A424" s="672"/>
      <c r="B424" s="672"/>
      <c r="C424" s="672"/>
      <c r="D424" s="672"/>
      <c r="E424" s="672"/>
      <c r="F424" s="672"/>
      <c r="G424" s="672"/>
      <c r="H424" s="672"/>
      <c r="I424" s="672"/>
      <c r="J424" s="672"/>
      <c r="K424" s="672"/>
      <c r="L424" s="673"/>
    </row>
    <row r="425" spans="1:12">
      <c r="A425" s="672"/>
      <c r="B425" s="672"/>
      <c r="C425" s="672"/>
      <c r="D425" s="672"/>
      <c r="E425" s="672"/>
      <c r="F425" s="672"/>
      <c r="G425" s="672"/>
      <c r="H425" s="672"/>
      <c r="I425" s="672"/>
      <c r="J425" s="672"/>
      <c r="K425" s="672"/>
      <c r="L425" s="673"/>
    </row>
    <row r="426" spans="1:12">
      <c r="A426" s="672"/>
      <c r="B426" s="672"/>
      <c r="C426" s="672"/>
      <c r="D426" s="672"/>
      <c r="E426" s="672"/>
      <c r="F426" s="672"/>
      <c r="G426" s="672"/>
      <c r="H426" s="672"/>
      <c r="I426" s="672"/>
      <c r="J426" s="672"/>
      <c r="K426" s="672"/>
      <c r="L426" s="673"/>
    </row>
    <row r="427" spans="1:12">
      <c r="A427" s="672"/>
      <c r="B427" s="672"/>
      <c r="C427" s="672"/>
      <c r="D427" s="672"/>
      <c r="E427" s="672"/>
      <c r="F427" s="672"/>
      <c r="G427" s="672"/>
      <c r="H427" s="672"/>
      <c r="I427" s="672"/>
      <c r="J427" s="672"/>
      <c r="K427" s="672"/>
      <c r="L427" s="673"/>
    </row>
    <row r="428" spans="1:12">
      <c r="A428" s="672"/>
      <c r="B428" s="672"/>
      <c r="C428" s="672"/>
      <c r="D428" s="672"/>
      <c r="E428" s="672"/>
      <c r="F428" s="672"/>
      <c r="G428" s="672"/>
      <c r="H428" s="672"/>
      <c r="I428" s="672"/>
      <c r="J428" s="672"/>
      <c r="K428" s="672"/>
      <c r="L428" s="673"/>
    </row>
    <row r="429" spans="1:12">
      <c r="A429" s="672"/>
      <c r="B429" s="672"/>
      <c r="C429" s="672"/>
      <c r="D429" s="672"/>
      <c r="E429" s="672"/>
      <c r="F429" s="672"/>
      <c r="G429" s="672"/>
      <c r="H429" s="672"/>
      <c r="I429" s="672"/>
      <c r="J429" s="672"/>
      <c r="K429" s="672"/>
      <c r="L429" s="673"/>
    </row>
    <row r="430" spans="1:12">
      <c r="A430" s="672"/>
      <c r="B430" s="672"/>
      <c r="C430" s="672"/>
      <c r="D430" s="672"/>
      <c r="E430" s="672"/>
      <c r="F430" s="672"/>
      <c r="G430" s="672"/>
      <c r="H430" s="672"/>
      <c r="I430" s="672"/>
      <c r="J430" s="672"/>
      <c r="K430" s="672"/>
      <c r="L430" s="673"/>
    </row>
    <row r="431" spans="1:12">
      <c r="A431" s="672"/>
      <c r="B431" s="672"/>
      <c r="C431" s="672"/>
      <c r="D431" s="672"/>
      <c r="E431" s="672"/>
      <c r="F431" s="672"/>
      <c r="G431" s="672"/>
      <c r="H431" s="672"/>
      <c r="I431" s="672"/>
      <c r="J431" s="672"/>
      <c r="K431" s="672"/>
      <c r="L431" s="673"/>
    </row>
    <row r="432" spans="1:12">
      <c r="A432" s="672"/>
      <c r="B432" s="672"/>
      <c r="C432" s="672"/>
      <c r="D432" s="672"/>
      <c r="E432" s="672"/>
      <c r="F432" s="672"/>
      <c r="G432" s="672"/>
      <c r="H432" s="672"/>
      <c r="I432" s="672"/>
      <c r="J432" s="672"/>
      <c r="K432" s="672"/>
      <c r="L432" s="673"/>
    </row>
    <row r="433" spans="1:12">
      <c r="A433" s="672"/>
      <c r="B433" s="672"/>
      <c r="C433" s="672"/>
      <c r="D433" s="672"/>
      <c r="E433" s="672"/>
      <c r="F433" s="672"/>
      <c r="G433" s="672"/>
      <c r="H433" s="672"/>
      <c r="I433" s="672"/>
      <c r="J433" s="672"/>
      <c r="K433" s="672"/>
      <c r="L433" s="673"/>
    </row>
    <row r="434" spans="1:12">
      <c r="A434" s="672"/>
      <c r="B434" s="672"/>
      <c r="C434" s="672"/>
      <c r="D434" s="672"/>
      <c r="E434" s="672"/>
      <c r="F434" s="672"/>
      <c r="G434" s="672"/>
      <c r="H434" s="672"/>
      <c r="I434" s="672"/>
      <c r="J434" s="672"/>
      <c r="K434" s="672"/>
      <c r="L434" s="673"/>
    </row>
    <row r="435" spans="1:12">
      <c r="A435" s="672"/>
      <c r="B435" s="672"/>
      <c r="C435" s="672"/>
      <c r="D435" s="672"/>
      <c r="E435" s="672"/>
      <c r="F435" s="672"/>
      <c r="G435" s="672"/>
      <c r="H435" s="672"/>
      <c r="I435" s="672"/>
      <c r="J435" s="672"/>
      <c r="K435" s="672"/>
      <c r="L435" s="673"/>
    </row>
    <row r="436" spans="1:12">
      <c r="A436" s="672"/>
      <c r="B436" s="672"/>
      <c r="C436" s="672"/>
      <c r="D436" s="672"/>
      <c r="E436" s="672"/>
      <c r="F436" s="672"/>
      <c r="G436" s="672"/>
      <c r="H436" s="672"/>
      <c r="I436" s="672"/>
      <c r="J436" s="672"/>
      <c r="K436" s="672"/>
      <c r="L436" s="673"/>
    </row>
    <row r="437" spans="1:12">
      <c r="A437" s="672"/>
      <c r="B437" s="672"/>
      <c r="C437" s="672"/>
      <c r="D437" s="672"/>
      <c r="E437" s="672"/>
      <c r="F437" s="672"/>
      <c r="G437" s="672"/>
      <c r="H437" s="672"/>
      <c r="I437" s="672"/>
      <c r="J437" s="672"/>
      <c r="K437" s="672"/>
      <c r="L437" s="673"/>
    </row>
    <row r="438" spans="1:12">
      <c r="A438" s="672"/>
      <c r="B438" s="672"/>
      <c r="C438" s="672"/>
      <c r="D438" s="672"/>
      <c r="E438" s="672"/>
      <c r="F438" s="672"/>
      <c r="G438" s="672"/>
      <c r="H438" s="672"/>
      <c r="I438" s="672"/>
      <c r="J438" s="672"/>
      <c r="K438" s="672"/>
      <c r="L438" s="673"/>
    </row>
    <row r="439" spans="1:12">
      <c r="A439" s="672"/>
      <c r="B439" s="672"/>
      <c r="C439" s="672"/>
      <c r="D439" s="672"/>
      <c r="E439" s="672"/>
      <c r="F439" s="672"/>
      <c r="G439" s="672"/>
      <c r="H439" s="672"/>
      <c r="I439" s="672"/>
      <c r="J439" s="672"/>
      <c r="K439" s="672"/>
      <c r="L439" s="673"/>
    </row>
    <row r="440" spans="1:12">
      <c r="A440" s="672"/>
      <c r="B440" s="672"/>
      <c r="C440" s="672"/>
      <c r="D440" s="672"/>
      <c r="E440" s="672"/>
      <c r="F440" s="672"/>
      <c r="G440" s="672"/>
      <c r="H440" s="672"/>
      <c r="I440" s="672"/>
      <c r="J440" s="672"/>
      <c r="K440" s="672"/>
      <c r="L440" s="673"/>
    </row>
    <row r="441" spans="1:12">
      <c r="A441" s="672"/>
      <c r="B441" s="672"/>
      <c r="C441" s="672"/>
      <c r="D441" s="672"/>
      <c r="E441" s="672"/>
      <c r="F441" s="672"/>
      <c r="G441" s="672"/>
      <c r="H441" s="672"/>
      <c r="I441" s="672"/>
      <c r="J441" s="672"/>
      <c r="K441" s="672"/>
      <c r="L441" s="673"/>
    </row>
    <row r="442" spans="1:12">
      <c r="A442" s="672"/>
      <c r="B442" s="672"/>
      <c r="C442" s="672"/>
      <c r="D442" s="672"/>
      <c r="E442" s="672"/>
      <c r="F442" s="672"/>
      <c r="G442" s="672"/>
      <c r="H442" s="672"/>
      <c r="I442" s="672"/>
      <c r="J442" s="672"/>
      <c r="K442" s="672"/>
      <c r="L442" s="673"/>
    </row>
    <row r="443" spans="1:12">
      <c r="A443" s="672"/>
      <c r="B443" s="672"/>
      <c r="C443" s="672"/>
      <c r="D443" s="672"/>
      <c r="E443" s="672"/>
      <c r="F443" s="672"/>
      <c r="G443" s="672"/>
      <c r="H443" s="672"/>
      <c r="I443" s="672"/>
      <c r="J443" s="672"/>
      <c r="K443" s="672"/>
      <c r="L443" s="673"/>
    </row>
    <row r="444" spans="1:12">
      <c r="A444" s="672"/>
      <c r="B444" s="672"/>
      <c r="C444" s="672"/>
      <c r="D444" s="672"/>
      <c r="E444" s="672"/>
      <c r="F444" s="672"/>
      <c r="G444" s="672"/>
      <c r="H444" s="672"/>
      <c r="I444" s="672"/>
      <c r="J444" s="672"/>
      <c r="K444" s="672"/>
      <c r="L444" s="673"/>
    </row>
    <row r="445" spans="1:12">
      <c r="A445" s="672"/>
      <c r="B445" s="672"/>
      <c r="C445" s="672"/>
      <c r="D445" s="672"/>
      <c r="E445" s="672"/>
      <c r="F445" s="672"/>
      <c r="G445" s="672"/>
      <c r="H445" s="672"/>
      <c r="I445" s="672"/>
      <c r="J445" s="672"/>
      <c r="K445" s="672"/>
      <c r="L445" s="673"/>
    </row>
    <row r="446" spans="1:12">
      <c r="A446" s="672"/>
      <c r="B446" s="672"/>
      <c r="C446" s="672"/>
      <c r="D446" s="672"/>
      <c r="E446" s="672"/>
      <c r="F446" s="672"/>
      <c r="G446" s="672"/>
      <c r="H446" s="672"/>
      <c r="I446" s="672"/>
      <c r="J446" s="672"/>
      <c r="K446" s="672"/>
      <c r="L446" s="673"/>
    </row>
    <row r="447" spans="1:12">
      <c r="A447" s="672"/>
      <c r="B447" s="672"/>
      <c r="C447" s="672"/>
      <c r="D447" s="672"/>
      <c r="E447" s="672"/>
      <c r="F447" s="672"/>
      <c r="G447" s="672"/>
      <c r="H447" s="672"/>
      <c r="I447" s="672"/>
      <c r="J447" s="672"/>
      <c r="K447" s="672"/>
      <c r="L447" s="673"/>
    </row>
    <row r="448" spans="1:12">
      <c r="A448" s="672"/>
      <c r="B448" s="672"/>
      <c r="C448" s="672"/>
      <c r="D448" s="672"/>
      <c r="E448" s="672"/>
      <c r="F448" s="672"/>
      <c r="G448" s="672"/>
      <c r="H448" s="672"/>
      <c r="I448" s="672"/>
      <c r="J448" s="672"/>
      <c r="K448" s="672"/>
      <c r="L448" s="673"/>
    </row>
    <row r="449" spans="1:12">
      <c r="A449" s="672"/>
      <c r="B449" s="672"/>
      <c r="C449" s="672"/>
      <c r="D449" s="672"/>
      <c r="E449" s="672"/>
      <c r="F449" s="672"/>
      <c r="G449" s="672"/>
      <c r="H449" s="672"/>
      <c r="I449" s="672"/>
      <c r="J449" s="672"/>
      <c r="K449" s="672"/>
      <c r="L449" s="673"/>
    </row>
    <row r="450" spans="1:12">
      <c r="A450" s="672"/>
      <c r="B450" s="672"/>
      <c r="C450" s="672"/>
      <c r="D450" s="672"/>
      <c r="E450" s="672"/>
      <c r="F450" s="672"/>
      <c r="G450" s="672"/>
      <c r="H450" s="672"/>
      <c r="I450" s="672"/>
      <c r="J450" s="672"/>
      <c r="K450" s="672"/>
      <c r="L450" s="673"/>
    </row>
    <row r="451" spans="1:12">
      <c r="A451" s="672"/>
      <c r="B451" s="672"/>
      <c r="C451" s="672"/>
      <c r="D451" s="672"/>
      <c r="E451" s="672"/>
      <c r="F451" s="672"/>
      <c r="G451" s="672"/>
      <c r="H451" s="672"/>
      <c r="I451" s="672"/>
      <c r="J451" s="672"/>
      <c r="K451" s="672"/>
      <c r="L451" s="673"/>
    </row>
    <row r="452" spans="1:12">
      <c r="A452" s="672"/>
      <c r="B452" s="672"/>
      <c r="C452" s="672"/>
      <c r="D452" s="672"/>
      <c r="E452" s="672"/>
      <c r="F452" s="672"/>
      <c r="G452" s="672"/>
      <c r="H452" s="672"/>
      <c r="I452" s="672"/>
      <c r="J452" s="672"/>
      <c r="K452" s="672"/>
      <c r="L452" s="673"/>
    </row>
    <row r="453" spans="1:12">
      <c r="A453" s="672"/>
      <c r="B453" s="672"/>
      <c r="C453" s="672"/>
      <c r="D453" s="672"/>
      <c r="E453" s="672"/>
      <c r="F453" s="672"/>
      <c r="G453" s="672"/>
      <c r="H453" s="672"/>
      <c r="I453" s="672"/>
      <c r="J453" s="672"/>
      <c r="K453" s="672"/>
      <c r="L453" s="673"/>
    </row>
    <row r="454" spans="1:12">
      <c r="A454" s="672"/>
      <c r="B454" s="672"/>
      <c r="C454" s="672"/>
      <c r="D454" s="672"/>
      <c r="E454" s="672"/>
      <c r="F454" s="672"/>
      <c r="G454" s="672"/>
      <c r="H454" s="672"/>
      <c r="I454" s="672"/>
      <c r="J454" s="672"/>
      <c r="K454" s="672"/>
      <c r="L454" s="673"/>
    </row>
    <row r="455" spans="1:12">
      <c r="A455" s="672"/>
      <c r="B455" s="672"/>
      <c r="C455" s="672"/>
      <c r="D455" s="672"/>
      <c r="E455" s="672"/>
      <c r="F455" s="672"/>
      <c r="G455" s="672"/>
      <c r="H455" s="672"/>
      <c r="I455" s="672"/>
      <c r="J455" s="672"/>
      <c r="K455" s="672"/>
      <c r="L455" s="673"/>
    </row>
    <row r="456" spans="1:12">
      <c r="A456" s="672"/>
      <c r="B456" s="672"/>
      <c r="C456" s="672"/>
      <c r="D456" s="672"/>
      <c r="E456" s="672"/>
      <c r="F456" s="672"/>
      <c r="G456" s="672"/>
      <c r="H456" s="672"/>
      <c r="I456" s="672"/>
      <c r="J456" s="672"/>
      <c r="K456" s="672"/>
      <c r="L456" s="673"/>
    </row>
    <row r="457" spans="1:12">
      <c r="A457" s="672"/>
      <c r="B457" s="672"/>
      <c r="C457" s="672"/>
      <c r="D457" s="672"/>
      <c r="E457" s="672"/>
      <c r="F457" s="672"/>
      <c r="G457" s="672"/>
      <c r="H457" s="672"/>
      <c r="I457" s="672"/>
      <c r="J457" s="672"/>
      <c r="K457" s="672"/>
      <c r="L457" s="673"/>
    </row>
    <row r="458" spans="1:12">
      <c r="A458" s="672"/>
      <c r="B458" s="672"/>
      <c r="C458" s="672"/>
      <c r="D458" s="672"/>
      <c r="E458" s="672"/>
      <c r="F458" s="672"/>
      <c r="G458" s="672"/>
      <c r="H458" s="672"/>
      <c r="I458" s="672"/>
      <c r="J458" s="672"/>
      <c r="K458" s="672"/>
      <c r="L458" s="673"/>
    </row>
    <row r="459" spans="1:12">
      <c r="A459" s="672"/>
      <c r="B459" s="672"/>
      <c r="C459" s="672"/>
      <c r="D459" s="672"/>
      <c r="E459" s="672"/>
      <c r="F459" s="672"/>
      <c r="G459" s="672"/>
      <c r="H459" s="672"/>
      <c r="I459" s="672"/>
      <c r="J459" s="672"/>
      <c r="K459" s="672"/>
      <c r="L459" s="673"/>
    </row>
    <row r="460" spans="1:12">
      <c r="A460" s="672"/>
      <c r="B460" s="672"/>
      <c r="C460" s="672"/>
      <c r="D460" s="672"/>
      <c r="E460" s="672"/>
      <c r="F460" s="672"/>
      <c r="G460" s="672"/>
      <c r="H460" s="672"/>
      <c r="I460" s="672"/>
      <c r="J460" s="672"/>
      <c r="K460" s="672"/>
      <c r="L460" s="673"/>
    </row>
    <row r="461" spans="1:12">
      <c r="A461" s="672"/>
      <c r="B461" s="672"/>
      <c r="C461" s="672"/>
      <c r="D461" s="672"/>
      <c r="E461" s="672"/>
      <c r="F461" s="672"/>
      <c r="G461" s="672"/>
      <c r="H461" s="672"/>
      <c r="I461" s="672"/>
      <c r="J461" s="672"/>
      <c r="K461" s="672"/>
      <c r="L461" s="673"/>
    </row>
    <row r="462" spans="1:12">
      <c r="A462" s="672"/>
      <c r="B462" s="672"/>
      <c r="C462" s="672"/>
      <c r="D462" s="672"/>
      <c r="E462" s="672"/>
      <c r="F462" s="672"/>
      <c r="G462" s="672"/>
      <c r="H462" s="672"/>
      <c r="I462" s="672"/>
      <c r="J462" s="672"/>
      <c r="K462" s="672"/>
      <c r="L462" s="673"/>
    </row>
    <row r="463" spans="1:12">
      <c r="A463" s="672"/>
      <c r="B463" s="672"/>
      <c r="C463" s="672"/>
      <c r="D463" s="672"/>
      <c r="E463" s="672"/>
      <c r="F463" s="672"/>
      <c r="G463" s="672"/>
      <c r="H463" s="672"/>
      <c r="I463" s="672"/>
      <c r="J463" s="672"/>
      <c r="K463" s="672"/>
      <c r="L463" s="673"/>
    </row>
    <row r="464" spans="1:12">
      <c r="A464" s="672"/>
      <c r="B464" s="672"/>
      <c r="C464" s="672"/>
      <c r="D464" s="672"/>
      <c r="E464" s="672"/>
      <c r="F464" s="672"/>
      <c r="G464" s="672"/>
      <c r="H464" s="672"/>
      <c r="I464" s="672"/>
      <c r="J464" s="672"/>
      <c r="K464" s="672"/>
      <c r="L464" s="673"/>
    </row>
    <row r="465" spans="1:12">
      <c r="A465" s="672"/>
      <c r="B465" s="672"/>
      <c r="C465" s="672"/>
      <c r="D465" s="672"/>
      <c r="E465" s="672"/>
      <c r="F465" s="672"/>
      <c r="G465" s="672"/>
      <c r="H465" s="672"/>
      <c r="I465" s="672"/>
      <c r="J465" s="672"/>
      <c r="K465" s="672"/>
      <c r="L465" s="673"/>
    </row>
    <row r="466" spans="1:12">
      <c r="A466" s="672"/>
      <c r="B466" s="672"/>
      <c r="C466" s="672"/>
      <c r="D466" s="672"/>
      <c r="E466" s="672"/>
      <c r="F466" s="672"/>
      <c r="G466" s="672"/>
      <c r="H466" s="672"/>
      <c r="I466" s="672"/>
      <c r="J466" s="672"/>
      <c r="K466" s="672"/>
      <c r="L466" s="673"/>
    </row>
    <row r="467" spans="1:12">
      <c r="A467" s="672"/>
      <c r="B467" s="672"/>
      <c r="C467" s="672"/>
      <c r="D467" s="672"/>
      <c r="E467" s="672"/>
      <c r="F467" s="672"/>
      <c r="G467" s="672"/>
      <c r="H467" s="672"/>
      <c r="I467" s="672"/>
      <c r="J467" s="672"/>
      <c r="K467" s="672"/>
      <c r="L467" s="673"/>
    </row>
    <row r="468" spans="1:12">
      <c r="A468" s="672"/>
      <c r="B468" s="672"/>
      <c r="C468" s="672"/>
      <c r="D468" s="672"/>
      <c r="E468" s="672"/>
      <c r="F468" s="672"/>
      <c r="G468" s="672"/>
      <c r="H468" s="672"/>
      <c r="I468" s="672"/>
      <c r="J468" s="672"/>
      <c r="K468" s="672"/>
      <c r="L468" s="673"/>
    </row>
    <row r="469" spans="1:12">
      <c r="A469" s="672"/>
      <c r="B469" s="672"/>
      <c r="C469" s="672"/>
      <c r="D469" s="672"/>
      <c r="E469" s="672"/>
      <c r="F469" s="672"/>
      <c r="G469" s="672"/>
      <c r="H469" s="672"/>
      <c r="I469" s="672"/>
      <c r="J469" s="672"/>
      <c r="K469" s="672"/>
      <c r="L469" s="673"/>
    </row>
    <row r="470" spans="1:12">
      <c r="A470" s="672"/>
      <c r="B470" s="672"/>
      <c r="C470" s="672"/>
      <c r="D470" s="672"/>
      <c r="E470" s="672"/>
      <c r="F470" s="672"/>
      <c r="G470" s="672"/>
      <c r="H470" s="672"/>
      <c r="I470" s="672"/>
      <c r="J470" s="672"/>
      <c r="K470" s="672"/>
      <c r="L470" s="673"/>
    </row>
    <row r="471" spans="1:12">
      <c r="A471" s="672"/>
      <c r="B471" s="672"/>
      <c r="C471" s="672"/>
      <c r="D471" s="672"/>
      <c r="E471" s="672"/>
      <c r="F471" s="672"/>
      <c r="G471" s="672"/>
      <c r="H471" s="672"/>
      <c r="I471" s="672"/>
      <c r="J471" s="672"/>
      <c r="K471" s="672"/>
      <c r="L471" s="673"/>
    </row>
    <row r="472" spans="1:12">
      <c r="A472" s="672"/>
      <c r="B472" s="672"/>
      <c r="C472" s="672"/>
      <c r="D472" s="672"/>
      <c r="E472" s="672"/>
      <c r="F472" s="672"/>
      <c r="G472" s="672"/>
      <c r="H472" s="672"/>
      <c r="I472" s="672"/>
      <c r="J472" s="672"/>
      <c r="K472" s="672"/>
      <c r="L472" s="673"/>
    </row>
    <row r="473" spans="1:12">
      <c r="A473" s="672"/>
      <c r="B473" s="672"/>
      <c r="C473" s="672"/>
      <c r="D473" s="672"/>
      <c r="E473" s="672"/>
      <c r="F473" s="672"/>
      <c r="G473" s="672"/>
      <c r="H473" s="672"/>
      <c r="I473" s="672"/>
      <c r="J473" s="672"/>
      <c r="K473" s="672"/>
      <c r="L473" s="673"/>
    </row>
    <row r="474" spans="1:12">
      <c r="A474" s="672"/>
      <c r="B474" s="672"/>
      <c r="C474" s="672"/>
      <c r="D474" s="672"/>
      <c r="E474" s="672"/>
      <c r="F474" s="672"/>
      <c r="G474" s="672"/>
      <c r="H474" s="672"/>
      <c r="I474" s="672"/>
      <c r="J474" s="672"/>
      <c r="K474" s="672"/>
      <c r="L474" s="673"/>
    </row>
    <row r="475" spans="1:12">
      <c r="A475" s="672"/>
      <c r="B475" s="672"/>
      <c r="C475" s="672"/>
      <c r="D475" s="672"/>
      <c r="E475" s="672"/>
      <c r="F475" s="672"/>
      <c r="G475" s="672"/>
      <c r="H475" s="672"/>
      <c r="I475" s="672"/>
      <c r="J475" s="672"/>
      <c r="K475" s="672"/>
      <c r="L475" s="673"/>
    </row>
    <row r="476" spans="1:12">
      <c r="A476" s="672"/>
      <c r="B476" s="672"/>
      <c r="C476" s="672"/>
      <c r="D476" s="672"/>
      <c r="E476" s="672"/>
      <c r="F476" s="672"/>
      <c r="G476" s="672"/>
      <c r="H476" s="672"/>
      <c r="I476" s="672"/>
      <c r="J476" s="672"/>
      <c r="K476" s="672"/>
      <c r="L476" s="673"/>
    </row>
    <row r="477" spans="1:12">
      <c r="A477" s="672"/>
      <c r="B477" s="672"/>
      <c r="C477" s="672"/>
      <c r="D477" s="672"/>
      <c r="E477" s="672"/>
      <c r="F477" s="672"/>
      <c r="G477" s="672"/>
      <c r="H477" s="672"/>
      <c r="I477" s="672"/>
      <c r="J477" s="672"/>
      <c r="K477" s="672"/>
      <c r="L477" s="673"/>
    </row>
    <row r="478" spans="1:12">
      <c r="A478" s="672"/>
      <c r="B478" s="672"/>
      <c r="C478" s="672"/>
      <c r="D478" s="672"/>
      <c r="E478" s="672"/>
      <c r="F478" s="672"/>
      <c r="G478" s="672"/>
      <c r="H478" s="672"/>
      <c r="I478" s="672"/>
      <c r="J478" s="672"/>
      <c r="K478" s="672"/>
      <c r="L478" s="673"/>
    </row>
    <row r="479" spans="1:12">
      <c r="A479" s="672"/>
      <c r="B479" s="672"/>
      <c r="C479" s="672"/>
      <c r="D479" s="672"/>
      <c r="E479" s="672"/>
      <c r="F479" s="672"/>
      <c r="G479" s="672"/>
      <c r="H479" s="672"/>
      <c r="I479" s="672"/>
      <c r="J479" s="672"/>
      <c r="K479" s="672"/>
      <c r="L479" s="673"/>
    </row>
    <row r="480" spans="1:12">
      <c r="A480" s="672"/>
      <c r="B480" s="672"/>
      <c r="C480" s="672"/>
      <c r="D480" s="672"/>
      <c r="E480" s="672"/>
      <c r="F480" s="672"/>
      <c r="G480" s="672"/>
      <c r="H480" s="672"/>
      <c r="I480" s="672"/>
      <c r="J480" s="672"/>
      <c r="K480" s="672"/>
      <c r="L480" s="673"/>
    </row>
    <row r="481" spans="1:12">
      <c r="A481" s="672"/>
      <c r="B481" s="672"/>
      <c r="C481" s="672"/>
      <c r="D481" s="672"/>
      <c r="E481" s="672"/>
      <c r="F481" s="672"/>
      <c r="G481" s="672"/>
      <c r="H481" s="672"/>
      <c r="I481" s="672"/>
      <c r="J481" s="672"/>
      <c r="K481" s="672"/>
      <c r="L481" s="673"/>
    </row>
    <row r="482" spans="1:12">
      <c r="A482" s="672"/>
      <c r="B482" s="672"/>
      <c r="C482" s="672"/>
      <c r="D482" s="672"/>
      <c r="E482" s="672"/>
      <c r="F482" s="672"/>
      <c r="G482" s="672"/>
      <c r="H482" s="672"/>
      <c r="I482" s="672"/>
      <c r="J482" s="672"/>
      <c r="K482" s="672"/>
      <c r="L482" s="673"/>
    </row>
    <row r="483" spans="1:12">
      <c r="A483" s="672"/>
      <c r="B483" s="672"/>
      <c r="C483" s="672"/>
      <c r="D483" s="672"/>
      <c r="E483" s="672"/>
      <c r="F483" s="672"/>
      <c r="G483" s="672"/>
      <c r="H483" s="672"/>
      <c r="I483" s="672"/>
      <c r="J483" s="672"/>
      <c r="K483" s="672"/>
      <c r="L483" s="673"/>
    </row>
    <row r="484" spans="1:12">
      <c r="A484" s="672"/>
      <c r="B484" s="672"/>
      <c r="C484" s="672"/>
      <c r="D484" s="672"/>
      <c r="E484" s="672"/>
      <c r="F484" s="672"/>
      <c r="G484" s="672"/>
      <c r="H484" s="672"/>
      <c r="I484" s="672"/>
      <c r="J484" s="672"/>
      <c r="K484" s="672"/>
      <c r="L484" s="673"/>
    </row>
    <row r="485" spans="1:12">
      <c r="A485" s="672"/>
      <c r="B485" s="672"/>
      <c r="C485" s="672"/>
      <c r="D485" s="672"/>
      <c r="E485" s="672"/>
      <c r="F485" s="672"/>
      <c r="G485" s="672"/>
      <c r="H485" s="672"/>
      <c r="I485" s="672"/>
      <c r="J485" s="672"/>
      <c r="K485" s="672"/>
      <c r="L485" s="673"/>
    </row>
    <row r="486" spans="1:12">
      <c r="A486" s="672"/>
      <c r="B486" s="672"/>
      <c r="C486" s="672"/>
      <c r="D486" s="672"/>
      <c r="E486" s="672"/>
      <c r="F486" s="672"/>
      <c r="G486" s="672"/>
      <c r="H486" s="672"/>
      <c r="I486" s="672"/>
      <c r="J486" s="672"/>
      <c r="K486" s="672"/>
      <c r="L486" s="673"/>
    </row>
    <row r="487" spans="1:12">
      <c r="A487" s="672"/>
      <c r="B487" s="672"/>
      <c r="C487" s="672"/>
      <c r="D487" s="672"/>
      <c r="E487" s="672"/>
      <c r="F487" s="672"/>
      <c r="G487" s="672"/>
      <c r="H487" s="672"/>
      <c r="I487" s="672"/>
      <c r="J487" s="672"/>
      <c r="K487" s="672"/>
      <c r="L487" s="673"/>
    </row>
    <row r="488" spans="1:12">
      <c r="A488" s="672"/>
      <c r="B488" s="672"/>
      <c r="C488" s="672"/>
      <c r="D488" s="672"/>
      <c r="E488" s="672"/>
      <c r="F488" s="672"/>
      <c r="G488" s="672"/>
      <c r="H488" s="672"/>
      <c r="I488" s="672"/>
      <c r="J488" s="672"/>
      <c r="K488" s="672"/>
      <c r="L488" s="673"/>
    </row>
    <row r="489" spans="1:12">
      <c r="A489" s="672"/>
      <c r="B489" s="672"/>
      <c r="C489" s="672"/>
      <c r="D489" s="672"/>
      <c r="E489" s="672"/>
      <c r="F489" s="672"/>
      <c r="G489" s="672"/>
      <c r="H489" s="672"/>
      <c r="I489" s="672"/>
      <c r="J489" s="672"/>
      <c r="K489" s="672"/>
      <c r="L489" s="673"/>
    </row>
    <row r="490" spans="1:12">
      <c r="A490" s="672"/>
      <c r="B490" s="672"/>
      <c r="C490" s="672"/>
      <c r="D490" s="672"/>
      <c r="E490" s="672"/>
      <c r="F490" s="672"/>
      <c r="G490" s="672"/>
      <c r="H490" s="672"/>
      <c r="I490" s="672"/>
      <c r="J490" s="672"/>
      <c r="K490" s="672"/>
      <c r="L490" s="673"/>
    </row>
    <row r="491" spans="1:12">
      <c r="A491" s="672"/>
      <c r="B491" s="672"/>
      <c r="C491" s="672"/>
      <c r="D491" s="672"/>
      <c r="E491" s="672"/>
      <c r="F491" s="672"/>
      <c r="G491" s="672"/>
      <c r="H491" s="672"/>
      <c r="I491" s="672"/>
      <c r="J491" s="672"/>
      <c r="K491" s="672"/>
      <c r="L491" s="673"/>
    </row>
    <row r="492" spans="1:12">
      <c r="A492" s="672"/>
      <c r="B492" s="672"/>
      <c r="C492" s="672"/>
      <c r="D492" s="672"/>
      <c r="E492" s="672"/>
      <c r="F492" s="672"/>
      <c r="G492" s="672"/>
      <c r="H492" s="672"/>
      <c r="I492" s="672"/>
      <c r="J492" s="672"/>
      <c r="K492" s="672"/>
      <c r="L492" s="673"/>
    </row>
    <row r="493" spans="1:12">
      <c r="A493" s="672"/>
      <c r="B493" s="672"/>
      <c r="C493" s="672"/>
      <c r="D493" s="672"/>
      <c r="E493" s="672"/>
      <c r="F493" s="672"/>
      <c r="G493" s="672"/>
      <c r="H493" s="672"/>
      <c r="I493" s="672"/>
      <c r="J493" s="672"/>
      <c r="K493" s="672"/>
      <c r="L493" s="673"/>
    </row>
    <row r="494" spans="1:12">
      <c r="A494" s="672"/>
      <c r="B494" s="672"/>
      <c r="C494" s="672"/>
      <c r="D494" s="672"/>
      <c r="E494" s="672"/>
      <c r="F494" s="672"/>
      <c r="G494" s="672"/>
      <c r="H494" s="672"/>
      <c r="I494" s="672"/>
      <c r="J494" s="672"/>
      <c r="K494" s="672"/>
      <c r="L494" s="673"/>
    </row>
    <row r="495" spans="1:12">
      <c r="A495" s="672"/>
      <c r="B495" s="672"/>
      <c r="C495" s="672"/>
      <c r="D495" s="672"/>
      <c r="E495" s="672"/>
      <c r="F495" s="672"/>
      <c r="G495" s="672"/>
      <c r="H495" s="672"/>
      <c r="I495" s="672"/>
      <c r="J495" s="672"/>
      <c r="K495" s="672"/>
      <c r="L495" s="673"/>
    </row>
    <row r="496" spans="1:12">
      <c r="A496" s="672"/>
      <c r="B496" s="672"/>
      <c r="C496" s="672"/>
      <c r="D496" s="672"/>
      <c r="E496" s="672"/>
      <c r="F496" s="672"/>
      <c r="G496" s="672"/>
      <c r="H496" s="672"/>
      <c r="I496" s="672"/>
      <c r="J496" s="672"/>
      <c r="K496" s="672"/>
      <c r="L496" s="673"/>
    </row>
    <row r="497" spans="1:12">
      <c r="A497" s="672"/>
      <c r="B497" s="672"/>
      <c r="C497" s="672"/>
      <c r="D497" s="672"/>
      <c r="E497" s="672"/>
      <c r="F497" s="672"/>
      <c r="G497" s="672"/>
      <c r="H497" s="672"/>
      <c r="I497" s="672"/>
      <c r="J497" s="672"/>
      <c r="K497" s="672"/>
      <c r="L497" s="673"/>
    </row>
    <row r="498" spans="1:12">
      <c r="A498" s="672"/>
      <c r="B498" s="672"/>
      <c r="C498" s="672"/>
      <c r="D498" s="672"/>
      <c r="E498" s="672"/>
      <c r="F498" s="672"/>
      <c r="G498" s="672"/>
      <c r="H498" s="672"/>
      <c r="I498" s="672"/>
      <c r="J498" s="672"/>
      <c r="K498" s="672"/>
      <c r="L498" s="673"/>
    </row>
    <row r="499" spans="1:12">
      <c r="A499" s="672"/>
      <c r="B499" s="672"/>
      <c r="C499" s="672"/>
      <c r="D499" s="672"/>
      <c r="E499" s="672"/>
      <c r="F499" s="672"/>
      <c r="G499" s="672"/>
      <c r="H499" s="672"/>
      <c r="I499" s="672"/>
      <c r="J499" s="672"/>
      <c r="K499" s="672"/>
      <c r="L499" s="673"/>
    </row>
    <row r="500" spans="1:12">
      <c r="A500" s="672"/>
      <c r="B500" s="672"/>
      <c r="C500" s="672"/>
      <c r="D500" s="672"/>
      <c r="E500" s="672"/>
      <c r="F500" s="672"/>
      <c r="G500" s="672"/>
      <c r="H500" s="672"/>
      <c r="I500" s="672"/>
      <c r="J500" s="672"/>
      <c r="K500" s="672"/>
      <c r="L500" s="673"/>
    </row>
    <row r="501" spans="1:12">
      <c r="A501" s="672"/>
      <c r="B501" s="672"/>
      <c r="C501" s="672"/>
      <c r="D501" s="672"/>
      <c r="E501" s="672"/>
      <c r="F501" s="672"/>
      <c r="G501" s="672"/>
      <c r="H501" s="672"/>
      <c r="I501" s="672"/>
      <c r="J501" s="672"/>
      <c r="K501" s="672"/>
      <c r="L501" s="673"/>
    </row>
    <row r="502" spans="1:12">
      <c r="A502" s="672"/>
      <c r="B502" s="672"/>
      <c r="C502" s="672"/>
      <c r="D502" s="672"/>
      <c r="E502" s="672"/>
      <c r="F502" s="672"/>
      <c r="G502" s="672"/>
      <c r="H502" s="672"/>
      <c r="I502" s="672"/>
      <c r="J502" s="672"/>
      <c r="K502" s="672"/>
      <c r="L502" s="673"/>
    </row>
    <row r="503" spans="1:12">
      <c r="A503" s="672"/>
      <c r="B503" s="672"/>
      <c r="C503" s="672"/>
      <c r="D503" s="672"/>
      <c r="E503" s="672"/>
      <c r="F503" s="672"/>
      <c r="G503" s="672"/>
      <c r="H503" s="672"/>
      <c r="I503" s="672"/>
      <c r="J503" s="672"/>
      <c r="K503" s="672"/>
      <c r="L503" s="673"/>
    </row>
    <row r="504" spans="1:12">
      <c r="A504" s="672"/>
      <c r="B504" s="672"/>
      <c r="C504" s="672"/>
      <c r="D504" s="672"/>
      <c r="E504" s="672"/>
      <c r="F504" s="672"/>
      <c r="G504" s="672"/>
      <c r="H504" s="672"/>
      <c r="I504" s="672"/>
      <c r="J504" s="672"/>
      <c r="K504" s="672"/>
      <c r="L504" s="673"/>
    </row>
    <row r="505" spans="1:12">
      <c r="A505" s="672"/>
      <c r="B505" s="672"/>
      <c r="C505" s="672"/>
      <c r="D505" s="672"/>
      <c r="E505" s="672"/>
      <c r="F505" s="672"/>
      <c r="G505" s="672"/>
      <c r="H505" s="672"/>
      <c r="I505" s="672"/>
      <c r="J505" s="672"/>
      <c r="K505" s="672"/>
      <c r="L505" s="673"/>
    </row>
    <row r="506" spans="1:12">
      <c r="A506" s="672"/>
      <c r="B506" s="672"/>
      <c r="C506" s="672"/>
      <c r="D506" s="672"/>
      <c r="E506" s="672"/>
      <c r="F506" s="672"/>
      <c r="G506" s="672"/>
      <c r="H506" s="672"/>
      <c r="I506" s="672"/>
      <c r="J506" s="672"/>
      <c r="K506" s="672"/>
      <c r="L506" s="673"/>
    </row>
    <row r="507" spans="1:12">
      <c r="A507" s="672"/>
      <c r="B507" s="672"/>
      <c r="C507" s="672"/>
      <c r="D507" s="672"/>
      <c r="E507" s="672"/>
      <c r="F507" s="672"/>
      <c r="G507" s="672"/>
      <c r="H507" s="672"/>
      <c r="I507" s="672"/>
      <c r="J507" s="672"/>
      <c r="K507" s="672"/>
      <c r="L507" s="673"/>
    </row>
    <row r="508" spans="1:12">
      <c r="A508" s="672"/>
      <c r="B508" s="672"/>
      <c r="C508" s="672"/>
      <c r="D508" s="672"/>
      <c r="E508" s="672"/>
      <c r="F508" s="672"/>
      <c r="G508" s="672"/>
      <c r="H508" s="672"/>
      <c r="I508" s="672"/>
      <c r="J508" s="672"/>
      <c r="K508" s="672"/>
      <c r="L508" s="673"/>
    </row>
    <row r="509" spans="1:12">
      <c r="A509" s="672"/>
      <c r="B509" s="672"/>
      <c r="C509" s="672"/>
      <c r="D509" s="672"/>
      <c r="E509" s="672"/>
      <c r="F509" s="672"/>
      <c r="G509" s="672"/>
      <c r="H509" s="672"/>
      <c r="I509" s="672"/>
      <c r="J509" s="672"/>
      <c r="K509" s="672"/>
      <c r="L509" s="673"/>
    </row>
    <row r="510" spans="1:12">
      <c r="A510" s="672"/>
      <c r="B510" s="672"/>
      <c r="C510" s="672"/>
      <c r="D510" s="672"/>
      <c r="E510" s="672"/>
      <c r="F510" s="672"/>
      <c r="G510" s="672"/>
      <c r="H510" s="672"/>
      <c r="I510" s="672"/>
      <c r="J510" s="672"/>
      <c r="K510" s="672"/>
      <c r="L510" s="673"/>
    </row>
    <row r="511" spans="1:12">
      <c r="A511" s="672"/>
      <c r="B511" s="672"/>
      <c r="C511" s="672"/>
      <c r="D511" s="672"/>
      <c r="E511" s="672"/>
      <c r="F511" s="672"/>
      <c r="G511" s="672"/>
      <c r="H511" s="672"/>
      <c r="I511" s="672"/>
      <c r="J511" s="672"/>
      <c r="K511" s="672"/>
      <c r="L511" s="673"/>
    </row>
    <row r="512" spans="1:12">
      <c r="A512" s="672"/>
      <c r="B512" s="672"/>
      <c r="C512" s="672"/>
      <c r="D512" s="672"/>
      <c r="E512" s="672"/>
      <c r="F512" s="672"/>
      <c r="G512" s="672"/>
      <c r="H512" s="672"/>
      <c r="I512" s="672"/>
      <c r="J512" s="672"/>
      <c r="K512" s="672"/>
      <c r="L512" s="673"/>
    </row>
    <row r="513" spans="1:12">
      <c r="A513" s="672"/>
      <c r="B513" s="672"/>
      <c r="C513" s="672"/>
      <c r="D513" s="672"/>
      <c r="E513" s="672"/>
      <c r="F513" s="672"/>
      <c r="G513" s="672"/>
      <c r="H513" s="672"/>
      <c r="I513" s="672"/>
      <c r="J513" s="672"/>
      <c r="K513" s="672"/>
      <c r="L513" s="673"/>
    </row>
    <row r="514" spans="1:12">
      <c r="A514" s="672"/>
      <c r="B514" s="672"/>
      <c r="C514" s="672"/>
      <c r="D514" s="672"/>
      <c r="E514" s="672"/>
      <c r="F514" s="672"/>
      <c r="G514" s="672"/>
      <c r="H514" s="672"/>
      <c r="I514" s="672"/>
      <c r="J514" s="672"/>
      <c r="K514" s="672"/>
      <c r="L514" s="673"/>
    </row>
    <row r="515" spans="1:12">
      <c r="A515" s="672"/>
      <c r="B515" s="672"/>
      <c r="C515" s="672"/>
      <c r="D515" s="672"/>
      <c r="E515" s="672"/>
      <c r="F515" s="672"/>
      <c r="G515" s="672"/>
      <c r="H515" s="672"/>
      <c r="I515" s="672"/>
      <c r="J515" s="672"/>
      <c r="K515" s="672"/>
      <c r="L515" s="673"/>
    </row>
    <row r="516" spans="1:12">
      <c r="A516" s="672"/>
      <c r="B516" s="672"/>
      <c r="C516" s="672"/>
      <c r="D516" s="672"/>
      <c r="E516" s="672"/>
      <c r="F516" s="672"/>
      <c r="G516" s="672"/>
      <c r="H516" s="672"/>
      <c r="I516" s="672"/>
      <c r="J516" s="672"/>
      <c r="K516" s="672"/>
      <c r="L516" s="673"/>
    </row>
    <row r="517" spans="1:12">
      <c r="A517" s="672"/>
      <c r="B517" s="672"/>
      <c r="C517" s="672"/>
      <c r="D517" s="672"/>
      <c r="E517" s="672"/>
      <c r="F517" s="672"/>
      <c r="G517" s="672"/>
      <c r="H517" s="672"/>
      <c r="I517" s="672"/>
      <c r="J517" s="672"/>
      <c r="K517" s="672"/>
      <c r="L517" s="673"/>
    </row>
    <row r="518" spans="1:12">
      <c r="A518" s="672"/>
      <c r="B518" s="672"/>
      <c r="C518" s="672"/>
      <c r="D518" s="672"/>
      <c r="E518" s="672"/>
      <c r="F518" s="672"/>
      <c r="G518" s="672"/>
      <c r="H518" s="672"/>
      <c r="I518" s="672"/>
      <c r="J518" s="672"/>
      <c r="K518" s="672"/>
      <c r="L518" s="673"/>
    </row>
    <row r="519" spans="1:12">
      <c r="A519" s="672"/>
      <c r="B519" s="672"/>
      <c r="C519" s="672"/>
      <c r="D519" s="672"/>
      <c r="E519" s="672"/>
      <c r="F519" s="672"/>
      <c r="G519" s="672"/>
      <c r="H519" s="672"/>
      <c r="I519" s="672"/>
      <c r="J519" s="672"/>
      <c r="K519" s="672"/>
      <c r="L519" s="673"/>
    </row>
    <row r="520" spans="1:12">
      <c r="A520" s="672"/>
      <c r="B520" s="672"/>
      <c r="C520" s="672"/>
      <c r="D520" s="672"/>
      <c r="E520" s="672"/>
      <c r="F520" s="672"/>
      <c r="G520" s="672"/>
      <c r="H520" s="672"/>
      <c r="I520" s="672"/>
      <c r="J520" s="672"/>
      <c r="K520" s="672"/>
      <c r="L520" s="673"/>
    </row>
    <row r="521" spans="1:12">
      <c r="A521" s="672"/>
      <c r="B521" s="672"/>
      <c r="C521" s="672"/>
      <c r="D521" s="672"/>
      <c r="E521" s="672"/>
      <c r="F521" s="672"/>
      <c r="G521" s="672"/>
      <c r="H521" s="672"/>
      <c r="I521" s="672"/>
      <c r="J521" s="672"/>
      <c r="K521" s="672"/>
      <c r="L521" s="673"/>
    </row>
    <row r="522" spans="1:12">
      <c r="A522" s="672"/>
      <c r="B522" s="672"/>
      <c r="C522" s="672"/>
      <c r="D522" s="672"/>
      <c r="E522" s="672"/>
      <c r="F522" s="672"/>
      <c r="G522" s="672"/>
      <c r="H522" s="672"/>
      <c r="I522" s="672"/>
      <c r="J522" s="672"/>
      <c r="K522" s="672"/>
      <c r="L522" s="673"/>
    </row>
    <row r="523" spans="1:12">
      <c r="A523" s="672"/>
      <c r="B523" s="672"/>
      <c r="C523" s="672"/>
      <c r="D523" s="672"/>
      <c r="E523" s="672"/>
      <c r="F523" s="672"/>
      <c r="G523" s="672"/>
      <c r="H523" s="672"/>
      <c r="I523" s="672"/>
      <c r="J523" s="672"/>
      <c r="K523" s="672"/>
      <c r="L523" s="673"/>
    </row>
    <row r="524" spans="1:12">
      <c r="A524" s="672"/>
      <c r="B524" s="672"/>
      <c r="C524" s="672"/>
      <c r="D524" s="672"/>
      <c r="E524" s="672"/>
      <c r="F524" s="672"/>
      <c r="G524" s="672"/>
      <c r="H524" s="672"/>
      <c r="I524" s="672"/>
      <c r="J524" s="672"/>
      <c r="K524" s="672"/>
      <c r="L524" s="673"/>
    </row>
    <row r="525" spans="1:12">
      <c r="A525" s="672"/>
      <c r="B525" s="672"/>
      <c r="C525" s="672"/>
      <c r="D525" s="672"/>
      <c r="E525" s="672"/>
      <c r="F525" s="672"/>
      <c r="G525" s="672"/>
      <c r="H525" s="672"/>
      <c r="I525" s="672"/>
      <c r="J525" s="672"/>
      <c r="K525" s="672"/>
      <c r="L525" s="673"/>
    </row>
    <row r="526" spans="1:12">
      <c r="A526" s="672"/>
      <c r="B526" s="672"/>
      <c r="C526" s="672"/>
      <c r="D526" s="672"/>
      <c r="E526" s="672"/>
      <c r="F526" s="672"/>
      <c r="G526" s="672"/>
      <c r="H526" s="672"/>
      <c r="I526" s="672"/>
      <c r="J526" s="672"/>
      <c r="K526" s="672"/>
      <c r="L526" s="673"/>
    </row>
    <row r="527" spans="1:12">
      <c r="A527" s="672"/>
      <c r="B527" s="672"/>
      <c r="C527" s="672"/>
      <c r="D527" s="672"/>
      <c r="E527" s="672"/>
      <c r="F527" s="672"/>
      <c r="G527" s="672"/>
      <c r="H527" s="672"/>
      <c r="I527" s="672"/>
      <c r="J527" s="672"/>
      <c r="K527" s="672"/>
      <c r="L527" s="673"/>
    </row>
    <row r="528" spans="1:12">
      <c r="A528" s="672"/>
      <c r="B528" s="672"/>
      <c r="C528" s="672"/>
      <c r="D528" s="672"/>
      <c r="E528" s="672"/>
      <c r="F528" s="672"/>
      <c r="G528" s="672"/>
      <c r="H528" s="672"/>
      <c r="I528" s="672"/>
      <c r="J528" s="672"/>
      <c r="K528" s="672"/>
      <c r="L528" s="673"/>
    </row>
    <row r="529" spans="1:12">
      <c r="A529" s="672"/>
      <c r="B529" s="672"/>
      <c r="C529" s="672"/>
      <c r="D529" s="672"/>
      <c r="E529" s="672"/>
      <c r="F529" s="672"/>
      <c r="G529" s="672"/>
      <c r="H529" s="672"/>
      <c r="I529" s="672"/>
      <c r="J529" s="672"/>
      <c r="K529" s="672"/>
      <c r="L529" s="673"/>
    </row>
    <row r="530" spans="1:12">
      <c r="A530" s="672"/>
      <c r="B530" s="672"/>
      <c r="C530" s="672"/>
      <c r="D530" s="672"/>
      <c r="E530" s="672"/>
      <c r="F530" s="672"/>
      <c r="G530" s="672"/>
      <c r="H530" s="672"/>
      <c r="I530" s="672"/>
      <c r="J530" s="672"/>
      <c r="K530" s="672"/>
      <c r="L530" s="673"/>
    </row>
    <row r="531" spans="1:12">
      <c r="A531" s="672"/>
      <c r="B531" s="672"/>
      <c r="C531" s="672"/>
      <c r="D531" s="672"/>
      <c r="E531" s="672"/>
      <c r="F531" s="672"/>
      <c r="G531" s="672"/>
      <c r="H531" s="672"/>
      <c r="I531" s="672"/>
      <c r="J531" s="672"/>
      <c r="K531" s="672"/>
      <c r="L531" s="673"/>
    </row>
    <row r="532" spans="1:12">
      <c r="A532" s="672"/>
      <c r="B532" s="672"/>
      <c r="C532" s="672"/>
      <c r="D532" s="672"/>
      <c r="E532" s="672"/>
      <c r="F532" s="672"/>
      <c r="G532" s="672"/>
      <c r="H532" s="672"/>
      <c r="I532" s="672"/>
      <c r="J532" s="672"/>
      <c r="K532" s="672"/>
      <c r="L532" s="673"/>
    </row>
    <row r="533" spans="1:12">
      <c r="A533" s="672"/>
      <c r="B533" s="672"/>
      <c r="C533" s="672"/>
      <c r="D533" s="672"/>
      <c r="E533" s="672"/>
      <c r="F533" s="672"/>
      <c r="G533" s="672"/>
      <c r="H533" s="672"/>
      <c r="I533" s="672"/>
      <c r="J533" s="672"/>
      <c r="K533" s="672"/>
      <c r="L533" s="673"/>
    </row>
    <row r="534" spans="1:12">
      <c r="A534" s="672"/>
      <c r="B534" s="672"/>
      <c r="C534" s="672"/>
      <c r="D534" s="672"/>
      <c r="E534" s="672"/>
      <c r="F534" s="672"/>
      <c r="G534" s="672"/>
      <c r="H534" s="672"/>
      <c r="I534" s="672"/>
      <c r="J534" s="672"/>
      <c r="K534" s="672"/>
      <c r="L534" s="673"/>
    </row>
    <row r="535" spans="1:12">
      <c r="A535" s="672"/>
      <c r="B535" s="672"/>
      <c r="C535" s="672"/>
      <c r="D535" s="672"/>
      <c r="E535" s="672"/>
      <c r="F535" s="672"/>
      <c r="G535" s="672"/>
      <c r="H535" s="672"/>
      <c r="I535" s="672"/>
      <c r="J535" s="672"/>
      <c r="K535" s="672"/>
      <c r="L535" s="673"/>
    </row>
    <row r="536" spans="1:12">
      <c r="A536" s="672"/>
      <c r="B536" s="672"/>
      <c r="C536" s="672"/>
      <c r="D536" s="672"/>
      <c r="E536" s="672"/>
      <c r="F536" s="672"/>
      <c r="G536" s="672"/>
      <c r="H536" s="672"/>
      <c r="I536" s="672"/>
      <c r="J536" s="672"/>
      <c r="K536" s="672"/>
      <c r="L536" s="673"/>
    </row>
    <row r="537" spans="1:12">
      <c r="A537" s="672"/>
      <c r="B537" s="672"/>
      <c r="C537" s="672"/>
      <c r="D537" s="672"/>
      <c r="E537" s="672"/>
      <c r="F537" s="672"/>
      <c r="G537" s="672"/>
      <c r="H537" s="672"/>
      <c r="I537" s="672"/>
      <c r="J537" s="672"/>
      <c r="K537" s="672"/>
      <c r="L537" s="673"/>
    </row>
    <row r="538" spans="1:12">
      <c r="A538" s="672"/>
      <c r="B538" s="672"/>
      <c r="C538" s="672"/>
      <c r="D538" s="672"/>
      <c r="E538" s="672"/>
      <c r="F538" s="672"/>
      <c r="G538" s="672"/>
      <c r="H538" s="672"/>
      <c r="I538" s="672"/>
      <c r="J538" s="672"/>
      <c r="K538" s="672"/>
      <c r="L538" s="673"/>
    </row>
    <row r="539" spans="1:12">
      <c r="A539" s="672"/>
      <c r="B539" s="672"/>
      <c r="C539" s="672"/>
      <c r="D539" s="672"/>
      <c r="E539" s="672"/>
      <c r="F539" s="672"/>
      <c r="G539" s="672"/>
      <c r="H539" s="672"/>
      <c r="I539" s="672"/>
      <c r="J539" s="672"/>
      <c r="K539" s="672"/>
      <c r="L539" s="673"/>
    </row>
    <row r="540" spans="1:12">
      <c r="A540" s="672"/>
      <c r="B540" s="672"/>
      <c r="C540" s="672"/>
      <c r="D540" s="672"/>
      <c r="E540" s="672"/>
      <c r="F540" s="672"/>
      <c r="G540" s="672"/>
      <c r="H540" s="672"/>
      <c r="I540" s="672"/>
      <c r="J540" s="672"/>
      <c r="K540" s="672"/>
      <c r="L540" s="673"/>
    </row>
    <row r="541" spans="1:12">
      <c r="A541" s="672"/>
      <c r="B541" s="672"/>
      <c r="C541" s="672"/>
      <c r="D541" s="672"/>
      <c r="E541" s="672"/>
      <c r="F541" s="672"/>
      <c r="G541" s="672"/>
      <c r="H541" s="672"/>
      <c r="I541" s="672"/>
      <c r="J541" s="672"/>
      <c r="K541" s="672"/>
      <c r="L541" s="673"/>
    </row>
    <row r="542" spans="1:12">
      <c r="A542" s="672"/>
      <c r="B542" s="672"/>
      <c r="C542" s="672"/>
      <c r="D542" s="672"/>
      <c r="E542" s="672"/>
      <c r="F542" s="672"/>
      <c r="G542" s="672"/>
      <c r="H542" s="672"/>
      <c r="I542" s="672"/>
      <c r="J542" s="672"/>
      <c r="K542" s="672"/>
      <c r="L542" s="673"/>
    </row>
    <row r="543" spans="1:12">
      <c r="A543" s="672"/>
      <c r="B543" s="672"/>
      <c r="C543" s="672"/>
      <c r="D543" s="672"/>
      <c r="E543" s="672"/>
      <c r="F543" s="672"/>
      <c r="G543" s="672"/>
      <c r="H543" s="672"/>
      <c r="I543" s="672"/>
      <c r="J543" s="672"/>
      <c r="K543" s="672"/>
      <c r="L543" s="673"/>
    </row>
    <row r="544" spans="1:12">
      <c r="A544" s="672"/>
      <c r="B544" s="672"/>
      <c r="C544" s="672"/>
      <c r="D544" s="672"/>
      <c r="E544" s="672"/>
      <c r="F544" s="672"/>
      <c r="G544" s="672"/>
      <c r="H544" s="672"/>
      <c r="I544" s="672"/>
      <c r="J544" s="672"/>
      <c r="K544" s="672"/>
      <c r="L544" s="673"/>
    </row>
    <row r="545" spans="1:12">
      <c r="A545" s="672"/>
      <c r="B545" s="672"/>
      <c r="C545" s="672"/>
      <c r="D545" s="672"/>
      <c r="E545" s="672"/>
      <c r="F545" s="672"/>
      <c r="G545" s="672"/>
      <c r="H545" s="672"/>
      <c r="I545" s="672"/>
      <c r="J545" s="672"/>
      <c r="K545" s="672"/>
      <c r="L545" s="673"/>
    </row>
    <row r="546" spans="1:12">
      <c r="A546" s="672"/>
      <c r="B546" s="672"/>
      <c r="C546" s="672"/>
      <c r="D546" s="672"/>
      <c r="E546" s="672"/>
      <c r="F546" s="672"/>
      <c r="G546" s="672"/>
      <c r="H546" s="672"/>
      <c r="I546" s="672"/>
      <c r="J546" s="672"/>
      <c r="K546" s="672"/>
      <c r="L546" s="673"/>
    </row>
    <row r="547" spans="1:12">
      <c r="A547" s="672"/>
      <c r="B547" s="672"/>
      <c r="C547" s="672"/>
      <c r="D547" s="672"/>
      <c r="E547" s="672"/>
      <c r="F547" s="672"/>
      <c r="G547" s="672"/>
      <c r="H547" s="672"/>
      <c r="I547" s="672"/>
      <c r="J547" s="672"/>
      <c r="K547" s="672"/>
      <c r="L547" s="673"/>
    </row>
    <row r="548" spans="1:12">
      <c r="A548" s="672"/>
      <c r="B548" s="672"/>
      <c r="C548" s="672"/>
      <c r="D548" s="672"/>
      <c r="E548" s="672"/>
      <c r="F548" s="672"/>
      <c r="G548" s="672"/>
      <c r="H548" s="672"/>
      <c r="I548" s="672"/>
      <c r="J548" s="672"/>
      <c r="K548" s="672"/>
      <c r="L548" s="673"/>
    </row>
    <row r="549" spans="1:12">
      <c r="A549" s="672"/>
      <c r="B549" s="672"/>
      <c r="C549" s="672"/>
      <c r="D549" s="672"/>
      <c r="E549" s="672"/>
      <c r="F549" s="672"/>
      <c r="G549" s="672"/>
      <c r="H549" s="672"/>
      <c r="I549" s="672"/>
      <c r="J549" s="672"/>
      <c r="K549" s="672"/>
      <c r="L549" s="673"/>
    </row>
    <row r="550" spans="1:12">
      <c r="A550" s="672"/>
      <c r="B550" s="672"/>
      <c r="C550" s="672"/>
      <c r="D550" s="672"/>
      <c r="E550" s="672"/>
      <c r="F550" s="672"/>
      <c r="G550" s="672"/>
      <c r="H550" s="672"/>
      <c r="I550" s="672"/>
      <c r="J550" s="672"/>
      <c r="K550" s="672"/>
      <c r="L550" s="673"/>
    </row>
    <row r="551" spans="1:12">
      <c r="A551" s="672"/>
      <c r="B551" s="672"/>
      <c r="C551" s="672"/>
      <c r="D551" s="672"/>
      <c r="E551" s="672"/>
      <c r="F551" s="672"/>
      <c r="G551" s="672"/>
      <c r="H551" s="672"/>
      <c r="I551" s="672"/>
      <c r="J551" s="672"/>
      <c r="K551" s="672"/>
      <c r="L551" s="673"/>
    </row>
    <row r="552" spans="1:12">
      <c r="A552" s="672"/>
      <c r="B552" s="672"/>
      <c r="C552" s="672"/>
      <c r="D552" s="672"/>
      <c r="E552" s="672"/>
      <c r="F552" s="672"/>
      <c r="G552" s="672"/>
      <c r="H552" s="672"/>
      <c r="I552" s="672"/>
      <c r="J552" s="672"/>
      <c r="K552" s="672"/>
      <c r="L552" s="673"/>
    </row>
    <row r="553" spans="1:12">
      <c r="A553" s="672"/>
      <c r="B553" s="672"/>
      <c r="C553" s="672"/>
      <c r="D553" s="672"/>
      <c r="E553" s="672"/>
      <c r="F553" s="672"/>
      <c r="G553" s="672"/>
      <c r="H553" s="672"/>
      <c r="I553" s="672"/>
      <c r="J553" s="672"/>
      <c r="K553" s="672"/>
      <c r="L553" s="673"/>
    </row>
    <row r="554" spans="1:12">
      <c r="A554" s="672"/>
      <c r="B554" s="672"/>
      <c r="C554" s="672"/>
      <c r="D554" s="672"/>
      <c r="E554" s="672"/>
      <c r="F554" s="672"/>
      <c r="G554" s="672"/>
      <c r="H554" s="672"/>
      <c r="I554" s="672"/>
      <c r="J554" s="672"/>
      <c r="K554" s="672"/>
      <c r="L554" s="673"/>
    </row>
    <row r="555" spans="1:12">
      <c r="A555" s="672"/>
      <c r="B555" s="672"/>
      <c r="C555" s="672"/>
      <c r="D555" s="672"/>
      <c r="E555" s="672"/>
      <c r="F555" s="672"/>
      <c r="G555" s="672"/>
      <c r="H555" s="672"/>
      <c r="I555" s="672"/>
      <c r="J555" s="672"/>
      <c r="K555" s="672"/>
      <c r="L555" s="673"/>
    </row>
    <row r="556" spans="1:12">
      <c r="A556" s="672"/>
      <c r="B556" s="672"/>
      <c r="C556" s="672"/>
      <c r="D556" s="672"/>
      <c r="E556" s="672"/>
      <c r="F556" s="672"/>
      <c r="G556" s="672"/>
      <c r="H556" s="672"/>
      <c r="I556" s="672"/>
      <c r="J556" s="672"/>
      <c r="K556" s="672"/>
      <c r="L556" s="673"/>
    </row>
    <row r="557" spans="1:12">
      <c r="A557" s="672"/>
      <c r="B557" s="672"/>
      <c r="C557" s="672"/>
      <c r="D557" s="672"/>
      <c r="E557" s="672"/>
      <c r="F557" s="672"/>
      <c r="G557" s="672"/>
      <c r="H557" s="672"/>
      <c r="I557" s="672"/>
      <c r="J557" s="672"/>
      <c r="K557" s="672"/>
      <c r="L557" s="673"/>
    </row>
    <row r="558" spans="1:12">
      <c r="A558" s="672"/>
      <c r="B558" s="672"/>
      <c r="C558" s="672"/>
      <c r="D558" s="672"/>
      <c r="E558" s="672"/>
      <c r="F558" s="672"/>
      <c r="G558" s="672"/>
      <c r="H558" s="672"/>
      <c r="I558" s="672"/>
      <c r="J558" s="672"/>
      <c r="K558" s="672"/>
      <c r="L558" s="673"/>
    </row>
    <row r="559" spans="1:12">
      <c r="A559" s="672"/>
      <c r="B559" s="672"/>
      <c r="C559" s="672"/>
      <c r="D559" s="672"/>
      <c r="E559" s="672"/>
      <c r="F559" s="672"/>
      <c r="G559" s="672"/>
      <c r="H559" s="672"/>
      <c r="I559" s="672"/>
      <c r="J559" s="672"/>
      <c r="K559" s="672"/>
      <c r="L559" s="673"/>
    </row>
    <row r="560" spans="1:12">
      <c r="A560" s="672"/>
      <c r="B560" s="672"/>
      <c r="C560" s="672"/>
      <c r="D560" s="672"/>
      <c r="E560" s="672"/>
      <c r="F560" s="672"/>
      <c r="G560" s="672"/>
      <c r="H560" s="672"/>
      <c r="I560" s="672"/>
      <c r="J560" s="672"/>
      <c r="K560" s="672"/>
      <c r="L560" s="673"/>
    </row>
    <row r="561" spans="1:12">
      <c r="A561" s="672"/>
      <c r="B561" s="672"/>
      <c r="C561" s="672"/>
      <c r="D561" s="672"/>
      <c r="E561" s="672"/>
      <c r="F561" s="672"/>
      <c r="G561" s="672"/>
      <c r="H561" s="672"/>
      <c r="I561" s="672"/>
      <c r="J561" s="672"/>
      <c r="K561" s="672"/>
      <c r="L561" s="673"/>
    </row>
    <row r="562" spans="1:12">
      <c r="A562" s="672"/>
      <c r="B562" s="672"/>
      <c r="C562" s="672"/>
      <c r="D562" s="672"/>
      <c r="E562" s="672"/>
      <c r="F562" s="672"/>
      <c r="G562" s="672"/>
      <c r="H562" s="672"/>
      <c r="I562" s="672"/>
      <c r="J562" s="672"/>
      <c r="K562" s="672"/>
      <c r="L562" s="673"/>
    </row>
    <row r="563" spans="1:12">
      <c r="A563" s="672"/>
      <c r="B563" s="672"/>
      <c r="C563" s="672"/>
      <c r="D563" s="672"/>
      <c r="E563" s="672"/>
      <c r="F563" s="672"/>
      <c r="G563" s="672"/>
      <c r="H563" s="672"/>
      <c r="I563" s="672"/>
      <c r="J563" s="672"/>
      <c r="K563" s="672"/>
      <c r="L563" s="673"/>
    </row>
    <row r="564" spans="1:12">
      <c r="A564" s="672"/>
      <c r="B564" s="672"/>
      <c r="C564" s="672"/>
      <c r="D564" s="672"/>
      <c r="E564" s="672"/>
      <c r="F564" s="672"/>
      <c r="G564" s="672"/>
      <c r="H564" s="672"/>
      <c r="I564" s="672"/>
      <c r="J564" s="672"/>
      <c r="K564" s="672"/>
      <c r="L564" s="673"/>
    </row>
    <row r="565" spans="1:12">
      <c r="A565" s="672"/>
      <c r="B565" s="672"/>
      <c r="C565" s="672"/>
      <c r="D565" s="672"/>
      <c r="E565" s="672"/>
      <c r="F565" s="672"/>
      <c r="G565" s="672"/>
      <c r="H565" s="672"/>
      <c r="I565" s="672"/>
      <c r="J565" s="672"/>
      <c r="K565" s="672"/>
      <c r="L565" s="673"/>
    </row>
    <row r="566" spans="1:12">
      <c r="A566" s="672"/>
      <c r="B566" s="672"/>
      <c r="C566" s="672"/>
      <c r="D566" s="672"/>
      <c r="E566" s="672"/>
      <c r="F566" s="672"/>
      <c r="G566" s="672"/>
      <c r="H566" s="672"/>
      <c r="I566" s="672"/>
      <c r="J566" s="672"/>
      <c r="K566" s="672"/>
      <c r="L566" s="673"/>
    </row>
    <row r="567" spans="1:12">
      <c r="A567" s="672"/>
      <c r="B567" s="672"/>
      <c r="C567" s="672"/>
      <c r="D567" s="672"/>
      <c r="E567" s="672"/>
      <c r="F567" s="672"/>
      <c r="G567" s="672"/>
      <c r="H567" s="672"/>
      <c r="I567" s="672"/>
      <c r="J567" s="672"/>
      <c r="K567" s="672"/>
      <c r="L567" s="673"/>
    </row>
    <row r="568" spans="1:12">
      <c r="A568" s="672"/>
      <c r="B568" s="672"/>
      <c r="C568" s="672"/>
      <c r="D568" s="672"/>
      <c r="E568" s="672"/>
      <c r="F568" s="672"/>
      <c r="G568" s="672"/>
      <c r="H568" s="672"/>
      <c r="I568" s="672"/>
      <c r="J568" s="672"/>
      <c r="K568" s="672"/>
      <c r="L568" s="673"/>
    </row>
    <row r="569" spans="1:12">
      <c r="A569" s="672"/>
      <c r="B569" s="672"/>
      <c r="C569" s="672"/>
      <c r="D569" s="672"/>
      <c r="E569" s="672"/>
      <c r="F569" s="672"/>
      <c r="G569" s="672"/>
      <c r="H569" s="672"/>
      <c r="I569" s="672"/>
      <c r="J569" s="672"/>
      <c r="K569" s="672"/>
      <c r="L569" s="673"/>
    </row>
    <row r="570" spans="1:12">
      <c r="A570" s="672"/>
      <c r="B570" s="672"/>
      <c r="C570" s="672"/>
      <c r="D570" s="672"/>
      <c r="E570" s="672"/>
      <c r="F570" s="672"/>
      <c r="G570" s="672"/>
      <c r="H570" s="672"/>
      <c r="I570" s="672"/>
      <c r="J570" s="672"/>
      <c r="K570" s="672"/>
      <c r="L570" s="673"/>
    </row>
    <row r="571" spans="1:12">
      <c r="A571" s="672"/>
      <c r="B571" s="672"/>
      <c r="C571" s="672"/>
      <c r="D571" s="672"/>
      <c r="E571" s="672"/>
      <c r="F571" s="672"/>
      <c r="G571" s="672"/>
      <c r="H571" s="672"/>
      <c r="I571" s="672"/>
      <c r="J571" s="672"/>
      <c r="K571" s="672"/>
      <c r="L571" s="673"/>
    </row>
    <row r="572" spans="1:12">
      <c r="A572" s="672"/>
      <c r="B572" s="672"/>
      <c r="C572" s="672"/>
      <c r="D572" s="672"/>
      <c r="E572" s="672"/>
      <c r="F572" s="672"/>
      <c r="G572" s="672"/>
      <c r="H572" s="672"/>
      <c r="I572" s="672"/>
      <c r="J572" s="672"/>
      <c r="K572" s="672"/>
      <c r="L572" s="673"/>
    </row>
    <row r="573" spans="1:12">
      <c r="A573" s="672"/>
      <c r="B573" s="672"/>
      <c r="C573" s="672"/>
      <c r="D573" s="672"/>
      <c r="E573" s="672"/>
      <c r="F573" s="672"/>
      <c r="G573" s="672"/>
      <c r="H573" s="672"/>
      <c r="I573" s="672"/>
      <c r="J573" s="672"/>
      <c r="K573" s="672"/>
      <c r="L573" s="673"/>
    </row>
    <row r="574" spans="1:12">
      <c r="A574" s="672"/>
      <c r="B574" s="672"/>
      <c r="C574" s="672"/>
      <c r="D574" s="672"/>
      <c r="E574" s="672"/>
      <c r="F574" s="672"/>
      <c r="G574" s="672"/>
      <c r="H574" s="672"/>
      <c r="I574" s="672"/>
      <c r="J574" s="672"/>
      <c r="K574" s="672"/>
      <c r="L574" s="673"/>
    </row>
    <row r="575" spans="1:12">
      <c r="A575" s="672"/>
      <c r="B575" s="672"/>
      <c r="C575" s="672"/>
      <c r="D575" s="672"/>
      <c r="E575" s="672"/>
      <c r="F575" s="672"/>
      <c r="G575" s="672"/>
      <c r="H575" s="672"/>
      <c r="I575" s="672"/>
      <c r="J575" s="672"/>
      <c r="K575" s="672"/>
      <c r="L575" s="673"/>
    </row>
    <row r="576" spans="1:12">
      <c r="A576" s="672"/>
      <c r="B576" s="672"/>
      <c r="C576" s="672"/>
      <c r="D576" s="672"/>
      <c r="E576" s="672"/>
      <c r="F576" s="672"/>
      <c r="G576" s="672"/>
      <c r="H576" s="672"/>
      <c r="I576" s="672"/>
      <c r="J576" s="672"/>
      <c r="K576" s="672"/>
      <c r="L576" s="673"/>
    </row>
    <row r="577" spans="1:12">
      <c r="A577" s="672"/>
      <c r="B577" s="672"/>
      <c r="C577" s="672"/>
      <c r="D577" s="672"/>
      <c r="E577" s="672"/>
      <c r="F577" s="672"/>
      <c r="G577" s="672"/>
      <c r="H577" s="672"/>
      <c r="I577" s="672"/>
      <c r="J577" s="672"/>
      <c r="K577" s="672"/>
      <c r="L577" s="673"/>
    </row>
    <row r="578" spans="1:12">
      <c r="A578" s="672"/>
      <c r="B578" s="672"/>
      <c r="C578" s="672"/>
      <c r="D578" s="672"/>
      <c r="E578" s="672"/>
      <c r="F578" s="672"/>
      <c r="G578" s="672"/>
      <c r="H578" s="672"/>
      <c r="I578" s="672"/>
      <c r="J578" s="672"/>
      <c r="K578" s="672"/>
      <c r="L578" s="673"/>
    </row>
    <row r="579" spans="1:12">
      <c r="A579" s="672"/>
      <c r="B579" s="672"/>
      <c r="C579" s="672"/>
      <c r="D579" s="672"/>
      <c r="E579" s="672"/>
      <c r="F579" s="672"/>
      <c r="G579" s="672"/>
      <c r="H579" s="672"/>
      <c r="I579" s="672"/>
      <c r="J579" s="672"/>
      <c r="K579" s="672"/>
      <c r="L579" s="673"/>
    </row>
    <row r="580" spans="1:12">
      <c r="A580" s="672"/>
      <c r="B580" s="672"/>
      <c r="C580" s="672"/>
      <c r="D580" s="672"/>
      <c r="E580" s="672"/>
      <c r="F580" s="672"/>
      <c r="G580" s="672"/>
      <c r="H580" s="672"/>
      <c r="I580" s="672"/>
      <c r="J580" s="672"/>
      <c r="K580" s="672"/>
      <c r="L580" s="673"/>
    </row>
    <row r="581" spans="1:12">
      <c r="A581" s="672"/>
      <c r="B581" s="672"/>
      <c r="C581" s="672"/>
      <c r="D581" s="672"/>
      <c r="E581" s="672"/>
      <c r="F581" s="672"/>
      <c r="G581" s="672"/>
      <c r="H581" s="672"/>
      <c r="I581" s="672"/>
      <c r="J581" s="672"/>
      <c r="K581" s="672"/>
      <c r="L581" s="673"/>
    </row>
    <row r="582" spans="1:12">
      <c r="A582" s="672"/>
      <c r="B582" s="672"/>
      <c r="C582" s="672"/>
      <c r="D582" s="672"/>
      <c r="E582" s="672"/>
      <c r="F582" s="672"/>
      <c r="G582" s="672"/>
      <c r="H582" s="672"/>
      <c r="I582" s="672"/>
      <c r="J582" s="672"/>
      <c r="K582" s="672"/>
      <c r="L582" s="673"/>
    </row>
    <row r="583" spans="1:12">
      <c r="A583" s="672"/>
      <c r="B583" s="672"/>
      <c r="C583" s="672"/>
      <c r="D583" s="672"/>
      <c r="E583" s="672"/>
      <c r="F583" s="672"/>
      <c r="G583" s="672"/>
      <c r="H583" s="672"/>
      <c r="I583" s="672"/>
      <c r="J583" s="672"/>
      <c r="K583" s="672"/>
      <c r="L583" s="673"/>
    </row>
    <row r="584" spans="1:12">
      <c r="A584" s="672"/>
      <c r="B584" s="672"/>
      <c r="C584" s="672"/>
      <c r="D584" s="672"/>
      <c r="E584" s="672"/>
      <c r="F584" s="672"/>
      <c r="G584" s="672"/>
      <c r="H584" s="672"/>
      <c r="I584" s="672"/>
      <c r="J584" s="672"/>
      <c r="K584" s="672"/>
      <c r="L584" s="673"/>
    </row>
    <row r="585" spans="1:12">
      <c r="A585" s="672"/>
      <c r="B585" s="672"/>
      <c r="C585" s="672"/>
      <c r="D585" s="672"/>
      <c r="E585" s="672"/>
      <c r="F585" s="672"/>
      <c r="G585" s="672"/>
      <c r="H585" s="672"/>
      <c r="I585" s="672"/>
      <c r="J585" s="672"/>
      <c r="K585" s="672"/>
      <c r="L585" s="673"/>
    </row>
    <row r="586" spans="1:12">
      <c r="A586" s="672"/>
      <c r="B586" s="672"/>
      <c r="C586" s="672"/>
      <c r="D586" s="672"/>
      <c r="E586" s="672"/>
      <c r="F586" s="672"/>
      <c r="G586" s="672"/>
      <c r="H586" s="672"/>
      <c r="I586" s="672"/>
      <c r="J586" s="672"/>
      <c r="K586" s="672"/>
      <c r="L586" s="673"/>
    </row>
    <row r="587" spans="1:12">
      <c r="A587" s="672"/>
      <c r="B587" s="672"/>
      <c r="C587" s="672"/>
      <c r="D587" s="672"/>
      <c r="E587" s="672"/>
      <c r="F587" s="672"/>
      <c r="G587" s="672"/>
      <c r="H587" s="672"/>
      <c r="I587" s="672"/>
      <c r="J587" s="672"/>
      <c r="K587" s="672"/>
      <c r="L587" s="673"/>
    </row>
    <row r="588" spans="1:12">
      <c r="A588" s="672"/>
      <c r="B588" s="672"/>
      <c r="C588" s="672"/>
      <c r="D588" s="672"/>
      <c r="E588" s="672"/>
      <c r="F588" s="672"/>
      <c r="G588" s="672"/>
      <c r="H588" s="672"/>
      <c r="I588" s="672"/>
      <c r="J588" s="672"/>
      <c r="K588" s="672"/>
      <c r="L588" s="673"/>
    </row>
    <row r="589" spans="1:12">
      <c r="A589" s="672"/>
      <c r="B589" s="672"/>
      <c r="C589" s="672"/>
      <c r="D589" s="672"/>
      <c r="E589" s="672"/>
      <c r="F589" s="672"/>
      <c r="G589" s="672"/>
      <c r="H589" s="672"/>
      <c r="I589" s="672"/>
      <c r="J589" s="672"/>
      <c r="K589" s="672"/>
      <c r="L589" s="673"/>
    </row>
    <row r="590" spans="1:12">
      <c r="A590" s="672"/>
      <c r="B590" s="672"/>
      <c r="C590" s="672"/>
      <c r="D590" s="672"/>
      <c r="E590" s="672"/>
      <c r="F590" s="672"/>
      <c r="G590" s="672"/>
      <c r="H590" s="672"/>
      <c r="I590" s="672"/>
      <c r="J590" s="672"/>
      <c r="K590" s="672"/>
      <c r="L590" s="673"/>
    </row>
    <row r="591" spans="1:12">
      <c r="A591" s="672"/>
      <c r="B591" s="672"/>
      <c r="C591" s="672"/>
      <c r="D591" s="672"/>
      <c r="E591" s="672"/>
      <c r="F591" s="672"/>
      <c r="G591" s="672"/>
      <c r="H591" s="672"/>
      <c r="I591" s="672"/>
      <c r="J591" s="672"/>
      <c r="K591" s="672"/>
      <c r="L591" s="673"/>
    </row>
    <row r="592" spans="1:12">
      <c r="A592" s="672"/>
      <c r="B592" s="672"/>
      <c r="C592" s="672"/>
      <c r="D592" s="672"/>
      <c r="E592" s="672"/>
      <c r="F592" s="672"/>
      <c r="G592" s="672"/>
      <c r="H592" s="672"/>
      <c r="I592" s="672"/>
      <c r="J592" s="672"/>
      <c r="K592" s="672"/>
      <c r="L592" s="673"/>
    </row>
    <row r="593" spans="1:12">
      <c r="A593" s="672"/>
      <c r="B593" s="672"/>
      <c r="C593" s="672"/>
      <c r="D593" s="672"/>
      <c r="E593" s="672"/>
      <c r="F593" s="672"/>
      <c r="G593" s="672"/>
      <c r="H593" s="672"/>
      <c r="I593" s="672"/>
      <c r="J593" s="672"/>
      <c r="K593" s="672"/>
      <c r="L593" s="673"/>
    </row>
    <row r="594" spans="1:12">
      <c r="A594" s="672"/>
      <c r="B594" s="672"/>
      <c r="C594" s="672"/>
      <c r="D594" s="672"/>
      <c r="E594" s="672"/>
      <c r="F594" s="672"/>
      <c r="G594" s="672"/>
      <c r="H594" s="672"/>
      <c r="I594" s="672"/>
      <c r="J594" s="672"/>
      <c r="K594" s="672"/>
      <c r="L594" s="673"/>
    </row>
    <row r="595" spans="1:12">
      <c r="A595" s="672"/>
      <c r="B595" s="672"/>
      <c r="C595" s="672"/>
      <c r="D595" s="672"/>
      <c r="E595" s="672"/>
      <c r="F595" s="672"/>
      <c r="G595" s="672"/>
      <c r="H595" s="672"/>
      <c r="I595" s="672"/>
      <c r="J595" s="672"/>
      <c r="K595" s="672"/>
      <c r="L595" s="673"/>
    </row>
    <row r="596" spans="1:12">
      <c r="A596" s="672"/>
      <c r="B596" s="672"/>
      <c r="C596" s="672"/>
      <c r="D596" s="672"/>
      <c r="E596" s="672"/>
      <c r="F596" s="672"/>
      <c r="G596" s="672"/>
      <c r="H596" s="672"/>
      <c r="I596" s="672"/>
      <c r="J596" s="672"/>
      <c r="K596" s="672"/>
      <c r="L596" s="673"/>
    </row>
    <row r="597" spans="1:12">
      <c r="A597" s="672"/>
      <c r="B597" s="672"/>
      <c r="C597" s="672"/>
      <c r="D597" s="672"/>
      <c r="E597" s="672"/>
      <c r="F597" s="672"/>
      <c r="G597" s="672"/>
      <c r="H597" s="672"/>
      <c r="I597" s="672"/>
      <c r="J597" s="672"/>
      <c r="K597" s="672"/>
      <c r="L597" s="673"/>
    </row>
    <row r="598" spans="1:12">
      <c r="A598" s="672"/>
      <c r="B598" s="672"/>
      <c r="C598" s="672"/>
      <c r="D598" s="672"/>
      <c r="E598" s="672"/>
      <c r="F598" s="672"/>
      <c r="G598" s="672"/>
      <c r="H598" s="672"/>
      <c r="I598" s="672"/>
      <c r="J598" s="672"/>
      <c r="K598" s="672"/>
      <c r="L598" s="673"/>
    </row>
    <row r="599" spans="1:12">
      <c r="A599" s="672"/>
      <c r="B599" s="672"/>
      <c r="C599" s="672"/>
      <c r="D599" s="672"/>
      <c r="E599" s="672"/>
      <c r="F599" s="672"/>
      <c r="G599" s="672"/>
      <c r="H599" s="672"/>
      <c r="I599" s="672"/>
      <c r="J599" s="672"/>
      <c r="K599" s="672"/>
      <c r="L599" s="673"/>
    </row>
    <row r="600" spans="1:12">
      <c r="A600" s="672"/>
      <c r="B600" s="672"/>
      <c r="C600" s="672"/>
      <c r="D600" s="672"/>
      <c r="E600" s="672"/>
      <c r="F600" s="672"/>
      <c r="G600" s="672"/>
      <c r="H600" s="672"/>
      <c r="I600" s="672"/>
      <c r="J600" s="672"/>
      <c r="K600" s="672"/>
      <c r="L600" s="673"/>
    </row>
    <row r="601" spans="1:12">
      <c r="A601" s="672"/>
      <c r="B601" s="672"/>
      <c r="C601" s="672"/>
      <c r="D601" s="672"/>
      <c r="E601" s="672"/>
      <c r="F601" s="672"/>
      <c r="G601" s="672"/>
      <c r="H601" s="672"/>
      <c r="I601" s="672"/>
      <c r="J601" s="672"/>
      <c r="K601" s="672"/>
      <c r="L601" s="673"/>
    </row>
    <row r="602" spans="1:12">
      <c r="A602" s="672"/>
      <c r="B602" s="672"/>
      <c r="C602" s="672"/>
      <c r="D602" s="672"/>
      <c r="E602" s="672"/>
      <c r="F602" s="672"/>
      <c r="G602" s="672"/>
      <c r="H602" s="672"/>
      <c r="I602" s="672"/>
      <c r="J602" s="672"/>
      <c r="K602" s="672"/>
      <c r="L602" s="673"/>
    </row>
    <row r="603" spans="1:12">
      <c r="A603" s="672"/>
      <c r="B603" s="672"/>
      <c r="C603" s="672"/>
      <c r="D603" s="672"/>
      <c r="E603" s="672"/>
      <c r="F603" s="672"/>
      <c r="G603" s="672"/>
      <c r="H603" s="672"/>
      <c r="I603" s="672"/>
      <c r="J603" s="672"/>
      <c r="K603" s="672"/>
      <c r="L603" s="673"/>
    </row>
    <row r="604" spans="1:12">
      <c r="A604" s="672"/>
      <c r="B604" s="672"/>
      <c r="C604" s="672"/>
      <c r="D604" s="672"/>
      <c r="E604" s="672"/>
      <c r="F604" s="672"/>
      <c r="G604" s="672"/>
      <c r="H604" s="672"/>
      <c r="I604" s="672"/>
      <c r="J604" s="672"/>
      <c r="K604" s="672"/>
      <c r="L604" s="673"/>
    </row>
    <row r="605" spans="1:12">
      <c r="A605" s="672"/>
      <c r="B605" s="672"/>
      <c r="C605" s="672"/>
      <c r="D605" s="672"/>
      <c r="E605" s="672"/>
      <c r="F605" s="672"/>
      <c r="G605" s="672"/>
      <c r="H605" s="672"/>
      <c r="I605" s="672"/>
      <c r="J605" s="672"/>
      <c r="K605" s="672"/>
      <c r="L605" s="673"/>
    </row>
    <row r="606" spans="1:12">
      <c r="A606" s="672"/>
      <c r="B606" s="672"/>
      <c r="C606" s="672"/>
      <c r="D606" s="672"/>
      <c r="E606" s="672"/>
      <c r="F606" s="672"/>
      <c r="G606" s="672"/>
      <c r="H606" s="672"/>
      <c r="I606" s="672"/>
      <c r="J606" s="672"/>
      <c r="K606" s="672"/>
      <c r="L606" s="673"/>
    </row>
    <row r="607" spans="1:12">
      <c r="A607" s="672"/>
      <c r="B607" s="672"/>
      <c r="C607" s="672"/>
      <c r="D607" s="672"/>
      <c r="E607" s="672"/>
      <c r="F607" s="672"/>
      <c r="G607" s="672"/>
      <c r="H607" s="672"/>
      <c r="I607" s="672"/>
      <c r="J607" s="672"/>
      <c r="K607" s="672"/>
      <c r="L607" s="673"/>
    </row>
    <row r="608" spans="1:12">
      <c r="A608" s="672"/>
      <c r="B608" s="672"/>
      <c r="C608" s="672"/>
      <c r="D608" s="672"/>
      <c r="E608" s="672"/>
      <c r="F608" s="672"/>
      <c r="G608" s="672"/>
      <c r="H608" s="672"/>
      <c r="I608" s="672"/>
      <c r="J608" s="672"/>
      <c r="K608" s="672"/>
      <c r="L608" s="673"/>
    </row>
    <row r="609" spans="1:12">
      <c r="A609" s="672"/>
      <c r="B609" s="672"/>
      <c r="C609" s="672"/>
      <c r="D609" s="672"/>
      <c r="E609" s="672"/>
      <c r="F609" s="672"/>
      <c r="G609" s="672"/>
      <c r="H609" s="672"/>
      <c r="I609" s="672"/>
      <c r="J609" s="672"/>
      <c r="K609" s="672"/>
      <c r="L609" s="673"/>
    </row>
    <row r="610" spans="1:12">
      <c r="A610" s="672"/>
      <c r="B610" s="672"/>
      <c r="C610" s="672"/>
      <c r="D610" s="672"/>
      <c r="E610" s="672"/>
      <c r="F610" s="672"/>
      <c r="G610" s="672"/>
      <c r="H610" s="672"/>
      <c r="I610" s="672"/>
      <c r="J610" s="672"/>
      <c r="K610" s="672"/>
      <c r="L610" s="673"/>
    </row>
    <row r="611" spans="1:12">
      <c r="A611" s="672"/>
      <c r="B611" s="672"/>
      <c r="C611" s="672"/>
      <c r="D611" s="672"/>
      <c r="E611" s="672"/>
      <c r="F611" s="672"/>
      <c r="G611" s="672"/>
      <c r="H611" s="672"/>
      <c r="I611" s="672"/>
      <c r="J611" s="672"/>
      <c r="K611" s="672"/>
      <c r="L611" s="673"/>
    </row>
    <row r="612" spans="1:12">
      <c r="A612" s="672"/>
      <c r="B612" s="672"/>
      <c r="C612" s="672"/>
      <c r="D612" s="672"/>
      <c r="E612" s="672"/>
      <c r="F612" s="672"/>
      <c r="G612" s="672"/>
      <c r="H612" s="672"/>
      <c r="I612" s="672"/>
      <c r="J612" s="672"/>
      <c r="K612" s="672"/>
      <c r="L612" s="673"/>
    </row>
    <row r="613" spans="1:12">
      <c r="A613" s="672"/>
      <c r="B613" s="672"/>
      <c r="C613" s="672"/>
      <c r="D613" s="672"/>
      <c r="E613" s="672"/>
      <c r="F613" s="672"/>
      <c r="G613" s="672"/>
      <c r="H613" s="672"/>
      <c r="I613" s="672"/>
      <c r="J613" s="672"/>
      <c r="K613" s="672"/>
      <c r="L613" s="673"/>
    </row>
    <row r="614" spans="1:12">
      <c r="A614" s="672"/>
      <c r="B614" s="672"/>
      <c r="C614" s="672"/>
      <c r="D614" s="672"/>
      <c r="E614" s="672"/>
      <c r="F614" s="672"/>
      <c r="G614" s="672"/>
      <c r="H614" s="672"/>
      <c r="I614" s="672"/>
      <c r="J614" s="672"/>
      <c r="K614" s="672"/>
      <c r="L614" s="673"/>
    </row>
    <row r="615" spans="1:12">
      <c r="A615" s="672"/>
      <c r="B615" s="672"/>
      <c r="C615" s="672"/>
      <c r="D615" s="672"/>
      <c r="E615" s="672"/>
      <c r="F615" s="672"/>
      <c r="G615" s="672"/>
      <c r="H615" s="672"/>
      <c r="I615" s="672"/>
      <c r="J615" s="672"/>
      <c r="K615" s="672"/>
      <c r="L615" s="673"/>
    </row>
    <row r="616" spans="1:12">
      <c r="A616" s="672"/>
      <c r="B616" s="672"/>
      <c r="C616" s="672"/>
      <c r="D616" s="672"/>
      <c r="E616" s="672"/>
      <c r="F616" s="672"/>
      <c r="G616" s="672"/>
      <c r="H616" s="672"/>
      <c r="I616" s="672"/>
      <c r="J616" s="672"/>
      <c r="K616" s="672"/>
      <c r="L616" s="673"/>
    </row>
    <row r="617" spans="1:12">
      <c r="A617" s="672"/>
      <c r="B617" s="672"/>
      <c r="C617" s="672"/>
      <c r="D617" s="672"/>
      <c r="E617" s="672"/>
      <c r="F617" s="672"/>
      <c r="G617" s="672"/>
      <c r="H617" s="672"/>
      <c r="I617" s="672"/>
      <c r="J617" s="672"/>
      <c r="K617" s="672"/>
      <c r="L617" s="673"/>
    </row>
    <row r="618" spans="1:12">
      <c r="A618" s="672"/>
      <c r="B618" s="672"/>
      <c r="C618" s="672"/>
      <c r="D618" s="672"/>
      <c r="E618" s="672"/>
      <c r="F618" s="672"/>
      <c r="G618" s="672"/>
      <c r="H618" s="672"/>
      <c r="I618" s="672"/>
      <c r="J618" s="672"/>
      <c r="K618" s="672"/>
      <c r="L618" s="673"/>
    </row>
    <row r="619" spans="1:12">
      <c r="A619" s="672"/>
      <c r="B619" s="672"/>
      <c r="C619" s="672"/>
      <c r="D619" s="672"/>
      <c r="E619" s="672"/>
      <c r="F619" s="672"/>
      <c r="G619" s="672"/>
      <c r="H619" s="672"/>
      <c r="I619" s="672"/>
      <c r="J619" s="672"/>
      <c r="K619" s="672"/>
      <c r="L619" s="673"/>
    </row>
    <row r="620" spans="1:12">
      <c r="A620" s="672"/>
      <c r="B620" s="672"/>
      <c r="C620" s="672"/>
      <c r="D620" s="672"/>
      <c r="E620" s="672"/>
      <c r="F620" s="672"/>
      <c r="G620" s="672"/>
      <c r="H620" s="672"/>
      <c r="I620" s="672"/>
      <c r="J620" s="672"/>
      <c r="K620" s="672"/>
      <c r="L620" s="673"/>
    </row>
    <row r="621" spans="1:12">
      <c r="A621" s="672"/>
      <c r="B621" s="672"/>
      <c r="C621" s="672"/>
      <c r="D621" s="672"/>
      <c r="E621" s="672"/>
      <c r="F621" s="672"/>
      <c r="G621" s="672"/>
      <c r="H621" s="672"/>
      <c r="I621" s="672"/>
      <c r="J621" s="672"/>
      <c r="K621" s="672"/>
      <c r="L621" s="673"/>
    </row>
    <row r="622" spans="1:12">
      <c r="A622" s="672"/>
      <c r="B622" s="672"/>
      <c r="C622" s="672"/>
      <c r="D622" s="672"/>
      <c r="E622" s="672"/>
      <c r="F622" s="672"/>
      <c r="G622" s="672"/>
      <c r="H622" s="672"/>
      <c r="I622" s="672"/>
      <c r="J622" s="672"/>
      <c r="K622" s="672"/>
      <c r="L622" s="673"/>
    </row>
    <row r="623" spans="1:12">
      <c r="A623" s="672"/>
      <c r="B623" s="672"/>
      <c r="C623" s="672"/>
      <c r="D623" s="672"/>
      <c r="E623" s="672"/>
      <c r="F623" s="672"/>
      <c r="G623" s="672"/>
      <c r="H623" s="672"/>
      <c r="I623" s="672"/>
      <c r="J623" s="672"/>
      <c r="K623" s="672"/>
      <c r="L623" s="673"/>
    </row>
    <row r="624" spans="1:12">
      <c r="A624" s="672"/>
      <c r="B624" s="672"/>
      <c r="C624" s="672"/>
      <c r="D624" s="672"/>
      <c r="E624" s="672"/>
      <c r="F624" s="672"/>
      <c r="G624" s="672"/>
      <c r="H624" s="672"/>
      <c r="I624" s="672"/>
      <c r="J624" s="672"/>
      <c r="K624" s="672"/>
      <c r="L624" s="673"/>
    </row>
    <row r="625" spans="1:12">
      <c r="A625" s="672"/>
      <c r="B625" s="672"/>
      <c r="C625" s="672"/>
      <c r="D625" s="672"/>
      <c r="E625" s="672"/>
      <c r="F625" s="672"/>
      <c r="G625" s="672"/>
      <c r="H625" s="672"/>
      <c r="I625" s="672"/>
      <c r="J625" s="672"/>
      <c r="K625" s="672"/>
      <c r="L625" s="673"/>
    </row>
    <row r="626" spans="1:12">
      <c r="A626" s="672"/>
      <c r="B626" s="672"/>
      <c r="C626" s="672"/>
      <c r="D626" s="672"/>
      <c r="E626" s="672"/>
      <c r="F626" s="672"/>
      <c r="G626" s="672"/>
      <c r="H626" s="672"/>
      <c r="I626" s="672"/>
      <c r="J626" s="672"/>
      <c r="K626" s="672"/>
      <c r="L626" s="673"/>
    </row>
    <row r="627" spans="1:12">
      <c r="A627" s="672"/>
      <c r="B627" s="672"/>
      <c r="C627" s="672"/>
      <c r="D627" s="672"/>
      <c r="E627" s="672"/>
      <c r="F627" s="672"/>
      <c r="G627" s="672"/>
      <c r="H627" s="672"/>
      <c r="I627" s="672"/>
      <c r="J627" s="672"/>
      <c r="K627" s="672"/>
      <c r="L627" s="673"/>
    </row>
    <row r="628" spans="1:12">
      <c r="A628" s="672"/>
      <c r="B628" s="672"/>
      <c r="C628" s="672"/>
      <c r="D628" s="672"/>
      <c r="E628" s="672"/>
      <c r="F628" s="672"/>
      <c r="G628" s="672"/>
      <c r="H628" s="672"/>
      <c r="I628" s="672"/>
      <c r="J628" s="672"/>
      <c r="K628" s="672"/>
      <c r="L628" s="673"/>
    </row>
    <row r="629" spans="1:12">
      <c r="A629" s="672"/>
      <c r="B629" s="672"/>
      <c r="C629" s="672"/>
      <c r="D629" s="672"/>
      <c r="E629" s="672"/>
      <c r="F629" s="672"/>
      <c r="G629" s="672"/>
      <c r="H629" s="672"/>
      <c r="I629" s="672"/>
      <c r="J629" s="672"/>
      <c r="K629" s="672"/>
      <c r="L629" s="673"/>
    </row>
    <row r="630" spans="1:12">
      <c r="A630" s="672"/>
      <c r="B630" s="672"/>
      <c r="C630" s="672"/>
      <c r="D630" s="672"/>
      <c r="E630" s="672"/>
      <c r="F630" s="672"/>
      <c r="G630" s="672"/>
      <c r="H630" s="672"/>
      <c r="I630" s="672"/>
      <c r="J630" s="672"/>
      <c r="K630" s="672"/>
      <c r="L630" s="673"/>
    </row>
    <row r="631" spans="1:12">
      <c r="A631" s="672"/>
      <c r="B631" s="672"/>
      <c r="C631" s="672"/>
      <c r="D631" s="672"/>
      <c r="E631" s="672"/>
      <c r="F631" s="672"/>
      <c r="G631" s="672"/>
      <c r="H631" s="672"/>
      <c r="I631" s="672"/>
      <c r="J631" s="672"/>
      <c r="K631" s="672"/>
      <c r="L631" s="673"/>
    </row>
    <row r="632" spans="1:12">
      <c r="A632" s="672"/>
      <c r="B632" s="672"/>
      <c r="C632" s="672"/>
      <c r="D632" s="672"/>
      <c r="E632" s="672"/>
      <c r="F632" s="672"/>
      <c r="G632" s="672"/>
      <c r="H632" s="672"/>
      <c r="I632" s="672"/>
      <c r="J632" s="672"/>
      <c r="K632" s="672"/>
      <c r="L632" s="673"/>
    </row>
    <row r="633" spans="1:12">
      <c r="A633" s="672"/>
      <c r="B633" s="672"/>
      <c r="C633" s="672"/>
      <c r="D633" s="672"/>
      <c r="E633" s="672"/>
      <c r="F633" s="672"/>
      <c r="G633" s="672"/>
      <c r="H633" s="672"/>
      <c r="I633" s="672"/>
      <c r="J633" s="672"/>
      <c r="K633" s="672"/>
      <c r="L633" s="673"/>
    </row>
    <row r="634" spans="1:12">
      <c r="A634" s="672"/>
      <c r="B634" s="672"/>
      <c r="C634" s="672"/>
      <c r="D634" s="672"/>
      <c r="E634" s="672"/>
      <c r="F634" s="672"/>
      <c r="G634" s="672"/>
      <c r="H634" s="672"/>
      <c r="I634" s="672"/>
      <c r="J634" s="672"/>
      <c r="K634" s="672"/>
      <c r="L634" s="673"/>
    </row>
    <row r="635" spans="1:12">
      <c r="A635" s="672"/>
      <c r="B635" s="672"/>
      <c r="C635" s="672"/>
      <c r="D635" s="672"/>
      <c r="E635" s="672"/>
      <c r="F635" s="672"/>
      <c r="G635" s="672"/>
      <c r="H635" s="672"/>
      <c r="I635" s="672"/>
      <c r="J635" s="672"/>
      <c r="K635" s="672"/>
      <c r="L635" s="673"/>
    </row>
    <row r="636" spans="1:12">
      <c r="A636" s="672"/>
      <c r="B636" s="672"/>
      <c r="C636" s="672"/>
      <c r="D636" s="672"/>
      <c r="E636" s="672"/>
      <c r="F636" s="672"/>
      <c r="G636" s="672"/>
      <c r="H636" s="672"/>
      <c r="I636" s="672"/>
      <c r="J636" s="672"/>
      <c r="K636" s="672"/>
      <c r="L636" s="673"/>
    </row>
    <row r="637" spans="1:12">
      <c r="A637" s="672"/>
      <c r="B637" s="672"/>
      <c r="C637" s="672"/>
      <c r="D637" s="672"/>
      <c r="E637" s="672"/>
      <c r="F637" s="672"/>
      <c r="G637" s="672"/>
      <c r="H637" s="672"/>
      <c r="I637" s="672"/>
      <c r="J637" s="672"/>
      <c r="K637" s="672"/>
      <c r="L637" s="673"/>
    </row>
    <row r="638" spans="1:12">
      <c r="A638" s="672"/>
      <c r="B638" s="672"/>
      <c r="C638" s="672"/>
      <c r="D638" s="672"/>
      <c r="E638" s="672"/>
      <c r="F638" s="672"/>
      <c r="G638" s="672"/>
      <c r="H638" s="672"/>
      <c r="I638" s="672"/>
      <c r="J638" s="672"/>
      <c r="K638" s="672"/>
      <c r="L638" s="673"/>
    </row>
    <row r="639" spans="1:12">
      <c r="A639" s="672"/>
      <c r="B639" s="672"/>
      <c r="C639" s="672"/>
      <c r="D639" s="672"/>
      <c r="E639" s="672"/>
      <c r="F639" s="672"/>
      <c r="G639" s="672"/>
      <c r="H639" s="672"/>
      <c r="I639" s="672"/>
      <c r="J639" s="672"/>
      <c r="K639" s="672"/>
      <c r="L639" s="673"/>
    </row>
    <row r="640" spans="1:12">
      <c r="A640" s="672"/>
      <c r="B640" s="672"/>
      <c r="C640" s="672"/>
      <c r="D640" s="672"/>
      <c r="E640" s="672"/>
      <c r="F640" s="672"/>
      <c r="G640" s="672"/>
      <c r="H640" s="672"/>
      <c r="I640" s="672"/>
      <c r="J640" s="672"/>
      <c r="K640" s="672"/>
      <c r="L640" s="673"/>
    </row>
    <row r="641" spans="1:12">
      <c r="A641" s="672"/>
      <c r="B641" s="672"/>
      <c r="C641" s="672"/>
      <c r="D641" s="672"/>
      <c r="E641" s="672"/>
      <c r="F641" s="672"/>
      <c r="G641" s="672"/>
      <c r="H641" s="672"/>
      <c r="I641" s="672"/>
      <c r="J641" s="672"/>
      <c r="K641" s="672"/>
      <c r="L641" s="673"/>
    </row>
    <row r="642" spans="1:12">
      <c r="A642" s="672"/>
      <c r="B642" s="672"/>
      <c r="C642" s="672"/>
      <c r="D642" s="672"/>
      <c r="E642" s="672"/>
      <c r="F642" s="672"/>
      <c r="G642" s="672"/>
      <c r="H642" s="672"/>
      <c r="I642" s="672"/>
      <c r="J642" s="672"/>
      <c r="K642" s="672"/>
      <c r="L642" s="673"/>
    </row>
    <row r="643" spans="1:12">
      <c r="A643" s="672"/>
      <c r="B643" s="672"/>
      <c r="C643" s="672"/>
      <c r="D643" s="672"/>
      <c r="E643" s="672"/>
      <c r="F643" s="672"/>
      <c r="G643" s="672"/>
      <c r="H643" s="672"/>
      <c r="I643" s="672"/>
      <c r="J643" s="672"/>
      <c r="K643" s="672"/>
      <c r="L643" s="673"/>
    </row>
    <row r="644" spans="1:12">
      <c r="A644" s="672"/>
      <c r="B644" s="672"/>
      <c r="C644" s="672"/>
      <c r="D644" s="672"/>
      <c r="E644" s="672"/>
      <c r="F644" s="672"/>
      <c r="G644" s="672"/>
      <c r="H644" s="672"/>
      <c r="I644" s="672"/>
      <c r="J644" s="672"/>
      <c r="K644" s="672"/>
      <c r="L644" s="673"/>
    </row>
    <row r="645" spans="1:12">
      <c r="A645" s="672"/>
      <c r="B645" s="672"/>
      <c r="C645" s="672"/>
      <c r="D645" s="672"/>
      <c r="E645" s="672"/>
      <c r="F645" s="672"/>
      <c r="G645" s="672"/>
      <c r="H645" s="672"/>
      <c r="I645" s="672"/>
      <c r="J645" s="672"/>
      <c r="K645" s="672"/>
      <c r="L645" s="673"/>
    </row>
    <row r="646" spans="1:12">
      <c r="A646" s="672"/>
      <c r="B646" s="672"/>
      <c r="C646" s="672"/>
      <c r="D646" s="672"/>
      <c r="E646" s="672"/>
      <c r="F646" s="672"/>
      <c r="G646" s="672"/>
      <c r="H646" s="672"/>
      <c r="I646" s="672"/>
      <c r="J646" s="672"/>
      <c r="K646" s="672"/>
      <c r="L646" s="673"/>
    </row>
    <row r="647" spans="1:12">
      <c r="A647" s="672"/>
      <c r="B647" s="672"/>
      <c r="C647" s="672"/>
      <c r="D647" s="672"/>
      <c r="E647" s="672"/>
      <c r="F647" s="672"/>
      <c r="G647" s="672"/>
      <c r="H647" s="672"/>
      <c r="I647" s="672"/>
      <c r="J647" s="672"/>
      <c r="K647" s="672"/>
      <c r="L647" s="673"/>
    </row>
    <row r="648" spans="1:12">
      <c r="A648" s="672"/>
      <c r="B648" s="672"/>
      <c r="C648" s="672"/>
      <c r="D648" s="672"/>
      <c r="E648" s="672"/>
      <c r="F648" s="672"/>
      <c r="G648" s="672"/>
      <c r="H648" s="672"/>
      <c r="I648" s="672"/>
      <c r="J648" s="672"/>
      <c r="K648" s="672"/>
      <c r="L648" s="673"/>
    </row>
    <row r="649" spans="1:12">
      <c r="A649" s="672"/>
      <c r="B649" s="672"/>
      <c r="C649" s="672"/>
      <c r="D649" s="672"/>
      <c r="E649" s="672"/>
      <c r="F649" s="672"/>
      <c r="G649" s="672"/>
      <c r="H649" s="672"/>
      <c r="I649" s="672"/>
      <c r="J649" s="672"/>
      <c r="K649" s="672"/>
      <c r="L649" s="673"/>
    </row>
    <row r="650" spans="1:12">
      <c r="A650" s="672"/>
      <c r="B650" s="672"/>
      <c r="C650" s="672"/>
      <c r="D650" s="672"/>
      <c r="E650" s="672"/>
      <c r="F650" s="672"/>
      <c r="G650" s="672"/>
      <c r="H650" s="672"/>
      <c r="I650" s="672"/>
      <c r="J650" s="672"/>
      <c r="K650" s="672"/>
      <c r="L650" s="673"/>
    </row>
    <row r="651" spans="1:12">
      <c r="A651" s="672"/>
      <c r="B651" s="672"/>
      <c r="C651" s="672"/>
      <c r="D651" s="672"/>
      <c r="E651" s="672"/>
      <c r="F651" s="672"/>
      <c r="G651" s="672"/>
      <c r="H651" s="672"/>
      <c r="I651" s="672"/>
      <c r="J651" s="672"/>
      <c r="K651" s="672"/>
      <c r="L651" s="673"/>
    </row>
    <row r="652" spans="1:12">
      <c r="A652" s="672"/>
      <c r="B652" s="672"/>
      <c r="C652" s="672"/>
      <c r="D652" s="672"/>
      <c r="E652" s="672"/>
      <c r="F652" s="672"/>
      <c r="G652" s="672"/>
      <c r="H652" s="672"/>
      <c r="I652" s="672"/>
      <c r="J652" s="672"/>
      <c r="K652" s="672"/>
      <c r="L652" s="673"/>
    </row>
    <row r="653" spans="1:12">
      <c r="A653" s="672"/>
      <c r="B653" s="672"/>
      <c r="C653" s="672"/>
      <c r="D653" s="672"/>
      <c r="E653" s="672"/>
      <c r="F653" s="672"/>
      <c r="G653" s="672"/>
      <c r="H653" s="672"/>
      <c r="I653" s="672"/>
      <c r="J653" s="672"/>
      <c r="K653" s="672"/>
      <c r="L653" s="673"/>
    </row>
    <row r="654" spans="1:12">
      <c r="A654" s="672"/>
      <c r="B654" s="672"/>
      <c r="C654" s="672"/>
      <c r="D654" s="672"/>
      <c r="E654" s="672"/>
      <c r="F654" s="672"/>
      <c r="G654" s="672"/>
      <c r="H654" s="672"/>
      <c r="I654" s="672"/>
      <c r="J654" s="672"/>
      <c r="K654" s="672"/>
      <c r="L654" s="673"/>
    </row>
    <row r="655" spans="1:12">
      <c r="A655" s="672"/>
      <c r="B655" s="672"/>
      <c r="C655" s="672"/>
      <c r="D655" s="672"/>
      <c r="E655" s="672"/>
      <c r="F655" s="672"/>
      <c r="G655" s="672"/>
      <c r="H655" s="672"/>
      <c r="I655" s="672"/>
      <c r="J655" s="672"/>
      <c r="K655" s="672"/>
      <c r="L655" s="673"/>
    </row>
    <row r="656" spans="1:12">
      <c r="A656" s="672"/>
      <c r="B656" s="672"/>
      <c r="C656" s="672"/>
      <c r="D656" s="672"/>
      <c r="E656" s="672"/>
      <c r="F656" s="672"/>
      <c r="G656" s="672"/>
      <c r="H656" s="672"/>
      <c r="I656" s="672"/>
      <c r="J656" s="672"/>
      <c r="K656" s="672"/>
      <c r="L656" s="673"/>
    </row>
    <row r="657" spans="1:12">
      <c r="A657" s="672"/>
      <c r="B657" s="672"/>
      <c r="C657" s="672"/>
      <c r="D657" s="672"/>
      <c r="E657" s="672"/>
      <c r="F657" s="672"/>
      <c r="G657" s="672"/>
      <c r="H657" s="672"/>
      <c r="I657" s="672"/>
      <c r="J657" s="672"/>
      <c r="K657" s="672"/>
      <c r="L657" s="673"/>
    </row>
    <row r="658" spans="1:12">
      <c r="A658" s="672"/>
      <c r="B658" s="672"/>
      <c r="C658" s="672"/>
      <c r="D658" s="672"/>
      <c r="E658" s="672"/>
      <c r="F658" s="672"/>
      <c r="G658" s="672"/>
      <c r="H658" s="672"/>
      <c r="I658" s="672"/>
      <c r="J658" s="672"/>
      <c r="K658" s="672"/>
      <c r="L658" s="673"/>
    </row>
    <row r="659" spans="1:12">
      <c r="A659" s="672"/>
      <c r="B659" s="672"/>
      <c r="C659" s="672"/>
      <c r="D659" s="672"/>
      <c r="E659" s="672"/>
      <c r="F659" s="672"/>
      <c r="G659" s="672"/>
      <c r="H659" s="672"/>
      <c r="I659" s="672"/>
      <c r="J659" s="672"/>
      <c r="K659" s="672"/>
      <c r="L659" s="673"/>
    </row>
    <row r="660" spans="1:12">
      <c r="A660" s="672"/>
      <c r="B660" s="672"/>
      <c r="C660" s="672"/>
      <c r="D660" s="672"/>
      <c r="E660" s="672"/>
      <c r="F660" s="672"/>
      <c r="G660" s="672"/>
      <c r="H660" s="672"/>
      <c r="I660" s="672"/>
      <c r="J660" s="672"/>
      <c r="K660" s="672"/>
      <c r="L660" s="673"/>
    </row>
    <row r="661" spans="1:12">
      <c r="A661" s="672"/>
      <c r="B661" s="672"/>
      <c r="C661" s="672"/>
      <c r="D661" s="672"/>
      <c r="E661" s="672"/>
      <c r="F661" s="672"/>
      <c r="G661" s="672"/>
      <c r="H661" s="672"/>
      <c r="I661" s="672"/>
      <c r="J661" s="672"/>
      <c r="K661" s="672"/>
      <c r="L661" s="673"/>
    </row>
    <row r="662" spans="1:12">
      <c r="A662" s="672"/>
      <c r="B662" s="672"/>
      <c r="C662" s="672"/>
      <c r="D662" s="672"/>
      <c r="E662" s="672"/>
      <c r="F662" s="672"/>
      <c r="G662" s="672"/>
      <c r="H662" s="672"/>
      <c r="I662" s="672"/>
      <c r="J662" s="672"/>
      <c r="K662" s="672"/>
      <c r="L662" s="673"/>
    </row>
    <row r="663" spans="1:12">
      <c r="A663" s="672"/>
      <c r="B663" s="672"/>
      <c r="C663" s="672"/>
      <c r="D663" s="672"/>
      <c r="E663" s="672"/>
      <c r="F663" s="672"/>
      <c r="G663" s="672"/>
      <c r="H663" s="672"/>
      <c r="I663" s="672"/>
      <c r="J663" s="672"/>
      <c r="K663" s="672"/>
      <c r="L663" s="673"/>
    </row>
    <row r="664" spans="1:12">
      <c r="A664" s="672"/>
      <c r="B664" s="672"/>
      <c r="C664" s="672"/>
      <c r="D664" s="672"/>
      <c r="E664" s="672"/>
      <c r="F664" s="672"/>
      <c r="G664" s="672"/>
      <c r="H664" s="672"/>
      <c r="I664" s="672"/>
      <c r="J664" s="672"/>
      <c r="K664" s="672"/>
      <c r="L664" s="673"/>
    </row>
    <row r="665" spans="1:12">
      <c r="A665" s="672"/>
      <c r="B665" s="672"/>
      <c r="C665" s="672"/>
      <c r="D665" s="672"/>
      <c r="E665" s="672"/>
      <c r="F665" s="672"/>
      <c r="G665" s="672"/>
      <c r="H665" s="672"/>
      <c r="I665" s="672"/>
      <c r="J665" s="672"/>
      <c r="K665" s="672"/>
      <c r="L665" s="673"/>
    </row>
    <row r="666" spans="1:12">
      <c r="A666" s="672"/>
      <c r="B666" s="672"/>
      <c r="C666" s="672"/>
      <c r="D666" s="672"/>
      <c r="E666" s="672"/>
      <c r="F666" s="672"/>
      <c r="G666" s="672"/>
      <c r="H666" s="672"/>
      <c r="I666" s="672"/>
      <c r="J666" s="672"/>
      <c r="K666" s="672"/>
      <c r="L666" s="673"/>
    </row>
    <row r="667" spans="1:12">
      <c r="A667" s="672"/>
      <c r="B667" s="672"/>
      <c r="C667" s="672"/>
      <c r="D667" s="672"/>
      <c r="E667" s="672"/>
      <c r="F667" s="672"/>
      <c r="G667" s="672"/>
      <c r="H667" s="672"/>
      <c r="I667" s="672"/>
      <c r="J667" s="672"/>
      <c r="K667" s="672"/>
      <c r="L667" s="673"/>
    </row>
    <row r="668" spans="1:12">
      <c r="A668" s="672"/>
      <c r="B668" s="672"/>
      <c r="C668" s="672"/>
      <c r="D668" s="672"/>
      <c r="E668" s="672"/>
      <c r="F668" s="672"/>
      <c r="G668" s="672"/>
      <c r="H668" s="672"/>
      <c r="I668" s="672"/>
      <c r="J668" s="672"/>
      <c r="K668" s="672"/>
      <c r="L668" s="673"/>
    </row>
    <row r="669" spans="1:12">
      <c r="A669" s="672"/>
      <c r="B669" s="672"/>
      <c r="C669" s="672"/>
      <c r="D669" s="672"/>
      <c r="E669" s="672"/>
      <c r="F669" s="672"/>
      <c r="G669" s="672"/>
      <c r="H669" s="672"/>
      <c r="I669" s="672"/>
      <c r="J669" s="672"/>
      <c r="K669" s="672"/>
      <c r="L669" s="673"/>
    </row>
    <row r="670" spans="1:12">
      <c r="A670" s="672"/>
      <c r="B670" s="672"/>
      <c r="C670" s="672"/>
      <c r="D670" s="672"/>
      <c r="E670" s="672"/>
      <c r="F670" s="672"/>
      <c r="G670" s="672"/>
      <c r="H670" s="672"/>
      <c r="I670" s="672"/>
      <c r="J670" s="672"/>
      <c r="K670" s="672"/>
      <c r="L670" s="673"/>
    </row>
    <row r="671" spans="1:12">
      <c r="A671" s="672"/>
      <c r="B671" s="672"/>
      <c r="C671" s="672"/>
      <c r="D671" s="672"/>
      <c r="E671" s="672"/>
      <c r="F671" s="672"/>
      <c r="G671" s="672"/>
      <c r="H671" s="672"/>
      <c r="I671" s="672"/>
      <c r="J671" s="672"/>
      <c r="K671" s="672"/>
      <c r="L671" s="673"/>
    </row>
    <row r="672" spans="1:12">
      <c r="A672" s="672"/>
      <c r="B672" s="672"/>
      <c r="C672" s="672"/>
      <c r="D672" s="672"/>
      <c r="E672" s="672"/>
      <c r="F672" s="672"/>
      <c r="G672" s="672"/>
      <c r="H672" s="672"/>
      <c r="I672" s="672"/>
      <c r="J672" s="672"/>
      <c r="K672" s="672"/>
      <c r="L672" s="673"/>
    </row>
    <row r="673" spans="1:12">
      <c r="A673" s="672"/>
      <c r="B673" s="672"/>
      <c r="C673" s="672"/>
      <c r="D673" s="672"/>
      <c r="E673" s="672"/>
      <c r="F673" s="672"/>
      <c r="G673" s="672"/>
      <c r="H673" s="672"/>
      <c r="I673" s="672"/>
      <c r="J673" s="672"/>
      <c r="K673" s="672"/>
      <c r="L673" s="673"/>
    </row>
    <row r="674" spans="1:12">
      <c r="A674" s="672"/>
      <c r="B674" s="672"/>
      <c r="C674" s="672"/>
      <c r="D674" s="672"/>
      <c r="E674" s="672"/>
      <c r="F674" s="672"/>
      <c r="G674" s="672"/>
      <c r="H674" s="672"/>
      <c r="I674" s="672"/>
      <c r="J674" s="672"/>
      <c r="K674" s="672"/>
      <c r="L674" s="673"/>
    </row>
    <row r="675" spans="1:12">
      <c r="A675" s="672"/>
      <c r="B675" s="672"/>
      <c r="C675" s="672"/>
      <c r="D675" s="672"/>
      <c r="E675" s="672"/>
      <c r="F675" s="672"/>
      <c r="G675" s="672"/>
      <c r="H675" s="672"/>
      <c r="I675" s="672"/>
      <c r="J675" s="672"/>
      <c r="K675" s="672"/>
      <c r="L675" s="673"/>
    </row>
    <row r="676" spans="1:12">
      <c r="A676" s="672"/>
      <c r="B676" s="672"/>
      <c r="C676" s="672"/>
      <c r="D676" s="672"/>
      <c r="E676" s="672"/>
      <c r="F676" s="672"/>
      <c r="G676" s="672"/>
      <c r="H676" s="672"/>
      <c r="I676" s="672"/>
      <c r="J676" s="672"/>
      <c r="K676" s="672"/>
      <c r="L676" s="673"/>
    </row>
    <row r="677" spans="1:12">
      <c r="A677" s="672"/>
      <c r="B677" s="672"/>
      <c r="C677" s="672"/>
      <c r="D677" s="672"/>
      <c r="E677" s="672"/>
      <c r="F677" s="672"/>
      <c r="G677" s="672"/>
      <c r="H677" s="672"/>
      <c r="I677" s="672"/>
      <c r="J677" s="672"/>
      <c r="K677" s="672"/>
      <c r="L677" s="673"/>
    </row>
    <row r="678" spans="1:12">
      <c r="A678" s="672"/>
      <c r="B678" s="672"/>
      <c r="C678" s="672"/>
      <c r="D678" s="672"/>
      <c r="E678" s="672"/>
      <c r="F678" s="672"/>
      <c r="G678" s="672"/>
      <c r="H678" s="672"/>
      <c r="I678" s="672"/>
      <c r="J678" s="672"/>
      <c r="K678" s="672"/>
      <c r="L678" s="673"/>
    </row>
    <row r="679" spans="1:12">
      <c r="A679" s="672"/>
      <c r="B679" s="672"/>
      <c r="C679" s="672"/>
      <c r="D679" s="672"/>
      <c r="E679" s="672"/>
      <c r="F679" s="672"/>
      <c r="G679" s="672"/>
      <c r="H679" s="672"/>
      <c r="I679" s="672"/>
      <c r="J679" s="672"/>
      <c r="K679" s="672"/>
      <c r="L679" s="673"/>
    </row>
    <row r="680" spans="1:12">
      <c r="A680" s="672"/>
      <c r="B680" s="672"/>
      <c r="C680" s="672"/>
      <c r="D680" s="672"/>
      <c r="E680" s="672"/>
      <c r="F680" s="672"/>
      <c r="G680" s="672"/>
      <c r="H680" s="672"/>
      <c r="I680" s="672"/>
      <c r="J680" s="672"/>
      <c r="K680" s="672"/>
      <c r="L680" s="673"/>
    </row>
    <row r="681" spans="1:12">
      <c r="A681" s="672"/>
      <c r="B681" s="672"/>
      <c r="C681" s="672"/>
      <c r="D681" s="672"/>
      <c r="E681" s="672"/>
      <c r="F681" s="672"/>
      <c r="G681" s="672"/>
      <c r="H681" s="672"/>
      <c r="I681" s="672"/>
      <c r="J681" s="672"/>
      <c r="K681" s="672"/>
      <c r="L681" s="673"/>
    </row>
    <row r="682" spans="1:12">
      <c r="A682" s="672"/>
      <c r="B682" s="672"/>
      <c r="C682" s="672"/>
      <c r="D682" s="672"/>
      <c r="E682" s="672"/>
      <c r="F682" s="672"/>
      <c r="G682" s="672"/>
      <c r="H682" s="672"/>
      <c r="I682" s="672"/>
      <c r="J682" s="672"/>
      <c r="K682" s="672"/>
      <c r="L682" s="673"/>
    </row>
    <row r="683" spans="1:12">
      <c r="A683" s="672"/>
      <c r="B683" s="672"/>
      <c r="C683" s="672"/>
      <c r="D683" s="672"/>
      <c r="E683" s="672"/>
      <c r="F683" s="672"/>
      <c r="G683" s="672"/>
      <c r="H683" s="672"/>
      <c r="I683" s="672"/>
      <c r="J683" s="672"/>
      <c r="K683" s="672"/>
      <c r="L683" s="673"/>
    </row>
    <row r="684" spans="1:12">
      <c r="A684" s="672"/>
      <c r="B684" s="672"/>
      <c r="C684" s="672"/>
      <c r="D684" s="672"/>
      <c r="E684" s="672"/>
      <c r="F684" s="672"/>
      <c r="G684" s="672"/>
      <c r="H684" s="672"/>
      <c r="I684" s="672"/>
      <c r="J684" s="672"/>
      <c r="K684" s="672"/>
      <c r="L684" s="673"/>
    </row>
    <row r="685" spans="1:12">
      <c r="A685" s="672"/>
      <c r="B685" s="672"/>
      <c r="C685" s="672"/>
      <c r="D685" s="672"/>
      <c r="E685" s="672"/>
      <c r="F685" s="672"/>
      <c r="G685" s="672"/>
      <c r="H685" s="672"/>
      <c r="I685" s="672"/>
      <c r="J685" s="672"/>
      <c r="K685" s="672"/>
      <c r="L685" s="673"/>
    </row>
    <row r="686" spans="1:12">
      <c r="A686" s="672"/>
      <c r="B686" s="672"/>
      <c r="C686" s="672"/>
      <c r="D686" s="672"/>
      <c r="E686" s="672"/>
      <c r="F686" s="672"/>
      <c r="G686" s="672"/>
      <c r="H686" s="672"/>
      <c r="I686" s="672"/>
      <c r="J686" s="672"/>
      <c r="K686" s="672"/>
      <c r="L686" s="673"/>
    </row>
    <row r="687" spans="1:12">
      <c r="A687" s="672"/>
      <c r="B687" s="672"/>
      <c r="C687" s="672"/>
      <c r="D687" s="672"/>
      <c r="E687" s="672"/>
      <c r="F687" s="672"/>
      <c r="G687" s="672"/>
      <c r="H687" s="672"/>
      <c r="I687" s="672"/>
      <c r="J687" s="672"/>
      <c r="K687" s="672"/>
      <c r="L687" s="673"/>
    </row>
    <row r="688" spans="1:12">
      <c r="A688" s="672"/>
      <c r="B688" s="672"/>
      <c r="C688" s="672"/>
      <c r="D688" s="672"/>
      <c r="E688" s="672"/>
      <c r="F688" s="672"/>
      <c r="G688" s="672"/>
      <c r="H688" s="672"/>
      <c r="I688" s="672"/>
      <c r="J688" s="672"/>
      <c r="K688" s="672"/>
      <c r="L688" s="673"/>
    </row>
    <row r="689" spans="1:12">
      <c r="A689" s="672"/>
      <c r="B689" s="672"/>
      <c r="C689" s="672"/>
      <c r="D689" s="672"/>
      <c r="E689" s="672"/>
      <c r="F689" s="672"/>
      <c r="G689" s="672"/>
      <c r="H689" s="672"/>
      <c r="I689" s="672"/>
      <c r="J689" s="672"/>
      <c r="K689" s="672"/>
      <c r="L689" s="673"/>
    </row>
    <row r="690" spans="1:12">
      <c r="A690" s="672"/>
      <c r="B690" s="672"/>
      <c r="C690" s="672"/>
      <c r="D690" s="672"/>
      <c r="E690" s="672"/>
      <c r="F690" s="672"/>
      <c r="G690" s="672"/>
      <c r="H690" s="672"/>
      <c r="I690" s="672"/>
      <c r="J690" s="672"/>
      <c r="K690" s="672"/>
      <c r="L690" s="673"/>
    </row>
    <row r="691" spans="1:12">
      <c r="A691" s="672"/>
      <c r="B691" s="672"/>
      <c r="C691" s="672"/>
      <c r="D691" s="672"/>
      <c r="E691" s="672"/>
      <c r="F691" s="672"/>
      <c r="G691" s="672"/>
      <c r="H691" s="672"/>
      <c r="I691" s="672"/>
      <c r="J691" s="672"/>
      <c r="K691" s="672"/>
      <c r="L691" s="673"/>
    </row>
    <row r="692" spans="1:12">
      <c r="A692" s="672"/>
      <c r="B692" s="672"/>
      <c r="C692" s="672"/>
      <c r="D692" s="672"/>
      <c r="E692" s="672"/>
      <c r="F692" s="672"/>
      <c r="G692" s="672"/>
      <c r="H692" s="672"/>
      <c r="I692" s="672"/>
      <c r="J692" s="672"/>
      <c r="K692" s="672"/>
      <c r="L692" s="673"/>
    </row>
    <row r="693" spans="1:12">
      <c r="A693" s="672"/>
      <c r="B693" s="672"/>
      <c r="C693" s="672"/>
      <c r="D693" s="672"/>
      <c r="E693" s="672"/>
      <c r="F693" s="672"/>
      <c r="G693" s="672"/>
      <c r="H693" s="672"/>
      <c r="I693" s="672"/>
      <c r="J693" s="672"/>
      <c r="K693" s="672"/>
      <c r="L693" s="673"/>
    </row>
    <row r="694" spans="1:12">
      <c r="A694" s="672"/>
      <c r="B694" s="672"/>
      <c r="C694" s="672"/>
      <c r="D694" s="672"/>
      <c r="E694" s="672"/>
      <c r="F694" s="672"/>
      <c r="G694" s="672"/>
      <c r="H694" s="672"/>
      <c r="I694" s="672"/>
      <c r="J694" s="672"/>
      <c r="K694" s="672"/>
      <c r="L694" s="673"/>
    </row>
    <row r="695" spans="1:12">
      <c r="A695" s="672"/>
      <c r="B695" s="672"/>
      <c r="C695" s="672"/>
      <c r="D695" s="672"/>
      <c r="E695" s="672"/>
      <c r="F695" s="672"/>
      <c r="G695" s="672"/>
      <c r="H695" s="672"/>
      <c r="I695" s="672"/>
      <c r="J695" s="672"/>
      <c r="K695" s="672"/>
      <c r="L695" s="673"/>
    </row>
    <row r="696" spans="1:12">
      <c r="A696" s="672"/>
      <c r="B696" s="672"/>
      <c r="C696" s="672"/>
      <c r="D696" s="672"/>
      <c r="E696" s="672"/>
      <c r="F696" s="672"/>
      <c r="G696" s="672"/>
      <c r="H696" s="672"/>
      <c r="I696" s="672"/>
      <c r="J696" s="672"/>
      <c r="K696" s="672"/>
      <c r="L696" s="673"/>
    </row>
    <row r="697" spans="1:12">
      <c r="A697" s="672"/>
      <c r="B697" s="672"/>
      <c r="C697" s="672"/>
      <c r="D697" s="672"/>
      <c r="E697" s="672"/>
      <c r="F697" s="672"/>
      <c r="G697" s="672"/>
      <c r="H697" s="672"/>
      <c r="I697" s="672"/>
      <c r="J697" s="672"/>
      <c r="K697" s="672"/>
      <c r="L697" s="673"/>
    </row>
    <row r="698" spans="1:12">
      <c r="A698" s="672"/>
      <c r="B698" s="672"/>
      <c r="C698" s="672"/>
      <c r="D698" s="672"/>
      <c r="E698" s="672"/>
      <c r="F698" s="672"/>
      <c r="G698" s="672"/>
      <c r="H698" s="672"/>
      <c r="I698" s="672"/>
      <c r="J698" s="672"/>
      <c r="K698" s="672"/>
      <c r="L698" s="673"/>
    </row>
    <row r="699" spans="1:12">
      <c r="A699" s="672"/>
      <c r="B699" s="672"/>
      <c r="C699" s="672"/>
      <c r="D699" s="672"/>
      <c r="E699" s="672"/>
      <c r="F699" s="672"/>
      <c r="G699" s="672"/>
      <c r="H699" s="672"/>
      <c r="I699" s="672"/>
      <c r="J699" s="672"/>
      <c r="K699" s="672"/>
      <c r="L699" s="673"/>
    </row>
    <row r="700" spans="1:12">
      <c r="A700" s="672"/>
      <c r="B700" s="672"/>
      <c r="C700" s="672"/>
      <c r="D700" s="672"/>
      <c r="E700" s="672"/>
      <c r="F700" s="672"/>
      <c r="G700" s="672"/>
      <c r="H700" s="672"/>
      <c r="I700" s="672"/>
      <c r="J700" s="672"/>
      <c r="K700" s="672"/>
      <c r="L700" s="673"/>
    </row>
    <row r="701" spans="1:12">
      <c r="A701" s="672"/>
      <c r="B701" s="672"/>
      <c r="C701" s="672"/>
      <c r="D701" s="672"/>
      <c r="E701" s="672"/>
      <c r="F701" s="672"/>
      <c r="G701" s="672"/>
      <c r="H701" s="672"/>
      <c r="I701" s="672"/>
      <c r="J701" s="672"/>
      <c r="K701" s="672"/>
      <c r="L701" s="673"/>
    </row>
    <row r="702" spans="1:12">
      <c r="A702" s="672"/>
      <c r="B702" s="672"/>
      <c r="C702" s="672"/>
      <c r="D702" s="672"/>
      <c r="E702" s="672"/>
      <c r="F702" s="672"/>
      <c r="G702" s="672"/>
      <c r="H702" s="672"/>
      <c r="I702" s="672"/>
      <c r="J702" s="672"/>
      <c r="K702" s="672"/>
      <c r="L702" s="673"/>
    </row>
    <row r="703" spans="1:12">
      <c r="A703" s="672"/>
      <c r="B703" s="672"/>
      <c r="C703" s="672"/>
      <c r="D703" s="672"/>
      <c r="E703" s="672"/>
      <c r="F703" s="672"/>
      <c r="G703" s="672"/>
      <c r="H703" s="672"/>
      <c r="I703" s="672"/>
      <c r="J703" s="672"/>
      <c r="K703" s="672"/>
      <c r="L703" s="673"/>
    </row>
    <row r="704" spans="1:12">
      <c r="A704" s="672"/>
      <c r="B704" s="672"/>
      <c r="C704" s="672"/>
      <c r="D704" s="672"/>
      <c r="E704" s="672"/>
      <c r="F704" s="672"/>
      <c r="G704" s="672"/>
      <c r="H704" s="672"/>
      <c r="I704" s="672"/>
      <c r="J704" s="672"/>
      <c r="K704" s="672"/>
      <c r="L704" s="673"/>
    </row>
    <row r="705" spans="1:12">
      <c r="A705" s="672"/>
      <c r="B705" s="672"/>
      <c r="C705" s="672"/>
      <c r="D705" s="672"/>
      <c r="E705" s="672"/>
      <c r="F705" s="672"/>
      <c r="G705" s="672"/>
      <c r="H705" s="672"/>
      <c r="I705" s="672"/>
      <c r="J705" s="672"/>
      <c r="K705" s="672"/>
      <c r="L705" s="673"/>
    </row>
    <row r="706" spans="1:12">
      <c r="A706" s="672"/>
      <c r="B706" s="672"/>
      <c r="C706" s="672"/>
      <c r="D706" s="672"/>
      <c r="E706" s="672"/>
      <c r="F706" s="672"/>
      <c r="G706" s="672"/>
      <c r="H706" s="672"/>
      <c r="I706" s="672"/>
      <c r="J706" s="672"/>
      <c r="K706" s="672"/>
      <c r="L706" s="673"/>
    </row>
    <row r="707" spans="1:12">
      <c r="A707" s="672"/>
      <c r="B707" s="672"/>
      <c r="C707" s="672"/>
      <c r="D707" s="672"/>
      <c r="E707" s="672"/>
      <c r="F707" s="672"/>
      <c r="G707" s="672"/>
      <c r="H707" s="672"/>
      <c r="I707" s="672"/>
      <c r="J707" s="672"/>
      <c r="K707" s="672"/>
      <c r="L707" s="673"/>
    </row>
    <row r="708" spans="1:12">
      <c r="A708" s="672"/>
      <c r="B708" s="672"/>
      <c r="C708" s="672"/>
      <c r="D708" s="672"/>
      <c r="E708" s="672"/>
      <c r="F708" s="672"/>
      <c r="G708" s="672"/>
      <c r="H708" s="672"/>
      <c r="I708" s="672"/>
      <c r="J708" s="672"/>
      <c r="K708" s="672"/>
      <c r="L708" s="673"/>
    </row>
    <row r="709" spans="1:12">
      <c r="A709" s="672"/>
      <c r="B709" s="672"/>
      <c r="C709" s="672"/>
      <c r="D709" s="672"/>
      <c r="E709" s="672"/>
      <c r="F709" s="672"/>
      <c r="G709" s="672"/>
      <c r="H709" s="672"/>
      <c r="I709" s="672"/>
      <c r="J709" s="672"/>
      <c r="K709" s="672"/>
      <c r="L709" s="673"/>
    </row>
    <row r="710" spans="1:12">
      <c r="A710" s="672"/>
      <c r="B710" s="672"/>
      <c r="C710" s="672"/>
      <c r="D710" s="672"/>
      <c r="E710" s="672"/>
      <c r="F710" s="672"/>
      <c r="G710" s="672"/>
      <c r="H710" s="672"/>
      <c r="I710" s="672"/>
      <c r="J710" s="672"/>
      <c r="K710" s="672"/>
      <c r="L710" s="673"/>
    </row>
    <row r="711" spans="1:12">
      <c r="A711" s="672"/>
      <c r="B711" s="672"/>
      <c r="C711" s="672"/>
      <c r="D711" s="672"/>
      <c r="E711" s="672"/>
      <c r="F711" s="672"/>
      <c r="G711" s="672"/>
      <c r="H711" s="672"/>
      <c r="I711" s="672"/>
      <c r="J711" s="672"/>
      <c r="K711" s="672"/>
      <c r="L711" s="673"/>
    </row>
    <row r="712" spans="1:12">
      <c r="A712" s="672"/>
      <c r="B712" s="672"/>
      <c r="C712" s="672"/>
      <c r="D712" s="672"/>
      <c r="E712" s="672"/>
      <c r="F712" s="672"/>
      <c r="G712" s="672"/>
      <c r="H712" s="672"/>
      <c r="I712" s="672"/>
      <c r="J712" s="672"/>
      <c r="K712" s="672"/>
      <c r="L712" s="673"/>
    </row>
    <row r="713" spans="1:12">
      <c r="A713" s="672"/>
      <c r="B713" s="672"/>
      <c r="C713" s="672"/>
      <c r="D713" s="672"/>
      <c r="E713" s="672"/>
      <c r="F713" s="672"/>
      <c r="G713" s="672"/>
      <c r="H713" s="672"/>
      <c r="I713" s="672"/>
      <c r="J713" s="672"/>
      <c r="K713" s="672"/>
      <c r="L713" s="673"/>
    </row>
    <row r="714" spans="1:12">
      <c r="A714" s="672"/>
      <c r="B714" s="672"/>
      <c r="C714" s="672"/>
      <c r="D714" s="672"/>
      <c r="E714" s="672"/>
      <c r="F714" s="672"/>
      <c r="G714" s="672"/>
      <c r="H714" s="672"/>
      <c r="I714" s="672"/>
      <c r="J714" s="672"/>
      <c r="K714" s="672"/>
      <c r="L714" s="673"/>
    </row>
    <row r="715" spans="1:12">
      <c r="A715" s="672"/>
      <c r="B715" s="672"/>
      <c r="C715" s="672"/>
      <c r="D715" s="672"/>
      <c r="E715" s="672"/>
      <c r="F715" s="672"/>
      <c r="G715" s="672"/>
      <c r="H715" s="672"/>
      <c r="I715" s="672"/>
      <c r="J715" s="672"/>
      <c r="K715" s="672"/>
      <c r="L715" s="673"/>
    </row>
    <row r="716" spans="1:12">
      <c r="A716" s="672"/>
      <c r="B716" s="672"/>
      <c r="C716" s="672"/>
      <c r="D716" s="672"/>
      <c r="E716" s="672"/>
      <c r="F716" s="672"/>
      <c r="G716" s="672"/>
      <c r="H716" s="672"/>
      <c r="I716" s="672"/>
      <c r="J716" s="672"/>
      <c r="K716" s="672"/>
      <c r="L716" s="673"/>
    </row>
    <row r="717" spans="1:12">
      <c r="A717" s="672"/>
      <c r="B717" s="672"/>
      <c r="C717" s="672"/>
      <c r="D717" s="672"/>
      <c r="E717" s="672"/>
      <c r="F717" s="672"/>
      <c r="G717" s="672"/>
      <c r="H717" s="672"/>
      <c r="I717" s="672"/>
      <c r="J717" s="672"/>
      <c r="K717" s="672"/>
      <c r="L717" s="673"/>
    </row>
    <row r="718" spans="1:12">
      <c r="A718" s="672"/>
      <c r="B718" s="672"/>
      <c r="C718" s="672"/>
      <c r="D718" s="672"/>
      <c r="E718" s="672"/>
      <c r="F718" s="672"/>
      <c r="G718" s="672"/>
      <c r="H718" s="672"/>
      <c r="I718" s="672"/>
      <c r="J718" s="672"/>
      <c r="K718" s="672"/>
      <c r="L718" s="673"/>
    </row>
    <row r="719" spans="1:12">
      <c r="A719" s="672"/>
      <c r="B719" s="672"/>
      <c r="C719" s="672"/>
      <c r="D719" s="672"/>
      <c r="E719" s="672"/>
      <c r="F719" s="672"/>
      <c r="G719" s="672"/>
      <c r="H719" s="672"/>
      <c r="I719" s="672"/>
      <c r="J719" s="672"/>
      <c r="K719" s="672"/>
      <c r="L719" s="673"/>
    </row>
    <row r="720" spans="1:12">
      <c r="A720" s="672"/>
      <c r="B720" s="672"/>
      <c r="C720" s="672"/>
      <c r="D720" s="672"/>
      <c r="E720" s="672"/>
      <c r="F720" s="672"/>
      <c r="G720" s="672"/>
      <c r="H720" s="672"/>
      <c r="I720" s="672"/>
      <c r="J720" s="672"/>
      <c r="K720" s="672"/>
      <c r="L720" s="673"/>
    </row>
    <row r="721" spans="1:12">
      <c r="A721" s="672"/>
      <c r="B721" s="672"/>
      <c r="C721" s="672"/>
      <c r="D721" s="672"/>
      <c r="E721" s="672"/>
      <c r="F721" s="672"/>
      <c r="G721" s="672"/>
      <c r="H721" s="672"/>
      <c r="I721" s="672"/>
      <c r="J721" s="672"/>
      <c r="K721" s="672"/>
      <c r="L721" s="673"/>
    </row>
    <row r="722" spans="1:12">
      <c r="A722" s="672"/>
      <c r="B722" s="672"/>
      <c r="C722" s="672"/>
      <c r="D722" s="672"/>
      <c r="E722" s="672"/>
      <c r="F722" s="672"/>
      <c r="G722" s="672"/>
      <c r="H722" s="672"/>
      <c r="I722" s="672"/>
      <c r="J722" s="672"/>
      <c r="K722" s="672"/>
      <c r="L722" s="673"/>
    </row>
    <row r="723" spans="1:12">
      <c r="A723" s="672"/>
      <c r="B723" s="672"/>
      <c r="C723" s="672"/>
      <c r="D723" s="672"/>
      <c r="E723" s="672"/>
      <c r="F723" s="672"/>
      <c r="G723" s="672"/>
      <c r="H723" s="672"/>
      <c r="I723" s="672"/>
      <c r="J723" s="672"/>
      <c r="K723" s="672"/>
      <c r="L723" s="673"/>
    </row>
    <row r="724" spans="1:12">
      <c r="A724" s="672"/>
      <c r="B724" s="672"/>
      <c r="C724" s="672"/>
      <c r="D724" s="672"/>
      <c r="E724" s="672"/>
      <c r="F724" s="672"/>
      <c r="G724" s="672"/>
      <c r="H724" s="672"/>
      <c r="I724" s="672"/>
      <c r="J724" s="672"/>
      <c r="K724" s="672"/>
      <c r="L724" s="673"/>
    </row>
    <row r="725" spans="1:12">
      <c r="A725" s="672"/>
      <c r="B725" s="672"/>
      <c r="C725" s="672"/>
      <c r="D725" s="672"/>
      <c r="E725" s="672"/>
      <c r="F725" s="672"/>
      <c r="G725" s="672"/>
      <c r="H725" s="672"/>
      <c r="I725" s="672"/>
      <c r="J725" s="672"/>
      <c r="K725" s="672"/>
      <c r="L725" s="673"/>
    </row>
    <row r="726" spans="1:12">
      <c r="A726" s="672"/>
      <c r="B726" s="672"/>
      <c r="C726" s="672"/>
      <c r="D726" s="672"/>
      <c r="E726" s="672"/>
      <c r="F726" s="672"/>
      <c r="G726" s="672"/>
      <c r="H726" s="672"/>
      <c r="I726" s="672"/>
      <c r="J726" s="672"/>
      <c r="K726" s="672"/>
      <c r="L726" s="673"/>
    </row>
    <row r="727" spans="1:12">
      <c r="A727" s="672"/>
      <c r="B727" s="672"/>
      <c r="C727" s="672"/>
      <c r="D727" s="672"/>
      <c r="E727" s="672"/>
      <c r="F727" s="672"/>
      <c r="G727" s="672"/>
      <c r="H727" s="672"/>
      <c r="I727" s="672"/>
      <c r="J727" s="672"/>
      <c r="K727" s="672"/>
      <c r="L727" s="673"/>
    </row>
    <row r="728" spans="1:12">
      <c r="A728" s="672"/>
      <c r="B728" s="672"/>
      <c r="C728" s="672"/>
      <c r="D728" s="672"/>
      <c r="E728" s="672"/>
      <c r="F728" s="672"/>
      <c r="G728" s="672"/>
      <c r="H728" s="672"/>
      <c r="I728" s="672"/>
      <c r="J728" s="672"/>
      <c r="K728" s="672"/>
      <c r="L728" s="673"/>
    </row>
    <row r="729" spans="1:12">
      <c r="A729" s="672"/>
      <c r="B729" s="672"/>
      <c r="C729" s="672"/>
      <c r="D729" s="672"/>
      <c r="E729" s="672"/>
      <c r="F729" s="672"/>
      <c r="G729" s="672"/>
      <c r="H729" s="672"/>
      <c r="I729" s="672"/>
      <c r="J729" s="672"/>
      <c r="K729" s="672"/>
      <c r="L729" s="673"/>
    </row>
    <row r="730" spans="1:12">
      <c r="A730" s="672"/>
      <c r="B730" s="672"/>
      <c r="C730" s="672"/>
      <c r="D730" s="672"/>
      <c r="E730" s="672"/>
      <c r="F730" s="672"/>
      <c r="G730" s="672"/>
      <c r="H730" s="672"/>
      <c r="I730" s="672"/>
      <c r="J730" s="672"/>
      <c r="K730" s="672"/>
      <c r="L730" s="673"/>
    </row>
    <row r="731" spans="1:12">
      <c r="A731" s="672"/>
      <c r="B731" s="672"/>
      <c r="C731" s="672"/>
      <c r="D731" s="672"/>
      <c r="E731" s="672"/>
      <c r="F731" s="672"/>
      <c r="G731" s="672"/>
      <c r="H731" s="672"/>
      <c r="I731" s="672"/>
      <c r="J731" s="672"/>
      <c r="K731" s="672"/>
      <c r="L731" s="673"/>
    </row>
    <row r="732" spans="1:12">
      <c r="A732" s="672"/>
      <c r="B732" s="672"/>
      <c r="C732" s="672"/>
      <c r="D732" s="672"/>
      <c r="E732" s="672"/>
      <c r="F732" s="672"/>
      <c r="G732" s="672"/>
      <c r="H732" s="672"/>
      <c r="I732" s="672"/>
      <c r="J732" s="672"/>
      <c r="K732" s="672"/>
      <c r="L732" s="673"/>
    </row>
    <row r="733" spans="1:12">
      <c r="A733" s="672"/>
      <c r="B733" s="672"/>
      <c r="C733" s="672"/>
      <c r="D733" s="672"/>
      <c r="E733" s="672"/>
      <c r="F733" s="672"/>
      <c r="G733" s="672"/>
      <c r="H733" s="672"/>
      <c r="I733" s="672"/>
      <c r="J733" s="672"/>
      <c r="K733" s="672"/>
      <c r="L733" s="673"/>
    </row>
    <row r="734" spans="1:12">
      <c r="A734" s="672"/>
      <c r="B734" s="672"/>
      <c r="C734" s="672"/>
      <c r="D734" s="672"/>
      <c r="E734" s="672"/>
      <c r="F734" s="672"/>
      <c r="G734" s="672"/>
      <c r="H734" s="672"/>
      <c r="I734" s="672"/>
      <c r="J734" s="672"/>
      <c r="K734" s="672"/>
      <c r="L734" s="673"/>
    </row>
    <row r="735" spans="1:12">
      <c r="A735" s="672"/>
      <c r="B735" s="672"/>
      <c r="C735" s="672"/>
      <c r="D735" s="672"/>
      <c r="E735" s="672"/>
      <c r="F735" s="672"/>
      <c r="G735" s="672"/>
      <c r="H735" s="672"/>
      <c r="I735" s="672"/>
      <c r="J735" s="672"/>
      <c r="K735" s="672"/>
      <c r="L735" s="673"/>
    </row>
    <row r="736" spans="1:12">
      <c r="A736" s="672"/>
      <c r="B736" s="672"/>
      <c r="C736" s="672"/>
      <c r="D736" s="672"/>
      <c r="E736" s="672"/>
      <c r="F736" s="672"/>
      <c r="G736" s="672"/>
      <c r="H736" s="672"/>
      <c r="I736" s="672"/>
      <c r="J736" s="672"/>
      <c r="K736" s="672"/>
      <c r="L736" s="673"/>
    </row>
    <row r="737" spans="1:12">
      <c r="A737" s="672"/>
      <c r="B737" s="672"/>
      <c r="C737" s="672"/>
      <c r="D737" s="672"/>
      <c r="E737" s="672"/>
      <c r="F737" s="672"/>
      <c r="G737" s="672"/>
      <c r="H737" s="672"/>
      <c r="I737" s="672"/>
      <c r="J737" s="672"/>
      <c r="K737" s="672"/>
      <c r="L737" s="673"/>
    </row>
    <row r="738" spans="1:12">
      <c r="A738" s="672"/>
      <c r="B738" s="672"/>
      <c r="C738" s="672"/>
      <c r="D738" s="672"/>
      <c r="E738" s="672"/>
      <c r="F738" s="672"/>
      <c r="G738" s="672"/>
      <c r="H738" s="672"/>
      <c r="I738" s="672"/>
      <c r="J738" s="672"/>
      <c r="K738" s="672"/>
      <c r="L738" s="673"/>
    </row>
    <row r="739" spans="1:12">
      <c r="A739" s="672"/>
      <c r="B739" s="672"/>
      <c r="C739" s="672"/>
      <c r="D739" s="672"/>
      <c r="E739" s="672"/>
      <c r="F739" s="672"/>
      <c r="G739" s="672"/>
      <c r="H739" s="672"/>
      <c r="I739" s="672"/>
      <c r="J739" s="672"/>
      <c r="K739" s="672"/>
      <c r="L739" s="673"/>
    </row>
    <row r="740" spans="1:12">
      <c r="A740" s="672"/>
      <c r="B740" s="672"/>
      <c r="C740" s="672"/>
      <c r="D740" s="672"/>
      <c r="E740" s="672"/>
      <c r="F740" s="672"/>
      <c r="G740" s="672"/>
      <c r="H740" s="672"/>
      <c r="I740" s="672"/>
      <c r="J740" s="672"/>
      <c r="K740" s="672"/>
      <c r="L740" s="673"/>
    </row>
    <row r="741" spans="1:12">
      <c r="A741" s="672"/>
      <c r="B741" s="672"/>
      <c r="C741" s="672"/>
      <c r="D741" s="672"/>
      <c r="E741" s="672"/>
      <c r="F741" s="672"/>
      <c r="G741" s="672"/>
      <c r="H741" s="672"/>
      <c r="I741" s="672"/>
      <c r="J741" s="672"/>
      <c r="K741" s="672"/>
      <c r="L741" s="673"/>
    </row>
    <row r="742" spans="1:12">
      <c r="A742" s="672"/>
      <c r="B742" s="672"/>
      <c r="C742" s="672"/>
      <c r="D742" s="672"/>
      <c r="E742" s="672"/>
      <c r="F742" s="672"/>
      <c r="G742" s="672"/>
      <c r="H742" s="672"/>
      <c r="I742" s="672"/>
      <c r="J742" s="672"/>
      <c r="K742" s="672"/>
      <c r="L742" s="673"/>
    </row>
    <row r="743" spans="1:12">
      <c r="A743" s="672"/>
      <c r="B743" s="672"/>
      <c r="C743" s="672"/>
      <c r="D743" s="672"/>
      <c r="E743" s="672"/>
      <c r="F743" s="672"/>
      <c r="G743" s="672"/>
      <c r="H743" s="672"/>
      <c r="I743" s="672"/>
      <c r="J743" s="672"/>
      <c r="K743" s="672"/>
      <c r="L743" s="673"/>
    </row>
    <row r="744" spans="1:12">
      <c r="A744" s="672"/>
      <c r="B744" s="672"/>
      <c r="C744" s="672"/>
      <c r="D744" s="672"/>
      <c r="E744" s="672"/>
      <c r="F744" s="672"/>
      <c r="G744" s="672"/>
      <c r="H744" s="672"/>
      <c r="I744" s="672"/>
      <c r="J744" s="672"/>
      <c r="K744" s="672"/>
      <c r="L744" s="673"/>
    </row>
    <row r="745" spans="1:12">
      <c r="A745" s="672"/>
      <c r="B745" s="672"/>
      <c r="C745" s="672"/>
      <c r="D745" s="672"/>
      <c r="E745" s="672"/>
      <c r="F745" s="672"/>
      <c r="G745" s="672"/>
      <c r="H745" s="672"/>
      <c r="I745" s="672"/>
      <c r="J745" s="672"/>
      <c r="K745" s="672"/>
      <c r="L745" s="673"/>
    </row>
    <row r="746" spans="1:12">
      <c r="A746" s="672"/>
      <c r="B746" s="672"/>
      <c r="C746" s="672"/>
      <c r="D746" s="672"/>
      <c r="E746" s="672"/>
      <c r="F746" s="672"/>
      <c r="G746" s="672"/>
      <c r="H746" s="672"/>
      <c r="I746" s="672"/>
      <c r="J746" s="672"/>
      <c r="K746" s="672"/>
      <c r="L746" s="673"/>
    </row>
    <row r="747" spans="1:12">
      <c r="A747" s="672"/>
      <c r="B747" s="672"/>
      <c r="C747" s="672"/>
      <c r="D747" s="672"/>
      <c r="E747" s="672"/>
      <c r="F747" s="672"/>
      <c r="G747" s="672"/>
      <c r="H747" s="672"/>
      <c r="I747" s="672"/>
      <c r="J747" s="672"/>
      <c r="K747" s="672"/>
      <c r="L747" s="673"/>
    </row>
    <row r="748" spans="1:12">
      <c r="A748" s="672"/>
      <c r="B748" s="672"/>
      <c r="C748" s="672"/>
      <c r="D748" s="672"/>
      <c r="E748" s="672"/>
      <c r="F748" s="672"/>
      <c r="G748" s="672"/>
      <c r="H748" s="672"/>
      <c r="I748" s="672"/>
      <c r="J748" s="672"/>
      <c r="K748" s="672"/>
      <c r="L748" s="673"/>
    </row>
    <row r="749" spans="1:12">
      <c r="A749" s="672"/>
      <c r="B749" s="672"/>
      <c r="C749" s="672"/>
      <c r="D749" s="672"/>
      <c r="E749" s="672"/>
      <c r="F749" s="672"/>
      <c r="G749" s="672"/>
      <c r="H749" s="672"/>
      <c r="I749" s="672"/>
      <c r="J749" s="672"/>
      <c r="K749" s="672"/>
      <c r="L749" s="673"/>
    </row>
    <row r="750" spans="1:12">
      <c r="A750" s="672"/>
      <c r="B750" s="672"/>
      <c r="C750" s="672"/>
      <c r="D750" s="672"/>
      <c r="E750" s="672"/>
      <c r="F750" s="672"/>
      <c r="G750" s="672"/>
      <c r="H750" s="672"/>
      <c r="I750" s="672"/>
      <c r="J750" s="672"/>
      <c r="K750" s="672"/>
      <c r="L750" s="673"/>
    </row>
    <row r="751" spans="1:12">
      <c r="A751" s="672"/>
      <c r="B751" s="672"/>
      <c r="C751" s="672"/>
      <c r="D751" s="672"/>
      <c r="E751" s="672"/>
      <c r="F751" s="672"/>
      <c r="G751" s="672"/>
      <c r="H751" s="672"/>
      <c r="I751" s="672"/>
      <c r="J751" s="672"/>
      <c r="K751" s="672"/>
      <c r="L751" s="673"/>
    </row>
    <row r="752" spans="1:12">
      <c r="A752" s="672"/>
      <c r="B752" s="672"/>
      <c r="C752" s="672"/>
      <c r="D752" s="672"/>
      <c r="E752" s="672"/>
      <c r="F752" s="672"/>
      <c r="G752" s="672"/>
      <c r="H752" s="672"/>
      <c r="I752" s="672"/>
      <c r="J752" s="672"/>
      <c r="K752" s="672"/>
      <c r="L752" s="673"/>
    </row>
    <row r="753" spans="1:12">
      <c r="A753" s="672"/>
      <c r="B753" s="672"/>
      <c r="C753" s="672"/>
      <c r="D753" s="672"/>
      <c r="E753" s="672"/>
      <c r="F753" s="672"/>
      <c r="G753" s="672"/>
      <c r="H753" s="672"/>
      <c r="I753" s="672"/>
      <c r="J753" s="672"/>
      <c r="K753" s="672"/>
      <c r="L753" s="673"/>
    </row>
    <row r="754" spans="1:12">
      <c r="A754" s="672"/>
      <c r="B754" s="672"/>
      <c r="C754" s="672"/>
      <c r="D754" s="672"/>
      <c r="E754" s="672"/>
      <c r="F754" s="672"/>
      <c r="G754" s="672"/>
      <c r="H754" s="672"/>
      <c r="I754" s="672"/>
      <c r="J754" s="672"/>
      <c r="K754" s="672"/>
      <c r="L754" s="673"/>
    </row>
    <row r="755" spans="1:12">
      <c r="A755" s="672"/>
      <c r="B755" s="672"/>
      <c r="C755" s="672"/>
      <c r="D755" s="672"/>
      <c r="E755" s="672"/>
      <c r="F755" s="672"/>
      <c r="G755" s="672"/>
      <c r="H755" s="672"/>
      <c r="I755" s="672"/>
      <c r="J755" s="672"/>
      <c r="K755" s="672"/>
      <c r="L755" s="673"/>
    </row>
    <row r="756" spans="1:12">
      <c r="A756" s="672"/>
      <c r="B756" s="672"/>
      <c r="C756" s="672"/>
      <c r="D756" s="672"/>
      <c r="E756" s="672"/>
      <c r="F756" s="672"/>
      <c r="G756" s="672"/>
      <c r="H756" s="672"/>
      <c r="I756" s="672"/>
      <c r="J756" s="672"/>
      <c r="K756" s="672"/>
      <c r="L756" s="673"/>
    </row>
    <row r="757" spans="1:12">
      <c r="A757" s="672"/>
      <c r="B757" s="672"/>
      <c r="C757" s="672"/>
      <c r="D757" s="672"/>
      <c r="E757" s="672"/>
      <c r="F757" s="672"/>
      <c r="G757" s="672"/>
      <c r="H757" s="672"/>
      <c r="I757" s="672"/>
      <c r="J757" s="672"/>
      <c r="K757" s="672"/>
      <c r="L757" s="673"/>
    </row>
    <row r="758" spans="1:12">
      <c r="A758" s="672"/>
      <c r="B758" s="672"/>
      <c r="C758" s="672"/>
      <c r="D758" s="672"/>
      <c r="E758" s="672"/>
      <c r="F758" s="672"/>
      <c r="G758" s="672"/>
      <c r="H758" s="672"/>
      <c r="I758" s="672"/>
      <c r="J758" s="672"/>
      <c r="K758" s="672"/>
      <c r="L758" s="673"/>
    </row>
    <row r="759" spans="1:12">
      <c r="A759" s="672"/>
      <c r="B759" s="672"/>
      <c r="C759" s="672"/>
      <c r="D759" s="672"/>
      <c r="E759" s="672"/>
      <c r="F759" s="672"/>
      <c r="G759" s="672"/>
      <c r="H759" s="672"/>
      <c r="I759" s="672"/>
      <c r="J759" s="672"/>
      <c r="K759" s="672"/>
      <c r="L759" s="673"/>
    </row>
    <row r="760" spans="1:12">
      <c r="A760" s="672"/>
      <c r="B760" s="672"/>
      <c r="C760" s="672"/>
      <c r="D760" s="672"/>
      <c r="E760" s="672"/>
      <c r="F760" s="672"/>
      <c r="G760" s="672"/>
      <c r="H760" s="672"/>
      <c r="I760" s="672"/>
      <c r="J760" s="672"/>
      <c r="K760" s="672"/>
      <c r="L760" s="673"/>
    </row>
    <row r="761" spans="1:12">
      <c r="A761" s="672"/>
      <c r="B761" s="672"/>
      <c r="C761" s="672"/>
      <c r="D761" s="672"/>
      <c r="E761" s="672"/>
      <c r="F761" s="672"/>
      <c r="G761" s="672"/>
      <c r="H761" s="672"/>
      <c r="I761" s="672"/>
      <c r="J761" s="672"/>
      <c r="K761" s="672"/>
      <c r="L761" s="673"/>
    </row>
    <row r="762" spans="1:12">
      <c r="A762" s="672"/>
      <c r="B762" s="672"/>
      <c r="C762" s="672"/>
      <c r="D762" s="672"/>
      <c r="E762" s="672"/>
      <c r="F762" s="672"/>
      <c r="G762" s="672"/>
      <c r="H762" s="672"/>
      <c r="I762" s="672"/>
      <c r="J762" s="672"/>
      <c r="K762" s="672"/>
      <c r="L762" s="673"/>
    </row>
    <row r="763" spans="1:12">
      <c r="A763" s="672"/>
      <c r="B763" s="672"/>
      <c r="C763" s="672"/>
      <c r="D763" s="672"/>
      <c r="E763" s="672"/>
      <c r="F763" s="672"/>
      <c r="G763" s="672"/>
      <c r="H763" s="672"/>
      <c r="I763" s="672"/>
      <c r="J763" s="672"/>
      <c r="K763" s="672"/>
      <c r="L763" s="673"/>
    </row>
    <row r="764" spans="1:12">
      <c r="A764" s="672"/>
      <c r="B764" s="672"/>
      <c r="C764" s="672"/>
      <c r="D764" s="672"/>
      <c r="E764" s="672"/>
      <c r="F764" s="672"/>
      <c r="G764" s="672"/>
      <c r="H764" s="672"/>
      <c r="I764" s="672"/>
      <c r="J764" s="672"/>
      <c r="K764" s="672"/>
      <c r="L764" s="673"/>
    </row>
    <row r="765" spans="1:12">
      <c r="A765" s="672"/>
      <c r="B765" s="672"/>
      <c r="C765" s="672"/>
      <c r="D765" s="672"/>
      <c r="E765" s="672"/>
      <c r="F765" s="672"/>
      <c r="G765" s="672"/>
      <c r="H765" s="672"/>
      <c r="I765" s="672"/>
      <c r="J765" s="672"/>
      <c r="K765" s="672"/>
      <c r="L765" s="673"/>
    </row>
    <row r="766" spans="1:12">
      <c r="A766" s="672"/>
      <c r="B766" s="672"/>
      <c r="C766" s="672"/>
      <c r="D766" s="672"/>
      <c r="E766" s="672"/>
      <c r="F766" s="672"/>
      <c r="G766" s="672"/>
      <c r="H766" s="672"/>
      <c r="I766" s="672"/>
      <c r="J766" s="672"/>
      <c r="K766" s="672"/>
      <c r="L766" s="673"/>
    </row>
    <row r="767" spans="1:12">
      <c r="A767" s="672"/>
      <c r="B767" s="672"/>
      <c r="C767" s="672"/>
      <c r="D767" s="672"/>
      <c r="E767" s="672"/>
      <c r="F767" s="672"/>
      <c r="G767" s="672"/>
      <c r="H767" s="672"/>
      <c r="I767" s="672"/>
      <c r="J767" s="672"/>
      <c r="K767" s="672"/>
      <c r="L767" s="673"/>
    </row>
    <row r="768" spans="1:12">
      <c r="A768" s="672"/>
      <c r="B768" s="672"/>
      <c r="C768" s="672"/>
      <c r="D768" s="672"/>
      <c r="E768" s="672"/>
      <c r="F768" s="672"/>
      <c r="G768" s="672"/>
      <c r="H768" s="672"/>
      <c r="I768" s="672"/>
      <c r="J768" s="672"/>
      <c r="K768" s="672"/>
      <c r="L768" s="673"/>
    </row>
    <row r="769" spans="1:12">
      <c r="A769" s="672"/>
      <c r="B769" s="672"/>
      <c r="C769" s="672"/>
      <c r="D769" s="672"/>
      <c r="E769" s="672"/>
      <c r="F769" s="672"/>
      <c r="G769" s="672"/>
      <c r="H769" s="672"/>
      <c r="I769" s="672"/>
      <c r="J769" s="672"/>
      <c r="K769" s="672"/>
      <c r="L769" s="673"/>
    </row>
    <row r="770" spans="1:12">
      <c r="A770" s="672"/>
      <c r="B770" s="672"/>
      <c r="C770" s="672"/>
      <c r="D770" s="672"/>
      <c r="E770" s="672"/>
      <c r="F770" s="672"/>
      <c r="G770" s="672"/>
      <c r="H770" s="672"/>
      <c r="I770" s="672"/>
      <c r="J770" s="672"/>
      <c r="K770" s="672"/>
      <c r="L770" s="673"/>
    </row>
    <row r="771" spans="1:12">
      <c r="A771" s="672"/>
      <c r="B771" s="672"/>
      <c r="C771" s="672"/>
      <c r="D771" s="672"/>
      <c r="E771" s="672"/>
      <c r="F771" s="672"/>
      <c r="G771" s="672"/>
      <c r="H771" s="672"/>
      <c r="I771" s="672"/>
      <c r="J771" s="672"/>
      <c r="K771" s="672"/>
      <c r="L771" s="673"/>
    </row>
    <row r="772" spans="1:12">
      <c r="A772" s="672"/>
      <c r="B772" s="672"/>
      <c r="C772" s="672"/>
      <c r="D772" s="672"/>
      <c r="E772" s="672"/>
      <c r="F772" s="672"/>
      <c r="G772" s="672"/>
      <c r="H772" s="672"/>
      <c r="I772" s="672"/>
      <c r="J772" s="672"/>
      <c r="K772" s="672"/>
      <c r="L772" s="673"/>
    </row>
    <row r="773" spans="1:12">
      <c r="A773" s="672"/>
      <c r="B773" s="672"/>
      <c r="C773" s="672"/>
      <c r="D773" s="672"/>
      <c r="E773" s="672"/>
      <c r="F773" s="672"/>
      <c r="G773" s="672"/>
      <c r="H773" s="672"/>
      <c r="I773" s="672"/>
      <c r="J773" s="672"/>
      <c r="K773" s="672"/>
      <c r="L773" s="673"/>
    </row>
    <row r="774" spans="1:12">
      <c r="A774" s="672"/>
      <c r="B774" s="672"/>
      <c r="C774" s="672"/>
      <c r="D774" s="672"/>
      <c r="E774" s="672"/>
      <c r="F774" s="672"/>
      <c r="G774" s="672"/>
      <c r="H774" s="672"/>
      <c r="I774" s="672"/>
      <c r="J774" s="672"/>
      <c r="K774" s="672"/>
      <c r="L774" s="673"/>
    </row>
    <row r="775" spans="1:12">
      <c r="A775" s="672"/>
      <c r="B775" s="672"/>
      <c r="C775" s="672"/>
      <c r="D775" s="672"/>
      <c r="E775" s="672"/>
      <c r="F775" s="672"/>
      <c r="G775" s="672"/>
      <c r="H775" s="672"/>
      <c r="I775" s="672"/>
      <c r="J775" s="672"/>
      <c r="K775" s="672"/>
      <c r="L775" s="673"/>
    </row>
    <row r="776" spans="1:12">
      <c r="A776" s="672"/>
      <c r="B776" s="672"/>
      <c r="C776" s="672"/>
      <c r="D776" s="672"/>
      <c r="E776" s="672"/>
      <c r="F776" s="672"/>
      <c r="G776" s="672"/>
      <c r="H776" s="672"/>
      <c r="I776" s="672"/>
      <c r="J776" s="672"/>
      <c r="K776" s="672"/>
      <c r="L776" s="673"/>
    </row>
    <row r="777" spans="1:12">
      <c r="A777" s="672"/>
      <c r="B777" s="672"/>
      <c r="C777" s="672"/>
      <c r="D777" s="672"/>
      <c r="E777" s="672"/>
      <c r="F777" s="672"/>
      <c r="G777" s="672"/>
      <c r="H777" s="672"/>
      <c r="I777" s="672"/>
      <c r="J777" s="672"/>
      <c r="K777" s="672"/>
      <c r="L777" s="673"/>
    </row>
    <row r="778" spans="1:12">
      <c r="A778" s="672"/>
      <c r="B778" s="672"/>
      <c r="C778" s="672"/>
      <c r="D778" s="672"/>
      <c r="E778" s="672"/>
      <c r="F778" s="672"/>
      <c r="G778" s="672"/>
      <c r="H778" s="672"/>
      <c r="I778" s="672"/>
      <c r="J778" s="672"/>
      <c r="K778" s="672"/>
      <c r="L778" s="673"/>
    </row>
    <row r="779" spans="1:12">
      <c r="A779" s="672"/>
      <c r="B779" s="672"/>
      <c r="C779" s="672"/>
      <c r="D779" s="672"/>
      <c r="E779" s="672"/>
      <c r="F779" s="672"/>
      <c r="G779" s="672"/>
      <c r="H779" s="672"/>
      <c r="I779" s="672"/>
      <c r="J779" s="672"/>
      <c r="K779" s="672"/>
      <c r="L779" s="673"/>
    </row>
    <row r="780" spans="1:12">
      <c r="A780" s="672"/>
      <c r="B780" s="672"/>
      <c r="C780" s="672"/>
      <c r="D780" s="672"/>
      <c r="E780" s="672"/>
      <c r="F780" s="672"/>
      <c r="G780" s="672"/>
      <c r="H780" s="672"/>
      <c r="I780" s="672"/>
      <c r="J780" s="672"/>
      <c r="K780" s="672"/>
      <c r="L780" s="673"/>
    </row>
    <row r="781" spans="1:12">
      <c r="A781" s="672"/>
      <c r="B781" s="672"/>
      <c r="C781" s="672"/>
      <c r="D781" s="672"/>
      <c r="E781" s="672"/>
      <c r="F781" s="672"/>
      <c r="G781" s="672"/>
      <c r="H781" s="672"/>
      <c r="I781" s="672"/>
      <c r="J781" s="672"/>
      <c r="K781" s="672"/>
      <c r="L781" s="673"/>
    </row>
    <row r="782" spans="1:12">
      <c r="A782" s="672"/>
      <c r="B782" s="672"/>
      <c r="C782" s="672"/>
      <c r="D782" s="672"/>
      <c r="E782" s="672"/>
      <c r="F782" s="672"/>
      <c r="G782" s="672"/>
      <c r="H782" s="672"/>
      <c r="I782" s="672"/>
      <c r="J782" s="672"/>
      <c r="K782" s="672"/>
      <c r="L782" s="673"/>
    </row>
    <row r="783" spans="1:12">
      <c r="A783" s="672"/>
      <c r="B783" s="672"/>
      <c r="C783" s="672"/>
      <c r="D783" s="672"/>
      <c r="E783" s="672"/>
      <c r="F783" s="672"/>
      <c r="G783" s="672"/>
      <c r="H783" s="672"/>
      <c r="I783" s="672"/>
      <c r="J783" s="672"/>
      <c r="K783" s="672"/>
      <c r="L783" s="673"/>
    </row>
    <row r="784" spans="1:12">
      <c r="A784" s="672"/>
      <c r="B784" s="672"/>
      <c r="C784" s="672"/>
      <c r="D784" s="672"/>
      <c r="E784" s="672"/>
      <c r="F784" s="672"/>
      <c r="G784" s="672"/>
      <c r="H784" s="672"/>
      <c r="I784" s="672"/>
      <c r="J784" s="672"/>
      <c r="K784" s="672"/>
      <c r="L784" s="673"/>
    </row>
    <row r="785" spans="1:12">
      <c r="A785" s="672"/>
      <c r="B785" s="672"/>
      <c r="C785" s="672"/>
      <c r="D785" s="672"/>
      <c r="E785" s="672"/>
      <c r="F785" s="672"/>
      <c r="G785" s="672"/>
      <c r="H785" s="672"/>
      <c r="I785" s="672"/>
      <c r="J785" s="672"/>
      <c r="K785" s="672"/>
      <c r="L785" s="673"/>
    </row>
    <row r="786" spans="1:12">
      <c r="A786" s="672"/>
      <c r="B786" s="672"/>
      <c r="C786" s="672"/>
      <c r="D786" s="672"/>
      <c r="E786" s="672"/>
      <c r="F786" s="672"/>
      <c r="G786" s="672"/>
      <c r="H786" s="672"/>
      <c r="I786" s="672"/>
      <c r="J786" s="672"/>
      <c r="K786" s="672"/>
      <c r="L786" s="673"/>
    </row>
    <row r="787" spans="1:12">
      <c r="A787" s="672"/>
      <c r="B787" s="672"/>
      <c r="C787" s="672"/>
      <c r="D787" s="672"/>
      <c r="E787" s="672"/>
      <c r="F787" s="672"/>
      <c r="G787" s="672"/>
      <c r="H787" s="672"/>
      <c r="I787" s="672"/>
      <c r="J787" s="672"/>
      <c r="K787" s="672"/>
      <c r="L787" s="673"/>
    </row>
    <row r="788" spans="1:12">
      <c r="A788" s="672"/>
      <c r="B788" s="672"/>
      <c r="C788" s="672"/>
      <c r="D788" s="672"/>
      <c r="E788" s="672"/>
      <c r="F788" s="672"/>
      <c r="G788" s="672"/>
      <c r="H788" s="672"/>
      <c r="I788" s="672"/>
      <c r="J788" s="672"/>
      <c r="K788" s="672"/>
      <c r="L788" s="673"/>
    </row>
    <row r="789" spans="1:12">
      <c r="A789" s="672"/>
      <c r="B789" s="672"/>
      <c r="C789" s="672"/>
      <c r="D789" s="672"/>
      <c r="E789" s="672"/>
      <c r="F789" s="672"/>
      <c r="G789" s="672"/>
      <c r="H789" s="672"/>
      <c r="I789" s="672"/>
      <c r="J789" s="672"/>
      <c r="K789" s="672"/>
      <c r="L789" s="673"/>
    </row>
    <row r="790" spans="1:12">
      <c r="A790" s="672"/>
      <c r="B790" s="672"/>
      <c r="C790" s="672"/>
      <c r="D790" s="672"/>
      <c r="E790" s="672"/>
      <c r="F790" s="672"/>
      <c r="G790" s="672"/>
      <c r="H790" s="672"/>
      <c r="I790" s="672"/>
      <c r="J790" s="672"/>
      <c r="K790" s="672"/>
      <c r="L790" s="673"/>
    </row>
    <row r="791" spans="1:12">
      <c r="A791" s="672"/>
      <c r="B791" s="672"/>
      <c r="C791" s="672"/>
      <c r="D791" s="672"/>
      <c r="E791" s="672"/>
      <c r="F791" s="672"/>
      <c r="G791" s="672"/>
      <c r="H791" s="672"/>
      <c r="I791" s="672"/>
      <c r="J791" s="672"/>
      <c r="K791" s="672"/>
      <c r="L791" s="673"/>
    </row>
    <row r="792" spans="1:12">
      <c r="A792" s="672"/>
      <c r="B792" s="672"/>
      <c r="C792" s="672"/>
      <c r="D792" s="672"/>
      <c r="E792" s="672"/>
      <c r="F792" s="672"/>
      <c r="G792" s="672"/>
      <c r="H792" s="672"/>
      <c r="I792" s="672"/>
      <c r="J792" s="672"/>
      <c r="K792" s="672"/>
      <c r="L792" s="673"/>
    </row>
    <row r="793" spans="1:12">
      <c r="A793" s="672"/>
      <c r="B793" s="672"/>
      <c r="C793" s="672"/>
      <c r="D793" s="672"/>
      <c r="E793" s="672"/>
      <c r="F793" s="672"/>
      <c r="G793" s="672"/>
      <c r="H793" s="672"/>
      <c r="I793" s="672"/>
      <c r="J793" s="672"/>
      <c r="K793" s="672"/>
      <c r="L793" s="673"/>
    </row>
    <row r="794" spans="1:12">
      <c r="A794" s="672"/>
      <c r="B794" s="672"/>
      <c r="C794" s="672"/>
      <c r="D794" s="672"/>
      <c r="E794" s="672"/>
      <c r="F794" s="672"/>
      <c r="G794" s="672"/>
      <c r="H794" s="672"/>
      <c r="I794" s="672"/>
      <c r="J794" s="672"/>
      <c r="K794" s="672"/>
      <c r="L794" s="673"/>
    </row>
    <row r="795" spans="1:12">
      <c r="A795" s="672"/>
      <c r="B795" s="672"/>
      <c r="C795" s="672"/>
      <c r="D795" s="672"/>
      <c r="E795" s="672"/>
      <c r="F795" s="672"/>
      <c r="G795" s="672"/>
      <c r="H795" s="672"/>
      <c r="I795" s="672"/>
      <c r="J795" s="672"/>
      <c r="K795" s="672"/>
      <c r="L795" s="673"/>
    </row>
    <row r="796" spans="1:12">
      <c r="A796" s="672"/>
      <c r="B796" s="672"/>
      <c r="C796" s="672"/>
      <c r="D796" s="672"/>
      <c r="E796" s="672"/>
      <c r="F796" s="672"/>
      <c r="G796" s="672"/>
      <c r="H796" s="672"/>
      <c r="I796" s="672"/>
      <c r="J796" s="672"/>
      <c r="K796" s="672"/>
      <c r="L796" s="673"/>
    </row>
    <row r="797" spans="1:12">
      <c r="A797" s="672"/>
      <c r="B797" s="672"/>
      <c r="C797" s="672"/>
      <c r="D797" s="672"/>
      <c r="E797" s="672"/>
      <c r="F797" s="672"/>
      <c r="G797" s="672"/>
      <c r="H797" s="672"/>
      <c r="I797" s="672"/>
      <c r="J797" s="672"/>
      <c r="K797" s="672"/>
      <c r="L797" s="673"/>
    </row>
    <row r="798" spans="1:12">
      <c r="A798" s="672"/>
      <c r="B798" s="672"/>
      <c r="C798" s="672"/>
      <c r="D798" s="672"/>
      <c r="E798" s="672"/>
      <c r="F798" s="672"/>
      <c r="G798" s="672"/>
      <c r="H798" s="672"/>
      <c r="I798" s="672"/>
      <c r="J798" s="672"/>
      <c r="K798" s="672"/>
      <c r="L798" s="673"/>
    </row>
    <row r="799" spans="1:12">
      <c r="A799" s="672"/>
      <c r="B799" s="672"/>
      <c r="C799" s="672"/>
      <c r="D799" s="672"/>
      <c r="E799" s="672"/>
      <c r="F799" s="672"/>
      <c r="G799" s="672"/>
      <c r="H799" s="672"/>
      <c r="I799" s="672"/>
      <c r="J799" s="672"/>
      <c r="K799" s="672"/>
      <c r="L799" s="673"/>
    </row>
    <row r="800" spans="1:12">
      <c r="A800" s="672"/>
      <c r="B800" s="672"/>
      <c r="C800" s="672"/>
      <c r="D800" s="672"/>
      <c r="E800" s="672"/>
      <c r="F800" s="672"/>
      <c r="G800" s="672"/>
      <c r="H800" s="672"/>
      <c r="I800" s="672"/>
      <c r="J800" s="672"/>
      <c r="K800" s="672"/>
      <c r="L800" s="673"/>
    </row>
    <row r="801" spans="1:12">
      <c r="A801" s="672"/>
      <c r="B801" s="672"/>
      <c r="C801" s="672"/>
      <c r="D801" s="672"/>
      <c r="E801" s="672"/>
      <c r="F801" s="672"/>
      <c r="G801" s="672"/>
      <c r="H801" s="672"/>
      <c r="I801" s="672"/>
      <c r="J801" s="672"/>
      <c r="K801" s="672"/>
      <c r="L801" s="673"/>
    </row>
    <row r="802" spans="1:12">
      <c r="A802" s="672"/>
      <c r="B802" s="672"/>
      <c r="C802" s="672"/>
      <c r="D802" s="672"/>
      <c r="E802" s="672"/>
      <c r="F802" s="672"/>
      <c r="G802" s="672"/>
      <c r="H802" s="672"/>
      <c r="I802" s="672"/>
      <c r="J802" s="672"/>
      <c r="K802" s="672"/>
      <c r="L802" s="673"/>
    </row>
    <row r="803" spans="1:12">
      <c r="A803" s="672"/>
      <c r="B803" s="672"/>
      <c r="C803" s="672"/>
      <c r="D803" s="672"/>
      <c r="E803" s="672"/>
      <c r="F803" s="672"/>
      <c r="G803" s="672"/>
      <c r="H803" s="672"/>
      <c r="I803" s="672"/>
      <c r="J803" s="672"/>
      <c r="K803" s="672"/>
      <c r="L803" s="673"/>
    </row>
    <row r="804" spans="1:12">
      <c r="A804" s="672"/>
      <c r="B804" s="672"/>
      <c r="C804" s="672"/>
      <c r="D804" s="672"/>
      <c r="E804" s="672"/>
      <c r="F804" s="672"/>
      <c r="G804" s="672"/>
      <c r="H804" s="672"/>
      <c r="I804" s="672"/>
      <c r="J804" s="672"/>
      <c r="K804" s="672"/>
      <c r="L804" s="673"/>
    </row>
    <row r="805" spans="1:12">
      <c r="A805" s="672"/>
      <c r="B805" s="672"/>
      <c r="C805" s="672"/>
      <c r="D805" s="672"/>
      <c r="E805" s="672"/>
      <c r="F805" s="672"/>
      <c r="G805" s="672"/>
      <c r="H805" s="672"/>
      <c r="I805" s="672"/>
      <c r="J805" s="672"/>
      <c r="K805" s="672"/>
      <c r="L805" s="673"/>
    </row>
    <row r="806" spans="1:12">
      <c r="A806" s="672"/>
      <c r="B806" s="672"/>
      <c r="C806" s="672"/>
      <c r="D806" s="672"/>
      <c r="E806" s="672"/>
      <c r="F806" s="672"/>
      <c r="G806" s="672"/>
      <c r="H806" s="672"/>
      <c r="I806" s="672"/>
      <c r="J806" s="672"/>
      <c r="K806" s="672"/>
      <c r="L806" s="673"/>
    </row>
    <row r="807" spans="1:12">
      <c r="A807" s="672"/>
      <c r="B807" s="672"/>
      <c r="C807" s="672"/>
      <c r="D807" s="672"/>
      <c r="E807" s="672"/>
      <c r="F807" s="672"/>
      <c r="G807" s="672"/>
      <c r="H807" s="672"/>
      <c r="I807" s="672"/>
      <c r="J807" s="672"/>
      <c r="K807" s="672"/>
      <c r="L807" s="673"/>
    </row>
    <row r="808" spans="1:12">
      <c r="A808" s="672"/>
      <c r="B808" s="672"/>
      <c r="C808" s="672"/>
      <c r="D808" s="672"/>
      <c r="E808" s="672"/>
      <c r="F808" s="672"/>
      <c r="G808" s="672"/>
      <c r="H808" s="672"/>
      <c r="I808" s="672"/>
      <c r="J808" s="672"/>
      <c r="K808" s="672"/>
      <c r="L808" s="673"/>
    </row>
    <row r="809" spans="1:12">
      <c r="A809" s="672"/>
      <c r="B809" s="672"/>
      <c r="C809" s="672"/>
      <c r="D809" s="672"/>
      <c r="E809" s="672"/>
      <c r="F809" s="672"/>
      <c r="G809" s="672"/>
      <c r="H809" s="672"/>
      <c r="I809" s="672"/>
      <c r="J809" s="672"/>
      <c r="K809" s="672"/>
      <c r="L809" s="673"/>
    </row>
    <row r="810" spans="1:12">
      <c r="A810" s="672"/>
      <c r="B810" s="672"/>
      <c r="C810" s="672"/>
      <c r="D810" s="672"/>
      <c r="E810" s="672"/>
      <c r="F810" s="672"/>
      <c r="G810" s="672"/>
      <c r="H810" s="672"/>
      <c r="I810" s="672"/>
      <c r="J810" s="672"/>
      <c r="K810" s="672"/>
      <c r="L810" s="673"/>
    </row>
    <row r="811" spans="1:12">
      <c r="A811" s="672"/>
      <c r="B811" s="672"/>
      <c r="C811" s="672"/>
      <c r="D811" s="672"/>
      <c r="E811" s="672"/>
      <c r="F811" s="672"/>
      <c r="G811" s="672"/>
      <c r="H811" s="672"/>
      <c r="I811" s="672"/>
      <c r="J811" s="672"/>
      <c r="K811" s="672"/>
      <c r="L811" s="673"/>
    </row>
    <row r="812" spans="1:12">
      <c r="A812" s="672"/>
      <c r="B812" s="672"/>
      <c r="C812" s="672"/>
      <c r="D812" s="672"/>
      <c r="E812" s="672"/>
      <c r="F812" s="672"/>
      <c r="G812" s="672"/>
      <c r="H812" s="672"/>
      <c r="I812" s="672"/>
      <c r="J812" s="672"/>
      <c r="K812" s="672"/>
      <c r="L812" s="673"/>
    </row>
    <row r="813" spans="1:12">
      <c r="A813" s="672"/>
      <c r="B813" s="672"/>
      <c r="C813" s="672"/>
      <c r="D813" s="672"/>
      <c r="E813" s="672"/>
      <c r="F813" s="672"/>
      <c r="G813" s="672"/>
      <c r="H813" s="672"/>
      <c r="I813" s="672"/>
      <c r="J813" s="672"/>
      <c r="K813" s="672"/>
      <c r="L813" s="673"/>
    </row>
    <row r="814" spans="1:12">
      <c r="A814" s="672"/>
      <c r="B814" s="672"/>
      <c r="C814" s="672"/>
      <c r="D814" s="672"/>
      <c r="E814" s="672"/>
      <c r="F814" s="672"/>
      <c r="G814" s="672"/>
      <c r="H814" s="672"/>
      <c r="I814" s="672"/>
      <c r="J814" s="672"/>
      <c r="K814" s="672"/>
      <c r="L814" s="673"/>
    </row>
    <row r="815" spans="1:12">
      <c r="A815" s="672"/>
      <c r="B815" s="672"/>
      <c r="C815" s="672"/>
      <c r="D815" s="672"/>
      <c r="E815" s="672"/>
      <c r="F815" s="672"/>
      <c r="G815" s="672"/>
      <c r="H815" s="672"/>
      <c r="I815" s="672"/>
      <c r="J815" s="672"/>
      <c r="K815" s="672"/>
      <c r="L815" s="673"/>
    </row>
    <row r="816" spans="1:12">
      <c r="A816" s="672"/>
      <c r="B816" s="672"/>
      <c r="C816" s="672"/>
      <c r="D816" s="672"/>
      <c r="E816" s="672"/>
      <c r="F816" s="672"/>
      <c r="G816" s="672"/>
      <c r="H816" s="672"/>
      <c r="I816" s="672"/>
      <c r="J816" s="672"/>
      <c r="K816" s="672"/>
      <c r="L816" s="673"/>
    </row>
    <row r="817" spans="1:12">
      <c r="A817" s="672"/>
      <c r="B817" s="672"/>
      <c r="C817" s="672"/>
      <c r="D817" s="672"/>
      <c r="E817" s="672"/>
      <c r="F817" s="672"/>
      <c r="G817" s="672"/>
      <c r="H817" s="672"/>
      <c r="I817" s="672"/>
      <c r="J817" s="672"/>
      <c r="K817" s="672"/>
      <c r="L817" s="673"/>
    </row>
    <row r="818" spans="1:12">
      <c r="A818" s="672"/>
      <c r="B818" s="672"/>
      <c r="C818" s="672"/>
      <c r="D818" s="672"/>
      <c r="E818" s="672"/>
      <c r="F818" s="672"/>
      <c r="G818" s="672"/>
      <c r="H818" s="672"/>
      <c r="I818" s="672"/>
      <c r="J818" s="672"/>
      <c r="K818" s="672"/>
      <c r="L818" s="673"/>
    </row>
    <row r="819" spans="1:12">
      <c r="A819" s="672"/>
      <c r="B819" s="672"/>
      <c r="C819" s="672"/>
      <c r="D819" s="672"/>
      <c r="E819" s="672"/>
      <c r="F819" s="672"/>
      <c r="G819" s="672"/>
      <c r="H819" s="672"/>
      <c r="I819" s="672"/>
      <c r="J819" s="672"/>
      <c r="K819" s="672"/>
      <c r="L819" s="673"/>
    </row>
    <row r="820" spans="1:12">
      <c r="A820" s="672"/>
      <c r="B820" s="672"/>
      <c r="C820" s="672"/>
      <c r="D820" s="672"/>
      <c r="E820" s="672"/>
      <c r="F820" s="672"/>
      <c r="G820" s="672"/>
      <c r="H820" s="672"/>
      <c r="I820" s="672"/>
      <c r="J820" s="672"/>
      <c r="K820" s="672"/>
      <c r="L820" s="673"/>
    </row>
    <row r="821" spans="1:12">
      <c r="A821" s="672"/>
      <c r="B821" s="672"/>
      <c r="C821" s="672"/>
      <c r="D821" s="672"/>
      <c r="E821" s="672"/>
      <c r="F821" s="672"/>
      <c r="G821" s="672"/>
      <c r="H821" s="672"/>
      <c r="I821" s="672"/>
      <c r="J821" s="672"/>
      <c r="K821" s="672"/>
      <c r="L821" s="673"/>
    </row>
    <row r="822" spans="1:12">
      <c r="A822" s="672"/>
      <c r="B822" s="672"/>
      <c r="C822" s="672"/>
      <c r="D822" s="672"/>
      <c r="E822" s="672"/>
      <c r="F822" s="672"/>
      <c r="G822" s="672"/>
      <c r="H822" s="672"/>
      <c r="I822" s="672"/>
      <c r="J822" s="672"/>
      <c r="K822" s="672"/>
      <c r="L822" s="673"/>
    </row>
    <row r="823" spans="1:12">
      <c r="A823" s="672"/>
      <c r="B823" s="672"/>
      <c r="C823" s="672"/>
      <c r="D823" s="672"/>
      <c r="E823" s="672"/>
      <c r="F823" s="672"/>
      <c r="G823" s="672"/>
      <c r="H823" s="672"/>
      <c r="I823" s="672"/>
      <c r="J823" s="672"/>
      <c r="K823" s="672"/>
      <c r="L823" s="673"/>
    </row>
    <row r="824" spans="1:12">
      <c r="A824" s="672"/>
      <c r="B824" s="672"/>
      <c r="C824" s="672"/>
      <c r="D824" s="672"/>
      <c r="E824" s="672"/>
      <c r="F824" s="672"/>
      <c r="G824" s="672"/>
      <c r="H824" s="672"/>
      <c r="I824" s="672"/>
      <c r="J824" s="672"/>
      <c r="K824" s="672"/>
      <c r="L824" s="673"/>
    </row>
    <row r="825" spans="1:12">
      <c r="A825" s="672"/>
      <c r="B825" s="672"/>
      <c r="C825" s="672"/>
      <c r="D825" s="672"/>
      <c r="E825" s="672"/>
      <c r="F825" s="672"/>
      <c r="G825" s="672"/>
      <c r="H825" s="672"/>
      <c r="I825" s="672"/>
      <c r="J825" s="672"/>
      <c r="K825" s="672"/>
      <c r="L825" s="673"/>
    </row>
    <row r="826" spans="1:12">
      <c r="A826" s="672"/>
      <c r="B826" s="672"/>
      <c r="C826" s="672"/>
      <c r="D826" s="672"/>
      <c r="E826" s="672"/>
      <c r="F826" s="672"/>
      <c r="G826" s="672"/>
      <c r="H826" s="672"/>
      <c r="I826" s="672"/>
      <c r="J826" s="672"/>
      <c r="K826" s="672"/>
      <c r="L826" s="673"/>
    </row>
    <row r="827" spans="1:12">
      <c r="A827" s="672"/>
      <c r="B827" s="672"/>
      <c r="C827" s="672"/>
      <c r="D827" s="672"/>
      <c r="E827" s="672"/>
      <c r="F827" s="672"/>
      <c r="G827" s="672"/>
      <c r="H827" s="672"/>
      <c r="I827" s="672"/>
      <c r="J827" s="672"/>
      <c r="K827" s="672"/>
      <c r="L827" s="673"/>
    </row>
    <row r="828" spans="1:12">
      <c r="A828" s="672"/>
      <c r="B828" s="672"/>
      <c r="C828" s="672"/>
      <c r="D828" s="672"/>
      <c r="E828" s="672"/>
      <c r="F828" s="672"/>
      <c r="G828" s="672"/>
      <c r="H828" s="672"/>
      <c r="I828" s="672"/>
      <c r="J828" s="672"/>
      <c r="K828" s="672"/>
      <c r="L828" s="673"/>
    </row>
    <row r="829" spans="1:12">
      <c r="A829" s="672"/>
      <c r="B829" s="672"/>
      <c r="C829" s="672"/>
      <c r="D829" s="672"/>
      <c r="E829" s="672"/>
      <c r="F829" s="672"/>
      <c r="G829" s="672"/>
      <c r="H829" s="672"/>
      <c r="I829" s="672"/>
      <c r="J829" s="672"/>
      <c r="K829" s="672"/>
      <c r="L829" s="673"/>
    </row>
    <row r="830" spans="1:12">
      <c r="A830" s="672"/>
      <c r="B830" s="672"/>
      <c r="C830" s="672"/>
      <c r="D830" s="672"/>
      <c r="E830" s="672"/>
      <c r="F830" s="672"/>
      <c r="G830" s="672"/>
      <c r="H830" s="672"/>
      <c r="I830" s="672"/>
      <c r="J830" s="672"/>
      <c r="K830" s="672"/>
      <c r="L830" s="673"/>
    </row>
    <row r="831" spans="1:12">
      <c r="A831" s="672"/>
      <c r="B831" s="672"/>
      <c r="C831" s="672"/>
      <c r="D831" s="672"/>
      <c r="E831" s="672"/>
      <c r="F831" s="672"/>
      <c r="G831" s="672"/>
      <c r="H831" s="672"/>
      <c r="I831" s="672"/>
      <c r="J831" s="672"/>
      <c r="K831" s="672"/>
      <c r="L831" s="673"/>
    </row>
    <row r="832" spans="1:12">
      <c r="A832" s="672"/>
      <c r="B832" s="672"/>
      <c r="C832" s="672"/>
      <c r="D832" s="672"/>
      <c r="E832" s="672"/>
      <c r="F832" s="672"/>
      <c r="G832" s="672"/>
      <c r="H832" s="672"/>
      <c r="I832" s="672"/>
      <c r="J832" s="672"/>
      <c r="K832" s="672"/>
      <c r="L832" s="673"/>
    </row>
    <row r="833" spans="1:12">
      <c r="A833" s="672"/>
      <c r="B833" s="672"/>
      <c r="C833" s="672"/>
      <c r="D833" s="672"/>
      <c r="E833" s="672"/>
      <c r="F833" s="672"/>
      <c r="G833" s="672"/>
      <c r="H833" s="672"/>
      <c r="I833" s="672"/>
      <c r="J833" s="672"/>
      <c r="K833" s="672"/>
      <c r="L833" s="673"/>
    </row>
    <row r="834" spans="1:12">
      <c r="A834" s="672"/>
      <c r="B834" s="672"/>
      <c r="C834" s="672"/>
      <c r="D834" s="672"/>
      <c r="E834" s="672"/>
      <c r="F834" s="672"/>
      <c r="G834" s="672"/>
      <c r="H834" s="672"/>
      <c r="I834" s="672"/>
      <c r="J834" s="672"/>
      <c r="K834" s="672"/>
      <c r="L834" s="673"/>
    </row>
    <row r="835" spans="1:12">
      <c r="A835" s="672"/>
      <c r="B835" s="672"/>
      <c r="C835" s="672"/>
      <c r="D835" s="672"/>
      <c r="E835" s="672"/>
      <c r="F835" s="672"/>
      <c r="G835" s="672"/>
      <c r="H835" s="672"/>
      <c r="I835" s="672"/>
      <c r="J835" s="672"/>
      <c r="K835" s="672"/>
      <c r="L835" s="673"/>
    </row>
    <row r="836" spans="1:12">
      <c r="A836" s="672"/>
      <c r="B836" s="672"/>
      <c r="C836" s="672"/>
      <c r="D836" s="672"/>
      <c r="E836" s="672"/>
      <c r="F836" s="672"/>
      <c r="G836" s="672"/>
      <c r="H836" s="672"/>
      <c r="I836" s="672"/>
      <c r="J836" s="672"/>
      <c r="K836" s="672"/>
      <c r="L836" s="673"/>
    </row>
    <row r="837" spans="1:12">
      <c r="A837" s="672"/>
      <c r="B837" s="672"/>
      <c r="C837" s="672"/>
      <c r="D837" s="672"/>
      <c r="E837" s="672"/>
      <c r="F837" s="672"/>
      <c r="G837" s="672"/>
      <c r="H837" s="672"/>
      <c r="I837" s="672"/>
      <c r="J837" s="672"/>
      <c r="K837" s="672"/>
      <c r="L837" s="673"/>
    </row>
    <row r="838" spans="1:12">
      <c r="A838" s="672"/>
      <c r="B838" s="672"/>
      <c r="C838" s="672"/>
      <c r="D838" s="672"/>
      <c r="E838" s="672"/>
      <c r="F838" s="672"/>
      <c r="G838" s="672"/>
      <c r="H838" s="672"/>
      <c r="I838" s="672"/>
      <c r="J838" s="672"/>
      <c r="K838" s="672"/>
      <c r="L838" s="673"/>
    </row>
    <row r="839" spans="1:12">
      <c r="A839" s="672"/>
      <c r="B839" s="672"/>
      <c r="C839" s="672"/>
      <c r="D839" s="672"/>
      <c r="E839" s="672"/>
      <c r="F839" s="672"/>
      <c r="G839" s="672"/>
      <c r="H839" s="672"/>
      <c r="I839" s="672"/>
      <c r="J839" s="672"/>
      <c r="K839" s="672"/>
      <c r="L839" s="673"/>
    </row>
    <row r="840" spans="1:12">
      <c r="A840" s="672"/>
      <c r="B840" s="672"/>
      <c r="C840" s="672"/>
      <c r="D840" s="672"/>
      <c r="E840" s="672"/>
      <c r="F840" s="672"/>
      <c r="G840" s="672"/>
      <c r="H840" s="672"/>
      <c r="I840" s="672"/>
      <c r="J840" s="672"/>
      <c r="K840" s="672"/>
      <c r="L840" s="673"/>
    </row>
    <row r="841" spans="1:12">
      <c r="A841" s="672"/>
      <c r="B841" s="672"/>
      <c r="C841" s="672"/>
      <c r="D841" s="672"/>
      <c r="E841" s="672"/>
      <c r="F841" s="672"/>
      <c r="G841" s="672"/>
      <c r="H841" s="672"/>
      <c r="I841" s="672"/>
      <c r="J841" s="672"/>
      <c r="K841" s="672"/>
      <c r="L841" s="673"/>
    </row>
    <row r="842" spans="1:12">
      <c r="A842" s="672"/>
      <c r="B842" s="672"/>
      <c r="C842" s="672"/>
      <c r="D842" s="672"/>
      <c r="E842" s="672"/>
      <c r="F842" s="672"/>
      <c r="G842" s="672"/>
      <c r="H842" s="672"/>
      <c r="I842" s="672"/>
      <c r="J842" s="672"/>
      <c r="K842" s="672"/>
      <c r="L842" s="673"/>
    </row>
    <row r="843" spans="1:12">
      <c r="A843" s="672"/>
      <c r="B843" s="672"/>
      <c r="C843" s="672"/>
      <c r="D843" s="672"/>
      <c r="E843" s="672"/>
      <c r="F843" s="672"/>
      <c r="G843" s="672"/>
      <c r="H843" s="672"/>
      <c r="I843" s="672"/>
      <c r="J843" s="672"/>
      <c r="K843" s="672"/>
      <c r="L843" s="673"/>
    </row>
    <row r="844" spans="1:12">
      <c r="A844" s="672"/>
      <c r="B844" s="672"/>
      <c r="C844" s="672"/>
      <c r="D844" s="672"/>
      <c r="E844" s="672"/>
      <c r="F844" s="672"/>
      <c r="G844" s="672"/>
      <c r="H844" s="672"/>
      <c r="I844" s="672"/>
      <c r="J844" s="672"/>
      <c r="K844" s="672"/>
      <c r="L844" s="673"/>
    </row>
    <row r="845" spans="1:12">
      <c r="A845" s="672"/>
      <c r="B845" s="672"/>
      <c r="C845" s="672"/>
      <c r="D845" s="672"/>
      <c r="E845" s="672"/>
      <c r="F845" s="672"/>
      <c r="G845" s="672"/>
      <c r="H845" s="672"/>
      <c r="I845" s="672"/>
      <c r="J845" s="672"/>
      <c r="K845" s="672"/>
      <c r="L845" s="673"/>
    </row>
    <row r="846" spans="1:12">
      <c r="A846" s="672"/>
      <c r="B846" s="672"/>
      <c r="C846" s="672"/>
      <c r="D846" s="672"/>
      <c r="E846" s="672"/>
      <c r="F846" s="672"/>
      <c r="G846" s="672"/>
      <c r="H846" s="672"/>
      <c r="I846" s="672"/>
      <c r="J846" s="672"/>
      <c r="K846" s="672"/>
      <c r="L846" s="673"/>
    </row>
    <row r="847" spans="1:12">
      <c r="A847" s="672"/>
      <c r="B847" s="672"/>
      <c r="C847" s="672"/>
      <c r="D847" s="672"/>
      <c r="E847" s="672"/>
      <c r="F847" s="672"/>
      <c r="G847" s="672"/>
      <c r="H847" s="672"/>
      <c r="I847" s="672"/>
      <c r="J847" s="672"/>
      <c r="K847" s="672"/>
      <c r="L847" s="673"/>
    </row>
    <row r="848" spans="1:12">
      <c r="A848" s="672"/>
      <c r="B848" s="672"/>
      <c r="C848" s="672"/>
      <c r="D848" s="672"/>
      <c r="E848" s="672"/>
      <c r="F848" s="672"/>
      <c r="G848" s="672"/>
      <c r="H848" s="672"/>
      <c r="I848" s="672"/>
      <c r="J848" s="672"/>
      <c r="K848" s="672"/>
      <c r="L848" s="673"/>
    </row>
    <row r="849" spans="1:12">
      <c r="A849" s="672"/>
      <c r="B849" s="672"/>
      <c r="C849" s="672"/>
      <c r="D849" s="672"/>
      <c r="E849" s="672"/>
      <c r="F849" s="672"/>
      <c r="G849" s="672"/>
      <c r="H849" s="672"/>
      <c r="I849" s="672"/>
      <c r="J849" s="672"/>
      <c r="K849" s="672"/>
      <c r="L849" s="673"/>
    </row>
    <row r="850" spans="1:12">
      <c r="A850" s="672"/>
      <c r="B850" s="672"/>
      <c r="C850" s="672"/>
      <c r="D850" s="672"/>
      <c r="E850" s="672"/>
      <c r="F850" s="672"/>
      <c r="G850" s="672"/>
      <c r="H850" s="672"/>
      <c r="I850" s="672"/>
      <c r="J850" s="672"/>
      <c r="K850" s="672"/>
      <c r="L850" s="673"/>
    </row>
    <row r="851" spans="1:12">
      <c r="A851" s="672"/>
      <c r="B851" s="672"/>
      <c r="C851" s="672"/>
      <c r="D851" s="672"/>
      <c r="E851" s="672"/>
      <c r="F851" s="672"/>
      <c r="G851" s="672"/>
      <c r="H851" s="672"/>
      <c r="I851" s="672"/>
      <c r="J851" s="672"/>
      <c r="K851" s="672"/>
      <c r="L851" s="673"/>
    </row>
    <row r="852" spans="1:12">
      <c r="A852" s="672"/>
      <c r="B852" s="672"/>
      <c r="C852" s="672"/>
      <c r="D852" s="672"/>
      <c r="E852" s="672"/>
      <c r="F852" s="672"/>
      <c r="G852" s="672"/>
      <c r="H852" s="672"/>
      <c r="I852" s="672"/>
      <c r="J852" s="672"/>
      <c r="K852" s="672"/>
      <c r="L852" s="673"/>
    </row>
    <row r="853" spans="1:12">
      <c r="A853" s="672"/>
      <c r="B853" s="672"/>
      <c r="C853" s="672"/>
      <c r="D853" s="672"/>
      <c r="E853" s="672"/>
      <c r="F853" s="672"/>
      <c r="G853" s="672"/>
      <c r="H853" s="672"/>
      <c r="I853" s="672"/>
      <c r="J853" s="672"/>
      <c r="K853" s="672"/>
      <c r="L853" s="673"/>
    </row>
    <row r="854" spans="1:12">
      <c r="A854" s="672"/>
      <c r="B854" s="672"/>
      <c r="C854" s="672"/>
      <c r="D854" s="672"/>
      <c r="E854" s="672"/>
      <c r="F854" s="672"/>
      <c r="G854" s="672"/>
      <c r="H854" s="672"/>
      <c r="I854" s="672"/>
      <c r="J854" s="672"/>
      <c r="K854" s="672"/>
      <c r="L854" s="673"/>
    </row>
    <row r="855" spans="1:12">
      <c r="A855" s="672"/>
      <c r="B855" s="672"/>
      <c r="C855" s="672"/>
      <c r="D855" s="672"/>
      <c r="E855" s="672"/>
      <c r="F855" s="672"/>
      <c r="G855" s="672"/>
      <c r="H855" s="672"/>
      <c r="I855" s="672"/>
      <c r="J855" s="672"/>
      <c r="K855" s="672"/>
      <c r="L855" s="673"/>
    </row>
    <row r="856" spans="1:12">
      <c r="A856" s="672"/>
      <c r="B856" s="672"/>
      <c r="C856" s="672"/>
      <c r="D856" s="672"/>
      <c r="E856" s="672"/>
      <c r="F856" s="672"/>
      <c r="G856" s="672"/>
      <c r="H856" s="672"/>
      <c r="I856" s="672"/>
      <c r="J856" s="672"/>
      <c r="K856" s="672"/>
      <c r="L856" s="673"/>
    </row>
    <row r="857" spans="1:12">
      <c r="A857" s="672"/>
      <c r="B857" s="672"/>
      <c r="C857" s="672"/>
      <c r="D857" s="672"/>
      <c r="E857" s="672"/>
      <c r="F857" s="672"/>
      <c r="G857" s="672"/>
      <c r="H857" s="672"/>
      <c r="I857" s="672"/>
      <c r="J857" s="672"/>
      <c r="K857" s="672"/>
      <c r="L857" s="673"/>
    </row>
    <row r="858" spans="1:12">
      <c r="A858" s="672"/>
      <c r="B858" s="672"/>
      <c r="C858" s="672"/>
      <c r="D858" s="672"/>
      <c r="E858" s="672"/>
      <c r="F858" s="672"/>
      <c r="G858" s="672"/>
      <c r="H858" s="672"/>
      <c r="I858" s="672"/>
      <c r="J858" s="672"/>
      <c r="K858" s="672"/>
      <c r="L858" s="673"/>
    </row>
    <row r="859" spans="1:12">
      <c r="A859" s="672"/>
      <c r="B859" s="672"/>
      <c r="C859" s="672"/>
      <c r="D859" s="672"/>
      <c r="E859" s="672"/>
      <c r="F859" s="672"/>
      <c r="G859" s="672"/>
      <c r="H859" s="672"/>
      <c r="I859" s="672"/>
      <c r="J859" s="672"/>
      <c r="K859" s="672"/>
      <c r="L859" s="673"/>
    </row>
    <row r="860" spans="1:12">
      <c r="A860" s="672"/>
      <c r="B860" s="672"/>
      <c r="C860" s="672"/>
      <c r="D860" s="672"/>
      <c r="E860" s="672"/>
      <c r="F860" s="672"/>
      <c r="G860" s="672"/>
      <c r="H860" s="672"/>
      <c r="I860" s="672"/>
      <c r="J860" s="672"/>
      <c r="K860" s="672"/>
      <c r="L860" s="673"/>
    </row>
    <row r="861" spans="1:12">
      <c r="A861" s="672"/>
      <c r="B861" s="672"/>
      <c r="C861" s="672"/>
      <c r="D861" s="672"/>
      <c r="E861" s="672"/>
      <c r="F861" s="672"/>
      <c r="G861" s="672"/>
      <c r="H861" s="672"/>
      <c r="I861" s="672"/>
      <c r="J861" s="672"/>
      <c r="K861" s="672"/>
      <c r="L861" s="673"/>
    </row>
    <row r="862" spans="1:12">
      <c r="A862" s="672"/>
      <c r="B862" s="672"/>
      <c r="C862" s="672"/>
      <c r="D862" s="672"/>
      <c r="E862" s="672"/>
      <c r="F862" s="672"/>
      <c r="G862" s="672"/>
      <c r="H862" s="672"/>
      <c r="I862" s="672"/>
      <c r="J862" s="672"/>
      <c r="K862" s="672"/>
      <c r="L862" s="673"/>
    </row>
    <row r="863" spans="1:12">
      <c r="A863" s="672"/>
      <c r="B863" s="672"/>
      <c r="C863" s="672"/>
      <c r="D863" s="672"/>
      <c r="E863" s="672"/>
      <c r="F863" s="672"/>
      <c r="G863" s="672"/>
      <c r="H863" s="672"/>
      <c r="I863" s="672"/>
      <c r="J863" s="672"/>
      <c r="K863" s="672"/>
      <c r="L863" s="673"/>
    </row>
    <row r="864" spans="1:12">
      <c r="A864" s="672"/>
      <c r="B864" s="672"/>
      <c r="C864" s="672"/>
      <c r="D864" s="672"/>
      <c r="E864" s="672"/>
      <c r="F864" s="672"/>
      <c r="G864" s="672"/>
      <c r="H864" s="672"/>
      <c r="I864" s="672"/>
      <c r="J864" s="672"/>
      <c r="K864" s="672"/>
      <c r="L864" s="673"/>
    </row>
    <row r="865" spans="1:12">
      <c r="A865" s="672"/>
      <c r="B865" s="672"/>
      <c r="C865" s="672"/>
      <c r="D865" s="672"/>
      <c r="E865" s="672"/>
      <c r="F865" s="672"/>
      <c r="G865" s="672"/>
      <c r="H865" s="672"/>
      <c r="I865" s="672"/>
      <c r="J865" s="672"/>
      <c r="K865" s="672"/>
      <c r="L865" s="673"/>
    </row>
    <row r="866" spans="1:12">
      <c r="A866" s="672"/>
      <c r="B866" s="672"/>
      <c r="C866" s="672"/>
      <c r="D866" s="672"/>
      <c r="E866" s="672"/>
      <c r="F866" s="672"/>
      <c r="G866" s="672"/>
      <c r="H866" s="672"/>
      <c r="I866" s="672"/>
      <c r="J866" s="672"/>
      <c r="K866" s="672"/>
      <c r="L866" s="673"/>
    </row>
    <row r="867" spans="1:12">
      <c r="A867" s="672"/>
      <c r="B867" s="672"/>
      <c r="C867" s="672"/>
      <c r="D867" s="672"/>
      <c r="E867" s="672"/>
      <c r="F867" s="672"/>
      <c r="G867" s="672"/>
      <c r="H867" s="672"/>
      <c r="I867" s="672"/>
      <c r="J867" s="672"/>
      <c r="K867" s="672"/>
      <c r="L867" s="673"/>
    </row>
    <row r="868" spans="1:12">
      <c r="A868" s="672"/>
      <c r="B868" s="672"/>
      <c r="C868" s="672"/>
      <c r="D868" s="672"/>
      <c r="E868" s="672"/>
      <c r="F868" s="672"/>
      <c r="G868" s="672"/>
      <c r="H868" s="672"/>
      <c r="I868" s="672"/>
      <c r="J868" s="672"/>
      <c r="K868" s="672"/>
      <c r="L868" s="673"/>
    </row>
    <row r="869" spans="1:12">
      <c r="A869" s="672"/>
      <c r="B869" s="672"/>
      <c r="C869" s="672"/>
      <c r="D869" s="672"/>
      <c r="E869" s="672"/>
      <c r="F869" s="672"/>
      <c r="G869" s="672"/>
      <c r="H869" s="672"/>
      <c r="I869" s="672"/>
      <c r="J869" s="672"/>
      <c r="K869" s="672"/>
      <c r="L869" s="673"/>
    </row>
    <row r="870" spans="1:12">
      <c r="A870" s="672"/>
      <c r="B870" s="672"/>
      <c r="C870" s="672"/>
      <c r="D870" s="672"/>
      <c r="E870" s="672"/>
      <c r="F870" s="672"/>
      <c r="G870" s="672"/>
      <c r="H870" s="672"/>
      <c r="I870" s="672"/>
      <c r="J870" s="672"/>
      <c r="K870" s="672"/>
      <c r="L870" s="673"/>
    </row>
    <row r="871" spans="1:12">
      <c r="A871" s="672"/>
      <c r="B871" s="672"/>
      <c r="C871" s="672"/>
      <c r="D871" s="672"/>
      <c r="E871" s="672"/>
      <c r="F871" s="672"/>
      <c r="G871" s="672"/>
      <c r="H871" s="672"/>
      <c r="I871" s="672"/>
      <c r="J871" s="672"/>
      <c r="K871" s="672"/>
      <c r="L871" s="673"/>
    </row>
    <row r="872" spans="1:12">
      <c r="A872" s="672"/>
      <c r="B872" s="672"/>
      <c r="C872" s="672"/>
      <c r="D872" s="672"/>
      <c r="E872" s="672"/>
      <c r="F872" s="672"/>
      <c r="G872" s="672"/>
      <c r="H872" s="672"/>
      <c r="I872" s="672"/>
      <c r="J872" s="672"/>
      <c r="K872" s="672"/>
      <c r="L872" s="673"/>
    </row>
    <row r="873" spans="1:12">
      <c r="A873" s="672"/>
      <c r="B873" s="672"/>
      <c r="C873" s="672"/>
      <c r="D873" s="672"/>
      <c r="E873" s="672"/>
      <c r="F873" s="672"/>
      <c r="G873" s="672"/>
      <c r="H873" s="672"/>
      <c r="I873" s="672"/>
      <c r="J873" s="672"/>
      <c r="K873" s="672"/>
      <c r="L873" s="673"/>
    </row>
    <row r="874" spans="1:12">
      <c r="A874" s="672"/>
      <c r="B874" s="672"/>
      <c r="C874" s="672"/>
      <c r="D874" s="672"/>
      <c r="E874" s="672"/>
      <c r="F874" s="672"/>
      <c r="G874" s="672"/>
      <c r="H874" s="672"/>
      <c r="I874" s="672"/>
      <c r="J874" s="672"/>
      <c r="K874" s="672"/>
      <c r="L874" s="673"/>
    </row>
    <row r="875" spans="1:12">
      <c r="A875" s="672"/>
      <c r="B875" s="672"/>
      <c r="C875" s="672"/>
      <c r="D875" s="672"/>
      <c r="E875" s="672"/>
      <c r="F875" s="672"/>
      <c r="G875" s="672"/>
      <c r="H875" s="672"/>
      <c r="I875" s="672"/>
      <c r="J875" s="672"/>
      <c r="K875" s="672"/>
      <c r="L875" s="673"/>
    </row>
    <row r="876" spans="1:12">
      <c r="A876" s="672"/>
      <c r="B876" s="672"/>
      <c r="C876" s="672"/>
      <c r="D876" s="672"/>
      <c r="E876" s="672"/>
      <c r="F876" s="672"/>
      <c r="G876" s="672"/>
      <c r="H876" s="672"/>
      <c r="I876" s="672"/>
      <c r="J876" s="672"/>
      <c r="K876" s="672"/>
      <c r="L876" s="673"/>
    </row>
    <row r="877" spans="1:12">
      <c r="A877" s="672"/>
      <c r="B877" s="672"/>
      <c r="C877" s="672"/>
      <c r="D877" s="672"/>
      <c r="E877" s="672"/>
      <c r="F877" s="672"/>
      <c r="G877" s="672"/>
      <c r="H877" s="672"/>
      <c r="I877" s="672"/>
      <c r="J877" s="672"/>
      <c r="K877" s="672"/>
      <c r="L877" s="673"/>
    </row>
    <row r="878" spans="1:12">
      <c r="A878" s="672"/>
      <c r="B878" s="672"/>
      <c r="C878" s="672"/>
      <c r="D878" s="672"/>
      <c r="E878" s="672"/>
      <c r="F878" s="672"/>
      <c r="G878" s="672"/>
      <c r="H878" s="672"/>
      <c r="I878" s="672"/>
      <c r="J878" s="672"/>
      <c r="K878" s="672"/>
      <c r="L878" s="673"/>
    </row>
    <row r="879" spans="1:12">
      <c r="A879" s="672"/>
      <c r="B879" s="672"/>
      <c r="C879" s="672"/>
      <c r="D879" s="672"/>
      <c r="E879" s="672"/>
      <c r="F879" s="672"/>
      <c r="G879" s="672"/>
      <c r="H879" s="672"/>
      <c r="I879" s="672"/>
      <c r="J879" s="672"/>
      <c r="K879" s="672"/>
      <c r="L879" s="673"/>
    </row>
    <row r="880" spans="1:12">
      <c r="A880" s="672"/>
      <c r="B880" s="672"/>
      <c r="C880" s="672"/>
      <c r="D880" s="672"/>
      <c r="E880" s="672"/>
      <c r="F880" s="672"/>
      <c r="G880" s="672"/>
      <c r="H880" s="672"/>
      <c r="I880" s="672"/>
      <c r="J880" s="672"/>
      <c r="K880" s="672"/>
      <c r="L880" s="673"/>
    </row>
    <row r="881" spans="1:12">
      <c r="A881" s="672"/>
      <c r="B881" s="672"/>
      <c r="C881" s="672"/>
      <c r="D881" s="672"/>
      <c r="E881" s="672"/>
      <c r="F881" s="672"/>
      <c r="G881" s="672"/>
      <c r="H881" s="672"/>
      <c r="I881" s="672"/>
      <c r="J881" s="672"/>
      <c r="K881" s="672"/>
      <c r="L881" s="673"/>
    </row>
    <row r="882" spans="1:12">
      <c r="A882" s="672"/>
      <c r="B882" s="672"/>
      <c r="C882" s="672"/>
      <c r="D882" s="672"/>
      <c r="E882" s="672"/>
      <c r="F882" s="672"/>
      <c r="G882" s="672"/>
      <c r="H882" s="672"/>
      <c r="I882" s="672"/>
      <c r="J882" s="672"/>
      <c r="K882" s="672"/>
      <c r="L882" s="673"/>
    </row>
    <row r="883" spans="1:12">
      <c r="A883" s="672"/>
      <c r="B883" s="672"/>
      <c r="C883" s="672"/>
      <c r="D883" s="672"/>
      <c r="E883" s="672"/>
      <c r="F883" s="672"/>
      <c r="G883" s="672"/>
      <c r="H883" s="672"/>
      <c r="I883" s="672"/>
      <c r="J883" s="672"/>
      <c r="K883" s="672"/>
      <c r="L883" s="673"/>
    </row>
    <row r="884" spans="1:12">
      <c r="A884" s="672"/>
      <c r="B884" s="672"/>
      <c r="C884" s="672"/>
      <c r="D884" s="672"/>
      <c r="E884" s="672"/>
      <c r="F884" s="672"/>
      <c r="G884" s="672"/>
      <c r="H884" s="672"/>
      <c r="I884" s="672"/>
      <c r="J884" s="672"/>
      <c r="K884" s="672"/>
      <c r="L884" s="673"/>
    </row>
    <row r="885" spans="1:12">
      <c r="A885" s="672"/>
      <c r="B885" s="672"/>
      <c r="C885" s="672"/>
      <c r="D885" s="672"/>
      <c r="E885" s="672"/>
      <c r="F885" s="672"/>
      <c r="G885" s="672"/>
      <c r="H885" s="672"/>
      <c r="I885" s="672"/>
      <c r="J885" s="672"/>
      <c r="K885" s="672"/>
      <c r="L885" s="673"/>
    </row>
    <row r="886" spans="1:12">
      <c r="A886" s="672"/>
      <c r="B886" s="672"/>
      <c r="C886" s="672"/>
      <c r="D886" s="672"/>
      <c r="E886" s="672"/>
      <c r="F886" s="672"/>
      <c r="G886" s="672"/>
      <c r="H886" s="672"/>
      <c r="I886" s="672"/>
      <c r="J886" s="672"/>
      <c r="K886" s="672"/>
      <c r="L886" s="673"/>
    </row>
    <row r="887" spans="1:12">
      <c r="A887" s="672"/>
      <c r="B887" s="672"/>
      <c r="C887" s="672"/>
      <c r="D887" s="672"/>
      <c r="E887" s="672"/>
      <c r="F887" s="672"/>
      <c r="G887" s="672"/>
      <c r="H887" s="672"/>
      <c r="I887" s="672"/>
      <c r="J887" s="672"/>
      <c r="K887" s="672"/>
      <c r="L887" s="673"/>
    </row>
    <row r="888" spans="1:12">
      <c r="A888" s="672"/>
      <c r="B888" s="672"/>
      <c r="C888" s="672"/>
      <c r="D888" s="672"/>
      <c r="E888" s="672"/>
      <c r="F888" s="672"/>
      <c r="G888" s="672"/>
      <c r="H888" s="672"/>
      <c r="I888" s="672"/>
      <c r="J888" s="672"/>
      <c r="K888" s="672"/>
      <c r="L888" s="673"/>
    </row>
    <row r="889" spans="1:12">
      <c r="A889" s="672"/>
      <c r="B889" s="672"/>
      <c r="C889" s="672"/>
      <c r="D889" s="672"/>
      <c r="E889" s="672"/>
      <c r="F889" s="672"/>
      <c r="G889" s="672"/>
      <c r="H889" s="672"/>
      <c r="I889" s="672"/>
      <c r="J889" s="672"/>
      <c r="K889" s="672"/>
      <c r="L889" s="673"/>
    </row>
    <row r="890" spans="1:12">
      <c r="A890" s="672"/>
      <c r="B890" s="672"/>
      <c r="C890" s="672"/>
      <c r="D890" s="672"/>
      <c r="E890" s="672"/>
      <c r="F890" s="672"/>
      <c r="G890" s="672"/>
      <c r="H890" s="672"/>
      <c r="I890" s="672"/>
      <c r="J890" s="672"/>
      <c r="K890" s="672"/>
      <c r="L890" s="673"/>
    </row>
    <row r="891" spans="1:12">
      <c r="A891" s="672"/>
      <c r="B891" s="672"/>
      <c r="C891" s="672"/>
      <c r="D891" s="672"/>
      <c r="E891" s="672"/>
      <c r="F891" s="672"/>
      <c r="G891" s="672"/>
      <c r="H891" s="672"/>
      <c r="I891" s="672"/>
      <c r="J891" s="672"/>
      <c r="K891" s="672"/>
      <c r="L891" s="673"/>
    </row>
    <row r="892" spans="1:12">
      <c r="A892" s="672"/>
      <c r="B892" s="672"/>
      <c r="C892" s="672"/>
      <c r="D892" s="672"/>
      <c r="E892" s="672"/>
      <c r="F892" s="672"/>
      <c r="G892" s="672"/>
      <c r="H892" s="672"/>
      <c r="I892" s="672"/>
      <c r="J892" s="672"/>
      <c r="K892" s="672"/>
      <c r="L892" s="673"/>
    </row>
    <row r="893" spans="1:12">
      <c r="A893" s="672"/>
      <c r="B893" s="672"/>
      <c r="C893" s="672"/>
      <c r="D893" s="672"/>
      <c r="E893" s="672"/>
      <c r="F893" s="672"/>
      <c r="G893" s="672"/>
      <c r="H893" s="672"/>
      <c r="I893" s="672"/>
      <c r="J893" s="672"/>
      <c r="K893" s="672"/>
      <c r="L893" s="673"/>
    </row>
    <row r="894" spans="1:12">
      <c r="A894" s="672"/>
      <c r="B894" s="672"/>
      <c r="C894" s="672"/>
      <c r="D894" s="672"/>
      <c r="E894" s="672"/>
      <c r="F894" s="672"/>
      <c r="G894" s="672"/>
      <c r="H894" s="672"/>
      <c r="I894" s="672"/>
      <c r="J894" s="672"/>
      <c r="K894" s="672"/>
      <c r="L894" s="673"/>
    </row>
    <row r="895" spans="1:12">
      <c r="A895" s="672"/>
      <c r="B895" s="672"/>
      <c r="C895" s="672"/>
      <c r="D895" s="672"/>
      <c r="E895" s="672"/>
      <c r="F895" s="672"/>
      <c r="G895" s="672"/>
      <c r="H895" s="672"/>
      <c r="I895" s="672"/>
      <c r="J895" s="672"/>
      <c r="K895" s="672"/>
      <c r="L895" s="673"/>
    </row>
    <row r="896" spans="1:12">
      <c r="A896" s="672"/>
      <c r="B896" s="672"/>
      <c r="C896" s="672"/>
      <c r="D896" s="672"/>
      <c r="E896" s="672"/>
      <c r="F896" s="672"/>
      <c r="G896" s="672"/>
      <c r="H896" s="672"/>
      <c r="I896" s="672"/>
      <c r="J896" s="672"/>
      <c r="K896" s="672"/>
      <c r="L896" s="673"/>
    </row>
    <row r="897" spans="1:12">
      <c r="A897" s="672"/>
      <c r="B897" s="672"/>
      <c r="C897" s="672"/>
      <c r="D897" s="672"/>
      <c r="E897" s="672"/>
      <c r="F897" s="672"/>
      <c r="G897" s="672"/>
      <c r="H897" s="672"/>
      <c r="I897" s="672"/>
      <c r="J897" s="672"/>
      <c r="K897" s="672"/>
      <c r="L897" s="673"/>
    </row>
    <row r="898" spans="1:12">
      <c r="A898" s="672"/>
      <c r="B898" s="672"/>
      <c r="C898" s="672"/>
      <c r="D898" s="672"/>
      <c r="E898" s="672"/>
      <c r="F898" s="672"/>
      <c r="G898" s="672"/>
      <c r="H898" s="672"/>
      <c r="I898" s="672"/>
      <c r="J898" s="672"/>
      <c r="K898" s="672"/>
      <c r="L898" s="673"/>
    </row>
    <row r="899" spans="1:12">
      <c r="A899" s="672"/>
      <c r="B899" s="672"/>
      <c r="C899" s="672"/>
      <c r="D899" s="672"/>
      <c r="E899" s="672"/>
      <c r="F899" s="672"/>
      <c r="G899" s="672"/>
      <c r="H899" s="672"/>
      <c r="I899" s="672"/>
      <c r="J899" s="672"/>
      <c r="K899" s="672"/>
      <c r="L899" s="673"/>
    </row>
    <row r="900" spans="1:12">
      <c r="A900" s="672"/>
      <c r="B900" s="672"/>
      <c r="C900" s="672"/>
      <c r="D900" s="672"/>
      <c r="E900" s="672"/>
      <c r="F900" s="672"/>
      <c r="G900" s="672"/>
      <c r="H900" s="672"/>
      <c r="I900" s="672"/>
      <c r="J900" s="672"/>
      <c r="K900" s="672"/>
      <c r="L900" s="673"/>
    </row>
    <row r="901" spans="1:12">
      <c r="A901" s="672"/>
      <c r="B901" s="672"/>
      <c r="C901" s="672"/>
      <c r="D901" s="672"/>
      <c r="E901" s="672"/>
      <c r="F901" s="672"/>
      <c r="G901" s="672"/>
      <c r="H901" s="672"/>
      <c r="I901" s="672"/>
      <c r="J901" s="672"/>
      <c r="K901" s="672"/>
      <c r="L901" s="673"/>
    </row>
    <row r="902" spans="1:12">
      <c r="A902" s="672"/>
      <c r="B902" s="672"/>
      <c r="C902" s="672"/>
      <c r="D902" s="672"/>
      <c r="E902" s="672"/>
      <c r="F902" s="672"/>
      <c r="G902" s="672"/>
      <c r="H902" s="672"/>
      <c r="I902" s="672"/>
      <c r="J902" s="672"/>
      <c r="K902" s="672"/>
      <c r="L902" s="673"/>
    </row>
    <row r="903" spans="1:12">
      <c r="A903" s="672"/>
      <c r="B903" s="672"/>
      <c r="C903" s="672"/>
      <c r="D903" s="672"/>
      <c r="E903" s="672"/>
      <c r="F903" s="672"/>
      <c r="G903" s="672"/>
      <c r="H903" s="672"/>
      <c r="I903" s="672"/>
      <c r="J903" s="672"/>
      <c r="K903" s="672"/>
      <c r="L903" s="673"/>
    </row>
    <row r="904" spans="1:12">
      <c r="A904" s="672"/>
      <c r="B904" s="672"/>
      <c r="C904" s="672"/>
      <c r="D904" s="672"/>
      <c r="E904" s="672"/>
      <c r="F904" s="672"/>
      <c r="G904" s="672"/>
      <c r="H904" s="672"/>
      <c r="I904" s="672"/>
      <c r="J904" s="672"/>
      <c r="K904" s="672"/>
      <c r="L904" s="673"/>
    </row>
    <row r="905" spans="1:12">
      <c r="A905" s="672"/>
      <c r="B905" s="672"/>
      <c r="C905" s="672"/>
      <c r="D905" s="672"/>
      <c r="E905" s="672"/>
      <c r="F905" s="672"/>
      <c r="G905" s="672"/>
      <c r="H905" s="672"/>
      <c r="I905" s="672"/>
      <c r="J905" s="672"/>
      <c r="K905" s="672"/>
      <c r="L905" s="673"/>
    </row>
    <row r="906" spans="1:12">
      <c r="A906" s="672"/>
      <c r="B906" s="672"/>
      <c r="C906" s="672"/>
      <c r="D906" s="672"/>
      <c r="E906" s="672"/>
      <c r="F906" s="672"/>
      <c r="G906" s="672"/>
      <c r="H906" s="672"/>
      <c r="I906" s="672"/>
      <c r="J906" s="672"/>
      <c r="K906" s="672"/>
      <c r="L906" s="673"/>
    </row>
    <row r="907" spans="1:12">
      <c r="A907" s="672"/>
      <c r="B907" s="672"/>
      <c r="C907" s="672"/>
      <c r="D907" s="672"/>
      <c r="E907" s="672"/>
      <c r="F907" s="672"/>
      <c r="G907" s="672"/>
      <c r="H907" s="672"/>
      <c r="I907" s="672"/>
      <c r="J907" s="672"/>
      <c r="K907" s="672"/>
      <c r="L907" s="673"/>
    </row>
    <row r="908" spans="1:12">
      <c r="A908" s="672"/>
      <c r="B908" s="672"/>
      <c r="C908" s="672"/>
      <c r="D908" s="672"/>
      <c r="E908" s="672"/>
      <c r="F908" s="672"/>
      <c r="G908" s="672"/>
      <c r="H908" s="672"/>
      <c r="I908" s="672"/>
      <c r="J908" s="672"/>
      <c r="K908" s="672"/>
      <c r="L908" s="673"/>
    </row>
    <row r="909" spans="1:12">
      <c r="A909" s="672"/>
      <c r="B909" s="672"/>
      <c r="C909" s="672"/>
      <c r="D909" s="672"/>
      <c r="E909" s="672"/>
      <c r="F909" s="672"/>
      <c r="G909" s="672"/>
      <c r="H909" s="672"/>
      <c r="I909" s="672"/>
      <c r="J909" s="672"/>
      <c r="K909" s="672"/>
      <c r="L909" s="673"/>
    </row>
    <row r="910" spans="1:12">
      <c r="A910" s="672"/>
      <c r="B910" s="672"/>
      <c r="C910" s="672"/>
      <c r="D910" s="672"/>
      <c r="E910" s="672"/>
      <c r="F910" s="672"/>
      <c r="G910" s="672"/>
      <c r="H910" s="672"/>
      <c r="I910" s="672"/>
      <c r="J910" s="672"/>
      <c r="K910" s="672"/>
      <c r="L910" s="673"/>
    </row>
    <row r="911" spans="1:12">
      <c r="A911" s="672"/>
      <c r="B911" s="672"/>
      <c r="C911" s="672"/>
      <c r="D911" s="672"/>
      <c r="E911" s="672"/>
      <c r="F911" s="672"/>
      <c r="G911" s="672"/>
      <c r="H911" s="672"/>
      <c r="I911" s="672"/>
      <c r="J911" s="672"/>
      <c r="K911" s="672"/>
      <c r="L911" s="673"/>
    </row>
    <row r="912" spans="1:12">
      <c r="A912" s="672"/>
      <c r="B912" s="672"/>
      <c r="C912" s="672"/>
      <c r="D912" s="672"/>
      <c r="E912" s="672"/>
      <c r="F912" s="672"/>
      <c r="G912" s="672"/>
      <c r="H912" s="672"/>
      <c r="I912" s="672"/>
      <c r="J912" s="672"/>
      <c r="K912" s="672"/>
      <c r="L912" s="673"/>
    </row>
    <row r="913" spans="1:12">
      <c r="A913" s="672"/>
      <c r="B913" s="672"/>
      <c r="C913" s="672"/>
      <c r="D913" s="672"/>
      <c r="E913" s="672"/>
      <c r="F913" s="672"/>
      <c r="G913" s="672"/>
      <c r="H913" s="672"/>
      <c r="I913" s="672"/>
      <c r="J913" s="672"/>
      <c r="K913" s="672"/>
      <c r="L913" s="673"/>
    </row>
    <row r="914" spans="1:12">
      <c r="A914" s="672"/>
      <c r="B914" s="672"/>
      <c r="C914" s="672"/>
      <c r="D914" s="672"/>
      <c r="E914" s="672"/>
      <c r="F914" s="672"/>
      <c r="G914" s="672"/>
      <c r="H914" s="672"/>
      <c r="I914" s="672"/>
      <c r="J914" s="672"/>
      <c r="K914" s="672"/>
      <c r="L914" s="673"/>
    </row>
    <row r="915" spans="1:12">
      <c r="A915" s="672"/>
      <c r="B915" s="672"/>
      <c r="C915" s="672"/>
      <c r="D915" s="672"/>
      <c r="E915" s="672"/>
      <c r="F915" s="672"/>
      <c r="G915" s="672"/>
      <c r="H915" s="672"/>
      <c r="I915" s="672"/>
      <c r="J915" s="672"/>
      <c r="K915" s="672"/>
      <c r="L915" s="673"/>
    </row>
    <row r="916" spans="1:12">
      <c r="A916" s="672"/>
      <c r="B916" s="672"/>
      <c r="C916" s="672"/>
      <c r="D916" s="672"/>
      <c r="E916" s="672"/>
      <c r="F916" s="672"/>
      <c r="G916" s="672"/>
      <c r="H916" s="672"/>
      <c r="I916" s="672"/>
      <c r="J916" s="672"/>
      <c r="K916" s="672"/>
      <c r="L916" s="673"/>
    </row>
    <row r="917" spans="1:12">
      <c r="A917" s="672"/>
      <c r="B917" s="672"/>
      <c r="C917" s="672"/>
      <c r="D917" s="672"/>
      <c r="E917" s="672"/>
      <c r="F917" s="672"/>
      <c r="G917" s="672"/>
      <c r="H917" s="672"/>
      <c r="I917" s="672"/>
      <c r="J917" s="672"/>
      <c r="K917" s="672"/>
      <c r="L917" s="673"/>
    </row>
    <row r="918" spans="1:12">
      <c r="A918" s="672"/>
      <c r="B918" s="672"/>
      <c r="C918" s="672"/>
      <c r="D918" s="672"/>
      <c r="E918" s="672"/>
      <c r="F918" s="672"/>
      <c r="G918" s="672"/>
      <c r="H918" s="672"/>
      <c r="I918" s="672"/>
      <c r="J918" s="672"/>
      <c r="K918" s="672"/>
      <c r="L918" s="673"/>
    </row>
    <row r="919" spans="1:12">
      <c r="A919" s="672"/>
      <c r="B919" s="672"/>
      <c r="C919" s="672"/>
      <c r="D919" s="672"/>
      <c r="E919" s="672"/>
      <c r="F919" s="672"/>
      <c r="G919" s="672"/>
      <c r="H919" s="672"/>
      <c r="I919" s="672"/>
      <c r="J919" s="672"/>
      <c r="K919" s="672"/>
      <c r="L919" s="673"/>
    </row>
    <row r="920" spans="1:12">
      <c r="A920" s="672"/>
      <c r="B920" s="672"/>
      <c r="C920" s="672"/>
      <c r="D920" s="672"/>
      <c r="E920" s="672"/>
      <c r="F920" s="672"/>
      <c r="G920" s="672"/>
      <c r="H920" s="672"/>
      <c r="I920" s="672"/>
      <c r="J920" s="672"/>
      <c r="K920" s="672"/>
      <c r="L920" s="673"/>
    </row>
    <row r="921" spans="1:12">
      <c r="A921" s="672"/>
      <c r="B921" s="672"/>
      <c r="C921" s="672"/>
      <c r="D921" s="672"/>
      <c r="E921" s="672"/>
      <c r="F921" s="672"/>
      <c r="G921" s="672"/>
      <c r="H921" s="672"/>
      <c r="I921" s="672"/>
      <c r="J921" s="672"/>
      <c r="K921" s="672"/>
      <c r="L921" s="673"/>
    </row>
    <row r="922" spans="1:12">
      <c r="A922" s="672"/>
      <c r="B922" s="672"/>
      <c r="C922" s="672"/>
      <c r="D922" s="672"/>
      <c r="E922" s="672"/>
      <c r="F922" s="672"/>
      <c r="G922" s="672"/>
      <c r="H922" s="672"/>
      <c r="I922" s="672"/>
      <c r="J922" s="672"/>
      <c r="K922" s="672"/>
      <c r="L922" s="673"/>
    </row>
    <row r="923" spans="1:12">
      <c r="A923" s="672"/>
      <c r="B923" s="672"/>
      <c r="C923" s="672"/>
      <c r="D923" s="672"/>
      <c r="E923" s="672"/>
      <c r="F923" s="672"/>
      <c r="G923" s="672"/>
      <c r="H923" s="672"/>
      <c r="I923" s="672"/>
      <c r="J923" s="672"/>
      <c r="K923" s="672"/>
      <c r="L923" s="673"/>
    </row>
    <row r="924" spans="1:12">
      <c r="A924" s="672"/>
      <c r="B924" s="672"/>
      <c r="C924" s="672"/>
      <c r="D924" s="672"/>
      <c r="E924" s="672"/>
      <c r="F924" s="672"/>
      <c r="G924" s="672"/>
      <c r="H924" s="672"/>
      <c r="I924" s="672"/>
      <c r="J924" s="672"/>
      <c r="K924" s="672"/>
      <c r="L924" s="673"/>
    </row>
    <row r="925" spans="1:12">
      <c r="A925" s="672"/>
      <c r="B925" s="672"/>
      <c r="C925" s="672"/>
      <c r="D925" s="672"/>
      <c r="E925" s="672"/>
      <c r="F925" s="672"/>
      <c r="G925" s="672"/>
      <c r="H925" s="672"/>
      <c r="I925" s="672"/>
      <c r="J925" s="672"/>
      <c r="K925" s="672"/>
      <c r="L925" s="673"/>
    </row>
    <row r="926" spans="1:12">
      <c r="A926" s="672"/>
      <c r="B926" s="672"/>
      <c r="C926" s="672"/>
      <c r="D926" s="672"/>
      <c r="E926" s="672"/>
      <c r="F926" s="672"/>
      <c r="G926" s="672"/>
      <c r="H926" s="672"/>
      <c r="I926" s="672"/>
      <c r="J926" s="672"/>
      <c r="K926" s="672"/>
      <c r="L926" s="673"/>
    </row>
    <row r="927" spans="1:12">
      <c r="A927" s="672"/>
      <c r="B927" s="672"/>
      <c r="C927" s="672"/>
      <c r="D927" s="672"/>
      <c r="E927" s="672"/>
      <c r="F927" s="672"/>
      <c r="G927" s="672"/>
      <c r="H927" s="672"/>
      <c r="I927" s="672"/>
      <c r="J927" s="672"/>
      <c r="K927" s="672"/>
      <c r="L927" s="673"/>
    </row>
    <row r="928" spans="1:12">
      <c r="A928" s="672"/>
      <c r="B928" s="672"/>
      <c r="C928" s="672"/>
      <c r="D928" s="672"/>
      <c r="E928" s="672"/>
      <c r="F928" s="672"/>
      <c r="G928" s="672"/>
      <c r="H928" s="672"/>
      <c r="I928" s="672"/>
      <c r="J928" s="672"/>
      <c r="K928" s="672"/>
      <c r="L928" s="673"/>
    </row>
    <row r="929" spans="1:12">
      <c r="A929" s="672"/>
      <c r="B929" s="672"/>
      <c r="C929" s="672"/>
      <c r="D929" s="672"/>
      <c r="E929" s="672"/>
      <c r="F929" s="672"/>
      <c r="G929" s="672"/>
      <c r="H929" s="672"/>
      <c r="I929" s="672"/>
      <c r="J929" s="672"/>
      <c r="K929" s="672"/>
      <c r="L929" s="673"/>
    </row>
    <row r="930" spans="1:12">
      <c r="A930" s="672"/>
      <c r="B930" s="672"/>
      <c r="C930" s="672"/>
      <c r="D930" s="672"/>
      <c r="E930" s="672"/>
      <c r="F930" s="672"/>
      <c r="G930" s="672"/>
      <c r="H930" s="672"/>
      <c r="I930" s="672"/>
      <c r="J930" s="672"/>
      <c r="K930" s="672"/>
      <c r="L930" s="673"/>
    </row>
    <row r="931" spans="1:12">
      <c r="A931" s="672"/>
      <c r="B931" s="672"/>
      <c r="C931" s="672"/>
      <c r="D931" s="672"/>
      <c r="E931" s="672"/>
      <c r="F931" s="672"/>
      <c r="G931" s="672"/>
      <c r="H931" s="672"/>
      <c r="I931" s="672"/>
      <c r="J931" s="672"/>
      <c r="K931" s="672"/>
      <c r="L931" s="673"/>
    </row>
    <row r="932" spans="1:12">
      <c r="A932" s="672"/>
      <c r="B932" s="672"/>
      <c r="C932" s="672"/>
      <c r="D932" s="672"/>
      <c r="E932" s="672"/>
      <c r="F932" s="672"/>
      <c r="G932" s="672"/>
      <c r="H932" s="672"/>
      <c r="I932" s="672"/>
      <c r="J932" s="672"/>
      <c r="K932" s="672"/>
      <c r="L932" s="673"/>
    </row>
    <row r="933" spans="1:12">
      <c r="A933" s="672"/>
      <c r="B933" s="672"/>
      <c r="C933" s="672"/>
      <c r="D933" s="672"/>
      <c r="E933" s="672"/>
      <c r="F933" s="672"/>
      <c r="G933" s="672"/>
      <c r="H933" s="672"/>
      <c r="I933" s="672"/>
      <c r="J933" s="672"/>
      <c r="K933" s="672"/>
      <c r="L933" s="673"/>
    </row>
    <row r="934" spans="1:12">
      <c r="A934" s="672"/>
      <c r="B934" s="672"/>
      <c r="C934" s="672"/>
      <c r="D934" s="672"/>
      <c r="E934" s="672"/>
      <c r="F934" s="672"/>
      <c r="G934" s="672"/>
      <c r="H934" s="672"/>
      <c r="I934" s="672"/>
      <c r="J934" s="672"/>
      <c r="K934" s="672"/>
      <c r="L934" s="673"/>
    </row>
    <row r="935" spans="1:12">
      <c r="A935" s="672"/>
      <c r="B935" s="672"/>
      <c r="C935" s="672"/>
      <c r="D935" s="672"/>
      <c r="E935" s="672"/>
      <c r="F935" s="672"/>
      <c r="G935" s="672"/>
      <c r="H935" s="672"/>
      <c r="I935" s="672"/>
      <c r="J935" s="672"/>
      <c r="K935" s="672"/>
      <c r="L935" s="673"/>
    </row>
    <row r="936" spans="1:12">
      <c r="A936" s="672"/>
      <c r="B936" s="672"/>
      <c r="C936" s="672"/>
      <c r="D936" s="672"/>
      <c r="E936" s="672"/>
      <c r="F936" s="672"/>
      <c r="G936" s="672"/>
      <c r="H936" s="672"/>
      <c r="I936" s="672"/>
      <c r="J936" s="672"/>
      <c r="K936" s="672"/>
      <c r="L936" s="673"/>
    </row>
    <row r="937" spans="1:12">
      <c r="A937" s="672"/>
      <c r="B937" s="672"/>
      <c r="C937" s="672"/>
      <c r="D937" s="672"/>
      <c r="E937" s="672"/>
      <c r="F937" s="672"/>
      <c r="G937" s="672"/>
      <c r="H937" s="672"/>
      <c r="I937" s="672"/>
      <c r="J937" s="672"/>
      <c r="K937" s="672"/>
      <c r="L937" s="673"/>
    </row>
    <row r="938" spans="1:12">
      <c r="A938" s="672"/>
      <c r="B938" s="672"/>
      <c r="C938" s="672"/>
      <c r="D938" s="672"/>
      <c r="E938" s="672"/>
      <c r="F938" s="672"/>
      <c r="G938" s="672"/>
      <c r="H938" s="672"/>
      <c r="I938" s="672"/>
      <c r="J938" s="672"/>
      <c r="K938" s="672"/>
      <c r="L938" s="673"/>
    </row>
    <row r="939" spans="1:12">
      <c r="A939" s="672"/>
      <c r="B939" s="672"/>
      <c r="C939" s="672"/>
      <c r="D939" s="672"/>
      <c r="E939" s="672"/>
      <c r="F939" s="672"/>
      <c r="G939" s="672"/>
      <c r="H939" s="672"/>
      <c r="I939" s="672"/>
      <c r="J939" s="672"/>
      <c r="K939" s="672"/>
      <c r="L939" s="673"/>
    </row>
    <row r="940" spans="1:12">
      <c r="A940" s="672"/>
      <c r="B940" s="672"/>
      <c r="C940" s="672"/>
      <c r="D940" s="672"/>
      <c r="E940" s="672"/>
      <c r="F940" s="672"/>
      <c r="G940" s="672"/>
      <c r="H940" s="672"/>
      <c r="I940" s="672"/>
      <c r="J940" s="672"/>
      <c r="K940" s="672"/>
      <c r="L940" s="673"/>
    </row>
    <row r="941" spans="1:12">
      <c r="A941" s="672"/>
      <c r="B941" s="672"/>
      <c r="C941" s="672"/>
      <c r="D941" s="672"/>
      <c r="E941" s="672"/>
      <c r="F941" s="672"/>
      <c r="G941" s="672"/>
      <c r="H941" s="672"/>
      <c r="I941" s="672"/>
      <c r="J941" s="672"/>
      <c r="K941" s="672"/>
      <c r="L941" s="673"/>
    </row>
    <row r="942" spans="1:12">
      <c r="A942" s="672"/>
      <c r="B942" s="672"/>
      <c r="C942" s="672"/>
      <c r="D942" s="672"/>
      <c r="E942" s="672"/>
      <c r="F942" s="672"/>
      <c r="G942" s="672"/>
      <c r="H942" s="672"/>
      <c r="I942" s="672"/>
      <c r="J942" s="672"/>
      <c r="K942" s="672"/>
      <c r="L942" s="673"/>
    </row>
    <row r="943" spans="1:12">
      <c r="A943" s="672"/>
      <c r="B943" s="672"/>
      <c r="C943" s="672"/>
      <c r="D943" s="672"/>
      <c r="E943" s="672"/>
      <c r="F943" s="672"/>
      <c r="G943" s="672"/>
      <c r="H943" s="672"/>
      <c r="I943" s="672"/>
      <c r="J943" s="672"/>
      <c r="K943" s="672"/>
      <c r="L943" s="673"/>
    </row>
    <row r="944" spans="1:12">
      <c r="A944" s="672"/>
      <c r="B944" s="672"/>
      <c r="C944" s="672"/>
      <c r="D944" s="672"/>
      <c r="E944" s="672"/>
      <c r="F944" s="672"/>
      <c r="G944" s="672"/>
      <c r="H944" s="672"/>
      <c r="I944" s="672"/>
      <c r="J944" s="672"/>
      <c r="K944" s="672"/>
      <c r="L944" s="673"/>
    </row>
    <row r="945" spans="1:12">
      <c r="A945" s="672"/>
      <c r="B945" s="672"/>
      <c r="C945" s="672"/>
      <c r="D945" s="672"/>
      <c r="E945" s="672"/>
      <c r="F945" s="672"/>
      <c r="G945" s="672"/>
      <c r="H945" s="672"/>
      <c r="I945" s="672"/>
      <c r="J945" s="672"/>
      <c r="K945" s="672"/>
      <c r="L945" s="673"/>
    </row>
    <row r="946" spans="1:12">
      <c r="A946" s="672"/>
      <c r="B946" s="672"/>
      <c r="C946" s="672"/>
      <c r="D946" s="672"/>
      <c r="E946" s="672"/>
      <c r="F946" s="672"/>
      <c r="G946" s="672"/>
      <c r="H946" s="672"/>
      <c r="I946" s="672"/>
      <c r="J946" s="672"/>
      <c r="K946" s="672"/>
      <c r="L946" s="673"/>
    </row>
    <row r="947" spans="1:12">
      <c r="A947" s="672"/>
      <c r="B947" s="672"/>
      <c r="C947" s="672"/>
      <c r="D947" s="672"/>
      <c r="E947" s="672"/>
      <c r="F947" s="672"/>
      <c r="G947" s="672"/>
      <c r="H947" s="672"/>
      <c r="I947" s="672"/>
      <c r="J947" s="672"/>
      <c r="K947" s="672"/>
      <c r="L947" s="673"/>
    </row>
    <row r="948" spans="1:12">
      <c r="A948" s="672"/>
      <c r="B948" s="672"/>
      <c r="C948" s="672"/>
      <c r="D948" s="672"/>
      <c r="E948" s="672"/>
      <c r="F948" s="672"/>
      <c r="G948" s="672"/>
      <c r="H948" s="672"/>
      <c r="I948" s="672"/>
      <c r="J948" s="672"/>
      <c r="K948" s="672"/>
      <c r="L948" s="673"/>
    </row>
    <row r="949" spans="1:12">
      <c r="A949" s="672"/>
      <c r="B949" s="672"/>
      <c r="C949" s="672"/>
      <c r="D949" s="672"/>
      <c r="E949" s="672"/>
      <c r="F949" s="672"/>
      <c r="G949" s="672"/>
      <c r="H949" s="672"/>
      <c r="I949" s="672"/>
      <c r="J949" s="672"/>
      <c r="K949" s="672"/>
      <c r="L949" s="673"/>
    </row>
    <row r="950" spans="1:12">
      <c r="A950" s="672"/>
      <c r="B950" s="672"/>
      <c r="C950" s="672"/>
      <c r="D950" s="672"/>
      <c r="E950" s="672"/>
      <c r="F950" s="672"/>
      <c r="G950" s="672"/>
      <c r="H950" s="672"/>
      <c r="I950" s="672"/>
      <c r="J950" s="672"/>
      <c r="K950" s="672"/>
      <c r="L950" s="673"/>
    </row>
    <row r="951" spans="1:12">
      <c r="A951" s="672"/>
      <c r="B951" s="672"/>
      <c r="C951" s="672"/>
      <c r="D951" s="672"/>
      <c r="E951" s="672"/>
      <c r="F951" s="672"/>
      <c r="G951" s="672"/>
      <c r="H951" s="672"/>
      <c r="I951" s="672"/>
      <c r="J951" s="672"/>
      <c r="K951" s="672"/>
      <c r="L951" s="673"/>
    </row>
    <row r="952" spans="1:12">
      <c r="A952" s="672"/>
      <c r="B952" s="672"/>
      <c r="C952" s="672"/>
      <c r="D952" s="672"/>
      <c r="E952" s="672"/>
      <c r="F952" s="672"/>
      <c r="G952" s="672"/>
      <c r="H952" s="672"/>
      <c r="I952" s="672"/>
      <c r="J952" s="672"/>
      <c r="K952" s="672"/>
      <c r="L952" s="673"/>
    </row>
    <row r="953" spans="1:12">
      <c r="A953" s="672"/>
      <c r="B953" s="672"/>
      <c r="C953" s="672"/>
      <c r="D953" s="672"/>
      <c r="E953" s="672"/>
      <c r="F953" s="672"/>
      <c r="G953" s="672"/>
      <c r="H953" s="672"/>
      <c r="I953" s="672"/>
      <c r="J953" s="672"/>
      <c r="K953" s="672"/>
      <c r="L953" s="673"/>
    </row>
    <row r="954" spans="1:12">
      <c r="A954" s="672"/>
      <c r="B954" s="672"/>
      <c r="C954" s="672"/>
      <c r="D954" s="672"/>
      <c r="E954" s="672"/>
      <c r="F954" s="672"/>
      <c r="G954" s="672"/>
      <c r="H954" s="672"/>
      <c r="I954" s="672"/>
      <c r="J954" s="672"/>
      <c r="K954" s="672"/>
      <c r="L954" s="673"/>
    </row>
    <row r="955" spans="1:12">
      <c r="A955" s="672"/>
      <c r="B955" s="672"/>
      <c r="C955" s="672"/>
      <c r="D955" s="672"/>
      <c r="E955" s="672"/>
      <c r="F955" s="672"/>
      <c r="G955" s="672"/>
      <c r="H955" s="672"/>
      <c r="I955" s="672"/>
      <c r="J955" s="672"/>
      <c r="K955" s="672"/>
      <c r="L955" s="673"/>
    </row>
    <row r="956" spans="1:12">
      <c r="A956" s="672"/>
      <c r="B956" s="672"/>
      <c r="C956" s="672"/>
      <c r="D956" s="672"/>
      <c r="E956" s="672"/>
      <c r="F956" s="672"/>
      <c r="G956" s="672"/>
      <c r="H956" s="672"/>
      <c r="I956" s="672"/>
      <c r="J956" s="672"/>
      <c r="K956" s="672"/>
      <c r="L956" s="673"/>
    </row>
    <row r="957" spans="1:12">
      <c r="A957" s="672"/>
      <c r="B957" s="672"/>
      <c r="C957" s="672"/>
      <c r="D957" s="672"/>
      <c r="E957" s="672"/>
      <c r="F957" s="672"/>
      <c r="G957" s="672"/>
      <c r="H957" s="672"/>
      <c r="I957" s="672"/>
      <c r="J957" s="672"/>
      <c r="K957" s="672"/>
      <c r="L957" s="673"/>
    </row>
    <row r="958" spans="1:12">
      <c r="A958" s="672"/>
      <c r="B958" s="672"/>
      <c r="C958" s="672"/>
      <c r="D958" s="672"/>
      <c r="E958" s="672"/>
      <c r="F958" s="672"/>
      <c r="G958" s="672"/>
      <c r="H958" s="672"/>
      <c r="I958" s="672"/>
      <c r="J958" s="672"/>
      <c r="K958" s="672"/>
      <c r="L958" s="673"/>
    </row>
    <row r="959" spans="1:12">
      <c r="A959" s="672"/>
      <c r="B959" s="672"/>
      <c r="C959" s="672"/>
      <c r="D959" s="672"/>
      <c r="E959" s="672"/>
      <c r="F959" s="672"/>
      <c r="G959" s="672"/>
      <c r="H959" s="672"/>
      <c r="I959" s="672"/>
      <c r="J959" s="672"/>
      <c r="K959" s="672"/>
      <c r="L959" s="673"/>
    </row>
    <row r="960" spans="1:12">
      <c r="A960" s="672"/>
      <c r="B960" s="672"/>
      <c r="C960" s="672"/>
      <c r="D960" s="672"/>
      <c r="E960" s="672"/>
      <c r="F960" s="672"/>
      <c r="G960" s="672"/>
      <c r="H960" s="672"/>
      <c r="I960" s="672"/>
      <c r="J960" s="672"/>
      <c r="K960" s="672"/>
      <c r="L960" s="673"/>
    </row>
    <row r="961" spans="1:12">
      <c r="A961" s="672"/>
      <c r="B961" s="672"/>
      <c r="C961" s="672"/>
      <c r="D961" s="672"/>
      <c r="E961" s="672"/>
      <c r="F961" s="672"/>
      <c r="G961" s="672"/>
      <c r="H961" s="672"/>
      <c r="I961" s="672"/>
      <c r="J961" s="672"/>
      <c r="K961" s="672"/>
      <c r="L961" s="673"/>
    </row>
    <row r="962" spans="1:12">
      <c r="A962" s="672"/>
      <c r="B962" s="672"/>
      <c r="C962" s="672"/>
      <c r="D962" s="672"/>
      <c r="E962" s="672"/>
      <c r="F962" s="672"/>
      <c r="G962" s="672"/>
      <c r="H962" s="672"/>
      <c r="I962" s="672"/>
      <c r="J962" s="672"/>
      <c r="K962" s="672"/>
      <c r="L962" s="673"/>
    </row>
    <row r="963" spans="1:12">
      <c r="A963" s="672"/>
      <c r="B963" s="672"/>
      <c r="C963" s="672"/>
      <c r="D963" s="672"/>
      <c r="E963" s="672"/>
      <c r="F963" s="672"/>
      <c r="G963" s="672"/>
      <c r="H963" s="672"/>
      <c r="I963" s="672"/>
      <c r="J963" s="672"/>
      <c r="K963" s="672"/>
      <c r="L963" s="673"/>
    </row>
    <row r="964" spans="1:12">
      <c r="A964" s="672"/>
      <c r="B964" s="672"/>
      <c r="C964" s="672"/>
      <c r="D964" s="672"/>
      <c r="E964" s="672"/>
      <c r="F964" s="672"/>
      <c r="G964" s="672"/>
      <c r="H964" s="672"/>
      <c r="I964" s="672"/>
      <c r="J964" s="672"/>
      <c r="K964" s="672"/>
      <c r="L964" s="673"/>
    </row>
    <row r="965" spans="1:12">
      <c r="A965" s="672"/>
      <c r="B965" s="672"/>
      <c r="C965" s="672"/>
      <c r="D965" s="672"/>
      <c r="E965" s="672"/>
      <c r="F965" s="672"/>
      <c r="G965" s="672"/>
      <c r="H965" s="672"/>
      <c r="I965" s="672"/>
      <c r="J965" s="672"/>
      <c r="K965" s="672"/>
      <c r="L965" s="673"/>
    </row>
    <row r="966" spans="1:12">
      <c r="A966" s="672"/>
      <c r="B966" s="672"/>
      <c r="C966" s="672"/>
      <c r="D966" s="672"/>
      <c r="E966" s="672"/>
      <c r="F966" s="672"/>
      <c r="G966" s="672"/>
      <c r="H966" s="672"/>
      <c r="I966" s="672"/>
      <c r="J966" s="672"/>
      <c r="K966" s="672"/>
      <c r="L966" s="673"/>
    </row>
    <row r="967" spans="1:12">
      <c r="A967" s="672"/>
      <c r="B967" s="672"/>
      <c r="C967" s="672"/>
      <c r="D967" s="672"/>
      <c r="E967" s="672"/>
      <c r="F967" s="672"/>
      <c r="G967" s="672"/>
      <c r="H967" s="672"/>
      <c r="I967" s="672"/>
      <c r="J967" s="672"/>
      <c r="K967" s="672"/>
      <c r="L967" s="673"/>
    </row>
    <row r="968" spans="1:12">
      <c r="A968" s="672"/>
      <c r="B968" s="672"/>
      <c r="C968" s="672"/>
      <c r="D968" s="672"/>
      <c r="E968" s="672"/>
      <c r="F968" s="672"/>
      <c r="G968" s="672"/>
      <c r="H968" s="672"/>
      <c r="I968" s="672"/>
      <c r="J968" s="672"/>
      <c r="K968" s="672"/>
      <c r="L968" s="673"/>
    </row>
    <row r="969" spans="1:12">
      <c r="A969" s="672"/>
      <c r="B969" s="672"/>
      <c r="C969" s="672"/>
      <c r="D969" s="672"/>
      <c r="E969" s="672"/>
      <c r="F969" s="672"/>
      <c r="G969" s="672"/>
      <c r="H969" s="672"/>
      <c r="I969" s="672"/>
      <c r="J969" s="672"/>
      <c r="K969" s="672"/>
      <c r="L969" s="673"/>
    </row>
    <row r="970" spans="1:12">
      <c r="A970" s="672"/>
      <c r="B970" s="672"/>
      <c r="C970" s="672"/>
      <c r="D970" s="672"/>
      <c r="E970" s="672"/>
      <c r="F970" s="672"/>
      <c r="G970" s="672"/>
      <c r="H970" s="672"/>
      <c r="I970" s="672"/>
      <c r="J970" s="672"/>
      <c r="K970" s="672"/>
      <c r="L970" s="673"/>
    </row>
    <row r="971" spans="1:12">
      <c r="A971" s="672"/>
      <c r="B971" s="672"/>
      <c r="C971" s="672"/>
      <c r="D971" s="672"/>
      <c r="E971" s="672"/>
      <c r="F971" s="672"/>
      <c r="G971" s="672"/>
      <c r="H971" s="672"/>
      <c r="I971" s="672"/>
      <c r="J971" s="672"/>
      <c r="K971" s="672"/>
      <c r="L971" s="673"/>
    </row>
    <row r="972" spans="1:12">
      <c r="A972" s="672"/>
      <c r="B972" s="672"/>
      <c r="C972" s="672"/>
      <c r="D972" s="672"/>
      <c r="E972" s="672"/>
      <c r="F972" s="672"/>
      <c r="G972" s="672"/>
      <c r="H972" s="672"/>
      <c r="I972" s="672"/>
      <c r="J972" s="672"/>
      <c r="K972" s="672"/>
      <c r="L972" s="673"/>
    </row>
    <row r="973" spans="1:12">
      <c r="A973" s="672"/>
      <c r="B973" s="672"/>
      <c r="C973" s="672"/>
      <c r="D973" s="672"/>
      <c r="E973" s="672"/>
      <c r="F973" s="672"/>
      <c r="G973" s="672"/>
      <c r="H973" s="672"/>
      <c r="I973" s="672"/>
      <c r="J973" s="672"/>
      <c r="K973" s="672"/>
      <c r="L973" s="673"/>
    </row>
    <row r="974" spans="1:12">
      <c r="A974" s="672"/>
      <c r="B974" s="672"/>
      <c r="C974" s="672"/>
      <c r="D974" s="672"/>
      <c r="E974" s="672"/>
      <c r="F974" s="672"/>
      <c r="G974" s="672"/>
      <c r="H974" s="672"/>
      <c r="I974" s="672"/>
      <c r="J974" s="672"/>
      <c r="K974" s="672"/>
      <c r="L974" s="673"/>
    </row>
    <row r="975" spans="1:12">
      <c r="A975" s="672"/>
      <c r="B975" s="672"/>
      <c r="C975" s="672"/>
      <c r="D975" s="672"/>
      <c r="E975" s="672"/>
      <c r="F975" s="672"/>
      <c r="G975" s="672"/>
      <c r="H975" s="672"/>
      <c r="I975" s="672"/>
      <c r="J975" s="672"/>
      <c r="K975" s="672"/>
      <c r="L975" s="673"/>
    </row>
    <row r="976" spans="1:12">
      <c r="A976" s="672"/>
      <c r="B976" s="672"/>
      <c r="C976" s="672"/>
      <c r="D976" s="672"/>
      <c r="E976" s="672"/>
      <c r="F976" s="672"/>
      <c r="G976" s="672"/>
      <c r="H976" s="672"/>
      <c r="I976" s="672"/>
      <c r="J976" s="672"/>
      <c r="K976" s="672"/>
      <c r="L976" s="673"/>
    </row>
    <row r="977" spans="1:12">
      <c r="A977" s="672"/>
      <c r="B977" s="672"/>
      <c r="C977" s="672"/>
      <c r="D977" s="672"/>
      <c r="E977" s="672"/>
      <c r="F977" s="672"/>
      <c r="G977" s="672"/>
      <c r="H977" s="672"/>
      <c r="I977" s="672"/>
      <c r="J977" s="672"/>
      <c r="K977" s="672"/>
      <c r="L977" s="673"/>
    </row>
    <row r="978" spans="1:12">
      <c r="A978" s="672"/>
      <c r="B978" s="672"/>
      <c r="C978" s="672"/>
      <c r="D978" s="672"/>
      <c r="E978" s="672"/>
      <c r="F978" s="672"/>
      <c r="G978" s="672"/>
      <c r="H978" s="672"/>
      <c r="I978" s="672"/>
      <c r="J978" s="672"/>
      <c r="K978" s="672"/>
      <c r="L978" s="673"/>
    </row>
    <row r="979" spans="1:12">
      <c r="A979" s="672"/>
      <c r="B979" s="672"/>
      <c r="C979" s="672"/>
      <c r="D979" s="672"/>
      <c r="E979" s="672"/>
      <c r="F979" s="672"/>
      <c r="G979" s="672"/>
      <c r="H979" s="672"/>
      <c r="I979" s="672"/>
      <c r="J979" s="672"/>
      <c r="K979" s="672"/>
      <c r="L979" s="673"/>
    </row>
    <row r="980" spans="1:12">
      <c r="A980" s="672"/>
      <c r="B980" s="672"/>
      <c r="C980" s="672"/>
      <c r="D980" s="672"/>
      <c r="E980" s="672"/>
      <c r="F980" s="672"/>
      <c r="G980" s="672"/>
      <c r="H980" s="672"/>
      <c r="I980" s="672"/>
      <c r="J980" s="672"/>
      <c r="K980" s="672"/>
      <c r="L980" s="673"/>
    </row>
    <row r="981" spans="1:12">
      <c r="A981" s="672"/>
      <c r="B981" s="672"/>
      <c r="C981" s="672"/>
      <c r="D981" s="672"/>
      <c r="E981" s="672"/>
      <c r="F981" s="672"/>
      <c r="G981" s="672"/>
      <c r="H981" s="672"/>
      <c r="I981" s="672"/>
      <c r="J981" s="672"/>
      <c r="K981" s="672"/>
      <c r="L981" s="673"/>
    </row>
    <row r="982" spans="1:12">
      <c r="A982" s="672"/>
      <c r="B982" s="672"/>
      <c r="C982" s="672"/>
      <c r="D982" s="672"/>
      <c r="E982" s="672"/>
      <c r="F982" s="672"/>
      <c r="G982" s="672"/>
      <c r="H982" s="672"/>
      <c r="I982" s="672"/>
      <c r="J982" s="672"/>
      <c r="K982" s="672"/>
      <c r="L982" s="673"/>
    </row>
    <row r="983" spans="1:12">
      <c r="A983" s="672"/>
      <c r="B983" s="672"/>
      <c r="C983" s="672"/>
      <c r="D983" s="672"/>
      <c r="E983" s="672"/>
      <c r="F983" s="672"/>
      <c r="G983" s="672"/>
      <c r="H983" s="672"/>
      <c r="I983" s="672"/>
      <c r="J983" s="672"/>
      <c r="K983" s="672"/>
      <c r="L983" s="673"/>
    </row>
    <row r="984" spans="1:12">
      <c r="A984" s="672"/>
      <c r="B984" s="672"/>
      <c r="C984" s="672"/>
      <c r="D984" s="672"/>
      <c r="E984" s="672"/>
      <c r="F984" s="672"/>
      <c r="G984" s="672"/>
      <c r="H984" s="672"/>
      <c r="I984" s="672"/>
      <c r="J984" s="672"/>
      <c r="K984" s="672"/>
      <c r="L984" s="673"/>
    </row>
    <row r="985" spans="1:12">
      <c r="A985" s="672"/>
      <c r="B985" s="672"/>
      <c r="C985" s="672"/>
      <c r="D985" s="672"/>
      <c r="E985" s="672"/>
      <c r="F985" s="672"/>
      <c r="G985" s="672"/>
      <c r="H985" s="672"/>
      <c r="I985" s="672"/>
      <c r="J985" s="672"/>
      <c r="K985" s="672"/>
      <c r="L985" s="673"/>
    </row>
    <row r="986" spans="1:12">
      <c r="A986" s="672"/>
      <c r="B986" s="672"/>
      <c r="C986" s="672"/>
      <c r="D986" s="672"/>
      <c r="E986" s="672"/>
      <c r="F986" s="672"/>
      <c r="G986" s="672"/>
      <c r="H986" s="672"/>
      <c r="I986" s="672"/>
      <c r="J986" s="672"/>
      <c r="K986" s="672"/>
      <c r="L986" s="673"/>
    </row>
    <row r="987" spans="1:12">
      <c r="A987" s="672"/>
      <c r="B987" s="672"/>
      <c r="C987" s="672"/>
      <c r="D987" s="672"/>
      <c r="E987" s="672"/>
      <c r="F987" s="672"/>
      <c r="G987" s="672"/>
      <c r="H987" s="672"/>
      <c r="I987" s="672"/>
      <c r="J987" s="672"/>
      <c r="K987" s="672"/>
      <c r="L987" s="673"/>
    </row>
    <row r="988" spans="1:12">
      <c r="A988" s="672"/>
      <c r="B988" s="672"/>
      <c r="C988" s="672"/>
      <c r="D988" s="672"/>
      <c r="E988" s="672"/>
      <c r="F988" s="672"/>
      <c r="G988" s="672"/>
      <c r="H988" s="672"/>
      <c r="I988" s="672"/>
      <c r="J988" s="672"/>
      <c r="K988" s="672"/>
      <c r="L988" s="673"/>
    </row>
    <row r="989" spans="1:12">
      <c r="A989" s="672"/>
      <c r="B989" s="672"/>
      <c r="C989" s="672"/>
      <c r="D989" s="672"/>
      <c r="E989" s="672"/>
      <c r="F989" s="672"/>
      <c r="G989" s="672"/>
      <c r="H989" s="672"/>
      <c r="I989" s="672"/>
      <c r="J989" s="672"/>
      <c r="K989" s="672"/>
      <c r="L989" s="673"/>
    </row>
    <row r="990" spans="1:12">
      <c r="A990" s="672"/>
      <c r="B990" s="672"/>
      <c r="C990" s="672"/>
      <c r="D990" s="672"/>
      <c r="E990" s="672"/>
      <c r="F990" s="672"/>
      <c r="G990" s="672"/>
      <c r="H990" s="672"/>
      <c r="I990" s="672"/>
      <c r="J990" s="672"/>
      <c r="K990" s="672"/>
      <c r="L990" s="673"/>
    </row>
    <row r="991" spans="1:12">
      <c r="A991" s="672"/>
      <c r="B991" s="672"/>
      <c r="C991" s="672"/>
      <c r="D991" s="672"/>
      <c r="E991" s="672"/>
      <c r="F991" s="672"/>
      <c r="G991" s="672"/>
      <c r="H991" s="672"/>
      <c r="I991" s="672"/>
      <c r="J991" s="672"/>
      <c r="K991" s="672"/>
      <c r="L991" s="673"/>
    </row>
    <row r="992" spans="1:12">
      <c r="A992" s="672"/>
      <c r="B992" s="672"/>
      <c r="C992" s="672"/>
      <c r="D992" s="672"/>
      <c r="E992" s="672"/>
      <c r="F992" s="672"/>
      <c r="G992" s="672"/>
      <c r="H992" s="672"/>
      <c r="I992" s="672"/>
      <c r="J992" s="672"/>
      <c r="K992" s="672"/>
      <c r="L992" s="673"/>
    </row>
    <row r="993" spans="1:12">
      <c r="A993" s="672"/>
      <c r="B993" s="672"/>
      <c r="C993" s="672"/>
      <c r="D993" s="672"/>
      <c r="E993" s="672"/>
      <c r="F993" s="672"/>
      <c r="G993" s="672"/>
      <c r="H993" s="672"/>
      <c r="I993" s="672"/>
      <c r="J993" s="672"/>
      <c r="K993" s="672"/>
      <c r="L993" s="673"/>
    </row>
    <row r="994" spans="1:12">
      <c r="A994" s="672"/>
      <c r="B994" s="672"/>
      <c r="C994" s="672"/>
      <c r="D994" s="672"/>
      <c r="E994" s="672"/>
      <c r="F994" s="672"/>
      <c r="G994" s="672"/>
      <c r="H994" s="672"/>
      <c r="I994" s="672"/>
      <c r="J994" s="672"/>
      <c r="K994" s="672"/>
      <c r="L994" s="673"/>
    </row>
    <row r="995" spans="1:12">
      <c r="A995" s="672"/>
      <c r="B995" s="672"/>
      <c r="C995" s="672"/>
      <c r="D995" s="672"/>
      <c r="E995" s="672"/>
      <c r="F995" s="672"/>
      <c r="G995" s="672"/>
      <c r="H995" s="672"/>
      <c r="I995" s="672"/>
      <c r="J995" s="672"/>
      <c r="K995" s="672"/>
      <c r="L995" s="673"/>
    </row>
    <row r="996" spans="1:12">
      <c r="A996" s="672"/>
      <c r="B996" s="672"/>
      <c r="C996" s="672"/>
      <c r="D996" s="672"/>
      <c r="E996" s="672"/>
      <c r="F996" s="672"/>
      <c r="G996" s="672"/>
      <c r="H996" s="672"/>
      <c r="I996" s="672"/>
      <c r="J996" s="672"/>
      <c r="K996" s="672"/>
      <c r="L996" s="673"/>
    </row>
    <row r="997" spans="1:12">
      <c r="A997" s="672"/>
      <c r="B997" s="672"/>
      <c r="C997" s="672"/>
      <c r="D997" s="672"/>
      <c r="E997" s="672"/>
      <c r="F997" s="672"/>
      <c r="G997" s="672"/>
      <c r="H997" s="672"/>
      <c r="I997" s="672"/>
      <c r="J997" s="672"/>
      <c r="K997" s="672"/>
      <c r="L997" s="673"/>
    </row>
    <row r="998" spans="1:12">
      <c r="A998" s="672"/>
      <c r="B998" s="672"/>
      <c r="C998" s="672"/>
      <c r="D998" s="672"/>
      <c r="E998" s="672"/>
      <c r="F998" s="672"/>
      <c r="G998" s="672"/>
      <c r="H998" s="672"/>
      <c r="I998" s="672"/>
      <c r="J998" s="672"/>
      <c r="K998" s="672"/>
      <c r="L998" s="673"/>
    </row>
    <row r="999" spans="1:12">
      <c r="A999" s="672"/>
      <c r="B999" s="672"/>
      <c r="C999" s="672"/>
      <c r="D999" s="672"/>
      <c r="E999" s="672"/>
      <c r="F999" s="672"/>
      <c r="G999" s="672"/>
      <c r="H999" s="672"/>
      <c r="I999" s="672"/>
      <c r="J999" s="672"/>
      <c r="K999" s="672"/>
      <c r="L999" s="673"/>
    </row>
    <row r="1000" spans="1:12">
      <c r="A1000" s="672"/>
      <c r="B1000" s="672"/>
      <c r="C1000" s="672"/>
      <c r="D1000" s="672"/>
      <c r="E1000" s="672"/>
      <c r="F1000" s="672"/>
      <c r="G1000" s="672"/>
      <c r="H1000" s="672"/>
      <c r="I1000" s="672"/>
      <c r="J1000" s="672"/>
      <c r="K1000" s="672"/>
      <c r="L1000" s="673"/>
    </row>
    <row r="1001" spans="1:12">
      <c r="A1001" s="672"/>
      <c r="B1001" s="672"/>
      <c r="C1001" s="672"/>
      <c r="D1001" s="672"/>
      <c r="E1001" s="672"/>
      <c r="F1001" s="672"/>
      <c r="G1001" s="672"/>
      <c r="H1001" s="672"/>
      <c r="I1001" s="672"/>
      <c r="J1001" s="672"/>
      <c r="K1001" s="672"/>
      <c r="L1001" s="673"/>
    </row>
    <row r="1002" spans="1:12">
      <c r="A1002" s="672"/>
      <c r="B1002" s="672"/>
      <c r="C1002" s="672"/>
      <c r="D1002" s="672"/>
      <c r="E1002" s="672"/>
      <c r="F1002" s="672"/>
      <c r="G1002" s="672"/>
      <c r="H1002" s="672"/>
      <c r="I1002" s="672"/>
      <c r="J1002" s="672"/>
      <c r="K1002" s="672"/>
      <c r="L1002" s="673"/>
    </row>
    <row r="1003" spans="1:12">
      <c r="A1003" s="672"/>
      <c r="B1003" s="672"/>
      <c r="C1003" s="672"/>
      <c r="D1003" s="672"/>
      <c r="E1003" s="672"/>
      <c r="F1003" s="672"/>
      <c r="G1003" s="672"/>
      <c r="H1003" s="672"/>
      <c r="I1003" s="672"/>
      <c r="J1003" s="672"/>
      <c r="K1003" s="672"/>
      <c r="L1003" s="673"/>
    </row>
    <row r="1004" spans="1:12">
      <c r="A1004" s="672"/>
      <c r="B1004" s="672"/>
      <c r="C1004" s="672"/>
      <c r="D1004" s="672"/>
      <c r="E1004" s="672"/>
      <c r="F1004" s="672"/>
      <c r="G1004" s="672"/>
      <c r="H1004" s="672"/>
      <c r="I1004" s="672"/>
      <c r="J1004" s="672"/>
      <c r="K1004" s="672"/>
      <c r="L1004" s="673"/>
    </row>
    <row r="1005" spans="1:12">
      <c r="A1005" s="672"/>
      <c r="B1005" s="672"/>
      <c r="C1005" s="672"/>
      <c r="D1005" s="672"/>
      <c r="E1005" s="672"/>
      <c r="F1005" s="672"/>
      <c r="G1005" s="672"/>
      <c r="H1005" s="672"/>
      <c r="I1005" s="672"/>
      <c r="J1005" s="672"/>
      <c r="K1005" s="672"/>
      <c r="L1005" s="673"/>
    </row>
    <row r="1006" spans="1:12">
      <c r="A1006" s="672"/>
      <c r="B1006" s="672"/>
      <c r="C1006" s="672"/>
      <c r="D1006" s="672"/>
      <c r="E1006" s="672"/>
      <c r="F1006" s="672"/>
      <c r="G1006" s="672"/>
      <c r="H1006" s="672"/>
      <c r="I1006" s="672"/>
      <c r="J1006" s="672"/>
      <c r="K1006" s="672"/>
      <c r="L1006" s="673"/>
    </row>
    <row r="1007" spans="1:12">
      <c r="A1007" s="672"/>
      <c r="B1007" s="672"/>
      <c r="C1007" s="672"/>
      <c r="D1007" s="672"/>
      <c r="E1007" s="672"/>
      <c r="F1007" s="672"/>
      <c r="G1007" s="672"/>
      <c r="H1007" s="672"/>
      <c r="I1007" s="672"/>
      <c r="J1007" s="672"/>
      <c r="K1007" s="672"/>
      <c r="L1007" s="673"/>
    </row>
    <row r="1008" spans="1:12">
      <c r="A1008" s="672"/>
      <c r="B1008" s="672"/>
      <c r="C1008" s="672"/>
      <c r="D1008" s="672"/>
      <c r="E1008" s="672"/>
      <c r="F1008" s="672"/>
      <c r="G1008" s="672"/>
      <c r="H1008" s="672"/>
      <c r="I1008" s="672"/>
      <c r="J1008" s="672"/>
      <c r="K1008" s="672"/>
      <c r="L1008" s="673"/>
    </row>
    <row r="1009" spans="1:12">
      <c r="A1009" s="672"/>
      <c r="B1009" s="672"/>
      <c r="C1009" s="672"/>
      <c r="D1009" s="672"/>
      <c r="E1009" s="672"/>
      <c r="F1009" s="672"/>
      <c r="G1009" s="672"/>
      <c r="H1009" s="672"/>
      <c r="I1009" s="672"/>
      <c r="J1009" s="672"/>
      <c r="K1009" s="672"/>
      <c r="L1009" s="673"/>
    </row>
    <row r="1010" spans="1:12">
      <c r="A1010" s="672"/>
      <c r="B1010" s="672"/>
      <c r="C1010" s="672"/>
      <c r="D1010" s="672"/>
      <c r="E1010" s="672"/>
      <c r="F1010" s="672"/>
      <c r="G1010" s="672"/>
      <c r="H1010" s="672"/>
      <c r="I1010" s="672"/>
      <c r="J1010" s="672"/>
      <c r="K1010" s="672"/>
      <c r="L1010" s="673"/>
    </row>
    <row r="1011" spans="1:12">
      <c r="A1011" s="672"/>
      <c r="B1011" s="672"/>
      <c r="C1011" s="672"/>
      <c r="D1011" s="672"/>
      <c r="E1011" s="672"/>
      <c r="F1011" s="672"/>
      <c r="G1011" s="672"/>
      <c r="H1011" s="672"/>
      <c r="I1011" s="672"/>
      <c r="J1011" s="672"/>
      <c r="K1011" s="672"/>
      <c r="L1011" s="673"/>
    </row>
    <row r="1012" spans="1:12">
      <c r="A1012" s="672"/>
      <c r="B1012" s="672"/>
      <c r="C1012" s="672"/>
      <c r="D1012" s="672"/>
      <c r="E1012" s="672"/>
      <c r="F1012" s="672"/>
      <c r="G1012" s="672"/>
      <c r="H1012" s="672"/>
      <c r="I1012" s="672"/>
      <c r="J1012" s="672"/>
      <c r="K1012" s="672"/>
      <c r="L1012" s="673"/>
    </row>
    <row r="1013" spans="1:12">
      <c r="A1013" s="672"/>
      <c r="B1013" s="672"/>
      <c r="C1013" s="672"/>
      <c r="D1013" s="672"/>
      <c r="E1013" s="672"/>
      <c r="F1013" s="672"/>
      <c r="G1013" s="672"/>
      <c r="H1013" s="672"/>
      <c r="I1013" s="672"/>
      <c r="J1013" s="672"/>
      <c r="K1013" s="672"/>
      <c r="L1013" s="673"/>
    </row>
    <row r="1014" spans="1:12">
      <c r="A1014" s="672"/>
      <c r="B1014" s="672"/>
      <c r="C1014" s="672"/>
      <c r="D1014" s="672"/>
      <c r="E1014" s="672"/>
      <c r="F1014" s="672"/>
      <c r="G1014" s="672"/>
      <c r="H1014" s="672"/>
      <c r="I1014" s="672"/>
      <c r="J1014" s="672"/>
      <c r="K1014" s="672"/>
      <c r="L1014" s="673"/>
    </row>
    <row r="1015" spans="1:12">
      <c r="A1015" s="672"/>
      <c r="B1015" s="672"/>
      <c r="C1015" s="672"/>
      <c r="D1015" s="672"/>
      <c r="E1015" s="672"/>
      <c r="F1015" s="672"/>
      <c r="G1015" s="672"/>
      <c r="H1015" s="672"/>
      <c r="I1015" s="672"/>
      <c r="J1015" s="672"/>
      <c r="K1015" s="672"/>
      <c r="L1015" s="673"/>
    </row>
    <row r="1016" spans="1:12">
      <c r="A1016" s="672"/>
      <c r="B1016" s="672"/>
      <c r="C1016" s="672"/>
      <c r="D1016" s="672"/>
      <c r="E1016" s="672"/>
      <c r="F1016" s="672"/>
      <c r="G1016" s="672"/>
      <c r="H1016" s="672"/>
      <c r="I1016" s="672"/>
      <c r="J1016" s="672"/>
      <c r="K1016" s="672"/>
      <c r="L1016" s="673"/>
    </row>
    <row r="1017" spans="1:12">
      <c r="A1017" s="672"/>
      <c r="B1017" s="672"/>
      <c r="C1017" s="672"/>
      <c r="D1017" s="672"/>
      <c r="E1017" s="672"/>
      <c r="F1017" s="672"/>
      <c r="G1017" s="672"/>
      <c r="H1017" s="672"/>
      <c r="I1017" s="672"/>
      <c r="J1017" s="672"/>
      <c r="K1017" s="672"/>
      <c r="L1017" s="673"/>
    </row>
    <row r="1018" spans="1:12">
      <c r="A1018" s="672"/>
      <c r="B1018" s="672"/>
      <c r="C1018" s="672"/>
      <c r="D1018" s="672"/>
      <c r="E1018" s="672"/>
      <c r="F1018" s="672"/>
      <c r="G1018" s="672"/>
      <c r="H1018" s="672"/>
      <c r="I1018" s="672"/>
      <c r="J1018" s="672"/>
      <c r="K1018" s="672"/>
      <c r="L1018" s="673"/>
    </row>
    <row r="1019" spans="1:12">
      <c r="A1019" s="672"/>
      <c r="B1019" s="672"/>
      <c r="C1019" s="672"/>
      <c r="D1019" s="672"/>
      <c r="E1019" s="672"/>
      <c r="F1019" s="672"/>
      <c r="G1019" s="672"/>
      <c r="H1019" s="672"/>
      <c r="I1019" s="672"/>
      <c r="J1019" s="672"/>
      <c r="K1019" s="672"/>
      <c r="L1019" s="673"/>
    </row>
    <row r="1020" spans="1:12">
      <c r="A1020" s="672"/>
      <c r="B1020" s="672"/>
      <c r="C1020" s="672"/>
      <c r="D1020" s="672"/>
      <c r="E1020" s="672"/>
      <c r="F1020" s="672"/>
      <c r="G1020" s="672"/>
      <c r="H1020" s="672"/>
      <c r="I1020" s="672"/>
      <c r="J1020" s="672"/>
      <c r="K1020" s="672"/>
      <c r="L1020" s="673"/>
    </row>
    <row r="1021" spans="1:12">
      <c r="A1021" s="672"/>
      <c r="B1021" s="672"/>
      <c r="C1021" s="672"/>
      <c r="D1021" s="672"/>
      <c r="E1021" s="672"/>
      <c r="F1021" s="672"/>
      <c r="G1021" s="672"/>
      <c r="H1021" s="672"/>
      <c r="I1021" s="672"/>
      <c r="J1021" s="672"/>
      <c r="K1021" s="672"/>
      <c r="L1021" s="673"/>
    </row>
    <row r="1022" spans="1:12">
      <c r="A1022" s="672"/>
      <c r="B1022" s="672"/>
      <c r="C1022" s="672"/>
      <c r="D1022" s="672"/>
      <c r="E1022" s="672"/>
      <c r="F1022" s="672"/>
      <c r="G1022" s="672"/>
      <c r="H1022" s="672"/>
      <c r="I1022" s="672"/>
      <c r="J1022" s="672"/>
      <c r="K1022" s="672"/>
      <c r="L1022" s="673"/>
    </row>
    <row r="1023" spans="1:12">
      <c r="A1023" s="672"/>
      <c r="B1023" s="672"/>
      <c r="C1023" s="672"/>
      <c r="D1023" s="672"/>
      <c r="E1023" s="672"/>
      <c r="F1023" s="672"/>
      <c r="G1023" s="672"/>
      <c r="H1023" s="672"/>
      <c r="I1023" s="672"/>
      <c r="J1023" s="672"/>
      <c r="K1023" s="672"/>
      <c r="L1023" s="673"/>
    </row>
    <row r="1024" spans="1:12">
      <c r="A1024" s="672"/>
      <c r="B1024" s="672"/>
      <c r="C1024" s="672"/>
      <c r="D1024" s="672"/>
      <c r="E1024" s="672"/>
      <c r="F1024" s="672"/>
      <c r="G1024" s="672"/>
      <c r="H1024" s="672"/>
      <c r="I1024" s="672"/>
      <c r="J1024" s="672"/>
      <c r="K1024" s="672"/>
      <c r="L1024" s="673"/>
    </row>
    <row r="1025" spans="1:12">
      <c r="A1025" s="672"/>
      <c r="B1025" s="672"/>
      <c r="C1025" s="672"/>
      <c r="D1025" s="672"/>
      <c r="E1025" s="672"/>
      <c r="F1025" s="672"/>
      <c r="G1025" s="672"/>
      <c r="H1025" s="672"/>
      <c r="I1025" s="672"/>
      <c r="J1025" s="672"/>
      <c r="K1025" s="672"/>
      <c r="L1025" s="673"/>
    </row>
    <row r="1026" spans="1:12">
      <c r="A1026" s="672"/>
      <c r="B1026" s="672"/>
      <c r="C1026" s="672"/>
      <c r="D1026" s="672"/>
      <c r="E1026" s="672"/>
      <c r="F1026" s="672"/>
      <c r="G1026" s="672"/>
      <c r="H1026" s="672"/>
      <c r="I1026" s="672"/>
      <c r="J1026" s="672"/>
      <c r="K1026" s="672"/>
      <c r="L1026" s="673"/>
    </row>
    <row r="1027" spans="1:12">
      <c r="A1027" s="672"/>
      <c r="B1027" s="672"/>
      <c r="C1027" s="672"/>
      <c r="D1027" s="672"/>
      <c r="E1027" s="672"/>
      <c r="F1027" s="672"/>
      <c r="G1027" s="672"/>
      <c r="H1027" s="672"/>
      <c r="I1027" s="672"/>
      <c r="J1027" s="672"/>
      <c r="K1027" s="672"/>
      <c r="L1027" s="673"/>
    </row>
    <row r="1028" spans="1:12">
      <c r="A1028" s="672"/>
      <c r="B1028" s="672"/>
      <c r="C1028" s="672"/>
      <c r="D1028" s="672"/>
      <c r="E1028" s="672"/>
      <c r="F1028" s="672"/>
      <c r="G1028" s="672"/>
      <c r="H1028" s="672"/>
      <c r="I1028" s="672"/>
      <c r="J1028" s="672"/>
      <c r="K1028" s="672"/>
      <c r="L1028" s="673"/>
    </row>
    <row r="1029" spans="1:12">
      <c r="A1029" s="672"/>
      <c r="B1029" s="672"/>
      <c r="C1029" s="672"/>
      <c r="D1029" s="672"/>
      <c r="E1029" s="672"/>
      <c r="F1029" s="672"/>
      <c r="G1029" s="672"/>
      <c r="H1029" s="672"/>
      <c r="I1029" s="672"/>
      <c r="J1029" s="672"/>
      <c r="K1029" s="672"/>
      <c r="L1029" s="673"/>
    </row>
    <row r="1030" spans="1:12">
      <c r="A1030" s="672"/>
      <c r="B1030" s="672"/>
      <c r="C1030" s="672"/>
      <c r="D1030" s="672"/>
      <c r="E1030" s="672"/>
      <c r="F1030" s="672"/>
      <c r="G1030" s="672"/>
      <c r="H1030" s="672"/>
      <c r="I1030" s="672"/>
      <c r="J1030" s="672"/>
      <c r="K1030" s="672"/>
      <c r="L1030" s="673"/>
    </row>
    <row r="1031" spans="1:12">
      <c r="A1031" s="672"/>
      <c r="B1031" s="672"/>
      <c r="C1031" s="672"/>
      <c r="D1031" s="672"/>
      <c r="E1031" s="672"/>
      <c r="F1031" s="672"/>
      <c r="G1031" s="672"/>
      <c r="H1031" s="672"/>
      <c r="I1031" s="672"/>
      <c r="J1031" s="672"/>
      <c r="K1031" s="672"/>
      <c r="L1031" s="673"/>
    </row>
    <row r="1032" spans="1:12">
      <c r="A1032" s="672"/>
      <c r="B1032" s="672"/>
      <c r="C1032" s="672"/>
      <c r="D1032" s="672"/>
      <c r="E1032" s="672"/>
      <c r="F1032" s="672"/>
      <c r="G1032" s="672"/>
      <c r="H1032" s="672"/>
      <c r="I1032" s="672"/>
      <c r="J1032" s="672"/>
      <c r="K1032" s="672"/>
      <c r="L1032" s="673"/>
    </row>
    <row r="1033" spans="1:12">
      <c r="A1033" s="672"/>
      <c r="B1033" s="672"/>
      <c r="C1033" s="672"/>
      <c r="D1033" s="672"/>
      <c r="E1033" s="672"/>
      <c r="F1033" s="672"/>
      <c r="G1033" s="672"/>
      <c r="H1033" s="672"/>
      <c r="I1033" s="672"/>
      <c r="J1033" s="672"/>
      <c r="K1033" s="672"/>
      <c r="L1033" s="673"/>
    </row>
    <row r="1034" spans="1:12">
      <c r="A1034" s="672"/>
      <c r="B1034" s="672"/>
      <c r="C1034" s="672"/>
      <c r="D1034" s="672"/>
      <c r="E1034" s="672"/>
      <c r="F1034" s="672"/>
      <c r="G1034" s="672"/>
      <c r="H1034" s="672"/>
      <c r="I1034" s="672"/>
      <c r="J1034" s="672"/>
      <c r="K1034" s="672"/>
      <c r="L1034" s="673"/>
    </row>
    <row r="1035" spans="1:12">
      <c r="A1035" s="672"/>
      <c r="B1035" s="672"/>
      <c r="C1035" s="672"/>
      <c r="D1035" s="672"/>
      <c r="E1035" s="672"/>
      <c r="F1035" s="672"/>
      <c r="G1035" s="672"/>
      <c r="H1035" s="672"/>
      <c r="I1035" s="672"/>
      <c r="J1035" s="672"/>
      <c r="K1035" s="672"/>
      <c r="L1035" s="673"/>
    </row>
    <row r="1036" spans="1:12">
      <c r="A1036" s="672"/>
      <c r="B1036" s="672"/>
      <c r="C1036" s="672"/>
      <c r="D1036" s="672"/>
      <c r="E1036" s="672"/>
      <c r="F1036" s="672"/>
      <c r="G1036" s="672"/>
      <c r="H1036" s="672"/>
      <c r="I1036" s="672"/>
      <c r="J1036" s="672"/>
      <c r="K1036" s="672"/>
      <c r="L1036" s="673"/>
    </row>
    <row r="1037" spans="1:12">
      <c r="A1037" s="672"/>
      <c r="B1037" s="672"/>
      <c r="C1037" s="672"/>
      <c r="D1037" s="672"/>
      <c r="E1037" s="672"/>
      <c r="F1037" s="672"/>
      <c r="G1037" s="672"/>
      <c r="H1037" s="672"/>
      <c r="I1037" s="672"/>
      <c r="J1037" s="672"/>
      <c r="K1037" s="672"/>
      <c r="L1037" s="673"/>
    </row>
    <row r="1038" spans="1:12">
      <c r="A1038" s="672"/>
      <c r="B1038" s="672"/>
      <c r="C1038" s="672"/>
      <c r="D1038" s="672"/>
      <c r="E1038" s="672"/>
      <c r="F1038" s="672"/>
      <c r="G1038" s="672"/>
      <c r="H1038" s="672"/>
      <c r="I1038" s="672"/>
      <c r="J1038" s="672"/>
      <c r="K1038" s="672"/>
      <c r="L1038" s="672"/>
    </row>
    <row r="1039" spans="1:12">
      <c r="A1039" s="672"/>
      <c r="B1039" s="672"/>
      <c r="C1039" s="672"/>
      <c r="D1039" s="672"/>
      <c r="E1039" s="672"/>
      <c r="F1039" s="672"/>
      <c r="G1039" s="672"/>
      <c r="H1039" s="672"/>
      <c r="I1039" s="672"/>
      <c r="J1039" s="672"/>
      <c r="K1039" s="672"/>
      <c r="L1039" s="672"/>
    </row>
    <row r="1040" spans="1:12">
      <c r="A1040" s="672"/>
      <c r="B1040" s="672"/>
      <c r="C1040" s="672"/>
      <c r="D1040" s="672"/>
      <c r="E1040" s="672"/>
      <c r="F1040" s="672"/>
      <c r="G1040" s="672"/>
      <c r="H1040" s="672"/>
      <c r="I1040" s="672"/>
      <c r="J1040" s="672"/>
      <c r="K1040" s="672"/>
      <c r="L1040" s="672"/>
    </row>
    <row r="1041" spans="1:12">
      <c r="A1041" s="672"/>
      <c r="B1041" s="672"/>
      <c r="C1041" s="672"/>
      <c r="D1041" s="672"/>
      <c r="E1041" s="672"/>
      <c r="F1041" s="672"/>
      <c r="G1041" s="672"/>
      <c r="H1041" s="672"/>
      <c r="I1041" s="672"/>
      <c r="J1041" s="672"/>
      <c r="K1041" s="672"/>
      <c r="L1041" s="672"/>
    </row>
    <row r="1042" spans="1:12">
      <c r="A1042" s="672"/>
      <c r="B1042" s="672"/>
      <c r="C1042" s="672"/>
      <c r="D1042" s="672"/>
      <c r="E1042" s="672"/>
      <c r="F1042" s="672"/>
      <c r="G1042" s="672"/>
      <c r="H1042" s="672"/>
      <c r="I1042" s="672"/>
      <c r="J1042" s="672"/>
      <c r="K1042" s="672"/>
      <c r="L1042" s="672"/>
    </row>
    <row r="1043" spans="1:12">
      <c r="A1043" s="672"/>
      <c r="B1043" s="672"/>
      <c r="C1043" s="672"/>
      <c r="D1043" s="672"/>
      <c r="E1043" s="672"/>
      <c r="F1043" s="672"/>
      <c r="G1043" s="672"/>
      <c r="H1043" s="672"/>
      <c r="I1043" s="672"/>
      <c r="J1043" s="672"/>
      <c r="K1043" s="672"/>
      <c r="L1043" s="672"/>
    </row>
    <row r="1044" spans="1:12">
      <c r="A1044" s="672"/>
      <c r="B1044" s="672"/>
      <c r="C1044" s="672"/>
      <c r="D1044" s="672"/>
      <c r="E1044" s="672"/>
      <c r="F1044" s="672"/>
      <c r="G1044" s="672"/>
      <c r="H1044" s="672"/>
      <c r="I1044" s="672"/>
      <c r="J1044" s="672"/>
      <c r="K1044" s="672"/>
      <c r="L1044" s="672"/>
    </row>
    <row r="1045" spans="1:12">
      <c r="A1045" s="672"/>
      <c r="B1045" s="672"/>
      <c r="C1045" s="672"/>
      <c r="D1045" s="672"/>
      <c r="E1045" s="672"/>
      <c r="F1045" s="672"/>
      <c r="G1045" s="672"/>
      <c r="H1045" s="672"/>
      <c r="I1045" s="672"/>
      <c r="J1045" s="672"/>
      <c r="K1045" s="672"/>
      <c r="L1045" s="672"/>
    </row>
    <row r="1046" spans="1:12">
      <c r="A1046" s="672"/>
      <c r="B1046" s="672"/>
      <c r="C1046" s="672"/>
      <c r="D1046" s="672"/>
      <c r="E1046" s="672"/>
      <c r="F1046" s="672"/>
      <c r="G1046" s="672"/>
      <c r="H1046" s="672"/>
      <c r="I1046" s="672"/>
      <c r="J1046" s="672"/>
      <c r="K1046" s="672"/>
      <c r="L1046" s="672"/>
    </row>
    <row r="1047" spans="1:12">
      <c r="A1047" s="672"/>
      <c r="B1047" s="672"/>
      <c r="C1047" s="672"/>
      <c r="D1047" s="672"/>
      <c r="E1047" s="672"/>
      <c r="F1047" s="672"/>
      <c r="G1047" s="672"/>
      <c r="H1047" s="672"/>
      <c r="I1047" s="672"/>
      <c r="J1047" s="672"/>
      <c r="K1047" s="672"/>
      <c r="L1047" s="672"/>
    </row>
    <row r="1048" spans="1:12">
      <c r="A1048" s="672"/>
      <c r="B1048" s="672"/>
      <c r="C1048" s="672"/>
      <c r="D1048" s="672"/>
      <c r="E1048" s="672"/>
      <c r="F1048" s="672"/>
      <c r="G1048" s="672"/>
      <c r="H1048" s="672"/>
      <c r="I1048" s="672"/>
      <c r="J1048" s="672"/>
      <c r="K1048" s="672"/>
      <c r="L1048" s="672"/>
    </row>
    <row r="1049" spans="1:12">
      <c r="A1049" s="672"/>
      <c r="B1049" s="672"/>
      <c r="C1049" s="672"/>
      <c r="D1049" s="672"/>
      <c r="E1049" s="672"/>
      <c r="F1049" s="672"/>
      <c r="G1049" s="672"/>
      <c r="H1049" s="672"/>
      <c r="I1049" s="672"/>
      <c r="J1049" s="672"/>
      <c r="K1049" s="672"/>
      <c r="L1049" s="672"/>
    </row>
    <row r="1050" spans="1:12">
      <c r="A1050" s="672"/>
      <c r="B1050" s="672"/>
      <c r="C1050" s="672"/>
      <c r="D1050" s="672"/>
      <c r="E1050" s="672"/>
      <c r="F1050" s="672"/>
      <c r="G1050" s="672"/>
      <c r="H1050" s="672"/>
      <c r="I1050" s="672"/>
      <c r="J1050" s="672"/>
      <c r="K1050" s="672"/>
      <c r="L1050" s="672"/>
    </row>
    <row r="1051" spans="1:12">
      <c r="A1051" s="672"/>
      <c r="B1051" s="672"/>
      <c r="C1051" s="672"/>
      <c r="D1051" s="672"/>
      <c r="E1051" s="672"/>
      <c r="F1051" s="672"/>
      <c r="G1051" s="672"/>
      <c r="H1051" s="672"/>
      <c r="I1051" s="672"/>
      <c r="J1051" s="672"/>
      <c r="K1051" s="672"/>
      <c r="L1051" s="672"/>
    </row>
    <row r="1052" spans="1:12">
      <c r="A1052" s="672"/>
      <c r="B1052" s="672"/>
      <c r="C1052" s="672"/>
      <c r="D1052" s="672"/>
      <c r="E1052" s="672"/>
      <c r="F1052" s="672"/>
      <c r="G1052" s="672"/>
      <c r="H1052" s="672"/>
      <c r="I1052" s="672"/>
      <c r="J1052" s="672"/>
      <c r="K1052" s="672"/>
      <c r="L1052" s="672"/>
    </row>
    <row r="1053" spans="1:12">
      <c r="A1053" s="672"/>
      <c r="B1053" s="672"/>
      <c r="C1053" s="672"/>
      <c r="D1053" s="672"/>
      <c r="E1053" s="672"/>
      <c r="F1053" s="672"/>
      <c r="G1053" s="672"/>
      <c r="H1053" s="672"/>
      <c r="I1053" s="672"/>
      <c r="J1053" s="672"/>
      <c r="K1053" s="672"/>
      <c r="L1053" s="672"/>
    </row>
    <row r="1054" spans="1:12">
      <c r="A1054" s="672"/>
      <c r="B1054" s="672"/>
      <c r="C1054" s="672"/>
      <c r="D1054" s="672"/>
      <c r="E1054" s="672"/>
      <c r="F1054" s="672"/>
      <c r="G1054" s="672"/>
      <c r="H1054" s="672"/>
      <c r="I1054" s="672"/>
      <c r="J1054" s="672"/>
      <c r="K1054" s="672"/>
      <c r="L1054" s="672"/>
    </row>
    <row r="1055" spans="1:12">
      <c r="A1055" s="672"/>
      <c r="B1055" s="672"/>
      <c r="C1055" s="672"/>
      <c r="D1055" s="672"/>
      <c r="E1055" s="672"/>
      <c r="F1055" s="672"/>
      <c r="G1055" s="672"/>
      <c r="H1055" s="672"/>
      <c r="I1055" s="672"/>
      <c r="J1055" s="672"/>
      <c r="K1055" s="672"/>
      <c r="L1055" s="672"/>
    </row>
    <row r="1056" spans="1:12">
      <c r="A1056" s="672"/>
      <c r="B1056" s="672"/>
      <c r="C1056" s="672"/>
      <c r="D1056" s="672"/>
      <c r="E1056" s="672"/>
      <c r="F1056" s="672"/>
      <c r="G1056" s="672"/>
      <c r="H1056" s="672"/>
      <c r="I1056" s="672"/>
      <c r="J1056" s="672"/>
      <c r="K1056" s="672"/>
      <c r="L1056" s="672"/>
    </row>
    <row r="1057" spans="1:12">
      <c r="A1057" s="672"/>
      <c r="B1057" s="672"/>
      <c r="C1057" s="672"/>
      <c r="D1057" s="672"/>
      <c r="E1057" s="672"/>
      <c r="F1057" s="672"/>
      <c r="G1057" s="672"/>
      <c r="H1057" s="672"/>
      <c r="I1057" s="672"/>
      <c r="J1057" s="672"/>
      <c r="K1057" s="672"/>
      <c r="L1057" s="672"/>
    </row>
    <row r="1058" spans="1:12">
      <c r="A1058" s="672"/>
      <c r="B1058" s="672"/>
      <c r="C1058" s="672"/>
      <c r="D1058" s="672"/>
      <c r="E1058" s="672"/>
      <c r="F1058" s="672"/>
      <c r="G1058" s="672"/>
      <c r="H1058" s="672"/>
      <c r="I1058" s="672"/>
      <c r="J1058" s="672"/>
      <c r="K1058" s="672"/>
      <c r="L1058" s="672"/>
    </row>
    <row r="1059" spans="1:12">
      <c r="A1059" s="672"/>
      <c r="B1059" s="672"/>
      <c r="C1059" s="672"/>
      <c r="D1059" s="672"/>
      <c r="E1059" s="672"/>
      <c r="F1059" s="672"/>
      <c r="G1059" s="672"/>
      <c r="H1059" s="672"/>
      <c r="I1059" s="672"/>
      <c r="J1059" s="672"/>
      <c r="K1059" s="672"/>
      <c r="L1059" s="672"/>
    </row>
    <row r="1060" spans="1:12">
      <c r="A1060" s="672"/>
      <c r="B1060" s="672"/>
      <c r="C1060" s="672"/>
      <c r="D1060" s="672"/>
      <c r="E1060" s="672"/>
      <c r="F1060" s="672"/>
      <c r="G1060" s="672"/>
      <c r="H1060" s="672"/>
      <c r="I1060" s="672"/>
      <c r="J1060" s="672"/>
      <c r="K1060" s="672"/>
      <c r="L1060" s="672"/>
    </row>
    <row r="1061" spans="1:12">
      <c r="A1061" s="672"/>
      <c r="B1061" s="672"/>
      <c r="C1061" s="672"/>
      <c r="D1061" s="672"/>
      <c r="E1061" s="672"/>
      <c r="F1061" s="672"/>
      <c r="G1061" s="672"/>
      <c r="H1061" s="672"/>
      <c r="I1061" s="672"/>
      <c r="J1061" s="672"/>
      <c r="K1061" s="672"/>
      <c r="L1061" s="672"/>
    </row>
    <row r="1062" spans="1:12">
      <c r="A1062" s="672"/>
      <c r="B1062" s="672"/>
      <c r="C1062" s="672"/>
      <c r="D1062" s="672"/>
      <c r="E1062" s="672"/>
      <c r="F1062" s="672"/>
      <c r="G1062" s="672"/>
      <c r="H1062" s="672"/>
      <c r="I1062" s="672"/>
      <c r="J1062" s="672"/>
      <c r="K1062" s="672"/>
      <c r="L1062" s="672"/>
    </row>
    <row r="1063" spans="1:12">
      <c r="A1063" s="672"/>
      <c r="B1063" s="672"/>
      <c r="C1063" s="672"/>
      <c r="D1063" s="672"/>
      <c r="E1063" s="672"/>
      <c r="F1063" s="672"/>
      <c r="G1063" s="672"/>
      <c r="H1063" s="672"/>
      <c r="I1063" s="672"/>
      <c r="J1063" s="672"/>
      <c r="K1063" s="672"/>
      <c r="L1063" s="672"/>
    </row>
    <row r="1064" spans="1:12">
      <c r="A1064" s="672"/>
      <c r="B1064" s="672"/>
      <c r="C1064" s="672"/>
      <c r="D1064" s="672"/>
      <c r="E1064" s="672"/>
      <c r="F1064" s="672"/>
      <c r="G1064" s="672"/>
      <c r="H1064" s="672"/>
      <c r="I1064" s="672"/>
      <c r="J1064" s="672"/>
      <c r="K1064" s="672"/>
      <c r="L1064" s="672"/>
    </row>
    <row r="1065" spans="1:12">
      <c r="A1065" s="672"/>
      <c r="B1065" s="672"/>
      <c r="C1065" s="672"/>
      <c r="D1065" s="672"/>
      <c r="E1065" s="672"/>
      <c r="F1065" s="672"/>
      <c r="G1065" s="672"/>
      <c r="H1065" s="672"/>
      <c r="I1065" s="672"/>
      <c r="J1065" s="672"/>
      <c r="K1065" s="672"/>
      <c r="L1065" s="672"/>
    </row>
    <row r="1066" spans="1:12">
      <c r="A1066" s="672"/>
      <c r="B1066" s="672"/>
      <c r="C1066" s="672"/>
      <c r="D1066" s="672"/>
      <c r="E1066" s="672"/>
      <c r="F1066" s="672"/>
      <c r="G1066" s="672"/>
      <c r="H1066" s="672"/>
      <c r="I1066" s="672"/>
      <c r="J1066" s="672"/>
      <c r="K1066" s="672"/>
      <c r="L1066" s="672"/>
    </row>
    <row r="1067" spans="1:12">
      <c r="A1067" s="672"/>
      <c r="B1067" s="672"/>
      <c r="C1067" s="672"/>
      <c r="D1067" s="672"/>
      <c r="E1067" s="672"/>
      <c r="F1067" s="672"/>
      <c r="G1067" s="672"/>
      <c r="H1067" s="672"/>
      <c r="I1067" s="672"/>
      <c r="J1067" s="672"/>
      <c r="K1067" s="672"/>
      <c r="L1067" s="672"/>
    </row>
    <row r="1068" spans="1:12">
      <c r="A1068" s="672"/>
      <c r="B1068" s="672"/>
      <c r="C1068" s="672"/>
      <c r="D1068" s="672"/>
      <c r="E1068" s="672"/>
      <c r="F1068" s="672"/>
      <c r="G1068" s="672"/>
      <c r="H1068" s="672"/>
      <c r="I1068" s="672"/>
      <c r="J1068" s="672"/>
      <c r="K1068" s="672"/>
      <c r="L1068" s="672"/>
    </row>
    <row r="1069" spans="1:12">
      <c r="A1069" s="672"/>
      <c r="B1069" s="672"/>
      <c r="C1069" s="672"/>
      <c r="D1069" s="672"/>
      <c r="E1069" s="672"/>
      <c r="F1069" s="672"/>
      <c r="G1069" s="672"/>
      <c r="H1069" s="672"/>
      <c r="I1069" s="672"/>
      <c r="J1069" s="672"/>
      <c r="K1069" s="672"/>
      <c r="L1069" s="672"/>
    </row>
    <row r="1070" spans="1:12">
      <c r="A1070" s="672"/>
      <c r="B1070" s="672"/>
      <c r="C1070" s="672"/>
      <c r="D1070" s="672"/>
      <c r="E1070" s="672"/>
      <c r="F1070" s="672"/>
      <c r="G1070" s="672"/>
      <c r="H1070" s="672"/>
      <c r="I1070" s="672"/>
      <c r="J1070" s="672"/>
      <c r="K1070" s="672"/>
      <c r="L1070" s="672"/>
    </row>
    <row r="1071" spans="1:12">
      <c r="A1071" s="672"/>
      <c r="B1071" s="672"/>
      <c r="C1071" s="672"/>
      <c r="D1071" s="672"/>
      <c r="E1071" s="672"/>
      <c r="F1071" s="672"/>
      <c r="G1071" s="672"/>
      <c r="H1071" s="672"/>
      <c r="I1071" s="672"/>
      <c r="J1071" s="672"/>
      <c r="K1071" s="672"/>
      <c r="L1071" s="672"/>
    </row>
    <row r="1072" spans="1:12">
      <c r="A1072" s="672"/>
      <c r="B1072" s="672"/>
      <c r="C1072" s="672"/>
      <c r="D1072" s="672"/>
      <c r="E1072" s="672"/>
      <c r="F1072" s="672"/>
      <c r="G1072" s="672"/>
      <c r="H1072" s="672"/>
      <c r="I1072" s="672"/>
      <c r="J1072" s="672"/>
      <c r="K1072" s="672"/>
      <c r="L1072" s="672"/>
    </row>
    <row r="1073" spans="1:12">
      <c r="A1073" s="672"/>
      <c r="B1073" s="672"/>
      <c r="C1073" s="672"/>
      <c r="D1073" s="672"/>
      <c r="E1073" s="672"/>
      <c r="F1073" s="672"/>
      <c r="G1073" s="672"/>
      <c r="H1073" s="672"/>
      <c r="I1073" s="672"/>
      <c r="J1073" s="672"/>
      <c r="K1073" s="672"/>
      <c r="L1073" s="672"/>
    </row>
    <row r="1074" spans="1:12">
      <c r="A1074" s="672"/>
      <c r="B1074" s="672"/>
      <c r="C1074" s="672"/>
      <c r="D1074" s="672"/>
      <c r="E1074" s="672"/>
      <c r="F1074" s="672"/>
      <c r="G1074" s="672"/>
      <c r="H1074" s="672"/>
      <c r="I1074" s="672"/>
      <c r="J1074" s="672"/>
      <c r="K1074" s="672"/>
      <c r="L1074" s="672"/>
    </row>
    <row r="1075" spans="1:12">
      <c r="A1075" s="672"/>
      <c r="B1075" s="672"/>
      <c r="C1075" s="672"/>
      <c r="D1075" s="672"/>
      <c r="E1075" s="672"/>
      <c r="F1075" s="672"/>
      <c r="G1075" s="672"/>
      <c r="H1075" s="672"/>
      <c r="I1075" s="672"/>
      <c r="J1075" s="672"/>
      <c r="K1075" s="672"/>
      <c r="L1075" s="672"/>
    </row>
    <row r="1076" spans="1:12">
      <c r="A1076" s="672"/>
      <c r="B1076" s="672"/>
      <c r="C1076" s="672"/>
      <c r="D1076" s="672"/>
      <c r="E1076" s="672"/>
      <c r="F1076" s="672"/>
      <c r="G1076" s="672"/>
      <c r="H1076" s="672"/>
      <c r="I1076" s="672"/>
      <c r="J1076" s="672"/>
      <c r="K1076" s="672"/>
      <c r="L1076" s="672"/>
    </row>
    <row r="1077" spans="1:12">
      <c r="A1077" s="672"/>
      <c r="B1077" s="672"/>
      <c r="C1077" s="672"/>
      <c r="D1077" s="672"/>
      <c r="E1077" s="672"/>
      <c r="F1077" s="672"/>
      <c r="G1077" s="672"/>
      <c r="H1077" s="672"/>
      <c r="I1077" s="672"/>
      <c r="J1077" s="672"/>
      <c r="K1077" s="672"/>
      <c r="L1077" s="672"/>
    </row>
    <row r="1078" spans="1:12">
      <c r="A1078" s="672"/>
      <c r="B1078" s="672"/>
      <c r="C1078" s="672"/>
      <c r="D1078" s="672"/>
      <c r="E1078" s="672"/>
      <c r="F1078" s="672"/>
      <c r="G1078" s="672"/>
      <c r="H1078" s="672"/>
      <c r="I1078" s="672"/>
      <c r="J1078" s="672"/>
      <c r="K1078" s="672"/>
      <c r="L1078" s="672"/>
    </row>
    <row r="1079" spans="1:12">
      <c r="A1079" s="672"/>
      <c r="B1079" s="672"/>
      <c r="C1079" s="672"/>
      <c r="D1079" s="672"/>
      <c r="E1079" s="672"/>
      <c r="F1079" s="672"/>
      <c r="G1079" s="672"/>
      <c r="H1079" s="672"/>
      <c r="I1079" s="672"/>
      <c r="J1079" s="672"/>
      <c r="K1079" s="672"/>
      <c r="L1079" s="672"/>
    </row>
    <row r="1080" spans="1:12">
      <c r="A1080" s="672"/>
      <c r="B1080" s="672"/>
      <c r="C1080" s="672"/>
      <c r="D1080" s="672"/>
      <c r="E1080" s="672"/>
      <c r="F1080" s="672"/>
      <c r="G1080" s="672"/>
      <c r="H1080" s="672"/>
      <c r="I1080" s="672"/>
      <c r="J1080" s="672"/>
      <c r="K1080" s="672"/>
      <c r="L1080" s="672"/>
    </row>
    <row r="1081" spans="1:12">
      <c r="A1081" s="672"/>
      <c r="B1081" s="672"/>
      <c r="C1081" s="672"/>
      <c r="D1081" s="672"/>
      <c r="E1081" s="672"/>
      <c r="F1081" s="672"/>
      <c r="G1081" s="672"/>
      <c r="H1081" s="672"/>
      <c r="I1081" s="672"/>
      <c r="J1081" s="672"/>
      <c r="K1081" s="672"/>
      <c r="L1081" s="672"/>
    </row>
    <row r="1082" spans="1:12">
      <c r="A1082" s="672"/>
      <c r="B1082" s="672"/>
      <c r="C1082" s="672"/>
      <c r="D1082" s="672"/>
      <c r="E1082" s="672"/>
      <c r="F1082" s="672"/>
      <c r="G1082" s="672"/>
      <c r="H1082" s="672"/>
      <c r="I1082" s="672"/>
      <c r="J1082" s="672"/>
      <c r="K1082" s="672"/>
      <c r="L1082" s="672"/>
    </row>
    <row r="1083" spans="1:12">
      <c r="A1083" s="672"/>
      <c r="B1083" s="672"/>
      <c r="C1083" s="672"/>
      <c r="D1083" s="672"/>
      <c r="E1083" s="672"/>
      <c r="F1083" s="672"/>
      <c r="G1083" s="672"/>
      <c r="H1083" s="672"/>
      <c r="I1083" s="672"/>
      <c r="J1083" s="672"/>
      <c r="K1083" s="672"/>
      <c r="L1083" s="672"/>
    </row>
    <row r="1084" spans="1:12">
      <c r="A1084" s="672"/>
      <c r="B1084" s="672"/>
      <c r="C1084" s="672"/>
      <c r="D1084" s="672"/>
      <c r="E1084" s="672"/>
      <c r="F1084" s="672"/>
      <c r="G1084" s="672"/>
      <c r="H1084" s="672"/>
      <c r="I1084" s="672"/>
      <c r="J1084" s="672"/>
      <c r="K1084" s="672"/>
      <c r="L1084" s="672"/>
    </row>
    <row r="1085" spans="1:12">
      <c r="A1085" s="672"/>
      <c r="B1085" s="672"/>
      <c r="C1085" s="672"/>
      <c r="D1085" s="672"/>
      <c r="E1085" s="672"/>
      <c r="F1085" s="672"/>
      <c r="G1085" s="672"/>
      <c r="H1085" s="672"/>
      <c r="I1085" s="672"/>
      <c r="J1085" s="672"/>
      <c r="K1085" s="672"/>
      <c r="L1085" s="672"/>
    </row>
    <row r="1086" spans="1:12">
      <c r="A1086" s="672"/>
      <c r="B1086" s="672"/>
      <c r="C1086" s="672"/>
      <c r="D1086" s="672"/>
      <c r="E1086" s="672"/>
      <c r="F1086" s="672"/>
      <c r="G1086" s="672"/>
      <c r="H1086" s="672"/>
      <c r="I1086" s="672"/>
      <c r="J1086" s="672"/>
      <c r="K1086" s="672"/>
      <c r="L1086" s="672"/>
    </row>
    <row r="1087" spans="1:12">
      <c r="A1087" s="672"/>
      <c r="B1087" s="672"/>
      <c r="C1087" s="672"/>
      <c r="D1087" s="672"/>
      <c r="E1087" s="672"/>
      <c r="F1087" s="672"/>
      <c r="G1087" s="672"/>
      <c r="H1087" s="672"/>
      <c r="I1087" s="672"/>
      <c r="J1087" s="672"/>
      <c r="K1087" s="672"/>
      <c r="L1087" s="672"/>
    </row>
    <row r="1088" spans="1:12">
      <c r="A1088" s="672"/>
      <c r="B1088" s="672"/>
      <c r="C1088" s="672"/>
      <c r="D1088" s="672"/>
      <c r="E1088" s="672"/>
      <c r="F1088" s="672"/>
      <c r="G1088" s="672"/>
      <c r="H1088" s="672"/>
      <c r="I1088" s="672"/>
      <c r="J1088" s="672"/>
      <c r="K1088" s="672"/>
      <c r="L1088" s="672"/>
    </row>
    <row r="1089" spans="1:12">
      <c r="A1089" s="672"/>
      <c r="B1089" s="672"/>
      <c r="C1089" s="672"/>
      <c r="D1089" s="672"/>
      <c r="E1089" s="672"/>
      <c r="F1089" s="672"/>
      <c r="G1089" s="672"/>
      <c r="H1089" s="672"/>
      <c r="I1089" s="672"/>
      <c r="J1089" s="672"/>
      <c r="K1089" s="672"/>
      <c r="L1089" s="672"/>
    </row>
    <row r="1090" spans="1:12">
      <c r="A1090" s="672"/>
      <c r="B1090" s="672"/>
      <c r="C1090" s="672"/>
      <c r="D1090" s="672"/>
      <c r="E1090" s="672"/>
      <c r="F1090" s="672"/>
      <c r="G1090" s="672"/>
      <c r="H1090" s="672"/>
      <c r="I1090" s="672"/>
      <c r="J1090" s="672"/>
      <c r="K1090" s="672"/>
      <c r="L1090" s="672"/>
    </row>
    <row r="1091" spans="1:12">
      <c r="A1091" s="672"/>
      <c r="B1091" s="672"/>
      <c r="C1091" s="672"/>
      <c r="D1091" s="672"/>
      <c r="E1091" s="672"/>
      <c r="F1091" s="672"/>
      <c r="G1091" s="672"/>
      <c r="H1091" s="672"/>
      <c r="I1091" s="672"/>
      <c r="J1091" s="672"/>
      <c r="K1091" s="672"/>
      <c r="L1091" s="672"/>
    </row>
    <row r="1092" spans="1:12">
      <c r="A1092" s="672"/>
      <c r="B1092" s="672"/>
      <c r="C1092" s="672"/>
      <c r="D1092" s="672"/>
      <c r="E1092" s="672"/>
      <c r="F1092" s="672"/>
      <c r="G1092" s="672"/>
      <c r="H1092" s="672"/>
      <c r="I1092" s="672"/>
      <c r="J1092" s="672"/>
      <c r="K1092" s="672"/>
      <c r="L1092" s="672"/>
    </row>
    <row r="1093" spans="1:12">
      <c r="A1093" s="672"/>
      <c r="B1093" s="672"/>
      <c r="C1093" s="672"/>
      <c r="D1093" s="672"/>
      <c r="E1093" s="672"/>
      <c r="F1093" s="672"/>
      <c r="G1093" s="672"/>
      <c r="H1093" s="672"/>
      <c r="I1093" s="672"/>
      <c r="J1093" s="672"/>
      <c r="K1093" s="672"/>
      <c r="L1093" s="672"/>
    </row>
    <row r="1094" spans="1:12">
      <c r="A1094" s="672"/>
      <c r="B1094" s="672"/>
      <c r="C1094" s="672"/>
      <c r="D1094" s="672"/>
      <c r="E1094" s="672"/>
      <c r="F1094" s="672"/>
      <c r="G1094" s="672"/>
      <c r="H1094" s="672"/>
      <c r="I1094" s="672"/>
      <c r="J1094" s="672"/>
      <c r="K1094" s="672"/>
      <c r="L1094" s="672"/>
    </row>
    <row r="1095" spans="1:12">
      <c r="A1095" s="672"/>
      <c r="B1095" s="672"/>
      <c r="C1095" s="672"/>
      <c r="D1095" s="672"/>
      <c r="E1095" s="672"/>
      <c r="F1095" s="672"/>
      <c r="G1095" s="672"/>
      <c r="H1095" s="672"/>
      <c r="I1095" s="672"/>
      <c r="J1095" s="672"/>
      <c r="K1095" s="672"/>
      <c r="L1095" s="672"/>
    </row>
    <row r="1096" spans="1:12">
      <c r="A1096" s="672"/>
      <c r="B1096" s="672"/>
      <c r="C1096" s="672"/>
      <c r="D1096" s="672"/>
      <c r="E1096" s="672"/>
      <c r="F1096" s="672"/>
      <c r="G1096" s="672"/>
      <c r="H1096" s="672"/>
      <c r="I1096" s="672"/>
      <c r="J1096" s="672"/>
      <c r="K1096" s="672"/>
      <c r="L1096" s="672"/>
    </row>
    <row r="1097" spans="1:12">
      <c r="A1097" s="672"/>
      <c r="B1097" s="672"/>
      <c r="C1097" s="672"/>
      <c r="D1097" s="672"/>
      <c r="E1097" s="672"/>
      <c r="F1097" s="672"/>
      <c r="G1097" s="672"/>
      <c r="H1097" s="672"/>
      <c r="I1097" s="672"/>
      <c r="J1097" s="672"/>
      <c r="K1097" s="672"/>
      <c r="L1097" s="672"/>
    </row>
    <row r="1098" spans="1:12">
      <c r="A1098" s="672"/>
      <c r="B1098" s="672"/>
      <c r="C1098" s="672"/>
      <c r="D1098" s="672"/>
      <c r="E1098" s="672"/>
      <c r="F1098" s="672"/>
      <c r="G1098" s="672"/>
      <c r="H1098" s="672"/>
      <c r="I1098" s="672"/>
      <c r="J1098" s="672"/>
      <c r="K1098" s="672"/>
      <c r="L1098" s="672"/>
    </row>
    <row r="1099" spans="1:12">
      <c r="A1099" s="672"/>
      <c r="B1099" s="672"/>
      <c r="C1099" s="672"/>
      <c r="D1099" s="672"/>
      <c r="E1099" s="672"/>
      <c r="F1099" s="672"/>
      <c r="G1099" s="672"/>
      <c r="H1099" s="672"/>
      <c r="I1099" s="672"/>
      <c r="J1099" s="672"/>
      <c r="K1099" s="672"/>
      <c r="L1099" s="672"/>
    </row>
    <row r="1100" spans="1:12">
      <c r="A1100" s="672"/>
      <c r="B1100" s="672"/>
      <c r="C1100" s="672"/>
      <c r="D1100" s="672"/>
      <c r="E1100" s="672"/>
      <c r="F1100" s="672"/>
      <c r="G1100" s="672"/>
      <c r="H1100" s="672"/>
      <c r="I1100" s="672"/>
      <c r="J1100" s="672"/>
      <c r="K1100" s="672"/>
      <c r="L1100" s="672"/>
    </row>
    <row r="1101" spans="1:12">
      <c r="A1101" s="672"/>
      <c r="B1101" s="672"/>
      <c r="C1101" s="672"/>
      <c r="D1101" s="672"/>
      <c r="E1101" s="672"/>
      <c r="F1101" s="672"/>
      <c r="G1101" s="672"/>
      <c r="H1101" s="672"/>
      <c r="I1101" s="672"/>
      <c r="J1101" s="672"/>
      <c r="K1101" s="672"/>
      <c r="L1101" s="672"/>
    </row>
    <row r="1102" spans="1:12">
      <c r="A1102" s="672"/>
      <c r="B1102" s="672"/>
      <c r="C1102" s="672"/>
      <c r="D1102" s="672"/>
      <c r="E1102" s="672"/>
      <c r="F1102" s="672"/>
      <c r="G1102" s="672"/>
      <c r="H1102" s="672"/>
      <c r="I1102" s="672"/>
      <c r="J1102" s="672"/>
      <c r="K1102" s="672"/>
      <c r="L1102" s="672"/>
    </row>
    <row r="1103" spans="1:12">
      <c r="A1103" s="672"/>
      <c r="B1103" s="672"/>
      <c r="C1103" s="672"/>
      <c r="D1103" s="672"/>
      <c r="E1103" s="672"/>
      <c r="F1103" s="672"/>
      <c r="G1103" s="672"/>
      <c r="H1103" s="672"/>
      <c r="I1103" s="672"/>
      <c r="J1103" s="672"/>
      <c r="K1103" s="672"/>
      <c r="L1103" s="672"/>
    </row>
    <row r="1104" spans="1:12">
      <c r="A1104" s="672"/>
      <c r="B1104" s="672"/>
      <c r="C1104" s="672"/>
      <c r="D1104" s="672"/>
      <c r="E1104" s="672"/>
      <c r="F1104" s="672"/>
      <c r="G1104" s="672"/>
      <c r="H1104" s="672"/>
      <c r="I1104" s="672"/>
      <c r="J1104" s="672"/>
      <c r="K1104" s="672"/>
      <c r="L1104" s="672"/>
    </row>
    <row r="1105" spans="1:12">
      <c r="A1105" s="672"/>
      <c r="B1105" s="672"/>
      <c r="C1105" s="672"/>
      <c r="D1105" s="672"/>
      <c r="E1105" s="672"/>
      <c r="F1105" s="672"/>
      <c r="G1105" s="672"/>
      <c r="H1105" s="672"/>
      <c r="I1105" s="672"/>
      <c r="J1105" s="672"/>
      <c r="K1105" s="672"/>
      <c r="L1105" s="672"/>
    </row>
    <row r="1106" spans="1:12">
      <c r="A1106" s="672"/>
      <c r="B1106" s="672"/>
      <c r="C1106" s="672"/>
      <c r="D1106" s="672"/>
      <c r="E1106" s="672"/>
      <c r="F1106" s="672"/>
      <c r="G1106" s="672"/>
      <c r="H1106" s="672"/>
      <c r="I1106" s="672"/>
      <c r="J1106" s="672"/>
      <c r="K1106" s="672"/>
      <c r="L1106" s="672"/>
    </row>
    <row r="1107" spans="1:12">
      <c r="A1107" s="672"/>
      <c r="B1107" s="672"/>
      <c r="C1107" s="672"/>
      <c r="D1107" s="672"/>
      <c r="E1107" s="672"/>
      <c r="F1107" s="672"/>
      <c r="G1107" s="672"/>
      <c r="H1107" s="672"/>
      <c r="I1107" s="672"/>
      <c r="J1107" s="672"/>
      <c r="K1107" s="672"/>
      <c r="L1107" s="672"/>
    </row>
    <row r="1108" spans="1:12">
      <c r="A1108" s="672"/>
      <c r="B1108" s="672"/>
      <c r="C1108" s="672"/>
      <c r="D1108" s="672"/>
      <c r="E1108" s="672"/>
      <c r="F1108" s="672"/>
      <c r="G1108" s="672"/>
      <c r="H1108" s="672"/>
      <c r="I1108" s="672"/>
      <c r="J1108" s="672"/>
      <c r="K1108" s="672"/>
      <c r="L1108" s="672"/>
    </row>
    <row r="1109" spans="1:12">
      <c r="A1109" s="672"/>
      <c r="B1109" s="672"/>
      <c r="C1109" s="672"/>
      <c r="D1109" s="672"/>
      <c r="E1109" s="672"/>
      <c r="F1109" s="672"/>
      <c r="G1109" s="672"/>
      <c r="H1109" s="672"/>
      <c r="I1109" s="672"/>
      <c r="J1109" s="672"/>
      <c r="K1109" s="672"/>
      <c r="L1109" s="672"/>
    </row>
    <row r="1110" spans="1:12">
      <c r="A1110" s="672"/>
      <c r="B1110" s="672"/>
      <c r="C1110" s="672"/>
      <c r="D1110" s="672"/>
      <c r="E1110" s="672"/>
      <c r="F1110" s="672"/>
      <c r="G1110" s="672"/>
      <c r="H1110" s="672"/>
      <c r="I1110" s="672"/>
      <c r="J1110" s="672"/>
      <c r="K1110" s="672"/>
      <c r="L1110" s="672"/>
    </row>
    <row r="1111" spans="1:12">
      <c r="A1111" s="672"/>
      <c r="B1111" s="672"/>
      <c r="C1111" s="672"/>
      <c r="D1111" s="672"/>
      <c r="E1111" s="672"/>
      <c r="F1111" s="672"/>
      <c r="G1111" s="672"/>
      <c r="H1111" s="672"/>
      <c r="I1111" s="672"/>
      <c r="J1111" s="672"/>
      <c r="K1111" s="672"/>
      <c r="L1111" s="672"/>
    </row>
    <row r="1112" spans="1:12">
      <c r="A1112" s="672"/>
      <c r="B1112" s="672"/>
      <c r="C1112" s="672"/>
      <c r="D1112" s="672"/>
      <c r="E1112" s="672"/>
      <c r="F1112" s="672"/>
      <c r="G1112" s="672"/>
      <c r="H1112" s="672"/>
      <c r="I1112" s="672"/>
      <c r="J1112" s="672"/>
      <c r="K1112" s="672"/>
      <c r="L1112" s="672"/>
    </row>
    <row r="1113" spans="1:12">
      <c r="A1113" s="672"/>
      <c r="B1113" s="672"/>
      <c r="C1113" s="672"/>
      <c r="D1113" s="672"/>
      <c r="E1113" s="672"/>
      <c r="F1113" s="672"/>
      <c r="G1113" s="672"/>
      <c r="H1113" s="672"/>
      <c r="I1113" s="672"/>
      <c r="J1113" s="672"/>
      <c r="K1113" s="672"/>
      <c r="L1113" s="672"/>
    </row>
    <row r="1114" spans="1:12">
      <c r="A1114" s="672"/>
      <c r="B1114" s="672"/>
      <c r="C1114" s="672"/>
      <c r="D1114" s="672"/>
      <c r="E1114" s="672"/>
      <c r="F1114" s="672"/>
      <c r="G1114" s="672"/>
      <c r="H1114" s="672"/>
      <c r="I1114" s="672"/>
      <c r="J1114" s="672"/>
      <c r="K1114" s="672"/>
      <c r="L1114" s="672"/>
    </row>
    <row r="1115" spans="1:12">
      <c r="A1115" s="672"/>
      <c r="B1115" s="672"/>
      <c r="C1115" s="672"/>
      <c r="D1115" s="672"/>
      <c r="E1115" s="672"/>
      <c r="F1115" s="672"/>
      <c r="G1115" s="672"/>
      <c r="H1115" s="672"/>
      <c r="I1115" s="672"/>
      <c r="J1115" s="672"/>
      <c r="K1115" s="672"/>
      <c r="L1115" s="672"/>
    </row>
    <row r="1116" spans="1:12">
      <c r="A1116" s="672"/>
      <c r="B1116" s="672"/>
      <c r="C1116" s="672"/>
      <c r="D1116" s="672"/>
      <c r="E1116" s="672"/>
      <c r="F1116" s="672"/>
      <c r="G1116" s="672"/>
      <c r="H1116" s="672"/>
      <c r="I1116" s="672"/>
      <c r="J1116" s="672"/>
      <c r="K1116" s="672"/>
      <c r="L1116" s="672"/>
    </row>
    <row r="1117" spans="1:12">
      <c r="A1117" s="672"/>
      <c r="B1117" s="672"/>
      <c r="C1117" s="672"/>
      <c r="D1117" s="672"/>
      <c r="E1117" s="672"/>
      <c r="F1117" s="672"/>
      <c r="G1117" s="672"/>
      <c r="H1117" s="672"/>
      <c r="I1117" s="672"/>
      <c r="J1117" s="672"/>
      <c r="K1117" s="672"/>
      <c r="L1117" s="672"/>
    </row>
    <row r="1118" spans="1:12">
      <c r="A1118" s="672"/>
      <c r="B1118" s="672"/>
      <c r="C1118" s="672"/>
      <c r="D1118" s="672"/>
      <c r="E1118" s="672"/>
      <c r="F1118" s="672"/>
      <c r="G1118" s="672"/>
      <c r="H1118" s="672"/>
      <c r="I1118" s="672"/>
      <c r="J1118" s="672"/>
      <c r="K1118" s="672"/>
      <c r="L1118" s="672"/>
    </row>
    <row r="1119" spans="1:12">
      <c r="A1119" s="672"/>
      <c r="B1119" s="672"/>
      <c r="C1119" s="672"/>
      <c r="D1119" s="672"/>
      <c r="E1119" s="672"/>
      <c r="F1119" s="672"/>
      <c r="G1119" s="672"/>
      <c r="H1119" s="672"/>
      <c r="I1119" s="672"/>
      <c r="J1119" s="672"/>
      <c r="K1119" s="672"/>
      <c r="L1119" s="672"/>
    </row>
    <row r="1120" spans="1:12">
      <c r="A1120" s="672"/>
      <c r="B1120" s="672"/>
      <c r="C1120" s="672"/>
      <c r="D1120" s="672"/>
      <c r="E1120" s="672"/>
      <c r="F1120" s="672"/>
      <c r="G1120" s="672"/>
      <c r="H1120" s="672"/>
      <c r="I1120" s="672"/>
      <c r="J1120" s="672"/>
      <c r="K1120" s="672"/>
      <c r="L1120" s="672"/>
    </row>
    <row r="1121" spans="1:12">
      <c r="A1121" s="672"/>
      <c r="B1121" s="672"/>
      <c r="C1121" s="672"/>
      <c r="D1121" s="672"/>
      <c r="E1121" s="672"/>
      <c r="F1121" s="672"/>
      <c r="G1121" s="672"/>
      <c r="H1121" s="672"/>
      <c r="I1121" s="672"/>
      <c r="J1121" s="672"/>
      <c r="K1121" s="672"/>
      <c r="L1121" s="672"/>
    </row>
    <row r="1122" spans="1:12">
      <c r="A1122" s="672"/>
      <c r="B1122" s="672"/>
      <c r="C1122" s="672"/>
      <c r="D1122" s="672"/>
      <c r="E1122" s="672"/>
      <c r="F1122" s="672"/>
      <c r="G1122" s="672"/>
      <c r="H1122" s="672"/>
      <c r="I1122" s="672"/>
      <c r="J1122" s="672"/>
      <c r="K1122" s="672"/>
      <c r="L1122" s="672"/>
    </row>
    <row r="1123" spans="1:12">
      <c r="A1123" s="672"/>
      <c r="B1123" s="672"/>
      <c r="C1123" s="672"/>
      <c r="D1123" s="672"/>
      <c r="E1123" s="672"/>
      <c r="F1123" s="672"/>
      <c r="G1123" s="672"/>
      <c r="H1123" s="672"/>
      <c r="I1123" s="672"/>
      <c r="J1123" s="672"/>
      <c r="K1123" s="672"/>
      <c r="L1123" s="672"/>
    </row>
    <row r="1124" spans="1:12">
      <c r="A1124" s="672"/>
      <c r="B1124" s="672"/>
      <c r="C1124" s="672"/>
      <c r="D1124" s="672"/>
      <c r="E1124" s="672"/>
      <c r="F1124" s="672"/>
      <c r="G1124" s="672"/>
      <c r="H1124" s="672"/>
      <c r="I1124" s="672"/>
      <c r="J1124" s="672"/>
      <c r="K1124" s="672"/>
      <c r="L1124" s="672"/>
    </row>
    <row r="1125" spans="1:12">
      <c r="A1125" s="672"/>
      <c r="B1125" s="672"/>
      <c r="C1125" s="672"/>
      <c r="D1125" s="672"/>
      <c r="E1125" s="672"/>
      <c r="F1125" s="672"/>
      <c r="G1125" s="672"/>
      <c r="H1125" s="672"/>
      <c r="I1125" s="672"/>
      <c r="J1125" s="672"/>
      <c r="K1125" s="672"/>
      <c r="L1125" s="672"/>
    </row>
    <row r="1126" spans="1:12">
      <c r="A1126" s="672"/>
      <c r="B1126" s="672"/>
      <c r="C1126" s="672"/>
      <c r="D1126" s="672"/>
      <c r="E1126" s="672"/>
      <c r="F1126" s="672"/>
      <c r="G1126" s="672"/>
      <c r="H1126" s="672"/>
      <c r="I1126" s="672"/>
      <c r="J1126" s="672"/>
      <c r="K1126" s="672"/>
      <c r="L1126" s="672"/>
    </row>
    <row r="1127" spans="1:12">
      <c r="A1127" s="672"/>
      <c r="B1127" s="672"/>
      <c r="C1127" s="672"/>
      <c r="D1127" s="672"/>
      <c r="E1127" s="672"/>
      <c r="F1127" s="672"/>
      <c r="G1127" s="672"/>
      <c r="H1127" s="672"/>
      <c r="I1127" s="672"/>
      <c r="J1127" s="672"/>
      <c r="K1127" s="672"/>
      <c r="L1127" s="672"/>
    </row>
    <row r="1128" spans="1:12">
      <c r="A1128" s="672"/>
      <c r="B1128" s="672"/>
      <c r="C1128" s="672"/>
      <c r="D1128" s="672"/>
      <c r="E1128" s="672"/>
      <c r="F1128" s="672"/>
      <c r="G1128" s="672"/>
      <c r="H1128" s="672"/>
      <c r="I1128" s="672"/>
      <c r="J1128" s="672"/>
      <c r="K1128" s="672"/>
      <c r="L1128" s="672"/>
    </row>
    <row r="1129" spans="1:12">
      <c r="A1129" s="672"/>
      <c r="B1129" s="672"/>
      <c r="C1129" s="672"/>
      <c r="D1129" s="672"/>
      <c r="E1129" s="672"/>
      <c r="F1129" s="672"/>
      <c r="G1129" s="672"/>
      <c r="H1129" s="672"/>
      <c r="I1129" s="672"/>
      <c r="J1129" s="672"/>
      <c r="K1129" s="672"/>
      <c r="L1129" s="672"/>
    </row>
    <row r="1130" spans="1:12">
      <c r="A1130" s="672"/>
      <c r="B1130" s="672"/>
      <c r="C1130" s="672"/>
      <c r="D1130" s="672"/>
      <c r="E1130" s="672"/>
      <c r="F1130" s="672"/>
      <c r="G1130" s="672"/>
      <c r="H1130" s="672"/>
      <c r="I1130" s="672"/>
      <c r="J1130" s="672"/>
      <c r="K1130" s="672"/>
      <c r="L1130" s="672"/>
    </row>
    <row r="1131" spans="1:12">
      <c r="A1131" s="672"/>
      <c r="B1131" s="672"/>
      <c r="C1131" s="672"/>
      <c r="D1131" s="672"/>
      <c r="E1131" s="672"/>
      <c r="F1131" s="672"/>
      <c r="G1131" s="672"/>
      <c r="H1131" s="672"/>
      <c r="I1131" s="672"/>
      <c r="J1131" s="672"/>
      <c r="K1131" s="672"/>
      <c r="L1131" s="672"/>
    </row>
    <row r="1132" spans="1:12">
      <c r="A1132" s="672"/>
      <c r="B1132" s="672"/>
      <c r="C1132" s="672"/>
      <c r="D1132" s="672"/>
      <c r="E1132" s="672"/>
      <c r="F1132" s="672"/>
      <c r="G1132" s="672"/>
      <c r="H1132" s="672"/>
      <c r="I1132" s="672"/>
      <c r="J1132" s="672"/>
      <c r="K1132" s="672"/>
      <c r="L1132" s="672"/>
    </row>
    <row r="1133" spans="1:12">
      <c r="A1133" s="672"/>
      <c r="B1133" s="672"/>
      <c r="C1133" s="672"/>
      <c r="D1133" s="672"/>
      <c r="E1133" s="672"/>
      <c r="F1133" s="672"/>
      <c r="G1133" s="672"/>
      <c r="H1133" s="672"/>
      <c r="I1133" s="672"/>
      <c r="J1133" s="672"/>
      <c r="K1133" s="672"/>
      <c r="L1133" s="672"/>
    </row>
    <row r="1134" spans="1:12">
      <c r="A1134" s="672"/>
      <c r="B1134" s="672"/>
      <c r="C1134" s="672"/>
      <c r="D1134" s="672"/>
      <c r="E1134" s="672"/>
      <c r="F1134" s="672"/>
      <c r="G1134" s="672"/>
      <c r="H1134" s="672"/>
      <c r="I1134" s="672"/>
      <c r="J1134" s="672"/>
      <c r="K1134" s="672"/>
      <c r="L1134" s="672"/>
    </row>
    <row r="1135" spans="1:12">
      <c r="A1135" s="672"/>
      <c r="B1135" s="672"/>
      <c r="C1135" s="672"/>
      <c r="D1135" s="672"/>
      <c r="E1135" s="672"/>
      <c r="F1135" s="672"/>
      <c r="G1135" s="672"/>
      <c r="H1135" s="672"/>
      <c r="I1135" s="672"/>
      <c r="J1135" s="672"/>
      <c r="K1135" s="672"/>
      <c r="L1135" s="672"/>
    </row>
    <row r="1136" spans="1:12">
      <c r="A1136" s="672"/>
      <c r="B1136" s="672"/>
      <c r="C1136" s="672"/>
      <c r="D1136" s="672"/>
      <c r="E1136" s="672"/>
      <c r="F1136" s="672"/>
      <c r="G1136" s="672"/>
      <c r="H1136" s="672"/>
      <c r="I1136" s="672"/>
      <c r="J1136" s="672"/>
      <c r="K1136" s="672"/>
      <c r="L1136" s="672"/>
    </row>
    <row r="1137" spans="1:12">
      <c r="A1137" s="672"/>
      <c r="B1137" s="672"/>
      <c r="C1137" s="672"/>
      <c r="D1137" s="672"/>
      <c r="E1137" s="672"/>
      <c r="F1137" s="672"/>
      <c r="G1137" s="672"/>
      <c r="H1137" s="672"/>
      <c r="I1137" s="672"/>
      <c r="J1137" s="672"/>
      <c r="K1137" s="672"/>
      <c r="L1137" s="672"/>
    </row>
    <row r="1138" spans="1:12">
      <c r="A1138" s="672"/>
      <c r="B1138" s="672"/>
      <c r="C1138" s="672"/>
      <c r="D1138" s="672"/>
      <c r="E1138" s="672"/>
      <c r="F1138" s="672"/>
      <c r="G1138" s="672"/>
      <c r="H1138" s="672"/>
      <c r="I1138" s="672"/>
      <c r="J1138" s="672"/>
      <c r="K1138" s="672"/>
      <c r="L1138" s="672"/>
    </row>
    <row r="1139" spans="1:12">
      <c r="A1139" s="672"/>
      <c r="B1139" s="672"/>
      <c r="C1139" s="672"/>
      <c r="D1139" s="672"/>
      <c r="E1139" s="672"/>
      <c r="F1139" s="672"/>
      <c r="G1139" s="672"/>
      <c r="H1139" s="672"/>
      <c r="I1139" s="672"/>
      <c r="J1139" s="672"/>
      <c r="K1139" s="672"/>
      <c r="L1139" s="672"/>
    </row>
    <row r="1140" spans="1:12">
      <c r="A1140" s="672"/>
      <c r="B1140" s="672"/>
      <c r="C1140" s="672"/>
      <c r="D1140" s="672"/>
      <c r="E1140" s="672"/>
      <c r="F1140" s="672"/>
      <c r="G1140" s="672"/>
      <c r="H1140" s="672"/>
      <c r="I1140" s="672"/>
      <c r="J1140" s="672"/>
      <c r="K1140" s="672"/>
      <c r="L1140" s="672"/>
    </row>
    <row r="1141" spans="1:12">
      <c r="A1141" s="672"/>
      <c r="B1141" s="672"/>
      <c r="C1141" s="672"/>
      <c r="D1141" s="672"/>
      <c r="E1141" s="672"/>
      <c r="F1141" s="672"/>
      <c r="G1141" s="672"/>
      <c r="H1141" s="672"/>
      <c r="I1141" s="672"/>
      <c r="J1141" s="672"/>
      <c r="K1141" s="672"/>
      <c r="L1141" s="672"/>
    </row>
    <row r="1142" spans="1:12">
      <c r="A1142" s="672"/>
      <c r="B1142" s="672"/>
      <c r="C1142" s="672"/>
      <c r="D1142" s="672"/>
      <c r="E1142" s="672"/>
      <c r="F1142" s="672"/>
      <c r="G1142" s="672"/>
      <c r="H1142" s="672"/>
      <c r="I1142" s="672"/>
      <c r="J1142" s="672"/>
      <c r="K1142" s="672"/>
      <c r="L1142" s="672"/>
    </row>
    <row r="1143" spans="1:12">
      <c r="A1143" s="672"/>
      <c r="B1143" s="672"/>
      <c r="C1143" s="672"/>
      <c r="D1143" s="672"/>
      <c r="E1143" s="672"/>
      <c r="F1143" s="672"/>
      <c r="G1143" s="672"/>
      <c r="H1143" s="672"/>
      <c r="I1143" s="672"/>
      <c r="J1143" s="672"/>
      <c r="K1143" s="672"/>
      <c r="L1143" s="672"/>
    </row>
    <row r="1144" spans="1:12">
      <c r="A1144" s="672"/>
      <c r="B1144" s="672"/>
      <c r="C1144" s="672"/>
      <c r="D1144" s="672"/>
      <c r="E1144" s="672"/>
      <c r="F1144" s="672"/>
      <c r="G1144" s="672"/>
      <c r="H1144" s="672"/>
      <c r="I1144" s="672"/>
      <c r="J1144" s="672"/>
      <c r="K1144" s="672"/>
      <c r="L1144" s="672"/>
    </row>
    <row r="1145" spans="1:12">
      <c r="A1145" s="672"/>
      <c r="B1145" s="672"/>
      <c r="C1145" s="672"/>
      <c r="D1145" s="672"/>
      <c r="E1145" s="672"/>
      <c r="F1145" s="672"/>
      <c r="G1145" s="672"/>
      <c r="H1145" s="672"/>
      <c r="I1145" s="672"/>
      <c r="J1145" s="672"/>
      <c r="K1145" s="672"/>
      <c r="L1145" s="672"/>
    </row>
    <row r="1146" spans="1:12">
      <c r="A1146" s="672"/>
      <c r="B1146" s="672"/>
      <c r="C1146" s="672"/>
      <c r="D1146" s="672"/>
      <c r="E1146" s="672"/>
      <c r="F1146" s="672"/>
      <c r="G1146" s="672"/>
      <c r="H1146" s="672"/>
      <c r="I1146" s="672"/>
      <c r="J1146" s="672"/>
      <c r="K1146" s="672"/>
      <c r="L1146" s="672"/>
    </row>
    <row r="1147" spans="1:12">
      <c r="A1147" s="672"/>
      <c r="B1147" s="672"/>
      <c r="C1147" s="672"/>
      <c r="D1147" s="672"/>
      <c r="E1147" s="672"/>
      <c r="F1147" s="672"/>
      <c r="G1147" s="672"/>
      <c r="H1147" s="672"/>
      <c r="I1147" s="672"/>
      <c r="J1147" s="672"/>
      <c r="K1147" s="672"/>
      <c r="L1147" s="672"/>
    </row>
    <row r="1148" spans="1:12">
      <c r="A1148" s="672"/>
      <c r="B1148" s="672"/>
      <c r="C1148" s="672"/>
      <c r="D1148" s="672"/>
      <c r="E1148" s="672"/>
      <c r="F1148" s="672"/>
      <c r="G1148" s="672"/>
      <c r="H1148" s="672"/>
      <c r="I1148" s="672"/>
      <c r="J1148" s="672"/>
      <c r="K1148" s="672"/>
      <c r="L1148" s="672"/>
    </row>
    <row r="1149" spans="1:12">
      <c r="A1149" s="672"/>
      <c r="B1149" s="672"/>
      <c r="C1149" s="672"/>
      <c r="D1149" s="672"/>
      <c r="E1149" s="672"/>
      <c r="F1149" s="672"/>
      <c r="G1149" s="672"/>
      <c r="H1149" s="672"/>
      <c r="I1149" s="672"/>
      <c r="J1149" s="672"/>
      <c r="K1149" s="672"/>
      <c r="L1149" s="672"/>
    </row>
    <row r="1150" spans="1:12">
      <c r="A1150" s="672"/>
      <c r="B1150" s="672"/>
      <c r="C1150" s="672"/>
      <c r="D1150" s="672"/>
      <c r="E1150" s="672"/>
      <c r="F1150" s="672"/>
      <c r="G1150" s="672"/>
      <c r="H1150" s="672"/>
      <c r="I1150" s="672"/>
      <c r="J1150" s="672"/>
      <c r="K1150" s="672"/>
      <c r="L1150" s="672"/>
    </row>
    <row r="1151" spans="1:12">
      <c r="A1151" s="672"/>
      <c r="B1151" s="672"/>
      <c r="C1151" s="672"/>
      <c r="D1151" s="672"/>
      <c r="E1151" s="672"/>
      <c r="F1151" s="672"/>
      <c r="G1151" s="672"/>
      <c r="H1151" s="672"/>
      <c r="I1151" s="672"/>
      <c r="J1151" s="672"/>
      <c r="K1151" s="672"/>
      <c r="L1151" s="672"/>
    </row>
    <row r="1152" spans="1:12">
      <c r="A1152" s="672"/>
      <c r="B1152" s="672"/>
      <c r="C1152" s="672"/>
      <c r="D1152" s="672"/>
      <c r="E1152" s="672"/>
      <c r="F1152" s="672"/>
      <c r="G1152" s="672"/>
      <c r="H1152" s="672"/>
      <c r="I1152" s="672"/>
      <c r="J1152" s="672"/>
      <c r="K1152" s="672"/>
      <c r="L1152" s="672"/>
    </row>
    <row r="1153" spans="1:12">
      <c r="A1153" s="672"/>
      <c r="B1153" s="672"/>
      <c r="C1153" s="672"/>
      <c r="D1153" s="672"/>
      <c r="E1153" s="672"/>
      <c r="F1153" s="672"/>
      <c r="G1153" s="672"/>
      <c r="H1153" s="672"/>
      <c r="I1153" s="672"/>
      <c r="J1153" s="672"/>
      <c r="K1153" s="672"/>
      <c r="L1153" s="672"/>
    </row>
    <row r="1154" spans="1:12">
      <c r="A1154" s="672"/>
      <c r="B1154" s="672"/>
      <c r="C1154" s="672"/>
      <c r="D1154" s="672"/>
      <c r="E1154" s="672"/>
      <c r="F1154" s="672"/>
      <c r="G1154" s="672"/>
      <c r="H1154" s="672"/>
      <c r="I1154" s="672"/>
      <c r="J1154" s="672"/>
      <c r="K1154" s="672"/>
      <c r="L1154" s="672"/>
    </row>
    <row r="1155" spans="1:12">
      <c r="A1155" s="672"/>
      <c r="B1155" s="672"/>
      <c r="C1155" s="672"/>
      <c r="D1155" s="672"/>
      <c r="E1155" s="672"/>
      <c r="F1155" s="672"/>
      <c r="G1155" s="672"/>
      <c r="H1155" s="672"/>
      <c r="I1155" s="672"/>
      <c r="J1155" s="672"/>
      <c r="K1155" s="672"/>
      <c r="L1155" s="672"/>
    </row>
    <row r="1156" spans="1:12">
      <c r="A1156" s="672"/>
      <c r="B1156" s="672"/>
      <c r="C1156" s="672"/>
      <c r="D1156" s="672"/>
      <c r="E1156" s="672"/>
      <c r="F1156" s="672"/>
      <c r="G1156" s="672"/>
      <c r="H1156" s="672"/>
      <c r="I1156" s="672"/>
      <c r="J1156" s="672"/>
      <c r="K1156" s="672"/>
      <c r="L1156" s="672"/>
    </row>
    <row r="1157" spans="1:12">
      <c r="A1157" s="672"/>
      <c r="B1157" s="672"/>
      <c r="C1157" s="672"/>
      <c r="D1157" s="672"/>
      <c r="E1157" s="672"/>
      <c r="F1157" s="672"/>
      <c r="G1157" s="672"/>
      <c r="H1157" s="672"/>
      <c r="I1157" s="672"/>
      <c r="J1157" s="672"/>
      <c r="K1157" s="672"/>
      <c r="L1157" s="672"/>
    </row>
    <row r="1158" spans="1:12">
      <c r="A1158" s="672"/>
      <c r="B1158" s="672"/>
      <c r="C1158" s="672"/>
      <c r="D1158" s="672"/>
      <c r="E1158" s="672"/>
      <c r="F1158" s="672"/>
      <c r="G1158" s="672"/>
      <c r="H1158" s="672"/>
      <c r="I1158" s="672"/>
      <c r="J1158" s="672"/>
      <c r="K1158" s="672"/>
      <c r="L1158" s="672"/>
    </row>
    <row r="1159" spans="1:12">
      <c r="A1159" s="672"/>
      <c r="B1159" s="672"/>
      <c r="C1159" s="672"/>
      <c r="D1159" s="672"/>
      <c r="E1159" s="672"/>
      <c r="F1159" s="672"/>
      <c r="G1159" s="672"/>
      <c r="H1159" s="672"/>
      <c r="I1159" s="672"/>
      <c r="J1159" s="672"/>
      <c r="K1159" s="672"/>
      <c r="L1159" s="672"/>
    </row>
    <row r="1160" spans="1:12">
      <c r="A1160" s="672"/>
      <c r="B1160" s="672"/>
      <c r="C1160" s="672"/>
      <c r="D1160" s="672"/>
      <c r="E1160" s="672"/>
      <c r="F1160" s="672"/>
      <c r="G1160" s="672"/>
      <c r="H1160" s="672"/>
      <c r="I1160" s="672"/>
      <c r="J1160" s="672"/>
      <c r="K1160" s="672"/>
      <c r="L1160" s="672"/>
    </row>
    <row r="1161" spans="1:12">
      <c r="A1161" s="672"/>
      <c r="B1161" s="672"/>
      <c r="C1161" s="672"/>
      <c r="D1161" s="672"/>
      <c r="E1161" s="672"/>
      <c r="F1161" s="672"/>
      <c r="G1161" s="672"/>
      <c r="H1161" s="672"/>
      <c r="I1161" s="672"/>
      <c r="J1161" s="672"/>
      <c r="K1161" s="672"/>
      <c r="L1161" s="672"/>
    </row>
    <row r="1162" spans="1:12">
      <c r="A1162" s="672"/>
      <c r="B1162" s="672"/>
      <c r="C1162" s="672"/>
      <c r="D1162" s="672"/>
      <c r="E1162" s="672"/>
      <c r="F1162" s="672"/>
      <c r="G1162" s="672"/>
      <c r="H1162" s="672"/>
      <c r="I1162" s="672"/>
      <c r="J1162" s="672"/>
      <c r="K1162" s="672"/>
      <c r="L1162" s="672"/>
    </row>
    <row r="1163" spans="1:12">
      <c r="A1163" s="672"/>
      <c r="B1163" s="672"/>
      <c r="C1163" s="672"/>
      <c r="D1163" s="672"/>
      <c r="E1163" s="672"/>
      <c r="F1163" s="672"/>
      <c r="G1163" s="672"/>
      <c r="H1163" s="672"/>
      <c r="I1163" s="672"/>
      <c r="J1163" s="672"/>
      <c r="K1163" s="672"/>
      <c r="L1163" s="672"/>
    </row>
    <row r="1164" spans="1:12">
      <c r="A1164" s="672"/>
      <c r="B1164" s="672"/>
      <c r="C1164" s="672"/>
      <c r="D1164" s="672"/>
      <c r="E1164" s="672"/>
      <c r="F1164" s="672"/>
      <c r="G1164" s="672"/>
      <c r="H1164" s="672"/>
      <c r="I1164" s="672"/>
      <c r="J1164" s="672"/>
      <c r="K1164" s="672"/>
      <c r="L1164" s="672"/>
    </row>
    <row r="1165" spans="1:12">
      <c r="A1165" s="672"/>
      <c r="B1165" s="672"/>
      <c r="C1165" s="672"/>
      <c r="D1165" s="672"/>
      <c r="E1165" s="672"/>
      <c r="F1165" s="672"/>
      <c r="G1165" s="672"/>
      <c r="H1165" s="672"/>
      <c r="I1165" s="672"/>
      <c r="J1165" s="672"/>
      <c r="K1165" s="672"/>
      <c r="L1165" s="672"/>
    </row>
    <row r="1166" spans="1:12">
      <c r="A1166" s="672"/>
      <c r="B1166" s="672"/>
      <c r="C1166" s="672"/>
      <c r="D1166" s="672"/>
      <c r="E1166" s="672"/>
      <c r="F1166" s="672"/>
      <c r="G1166" s="672"/>
      <c r="H1166" s="672"/>
      <c r="I1166" s="672"/>
      <c r="J1166" s="672"/>
      <c r="K1166" s="672"/>
      <c r="L1166" s="672"/>
    </row>
    <row r="1167" spans="1:12">
      <c r="A1167" s="672"/>
      <c r="B1167" s="672"/>
      <c r="C1167" s="672"/>
      <c r="D1167" s="672"/>
      <c r="E1167" s="672"/>
      <c r="F1167" s="672"/>
      <c r="G1167" s="672"/>
      <c r="H1167" s="672"/>
      <c r="I1167" s="672"/>
      <c r="J1167" s="672"/>
      <c r="K1167" s="672"/>
      <c r="L1167" s="672"/>
    </row>
    <row r="1168" spans="1:12">
      <c r="A1168" s="672"/>
      <c r="B1168" s="672"/>
      <c r="C1168" s="672"/>
      <c r="D1168" s="672"/>
      <c r="E1168" s="672"/>
      <c r="F1168" s="672"/>
      <c r="G1168" s="672"/>
      <c r="H1168" s="672"/>
      <c r="I1168" s="672"/>
      <c r="J1168" s="672"/>
      <c r="K1168" s="672"/>
      <c r="L1168" s="672"/>
    </row>
    <row r="1169" spans="1:12">
      <c r="A1169" s="672"/>
      <c r="B1169" s="672"/>
      <c r="C1169" s="672"/>
      <c r="D1169" s="672"/>
      <c r="E1169" s="672"/>
      <c r="F1169" s="672"/>
      <c r="G1169" s="672"/>
      <c r="H1169" s="672"/>
      <c r="I1169" s="672"/>
      <c r="J1169" s="672"/>
      <c r="K1169" s="672"/>
      <c r="L1169" s="672"/>
    </row>
    <row r="1170" spans="1:12">
      <c r="A1170" s="672"/>
      <c r="B1170" s="672"/>
      <c r="C1170" s="672"/>
      <c r="D1170" s="672"/>
      <c r="E1170" s="672"/>
      <c r="F1170" s="672"/>
      <c r="G1170" s="672"/>
      <c r="H1170" s="672"/>
      <c r="I1170" s="672"/>
      <c r="J1170" s="672"/>
      <c r="K1170" s="672"/>
      <c r="L1170" s="672"/>
    </row>
    <row r="1171" spans="1:12">
      <c r="A1171" s="672"/>
      <c r="B1171" s="672"/>
      <c r="C1171" s="672"/>
      <c r="D1171" s="672"/>
      <c r="E1171" s="672"/>
      <c r="F1171" s="672"/>
      <c r="G1171" s="672"/>
      <c r="H1171" s="672"/>
      <c r="I1171" s="672"/>
      <c r="J1171" s="672"/>
      <c r="K1171" s="672"/>
      <c r="L1171" s="672"/>
    </row>
    <row r="1172" spans="1:12">
      <c r="A1172" s="672"/>
      <c r="B1172" s="672"/>
      <c r="C1172" s="672"/>
      <c r="D1172" s="672"/>
      <c r="E1172" s="672"/>
      <c r="F1172" s="672"/>
      <c r="G1172" s="672"/>
      <c r="H1172" s="672"/>
      <c r="I1172" s="672"/>
      <c r="J1172" s="672"/>
      <c r="K1172" s="672"/>
      <c r="L1172" s="672"/>
    </row>
    <row r="1173" spans="1:12">
      <c r="A1173" s="672"/>
      <c r="B1173" s="672"/>
      <c r="C1173" s="672"/>
      <c r="D1173" s="672"/>
      <c r="E1173" s="672"/>
      <c r="F1173" s="672"/>
      <c r="G1173" s="672"/>
      <c r="H1173" s="672"/>
      <c r="I1173" s="672"/>
      <c r="J1173" s="672"/>
      <c r="K1173" s="672"/>
      <c r="L1173" s="672"/>
    </row>
    <row r="1174" spans="1:12">
      <c r="A1174" s="672"/>
      <c r="B1174" s="672"/>
      <c r="C1174" s="672"/>
      <c r="D1174" s="672"/>
      <c r="E1174" s="672"/>
      <c r="F1174" s="672"/>
      <c r="G1174" s="672"/>
      <c r="H1174" s="672"/>
      <c r="I1174" s="672"/>
      <c r="J1174" s="672"/>
      <c r="K1174" s="672"/>
      <c r="L1174" s="672"/>
    </row>
    <row r="1175" spans="1:12">
      <c r="A1175" s="672"/>
      <c r="B1175" s="672"/>
      <c r="C1175" s="672"/>
      <c r="D1175" s="672"/>
      <c r="E1175" s="672"/>
      <c r="F1175" s="672"/>
      <c r="G1175" s="672"/>
      <c r="H1175" s="672"/>
      <c r="I1175" s="672"/>
      <c r="J1175" s="672"/>
      <c r="K1175" s="672"/>
      <c r="L1175" s="672"/>
    </row>
    <row r="1176" spans="1:12">
      <c r="A1176" s="672"/>
      <c r="B1176" s="672"/>
      <c r="C1176" s="672"/>
      <c r="D1176" s="672"/>
      <c r="E1176" s="672"/>
      <c r="F1176" s="672"/>
      <c r="G1176" s="672"/>
      <c r="H1176" s="672"/>
      <c r="I1176" s="672"/>
      <c r="J1176" s="672"/>
      <c r="K1176" s="672"/>
      <c r="L1176" s="672"/>
    </row>
    <row r="1177" spans="1:12">
      <c r="A1177" s="672"/>
      <c r="B1177" s="672"/>
      <c r="C1177" s="672"/>
      <c r="D1177" s="672"/>
      <c r="E1177" s="672"/>
      <c r="F1177" s="672"/>
      <c r="G1177" s="672"/>
      <c r="H1177" s="672"/>
      <c r="I1177" s="672"/>
      <c r="J1177" s="672"/>
      <c r="K1177" s="672"/>
      <c r="L1177" s="672"/>
    </row>
    <row r="1178" spans="1:12">
      <c r="A1178" s="672"/>
      <c r="B1178" s="672"/>
      <c r="C1178" s="672"/>
      <c r="D1178" s="672"/>
      <c r="E1178" s="672"/>
      <c r="F1178" s="672"/>
      <c r="G1178" s="672"/>
      <c r="H1178" s="672"/>
      <c r="I1178" s="672"/>
      <c r="J1178" s="672"/>
      <c r="K1178" s="672"/>
      <c r="L1178" s="672"/>
    </row>
    <row r="1179" spans="1:12">
      <c r="A1179" s="672"/>
      <c r="B1179" s="672"/>
      <c r="C1179" s="672"/>
      <c r="D1179" s="672"/>
      <c r="E1179" s="672"/>
      <c r="F1179" s="672"/>
      <c r="G1179" s="672"/>
      <c r="H1179" s="672"/>
      <c r="I1179" s="672"/>
      <c r="J1179" s="672"/>
      <c r="K1179" s="672"/>
      <c r="L1179" s="672"/>
    </row>
    <row r="1180" spans="1:12">
      <c r="A1180" s="672"/>
      <c r="B1180" s="672"/>
      <c r="C1180" s="672"/>
      <c r="D1180" s="672"/>
      <c r="E1180" s="672"/>
      <c r="F1180" s="672"/>
      <c r="G1180" s="672"/>
      <c r="H1180" s="672"/>
      <c r="I1180" s="672"/>
      <c r="J1180" s="672"/>
      <c r="K1180" s="672"/>
      <c r="L1180" s="672"/>
    </row>
    <row r="1181" spans="1:12">
      <c r="A1181" s="672"/>
      <c r="B1181" s="672"/>
      <c r="C1181" s="672"/>
      <c r="D1181" s="672"/>
      <c r="E1181" s="672"/>
      <c r="F1181" s="672"/>
      <c r="G1181" s="672"/>
      <c r="H1181" s="672"/>
      <c r="I1181" s="672"/>
      <c r="J1181" s="672"/>
      <c r="K1181" s="672"/>
      <c r="L1181" s="672"/>
    </row>
    <row r="1182" spans="1:12">
      <c r="A1182" s="672"/>
      <c r="B1182" s="672"/>
      <c r="C1182" s="672"/>
      <c r="D1182" s="672"/>
      <c r="E1182" s="672"/>
      <c r="F1182" s="672"/>
      <c r="G1182" s="672"/>
      <c r="H1182" s="672"/>
      <c r="I1182" s="672"/>
      <c r="J1182" s="672"/>
      <c r="K1182" s="672"/>
      <c r="L1182" s="672"/>
    </row>
    <row r="1183" spans="1:12">
      <c r="A1183" s="672"/>
      <c r="B1183" s="672"/>
      <c r="C1183" s="672"/>
      <c r="D1183" s="672"/>
      <c r="E1183" s="672"/>
      <c r="F1183" s="672"/>
      <c r="G1183" s="672"/>
      <c r="H1183" s="672"/>
      <c r="I1183" s="672"/>
      <c r="J1183" s="672"/>
      <c r="K1183" s="672"/>
      <c r="L1183" s="672"/>
    </row>
    <row r="1184" spans="1:12">
      <c r="A1184" s="672"/>
      <c r="B1184" s="672"/>
      <c r="C1184" s="672"/>
      <c r="D1184" s="672"/>
      <c r="E1184" s="672"/>
      <c r="F1184" s="672"/>
      <c r="G1184" s="672"/>
      <c r="H1184" s="672"/>
      <c r="I1184" s="672"/>
      <c r="J1184" s="672"/>
      <c r="K1184" s="672"/>
      <c r="L1184" s="672"/>
    </row>
    <row r="1185" spans="1:12">
      <c r="A1185" s="672"/>
      <c r="B1185" s="672"/>
      <c r="C1185" s="672"/>
      <c r="D1185" s="672"/>
      <c r="E1185" s="672"/>
      <c r="F1185" s="672"/>
      <c r="G1185" s="672"/>
      <c r="H1185" s="672"/>
      <c r="I1185" s="672"/>
      <c r="J1185" s="672"/>
      <c r="K1185" s="672"/>
      <c r="L1185" s="672"/>
    </row>
    <row r="1186" spans="1:12">
      <c r="A1186" s="672"/>
      <c r="B1186" s="672"/>
      <c r="C1186" s="672"/>
      <c r="D1186" s="672"/>
      <c r="E1186" s="672"/>
      <c r="F1186" s="672"/>
      <c r="G1186" s="672"/>
      <c r="H1186" s="672"/>
      <c r="I1186" s="672"/>
      <c r="J1186" s="672"/>
      <c r="K1186" s="672"/>
      <c r="L1186" s="672"/>
    </row>
    <row r="1187" spans="1:12">
      <c r="A1187" s="672"/>
      <c r="B1187" s="672"/>
      <c r="C1187" s="672"/>
      <c r="D1187" s="672"/>
      <c r="E1187" s="672"/>
      <c r="F1187" s="672"/>
      <c r="G1187" s="672"/>
      <c r="H1187" s="672"/>
      <c r="I1187" s="672"/>
      <c r="J1187" s="672"/>
      <c r="K1187" s="672"/>
      <c r="L1187" s="672"/>
    </row>
    <row r="1188" spans="1:12">
      <c r="A1188" s="672"/>
      <c r="B1188" s="672"/>
      <c r="C1188" s="672"/>
      <c r="D1188" s="672"/>
      <c r="E1188" s="672"/>
      <c r="F1188" s="672"/>
      <c r="G1188" s="672"/>
      <c r="H1188" s="672"/>
      <c r="I1188" s="672"/>
      <c r="J1188" s="672"/>
      <c r="K1188" s="672"/>
      <c r="L1188" s="672"/>
    </row>
    <row r="1189" spans="1:12">
      <c r="A1189" s="672"/>
      <c r="B1189" s="672"/>
      <c r="C1189" s="672"/>
      <c r="D1189" s="672"/>
      <c r="E1189" s="672"/>
      <c r="F1189" s="672"/>
      <c r="G1189" s="672"/>
      <c r="H1189" s="672"/>
      <c r="I1189" s="672"/>
      <c r="J1189" s="672"/>
      <c r="K1189" s="672"/>
      <c r="L1189" s="672"/>
    </row>
    <row r="1190" spans="1:12">
      <c r="A1190" s="672"/>
      <c r="B1190" s="672"/>
      <c r="C1190" s="672"/>
      <c r="D1190" s="672"/>
      <c r="E1190" s="672"/>
      <c r="F1190" s="672"/>
      <c r="G1190" s="672"/>
      <c r="H1190" s="672"/>
      <c r="I1190" s="672"/>
      <c r="J1190" s="672"/>
      <c r="K1190" s="672"/>
      <c r="L1190" s="672"/>
    </row>
    <row r="1191" spans="1:12">
      <c r="A1191" s="672"/>
      <c r="B1191" s="672"/>
      <c r="C1191" s="672"/>
      <c r="D1191" s="672"/>
      <c r="E1191" s="672"/>
      <c r="F1191" s="672"/>
      <c r="G1191" s="672"/>
      <c r="H1191" s="672"/>
      <c r="I1191" s="672"/>
      <c r="J1191" s="672"/>
      <c r="K1191" s="672"/>
      <c r="L1191" s="672"/>
    </row>
    <row r="1192" spans="1:12">
      <c r="A1192" s="672"/>
      <c r="B1192" s="672"/>
      <c r="C1192" s="672"/>
      <c r="D1192" s="672"/>
      <c r="E1192" s="672"/>
      <c r="F1192" s="672"/>
      <c r="G1192" s="672"/>
      <c r="H1192" s="672"/>
      <c r="I1192" s="672"/>
      <c r="J1192" s="672"/>
      <c r="K1192" s="672"/>
      <c r="L1192" s="672"/>
    </row>
    <row r="1193" spans="1:12">
      <c r="A1193" s="672"/>
      <c r="B1193" s="672"/>
      <c r="C1193" s="672"/>
      <c r="D1193" s="672"/>
      <c r="E1193" s="672"/>
      <c r="F1193" s="672"/>
      <c r="G1193" s="672"/>
      <c r="H1193" s="672"/>
      <c r="I1193" s="672"/>
      <c r="J1193" s="672"/>
      <c r="K1193" s="672"/>
      <c r="L1193" s="672"/>
    </row>
    <row r="1194" spans="1:12">
      <c r="A1194" s="672"/>
      <c r="B1194" s="672"/>
      <c r="C1194" s="672"/>
      <c r="D1194" s="672"/>
      <c r="E1194" s="672"/>
      <c r="F1194" s="672"/>
      <c r="G1194" s="672"/>
      <c r="H1194" s="672"/>
      <c r="I1194" s="672"/>
      <c r="J1194" s="672"/>
      <c r="K1194" s="672"/>
      <c r="L1194" s="672"/>
    </row>
    <row r="1195" spans="1:12">
      <c r="A1195" s="672"/>
      <c r="B1195" s="672"/>
      <c r="C1195" s="672"/>
      <c r="D1195" s="672"/>
      <c r="E1195" s="672"/>
      <c r="F1195" s="672"/>
      <c r="G1195" s="672"/>
      <c r="H1195" s="672"/>
      <c r="I1195" s="672"/>
      <c r="J1195" s="672"/>
      <c r="K1195" s="672"/>
      <c r="L1195" s="672"/>
    </row>
    <row r="1196" spans="1:12">
      <c r="A1196" s="672"/>
      <c r="B1196" s="672"/>
      <c r="C1196" s="672"/>
      <c r="D1196" s="672"/>
      <c r="E1196" s="672"/>
      <c r="F1196" s="672"/>
      <c r="G1196" s="672"/>
      <c r="H1196" s="672"/>
      <c r="I1196" s="672"/>
      <c r="J1196" s="672"/>
      <c r="K1196" s="672"/>
      <c r="L1196" s="672"/>
    </row>
    <row r="1197" spans="1:12">
      <c r="A1197" s="672"/>
      <c r="B1197" s="672"/>
      <c r="C1197" s="672"/>
      <c r="D1197" s="672"/>
      <c r="E1197" s="672"/>
      <c r="F1197" s="672"/>
      <c r="G1197" s="672"/>
      <c r="H1197" s="672"/>
      <c r="I1197" s="672"/>
      <c r="J1197" s="672"/>
      <c r="K1197" s="672"/>
      <c r="L1197" s="672"/>
    </row>
    <row r="1198" spans="1:12">
      <c r="A1198" s="672"/>
      <c r="B1198" s="672"/>
      <c r="C1198" s="672"/>
      <c r="D1198" s="672"/>
      <c r="E1198" s="672"/>
      <c r="F1198" s="672"/>
      <c r="G1198" s="672"/>
      <c r="H1198" s="672"/>
      <c r="I1198" s="672"/>
      <c r="J1198" s="672"/>
      <c r="K1198" s="672"/>
      <c r="L1198" s="672"/>
    </row>
    <row r="1199" spans="1:12">
      <c r="A1199" s="672"/>
      <c r="B1199" s="672"/>
      <c r="C1199" s="672"/>
      <c r="D1199" s="672"/>
      <c r="E1199" s="672"/>
      <c r="F1199" s="672"/>
      <c r="G1199" s="672"/>
      <c r="H1199" s="672"/>
      <c r="I1199" s="672"/>
      <c r="J1199" s="672"/>
      <c r="K1199" s="672"/>
      <c r="L1199" s="672"/>
    </row>
    <row r="1200" spans="1:12">
      <c r="A1200" s="672"/>
      <c r="B1200" s="672"/>
      <c r="C1200" s="672"/>
      <c r="D1200" s="672"/>
      <c r="E1200" s="672"/>
      <c r="F1200" s="672"/>
      <c r="G1200" s="672"/>
      <c r="H1200" s="672"/>
      <c r="I1200" s="672"/>
      <c r="J1200" s="672"/>
      <c r="K1200" s="672"/>
      <c r="L1200" s="672"/>
    </row>
    <row r="1201" spans="1:12">
      <c r="A1201" s="672"/>
      <c r="B1201" s="672"/>
      <c r="C1201" s="672"/>
      <c r="D1201" s="672"/>
      <c r="E1201" s="672"/>
      <c r="F1201" s="672"/>
      <c r="G1201" s="672"/>
      <c r="H1201" s="672"/>
      <c r="I1201" s="672"/>
      <c r="J1201" s="672"/>
      <c r="K1201" s="672"/>
      <c r="L1201" s="672"/>
    </row>
    <row r="1202" spans="1:12">
      <c r="A1202" s="672"/>
      <c r="B1202" s="672"/>
      <c r="C1202" s="672"/>
      <c r="D1202" s="672"/>
      <c r="E1202" s="672"/>
      <c r="F1202" s="672"/>
      <c r="G1202" s="672"/>
      <c r="H1202" s="672"/>
      <c r="I1202" s="672"/>
      <c r="J1202" s="672"/>
      <c r="K1202" s="672"/>
      <c r="L1202" s="672"/>
    </row>
    <row r="1203" spans="1:12">
      <c r="A1203" s="672"/>
      <c r="B1203" s="672"/>
      <c r="C1203" s="672"/>
      <c r="D1203" s="672"/>
      <c r="E1203" s="672"/>
      <c r="F1203" s="672"/>
      <c r="G1203" s="672"/>
      <c r="H1203" s="672"/>
      <c r="I1203" s="672"/>
      <c r="J1203" s="672"/>
      <c r="K1203" s="672"/>
      <c r="L1203" s="672"/>
    </row>
    <row r="1204" spans="1:12">
      <c r="A1204" s="672"/>
      <c r="B1204" s="672"/>
      <c r="C1204" s="672"/>
      <c r="D1204" s="672"/>
      <c r="E1204" s="672"/>
      <c r="F1204" s="672"/>
      <c r="G1204" s="672"/>
      <c r="H1204" s="672"/>
      <c r="I1204" s="672"/>
      <c r="J1204" s="672"/>
      <c r="K1204" s="672"/>
      <c r="L1204" s="672"/>
    </row>
    <row r="1205" spans="1:12">
      <c r="A1205" s="672"/>
      <c r="B1205" s="672"/>
      <c r="C1205" s="672"/>
      <c r="D1205" s="672"/>
      <c r="E1205" s="672"/>
      <c r="F1205" s="672"/>
      <c r="G1205" s="672"/>
      <c r="H1205" s="672"/>
      <c r="I1205" s="672"/>
      <c r="J1205" s="672"/>
      <c r="K1205" s="672"/>
      <c r="L1205" s="672"/>
    </row>
    <row r="1206" spans="1:12">
      <c r="A1206" s="672"/>
      <c r="B1206" s="672"/>
      <c r="C1206" s="672"/>
      <c r="D1206" s="672"/>
      <c r="E1206" s="672"/>
      <c r="F1206" s="672"/>
      <c r="G1206" s="672"/>
      <c r="H1206" s="672"/>
      <c r="I1206" s="672"/>
      <c r="J1206" s="672"/>
      <c r="K1206" s="672"/>
      <c r="L1206" s="672"/>
    </row>
    <row r="1207" spans="1:12">
      <c r="A1207" s="672"/>
      <c r="B1207" s="672"/>
      <c r="C1207" s="672"/>
      <c r="D1207" s="672"/>
      <c r="E1207" s="672"/>
      <c r="F1207" s="672"/>
      <c r="G1207" s="672"/>
      <c r="H1207" s="672"/>
      <c r="I1207" s="672"/>
      <c r="J1207" s="672"/>
      <c r="K1207" s="672"/>
      <c r="L1207" s="672"/>
    </row>
    <row r="1208" spans="1:12">
      <c r="A1208" s="672"/>
      <c r="B1208" s="672"/>
      <c r="C1208" s="672"/>
      <c r="D1208" s="672"/>
      <c r="E1208" s="672"/>
      <c r="F1208" s="672"/>
      <c r="G1208" s="672"/>
      <c r="H1208" s="672"/>
      <c r="I1208" s="672"/>
      <c r="J1208" s="672"/>
      <c r="K1208" s="672"/>
      <c r="L1208" s="672"/>
    </row>
    <row r="1209" spans="1:12">
      <c r="A1209" s="672"/>
      <c r="B1209" s="672"/>
      <c r="C1209" s="672"/>
      <c r="D1209" s="672"/>
      <c r="E1209" s="672"/>
      <c r="F1209" s="672"/>
      <c r="G1209" s="672"/>
      <c r="H1209" s="672"/>
      <c r="I1209" s="672"/>
      <c r="J1209" s="672"/>
      <c r="K1209" s="672"/>
      <c r="L1209" s="672"/>
    </row>
    <row r="1210" spans="1:12">
      <c r="A1210" s="672"/>
      <c r="B1210" s="672"/>
      <c r="C1210" s="672"/>
      <c r="D1210" s="672"/>
      <c r="E1210" s="672"/>
      <c r="F1210" s="672"/>
      <c r="G1210" s="672"/>
      <c r="H1210" s="672"/>
      <c r="I1210" s="672"/>
      <c r="J1210" s="672"/>
      <c r="K1210" s="672"/>
      <c r="L1210" s="672"/>
    </row>
    <row r="1211" spans="1:12">
      <c r="A1211" s="672"/>
      <c r="B1211" s="672"/>
      <c r="C1211" s="672"/>
      <c r="D1211" s="672"/>
      <c r="E1211" s="672"/>
      <c r="F1211" s="672"/>
      <c r="G1211" s="672"/>
      <c r="H1211" s="672"/>
      <c r="I1211" s="672"/>
      <c r="J1211" s="672"/>
      <c r="K1211" s="672"/>
      <c r="L1211" s="672"/>
    </row>
    <row r="1212" spans="1:12">
      <c r="A1212" s="672"/>
      <c r="B1212" s="672"/>
      <c r="C1212" s="672"/>
      <c r="D1212" s="672"/>
      <c r="E1212" s="672"/>
      <c r="F1212" s="672"/>
      <c r="G1212" s="672"/>
      <c r="H1212" s="672"/>
      <c r="I1212" s="672"/>
      <c r="J1212" s="672"/>
      <c r="K1212" s="672"/>
      <c r="L1212" s="672"/>
    </row>
    <row r="1213" spans="1:12">
      <c r="A1213" s="672"/>
      <c r="B1213" s="672"/>
      <c r="C1213" s="672"/>
      <c r="D1213" s="672"/>
      <c r="E1213" s="672"/>
      <c r="F1213" s="672"/>
      <c r="G1213" s="672"/>
      <c r="H1213" s="672"/>
      <c r="I1213" s="672"/>
      <c r="J1213" s="672"/>
      <c r="K1213" s="672"/>
      <c r="L1213" s="672"/>
    </row>
    <row r="1214" spans="1:12">
      <c r="A1214" s="672"/>
      <c r="B1214" s="672"/>
      <c r="C1214" s="672"/>
      <c r="D1214" s="672"/>
      <c r="E1214" s="672"/>
      <c r="F1214" s="672"/>
      <c r="G1214" s="672"/>
      <c r="H1214" s="672"/>
      <c r="I1214" s="672"/>
      <c r="J1214" s="672"/>
      <c r="K1214" s="672"/>
      <c r="L1214" s="672"/>
    </row>
    <row r="1215" spans="1:12">
      <c r="A1215" s="672"/>
      <c r="B1215" s="672"/>
      <c r="C1215" s="672"/>
      <c r="D1215" s="672"/>
      <c r="E1215" s="672"/>
      <c r="F1215" s="672"/>
      <c r="G1215" s="672"/>
      <c r="H1215" s="672"/>
      <c r="I1215" s="672"/>
      <c r="J1215" s="672"/>
      <c r="K1215" s="672"/>
      <c r="L1215" s="672"/>
    </row>
    <row r="1216" spans="1:12">
      <c r="A1216" s="672"/>
      <c r="B1216" s="672"/>
      <c r="C1216" s="672"/>
      <c r="D1216" s="672"/>
      <c r="E1216" s="672"/>
      <c r="F1216" s="672"/>
      <c r="G1216" s="672"/>
      <c r="H1216" s="672"/>
      <c r="I1216" s="672"/>
      <c r="J1216" s="672"/>
      <c r="K1216" s="672"/>
      <c r="L1216" s="672"/>
    </row>
    <row r="1217" spans="1:12">
      <c r="A1217" s="672"/>
      <c r="B1217" s="672"/>
      <c r="C1217" s="672"/>
      <c r="D1217" s="672"/>
      <c r="E1217" s="672"/>
      <c r="F1217" s="672"/>
      <c r="G1217" s="672"/>
      <c r="H1217" s="672"/>
      <c r="I1217" s="672"/>
      <c r="J1217" s="672"/>
      <c r="K1217" s="672"/>
      <c r="L1217" s="672"/>
    </row>
    <row r="1218" spans="1:12">
      <c r="A1218" s="672"/>
      <c r="B1218" s="672"/>
      <c r="C1218" s="672"/>
      <c r="D1218" s="672"/>
      <c r="E1218" s="672"/>
      <c r="F1218" s="672"/>
      <c r="G1218" s="672"/>
      <c r="H1218" s="672"/>
      <c r="I1218" s="672"/>
      <c r="J1218" s="672"/>
      <c r="K1218" s="672"/>
      <c r="L1218" s="672"/>
    </row>
    <row r="1219" spans="1:12">
      <c r="A1219" s="672"/>
      <c r="B1219" s="672"/>
      <c r="C1219" s="672"/>
      <c r="D1219" s="672"/>
      <c r="E1219" s="672"/>
      <c r="F1219" s="672"/>
      <c r="G1219" s="672"/>
      <c r="H1219" s="672"/>
      <c r="I1219" s="672"/>
      <c r="J1219" s="672"/>
      <c r="K1219" s="672"/>
      <c r="L1219" s="672"/>
    </row>
    <row r="1220" spans="1:12">
      <c r="A1220" s="672"/>
      <c r="B1220" s="672"/>
      <c r="C1220" s="672"/>
      <c r="D1220" s="672"/>
      <c r="E1220" s="672"/>
      <c r="F1220" s="672"/>
      <c r="G1220" s="672"/>
      <c r="H1220" s="672"/>
      <c r="I1220" s="672"/>
      <c r="J1220" s="672"/>
      <c r="K1220" s="672"/>
      <c r="L1220" s="672"/>
    </row>
    <row r="1221" spans="1:12">
      <c r="A1221" s="672"/>
      <c r="B1221" s="672"/>
      <c r="C1221" s="672"/>
      <c r="D1221" s="672"/>
      <c r="E1221" s="672"/>
      <c r="F1221" s="672"/>
      <c r="G1221" s="672"/>
      <c r="H1221" s="672"/>
      <c r="I1221" s="672"/>
      <c r="J1221" s="672"/>
      <c r="K1221" s="672"/>
      <c r="L1221" s="672"/>
    </row>
    <row r="1222" spans="1:12">
      <c r="A1222" s="672"/>
      <c r="B1222" s="672"/>
      <c r="C1222" s="672"/>
      <c r="D1222" s="672"/>
      <c r="E1222" s="672"/>
      <c r="F1222" s="672"/>
      <c r="G1222" s="672"/>
      <c r="H1222" s="672"/>
      <c r="I1222" s="672"/>
      <c r="J1222" s="672"/>
      <c r="K1222" s="672"/>
      <c r="L1222" s="672"/>
    </row>
    <row r="1223" spans="1:12">
      <c r="A1223" s="672"/>
      <c r="B1223" s="672"/>
      <c r="C1223" s="672"/>
      <c r="D1223" s="672"/>
      <c r="E1223" s="672"/>
      <c r="F1223" s="672"/>
      <c r="G1223" s="672"/>
      <c r="H1223" s="672"/>
      <c r="I1223" s="672"/>
      <c r="J1223" s="672"/>
      <c r="K1223" s="672"/>
      <c r="L1223" s="672"/>
    </row>
    <row r="1224" spans="1:12">
      <c r="A1224" s="672"/>
      <c r="B1224" s="672"/>
      <c r="C1224" s="672"/>
      <c r="D1224" s="672"/>
      <c r="E1224" s="672"/>
      <c r="F1224" s="672"/>
      <c r="G1224" s="672"/>
      <c r="H1224" s="672"/>
      <c r="I1224" s="672"/>
      <c r="J1224" s="672"/>
      <c r="K1224" s="672"/>
      <c r="L1224" s="672"/>
    </row>
    <row r="1225" spans="1:12">
      <c r="A1225" s="672"/>
      <c r="B1225" s="672"/>
      <c r="C1225" s="672"/>
      <c r="D1225" s="672"/>
      <c r="E1225" s="672"/>
      <c r="F1225" s="672"/>
      <c r="G1225" s="672"/>
      <c r="H1225" s="672"/>
      <c r="I1225" s="672"/>
      <c r="J1225" s="672"/>
      <c r="K1225" s="672"/>
      <c r="L1225" s="672"/>
    </row>
    <row r="1226" spans="1:12">
      <c r="A1226" s="672"/>
      <c r="B1226" s="672"/>
      <c r="C1226" s="672"/>
      <c r="D1226" s="672"/>
      <c r="E1226" s="672"/>
      <c r="F1226" s="672"/>
      <c r="G1226" s="672"/>
      <c r="H1226" s="672"/>
      <c r="I1226" s="672"/>
      <c r="J1226" s="672"/>
      <c r="K1226" s="672"/>
      <c r="L1226" s="672"/>
    </row>
    <row r="1227" spans="1:12">
      <c r="A1227" s="672"/>
      <c r="B1227" s="672"/>
      <c r="C1227" s="672"/>
      <c r="D1227" s="672"/>
      <c r="E1227" s="672"/>
      <c r="F1227" s="672"/>
      <c r="G1227" s="672"/>
      <c r="H1227" s="672"/>
      <c r="I1227" s="672"/>
      <c r="J1227" s="672"/>
      <c r="K1227" s="672"/>
      <c r="L1227" s="672"/>
    </row>
    <row r="1228" spans="1:12">
      <c r="A1228" s="672"/>
      <c r="B1228" s="672"/>
      <c r="C1228" s="672"/>
      <c r="D1228" s="672"/>
      <c r="E1228" s="672"/>
      <c r="F1228" s="672"/>
      <c r="G1228" s="672"/>
      <c r="H1228" s="672"/>
      <c r="I1228" s="672"/>
      <c r="J1228" s="672"/>
      <c r="K1228" s="672"/>
      <c r="L1228" s="672"/>
    </row>
    <row r="1229" spans="1:12">
      <c r="A1229" s="672"/>
      <c r="B1229" s="672"/>
      <c r="C1229" s="672"/>
      <c r="D1229" s="672"/>
      <c r="E1229" s="672"/>
      <c r="F1229" s="672"/>
      <c r="G1229" s="672"/>
      <c r="H1229" s="672"/>
      <c r="I1229" s="672"/>
      <c r="J1229" s="672"/>
      <c r="K1229" s="672"/>
      <c r="L1229" s="672"/>
    </row>
    <row r="1230" spans="1:12">
      <c r="A1230" s="672"/>
      <c r="B1230" s="672"/>
      <c r="C1230" s="672"/>
      <c r="D1230" s="672"/>
      <c r="E1230" s="672"/>
      <c r="F1230" s="672"/>
      <c r="G1230" s="672"/>
      <c r="H1230" s="672"/>
      <c r="I1230" s="672"/>
      <c r="J1230" s="672"/>
      <c r="K1230" s="672"/>
      <c r="L1230" s="672"/>
    </row>
    <row r="1231" spans="1:12">
      <c r="A1231" s="672"/>
      <c r="B1231" s="672"/>
      <c r="C1231" s="672"/>
      <c r="D1231" s="672"/>
      <c r="E1231" s="672"/>
      <c r="F1231" s="672"/>
      <c r="G1231" s="672"/>
      <c r="H1231" s="672"/>
      <c r="I1231" s="672"/>
      <c r="J1231" s="672"/>
      <c r="K1231" s="672"/>
      <c r="L1231" s="672"/>
    </row>
    <row r="1232" spans="1:12">
      <c r="A1232" s="672"/>
      <c r="B1232" s="672"/>
      <c r="C1232" s="672"/>
      <c r="D1232" s="672"/>
      <c r="E1232" s="672"/>
      <c r="F1232" s="672"/>
      <c r="G1232" s="672"/>
      <c r="H1232" s="672"/>
      <c r="I1232" s="672"/>
      <c r="J1232" s="672"/>
      <c r="K1232" s="672"/>
      <c r="L1232" s="672"/>
    </row>
    <row r="1233" spans="1:12">
      <c r="A1233" s="672"/>
      <c r="B1233" s="672"/>
      <c r="C1233" s="672"/>
      <c r="D1233" s="672"/>
      <c r="E1233" s="672"/>
      <c r="F1233" s="672"/>
      <c r="G1233" s="672"/>
      <c r="H1233" s="672"/>
      <c r="I1233" s="672"/>
      <c r="J1233" s="672"/>
      <c r="K1233" s="672"/>
      <c r="L1233" s="672"/>
    </row>
    <row r="1234" spans="1:12">
      <c r="A1234" s="672"/>
      <c r="B1234" s="672"/>
      <c r="C1234" s="672"/>
      <c r="D1234" s="672"/>
      <c r="E1234" s="672"/>
      <c r="F1234" s="672"/>
      <c r="G1234" s="672"/>
      <c r="H1234" s="672"/>
      <c r="I1234" s="672"/>
      <c r="J1234" s="672"/>
      <c r="K1234" s="672"/>
      <c r="L1234" s="672"/>
    </row>
    <row r="1235" spans="1:12">
      <c r="A1235" s="672"/>
      <c r="B1235" s="672"/>
      <c r="C1235" s="672"/>
      <c r="D1235" s="672"/>
      <c r="E1235" s="672"/>
      <c r="F1235" s="672"/>
      <c r="G1235" s="672"/>
      <c r="H1235" s="672"/>
      <c r="I1235" s="672"/>
      <c r="J1235" s="672"/>
      <c r="K1235" s="672"/>
      <c r="L1235" s="672"/>
    </row>
    <row r="1236" spans="1:12">
      <c r="A1236" s="672"/>
      <c r="B1236" s="672"/>
      <c r="C1236" s="672"/>
      <c r="D1236" s="672"/>
      <c r="E1236" s="672"/>
      <c r="F1236" s="672"/>
      <c r="G1236" s="672"/>
      <c r="H1236" s="672"/>
      <c r="I1236" s="672"/>
      <c r="J1236" s="672"/>
      <c r="K1236" s="672"/>
      <c r="L1236" s="672"/>
    </row>
    <row r="1237" spans="1:12">
      <c r="A1237" s="672"/>
      <c r="B1237" s="672"/>
      <c r="C1237" s="672"/>
      <c r="D1237" s="672"/>
      <c r="E1237" s="672"/>
      <c r="F1237" s="672"/>
      <c r="G1237" s="672"/>
      <c r="H1237" s="672"/>
      <c r="I1237" s="672"/>
      <c r="J1237" s="672"/>
      <c r="K1237" s="672"/>
      <c r="L1237" s="672"/>
    </row>
    <row r="1238" spans="1:12">
      <c r="A1238" s="672"/>
      <c r="B1238" s="672"/>
      <c r="C1238" s="672"/>
      <c r="D1238" s="672"/>
      <c r="E1238" s="672"/>
      <c r="F1238" s="672"/>
      <c r="G1238" s="672"/>
      <c r="H1238" s="672"/>
      <c r="I1238" s="672"/>
      <c r="J1238" s="672"/>
      <c r="K1238" s="672"/>
      <c r="L1238" s="672"/>
    </row>
    <row r="1239" spans="1:12">
      <c r="A1239" s="672"/>
      <c r="B1239" s="672"/>
      <c r="C1239" s="672"/>
      <c r="D1239" s="672"/>
      <c r="E1239" s="672"/>
      <c r="F1239" s="672"/>
      <c r="G1239" s="672"/>
      <c r="H1239" s="672"/>
      <c r="I1239" s="672"/>
      <c r="J1239" s="672"/>
      <c r="K1239" s="672"/>
      <c r="L1239" s="672"/>
    </row>
    <row r="1240" spans="1:12">
      <c r="A1240" s="672"/>
      <c r="B1240" s="672"/>
      <c r="C1240" s="672"/>
      <c r="D1240" s="672"/>
      <c r="E1240" s="672"/>
      <c r="F1240" s="672"/>
      <c r="G1240" s="672"/>
      <c r="H1240" s="672"/>
      <c r="I1240" s="672"/>
      <c r="J1240" s="672"/>
      <c r="K1240" s="672"/>
      <c r="L1240" s="672"/>
    </row>
    <row r="1241" spans="1:12">
      <c r="A1241" s="672"/>
      <c r="B1241" s="672"/>
      <c r="C1241" s="672"/>
      <c r="D1241" s="672"/>
      <c r="E1241" s="672"/>
      <c r="F1241" s="672"/>
      <c r="G1241" s="672"/>
      <c r="H1241" s="672"/>
      <c r="I1241" s="672"/>
      <c r="J1241" s="672"/>
      <c r="K1241" s="672"/>
      <c r="L1241" s="672"/>
    </row>
    <row r="1242" spans="1:12">
      <c r="A1242" s="672"/>
      <c r="B1242" s="672"/>
      <c r="C1242" s="672"/>
      <c r="D1242" s="672"/>
      <c r="E1242" s="672"/>
      <c r="F1242" s="672"/>
      <c r="G1242" s="672"/>
      <c r="H1242" s="672"/>
      <c r="I1242" s="672"/>
      <c r="J1242" s="672"/>
      <c r="K1242" s="672"/>
      <c r="L1242" s="672"/>
    </row>
    <row r="1243" spans="1:12">
      <c r="A1243" s="672"/>
      <c r="B1243" s="672"/>
      <c r="C1243" s="672"/>
      <c r="D1243" s="672"/>
      <c r="E1243" s="672"/>
      <c r="F1243" s="672"/>
      <c r="G1243" s="672"/>
      <c r="H1243" s="672"/>
      <c r="I1243" s="672"/>
      <c r="J1243" s="672"/>
      <c r="K1243" s="672"/>
      <c r="L1243" s="672"/>
    </row>
    <row r="1244" spans="1:12">
      <c r="A1244" s="672"/>
      <c r="B1244" s="672"/>
      <c r="C1244" s="672"/>
      <c r="D1244" s="672"/>
      <c r="E1244" s="672"/>
      <c r="F1244" s="672"/>
      <c r="G1244" s="672"/>
      <c r="H1244" s="672"/>
      <c r="I1244" s="672"/>
      <c r="J1244" s="672"/>
      <c r="K1244" s="672"/>
      <c r="L1244" s="672"/>
    </row>
    <row r="1245" spans="1:12">
      <c r="A1245" s="672"/>
      <c r="B1245" s="672"/>
      <c r="C1245" s="672"/>
      <c r="D1245" s="672"/>
      <c r="E1245" s="672"/>
      <c r="F1245" s="672"/>
      <c r="G1245" s="672"/>
      <c r="H1245" s="672"/>
      <c r="I1245" s="672"/>
      <c r="J1245" s="672"/>
      <c r="K1245" s="672"/>
      <c r="L1245" s="672"/>
    </row>
    <row r="1246" spans="1:12">
      <c r="A1246" s="672"/>
      <c r="B1246" s="672"/>
      <c r="C1246" s="672"/>
      <c r="D1246" s="672"/>
      <c r="E1246" s="672"/>
      <c r="F1246" s="672"/>
      <c r="G1246" s="672"/>
      <c r="H1246" s="672"/>
      <c r="I1246" s="672"/>
      <c r="J1246" s="672"/>
      <c r="K1246" s="672"/>
      <c r="L1246" s="672"/>
    </row>
    <row r="1247" spans="1:12">
      <c r="A1247" s="672"/>
      <c r="B1247" s="672"/>
      <c r="C1247" s="672"/>
      <c r="D1247" s="672"/>
      <c r="E1247" s="672"/>
      <c r="F1247" s="672"/>
      <c r="G1247" s="672"/>
      <c r="H1247" s="672"/>
      <c r="I1247" s="672"/>
      <c r="J1247" s="672"/>
      <c r="K1247" s="672"/>
      <c r="L1247" s="672"/>
    </row>
    <row r="1248" spans="1:12">
      <c r="A1248" s="672"/>
      <c r="B1248" s="672"/>
      <c r="C1248" s="672"/>
      <c r="D1248" s="672"/>
      <c r="E1248" s="672"/>
      <c r="F1248" s="672"/>
      <c r="G1248" s="672"/>
      <c r="H1248" s="672"/>
      <c r="I1248" s="672"/>
      <c r="J1248" s="672"/>
      <c r="K1248" s="672"/>
      <c r="L1248" s="672"/>
    </row>
    <row r="1249" spans="1:12">
      <c r="A1249" s="672"/>
      <c r="B1249" s="672"/>
      <c r="C1249" s="672"/>
      <c r="D1249" s="672"/>
      <c r="E1249" s="672"/>
      <c r="F1249" s="672"/>
      <c r="G1249" s="672"/>
      <c r="H1249" s="672"/>
      <c r="I1249" s="672"/>
      <c r="J1249" s="672"/>
      <c r="K1249" s="672"/>
      <c r="L1249" s="672"/>
    </row>
    <row r="1250" spans="1:12">
      <c r="A1250" s="672"/>
      <c r="B1250" s="672"/>
      <c r="C1250" s="672"/>
      <c r="D1250" s="672"/>
      <c r="E1250" s="672"/>
      <c r="F1250" s="672"/>
      <c r="G1250" s="672"/>
      <c r="H1250" s="672"/>
      <c r="I1250" s="672"/>
      <c r="J1250" s="672"/>
      <c r="K1250" s="672"/>
      <c r="L1250" s="672"/>
    </row>
    <row r="1251" spans="1:12">
      <c r="A1251" s="672"/>
      <c r="B1251" s="672"/>
      <c r="C1251" s="672"/>
      <c r="D1251" s="672"/>
      <c r="E1251" s="672"/>
      <c r="F1251" s="672"/>
      <c r="G1251" s="672"/>
      <c r="H1251" s="672"/>
      <c r="I1251" s="672"/>
      <c r="J1251" s="672"/>
      <c r="K1251" s="672"/>
      <c r="L1251" s="672"/>
    </row>
    <row r="1252" spans="1:12">
      <c r="A1252" s="672"/>
      <c r="B1252" s="672"/>
      <c r="C1252" s="672"/>
      <c r="D1252" s="672"/>
      <c r="E1252" s="672"/>
      <c r="F1252" s="672"/>
      <c r="G1252" s="672"/>
      <c r="H1252" s="672"/>
      <c r="I1252" s="672"/>
      <c r="J1252" s="672"/>
      <c r="K1252" s="672"/>
      <c r="L1252" s="672"/>
    </row>
    <row r="1253" spans="1:12">
      <c r="A1253" s="672"/>
      <c r="B1253" s="672"/>
      <c r="C1253" s="672"/>
      <c r="D1253" s="672"/>
      <c r="E1253" s="672"/>
      <c r="F1253" s="672"/>
      <c r="G1253" s="672"/>
      <c r="H1253" s="672"/>
      <c r="I1253" s="672"/>
      <c r="J1253" s="672"/>
      <c r="K1253" s="672"/>
      <c r="L1253" s="672"/>
    </row>
    <row r="1254" spans="1:12">
      <c r="A1254" s="672"/>
      <c r="B1254" s="672"/>
      <c r="C1254" s="672"/>
      <c r="D1254" s="672"/>
      <c r="E1254" s="672"/>
      <c r="F1254" s="672"/>
      <c r="G1254" s="672"/>
      <c r="H1254" s="672"/>
      <c r="I1254" s="672"/>
      <c r="J1254" s="672"/>
      <c r="K1254" s="672"/>
      <c r="L1254" s="672"/>
    </row>
    <row r="1255" spans="1:12">
      <c r="A1255" s="672"/>
      <c r="B1255" s="672"/>
      <c r="C1255" s="672"/>
      <c r="D1255" s="672"/>
      <c r="E1255" s="672"/>
      <c r="F1255" s="672"/>
      <c r="G1255" s="672"/>
      <c r="H1255" s="672"/>
      <c r="I1255" s="672"/>
      <c r="J1255" s="672"/>
      <c r="K1255" s="672"/>
      <c r="L1255" s="672"/>
    </row>
    <row r="1256" spans="1:12">
      <c r="A1256" s="672"/>
      <c r="B1256" s="672"/>
      <c r="C1256" s="672"/>
      <c r="D1256" s="672"/>
      <c r="E1256" s="672"/>
      <c r="F1256" s="672"/>
      <c r="G1256" s="672"/>
      <c r="H1256" s="672"/>
      <c r="I1256" s="672"/>
      <c r="J1256" s="672"/>
      <c r="K1256" s="672"/>
      <c r="L1256" s="672"/>
    </row>
    <row r="1257" spans="1:12">
      <c r="A1257" s="672"/>
      <c r="B1257" s="672"/>
      <c r="C1257" s="672"/>
      <c r="D1257" s="672"/>
      <c r="E1257" s="672"/>
      <c r="F1257" s="672"/>
      <c r="G1257" s="672"/>
      <c r="H1257" s="672"/>
      <c r="I1257" s="672"/>
      <c r="J1257" s="672"/>
      <c r="K1257" s="672"/>
      <c r="L1257" s="672"/>
    </row>
    <row r="1258" spans="1:12">
      <c r="A1258" s="672"/>
      <c r="B1258" s="672"/>
      <c r="C1258" s="672"/>
      <c r="D1258" s="672"/>
      <c r="E1258" s="672"/>
      <c r="F1258" s="672"/>
      <c r="G1258" s="672"/>
      <c r="H1258" s="672"/>
      <c r="I1258" s="672"/>
      <c r="J1258" s="672"/>
      <c r="K1258" s="672"/>
      <c r="L1258" s="672"/>
    </row>
    <row r="1259" spans="1:12">
      <c r="A1259" s="672"/>
      <c r="B1259" s="672"/>
      <c r="C1259" s="672"/>
      <c r="D1259" s="672"/>
      <c r="E1259" s="672"/>
      <c r="F1259" s="672"/>
      <c r="G1259" s="672"/>
      <c r="H1259" s="672"/>
      <c r="I1259" s="672"/>
      <c r="J1259" s="672"/>
      <c r="K1259" s="672"/>
      <c r="L1259" s="672"/>
    </row>
    <row r="1260" spans="1:12">
      <c r="A1260" s="672"/>
      <c r="B1260" s="672"/>
      <c r="C1260" s="672"/>
      <c r="D1260" s="672"/>
      <c r="E1260" s="672"/>
      <c r="F1260" s="672"/>
      <c r="G1260" s="672"/>
      <c r="H1260" s="672"/>
      <c r="I1260" s="672"/>
      <c r="J1260" s="672"/>
      <c r="K1260" s="672"/>
      <c r="L1260" s="672"/>
    </row>
    <row r="1261" spans="1:12">
      <c r="A1261" s="672"/>
      <c r="B1261" s="672"/>
      <c r="C1261" s="672"/>
      <c r="D1261" s="672"/>
      <c r="E1261" s="672"/>
      <c r="F1261" s="672"/>
      <c r="G1261" s="672"/>
      <c r="H1261" s="672"/>
      <c r="I1261" s="672"/>
      <c r="J1261" s="672"/>
      <c r="K1261" s="672"/>
      <c r="L1261" s="672"/>
    </row>
    <row r="1262" spans="1:12">
      <c r="A1262" s="672"/>
      <c r="B1262" s="672"/>
      <c r="C1262" s="672"/>
      <c r="D1262" s="672"/>
      <c r="E1262" s="672"/>
      <c r="F1262" s="672"/>
      <c r="G1262" s="672"/>
      <c r="H1262" s="672"/>
      <c r="I1262" s="672"/>
      <c r="J1262" s="672"/>
      <c r="K1262" s="672"/>
      <c r="L1262" s="672"/>
    </row>
    <row r="1263" spans="1:12">
      <c r="A1263" s="672"/>
      <c r="B1263" s="672"/>
      <c r="C1263" s="672"/>
      <c r="D1263" s="672"/>
      <c r="E1263" s="672"/>
      <c r="F1263" s="672"/>
      <c r="G1263" s="672"/>
      <c r="H1263" s="672"/>
      <c r="I1263" s="672"/>
      <c r="J1263" s="672"/>
      <c r="K1263" s="672"/>
      <c r="L1263" s="672"/>
    </row>
    <row r="1264" spans="1:12">
      <c r="A1264" s="672"/>
      <c r="B1264" s="672"/>
      <c r="C1264" s="672"/>
      <c r="D1264" s="672"/>
      <c r="E1264" s="672"/>
      <c r="F1264" s="672"/>
      <c r="G1264" s="672"/>
      <c r="H1264" s="672"/>
      <c r="I1264" s="672"/>
      <c r="J1264" s="672"/>
      <c r="K1264" s="672"/>
      <c r="L1264" s="672"/>
    </row>
    <row r="1265" spans="1:12">
      <c r="A1265" s="672"/>
      <c r="B1265" s="672"/>
      <c r="C1265" s="672"/>
      <c r="D1265" s="672"/>
      <c r="E1265" s="672"/>
      <c r="F1265" s="672"/>
      <c r="G1265" s="672"/>
      <c r="H1265" s="672"/>
      <c r="I1265" s="672"/>
      <c r="J1265" s="672"/>
      <c r="K1265" s="672"/>
      <c r="L1265" s="672"/>
    </row>
    <row r="1266" spans="1:12">
      <c r="A1266" s="672"/>
      <c r="B1266" s="672"/>
      <c r="C1266" s="672"/>
      <c r="D1266" s="672"/>
      <c r="E1266" s="672"/>
      <c r="F1266" s="672"/>
      <c r="G1266" s="672"/>
      <c r="H1266" s="672"/>
      <c r="I1266" s="672"/>
      <c r="J1266" s="672"/>
      <c r="K1266" s="672"/>
      <c r="L1266" s="672"/>
    </row>
    <row r="1267" spans="1:12">
      <c r="A1267" s="672"/>
      <c r="B1267" s="672"/>
      <c r="C1267" s="672"/>
      <c r="D1267" s="672"/>
      <c r="E1267" s="672"/>
      <c r="F1267" s="672"/>
      <c r="G1267" s="672"/>
      <c r="H1267" s="672"/>
      <c r="I1267" s="672"/>
      <c r="J1267" s="672"/>
      <c r="K1267" s="672"/>
      <c r="L1267" s="672"/>
    </row>
    <row r="1268" spans="1:12">
      <c r="A1268" s="672"/>
      <c r="B1268" s="672"/>
      <c r="C1268" s="672"/>
      <c r="D1268" s="672"/>
      <c r="E1268" s="672"/>
      <c r="F1268" s="672"/>
      <c r="G1268" s="672"/>
      <c r="H1268" s="672"/>
      <c r="I1268" s="672"/>
      <c r="J1268" s="672"/>
      <c r="K1268" s="672"/>
      <c r="L1268" s="672"/>
    </row>
    <row r="1269" spans="1:12">
      <c r="A1269" s="672"/>
      <c r="B1269" s="672"/>
      <c r="C1269" s="672"/>
      <c r="D1269" s="672"/>
      <c r="E1269" s="672"/>
      <c r="F1269" s="672"/>
      <c r="G1269" s="672"/>
      <c r="H1269" s="672"/>
      <c r="I1269" s="672"/>
      <c r="J1269" s="672"/>
      <c r="K1269" s="672"/>
      <c r="L1269" s="672"/>
    </row>
    <row r="1270" spans="1:12">
      <c r="A1270" s="672"/>
      <c r="B1270" s="672"/>
      <c r="C1270" s="672"/>
      <c r="D1270" s="672"/>
      <c r="E1270" s="672"/>
      <c r="F1270" s="672"/>
      <c r="G1270" s="672"/>
      <c r="H1270" s="672"/>
      <c r="I1270" s="672"/>
      <c r="J1270" s="672"/>
      <c r="K1270" s="672"/>
      <c r="L1270" s="672"/>
    </row>
    <row r="1271" spans="1:12">
      <c r="A1271" s="672"/>
      <c r="B1271" s="672"/>
      <c r="C1271" s="672"/>
      <c r="D1271" s="672"/>
      <c r="E1271" s="672"/>
      <c r="F1271" s="672"/>
      <c r="G1271" s="672"/>
      <c r="H1271" s="672"/>
      <c r="I1271" s="672"/>
      <c r="J1271" s="672"/>
      <c r="K1271" s="672"/>
      <c r="L1271" s="672"/>
    </row>
    <row r="1272" spans="1:12">
      <c r="A1272" s="672"/>
      <c r="B1272" s="672"/>
      <c r="C1272" s="672"/>
      <c r="D1272" s="672"/>
      <c r="E1272" s="672"/>
      <c r="F1272" s="672"/>
      <c r="G1272" s="672"/>
      <c r="H1272" s="672"/>
      <c r="I1272" s="672"/>
      <c r="J1272" s="672"/>
      <c r="K1272" s="672"/>
      <c r="L1272" s="672"/>
    </row>
    <row r="1273" spans="1:12">
      <c r="A1273" s="672"/>
      <c r="B1273" s="672"/>
      <c r="C1273" s="672"/>
      <c r="D1273" s="672"/>
      <c r="E1273" s="672"/>
      <c r="F1273" s="672"/>
      <c r="G1273" s="672"/>
      <c r="H1273" s="672"/>
      <c r="I1273" s="672"/>
      <c r="J1273" s="672"/>
      <c r="K1273" s="672"/>
      <c r="L1273" s="672"/>
    </row>
    <row r="1274" spans="1:12">
      <c r="A1274" s="672"/>
      <c r="B1274" s="672"/>
      <c r="C1274" s="672"/>
      <c r="D1274" s="672"/>
      <c r="E1274" s="672"/>
      <c r="F1274" s="672"/>
      <c r="G1274" s="672"/>
      <c r="H1274" s="672"/>
      <c r="I1274" s="672"/>
      <c r="J1274" s="672"/>
      <c r="K1274" s="672"/>
      <c r="L1274" s="672"/>
    </row>
    <row r="1275" spans="1:12">
      <c r="A1275" s="672"/>
      <c r="B1275" s="672"/>
      <c r="C1275" s="672"/>
      <c r="D1275" s="672"/>
      <c r="E1275" s="672"/>
      <c r="F1275" s="672"/>
      <c r="G1275" s="672"/>
      <c r="H1275" s="672"/>
      <c r="I1275" s="672"/>
      <c r="J1275" s="672"/>
      <c r="K1275" s="672"/>
      <c r="L1275" s="672"/>
    </row>
    <row r="1276" spans="1:12">
      <c r="A1276" s="672"/>
      <c r="B1276" s="672"/>
      <c r="C1276" s="672"/>
      <c r="D1276" s="672"/>
      <c r="E1276" s="672"/>
      <c r="F1276" s="672"/>
      <c r="G1276" s="672"/>
      <c r="H1276" s="672"/>
      <c r="I1276" s="672"/>
      <c r="J1276" s="672"/>
      <c r="K1276" s="672"/>
      <c r="L1276" s="672"/>
    </row>
    <row r="1277" spans="1:12">
      <c r="A1277" s="672"/>
      <c r="B1277" s="672"/>
      <c r="C1277" s="672"/>
      <c r="D1277" s="672"/>
      <c r="E1277" s="672"/>
      <c r="F1277" s="672"/>
      <c r="G1277" s="672"/>
      <c r="H1277" s="672"/>
      <c r="I1277" s="672"/>
      <c r="J1277" s="672"/>
      <c r="K1277" s="672"/>
      <c r="L1277" s="672"/>
    </row>
    <row r="1278" spans="1:12">
      <c r="A1278" s="672"/>
      <c r="B1278" s="672"/>
      <c r="C1278" s="672"/>
      <c r="D1278" s="672"/>
      <c r="E1278" s="672"/>
      <c r="F1278" s="672"/>
      <c r="G1278" s="672"/>
      <c r="H1278" s="672"/>
      <c r="I1278" s="672"/>
      <c r="J1278" s="672"/>
      <c r="K1278" s="672"/>
      <c r="L1278" s="672"/>
    </row>
    <row r="1279" spans="1:12">
      <c r="A1279" s="672"/>
      <c r="B1279" s="672"/>
      <c r="C1279" s="672"/>
      <c r="D1279" s="672"/>
      <c r="E1279" s="672"/>
      <c r="F1279" s="672"/>
      <c r="G1279" s="672"/>
      <c r="H1279" s="672"/>
      <c r="I1279" s="672"/>
      <c r="J1279" s="672"/>
      <c r="K1279" s="672"/>
      <c r="L1279" s="672"/>
    </row>
    <row r="1280" spans="1:12">
      <c r="A1280" s="672"/>
      <c r="B1280" s="672"/>
      <c r="C1280" s="672"/>
      <c r="D1280" s="672"/>
      <c r="E1280" s="672"/>
      <c r="F1280" s="672"/>
      <c r="G1280" s="672"/>
      <c r="H1280" s="672"/>
      <c r="I1280" s="672"/>
      <c r="J1280" s="672"/>
      <c r="K1280" s="672"/>
      <c r="L1280" s="672"/>
    </row>
    <row r="1281" spans="1:12">
      <c r="A1281" s="672"/>
      <c r="B1281" s="672"/>
      <c r="C1281" s="672"/>
      <c r="D1281" s="672"/>
      <c r="E1281" s="672"/>
      <c r="F1281" s="672"/>
      <c r="G1281" s="672"/>
      <c r="H1281" s="672"/>
      <c r="I1281" s="672"/>
      <c r="J1281" s="672"/>
      <c r="K1281" s="672"/>
      <c r="L1281" s="672"/>
    </row>
    <row r="1282" spans="1:12">
      <c r="A1282" s="672"/>
      <c r="B1282" s="672"/>
      <c r="C1282" s="672"/>
      <c r="D1282" s="672"/>
      <c r="E1282" s="672"/>
      <c r="F1282" s="672"/>
      <c r="G1282" s="672"/>
      <c r="H1282" s="672"/>
      <c r="I1282" s="672"/>
      <c r="J1282" s="672"/>
      <c r="K1282" s="672"/>
      <c r="L1282" s="672"/>
    </row>
    <row r="1283" spans="1:12">
      <c r="A1283" s="672"/>
      <c r="B1283" s="672"/>
      <c r="C1283" s="672"/>
      <c r="D1283" s="672"/>
      <c r="E1283" s="672"/>
      <c r="F1283" s="672"/>
      <c r="G1283" s="672"/>
      <c r="H1283" s="672"/>
      <c r="I1283" s="672"/>
      <c r="J1283" s="672"/>
      <c r="K1283" s="672"/>
      <c r="L1283" s="672"/>
    </row>
    <row r="1284" spans="1:12">
      <c r="A1284" s="672"/>
      <c r="B1284" s="672"/>
      <c r="C1284" s="672"/>
      <c r="D1284" s="672"/>
      <c r="E1284" s="672"/>
      <c r="F1284" s="672"/>
      <c r="G1284" s="672"/>
      <c r="H1284" s="672"/>
      <c r="I1284" s="672"/>
      <c r="J1284" s="672"/>
      <c r="K1284" s="672"/>
      <c r="L1284" s="672"/>
    </row>
    <row r="1285" spans="1:12">
      <c r="A1285" s="672"/>
      <c r="B1285" s="672"/>
      <c r="C1285" s="672"/>
      <c r="D1285" s="672"/>
      <c r="E1285" s="672"/>
      <c r="F1285" s="672"/>
      <c r="G1285" s="672"/>
      <c r="H1285" s="672"/>
      <c r="I1285" s="672"/>
      <c r="J1285" s="672"/>
      <c r="K1285" s="672"/>
      <c r="L1285" s="672"/>
    </row>
    <row r="1286" spans="1:12">
      <c r="A1286" s="672"/>
      <c r="B1286" s="672"/>
      <c r="C1286" s="672"/>
      <c r="D1286" s="672"/>
      <c r="E1286" s="672"/>
      <c r="F1286" s="672"/>
      <c r="G1286" s="672"/>
      <c r="H1286" s="672"/>
      <c r="I1286" s="672"/>
      <c r="J1286" s="672"/>
      <c r="K1286" s="672"/>
      <c r="L1286" s="672"/>
    </row>
    <row r="1287" spans="1:12">
      <c r="A1287" s="672"/>
      <c r="B1287" s="672"/>
      <c r="C1287" s="672"/>
      <c r="D1287" s="672"/>
      <c r="E1287" s="672"/>
      <c r="F1287" s="672"/>
      <c r="G1287" s="672"/>
      <c r="H1287" s="672"/>
      <c r="I1287" s="672"/>
      <c r="J1287" s="672"/>
      <c r="K1287" s="672"/>
      <c r="L1287" s="672"/>
    </row>
    <row r="1288" spans="1:12">
      <c r="A1288" s="672"/>
      <c r="B1288" s="672"/>
      <c r="C1288" s="672"/>
      <c r="D1288" s="672"/>
      <c r="E1288" s="672"/>
      <c r="F1288" s="672"/>
      <c r="G1288" s="672"/>
      <c r="H1288" s="672"/>
      <c r="I1288" s="672"/>
      <c r="J1288" s="672"/>
      <c r="K1288" s="672"/>
      <c r="L1288" s="672"/>
    </row>
    <row r="1289" spans="1:12">
      <c r="A1289" s="672"/>
      <c r="B1289" s="672"/>
      <c r="C1289" s="672"/>
      <c r="D1289" s="672"/>
      <c r="E1289" s="672"/>
      <c r="F1289" s="672"/>
      <c r="G1289" s="672"/>
      <c r="H1289" s="672"/>
      <c r="I1289" s="672"/>
      <c r="J1289" s="672"/>
      <c r="K1289" s="672"/>
      <c r="L1289" s="672"/>
    </row>
    <row r="1290" spans="1:12">
      <c r="A1290" s="672"/>
      <c r="B1290" s="672"/>
      <c r="C1290" s="672"/>
      <c r="D1290" s="672"/>
      <c r="E1290" s="672"/>
      <c r="F1290" s="672"/>
      <c r="G1290" s="672"/>
      <c r="H1290" s="672"/>
      <c r="I1290" s="672"/>
      <c r="J1290" s="672"/>
      <c r="K1290" s="672"/>
      <c r="L1290" s="672"/>
    </row>
    <row r="1291" spans="1:12">
      <c r="A1291" s="672"/>
      <c r="B1291" s="672"/>
      <c r="C1291" s="672"/>
      <c r="D1291" s="672"/>
      <c r="E1291" s="672"/>
      <c r="F1291" s="672"/>
      <c r="G1291" s="672"/>
      <c r="H1291" s="672"/>
      <c r="I1291" s="672"/>
      <c r="J1291" s="672"/>
      <c r="K1291" s="672"/>
      <c r="L1291" s="672"/>
    </row>
    <row r="1292" spans="1:12">
      <c r="A1292" s="672"/>
      <c r="B1292" s="672"/>
      <c r="C1292" s="672"/>
      <c r="D1292" s="672"/>
      <c r="E1292" s="672"/>
      <c r="F1292" s="672"/>
      <c r="G1292" s="672"/>
      <c r="H1292" s="672"/>
      <c r="I1292" s="672"/>
      <c r="J1292" s="672"/>
      <c r="K1292" s="672"/>
      <c r="L1292" s="672"/>
    </row>
    <row r="1293" spans="1:12">
      <c r="A1293" s="672"/>
      <c r="B1293" s="672"/>
      <c r="C1293" s="672"/>
      <c r="D1293" s="672"/>
      <c r="E1293" s="672"/>
      <c r="F1293" s="672"/>
      <c r="G1293" s="672"/>
      <c r="H1293" s="672"/>
      <c r="I1293" s="672"/>
      <c r="J1293" s="672"/>
      <c r="K1293" s="672"/>
      <c r="L1293" s="672"/>
    </row>
    <row r="1294" spans="1:12">
      <c r="A1294" s="672"/>
      <c r="B1294" s="672"/>
      <c r="C1294" s="672"/>
      <c r="D1294" s="672"/>
      <c r="E1294" s="672"/>
      <c r="F1294" s="672"/>
      <c r="G1294" s="672"/>
      <c r="H1294" s="672"/>
      <c r="I1294" s="672"/>
      <c r="J1294" s="672"/>
      <c r="K1294" s="672"/>
      <c r="L1294" s="672"/>
    </row>
    <row r="1295" spans="1:12">
      <c r="A1295" s="672"/>
      <c r="B1295" s="672"/>
      <c r="C1295" s="672"/>
      <c r="D1295" s="672"/>
      <c r="E1295" s="672"/>
      <c r="F1295" s="672"/>
      <c r="G1295" s="672"/>
      <c r="H1295" s="672"/>
      <c r="I1295" s="672"/>
      <c r="J1295" s="672"/>
      <c r="K1295" s="672"/>
      <c r="L1295" s="672"/>
    </row>
    <row r="1296" spans="1:12">
      <c r="A1296" s="672"/>
      <c r="B1296" s="672"/>
      <c r="C1296" s="672"/>
      <c r="D1296" s="672"/>
      <c r="E1296" s="672"/>
      <c r="F1296" s="672"/>
      <c r="G1296" s="672"/>
      <c r="H1296" s="672"/>
      <c r="I1296" s="672"/>
      <c r="J1296" s="672"/>
      <c r="K1296" s="672"/>
      <c r="L1296" s="672"/>
    </row>
    <row r="1297" spans="1:12">
      <c r="A1297" s="672"/>
      <c r="B1297" s="672"/>
      <c r="C1297" s="672"/>
      <c r="D1297" s="672"/>
      <c r="E1297" s="672"/>
      <c r="F1297" s="672"/>
      <c r="G1297" s="672"/>
      <c r="H1297" s="672"/>
      <c r="I1297" s="672"/>
      <c r="J1297" s="672"/>
      <c r="K1297" s="672"/>
      <c r="L1297" s="672"/>
    </row>
    <row r="1298" spans="1:12">
      <c r="A1298" s="672"/>
      <c r="B1298" s="672"/>
      <c r="C1298" s="672"/>
      <c r="D1298" s="672"/>
      <c r="E1298" s="672"/>
      <c r="F1298" s="672"/>
      <c r="G1298" s="672"/>
      <c r="H1298" s="672"/>
      <c r="I1298" s="672"/>
      <c r="J1298" s="672"/>
      <c r="K1298" s="672"/>
      <c r="L1298" s="672"/>
    </row>
    <row r="1299" spans="1:12">
      <c r="A1299" s="672"/>
      <c r="B1299" s="672"/>
      <c r="C1299" s="672"/>
      <c r="D1299" s="672"/>
      <c r="E1299" s="672"/>
      <c r="F1299" s="672"/>
      <c r="G1299" s="672"/>
      <c r="H1299" s="672"/>
      <c r="I1299" s="672"/>
      <c r="J1299" s="672"/>
      <c r="K1299" s="672"/>
      <c r="L1299" s="672"/>
    </row>
    <row r="1300" spans="1:12">
      <c r="A1300" s="672"/>
      <c r="B1300" s="672"/>
      <c r="C1300" s="672"/>
      <c r="D1300" s="672"/>
      <c r="E1300" s="672"/>
      <c r="F1300" s="672"/>
      <c r="G1300" s="672"/>
      <c r="H1300" s="672"/>
      <c r="I1300" s="672"/>
      <c r="J1300" s="672"/>
      <c r="K1300" s="672"/>
      <c r="L1300" s="672"/>
    </row>
    <row r="1301" spans="1:12">
      <c r="A1301" s="672"/>
      <c r="B1301" s="672"/>
      <c r="C1301" s="672"/>
      <c r="D1301" s="672"/>
      <c r="E1301" s="672"/>
      <c r="F1301" s="672"/>
      <c r="G1301" s="672"/>
      <c r="H1301" s="672"/>
      <c r="I1301" s="672"/>
      <c r="J1301" s="672"/>
      <c r="K1301" s="672"/>
      <c r="L1301" s="672"/>
    </row>
    <row r="1302" spans="1:12">
      <c r="A1302" s="672"/>
      <c r="B1302" s="672"/>
      <c r="C1302" s="672"/>
      <c r="D1302" s="672"/>
      <c r="E1302" s="672"/>
      <c r="F1302" s="672"/>
      <c r="G1302" s="672"/>
      <c r="H1302" s="672"/>
      <c r="I1302" s="672"/>
      <c r="J1302" s="672"/>
      <c r="K1302" s="672"/>
      <c r="L1302" s="672"/>
    </row>
    <row r="1303" spans="1:12">
      <c r="A1303" s="672"/>
      <c r="B1303" s="672"/>
      <c r="C1303" s="672"/>
      <c r="D1303" s="672"/>
      <c r="E1303" s="672"/>
      <c r="F1303" s="672"/>
      <c r="G1303" s="672"/>
      <c r="H1303" s="672"/>
      <c r="I1303" s="672"/>
      <c r="J1303" s="672"/>
      <c r="K1303" s="672"/>
      <c r="L1303" s="672"/>
    </row>
    <row r="1304" spans="1:12">
      <c r="A1304" s="672"/>
      <c r="B1304" s="672"/>
      <c r="C1304" s="672"/>
      <c r="D1304" s="672"/>
      <c r="E1304" s="672"/>
      <c r="F1304" s="672"/>
      <c r="G1304" s="672"/>
      <c r="H1304" s="672"/>
      <c r="I1304" s="672"/>
      <c r="J1304" s="672"/>
      <c r="K1304" s="672"/>
      <c r="L1304" s="672"/>
    </row>
    <row r="1305" spans="1:12">
      <c r="A1305" s="672"/>
      <c r="B1305" s="672"/>
      <c r="C1305" s="672"/>
      <c r="D1305" s="672"/>
      <c r="E1305" s="672"/>
      <c r="F1305" s="672"/>
      <c r="G1305" s="672"/>
      <c r="H1305" s="672"/>
      <c r="I1305" s="672"/>
      <c r="J1305" s="672"/>
      <c r="K1305" s="672"/>
      <c r="L1305" s="672"/>
    </row>
    <row r="1306" spans="1:12">
      <c r="A1306" s="672"/>
      <c r="B1306" s="672"/>
      <c r="C1306" s="672"/>
      <c r="D1306" s="672"/>
      <c r="E1306" s="672"/>
      <c r="F1306" s="672"/>
      <c r="G1306" s="672"/>
      <c r="H1306" s="672"/>
      <c r="I1306" s="672"/>
      <c r="J1306" s="672"/>
      <c r="K1306" s="672"/>
      <c r="L1306" s="672"/>
    </row>
    <row r="1307" spans="1:12">
      <c r="A1307" s="672"/>
      <c r="B1307" s="672"/>
      <c r="C1307" s="672"/>
      <c r="D1307" s="672"/>
      <c r="E1307" s="672"/>
      <c r="F1307" s="672"/>
      <c r="G1307" s="672"/>
      <c r="H1307" s="672"/>
      <c r="I1307" s="672"/>
      <c r="J1307" s="672"/>
      <c r="K1307" s="672"/>
      <c r="L1307" s="672"/>
    </row>
    <row r="1308" spans="1:12">
      <c r="A1308" s="672"/>
      <c r="B1308" s="672"/>
      <c r="C1308" s="672"/>
      <c r="D1308" s="672"/>
      <c r="E1308" s="672"/>
      <c r="F1308" s="672"/>
      <c r="G1308" s="672"/>
      <c r="H1308" s="672"/>
      <c r="I1308" s="672"/>
      <c r="J1308" s="672"/>
      <c r="K1308" s="672"/>
      <c r="L1308" s="672"/>
    </row>
    <row r="1309" spans="1:12">
      <c r="A1309" s="672"/>
      <c r="B1309" s="672"/>
      <c r="C1309" s="672"/>
      <c r="D1309" s="672"/>
      <c r="E1309" s="672"/>
      <c r="F1309" s="672"/>
      <c r="G1309" s="672"/>
      <c r="H1309" s="672"/>
      <c r="I1309" s="672"/>
      <c r="J1309" s="672"/>
      <c r="K1309" s="672"/>
      <c r="L1309" s="672"/>
    </row>
    <row r="1310" spans="1:12">
      <c r="A1310" s="672"/>
      <c r="B1310" s="672"/>
      <c r="C1310" s="672"/>
      <c r="D1310" s="672"/>
      <c r="E1310" s="672"/>
      <c r="F1310" s="672"/>
      <c r="G1310" s="672"/>
      <c r="H1310" s="672"/>
      <c r="I1310" s="672"/>
      <c r="J1310" s="672"/>
      <c r="K1310" s="672"/>
      <c r="L1310" s="672"/>
    </row>
    <row r="1311" spans="1:12">
      <c r="A1311" s="672"/>
      <c r="B1311" s="672"/>
      <c r="C1311" s="672"/>
      <c r="D1311" s="672"/>
      <c r="E1311" s="672"/>
      <c r="F1311" s="672"/>
      <c r="G1311" s="672"/>
      <c r="H1311" s="672"/>
      <c r="I1311" s="672"/>
      <c r="J1311" s="672"/>
      <c r="K1311" s="672"/>
      <c r="L1311" s="672"/>
    </row>
    <row r="1312" spans="1:12">
      <c r="A1312" s="672"/>
      <c r="B1312" s="672"/>
      <c r="C1312" s="672"/>
      <c r="D1312" s="672"/>
      <c r="E1312" s="672"/>
      <c r="F1312" s="672"/>
      <c r="G1312" s="672"/>
      <c r="H1312" s="672"/>
      <c r="I1312" s="672"/>
      <c r="J1312" s="672"/>
      <c r="K1312" s="672"/>
      <c r="L1312" s="672"/>
    </row>
    <row r="1313" spans="1:12">
      <c r="A1313" s="672"/>
      <c r="B1313" s="672"/>
      <c r="C1313" s="672"/>
      <c r="D1313" s="672"/>
      <c r="E1313" s="672"/>
      <c r="F1313" s="672"/>
      <c r="G1313" s="672"/>
      <c r="H1313" s="672"/>
      <c r="I1313" s="672"/>
      <c r="J1313" s="672"/>
      <c r="K1313" s="672"/>
      <c r="L1313" s="672"/>
    </row>
    <row r="1314" spans="1:12">
      <c r="A1314" s="672"/>
      <c r="B1314" s="672"/>
      <c r="C1314" s="672"/>
      <c r="D1314" s="672"/>
      <c r="E1314" s="672"/>
      <c r="F1314" s="672"/>
      <c r="G1314" s="672"/>
      <c r="H1314" s="672"/>
      <c r="I1314" s="672"/>
      <c r="J1314" s="672"/>
      <c r="K1314" s="672"/>
      <c r="L1314" s="672"/>
    </row>
    <row r="1315" spans="1:12">
      <c r="A1315" s="672"/>
      <c r="B1315" s="672"/>
      <c r="C1315" s="672"/>
      <c r="D1315" s="672"/>
      <c r="E1315" s="672"/>
      <c r="F1315" s="672"/>
      <c r="G1315" s="672"/>
      <c r="H1315" s="672"/>
      <c r="I1315" s="672"/>
      <c r="J1315" s="672"/>
      <c r="K1315" s="672"/>
      <c r="L1315" s="672"/>
    </row>
    <row r="1316" spans="1:12">
      <c r="A1316" s="672"/>
      <c r="B1316" s="672"/>
      <c r="C1316" s="672"/>
      <c r="D1316" s="672"/>
      <c r="E1316" s="672"/>
      <c r="F1316" s="672"/>
      <c r="G1316" s="672"/>
      <c r="H1316" s="672"/>
      <c r="I1316" s="672"/>
      <c r="J1316" s="672"/>
      <c r="K1316" s="672"/>
      <c r="L1316" s="672"/>
    </row>
    <row r="1317" spans="1:12">
      <c r="A1317" s="672"/>
      <c r="B1317" s="672"/>
      <c r="C1317" s="672"/>
      <c r="D1317" s="672"/>
      <c r="E1317" s="672"/>
      <c r="F1317" s="672"/>
      <c r="G1317" s="672"/>
      <c r="H1317" s="672"/>
      <c r="I1317" s="672"/>
      <c r="J1317" s="672"/>
      <c r="K1317" s="672"/>
      <c r="L1317" s="672"/>
    </row>
    <row r="1318" spans="1:12">
      <c r="A1318" s="672"/>
      <c r="B1318" s="672"/>
      <c r="C1318" s="672"/>
      <c r="D1318" s="672"/>
      <c r="E1318" s="672"/>
      <c r="F1318" s="672"/>
      <c r="G1318" s="672"/>
      <c r="H1318" s="672"/>
      <c r="I1318" s="672"/>
      <c r="J1318" s="672"/>
      <c r="K1318" s="672"/>
      <c r="L1318" s="672"/>
    </row>
    <row r="1319" spans="1:12">
      <c r="A1319" s="672"/>
      <c r="B1319" s="672"/>
      <c r="C1319" s="672"/>
      <c r="D1319" s="672"/>
      <c r="E1319" s="672"/>
      <c r="F1319" s="672"/>
      <c r="G1319" s="672"/>
      <c r="H1319" s="672"/>
      <c r="I1319" s="672"/>
      <c r="J1319" s="672"/>
      <c r="K1319" s="672"/>
      <c r="L1319" s="672"/>
    </row>
    <row r="1320" spans="1:12">
      <c r="A1320" s="672"/>
      <c r="B1320" s="672"/>
      <c r="C1320" s="672"/>
      <c r="D1320" s="672"/>
      <c r="E1320" s="672"/>
      <c r="F1320" s="672"/>
      <c r="G1320" s="672"/>
      <c r="H1320" s="672"/>
      <c r="I1320" s="672"/>
      <c r="J1320" s="672"/>
      <c r="K1320" s="672"/>
      <c r="L1320" s="672"/>
    </row>
    <row r="1321" spans="1:12">
      <c r="A1321" s="672"/>
      <c r="B1321" s="672"/>
      <c r="C1321" s="672"/>
      <c r="D1321" s="672"/>
      <c r="E1321" s="672"/>
      <c r="F1321" s="672"/>
      <c r="G1321" s="672"/>
      <c r="H1321" s="672"/>
      <c r="I1321" s="672"/>
      <c r="J1321" s="672"/>
      <c r="K1321" s="672"/>
      <c r="L1321" s="672"/>
    </row>
    <row r="1322" spans="1:12">
      <c r="A1322" s="672"/>
      <c r="B1322" s="672"/>
      <c r="C1322" s="672"/>
      <c r="D1322" s="672"/>
      <c r="E1322" s="672"/>
      <c r="F1322" s="672"/>
      <c r="G1322" s="672"/>
      <c r="H1322" s="672"/>
      <c r="I1322" s="672"/>
      <c r="J1322" s="672"/>
      <c r="K1322" s="672"/>
      <c r="L1322" s="672"/>
    </row>
    <row r="1323" spans="1:12">
      <c r="A1323" s="672"/>
      <c r="B1323" s="672"/>
      <c r="C1323" s="672"/>
      <c r="D1323" s="672"/>
      <c r="E1323" s="672"/>
      <c r="F1323" s="672"/>
      <c r="G1323" s="672"/>
      <c r="H1323" s="672"/>
      <c r="I1323" s="672"/>
      <c r="J1323" s="672"/>
      <c r="K1323" s="672"/>
      <c r="L1323" s="672"/>
    </row>
    <row r="1324" spans="1:12">
      <c r="A1324" s="672"/>
      <c r="B1324" s="672"/>
      <c r="C1324" s="672"/>
      <c r="D1324" s="672"/>
      <c r="E1324" s="672"/>
      <c r="F1324" s="672"/>
      <c r="G1324" s="672"/>
      <c r="H1324" s="672"/>
      <c r="I1324" s="672"/>
      <c r="J1324" s="672"/>
      <c r="K1324" s="672"/>
      <c r="L1324" s="672"/>
    </row>
    <row r="1325" spans="1:12">
      <c r="A1325" s="672"/>
      <c r="B1325" s="672"/>
      <c r="C1325" s="672"/>
      <c r="D1325" s="672"/>
      <c r="E1325" s="672"/>
      <c r="F1325" s="672"/>
      <c r="G1325" s="672"/>
      <c r="H1325" s="672"/>
      <c r="I1325" s="672"/>
      <c r="J1325" s="672"/>
      <c r="K1325" s="672"/>
      <c r="L1325" s="672"/>
    </row>
    <row r="1326" spans="1:12">
      <c r="A1326" s="672"/>
      <c r="B1326" s="672"/>
      <c r="C1326" s="672"/>
      <c r="D1326" s="672"/>
      <c r="E1326" s="672"/>
      <c r="F1326" s="672"/>
      <c r="G1326" s="672"/>
      <c r="H1326" s="672"/>
      <c r="I1326" s="672"/>
      <c r="J1326" s="672"/>
      <c r="K1326" s="672"/>
      <c r="L1326" s="672"/>
    </row>
    <row r="1327" spans="1:12">
      <c r="A1327" s="672"/>
      <c r="B1327" s="672"/>
      <c r="C1327" s="672"/>
      <c r="D1327" s="672"/>
      <c r="E1327" s="672"/>
      <c r="F1327" s="672"/>
      <c r="G1327" s="672"/>
      <c r="H1327" s="672"/>
      <c r="I1327" s="672"/>
      <c r="J1327" s="672"/>
      <c r="K1327" s="672"/>
      <c r="L1327" s="672"/>
    </row>
    <row r="1328" spans="1:12">
      <c r="A1328" s="672"/>
      <c r="B1328" s="672"/>
      <c r="C1328" s="672"/>
      <c r="D1328" s="672"/>
      <c r="E1328" s="672"/>
      <c r="F1328" s="672"/>
      <c r="G1328" s="672"/>
      <c r="H1328" s="672"/>
      <c r="I1328" s="672"/>
      <c r="J1328" s="672"/>
      <c r="K1328" s="672"/>
      <c r="L1328" s="672"/>
    </row>
    <row r="1329" spans="1:12">
      <c r="A1329" s="672"/>
      <c r="B1329" s="672"/>
      <c r="C1329" s="672"/>
      <c r="D1329" s="672"/>
      <c r="E1329" s="672"/>
      <c r="F1329" s="672"/>
      <c r="G1329" s="672"/>
      <c r="H1329" s="672"/>
      <c r="I1329" s="672"/>
      <c r="J1329" s="672"/>
      <c r="K1329" s="672"/>
      <c r="L1329" s="672"/>
    </row>
    <row r="1330" spans="1:12">
      <c r="A1330" s="672"/>
      <c r="B1330" s="672"/>
      <c r="C1330" s="672"/>
      <c r="D1330" s="672"/>
      <c r="E1330" s="672"/>
      <c r="F1330" s="672"/>
      <c r="G1330" s="672"/>
      <c r="H1330" s="672"/>
      <c r="I1330" s="672"/>
      <c r="J1330" s="672"/>
      <c r="K1330" s="672"/>
      <c r="L1330" s="672"/>
    </row>
    <row r="1331" spans="1:12">
      <c r="A1331" s="672"/>
      <c r="B1331" s="672"/>
      <c r="C1331" s="672"/>
      <c r="D1331" s="672"/>
      <c r="E1331" s="672"/>
      <c r="F1331" s="672"/>
      <c r="G1331" s="672"/>
      <c r="H1331" s="672"/>
      <c r="I1331" s="672"/>
      <c r="J1331" s="672"/>
      <c r="K1331" s="672"/>
      <c r="L1331" s="672"/>
    </row>
    <row r="1332" spans="1:12">
      <c r="A1332" s="672"/>
      <c r="B1332" s="672"/>
      <c r="C1332" s="672"/>
      <c r="D1332" s="672"/>
      <c r="E1332" s="672"/>
      <c r="F1332" s="672"/>
      <c r="G1332" s="672"/>
      <c r="H1332" s="672"/>
      <c r="I1332" s="672"/>
      <c r="J1332" s="672"/>
      <c r="K1332" s="672"/>
      <c r="L1332" s="672"/>
    </row>
    <row r="1333" spans="1:12">
      <c r="A1333" s="672"/>
      <c r="B1333" s="672"/>
      <c r="C1333" s="672"/>
      <c r="D1333" s="672"/>
      <c r="E1333" s="672"/>
      <c r="F1333" s="672"/>
      <c r="G1333" s="672"/>
      <c r="H1333" s="672"/>
      <c r="I1333" s="672"/>
      <c r="J1333" s="672"/>
      <c r="K1333" s="672"/>
      <c r="L1333" s="672"/>
    </row>
    <row r="1334" spans="1:12">
      <c r="A1334" s="672"/>
      <c r="B1334" s="672"/>
      <c r="C1334" s="672"/>
      <c r="D1334" s="672"/>
      <c r="E1334" s="672"/>
      <c r="F1334" s="672"/>
      <c r="G1334" s="672"/>
      <c r="H1334" s="672"/>
      <c r="I1334" s="672"/>
      <c r="J1334" s="672"/>
      <c r="K1334" s="672"/>
      <c r="L1334" s="672"/>
    </row>
    <row r="1335" spans="1:12">
      <c r="A1335" s="672"/>
      <c r="B1335" s="672"/>
      <c r="C1335" s="672"/>
      <c r="D1335" s="672"/>
      <c r="E1335" s="672"/>
      <c r="F1335" s="672"/>
      <c r="G1335" s="672"/>
      <c r="H1335" s="672"/>
      <c r="I1335" s="672"/>
      <c r="J1335" s="672"/>
      <c r="K1335" s="672"/>
      <c r="L1335" s="672"/>
    </row>
    <row r="1336" spans="1:12">
      <c r="A1336" s="672"/>
      <c r="B1336" s="672"/>
      <c r="C1336" s="672"/>
      <c r="D1336" s="672"/>
      <c r="E1336" s="672"/>
      <c r="F1336" s="672"/>
      <c r="G1336" s="672"/>
      <c r="H1336" s="672"/>
      <c r="I1336" s="672"/>
      <c r="J1336" s="672"/>
      <c r="K1336" s="672"/>
      <c r="L1336" s="672"/>
    </row>
    <row r="1337" spans="1:12">
      <c r="A1337" s="672"/>
      <c r="B1337" s="672"/>
      <c r="C1337" s="672"/>
      <c r="D1337" s="672"/>
      <c r="E1337" s="672"/>
      <c r="F1337" s="672"/>
      <c r="G1337" s="672"/>
      <c r="H1337" s="672"/>
      <c r="I1337" s="672"/>
      <c r="J1337" s="672"/>
      <c r="K1337" s="672"/>
      <c r="L1337" s="672"/>
    </row>
    <row r="1338" spans="1:12">
      <c r="A1338" s="672"/>
      <c r="B1338" s="672"/>
      <c r="C1338" s="672"/>
      <c r="D1338" s="672"/>
      <c r="E1338" s="672"/>
      <c r="F1338" s="672"/>
      <c r="G1338" s="672"/>
      <c r="H1338" s="672"/>
      <c r="I1338" s="672"/>
      <c r="J1338" s="672"/>
      <c r="K1338" s="672"/>
      <c r="L1338" s="672"/>
    </row>
    <row r="1339" spans="1:12">
      <c r="A1339" s="672"/>
      <c r="B1339" s="672"/>
      <c r="C1339" s="672"/>
      <c r="D1339" s="672"/>
      <c r="E1339" s="672"/>
      <c r="F1339" s="672"/>
      <c r="G1339" s="672"/>
      <c r="H1339" s="672"/>
      <c r="I1339" s="672"/>
      <c r="J1339" s="672"/>
      <c r="K1339" s="672"/>
      <c r="L1339" s="672"/>
    </row>
    <row r="1340" spans="1:12">
      <c r="A1340" s="672"/>
      <c r="B1340" s="672"/>
      <c r="C1340" s="672"/>
      <c r="D1340" s="672"/>
      <c r="E1340" s="672"/>
      <c r="F1340" s="672"/>
      <c r="G1340" s="672"/>
      <c r="H1340" s="672"/>
      <c r="I1340" s="672"/>
      <c r="J1340" s="672"/>
      <c r="K1340" s="672"/>
      <c r="L1340" s="672"/>
    </row>
    <row r="1341" spans="1:12">
      <c r="A1341" s="672"/>
      <c r="B1341" s="672"/>
      <c r="C1341" s="672"/>
      <c r="D1341" s="672"/>
      <c r="E1341" s="672"/>
      <c r="F1341" s="672"/>
      <c r="G1341" s="672"/>
      <c r="H1341" s="672"/>
      <c r="I1341" s="672"/>
      <c r="J1341" s="672"/>
      <c r="K1341" s="672"/>
      <c r="L1341" s="672"/>
    </row>
    <row r="1342" spans="1:12">
      <c r="A1342" s="672"/>
      <c r="B1342" s="672"/>
      <c r="C1342" s="672"/>
      <c r="D1342" s="672"/>
      <c r="E1342" s="672"/>
      <c r="F1342" s="672"/>
      <c r="G1342" s="672"/>
      <c r="H1342" s="672"/>
      <c r="I1342" s="672"/>
      <c r="J1342" s="672"/>
      <c r="K1342" s="672"/>
      <c r="L1342" s="672"/>
    </row>
    <row r="1343" spans="1:12">
      <c r="A1343" s="672"/>
      <c r="B1343" s="672"/>
      <c r="C1343" s="672"/>
      <c r="D1343" s="672"/>
      <c r="E1343" s="672"/>
      <c r="F1343" s="672"/>
      <c r="G1343" s="672"/>
      <c r="H1343" s="672"/>
      <c r="I1343" s="672"/>
      <c r="J1343" s="672"/>
      <c r="K1343" s="672"/>
      <c r="L1343" s="672"/>
    </row>
    <row r="1344" spans="1:12">
      <c r="A1344" s="672"/>
      <c r="B1344" s="672"/>
      <c r="C1344" s="672"/>
      <c r="D1344" s="672"/>
      <c r="E1344" s="672"/>
      <c r="F1344" s="672"/>
      <c r="G1344" s="672"/>
      <c r="H1344" s="672"/>
      <c r="I1344" s="672"/>
      <c r="J1344" s="672"/>
      <c r="K1344" s="672"/>
      <c r="L1344" s="672"/>
    </row>
    <row r="1345" spans="1:12">
      <c r="A1345" s="672"/>
      <c r="B1345" s="672"/>
      <c r="C1345" s="672"/>
      <c r="D1345" s="672"/>
      <c r="E1345" s="672"/>
      <c r="F1345" s="672"/>
      <c r="G1345" s="672"/>
      <c r="H1345" s="672"/>
      <c r="I1345" s="672"/>
      <c r="J1345" s="672"/>
      <c r="K1345" s="672"/>
      <c r="L1345" s="672"/>
    </row>
    <row r="1346" spans="1:12">
      <c r="A1346" s="672"/>
      <c r="B1346" s="672"/>
      <c r="C1346" s="672"/>
      <c r="D1346" s="672"/>
      <c r="E1346" s="672"/>
      <c r="F1346" s="672"/>
      <c r="G1346" s="672"/>
      <c r="H1346" s="672"/>
      <c r="I1346" s="672"/>
      <c r="J1346" s="672"/>
      <c r="K1346" s="672"/>
      <c r="L1346" s="672"/>
    </row>
    <row r="1347" spans="1:12">
      <c r="A1347" s="672"/>
      <c r="B1347" s="672"/>
      <c r="C1347" s="672"/>
      <c r="D1347" s="672"/>
      <c r="E1347" s="672"/>
      <c r="F1347" s="672"/>
      <c r="G1347" s="672"/>
      <c r="H1347" s="672"/>
      <c r="I1347" s="672"/>
      <c r="J1347" s="672"/>
      <c r="K1347" s="672"/>
      <c r="L1347" s="672"/>
    </row>
    <row r="1348" spans="1:12">
      <c r="A1348" s="672"/>
      <c r="B1348" s="672"/>
      <c r="C1348" s="672"/>
      <c r="D1348" s="672"/>
      <c r="E1348" s="672"/>
      <c r="F1348" s="672"/>
      <c r="G1348" s="672"/>
      <c r="H1348" s="672"/>
      <c r="I1348" s="672"/>
      <c r="J1348" s="672"/>
      <c r="K1348" s="672"/>
      <c r="L1348" s="672"/>
    </row>
    <row r="1349" spans="1:12">
      <c r="A1349" s="672"/>
      <c r="B1349" s="672"/>
      <c r="C1349" s="672"/>
      <c r="D1349" s="672"/>
      <c r="E1349" s="672"/>
      <c r="F1349" s="672"/>
      <c r="G1349" s="672"/>
      <c r="H1349" s="672"/>
      <c r="I1349" s="672"/>
      <c r="J1349" s="672"/>
      <c r="K1349" s="672"/>
      <c r="L1349" s="672"/>
    </row>
    <row r="1350" spans="1:12">
      <c r="A1350" s="672"/>
      <c r="B1350" s="672"/>
      <c r="C1350" s="672"/>
      <c r="D1350" s="672"/>
      <c r="E1350" s="672"/>
      <c r="F1350" s="672"/>
      <c r="G1350" s="672"/>
      <c r="H1350" s="672"/>
      <c r="I1350" s="672"/>
      <c r="J1350" s="672"/>
      <c r="K1350" s="672"/>
      <c r="L1350" s="672"/>
    </row>
    <row r="1351" spans="1:12">
      <c r="A1351" s="672"/>
      <c r="B1351" s="672"/>
      <c r="C1351" s="672"/>
      <c r="D1351" s="672"/>
      <c r="E1351" s="672"/>
      <c r="F1351" s="672"/>
      <c r="G1351" s="672"/>
      <c r="H1351" s="672"/>
      <c r="I1351" s="672"/>
      <c r="J1351" s="672"/>
      <c r="K1351" s="672"/>
      <c r="L1351" s="672"/>
    </row>
    <row r="1352" spans="1:12">
      <c r="A1352" s="672"/>
      <c r="B1352" s="672"/>
      <c r="C1352" s="672"/>
      <c r="D1352" s="672"/>
      <c r="E1352" s="672"/>
      <c r="F1352" s="672"/>
      <c r="G1352" s="672"/>
      <c r="H1352" s="672"/>
      <c r="I1352" s="672"/>
      <c r="J1352" s="672"/>
      <c r="K1352" s="672"/>
      <c r="L1352" s="672"/>
    </row>
    <row r="1353" spans="1:12">
      <c r="A1353" s="672"/>
      <c r="B1353" s="672"/>
      <c r="C1353" s="672"/>
      <c r="D1353" s="672"/>
      <c r="E1353" s="672"/>
      <c r="F1353" s="672"/>
      <c r="G1353" s="672"/>
      <c r="H1353" s="672"/>
      <c r="I1353" s="672"/>
      <c r="J1353" s="672"/>
      <c r="K1353" s="672"/>
      <c r="L1353" s="672"/>
    </row>
    <row r="1354" spans="1:12">
      <c r="A1354" s="672"/>
      <c r="B1354" s="672"/>
      <c r="C1354" s="672"/>
      <c r="D1354" s="672"/>
      <c r="E1354" s="672"/>
      <c r="F1354" s="672"/>
      <c r="G1354" s="672"/>
      <c r="H1354" s="672"/>
      <c r="I1354" s="672"/>
      <c r="J1354" s="672"/>
      <c r="K1354" s="672"/>
      <c r="L1354" s="672"/>
    </row>
    <row r="1355" spans="1:12">
      <c r="A1355" s="672"/>
      <c r="B1355" s="672"/>
      <c r="C1355" s="672"/>
      <c r="D1355" s="672"/>
      <c r="E1355" s="672"/>
      <c r="F1355" s="672"/>
      <c r="G1355" s="672"/>
      <c r="H1355" s="672"/>
      <c r="I1355" s="672"/>
      <c r="J1355" s="672"/>
      <c r="K1355" s="672"/>
      <c r="L1355" s="672"/>
    </row>
    <row r="1356" spans="1:12">
      <c r="A1356" s="672"/>
      <c r="B1356" s="672"/>
      <c r="C1356" s="672"/>
      <c r="D1356" s="672"/>
      <c r="E1356" s="672"/>
      <c r="F1356" s="672"/>
      <c r="G1356" s="672"/>
      <c r="H1356" s="672"/>
      <c r="I1356" s="672"/>
      <c r="J1356" s="672"/>
      <c r="K1356" s="672"/>
      <c r="L1356" s="672"/>
    </row>
    <row r="1357" spans="1:12">
      <c r="A1357" s="672"/>
      <c r="B1357" s="672"/>
      <c r="C1357" s="672"/>
      <c r="D1357" s="672"/>
      <c r="E1357" s="672"/>
      <c r="F1357" s="672"/>
      <c r="G1357" s="672"/>
      <c r="H1357" s="672"/>
      <c r="I1357" s="672"/>
      <c r="J1357" s="672"/>
      <c r="K1357" s="672"/>
      <c r="L1357" s="672"/>
    </row>
    <row r="1358" spans="1:12">
      <c r="A1358" s="672"/>
      <c r="B1358" s="672"/>
      <c r="C1358" s="672"/>
      <c r="D1358" s="672"/>
      <c r="E1358" s="672"/>
      <c r="F1358" s="672"/>
      <c r="G1358" s="672"/>
      <c r="H1358" s="672"/>
      <c r="I1358" s="672"/>
      <c r="J1358" s="672"/>
      <c r="K1358" s="672"/>
      <c r="L1358" s="672"/>
    </row>
    <row r="1359" spans="1:12">
      <c r="A1359" s="672"/>
      <c r="B1359" s="672"/>
      <c r="C1359" s="672"/>
      <c r="D1359" s="672"/>
      <c r="E1359" s="672"/>
      <c r="F1359" s="672"/>
      <c r="G1359" s="672"/>
      <c r="H1359" s="672"/>
      <c r="I1359" s="672"/>
      <c r="J1359" s="672"/>
      <c r="K1359" s="672"/>
      <c r="L1359" s="672"/>
    </row>
    <row r="1360" spans="1:12">
      <c r="A1360" s="672"/>
      <c r="B1360" s="672"/>
      <c r="C1360" s="672"/>
      <c r="D1360" s="672"/>
      <c r="E1360" s="672"/>
      <c r="F1360" s="672"/>
      <c r="G1360" s="672"/>
      <c r="H1360" s="672"/>
      <c r="I1360" s="672"/>
      <c r="J1360" s="672"/>
      <c r="K1360" s="672"/>
      <c r="L1360" s="672"/>
    </row>
    <row r="1361" spans="1:12">
      <c r="A1361" s="672"/>
      <c r="B1361" s="672"/>
      <c r="C1361" s="672"/>
      <c r="D1361" s="672"/>
      <c r="E1361" s="672"/>
      <c r="F1361" s="672"/>
      <c r="G1361" s="672"/>
      <c r="H1361" s="672"/>
      <c r="I1361" s="672"/>
      <c r="J1361" s="672"/>
      <c r="K1361" s="672"/>
      <c r="L1361" s="672"/>
    </row>
    <row r="1362" spans="1:12">
      <c r="A1362" s="672"/>
      <c r="B1362" s="672"/>
      <c r="C1362" s="672"/>
      <c r="D1362" s="672"/>
      <c r="E1362" s="672"/>
      <c r="F1362" s="672"/>
      <c r="G1362" s="672"/>
      <c r="H1362" s="672"/>
      <c r="I1362" s="672"/>
      <c r="J1362" s="672"/>
      <c r="K1362" s="672"/>
      <c r="L1362" s="672"/>
    </row>
    <row r="1363" spans="1:12">
      <c r="A1363" s="672"/>
      <c r="B1363" s="672"/>
      <c r="C1363" s="672"/>
      <c r="D1363" s="672"/>
      <c r="E1363" s="672"/>
      <c r="F1363" s="672"/>
      <c r="G1363" s="672"/>
      <c r="H1363" s="672"/>
      <c r="I1363" s="672"/>
      <c r="J1363" s="672"/>
      <c r="K1363" s="672"/>
      <c r="L1363" s="672"/>
    </row>
    <row r="1364" spans="1:12">
      <c r="A1364" s="672"/>
      <c r="B1364" s="672"/>
      <c r="C1364" s="672"/>
      <c r="D1364" s="672"/>
      <c r="E1364" s="672"/>
      <c r="F1364" s="672"/>
      <c r="G1364" s="672"/>
      <c r="H1364" s="672"/>
      <c r="I1364" s="672"/>
      <c r="J1364" s="672"/>
      <c r="K1364" s="672"/>
      <c r="L1364" s="672"/>
    </row>
    <row r="1365" spans="1:12">
      <c r="A1365" s="672"/>
      <c r="B1365" s="672"/>
      <c r="C1365" s="672"/>
      <c r="D1365" s="672"/>
      <c r="E1365" s="672"/>
      <c r="F1365" s="672"/>
      <c r="G1365" s="672"/>
      <c r="H1365" s="672"/>
      <c r="I1365" s="672"/>
      <c r="J1365" s="672"/>
      <c r="K1365" s="672"/>
      <c r="L1365" s="672"/>
    </row>
    <row r="1366" spans="1:12">
      <c r="A1366" s="672"/>
      <c r="B1366" s="672"/>
      <c r="C1366" s="672"/>
      <c r="D1366" s="672"/>
      <c r="E1366" s="672"/>
      <c r="F1366" s="672"/>
      <c r="G1366" s="672"/>
      <c r="H1366" s="672"/>
      <c r="I1366" s="672"/>
      <c r="J1366" s="672"/>
      <c r="K1366" s="672"/>
      <c r="L1366" s="672"/>
    </row>
    <row r="1367" spans="1:12">
      <c r="A1367" s="672"/>
      <c r="B1367" s="672"/>
      <c r="C1367" s="672"/>
      <c r="D1367" s="672"/>
      <c r="E1367" s="672"/>
      <c r="F1367" s="672"/>
      <c r="G1367" s="672"/>
      <c r="H1367" s="672"/>
      <c r="I1367" s="672"/>
      <c r="J1367" s="672"/>
      <c r="K1367" s="672"/>
      <c r="L1367" s="672"/>
    </row>
    <row r="1368" spans="1:12">
      <c r="A1368" s="672"/>
      <c r="B1368" s="672"/>
      <c r="C1368" s="672"/>
      <c r="D1368" s="672"/>
      <c r="E1368" s="672"/>
      <c r="F1368" s="672"/>
      <c r="G1368" s="672"/>
      <c r="H1368" s="672"/>
      <c r="I1368" s="672"/>
      <c r="J1368" s="672"/>
      <c r="K1368" s="672"/>
      <c r="L1368" s="672"/>
    </row>
    <row r="1369" spans="1:12">
      <c r="A1369" s="672"/>
      <c r="B1369" s="672"/>
      <c r="C1369" s="672"/>
      <c r="D1369" s="672"/>
      <c r="E1369" s="672"/>
      <c r="F1369" s="672"/>
      <c r="G1369" s="672"/>
      <c r="H1369" s="672"/>
      <c r="I1369" s="672"/>
      <c r="J1369" s="672"/>
      <c r="K1369" s="672"/>
      <c r="L1369" s="672"/>
    </row>
    <row r="1370" spans="1:12">
      <c r="A1370" s="672"/>
      <c r="B1370" s="672"/>
      <c r="C1370" s="672"/>
      <c r="D1370" s="672"/>
      <c r="E1370" s="672"/>
      <c r="F1370" s="672"/>
      <c r="G1370" s="672"/>
      <c r="H1370" s="672"/>
      <c r="I1370" s="672"/>
      <c r="J1370" s="672"/>
      <c r="K1370" s="672"/>
      <c r="L1370" s="672"/>
    </row>
    <row r="1371" spans="1:12">
      <c r="A1371" s="672"/>
      <c r="B1371" s="672"/>
      <c r="C1371" s="672"/>
      <c r="D1371" s="672"/>
      <c r="E1371" s="672"/>
      <c r="F1371" s="672"/>
      <c r="G1371" s="672"/>
      <c r="H1371" s="672"/>
      <c r="I1371" s="672"/>
      <c r="J1371" s="672"/>
      <c r="K1371" s="672"/>
      <c r="L1371" s="672"/>
    </row>
    <row r="1372" spans="1:12">
      <c r="A1372" s="672"/>
      <c r="B1372" s="672"/>
      <c r="C1372" s="672"/>
      <c r="D1372" s="672"/>
      <c r="E1372" s="672"/>
      <c r="F1372" s="672"/>
      <c r="G1372" s="672"/>
      <c r="H1372" s="672"/>
      <c r="I1372" s="672"/>
      <c r="J1372" s="672"/>
      <c r="K1372" s="672"/>
      <c r="L1372" s="672"/>
    </row>
    <row r="1373" spans="1:12">
      <c r="A1373" s="672"/>
      <c r="B1373" s="672"/>
      <c r="C1373" s="672"/>
      <c r="D1373" s="672"/>
      <c r="E1373" s="672"/>
      <c r="F1373" s="672"/>
      <c r="G1373" s="672"/>
      <c r="H1373" s="672"/>
      <c r="I1373" s="672"/>
      <c r="J1373" s="672"/>
      <c r="K1373" s="672"/>
      <c r="L1373" s="672"/>
    </row>
    <row r="1374" spans="1:12">
      <c r="A1374" s="672"/>
      <c r="B1374" s="672"/>
      <c r="C1374" s="672"/>
      <c r="D1374" s="672"/>
      <c r="E1374" s="672"/>
      <c r="F1374" s="672"/>
      <c r="G1374" s="672"/>
      <c r="H1374" s="672"/>
      <c r="I1374" s="672"/>
      <c r="J1374" s="672"/>
      <c r="K1374" s="672"/>
      <c r="L1374" s="672"/>
    </row>
    <row r="1375" spans="1:12">
      <c r="A1375" s="672"/>
      <c r="B1375" s="672"/>
      <c r="C1375" s="672"/>
      <c r="D1375" s="672"/>
      <c r="E1375" s="672"/>
      <c r="F1375" s="672"/>
      <c r="G1375" s="672"/>
      <c r="H1375" s="672"/>
      <c r="I1375" s="672"/>
      <c r="J1375" s="672"/>
      <c r="K1375" s="672"/>
      <c r="L1375" s="672"/>
    </row>
    <row r="1376" spans="1:12">
      <c r="A1376" s="672"/>
      <c r="B1376" s="672"/>
      <c r="C1376" s="672"/>
      <c r="D1376" s="672"/>
      <c r="E1376" s="672"/>
      <c r="F1376" s="672"/>
      <c r="G1376" s="672"/>
      <c r="H1376" s="672"/>
      <c r="I1376" s="672"/>
      <c r="J1376" s="672"/>
      <c r="K1376" s="672"/>
      <c r="L1376" s="672"/>
    </row>
    <row r="1377" spans="1:12">
      <c r="A1377" s="672"/>
      <c r="B1377" s="672"/>
      <c r="C1377" s="672"/>
      <c r="D1377" s="672"/>
      <c r="E1377" s="672"/>
      <c r="F1377" s="672"/>
      <c r="G1377" s="672"/>
      <c r="H1377" s="672"/>
      <c r="I1377" s="672"/>
      <c r="J1377" s="672"/>
      <c r="K1377" s="672"/>
      <c r="L1377" s="672"/>
    </row>
    <row r="1378" spans="1:12">
      <c r="A1378" s="672"/>
      <c r="B1378" s="672"/>
      <c r="C1378" s="672"/>
      <c r="D1378" s="672"/>
      <c r="E1378" s="672"/>
      <c r="F1378" s="672"/>
      <c r="G1378" s="672"/>
      <c r="H1378" s="672"/>
      <c r="I1378" s="672"/>
      <c r="J1378" s="672"/>
      <c r="K1378" s="672"/>
      <c r="L1378" s="672"/>
    </row>
    <row r="1379" spans="1:12">
      <c r="A1379" s="672"/>
      <c r="B1379" s="672"/>
      <c r="C1379" s="672"/>
      <c r="D1379" s="672"/>
      <c r="E1379" s="672"/>
      <c r="F1379" s="672"/>
      <c r="G1379" s="672"/>
      <c r="H1379" s="672"/>
      <c r="I1379" s="672"/>
      <c r="J1379" s="672"/>
      <c r="K1379" s="672"/>
      <c r="L1379" s="672"/>
    </row>
    <row r="1380" spans="1:12">
      <c r="A1380" s="672"/>
      <c r="B1380" s="672"/>
      <c r="C1380" s="672"/>
      <c r="D1380" s="672"/>
      <c r="E1380" s="672"/>
      <c r="F1380" s="672"/>
      <c r="G1380" s="672"/>
      <c r="H1380" s="672"/>
      <c r="I1380" s="672"/>
      <c r="J1380" s="672"/>
      <c r="K1380" s="672"/>
      <c r="L1380" s="672"/>
    </row>
    <row r="1381" spans="1:12">
      <c r="A1381" s="672"/>
      <c r="B1381" s="672"/>
      <c r="C1381" s="672"/>
      <c r="D1381" s="672"/>
      <c r="E1381" s="672"/>
      <c r="F1381" s="672"/>
      <c r="G1381" s="672"/>
      <c r="H1381" s="672"/>
      <c r="I1381" s="672"/>
      <c r="J1381" s="672"/>
      <c r="K1381" s="672"/>
      <c r="L1381" s="672"/>
    </row>
    <row r="1382" spans="1:12">
      <c r="A1382" s="672"/>
      <c r="B1382" s="672"/>
      <c r="C1382" s="672"/>
      <c r="D1382" s="672"/>
      <c r="E1382" s="672"/>
      <c r="F1382" s="672"/>
      <c r="G1382" s="672"/>
      <c r="H1382" s="672"/>
      <c r="I1382" s="672"/>
      <c r="J1382" s="672"/>
      <c r="K1382" s="672"/>
      <c r="L1382" s="672"/>
    </row>
    <row r="1383" spans="1:12">
      <c r="A1383" s="672"/>
      <c r="B1383" s="672"/>
      <c r="C1383" s="672"/>
      <c r="D1383" s="672"/>
      <c r="E1383" s="672"/>
      <c r="F1383" s="672"/>
      <c r="G1383" s="672"/>
      <c r="H1383" s="672"/>
      <c r="I1383" s="672"/>
      <c r="J1383" s="672"/>
      <c r="K1383" s="672"/>
      <c r="L1383" s="672"/>
    </row>
    <row r="1384" spans="1:12">
      <c r="A1384" s="672"/>
      <c r="B1384" s="672"/>
      <c r="C1384" s="672"/>
      <c r="D1384" s="672"/>
      <c r="E1384" s="672"/>
      <c r="F1384" s="672"/>
      <c r="G1384" s="672"/>
      <c r="H1384" s="672"/>
      <c r="I1384" s="672"/>
      <c r="J1384" s="672"/>
      <c r="K1384" s="672"/>
      <c r="L1384" s="672"/>
    </row>
    <row r="1385" spans="1:12">
      <c r="A1385" s="672"/>
      <c r="B1385" s="672"/>
      <c r="C1385" s="672"/>
      <c r="D1385" s="672"/>
      <c r="E1385" s="672"/>
      <c r="F1385" s="672"/>
      <c r="G1385" s="672"/>
      <c r="H1385" s="672"/>
      <c r="I1385" s="672"/>
      <c r="J1385" s="672"/>
      <c r="K1385" s="672"/>
      <c r="L1385" s="672"/>
    </row>
    <row r="1386" spans="1:12">
      <c r="A1386" s="672"/>
      <c r="B1386" s="672"/>
      <c r="C1386" s="672"/>
      <c r="D1386" s="672"/>
      <c r="E1386" s="672"/>
      <c r="F1386" s="672"/>
      <c r="G1386" s="672"/>
      <c r="H1386" s="672"/>
      <c r="I1386" s="672"/>
      <c r="J1386" s="672"/>
      <c r="K1386" s="672"/>
      <c r="L1386" s="672"/>
    </row>
    <row r="1387" spans="1:12">
      <c r="A1387" s="672"/>
      <c r="B1387" s="672"/>
      <c r="C1387" s="672"/>
      <c r="D1387" s="672"/>
      <c r="E1387" s="672"/>
      <c r="F1387" s="672"/>
      <c r="G1387" s="672"/>
      <c r="H1387" s="672"/>
      <c r="I1387" s="672"/>
      <c r="J1387" s="672"/>
      <c r="K1387" s="672"/>
      <c r="L1387" s="672"/>
    </row>
    <row r="1388" spans="1:12">
      <c r="A1388" s="672"/>
      <c r="B1388" s="672"/>
      <c r="C1388" s="672"/>
      <c r="D1388" s="672"/>
      <c r="E1388" s="672"/>
      <c r="F1388" s="672"/>
      <c r="G1388" s="672"/>
      <c r="H1388" s="672"/>
      <c r="I1388" s="672"/>
      <c r="J1388" s="672"/>
      <c r="K1388" s="672"/>
      <c r="L1388" s="672"/>
    </row>
    <row r="1389" spans="1:12">
      <c r="A1389" s="672"/>
      <c r="B1389" s="672"/>
      <c r="C1389" s="672"/>
      <c r="D1389" s="672"/>
      <c r="E1389" s="672"/>
      <c r="F1389" s="672"/>
      <c r="G1389" s="672"/>
      <c r="H1389" s="672"/>
      <c r="I1389" s="672"/>
      <c r="J1389" s="672"/>
      <c r="K1389" s="672"/>
      <c r="L1389" s="672"/>
    </row>
    <row r="1390" spans="1:12">
      <c r="A1390" s="672"/>
      <c r="B1390" s="672"/>
      <c r="C1390" s="672"/>
      <c r="D1390" s="672"/>
      <c r="E1390" s="672"/>
      <c r="F1390" s="672"/>
      <c r="G1390" s="672"/>
      <c r="H1390" s="672"/>
      <c r="I1390" s="672"/>
      <c r="J1390" s="672"/>
      <c r="K1390" s="672"/>
      <c r="L1390" s="672"/>
    </row>
    <row r="1391" spans="1:12">
      <c r="A1391" s="672"/>
      <c r="B1391" s="672"/>
      <c r="C1391" s="672"/>
      <c r="D1391" s="672"/>
      <c r="E1391" s="672"/>
      <c r="F1391" s="672"/>
      <c r="G1391" s="672"/>
      <c r="H1391" s="672"/>
      <c r="I1391" s="672"/>
      <c r="J1391" s="672"/>
      <c r="K1391" s="672"/>
      <c r="L1391" s="672"/>
    </row>
    <row r="1392" spans="1:12">
      <c r="A1392" s="672"/>
      <c r="B1392" s="672"/>
      <c r="C1392" s="672"/>
      <c r="D1392" s="672"/>
      <c r="E1392" s="672"/>
      <c r="F1392" s="672"/>
      <c r="G1392" s="672"/>
      <c r="H1392" s="672"/>
      <c r="I1392" s="672"/>
      <c r="J1392" s="672"/>
      <c r="K1392" s="672"/>
      <c r="L1392" s="672"/>
    </row>
    <row r="1393" spans="1:12">
      <c r="A1393" s="672"/>
      <c r="B1393" s="672"/>
      <c r="C1393" s="672"/>
      <c r="D1393" s="672"/>
      <c r="E1393" s="672"/>
      <c r="F1393" s="672"/>
      <c r="G1393" s="672"/>
      <c r="H1393" s="672"/>
      <c r="I1393" s="672"/>
      <c r="J1393" s="672"/>
      <c r="K1393" s="672"/>
      <c r="L1393" s="672"/>
    </row>
    <row r="1394" spans="1:12">
      <c r="A1394" s="672"/>
      <c r="B1394" s="672"/>
      <c r="C1394" s="672"/>
      <c r="D1394" s="672"/>
      <c r="E1394" s="672"/>
      <c r="F1394" s="672"/>
      <c r="G1394" s="672"/>
      <c r="H1394" s="672"/>
      <c r="I1394" s="672"/>
      <c r="J1394" s="672"/>
      <c r="K1394" s="672"/>
      <c r="L1394" s="672"/>
    </row>
    <row r="1395" spans="1:12">
      <c r="A1395" s="672"/>
      <c r="B1395" s="672"/>
      <c r="C1395" s="672"/>
      <c r="D1395" s="672"/>
      <c r="E1395" s="672"/>
      <c r="F1395" s="672"/>
      <c r="G1395" s="672"/>
      <c r="H1395" s="672"/>
      <c r="I1395" s="672"/>
      <c r="J1395" s="672"/>
      <c r="K1395" s="672"/>
      <c r="L1395" s="672"/>
    </row>
    <row r="1396" spans="1:12">
      <c r="A1396" s="672"/>
      <c r="B1396" s="672"/>
      <c r="C1396" s="672"/>
      <c r="D1396" s="672"/>
      <c r="E1396" s="672"/>
      <c r="F1396" s="672"/>
      <c r="G1396" s="672"/>
      <c r="H1396" s="672"/>
      <c r="I1396" s="672"/>
      <c r="J1396" s="672"/>
      <c r="K1396" s="672"/>
      <c r="L1396" s="672"/>
    </row>
    <row r="1397" spans="1:12">
      <c r="A1397" s="672"/>
      <c r="B1397" s="672"/>
      <c r="C1397" s="672"/>
      <c r="D1397" s="672"/>
      <c r="E1397" s="672"/>
      <c r="F1397" s="672"/>
      <c r="G1397" s="672"/>
      <c r="H1397" s="672"/>
      <c r="I1397" s="672"/>
      <c r="J1397" s="672"/>
      <c r="K1397" s="672"/>
      <c r="L1397" s="672"/>
    </row>
    <row r="1398" spans="1:12">
      <c r="A1398" s="672"/>
      <c r="B1398" s="672"/>
      <c r="C1398" s="672"/>
      <c r="D1398" s="672"/>
      <c r="E1398" s="672"/>
      <c r="F1398" s="672"/>
      <c r="G1398" s="672"/>
      <c r="H1398" s="672"/>
      <c r="I1398" s="672"/>
      <c r="J1398" s="672"/>
      <c r="K1398" s="672"/>
      <c r="L1398" s="672"/>
    </row>
    <row r="1399" spans="1:12">
      <c r="A1399" s="672"/>
      <c r="B1399" s="672"/>
      <c r="C1399" s="672"/>
      <c r="D1399" s="672"/>
      <c r="E1399" s="672"/>
      <c r="F1399" s="672"/>
      <c r="G1399" s="672"/>
      <c r="H1399" s="672"/>
      <c r="I1399" s="672"/>
      <c r="J1399" s="672"/>
      <c r="K1399" s="672"/>
      <c r="L1399" s="672"/>
    </row>
    <row r="1400" spans="1:12">
      <c r="A1400" s="672"/>
      <c r="B1400" s="672"/>
      <c r="C1400" s="672"/>
      <c r="D1400" s="672"/>
      <c r="E1400" s="672"/>
      <c r="F1400" s="672"/>
      <c r="G1400" s="672"/>
      <c r="H1400" s="672"/>
      <c r="I1400" s="672"/>
      <c r="J1400" s="672"/>
      <c r="K1400" s="672"/>
      <c r="L1400" s="672"/>
    </row>
    <row r="1401" spans="1:12">
      <c r="A1401" s="672"/>
      <c r="B1401" s="672"/>
      <c r="C1401" s="672"/>
      <c r="D1401" s="672"/>
      <c r="E1401" s="672"/>
      <c r="F1401" s="672"/>
      <c r="G1401" s="672"/>
      <c r="H1401" s="672"/>
      <c r="I1401" s="672"/>
      <c r="J1401" s="672"/>
      <c r="K1401" s="672"/>
      <c r="L1401" s="672"/>
    </row>
    <row r="1402" spans="1:12">
      <c r="A1402" s="672"/>
      <c r="B1402" s="672"/>
      <c r="C1402" s="672"/>
      <c r="D1402" s="672"/>
      <c r="E1402" s="672"/>
      <c r="F1402" s="672"/>
      <c r="G1402" s="672"/>
      <c r="H1402" s="672"/>
      <c r="I1402" s="672"/>
      <c r="J1402" s="672"/>
      <c r="K1402" s="672"/>
      <c r="L1402" s="672"/>
    </row>
    <row r="1403" spans="1:12">
      <c r="A1403" s="672"/>
      <c r="B1403" s="672"/>
      <c r="C1403" s="672"/>
      <c r="D1403" s="672"/>
      <c r="E1403" s="672"/>
      <c r="F1403" s="672"/>
      <c r="G1403" s="672"/>
      <c r="H1403" s="672"/>
      <c r="I1403" s="672"/>
      <c r="J1403" s="672"/>
      <c r="K1403" s="672"/>
      <c r="L1403" s="672"/>
    </row>
    <row r="1404" spans="1:12">
      <c r="A1404" s="672"/>
      <c r="B1404" s="672"/>
      <c r="C1404" s="672"/>
      <c r="D1404" s="672"/>
      <c r="E1404" s="672"/>
      <c r="F1404" s="672"/>
      <c r="G1404" s="672"/>
      <c r="H1404" s="672"/>
      <c r="I1404" s="672"/>
      <c r="J1404" s="672"/>
      <c r="K1404" s="672"/>
      <c r="L1404" s="672"/>
    </row>
    <row r="1405" spans="1:12">
      <c r="A1405" s="672"/>
      <c r="B1405" s="672"/>
      <c r="C1405" s="672"/>
      <c r="D1405" s="672"/>
      <c r="E1405" s="672"/>
      <c r="F1405" s="672"/>
      <c r="G1405" s="672"/>
      <c r="H1405" s="672"/>
      <c r="I1405" s="672"/>
      <c r="J1405" s="672"/>
      <c r="K1405" s="672"/>
      <c r="L1405" s="672"/>
    </row>
    <row r="1406" spans="1:12">
      <c r="A1406" s="672"/>
      <c r="B1406" s="672"/>
      <c r="C1406" s="672"/>
      <c r="D1406" s="672"/>
      <c r="E1406" s="672"/>
      <c r="F1406" s="672"/>
      <c r="G1406" s="672"/>
      <c r="H1406" s="672"/>
      <c r="I1406" s="672"/>
      <c r="J1406" s="672"/>
      <c r="K1406" s="672"/>
      <c r="L1406" s="672"/>
    </row>
    <row r="1407" spans="1:12">
      <c r="A1407" s="672"/>
      <c r="B1407" s="672"/>
      <c r="C1407" s="672"/>
      <c r="D1407" s="672"/>
      <c r="E1407" s="672"/>
      <c r="F1407" s="672"/>
      <c r="G1407" s="672"/>
      <c r="H1407" s="672"/>
      <c r="I1407" s="672"/>
      <c r="J1407" s="672"/>
      <c r="K1407" s="672"/>
      <c r="L1407" s="672"/>
    </row>
    <row r="1408" spans="1:12">
      <c r="A1408" s="672"/>
      <c r="B1408" s="672"/>
      <c r="C1408" s="672"/>
      <c r="D1408" s="672"/>
      <c r="E1408" s="672"/>
      <c r="F1408" s="672"/>
      <c r="G1408" s="672"/>
      <c r="H1408" s="672"/>
      <c r="I1408" s="672"/>
      <c r="J1408" s="672"/>
      <c r="K1408" s="672"/>
      <c r="L1408" s="672"/>
    </row>
    <row r="1409" spans="1:12">
      <c r="A1409" s="672"/>
      <c r="B1409" s="672"/>
      <c r="C1409" s="672"/>
      <c r="D1409" s="672"/>
      <c r="E1409" s="672"/>
      <c r="F1409" s="672"/>
      <c r="G1409" s="672"/>
      <c r="H1409" s="672"/>
      <c r="I1409" s="672"/>
      <c r="J1409" s="672"/>
      <c r="K1409" s="672"/>
      <c r="L1409" s="672"/>
    </row>
    <row r="1410" spans="1:12">
      <c r="A1410" s="672"/>
      <c r="B1410" s="672"/>
      <c r="C1410" s="672"/>
      <c r="D1410" s="672"/>
      <c r="E1410" s="672"/>
      <c r="F1410" s="672"/>
      <c r="G1410" s="672"/>
      <c r="H1410" s="672"/>
      <c r="I1410" s="672"/>
      <c r="J1410" s="672"/>
      <c r="K1410" s="672"/>
      <c r="L1410" s="672"/>
    </row>
    <row r="1411" spans="1:12">
      <c r="A1411" s="672"/>
      <c r="B1411" s="672"/>
      <c r="C1411" s="672"/>
      <c r="D1411" s="672"/>
      <c r="E1411" s="672"/>
      <c r="F1411" s="672"/>
      <c r="G1411" s="672"/>
      <c r="H1411" s="672"/>
      <c r="I1411" s="672"/>
      <c r="J1411" s="672"/>
      <c r="K1411" s="672"/>
      <c r="L1411" s="672"/>
    </row>
    <row r="1412" spans="1:12">
      <c r="A1412" s="672"/>
      <c r="B1412" s="672"/>
      <c r="C1412" s="672"/>
      <c r="D1412" s="672"/>
      <c r="E1412" s="672"/>
      <c r="F1412" s="672"/>
      <c r="G1412" s="672"/>
      <c r="H1412" s="672"/>
      <c r="I1412" s="672"/>
      <c r="J1412" s="672"/>
      <c r="K1412" s="672"/>
      <c r="L1412" s="672"/>
    </row>
    <row r="1413" spans="1:12">
      <c r="A1413" s="672"/>
      <c r="B1413" s="672"/>
      <c r="C1413" s="672"/>
      <c r="D1413" s="672"/>
      <c r="E1413" s="672"/>
      <c r="F1413" s="672"/>
      <c r="G1413" s="672"/>
      <c r="H1413" s="672"/>
      <c r="I1413" s="672"/>
      <c r="J1413" s="672"/>
      <c r="K1413" s="672"/>
      <c r="L1413" s="672"/>
    </row>
    <row r="1414" spans="1:12">
      <c r="A1414" s="672"/>
      <c r="B1414" s="672"/>
      <c r="C1414" s="672"/>
      <c r="D1414" s="672"/>
      <c r="E1414" s="672"/>
      <c r="F1414" s="672"/>
      <c r="G1414" s="672"/>
      <c r="H1414" s="672"/>
      <c r="I1414" s="672"/>
      <c r="J1414" s="672"/>
      <c r="K1414" s="672"/>
      <c r="L1414" s="672"/>
    </row>
    <row r="1415" spans="1:12">
      <c r="A1415" s="672"/>
      <c r="B1415" s="672"/>
      <c r="C1415" s="672"/>
      <c r="D1415" s="672"/>
      <c r="E1415" s="672"/>
      <c r="F1415" s="672"/>
      <c r="G1415" s="672"/>
      <c r="H1415" s="672"/>
      <c r="I1415" s="672"/>
      <c r="J1415" s="672"/>
      <c r="K1415" s="672"/>
      <c r="L1415" s="672"/>
    </row>
    <row r="1416" spans="1:12">
      <c r="A1416" s="672"/>
      <c r="B1416" s="672"/>
      <c r="C1416" s="672"/>
      <c r="D1416" s="672"/>
      <c r="E1416" s="672"/>
      <c r="F1416" s="672"/>
      <c r="G1416" s="672"/>
      <c r="H1416" s="672"/>
      <c r="I1416" s="672"/>
      <c r="J1416" s="672"/>
      <c r="K1416" s="672"/>
      <c r="L1416" s="672"/>
    </row>
    <row r="1417" spans="1:12">
      <c r="A1417" s="672"/>
      <c r="B1417" s="672"/>
      <c r="C1417" s="672"/>
      <c r="D1417" s="672"/>
      <c r="E1417" s="672"/>
      <c r="F1417" s="672"/>
      <c r="G1417" s="672"/>
      <c r="H1417" s="672"/>
      <c r="I1417" s="672"/>
      <c r="J1417" s="672"/>
      <c r="K1417" s="672"/>
      <c r="L1417" s="672"/>
    </row>
    <row r="1418" spans="1:12">
      <c r="A1418" s="672"/>
      <c r="B1418" s="672"/>
      <c r="C1418" s="672"/>
      <c r="D1418" s="672"/>
      <c r="E1418" s="672"/>
      <c r="F1418" s="672"/>
      <c r="G1418" s="672"/>
      <c r="H1418" s="672"/>
      <c r="I1418" s="672"/>
      <c r="J1418" s="672"/>
      <c r="K1418" s="672"/>
      <c r="L1418" s="672"/>
    </row>
    <row r="1419" spans="1:12">
      <c r="A1419" s="672"/>
      <c r="B1419" s="672"/>
      <c r="C1419" s="672"/>
      <c r="D1419" s="672"/>
      <c r="E1419" s="672"/>
      <c r="F1419" s="672"/>
      <c r="G1419" s="672"/>
      <c r="H1419" s="672"/>
      <c r="I1419" s="672"/>
      <c r="J1419" s="672"/>
      <c r="K1419" s="672"/>
      <c r="L1419" s="672"/>
    </row>
    <row r="1420" spans="1:12">
      <c r="A1420" s="672"/>
      <c r="B1420" s="672"/>
      <c r="C1420" s="672"/>
      <c r="D1420" s="672"/>
      <c r="E1420" s="672"/>
      <c r="F1420" s="672"/>
      <c r="G1420" s="672"/>
      <c r="H1420" s="672"/>
      <c r="I1420" s="672"/>
      <c r="J1420" s="672"/>
      <c r="K1420" s="672"/>
      <c r="L1420" s="672"/>
    </row>
    <row r="1421" spans="1:12">
      <c r="A1421" s="672"/>
      <c r="B1421" s="672"/>
      <c r="C1421" s="672"/>
      <c r="D1421" s="672"/>
      <c r="E1421" s="672"/>
      <c r="F1421" s="672"/>
      <c r="G1421" s="672"/>
      <c r="H1421" s="672"/>
      <c r="I1421" s="672"/>
      <c r="J1421" s="672"/>
      <c r="K1421" s="672"/>
      <c r="L1421" s="672"/>
    </row>
    <row r="1422" spans="1:12">
      <c r="A1422" s="672"/>
      <c r="B1422" s="672"/>
      <c r="C1422" s="672"/>
      <c r="D1422" s="672"/>
      <c r="E1422" s="672"/>
      <c r="F1422" s="672"/>
      <c r="G1422" s="672"/>
      <c r="H1422" s="672"/>
      <c r="I1422" s="672"/>
      <c r="J1422" s="672"/>
      <c r="K1422" s="672"/>
      <c r="L1422" s="672"/>
    </row>
    <row r="1423" spans="1:12">
      <c r="A1423" s="672"/>
      <c r="B1423" s="672"/>
      <c r="C1423" s="672"/>
      <c r="D1423" s="672"/>
      <c r="E1423" s="672"/>
      <c r="F1423" s="672"/>
      <c r="G1423" s="672"/>
      <c r="H1423" s="672"/>
      <c r="I1423" s="672"/>
      <c r="J1423" s="672"/>
      <c r="K1423" s="672"/>
      <c r="L1423" s="672"/>
    </row>
    <row r="1424" spans="1:12">
      <c r="A1424" s="672"/>
      <c r="B1424" s="672"/>
      <c r="C1424" s="672"/>
      <c r="D1424" s="672"/>
      <c r="E1424" s="672"/>
      <c r="F1424" s="672"/>
      <c r="G1424" s="672"/>
      <c r="H1424" s="672"/>
      <c r="I1424" s="672"/>
      <c r="J1424" s="672"/>
      <c r="K1424" s="672"/>
      <c r="L1424" s="672"/>
    </row>
    <row r="1425" spans="1:12">
      <c r="A1425" s="672"/>
      <c r="B1425" s="672"/>
      <c r="C1425" s="672"/>
      <c r="D1425" s="672"/>
      <c r="E1425" s="672"/>
      <c r="F1425" s="672"/>
      <c r="G1425" s="672"/>
      <c r="H1425" s="672"/>
      <c r="I1425" s="672"/>
      <c r="J1425" s="672"/>
      <c r="K1425" s="672"/>
      <c r="L1425" s="672"/>
    </row>
    <row r="1426" spans="1:12">
      <c r="A1426" s="672"/>
      <c r="B1426" s="672"/>
      <c r="C1426" s="672"/>
      <c r="D1426" s="672"/>
      <c r="E1426" s="672"/>
      <c r="F1426" s="672"/>
      <c r="G1426" s="672"/>
      <c r="H1426" s="672"/>
      <c r="I1426" s="672"/>
      <c r="J1426" s="672"/>
      <c r="K1426" s="672"/>
      <c r="L1426" s="672"/>
    </row>
    <row r="1427" spans="1:12">
      <c r="A1427" s="672"/>
      <c r="B1427" s="672"/>
      <c r="C1427" s="672"/>
      <c r="D1427" s="672"/>
      <c r="E1427" s="672"/>
      <c r="F1427" s="672"/>
      <c r="G1427" s="672"/>
      <c r="H1427" s="672"/>
      <c r="I1427" s="672"/>
      <c r="J1427" s="672"/>
      <c r="K1427" s="672"/>
      <c r="L1427" s="672"/>
    </row>
    <row r="1428" spans="1:12">
      <c r="A1428" s="672"/>
      <c r="B1428" s="672"/>
      <c r="C1428" s="672"/>
      <c r="D1428" s="672"/>
      <c r="E1428" s="672"/>
      <c r="F1428" s="672"/>
      <c r="G1428" s="672"/>
      <c r="H1428" s="672"/>
      <c r="I1428" s="672"/>
      <c r="J1428" s="672"/>
      <c r="K1428" s="672"/>
      <c r="L1428" s="672"/>
    </row>
    <row r="1429" spans="1:12">
      <c r="A1429" s="672"/>
      <c r="B1429" s="672"/>
      <c r="C1429" s="672"/>
      <c r="D1429" s="672"/>
      <c r="E1429" s="672"/>
      <c r="F1429" s="672"/>
      <c r="G1429" s="672"/>
      <c r="H1429" s="672"/>
      <c r="I1429" s="672"/>
      <c r="J1429" s="672"/>
      <c r="K1429" s="672"/>
      <c r="L1429" s="672"/>
    </row>
    <row r="1430" spans="1:12">
      <c r="A1430" s="672"/>
      <c r="B1430" s="672"/>
      <c r="C1430" s="672"/>
      <c r="D1430" s="672"/>
      <c r="E1430" s="672"/>
      <c r="F1430" s="672"/>
      <c r="G1430" s="672"/>
      <c r="H1430" s="672"/>
      <c r="I1430" s="672"/>
      <c r="J1430" s="672"/>
      <c r="K1430" s="672"/>
      <c r="L1430" s="672"/>
    </row>
    <row r="1431" spans="1:12">
      <c r="A1431" s="672"/>
      <c r="B1431" s="672"/>
      <c r="C1431" s="672"/>
      <c r="D1431" s="672"/>
      <c r="E1431" s="672"/>
      <c r="F1431" s="672"/>
      <c r="G1431" s="672"/>
      <c r="H1431" s="672"/>
      <c r="I1431" s="672"/>
      <c r="J1431" s="672"/>
      <c r="K1431" s="672"/>
      <c r="L1431" s="672"/>
    </row>
    <row r="1432" spans="1:12">
      <c r="A1432" s="672"/>
      <c r="B1432" s="672"/>
      <c r="C1432" s="672"/>
      <c r="D1432" s="672"/>
      <c r="E1432" s="672"/>
      <c r="F1432" s="672"/>
      <c r="G1432" s="672"/>
      <c r="H1432" s="672"/>
      <c r="I1432" s="672"/>
      <c r="J1432" s="672"/>
      <c r="K1432" s="672"/>
      <c r="L1432" s="672"/>
    </row>
    <row r="1433" spans="1:12">
      <c r="A1433" s="672"/>
      <c r="B1433" s="672"/>
      <c r="C1433" s="672"/>
      <c r="D1433" s="672"/>
      <c r="E1433" s="672"/>
      <c r="F1433" s="672"/>
      <c r="G1433" s="672"/>
      <c r="H1433" s="672"/>
      <c r="I1433" s="672"/>
      <c r="J1433" s="672"/>
      <c r="K1433" s="672"/>
      <c r="L1433" s="672"/>
    </row>
    <row r="1434" spans="1:12">
      <c r="A1434" s="672"/>
      <c r="B1434" s="672"/>
      <c r="C1434" s="672"/>
      <c r="D1434" s="672"/>
      <c r="E1434" s="672"/>
      <c r="F1434" s="672"/>
      <c r="G1434" s="672"/>
      <c r="H1434" s="672"/>
      <c r="I1434" s="672"/>
      <c r="J1434" s="672"/>
      <c r="K1434" s="672"/>
      <c r="L1434" s="672"/>
    </row>
    <row r="1435" spans="1:12">
      <c r="A1435" s="672"/>
      <c r="B1435" s="672"/>
      <c r="C1435" s="672"/>
      <c r="D1435" s="672"/>
      <c r="E1435" s="672"/>
      <c r="F1435" s="672"/>
      <c r="G1435" s="672"/>
      <c r="H1435" s="672"/>
      <c r="I1435" s="672"/>
      <c r="J1435" s="672"/>
      <c r="K1435" s="672"/>
      <c r="L1435" s="672"/>
    </row>
    <row r="1436" spans="1:12">
      <c r="A1436" s="672"/>
      <c r="B1436" s="672"/>
      <c r="C1436" s="672"/>
      <c r="D1436" s="672"/>
      <c r="E1436" s="672"/>
      <c r="F1436" s="672"/>
      <c r="G1436" s="672"/>
      <c r="H1436" s="672"/>
      <c r="I1436" s="672"/>
      <c r="J1436" s="672"/>
      <c r="K1436" s="672"/>
      <c r="L1436" s="672"/>
    </row>
    <row r="1437" spans="1:12">
      <c r="A1437" s="672"/>
      <c r="B1437" s="672"/>
      <c r="C1437" s="672"/>
      <c r="D1437" s="672"/>
      <c r="E1437" s="672"/>
      <c r="F1437" s="672"/>
      <c r="G1437" s="672"/>
      <c r="H1437" s="672"/>
      <c r="I1437" s="672"/>
      <c r="J1437" s="672"/>
      <c r="K1437" s="672"/>
      <c r="L1437" s="672"/>
    </row>
    <row r="1438" spans="1:12">
      <c r="A1438" s="672"/>
      <c r="B1438" s="672"/>
      <c r="C1438" s="672"/>
      <c r="D1438" s="672"/>
      <c r="E1438" s="672"/>
      <c r="F1438" s="672"/>
      <c r="G1438" s="672"/>
      <c r="H1438" s="672"/>
      <c r="I1438" s="672"/>
      <c r="J1438" s="672"/>
      <c r="K1438" s="672"/>
      <c r="L1438" s="672"/>
    </row>
    <row r="1439" spans="1:12">
      <c r="A1439" s="672"/>
      <c r="B1439" s="672"/>
      <c r="C1439" s="672"/>
      <c r="D1439" s="672"/>
      <c r="E1439" s="672"/>
      <c r="F1439" s="672"/>
      <c r="G1439" s="672"/>
      <c r="H1439" s="672"/>
      <c r="I1439" s="672"/>
      <c r="J1439" s="672"/>
      <c r="K1439" s="672"/>
      <c r="L1439" s="672"/>
    </row>
    <row r="1440" spans="1:12">
      <c r="A1440" s="672"/>
      <c r="B1440" s="672"/>
      <c r="C1440" s="672"/>
      <c r="D1440" s="672"/>
      <c r="E1440" s="672"/>
      <c r="F1440" s="672"/>
      <c r="G1440" s="672"/>
      <c r="H1440" s="672"/>
      <c r="I1440" s="672"/>
      <c r="J1440" s="672"/>
      <c r="K1440" s="672"/>
      <c r="L1440" s="672"/>
    </row>
    <row r="1441" spans="1:12">
      <c r="A1441" s="672"/>
      <c r="B1441" s="672"/>
      <c r="C1441" s="672"/>
      <c r="D1441" s="672"/>
      <c r="E1441" s="672"/>
      <c r="F1441" s="672"/>
      <c r="G1441" s="672"/>
      <c r="H1441" s="672"/>
      <c r="I1441" s="672"/>
      <c r="J1441" s="672"/>
      <c r="K1441" s="672"/>
      <c r="L1441" s="672"/>
    </row>
    <row r="1442" spans="1:12">
      <c r="A1442" s="672"/>
      <c r="B1442" s="672"/>
      <c r="C1442" s="672"/>
      <c r="D1442" s="672"/>
      <c r="E1442" s="672"/>
      <c r="F1442" s="672"/>
      <c r="G1442" s="672"/>
      <c r="H1442" s="672"/>
      <c r="I1442" s="672"/>
      <c r="J1442" s="672"/>
      <c r="K1442" s="672"/>
      <c r="L1442" s="672"/>
    </row>
    <row r="1443" spans="1:12">
      <c r="A1443" s="672"/>
      <c r="B1443" s="672"/>
      <c r="C1443" s="672"/>
      <c r="D1443" s="672"/>
      <c r="E1443" s="672"/>
      <c r="F1443" s="672"/>
      <c r="G1443" s="672"/>
      <c r="H1443" s="672"/>
      <c r="I1443" s="672"/>
      <c r="J1443" s="672"/>
      <c r="K1443" s="672"/>
      <c r="L1443" s="672"/>
    </row>
    <row r="1444" spans="1:12">
      <c r="A1444" s="672"/>
      <c r="B1444" s="672"/>
      <c r="C1444" s="672"/>
      <c r="D1444" s="672"/>
      <c r="E1444" s="672"/>
      <c r="F1444" s="672"/>
      <c r="G1444" s="672"/>
      <c r="H1444" s="672"/>
      <c r="I1444" s="672"/>
      <c r="J1444" s="672"/>
      <c r="K1444" s="672"/>
      <c r="L1444" s="672"/>
    </row>
    <row r="1445" spans="1:12">
      <c r="A1445" s="672"/>
      <c r="B1445" s="672"/>
      <c r="C1445" s="672"/>
      <c r="D1445" s="672"/>
      <c r="E1445" s="672"/>
      <c r="F1445" s="672"/>
      <c r="G1445" s="672"/>
      <c r="H1445" s="672"/>
      <c r="I1445" s="672"/>
      <c r="J1445" s="672"/>
      <c r="K1445" s="672"/>
      <c r="L1445" s="672"/>
    </row>
    <row r="1446" spans="1:12">
      <c r="A1446" s="672"/>
      <c r="B1446" s="672"/>
      <c r="C1446" s="672"/>
      <c r="D1446" s="672"/>
      <c r="E1446" s="672"/>
      <c r="F1446" s="672"/>
      <c r="G1446" s="672"/>
      <c r="H1446" s="672"/>
      <c r="I1446" s="672"/>
      <c r="J1446" s="672"/>
      <c r="K1446" s="672"/>
      <c r="L1446" s="672"/>
    </row>
    <row r="1447" spans="1:12">
      <c r="A1447" s="672"/>
      <c r="B1447" s="672"/>
      <c r="C1447" s="672"/>
      <c r="D1447" s="672"/>
      <c r="E1447" s="672"/>
      <c r="F1447" s="672"/>
      <c r="G1447" s="672"/>
      <c r="H1447" s="672"/>
      <c r="I1447" s="672"/>
      <c r="J1447" s="672"/>
      <c r="K1447" s="672"/>
      <c r="L1447" s="672"/>
    </row>
    <row r="1448" spans="1:12">
      <c r="A1448" s="672"/>
      <c r="B1448" s="672"/>
      <c r="C1448" s="672"/>
      <c r="D1448" s="672"/>
      <c r="E1448" s="672"/>
      <c r="F1448" s="672"/>
      <c r="G1448" s="672"/>
      <c r="H1448" s="672"/>
      <c r="I1448" s="672"/>
      <c r="J1448" s="672"/>
      <c r="K1448" s="672"/>
      <c r="L1448" s="672"/>
    </row>
    <row r="1449" spans="1:12">
      <c r="A1449" s="672"/>
      <c r="B1449" s="672"/>
      <c r="C1449" s="672"/>
      <c r="D1449" s="672"/>
      <c r="E1449" s="672"/>
      <c r="F1449" s="672"/>
      <c r="G1449" s="672"/>
      <c r="H1449" s="672"/>
      <c r="I1449" s="672"/>
      <c r="J1449" s="672"/>
      <c r="K1449" s="672"/>
      <c r="L1449" s="672"/>
    </row>
    <row r="1450" spans="1:12">
      <c r="A1450" s="672"/>
      <c r="B1450" s="672"/>
      <c r="C1450" s="672"/>
      <c r="D1450" s="672"/>
      <c r="E1450" s="672"/>
      <c r="F1450" s="672"/>
      <c r="G1450" s="672"/>
      <c r="H1450" s="672"/>
      <c r="I1450" s="672"/>
      <c r="J1450" s="672"/>
      <c r="K1450" s="672"/>
      <c r="L1450" s="672"/>
    </row>
    <row r="1451" spans="1:12">
      <c r="A1451" s="672"/>
      <c r="B1451" s="672"/>
      <c r="C1451" s="672"/>
      <c r="D1451" s="672"/>
      <c r="E1451" s="672"/>
      <c r="F1451" s="672"/>
      <c r="G1451" s="672"/>
      <c r="H1451" s="672"/>
      <c r="I1451" s="672"/>
      <c r="J1451" s="672"/>
      <c r="K1451" s="672"/>
      <c r="L1451" s="672"/>
    </row>
    <row r="1452" spans="1:12">
      <c r="A1452" s="672"/>
      <c r="B1452" s="672"/>
      <c r="C1452" s="672"/>
      <c r="D1452" s="672"/>
      <c r="E1452" s="672"/>
      <c r="F1452" s="672"/>
      <c r="G1452" s="672"/>
      <c r="H1452" s="672"/>
      <c r="I1452" s="672"/>
      <c r="J1452" s="672"/>
      <c r="K1452" s="672"/>
      <c r="L1452" s="672"/>
    </row>
    <row r="1453" spans="1:12">
      <c r="A1453" s="672"/>
      <c r="B1453" s="672"/>
      <c r="C1453" s="672"/>
      <c r="D1453" s="672"/>
      <c r="E1453" s="672"/>
      <c r="F1453" s="672"/>
      <c r="G1453" s="672"/>
      <c r="H1453" s="672"/>
      <c r="I1453" s="672"/>
      <c r="J1453" s="672"/>
      <c r="K1453" s="672"/>
      <c r="L1453" s="672"/>
    </row>
    <row r="1454" spans="1:12">
      <c r="A1454" s="672"/>
      <c r="B1454" s="672"/>
      <c r="C1454" s="672"/>
      <c r="D1454" s="672"/>
      <c r="E1454" s="672"/>
      <c r="F1454" s="672"/>
      <c r="G1454" s="672"/>
      <c r="H1454" s="672"/>
      <c r="I1454" s="672"/>
      <c r="J1454" s="672"/>
      <c r="K1454" s="672"/>
      <c r="L1454" s="672"/>
    </row>
    <row r="1455" spans="1:12">
      <c r="A1455" s="672"/>
      <c r="B1455" s="672"/>
      <c r="C1455" s="672"/>
      <c r="D1455" s="672"/>
      <c r="E1455" s="672"/>
      <c r="F1455" s="672"/>
      <c r="G1455" s="672"/>
      <c r="H1455" s="672"/>
      <c r="I1455" s="672"/>
      <c r="J1455" s="672"/>
      <c r="K1455" s="672"/>
      <c r="L1455" s="672"/>
    </row>
    <row r="1456" spans="1:12">
      <c r="A1456" s="672"/>
      <c r="B1456" s="672"/>
      <c r="C1456" s="672"/>
      <c r="D1456" s="672"/>
      <c r="E1456" s="672"/>
      <c r="F1456" s="672"/>
      <c r="G1456" s="672"/>
      <c r="H1456" s="672"/>
      <c r="I1456" s="672"/>
      <c r="J1456" s="672"/>
      <c r="K1456" s="672"/>
      <c r="L1456" s="672"/>
    </row>
    <row r="1457" spans="1:12">
      <c r="A1457" s="672"/>
      <c r="B1457" s="672"/>
      <c r="C1457" s="672"/>
      <c r="D1457" s="672"/>
      <c r="E1457" s="672"/>
      <c r="F1457" s="672"/>
      <c r="G1457" s="672"/>
      <c r="H1457" s="672"/>
      <c r="I1457" s="672"/>
      <c r="J1457" s="672"/>
      <c r="K1457" s="672"/>
      <c r="L1457" s="672"/>
    </row>
    <row r="1458" spans="1:12">
      <c r="A1458" s="672"/>
      <c r="B1458" s="672"/>
      <c r="C1458" s="672"/>
      <c r="D1458" s="672"/>
      <c r="E1458" s="672"/>
      <c r="F1458" s="672"/>
      <c r="G1458" s="672"/>
      <c r="H1458" s="672"/>
      <c r="I1458" s="672"/>
      <c r="J1458" s="672"/>
      <c r="K1458" s="672"/>
      <c r="L1458" s="672"/>
    </row>
    <row r="1459" spans="1:12">
      <c r="A1459" s="672"/>
      <c r="B1459" s="672"/>
      <c r="C1459" s="672"/>
      <c r="D1459" s="672"/>
      <c r="E1459" s="672"/>
      <c r="F1459" s="672"/>
      <c r="G1459" s="672"/>
      <c r="H1459" s="672"/>
      <c r="I1459" s="672"/>
      <c r="J1459" s="672"/>
      <c r="K1459" s="672"/>
      <c r="L1459" s="672"/>
    </row>
    <row r="1460" spans="1:12">
      <c r="A1460" s="672"/>
      <c r="B1460" s="672"/>
      <c r="C1460" s="672"/>
      <c r="D1460" s="672"/>
      <c r="E1460" s="672"/>
      <c r="F1460" s="672"/>
      <c r="G1460" s="672"/>
      <c r="H1460" s="672"/>
      <c r="I1460" s="672"/>
      <c r="J1460" s="672"/>
      <c r="K1460" s="672"/>
      <c r="L1460" s="672"/>
    </row>
    <row r="1461" spans="1:12">
      <c r="A1461" s="672"/>
      <c r="B1461" s="672"/>
      <c r="C1461" s="672"/>
      <c r="D1461" s="672"/>
      <c r="E1461" s="672"/>
      <c r="F1461" s="672"/>
      <c r="G1461" s="672"/>
      <c r="H1461" s="672"/>
      <c r="I1461" s="672"/>
      <c r="J1461" s="672"/>
      <c r="K1461" s="672"/>
      <c r="L1461" s="672"/>
    </row>
    <row r="1462" spans="1:12">
      <c r="A1462" s="672"/>
      <c r="B1462" s="672"/>
      <c r="C1462" s="672"/>
      <c r="D1462" s="672"/>
      <c r="E1462" s="672"/>
      <c r="F1462" s="672"/>
      <c r="G1462" s="672"/>
      <c r="H1462" s="672"/>
      <c r="I1462" s="672"/>
      <c r="J1462" s="672"/>
      <c r="K1462" s="672"/>
      <c r="L1462" s="672"/>
    </row>
    <row r="1463" spans="1:12">
      <c r="A1463" s="672"/>
      <c r="B1463" s="672"/>
      <c r="C1463" s="672"/>
      <c r="D1463" s="672"/>
      <c r="E1463" s="672"/>
      <c r="F1463" s="672"/>
      <c r="G1463" s="672"/>
      <c r="H1463" s="672"/>
      <c r="I1463" s="672"/>
      <c r="J1463" s="672"/>
      <c r="K1463" s="672"/>
      <c r="L1463" s="672"/>
    </row>
    <row r="1464" spans="1:12">
      <c r="A1464" s="672"/>
      <c r="B1464" s="672"/>
      <c r="C1464" s="672"/>
      <c r="D1464" s="672"/>
      <c r="E1464" s="672"/>
      <c r="F1464" s="672"/>
      <c r="G1464" s="672"/>
      <c r="H1464" s="672"/>
      <c r="I1464" s="672"/>
      <c r="J1464" s="672"/>
      <c r="K1464" s="672"/>
      <c r="L1464" s="672"/>
    </row>
    <row r="1465" spans="1:12">
      <c r="A1465" s="672"/>
      <c r="B1465" s="672"/>
      <c r="C1465" s="672"/>
      <c r="D1465" s="672"/>
      <c r="E1465" s="672"/>
      <c r="F1465" s="672"/>
      <c r="G1465" s="672"/>
      <c r="H1465" s="672"/>
      <c r="I1465" s="672"/>
      <c r="J1465" s="672"/>
      <c r="K1465" s="672"/>
      <c r="L1465" s="672"/>
    </row>
    <row r="1466" spans="1:12">
      <c r="A1466" s="672"/>
      <c r="B1466" s="672"/>
      <c r="C1466" s="672"/>
      <c r="D1466" s="672"/>
      <c r="E1466" s="672"/>
      <c r="F1466" s="672"/>
      <c r="G1466" s="672"/>
      <c r="H1466" s="672"/>
      <c r="I1466" s="672"/>
      <c r="J1466" s="672"/>
      <c r="K1466" s="672"/>
      <c r="L1466" s="672"/>
    </row>
    <row r="1467" spans="1:12">
      <c r="A1467" s="672"/>
      <c r="B1467" s="672"/>
      <c r="C1467" s="672"/>
      <c r="D1467" s="672"/>
      <c r="E1467" s="672"/>
      <c r="F1467" s="672"/>
      <c r="G1467" s="672"/>
      <c r="H1467" s="672"/>
      <c r="I1467" s="672"/>
      <c r="J1467" s="672"/>
      <c r="K1467" s="672"/>
      <c r="L1467" s="672"/>
    </row>
    <row r="1468" spans="1:12">
      <c r="A1468" s="672"/>
      <c r="B1468" s="672"/>
      <c r="C1468" s="672"/>
      <c r="D1468" s="672"/>
      <c r="E1468" s="672"/>
      <c r="F1468" s="672"/>
      <c r="G1468" s="672"/>
      <c r="H1468" s="672"/>
      <c r="I1468" s="672"/>
      <c r="J1468" s="672"/>
      <c r="K1468" s="672"/>
      <c r="L1468" s="672"/>
    </row>
    <row r="1469" spans="1:12">
      <c r="A1469" s="672"/>
      <c r="B1469" s="672"/>
      <c r="C1469" s="672"/>
      <c r="D1469" s="672"/>
      <c r="E1469" s="672"/>
      <c r="F1469" s="672"/>
      <c r="G1469" s="672"/>
      <c r="H1469" s="672"/>
      <c r="I1469" s="672"/>
      <c r="J1469" s="672"/>
      <c r="K1469" s="672"/>
      <c r="L1469" s="672"/>
    </row>
    <row r="1470" spans="1:12">
      <c r="A1470" s="672"/>
      <c r="B1470" s="672"/>
      <c r="C1470" s="672"/>
      <c r="D1470" s="672"/>
      <c r="E1470" s="672"/>
      <c r="F1470" s="672"/>
      <c r="G1470" s="672"/>
      <c r="H1470" s="672"/>
      <c r="I1470" s="672"/>
      <c r="J1470" s="672"/>
      <c r="K1470" s="672"/>
      <c r="L1470" s="672"/>
    </row>
    <row r="1471" spans="1:12">
      <c r="A1471" s="672"/>
      <c r="B1471" s="672"/>
      <c r="C1471" s="672"/>
      <c r="D1471" s="672"/>
      <c r="E1471" s="672"/>
      <c r="F1471" s="672"/>
      <c r="G1471" s="672"/>
      <c r="H1471" s="672"/>
      <c r="I1471" s="672"/>
      <c r="J1471" s="672"/>
      <c r="K1471" s="672"/>
      <c r="L1471" s="672"/>
    </row>
    <row r="1472" spans="1:12">
      <c r="A1472" s="672"/>
      <c r="B1472" s="672"/>
      <c r="C1472" s="672"/>
      <c r="D1472" s="672"/>
      <c r="E1472" s="672"/>
      <c r="F1472" s="672"/>
      <c r="G1472" s="672"/>
      <c r="H1472" s="672"/>
      <c r="I1472" s="672"/>
      <c r="J1472" s="672"/>
      <c r="K1472" s="672"/>
      <c r="L1472" s="672"/>
    </row>
    <row r="1473" spans="1:12">
      <c r="A1473" s="672"/>
      <c r="B1473" s="672"/>
      <c r="C1473" s="672"/>
      <c r="D1473" s="672"/>
      <c r="E1473" s="672"/>
      <c r="F1473" s="672"/>
      <c r="G1473" s="672"/>
      <c r="H1473" s="672"/>
      <c r="I1473" s="672"/>
      <c r="J1473" s="672"/>
      <c r="K1473" s="672"/>
      <c r="L1473" s="672"/>
    </row>
    <row r="1474" spans="1:12">
      <c r="A1474" s="672"/>
      <c r="B1474" s="672"/>
      <c r="C1474" s="672"/>
      <c r="D1474" s="672"/>
      <c r="E1474" s="672"/>
      <c r="F1474" s="672"/>
      <c r="G1474" s="672"/>
      <c r="H1474" s="672"/>
      <c r="I1474" s="672"/>
      <c r="J1474" s="672"/>
      <c r="K1474" s="672"/>
      <c r="L1474" s="672"/>
    </row>
    <row r="1475" spans="1:12">
      <c r="A1475" s="672"/>
      <c r="B1475" s="672"/>
      <c r="C1475" s="672"/>
      <c r="D1475" s="672"/>
      <c r="E1475" s="672"/>
      <c r="F1475" s="672"/>
      <c r="G1475" s="672"/>
      <c r="H1475" s="672"/>
      <c r="I1475" s="672"/>
      <c r="J1475" s="672"/>
      <c r="K1475" s="672"/>
      <c r="L1475" s="672"/>
    </row>
    <row r="1476" spans="1:12">
      <c r="A1476" s="672"/>
      <c r="B1476" s="672"/>
      <c r="C1476" s="672"/>
      <c r="D1476" s="672"/>
      <c r="E1476" s="672"/>
      <c r="F1476" s="672"/>
      <c r="G1476" s="672"/>
      <c r="H1476" s="672"/>
      <c r="I1476" s="672"/>
      <c r="J1476" s="672"/>
      <c r="K1476" s="672"/>
      <c r="L1476" s="672"/>
    </row>
    <row r="1477" spans="1:12">
      <c r="A1477" s="672"/>
      <c r="B1477" s="672"/>
      <c r="C1477" s="672"/>
      <c r="D1477" s="672"/>
      <c r="E1477" s="672"/>
      <c r="F1477" s="672"/>
      <c r="G1477" s="672"/>
      <c r="H1477" s="672"/>
      <c r="I1477" s="672"/>
      <c r="J1477" s="672"/>
      <c r="K1477" s="672"/>
      <c r="L1477" s="672"/>
    </row>
    <row r="1478" spans="1:12">
      <c r="A1478" s="672"/>
      <c r="B1478" s="672"/>
      <c r="C1478" s="672"/>
      <c r="D1478" s="672"/>
      <c r="E1478" s="672"/>
      <c r="F1478" s="672"/>
      <c r="G1478" s="672"/>
      <c r="H1478" s="672"/>
      <c r="I1478" s="672"/>
      <c r="J1478" s="672"/>
      <c r="K1478" s="672"/>
      <c r="L1478" s="672"/>
    </row>
    <row r="1479" spans="1:12">
      <c r="A1479" s="672"/>
      <c r="B1479" s="672"/>
      <c r="C1479" s="672"/>
      <c r="D1479" s="672"/>
      <c r="E1479" s="672"/>
      <c r="F1479" s="672"/>
      <c r="G1479" s="672"/>
      <c r="H1479" s="672"/>
      <c r="I1479" s="672"/>
      <c r="J1479" s="672"/>
      <c r="K1479" s="672"/>
      <c r="L1479" s="672"/>
    </row>
    <row r="1480" spans="1:12">
      <c r="A1480" s="672"/>
      <c r="B1480" s="672"/>
      <c r="C1480" s="672"/>
      <c r="D1480" s="672"/>
      <c r="E1480" s="672"/>
      <c r="F1480" s="672"/>
      <c r="G1480" s="672"/>
      <c r="H1480" s="672"/>
      <c r="I1480" s="672"/>
      <c r="J1480" s="672"/>
      <c r="K1480" s="672"/>
      <c r="L1480" s="672"/>
    </row>
    <row r="1481" spans="1:12">
      <c r="A1481" s="672"/>
      <c r="B1481" s="672"/>
      <c r="C1481" s="672"/>
      <c r="D1481" s="672"/>
      <c r="E1481" s="672"/>
      <c r="F1481" s="672"/>
      <c r="G1481" s="672"/>
      <c r="H1481" s="672"/>
      <c r="I1481" s="672"/>
      <c r="J1481" s="672"/>
      <c r="K1481" s="672"/>
      <c r="L1481" s="672"/>
    </row>
    <row r="1482" spans="1:12">
      <c r="A1482" s="672"/>
      <c r="B1482" s="672"/>
      <c r="C1482" s="672"/>
      <c r="D1482" s="672"/>
      <c r="E1482" s="672"/>
      <c r="F1482" s="672"/>
      <c r="G1482" s="672"/>
      <c r="H1482" s="672"/>
      <c r="I1482" s="672"/>
      <c r="J1482" s="672"/>
      <c r="K1482" s="672"/>
      <c r="L1482" s="672"/>
    </row>
    <row r="1483" spans="1:12">
      <c r="A1483" s="672"/>
      <c r="B1483" s="672"/>
      <c r="C1483" s="672"/>
      <c r="D1483" s="672"/>
      <c r="E1483" s="672"/>
      <c r="F1483" s="672"/>
      <c r="G1483" s="672"/>
      <c r="H1483" s="672"/>
      <c r="I1483" s="672"/>
      <c r="J1483" s="672"/>
      <c r="K1483" s="672"/>
      <c r="L1483" s="672"/>
    </row>
    <row r="1484" spans="1:12">
      <c r="A1484" s="672"/>
      <c r="B1484" s="672"/>
      <c r="C1484" s="672"/>
      <c r="D1484" s="672"/>
      <c r="E1484" s="672"/>
      <c r="F1484" s="672"/>
      <c r="G1484" s="672"/>
      <c r="H1484" s="672"/>
      <c r="I1484" s="672"/>
      <c r="J1484" s="672"/>
      <c r="K1484" s="672"/>
      <c r="L1484" s="672"/>
    </row>
    <row r="1485" spans="1:12">
      <c r="A1485" s="672"/>
      <c r="B1485" s="672"/>
      <c r="C1485" s="672"/>
      <c r="D1485" s="672"/>
      <c r="E1485" s="672"/>
      <c r="F1485" s="672"/>
      <c r="G1485" s="672"/>
      <c r="H1485" s="672"/>
      <c r="I1485" s="672"/>
      <c r="J1485" s="672"/>
      <c r="K1485" s="672"/>
      <c r="L1485" s="672"/>
    </row>
    <row r="1486" spans="1:12">
      <c r="A1486" s="672"/>
      <c r="B1486" s="672"/>
      <c r="C1486" s="672"/>
      <c r="D1486" s="672"/>
      <c r="E1486" s="672"/>
      <c r="F1486" s="672"/>
      <c r="G1486" s="672"/>
      <c r="H1486" s="672"/>
      <c r="I1486" s="672"/>
      <c r="J1486" s="672"/>
      <c r="K1486" s="672"/>
      <c r="L1486" s="672"/>
    </row>
    <row r="1487" spans="1:12">
      <c r="A1487" s="672"/>
      <c r="B1487" s="672"/>
      <c r="C1487" s="672"/>
      <c r="D1487" s="672"/>
      <c r="E1487" s="672"/>
      <c r="F1487" s="672"/>
      <c r="G1487" s="672"/>
      <c r="H1487" s="672"/>
      <c r="I1487" s="672"/>
      <c r="J1487" s="672"/>
      <c r="K1487" s="672"/>
      <c r="L1487" s="672"/>
    </row>
    <row r="1488" spans="1:12">
      <c r="A1488" s="672"/>
      <c r="B1488" s="672"/>
      <c r="C1488" s="672"/>
      <c r="D1488" s="672"/>
      <c r="E1488" s="672"/>
      <c r="F1488" s="672"/>
      <c r="G1488" s="672"/>
      <c r="H1488" s="672"/>
      <c r="I1488" s="672"/>
      <c r="J1488" s="672"/>
      <c r="K1488" s="672"/>
      <c r="L1488" s="672"/>
    </row>
    <row r="1489" spans="1:12">
      <c r="A1489" s="672"/>
      <c r="B1489" s="672"/>
      <c r="C1489" s="672"/>
      <c r="D1489" s="672"/>
      <c r="E1489" s="672"/>
      <c r="F1489" s="672"/>
      <c r="G1489" s="672"/>
      <c r="H1489" s="672"/>
      <c r="I1489" s="672"/>
      <c r="J1489" s="672"/>
      <c r="K1489" s="672"/>
      <c r="L1489" s="672"/>
    </row>
    <row r="1490" spans="1:12">
      <c r="A1490" s="672"/>
      <c r="B1490" s="672"/>
      <c r="C1490" s="672"/>
      <c r="D1490" s="672"/>
      <c r="E1490" s="672"/>
      <c r="F1490" s="672"/>
      <c r="G1490" s="672"/>
      <c r="H1490" s="672"/>
      <c r="I1490" s="672"/>
      <c r="J1490" s="672"/>
      <c r="K1490" s="672"/>
      <c r="L1490" s="672"/>
    </row>
    <row r="1491" spans="1:12">
      <c r="A1491" s="672"/>
      <c r="B1491" s="672"/>
      <c r="C1491" s="672"/>
      <c r="D1491" s="672"/>
      <c r="E1491" s="672"/>
      <c r="F1491" s="672"/>
      <c r="G1491" s="672"/>
      <c r="H1491" s="672"/>
      <c r="I1491" s="672"/>
      <c r="J1491" s="672"/>
      <c r="K1491" s="672"/>
      <c r="L1491" s="672"/>
    </row>
    <row r="1492" spans="1:12">
      <c r="A1492" s="672"/>
      <c r="B1492" s="672"/>
      <c r="C1492" s="672"/>
      <c r="D1492" s="672"/>
      <c r="E1492" s="672"/>
      <c r="F1492" s="672"/>
      <c r="G1492" s="672"/>
      <c r="H1492" s="672"/>
      <c r="I1492" s="672"/>
      <c r="J1492" s="672"/>
      <c r="K1492" s="672"/>
      <c r="L1492" s="672"/>
    </row>
    <row r="1493" spans="1:12">
      <c r="A1493" s="672"/>
      <c r="B1493" s="672"/>
      <c r="C1493" s="672"/>
      <c r="D1493" s="672"/>
      <c r="E1493" s="672"/>
      <c r="F1493" s="672"/>
      <c r="G1493" s="672"/>
      <c r="H1493" s="672"/>
      <c r="I1493" s="672"/>
      <c r="J1493" s="672"/>
      <c r="K1493" s="672"/>
      <c r="L1493" s="672"/>
    </row>
    <row r="1494" spans="1:12">
      <c r="A1494" s="672"/>
      <c r="B1494" s="672"/>
      <c r="C1494" s="672"/>
      <c r="D1494" s="672"/>
      <c r="E1494" s="672"/>
      <c r="F1494" s="672"/>
      <c r="G1494" s="672"/>
      <c r="H1494" s="672"/>
      <c r="I1494" s="672"/>
      <c r="J1494" s="672"/>
      <c r="K1494" s="672"/>
      <c r="L1494" s="672"/>
    </row>
    <row r="1495" spans="1:12">
      <c r="A1495" s="672"/>
      <c r="B1495" s="672"/>
      <c r="C1495" s="672"/>
      <c r="D1495" s="672"/>
      <c r="E1495" s="672"/>
      <c r="F1495" s="672"/>
      <c r="G1495" s="672"/>
      <c r="H1495" s="672"/>
      <c r="I1495" s="672"/>
      <c r="J1495" s="672"/>
      <c r="K1495" s="672"/>
      <c r="L1495" s="672"/>
    </row>
    <row r="1496" spans="1:12">
      <c r="A1496" s="672"/>
      <c r="B1496" s="672"/>
      <c r="C1496" s="672"/>
      <c r="D1496" s="672"/>
      <c r="E1496" s="672"/>
      <c r="F1496" s="672"/>
      <c r="G1496" s="672"/>
      <c r="H1496" s="672"/>
      <c r="I1496" s="672"/>
      <c r="J1496" s="672"/>
      <c r="K1496" s="672"/>
      <c r="L1496" s="672"/>
    </row>
    <row r="1497" spans="1:12">
      <c r="A1497" s="672"/>
      <c r="B1497" s="672"/>
      <c r="C1497" s="672"/>
      <c r="D1497" s="672"/>
      <c r="E1497" s="672"/>
      <c r="F1497" s="672"/>
      <c r="G1497" s="672"/>
      <c r="H1497" s="672"/>
      <c r="I1497" s="672"/>
      <c r="J1497" s="672"/>
      <c r="K1497" s="672"/>
      <c r="L1497" s="672"/>
    </row>
    <row r="1498" spans="1:12">
      <c r="A1498" s="672"/>
      <c r="B1498" s="672"/>
      <c r="C1498" s="672"/>
      <c r="D1498" s="672"/>
      <c r="E1498" s="672"/>
      <c r="F1498" s="672"/>
      <c r="G1498" s="672"/>
      <c r="H1498" s="672"/>
      <c r="I1498" s="672"/>
      <c r="J1498" s="672"/>
      <c r="K1498" s="672"/>
      <c r="L1498" s="672"/>
    </row>
    <row r="1499" spans="1:12">
      <c r="A1499" s="672"/>
      <c r="B1499" s="672"/>
      <c r="C1499" s="672"/>
      <c r="D1499" s="672"/>
      <c r="E1499" s="672"/>
      <c r="F1499" s="672"/>
      <c r="G1499" s="672"/>
      <c r="H1499" s="672"/>
      <c r="I1499" s="672"/>
      <c r="J1499" s="672"/>
      <c r="K1499" s="672"/>
      <c r="L1499" s="672"/>
    </row>
    <row r="1500" spans="1:12">
      <c r="A1500" s="672"/>
      <c r="B1500" s="672"/>
      <c r="C1500" s="672"/>
      <c r="D1500" s="672"/>
      <c r="E1500" s="672"/>
      <c r="F1500" s="672"/>
      <c r="G1500" s="672"/>
      <c r="H1500" s="672"/>
      <c r="I1500" s="672"/>
      <c r="J1500" s="672"/>
      <c r="K1500" s="672"/>
      <c r="L1500" s="672"/>
    </row>
    <row r="1501" spans="1:12">
      <c r="A1501" s="672"/>
      <c r="B1501" s="672"/>
      <c r="C1501" s="672"/>
      <c r="D1501" s="672"/>
      <c r="E1501" s="672"/>
      <c r="F1501" s="672"/>
      <c r="G1501" s="672"/>
      <c r="H1501" s="672"/>
      <c r="I1501" s="672"/>
      <c r="J1501" s="672"/>
      <c r="K1501" s="672"/>
      <c r="L1501" s="672"/>
    </row>
    <row r="1502" spans="1:12">
      <c r="A1502" s="672"/>
      <c r="B1502" s="672"/>
      <c r="C1502" s="672"/>
      <c r="D1502" s="672"/>
      <c r="E1502" s="672"/>
      <c r="F1502" s="672"/>
      <c r="G1502" s="672"/>
      <c r="H1502" s="672"/>
      <c r="I1502" s="672"/>
      <c r="J1502" s="672"/>
      <c r="K1502" s="672"/>
      <c r="L1502" s="672"/>
    </row>
    <row r="1503" spans="1:12">
      <c r="A1503" s="672"/>
      <c r="B1503" s="672"/>
      <c r="C1503" s="672"/>
      <c r="D1503" s="672"/>
      <c r="E1503" s="672"/>
      <c r="F1503" s="672"/>
      <c r="G1503" s="672"/>
      <c r="H1503" s="672"/>
      <c r="I1503" s="672"/>
      <c r="J1503" s="672"/>
      <c r="K1503" s="672"/>
      <c r="L1503" s="672"/>
    </row>
    <row r="1504" spans="1:12">
      <c r="A1504" s="672"/>
      <c r="B1504" s="672"/>
      <c r="C1504" s="672"/>
      <c r="D1504" s="672"/>
      <c r="E1504" s="672"/>
      <c r="F1504" s="672"/>
      <c r="G1504" s="672"/>
      <c r="H1504" s="672"/>
      <c r="I1504" s="672"/>
      <c r="J1504" s="672"/>
      <c r="K1504" s="672"/>
      <c r="L1504" s="672"/>
    </row>
    <row r="1505" spans="1:12">
      <c r="A1505" s="672"/>
      <c r="B1505" s="672"/>
      <c r="C1505" s="672"/>
      <c r="D1505" s="672"/>
      <c r="E1505" s="672"/>
      <c r="F1505" s="672"/>
      <c r="G1505" s="672"/>
      <c r="H1505" s="672"/>
      <c r="I1505" s="672"/>
      <c r="J1505" s="672"/>
      <c r="K1505" s="672"/>
      <c r="L1505" s="672"/>
    </row>
    <row r="1506" spans="1:12">
      <c r="A1506" s="672"/>
      <c r="B1506" s="672"/>
      <c r="C1506" s="672"/>
      <c r="D1506" s="672"/>
      <c r="E1506" s="672"/>
      <c r="F1506" s="672"/>
      <c r="G1506" s="672"/>
      <c r="H1506" s="672"/>
      <c r="I1506" s="672"/>
      <c r="J1506" s="672"/>
      <c r="K1506" s="672"/>
      <c r="L1506" s="672"/>
    </row>
    <row r="1507" spans="1:12">
      <c r="A1507" s="672"/>
      <c r="B1507" s="672"/>
      <c r="C1507" s="672"/>
      <c r="D1507" s="672"/>
      <c r="E1507" s="672"/>
      <c r="F1507" s="672"/>
      <c r="G1507" s="672"/>
      <c r="H1507" s="672"/>
      <c r="I1507" s="672"/>
      <c r="J1507" s="672"/>
      <c r="K1507" s="672"/>
      <c r="L1507" s="672"/>
    </row>
    <row r="1508" spans="1:12">
      <c r="A1508" s="672"/>
      <c r="B1508" s="672"/>
      <c r="C1508" s="672"/>
      <c r="D1508" s="672"/>
      <c r="E1508" s="672"/>
      <c r="F1508" s="672"/>
      <c r="G1508" s="672"/>
      <c r="H1508" s="672"/>
      <c r="I1508" s="672"/>
      <c r="J1508" s="672"/>
      <c r="K1508" s="672"/>
      <c r="L1508" s="672"/>
    </row>
    <row r="1509" spans="1:12">
      <c r="A1509" s="672"/>
      <c r="B1509" s="672"/>
      <c r="C1509" s="672"/>
      <c r="D1509" s="672"/>
      <c r="E1509" s="672"/>
      <c r="F1509" s="672"/>
      <c r="G1509" s="672"/>
      <c r="H1509" s="672"/>
      <c r="I1509" s="672"/>
      <c r="J1509" s="672"/>
      <c r="K1509" s="672"/>
      <c r="L1509" s="672"/>
    </row>
    <row r="1510" spans="1:12">
      <c r="A1510" s="672"/>
      <c r="B1510" s="672"/>
      <c r="C1510" s="672"/>
      <c r="D1510" s="672"/>
      <c r="E1510" s="672"/>
      <c r="F1510" s="672"/>
      <c r="G1510" s="672"/>
      <c r="H1510" s="672"/>
      <c r="I1510" s="672"/>
      <c r="J1510" s="672"/>
      <c r="K1510" s="672"/>
      <c r="L1510" s="672"/>
    </row>
    <row r="1511" spans="1:12">
      <c r="A1511" s="672"/>
      <c r="B1511" s="672"/>
      <c r="C1511" s="672"/>
      <c r="D1511" s="672"/>
      <c r="E1511" s="672"/>
      <c r="F1511" s="672"/>
      <c r="G1511" s="672"/>
      <c r="H1511" s="672"/>
      <c r="I1511" s="672"/>
      <c r="J1511" s="672"/>
      <c r="K1511" s="672"/>
      <c r="L1511" s="672"/>
    </row>
    <row r="1512" spans="1:12">
      <c r="A1512" s="672"/>
      <c r="B1512" s="672"/>
      <c r="C1512" s="672"/>
      <c r="D1512" s="672"/>
      <c r="E1512" s="672"/>
      <c r="F1512" s="672"/>
      <c r="G1512" s="672"/>
      <c r="H1512" s="672"/>
      <c r="I1512" s="672"/>
      <c r="J1512" s="672"/>
      <c r="K1512" s="672"/>
      <c r="L1512" s="672"/>
    </row>
    <row r="1513" spans="1:12">
      <c r="A1513" s="672"/>
      <c r="B1513" s="672"/>
      <c r="C1513" s="672"/>
      <c r="D1513" s="672"/>
      <c r="E1513" s="672"/>
      <c r="F1513" s="672"/>
      <c r="G1513" s="672"/>
      <c r="H1513" s="672"/>
      <c r="I1513" s="672"/>
      <c r="J1513" s="672"/>
      <c r="K1513" s="672"/>
      <c r="L1513" s="672"/>
    </row>
    <row r="1514" spans="1:12">
      <c r="A1514" s="672"/>
      <c r="B1514" s="672"/>
      <c r="C1514" s="672"/>
      <c r="D1514" s="672"/>
      <c r="E1514" s="672"/>
      <c r="F1514" s="672"/>
      <c r="G1514" s="672"/>
      <c r="H1514" s="672"/>
      <c r="I1514" s="672"/>
      <c r="J1514" s="672"/>
      <c r="K1514" s="672"/>
      <c r="L1514" s="672"/>
    </row>
    <row r="1515" spans="1:12">
      <c r="A1515" s="672"/>
      <c r="B1515" s="672"/>
      <c r="C1515" s="672"/>
      <c r="D1515" s="672"/>
      <c r="E1515" s="672"/>
      <c r="F1515" s="672"/>
      <c r="G1515" s="672"/>
      <c r="H1515" s="672"/>
      <c r="I1515" s="672"/>
      <c r="J1515" s="672"/>
      <c r="K1515" s="672"/>
      <c r="L1515" s="672"/>
    </row>
    <row r="1516" spans="1:12">
      <c r="A1516" s="672"/>
      <c r="B1516" s="672"/>
      <c r="C1516" s="672"/>
      <c r="D1516" s="672"/>
      <c r="E1516" s="672"/>
      <c r="F1516" s="672"/>
      <c r="G1516" s="672"/>
      <c r="H1516" s="672"/>
      <c r="I1516" s="672"/>
      <c r="J1516" s="672"/>
      <c r="K1516" s="672"/>
      <c r="L1516" s="672"/>
    </row>
    <row r="1517" spans="1:12">
      <c r="A1517" s="672"/>
      <c r="B1517" s="672"/>
      <c r="C1517" s="672"/>
      <c r="D1517" s="672"/>
      <c r="E1517" s="672"/>
      <c r="F1517" s="672"/>
      <c r="G1517" s="672"/>
      <c r="H1517" s="672"/>
      <c r="I1517" s="672"/>
      <c r="J1517" s="672"/>
      <c r="K1517" s="672"/>
      <c r="L1517" s="672"/>
    </row>
    <row r="1518" spans="1:12">
      <c r="A1518" s="672"/>
      <c r="B1518" s="672"/>
      <c r="C1518" s="672"/>
      <c r="D1518" s="672"/>
      <c r="E1518" s="672"/>
      <c r="F1518" s="672"/>
      <c r="G1518" s="672"/>
      <c r="H1518" s="672"/>
      <c r="I1518" s="672"/>
      <c r="J1518" s="672"/>
      <c r="K1518" s="672"/>
      <c r="L1518" s="672"/>
    </row>
    <row r="1519" spans="1:12">
      <c r="A1519" s="672"/>
      <c r="B1519" s="672"/>
      <c r="C1519" s="672"/>
      <c r="D1519" s="672"/>
      <c r="E1519" s="672"/>
      <c r="F1519" s="672"/>
      <c r="G1519" s="672"/>
      <c r="H1519" s="672"/>
      <c r="I1519" s="672"/>
      <c r="J1519" s="672"/>
      <c r="K1519" s="672"/>
      <c r="L1519" s="672"/>
    </row>
    <row r="1520" spans="1:12">
      <c r="A1520" s="672"/>
      <c r="B1520" s="672"/>
      <c r="C1520" s="672"/>
      <c r="D1520" s="672"/>
      <c r="E1520" s="672"/>
      <c r="F1520" s="672"/>
      <c r="G1520" s="672"/>
      <c r="H1520" s="672"/>
      <c r="I1520" s="672"/>
      <c r="J1520" s="672"/>
      <c r="K1520" s="672"/>
      <c r="L1520" s="672"/>
    </row>
    <row r="1521" spans="1:12">
      <c r="A1521" s="672"/>
      <c r="B1521" s="672"/>
      <c r="C1521" s="672"/>
      <c r="D1521" s="672"/>
      <c r="E1521" s="672"/>
      <c r="F1521" s="672"/>
      <c r="G1521" s="672"/>
      <c r="H1521" s="672"/>
      <c r="I1521" s="672"/>
      <c r="J1521" s="672"/>
      <c r="K1521" s="672"/>
      <c r="L1521" s="672"/>
    </row>
    <row r="1522" spans="1:12">
      <c r="A1522" s="672"/>
      <c r="B1522" s="672"/>
      <c r="C1522" s="672"/>
      <c r="D1522" s="672"/>
      <c r="E1522" s="672"/>
      <c r="F1522" s="672"/>
      <c r="G1522" s="672"/>
      <c r="H1522" s="672"/>
      <c r="I1522" s="672"/>
      <c r="J1522" s="672"/>
      <c r="K1522" s="672"/>
      <c r="L1522" s="672"/>
    </row>
    <row r="1523" spans="1:12">
      <c r="A1523" s="672"/>
      <c r="B1523" s="672"/>
      <c r="C1523" s="672"/>
      <c r="D1523" s="672"/>
      <c r="E1523" s="672"/>
      <c r="F1523" s="672"/>
      <c r="G1523" s="672"/>
      <c r="H1523" s="672"/>
      <c r="I1523" s="672"/>
      <c r="J1523" s="672"/>
      <c r="K1523" s="672"/>
      <c r="L1523" s="672"/>
    </row>
    <row r="1524" spans="1:12">
      <c r="A1524" s="672"/>
      <c r="B1524" s="672"/>
      <c r="C1524" s="672"/>
      <c r="D1524" s="672"/>
      <c r="E1524" s="672"/>
      <c r="F1524" s="672"/>
      <c r="G1524" s="672"/>
      <c r="H1524" s="672"/>
      <c r="I1524" s="672"/>
      <c r="J1524" s="672"/>
      <c r="K1524" s="672"/>
      <c r="L1524" s="672"/>
    </row>
    <row r="1525" spans="1:12">
      <c r="A1525" s="672"/>
      <c r="B1525" s="672"/>
      <c r="C1525" s="672"/>
      <c r="D1525" s="672"/>
      <c r="E1525" s="672"/>
      <c r="F1525" s="672"/>
      <c r="G1525" s="672"/>
      <c r="H1525" s="672"/>
      <c r="I1525" s="672"/>
      <c r="J1525" s="672"/>
      <c r="K1525" s="672"/>
      <c r="L1525" s="672"/>
    </row>
    <row r="1526" spans="1:12">
      <c r="A1526" s="672"/>
      <c r="B1526" s="672"/>
      <c r="C1526" s="672"/>
      <c r="D1526" s="672"/>
      <c r="E1526" s="672"/>
      <c r="F1526" s="672"/>
      <c r="G1526" s="672"/>
      <c r="H1526" s="672"/>
      <c r="I1526" s="672"/>
      <c r="J1526" s="672"/>
      <c r="K1526" s="672"/>
      <c r="L1526" s="672"/>
    </row>
    <row r="1527" spans="1:12">
      <c r="A1527" s="672"/>
      <c r="B1527" s="672"/>
      <c r="C1527" s="672"/>
      <c r="D1527" s="672"/>
      <c r="E1527" s="672"/>
      <c r="F1527" s="672"/>
      <c r="G1527" s="672"/>
      <c r="H1527" s="672"/>
      <c r="I1527" s="672"/>
      <c r="J1527" s="672"/>
      <c r="K1527" s="672"/>
      <c r="L1527" s="672"/>
    </row>
    <row r="1528" spans="1:12">
      <c r="A1528" s="672"/>
      <c r="B1528" s="672"/>
      <c r="C1528" s="672"/>
      <c r="D1528" s="672"/>
      <c r="E1528" s="672"/>
      <c r="F1528" s="672"/>
      <c r="G1528" s="672"/>
      <c r="H1528" s="672"/>
      <c r="I1528" s="672"/>
      <c r="J1528" s="672"/>
      <c r="K1528" s="672"/>
      <c r="L1528" s="672"/>
    </row>
    <row r="1529" spans="1:12">
      <c r="A1529" s="672"/>
      <c r="B1529" s="672"/>
      <c r="C1529" s="672"/>
      <c r="D1529" s="672"/>
      <c r="E1529" s="672"/>
      <c r="F1529" s="672"/>
      <c r="G1529" s="672"/>
      <c r="H1529" s="672"/>
      <c r="I1529" s="672"/>
      <c r="J1529" s="672"/>
      <c r="K1529" s="672"/>
      <c r="L1529" s="672"/>
    </row>
    <row r="1530" spans="1:12">
      <c r="A1530" s="672"/>
      <c r="B1530" s="672"/>
      <c r="C1530" s="672"/>
      <c r="D1530" s="672"/>
      <c r="E1530" s="672"/>
      <c r="F1530" s="672"/>
      <c r="G1530" s="672"/>
      <c r="H1530" s="672"/>
      <c r="I1530" s="672"/>
      <c r="J1530" s="672"/>
      <c r="K1530" s="672"/>
      <c r="L1530" s="672"/>
    </row>
    <row r="1531" spans="1:12">
      <c r="A1531" s="672"/>
      <c r="B1531" s="672"/>
      <c r="C1531" s="672"/>
      <c r="D1531" s="672"/>
      <c r="E1531" s="672"/>
      <c r="F1531" s="672"/>
      <c r="G1531" s="672"/>
      <c r="H1531" s="672"/>
      <c r="I1531" s="672"/>
      <c r="J1531" s="672"/>
      <c r="K1531" s="672"/>
      <c r="L1531" s="672"/>
    </row>
    <row r="1532" spans="1:12">
      <c r="A1532" s="672"/>
      <c r="B1532" s="672"/>
      <c r="C1532" s="672"/>
      <c r="D1532" s="672"/>
      <c r="E1532" s="672"/>
      <c r="F1532" s="672"/>
      <c r="G1532" s="672"/>
      <c r="H1532" s="672"/>
      <c r="I1532" s="672"/>
      <c r="J1532" s="672"/>
      <c r="K1532" s="672"/>
      <c r="L1532" s="672"/>
    </row>
    <row r="1533" spans="1:12">
      <c r="A1533" s="672"/>
      <c r="B1533" s="672"/>
      <c r="C1533" s="672"/>
      <c r="D1533" s="672"/>
      <c r="E1533" s="672"/>
      <c r="F1533" s="672"/>
      <c r="G1533" s="672"/>
      <c r="H1533" s="672"/>
      <c r="I1533" s="672"/>
      <c r="J1533" s="672"/>
      <c r="K1533" s="672"/>
      <c r="L1533" s="672"/>
    </row>
    <row r="1534" spans="1:12">
      <c r="A1534" s="672"/>
      <c r="B1534" s="672"/>
      <c r="C1534" s="672"/>
      <c r="D1534" s="672"/>
      <c r="E1534" s="672"/>
      <c r="F1534" s="672"/>
      <c r="G1534" s="672"/>
      <c r="H1534" s="672"/>
      <c r="I1534" s="672"/>
      <c r="J1534" s="672"/>
      <c r="K1534" s="672"/>
      <c r="L1534" s="672"/>
    </row>
    <row r="1535" spans="1:12">
      <c r="A1535" s="672"/>
      <c r="B1535" s="672"/>
      <c r="C1535" s="672"/>
      <c r="D1535" s="672"/>
      <c r="E1535" s="672"/>
      <c r="F1535" s="672"/>
      <c r="G1535" s="672"/>
      <c r="H1535" s="672"/>
      <c r="I1535" s="672"/>
      <c r="J1535" s="672"/>
      <c r="K1535" s="672"/>
      <c r="L1535" s="672"/>
    </row>
    <row r="1536" spans="1:12">
      <c r="A1536" s="672"/>
      <c r="B1536" s="672"/>
      <c r="C1536" s="672"/>
      <c r="D1536" s="672"/>
      <c r="E1536" s="672"/>
      <c r="F1536" s="672"/>
      <c r="G1536" s="672"/>
      <c r="H1536" s="672"/>
      <c r="I1536" s="672"/>
      <c r="J1536" s="672"/>
      <c r="K1536" s="672"/>
      <c r="L1536" s="672"/>
    </row>
    <row r="1537" spans="1:12">
      <c r="A1537" s="672"/>
      <c r="B1537" s="672"/>
      <c r="C1537" s="672"/>
      <c r="D1537" s="672"/>
      <c r="E1537" s="672"/>
      <c r="F1537" s="672"/>
      <c r="G1537" s="672"/>
      <c r="H1537" s="672"/>
      <c r="I1537" s="672"/>
      <c r="J1537" s="672"/>
      <c r="K1537" s="672"/>
      <c r="L1537" s="672"/>
    </row>
    <row r="1538" spans="1:12">
      <c r="A1538" s="672"/>
      <c r="B1538" s="672"/>
      <c r="C1538" s="672"/>
      <c r="D1538" s="672"/>
      <c r="E1538" s="672"/>
      <c r="F1538" s="672"/>
      <c r="G1538" s="672"/>
      <c r="H1538" s="672"/>
      <c r="I1538" s="672"/>
      <c r="J1538" s="672"/>
      <c r="K1538" s="672"/>
      <c r="L1538" s="672"/>
    </row>
    <row r="1539" spans="1:12">
      <c r="A1539" s="672"/>
      <c r="B1539" s="672"/>
      <c r="C1539" s="672"/>
      <c r="D1539" s="672"/>
      <c r="E1539" s="672"/>
      <c r="F1539" s="672"/>
      <c r="G1539" s="672"/>
      <c r="H1539" s="672"/>
      <c r="I1539" s="672"/>
      <c r="J1539" s="672"/>
      <c r="K1539" s="672"/>
      <c r="L1539" s="672"/>
    </row>
    <row r="1540" spans="1:12">
      <c r="A1540" s="672"/>
      <c r="B1540" s="672"/>
      <c r="C1540" s="672"/>
      <c r="D1540" s="672"/>
      <c r="E1540" s="672"/>
      <c r="F1540" s="672"/>
      <c r="G1540" s="672"/>
      <c r="H1540" s="672"/>
      <c r="I1540" s="672"/>
      <c r="J1540" s="672"/>
      <c r="K1540" s="672"/>
      <c r="L1540" s="672"/>
    </row>
    <row r="1541" spans="1:12">
      <c r="A1541" s="672"/>
      <c r="B1541" s="672"/>
      <c r="C1541" s="672"/>
      <c r="D1541" s="672"/>
      <c r="E1541" s="672"/>
      <c r="F1541" s="672"/>
      <c r="G1541" s="672"/>
      <c r="H1541" s="672"/>
      <c r="I1541" s="672"/>
      <c r="J1541" s="672"/>
      <c r="K1541" s="672"/>
      <c r="L1541" s="672"/>
    </row>
    <row r="1542" spans="1:12">
      <c r="A1542" s="672"/>
      <c r="B1542" s="672"/>
      <c r="C1542" s="672"/>
      <c r="D1542" s="672"/>
      <c r="E1542" s="672"/>
      <c r="F1542" s="672"/>
      <c r="G1542" s="672"/>
      <c r="H1542" s="672"/>
      <c r="I1542" s="672"/>
      <c r="J1542" s="672"/>
      <c r="K1542" s="672"/>
      <c r="L1542" s="672"/>
    </row>
    <row r="1543" spans="1:12">
      <c r="A1543" s="672"/>
      <c r="B1543" s="672"/>
      <c r="C1543" s="672"/>
      <c r="D1543" s="672"/>
      <c r="E1543" s="672"/>
      <c r="F1543" s="672"/>
      <c r="G1543" s="672"/>
      <c r="H1543" s="672"/>
      <c r="I1543" s="672"/>
      <c r="J1543" s="672"/>
      <c r="K1543" s="672"/>
      <c r="L1543" s="672"/>
    </row>
    <row r="1544" spans="1:12">
      <c r="A1544" s="672"/>
      <c r="B1544" s="672"/>
      <c r="C1544" s="672"/>
      <c r="D1544" s="672"/>
      <c r="E1544" s="672"/>
      <c r="F1544" s="672"/>
      <c r="G1544" s="672"/>
      <c r="H1544" s="672"/>
      <c r="I1544" s="672"/>
      <c r="J1544" s="672"/>
      <c r="K1544" s="672"/>
      <c r="L1544" s="672"/>
    </row>
    <row r="1545" spans="1:12">
      <c r="A1545" s="672"/>
      <c r="B1545" s="672"/>
      <c r="C1545" s="672"/>
      <c r="D1545" s="672"/>
      <c r="E1545" s="672"/>
      <c r="F1545" s="672"/>
      <c r="G1545" s="672"/>
      <c r="H1545" s="672"/>
      <c r="I1545" s="672"/>
      <c r="J1545" s="672"/>
      <c r="K1545" s="672"/>
      <c r="L1545" s="672"/>
    </row>
    <row r="1546" spans="1:12">
      <c r="A1546" s="672"/>
      <c r="B1546" s="672"/>
      <c r="C1546" s="672"/>
      <c r="D1546" s="672"/>
      <c r="E1546" s="672"/>
      <c r="F1546" s="672"/>
      <c r="G1546" s="672"/>
      <c r="H1546" s="672"/>
      <c r="I1546" s="672"/>
      <c r="J1546" s="672"/>
      <c r="K1546" s="672"/>
      <c r="L1546" s="672"/>
    </row>
    <row r="1547" spans="1:12">
      <c r="A1547" s="672"/>
      <c r="B1547" s="672"/>
      <c r="C1547" s="672"/>
      <c r="D1547" s="672"/>
      <c r="E1547" s="672"/>
      <c r="F1547" s="672"/>
      <c r="G1547" s="672"/>
      <c r="H1547" s="672"/>
      <c r="I1547" s="672"/>
      <c r="J1547" s="672"/>
      <c r="K1547" s="672"/>
      <c r="L1547" s="672"/>
    </row>
    <row r="1548" spans="1:12">
      <c r="A1548" s="672"/>
      <c r="B1548" s="672"/>
      <c r="C1548" s="672"/>
      <c r="D1548" s="672"/>
      <c r="E1548" s="672"/>
      <c r="F1548" s="672"/>
      <c r="G1548" s="672"/>
      <c r="H1548" s="672"/>
      <c r="I1548" s="672"/>
      <c r="J1548" s="672"/>
      <c r="K1548" s="672"/>
      <c r="L1548" s="672"/>
    </row>
    <row r="1549" spans="1:12">
      <c r="A1549" s="672"/>
      <c r="B1549" s="672"/>
      <c r="C1549" s="672"/>
      <c r="D1549" s="672"/>
      <c r="E1549" s="672"/>
      <c r="F1549" s="672"/>
      <c r="G1549" s="672"/>
      <c r="H1549" s="672"/>
      <c r="I1549" s="672"/>
      <c r="J1549" s="672"/>
      <c r="K1549" s="672"/>
      <c r="L1549" s="672"/>
    </row>
    <row r="1550" spans="1:12">
      <c r="A1550" s="672"/>
      <c r="B1550" s="672"/>
      <c r="C1550" s="672"/>
      <c r="D1550" s="672"/>
      <c r="E1550" s="672"/>
      <c r="F1550" s="672"/>
      <c r="G1550" s="672"/>
      <c r="H1550" s="672"/>
      <c r="I1550" s="672"/>
      <c r="J1550" s="672"/>
      <c r="K1550" s="672"/>
      <c r="L1550" s="672"/>
    </row>
    <row r="1551" spans="1:12">
      <c r="A1551" s="672"/>
      <c r="B1551" s="672"/>
      <c r="C1551" s="672"/>
      <c r="D1551" s="672"/>
      <c r="E1551" s="672"/>
      <c r="F1551" s="672"/>
      <c r="G1551" s="672"/>
      <c r="H1551" s="672"/>
      <c r="I1551" s="672"/>
      <c r="J1551" s="672"/>
      <c r="K1551" s="672"/>
      <c r="L1551" s="672"/>
    </row>
    <row r="1552" spans="1:12">
      <c r="A1552" s="672"/>
      <c r="B1552" s="672"/>
      <c r="C1552" s="672"/>
      <c r="D1552" s="672"/>
      <c r="E1552" s="672"/>
      <c r="F1552" s="672"/>
      <c r="G1552" s="672"/>
      <c r="H1552" s="672"/>
      <c r="I1552" s="672"/>
      <c r="J1552" s="672"/>
      <c r="K1552" s="672"/>
      <c r="L1552" s="672"/>
    </row>
    <row r="1553" spans="1:12">
      <c r="A1553" s="672"/>
      <c r="B1553" s="672"/>
      <c r="C1553" s="672"/>
      <c r="D1553" s="672"/>
      <c r="E1553" s="672"/>
      <c r="F1553" s="672"/>
      <c r="G1553" s="672"/>
      <c r="H1553" s="672"/>
      <c r="I1553" s="672"/>
      <c r="J1553" s="672"/>
      <c r="K1553" s="672"/>
      <c r="L1553" s="672"/>
    </row>
    <row r="1554" spans="1:12">
      <c r="A1554" s="672"/>
      <c r="B1554" s="672"/>
      <c r="C1554" s="672"/>
      <c r="D1554" s="672"/>
      <c r="E1554" s="672"/>
      <c r="F1554" s="672"/>
      <c r="G1554" s="672"/>
      <c r="H1554" s="672"/>
      <c r="I1554" s="672"/>
      <c r="J1554" s="672"/>
      <c r="K1554" s="672"/>
      <c r="L1554" s="672"/>
    </row>
    <row r="1555" spans="1:12">
      <c r="A1555" s="672"/>
      <c r="B1555" s="672"/>
      <c r="C1555" s="672"/>
      <c r="D1555" s="672"/>
      <c r="E1555" s="672"/>
      <c r="F1555" s="672"/>
      <c r="G1555" s="672"/>
      <c r="H1555" s="672"/>
      <c r="I1555" s="672"/>
      <c r="J1555" s="672"/>
      <c r="K1555" s="672"/>
      <c r="L1555" s="672"/>
    </row>
    <row r="1556" spans="1:12">
      <c r="A1556" s="672"/>
      <c r="B1556" s="672"/>
      <c r="C1556" s="672"/>
      <c r="D1556" s="672"/>
      <c r="E1556" s="672"/>
      <c r="F1556" s="672"/>
      <c r="G1556" s="672"/>
      <c r="H1556" s="672"/>
      <c r="I1556" s="672"/>
      <c r="J1556" s="672"/>
      <c r="K1556" s="672"/>
      <c r="L1556" s="672"/>
    </row>
    <row r="1557" spans="1:12">
      <c r="A1557" s="672"/>
      <c r="B1557" s="672"/>
      <c r="C1557" s="672"/>
      <c r="D1557" s="672"/>
      <c r="E1557" s="672"/>
      <c r="F1557" s="672"/>
      <c r="G1557" s="672"/>
      <c r="H1557" s="672"/>
      <c r="I1557" s="672"/>
      <c r="J1557" s="672"/>
      <c r="K1557" s="672"/>
      <c r="L1557" s="672"/>
    </row>
    <row r="1558" spans="1:12">
      <c r="A1558" s="672"/>
      <c r="B1558" s="672"/>
      <c r="C1558" s="672"/>
      <c r="D1558" s="672"/>
      <c r="E1558" s="672"/>
      <c r="F1558" s="672"/>
      <c r="G1558" s="672"/>
      <c r="H1558" s="672"/>
      <c r="I1558" s="672"/>
      <c r="J1558" s="672"/>
      <c r="K1558" s="672"/>
      <c r="L1558" s="672"/>
    </row>
    <row r="1559" spans="1:12">
      <c r="A1559" s="672"/>
      <c r="B1559" s="672"/>
      <c r="C1559" s="672"/>
      <c r="D1559" s="672"/>
      <c r="E1559" s="672"/>
      <c r="F1559" s="672"/>
      <c r="G1559" s="672"/>
      <c r="H1559" s="672"/>
      <c r="I1559" s="672"/>
      <c r="J1559" s="672"/>
      <c r="K1559" s="672"/>
      <c r="L1559" s="672"/>
    </row>
    <row r="1560" spans="1:12">
      <c r="A1560" s="672"/>
      <c r="B1560" s="672"/>
      <c r="C1560" s="672"/>
      <c r="D1560" s="672"/>
      <c r="E1560" s="672"/>
      <c r="F1560" s="672"/>
      <c r="G1560" s="672"/>
      <c r="H1560" s="672"/>
      <c r="I1560" s="672"/>
      <c r="J1560" s="672"/>
      <c r="K1560" s="672"/>
      <c r="L1560" s="672"/>
    </row>
    <row r="1561" spans="1:12">
      <c r="A1561" s="672"/>
      <c r="B1561" s="672"/>
      <c r="C1561" s="672"/>
      <c r="D1561" s="672"/>
      <c r="E1561" s="672"/>
      <c r="F1561" s="672"/>
      <c r="G1561" s="672"/>
      <c r="H1561" s="672"/>
      <c r="I1561" s="672"/>
      <c r="J1561" s="672"/>
      <c r="K1561" s="672"/>
      <c r="L1561" s="672"/>
    </row>
    <row r="1562" spans="1:12">
      <c r="A1562" s="672"/>
      <c r="B1562" s="672"/>
      <c r="C1562" s="672"/>
      <c r="D1562" s="672"/>
      <c r="E1562" s="672"/>
      <c r="F1562" s="672"/>
      <c r="G1562" s="672"/>
      <c r="H1562" s="672"/>
      <c r="I1562" s="672"/>
      <c r="J1562" s="672"/>
      <c r="K1562" s="672"/>
      <c r="L1562" s="672"/>
    </row>
    <row r="1563" spans="1:12">
      <c r="A1563" s="672"/>
      <c r="B1563" s="672"/>
      <c r="C1563" s="672"/>
      <c r="D1563" s="672"/>
      <c r="E1563" s="672"/>
      <c r="F1563" s="672"/>
      <c r="G1563" s="672"/>
      <c r="H1563" s="672"/>
      <c r="I1563" s="672"/>
      <c r="J1563" s="672"/>
      <c r="K1563" s="672"/>
      <c r="L1563" s="672"/>
    </row>
    <row r="1564" spans="1:12">
      <c r="A1564" s="672"/>
      <c r="B1564" s="672"/>
      <c r="C1564" s="672"/>
      <c r="D1564" s="672"/>
      <c r="E1564" s="672"/>
      <c r="F1564" s="672"/>
      <c r="G1564" s="672"/>
      <c r="H1564" s="672"/>
      <c r="I1564" s="672"/>
      <c r="J1564" s="672"/>
      <c r="K1564" s="672"/>
      <c r="L1564" s="672"/>
    </row>
    <row r="1565" spans="1:12">
      <c r="A1565" s="672"/>
      <c r="B1565" s="672"/>
      <c r="C1565" s="672"/>
      <c r="D1565" s="672"/>
      <c r="E1565" s="672"/>
      <c r="F1565" s="672"/>
      <c r="G1565" s="672"/>
      <c r="H1565" s="672"/>
      <c r="I1565" s="672"/>
      <c r="J1565" s="672"/>
      <c r="K1565" s="672"/>
      <c r="L1565" s="672"/>
    </row>
    <row r="1566" spans="1:12">
      <c r="A1566" s="672"/>
      <c r="B1566" s="672"/>
      <c r="C1566" s="672"/>
      <c r="D1566" s="672"/>
      <c r="E1566" s="672"/>
      <c r="F1566" s="672"/>
      <c r="G1566" s="672"/>
      <c r="H1566" s="672"/>
      <c r="I1566" s="672"/>
      <c r="J1566" s="672"/>
      <c r="K1566" s="672"/>
      <c r="L1566" s="672"/>
    </row>
    <row r="1567" spans="1:12">
      <c r="A1567" s="672"/>
      <c r="B1567" s="672"/>
      <c r="C1567" s="672"/>
      <c r="D1567" s="672"/>
      <c r="E1567" s="672"/>
      <c r="F1567" s="672"/>
      <c r="G1567" s="672"/>
      <c r="H1567" s="672"/>
      <c r="I1567" s="672"/>
      <c r="J1567" s="672"/>
      <c r="K1567" s="672"/>
      <c r="L1567" s="672"/>
    </row>
    <row r="1568" spans="1:12">
      <c r="A1568" s="672"/>
      <c r="B1568" s="672"/>
      <c r="C1568" s="672"/>
      <c r="D1568" s="672"/>
      <c r="E1568" s="672"/>
      <c r="F1568" s="672"/>
      <c r="G1568" s="672"/>
      <c r="H1568" s="672"/>
      <c r="I1568" s="672"/>
      <c r="J1568" s="672"/>
      <c r="K1568" s="672"/>
      <c r="L1568" s="672"/>
    </row>
    <row r="1569" spans="1:12">
      <c r="A1569" s="672"/>
      <c r="B1569" s="672"/>
      <c r="C1569" s="672"/>
      <c r="D1569" s="672"/>
      <c r="E1569" s="672"/>
      <c r="F1569" s="672"/>
      <c r="G1569" s="672"/>
      <c r="H1569" s="672"/>
      <c r="I1569" s="672"/>
      <c r="J1569" s="672"/>
      <c r="K1569" s="672"/>
      <c r="L1569" s="672"/>
    </row>
    <row r="1570" spans="1:12">
      <c r="A1570" s="672"/>
      <c r="B1570" s="672"/>
      <c r="C1570" s="672"/>
      <c r="D1570" s="672"/>
      <c r="E1570" s="672"/>
      <c r="F1570" s="672"/>
      <c r="G1570" s="672"/>
      <c r="H1570" s="672"/>
      <c r="I1570" s="672"/>
      <c r="J1570" s="672"/>
      <c r="K1570" s="672"/>
      <c r="L1570" s="672"/>
    </row>
    <row r="1571" spans="1:12">
      <c r="A1571" s="672"/>
      <c r="B1571" s="672"/>
      <c r="C1571" s="672"/>
      <c r="D1571" s="672"/>
      <c r="E1571" s="672"/>
      <c r="F1571" s="672"/>
      <c r="G1571" s="672"/>
      <c r="H1571" s="672"/>
      <c r="I1571" s="672"/>
      <c r="J1571" s="672"/>
      <c r="K1571" s="672"/>
      <c r="L1571" s="672"/>
    </row>
    <row r="1572" spans="1:12">
      <c r="A1572" s="672"/>
      <c r="B1572" s="672"/>
      <c r="C1572" s="672"/>
      <c r="D1572" s="672"/>
      <c r="E1572" s="672"/>
      <c r="F1572" s="672"/>
      <c r="G1572" s="672"/>
      <c r="H1572" s="672"/>
      <c r="I1572" s="672"/>
      <c r="J1572" s="672"/>
      <c r="K1572" s="672"/>
      <c r="L1572" s="672"/>
    </row>
    <row r="1573" spans="1:12">
      <c r="A1573" s="672"/>
      <c r="B1573" s="672"/>
      <c r="C1573" s="672"/>
      <c r="D1573" s="672"/>
      <c r="E1573" s="672"/>
      <c r="F1573" s="672"/>
      <c r="G1573" s="672"/>
      <c r="H1573" s="672"/>
      <c r="I1573" s="672"/>
      <c r="J1573" s="672"/>
      <c r="K1573" s="672"/>
      <c r="L1573" s="672"/>
    </row>
    <row r="1574" spans="1:12">
      <c r="A1574" s="672"/>
      <c r="B1574" s="672"/>
      <c r="C1574" s="672"/>
      <c r="D1574" s="672"/>
      <c r="E1574" s="672"/>
      <c r="F1574" s="672"/>
      <c r="G1574" s="672"/>
      <c r="H1574" s="672"/>
      <c r="I1574" s="672"/>
      <c r="J1574" s="672"/>
      <c r="K1574" s="672"/>
      <c r="L1574" s="672"/>
    </row>
    <row r="1575" spans="1:12">
      <c r="A1575" s="672"/>
      <c r="B1575" s="672"/>
      <c r="C1575" s="672"/>
      <c r="D1575" s="672"/>
      <c r="E1575" s="672"/>
      <c r="F1575" s="672"/>
      <c r="G1575" s="672"/>
      <c r="H1575" s="672"/>
      <c r="I1575" s="672"/>
      <c r="J1575" s="672"/>
      <c r="K1575" s="672"/>
      <c r="L1575" s="672"/>
    </row>
    <row r="1576" spans="1:12">
      <c r="A1576" s="672"/>
      <c r="B1576" s="672"/>
      <c r="C1576" s="672"/>
      <c r="D1576" s="672"/>
      <c r="E1576" s="672"/>
      <c r="F1576" s="672"/>
      <c r="G1576" s="672"/>
      <c r="H1576" s="672"/>
      <c r="I1576" s="672"/>
      <c r="J1576" s="672"/>
      <c r="K1576" s="672"/>
      <c r="L1576" s="672"/>
    </row>
    <row r="1577" spans="1:12">
      <c r="A1577" s="672"/>
      <c r="B1577" s="672"/>
      <c r="C1577" s="672"/>
      <c r="D1577" s="672"/>
      <c r="E1577" s="672"/>
      <c r="F1577" s="672"/>
      <c r="G1577" s="672"/>
      <c r="H1577" s="672"/>
      <c r="I1577" s="672"/>
      <c r="J1577" s="672"/>
      <c r="K1577" s="672"/>
      <c r="L1577" s="672"/>
    </row>
    <row r="1578" spans="1:12">
      <c r="A1578" s="672"/>
      <c r="B1578" s="672"/>
      <c r="C1578" s="672"/>
      <c r="D1578" s="672"/>
      <c r="E1578" s="672"/>
      <c r="F1578" s="672"/>
      <c r="G1578" s="672"/>
      <c r="H1578" s="672"/>
      <c r="I1578" s="672"/>
      <c r="J1578" s="672"/>
      <c r="K1578" s="672"/>
      <c r="L1578" s="672"/>
    </row>
    <row r="1579" spans="1:12">
      <c r="A1579" s="672"/>
      <c r="B1579" s="672"/>
      <c r="C1579" s="672"/>
      <c r="D1579" s="672"/>
      <c r="E1579" s="672"/>
      <c r="F1579" s="672"/>
      <c r="G1579" s="672"/>
      <c r="H1579" s="672"/>
      <c r="I1579" s="672"/>
      <c r="J1579" s="672"/>
      <c r="K1579" s="672"/>
      <c r="L1579" s="672"/>
    </row>
    <row r="1580" spans="1:12">
      <c r="A1580" s="672"/>
      <c r="B1580" s="672"/>
      <c r="C1580" s="672"/>
      <c r="D1580" s="672"/>
      <c r="E1580" s="672"/>
      <c r="F1580" s="672"/>
      <c r="G1580" s="672"/>
      <c r="H1580" s="672"/>
      <c r="I1580" s="672"/>
      <c r="J1580" s="672"/>
      <c r="K1580" s="672"/>
      <c r="L1580" s="672"/>
    </row>
    <row r="1581" spans="1:12">
      <c r="A1581" s="672"/>
      <c r="B1581" s="672"/>
      <c r="C1581" s="672"/>
      <c r="D1581" s="672"/>
      <c r="E1581" s="672"/>
      <c r="F1581" s="672"/>
      <c r="G1581" s="672"/>
      <c r="H1581" s="672"/>
      <c r="I1581" s="672"/>
      <c r="J1581" s="672"/>
      <c r="K1581" s="672"/>
      <c r="L1581" s="672"/>
    </row>
    <row r="1582" spans="1:12">
      <c r="A1582" s="672"/>
      <c r="B1582" s="672"/>
      <c r="C1582" s="672"/>
      <c r="D1582" s="672"/>
      <c r="E1582" s="672"/>
      <c r="F1582" s="672"/>
      <c r="G1582" s="672"/>
      <c r="H1582" s="672"/>
      <c r="I1582" s="672"/>
      <c r="J1582" s="672"/>
      <c r="K1582" s="672"/>
      <c r="L1582" s="672"/>
    </row>
    <row r="1583" spans="1:12">
      <c r="A1583" s="672"/>
      <c r="B1583" s="672"/>
      <c r="C1583" s="672"/>
      <c r="D1583" s="672"/>
      <c r="E1583" s="672"/>
      <c r="F1583" s="672"/>
      <c r="G1583" s="672"/>
      <c r="H1583" s="672"/>
      <c r="I1583" s="672"/>
      <c r="J1583" s="672"/>
      <c r="K1583" s="672"/>
      <c r="L1583" s="672"/>
    </row>
    <row r="1584" spans="1:12">
      <c r="A1584" s="672"/>
      <c r="B1584" s="672"/>
      <c r="C1584" s="672"/>
      <c r="D1584" s="672"/>
      <c r="E1584" s="672"/>
      <c r="F1584" s="672"/>
      <c r="G1584" s="672"/>
      <c r="H1584" s="672"/>
      <c r="I1584" s="672"/>
      <c r="J1584" s="672"/>
      <c r="K1584" s="672"/>
      <c r="L1584" s="672"/>
    </row>
    <row r="1585" spans="1:12">
      <c r="A1585" s="672"/>
      <c r="B1585" s="672"/>
      <c r="C1585" s="672"/>
      <c r="D1585" s="672"/>
      <c r="E1585" s="672"/>
      <c r="F1585" s="672"/>
      <c r="G1585" s="672"/>
      <c r="H1585" s="672"/>
      <c r="I1585" s="672"/>
      <c r="J1585" s="672"/>
      <c r="K1585" s="672"/>
      <c r="L1585" s="672"/>
    </row>
    <row r="1586" spans="1:12">
      <c r="A1586" s="672"/>
      <c r="B1586" s="672"/>
      <c r="C1586" s="672"/>
      <c r="D1586" s="672"/>
      <c r="E1586" s="672"/>
      <c r="F1586" s="672"/>
      <c r="G1586" s="672"/>
      <c r="H1586" s="672"/>
      <c r="I1586" s="672"/>
      <c r="J1586" s="672"/>
      <c r="K1586" s="672"/>
      <c r="L1586" s="672"/>
    </row>
    <row r="1587" spans="1:12">
      <c r="A1587" s="672"/>
      <c r="B1587" s="672"/>
      <c r="C1587" s="672"/>
      <c r="D1587" s="672"/>
      <c r="E1587" s="672"/>
      <c r="F1587" s="672"/>
      <c r="G1587" s="672"/>
      <c r="H1587" s="672"/>
      <c r="I1587" s="672"/>
      <c r="J1587" s="672"/>
      <c r="K1587" s="672"/>
      <c r="L1587" s="672"/>
    </row>
    <row r="1588" spans="1:12">
      <c r="A1588" s="672"/>
      <c r="B1588" s="672"/>
      <c r="C1588" s="672"/>
      <c r="D1588" s="672"/>
      <c r="E1588" s="672"/>
      <c r="F1588" s="672"/>
      <c r="G1588" s="672"/>
      <c r="H1588" s="672"/>
      <c r="I1588" s="672"/>
      <c r="J1588" s="672"/>
      <c r="K1588" s="672"/>
      <c r="L1588" s="672"/>
    </row>
    <row r="1589" spans="1:12">
      <c r="A1589" s="672"/>
      <c r="B1589" s="672"/>
      <c r="C1589" s="672"/>
      <c r="D1589" s="672"/>
      <c r="E1589" s="672"/>
      <c r="F1589" s="672"/>
      <c r="G1589" s="672"/>
      <c r="H1589" s="672"/>
      <c r="I1589" s="672"/>
      <c r="J1589" s="672"/>
      <c r="K1589" s="672"/>
      <c r="L1589" s="672"/>
    </row>
    <row r="1590" spans="1:12">
      <c r="A1590" s="672"/>
      <c r="B1590" s="672"/>
      <c r="C1590" s="672"/>
      <c r="D1590" s="672"/>
      <c r="E1590" s="672"/>
      <c r="F1590" s="672"/>
      <c r="G1590" s="672"/>
      <c r="H1590" s="672"/>
      <c r="I1590" s="672"/>
      <c r="J1590" s="672"/>
      <c r="K1590" s="672"/>
      <c r="L1590" s="672"/>
    </row>
    <row r="1591" spans="1:12">
      <c r="A1591" s="672"/>
      <c r="B1591" s="672"/>
      <c r="C1591" s="672"/>
      <c r="D1591" s="672"/>
      <c r="E1591" s="672"/>
      <c r="F1591" s="672"/>
      <c r="G1591" s="672"/>
      <c r="H1591" s="672"/>
      <c r="I1591" s="672"/>
      <c r="J1591" s="672"/>
      <c r="K1591" s="672"/>
      <c r="L1591" s="672"/>
    </row>
    <row r="1592" spans="1:12">
      <c r="A1592" s="672"/>
      <c r="B1592" s="672"/>
      <c r="C1592" s="672"/>
      <c r="D1592" s="672"/>
      <c r="E1592" s="672"/>
      <c r="F1592" s="672"/>
      <c r="G1592" s="672"/>
      <c r="H1592" s="672"/>
      <c r="I1592" s="672"/>
      <c r="J1592" s="672"/>
      <c r="K1592" s="672"/>
      <c r="L1592" s="672"/>
    </row>
    <row r="1593" spans="1:12">
      <c r="A1593" s="672"/>
      <c r="B1593" s="672"/>
      <c r="C1593" s="672"/>
      <c r="D1593" s="672"/>
      <c r="E1593" s="672"/>
      <c r="F1593" s="672"/>
      <c r="G1593" s="672"/>
      <c r="H1593" s="672"/>
      <c r="I1593" s="672"/>
      <c r="J1593" s="672"/>
      <c r="K1593" s="672"/>
      <c r="L1593" s="672"/>
    </row>
    <row r="1594" spans="1:12">
      <c r="A1594" s="672"/>
      <c r="B1594" s="672"/>
      <c r="C1594" s="672"/>
      <c r="D1594" s="672"/>
      <c r="E1594" s="672"/>
      <c r="F1594" s="672"/>
      <c r="G1594" s="672"/>
      <c r="H1594" s="672"/>
      <c r="I1594" s="672"/>
      <c r="J1594" s="672"/>
      <c r="K1594" s="672"/>
      <c r="L1594" s="672"/>
    </row>
    <row r="1595" spans="1:12">
      <c r="A1595" s="672"/>
      <c r="B1595" s="672"/>
      <c r="C1595" s="672"/>
      <c r="D1595" s="672"/>
      <c r="E1595" s="672"/>
      <c r="F1595" s="672"/>
      <c r="G1595" s="672"/>
      <c r="H1595" s="672"/>
      <c r="I1595" s="672"/>
      <c r="J1595" s="672"/>
      <c r="K1595" s="672"/>
      <c r="L1595" s="672"/>
    </row>
    <row r="1596" spans="1:12">
      <c r="A1596" s="672"/>
      <c r="B1596" s="672"/>
      <c r="C1596" s="672"/>
      <c r="D1596" s="672"/>
      <c r="E1596" s="672"/>
      <c r="F1596" s="672"/>
      <c r="G1596" s="672"/>
      <c r="H1596" s="672"/>
      <c r="I1596" s="672"/>
      <c r="J1596" s="672"/>
      <c r="K1596" s="672"/>
      <c r="L1596" s="672"/>
    </row>
    <row r="1597" spans="1:12">
      <c r="A1597" s="672"/>
      <c r="B1597" s="672"/>
      <c r="C1597" s="672"/>
      <c r="D1597" s="672"/>
      <c r="E1597" s="672"/>
      <c r="F1597" s="672"/>
      <c r="G1597" s="672"/>
      <c r="H1597" s="672"/>
      <c r="I1597" s="672"/>
      <c r="J1597" s="672"/>
      <c r="K1597" s="672"/>
      <c r="L1597" s="672"/>
    </row>
    <row r="1598" spans="1:12">
      <c r="A1598" s="672"/>
      <c r="B1598" s="672"/>
      <c r="C1598" s="672"/>
      <c r="D1598" s="672"/>
      <c r="E1598" s="672"/>
      <c r="F1598" s="672"/>
      <c r="G1598" s="672"/>
      <c r="H1598" s="672"/>
      <c r="I1598" s="672"/>
      <c r="J1598" s="672"/>
      <c r="K1598" s="672"/>
      <c r="L1598" s="672"/>
    </row>
    <row r="1599" spans="1:12">
      <c r="A1599" s="672"/>
      <c r="B1599" s="672"/>
      <c r="C1599" s="672"/>
      <c r="D1599" s="672"/>
      <c r="E1599" s="672"/>
      <c r="F1599" s="672"/>
      <c r="G1599" s="672"/>
      <c r="H1599" s="672"/>
      <c r="I1599" s="672"/>
      <c r="J1599" s="672"/>
      <c r="K1599" s="672"/>
      <c r="L1599" s="672"/>
    </row>
    <row r="1600" spans="1:12">
      <c r="A1600" s="672"/>
      <c r="B1600" s="672"/>
      <c r="C1600" s="672"/>
      <c r="D1600" s="672"/>
      <c r="E1600" s="672"/>
      <c r="F1600" s="672"/>
      <c r="G1600" s="672"/>
      <c r="H1600" s="672"/>
      <c r="I1600" s="672"/>
      <c r="J1600" s="672"/>
      <c r="K1600" s="672"/>
      <c r="L1600" s="672"/>
    </row>
    <row r="1601" spans="1:12">
      <c r="A1601" s="672"/>
      <c r="B1601" s="672"/>
      <c r="C1601" s="672"/>
      <c r="D1601" s="672"/>
      <c r="E1601" s="672"/>
      <c r="F1601" s="672"/>
      <c r="G1601" s="672"/>
      <c r="H1601" s="672"/>
      <c r="I1601" s="672"/>
      <c r="J1601" s="672"/>
      <c r="K1601" s="672"/>
      <c r="L1601" s="672"/>
    </row>
    <row r="1602" spans="1:12">
      <c r="A1602" s="672"/>
      <c r="B1602" s="672"/>
      <c r="C1602" s="672"/>
      <c r="D1602" s="672"/>
      <c r="E1602" s="672"/>
      <c r="F1602" s="672"/>
      <c r="G1602" s="672"/>
      <c r="H1602" s="672"/>
      <c r="I1602" s="672"/>
      <c r="J1602" s="672"/>
      <c r="K1602" s="672"/>
      <c r="L1602" s="672"/>
    </row>
    <row r="1603" spans="1:12">
      <c r="A1603" s="672"/>
      <c r="B1603" s="672"/>
      <c r="C1603" s="672"/>
      <c r="D1603" s="672"/>
      <c r="E1603" s="672"/>
      <c r="F1603" s="672"/>
      <c r="G1603" s="672"/>
      <c r="H1603" s="672"/>
      <c r="I1603" s="672"/>
      <c r="J1603" s="672"/>
      <c r="K1603" s="672"/>
      <c r="L1603" s="672"/>
    </row>
    <row r="1604" spans="1:12">
      <c r="A1604" s="672"/>
      <c r="B1604" s="672"/>
      <c r="C1604" s="672"/>
      <c r="D1604" s="672"/>
      <c r="E1604" s="672"/>
      <c r="F1604" s="672"/>
      <c r="G1604" s="672"/>
      <c r="H1604" s="672"/>
      <c r="I1604" s="672"/>
      <c r="J1604" s="672"/>
      <c r="K1604" s="672"/>
      <c r="L1604" s="672"/>
    </row>
    <row r="1605" spans="1:12">
      <c r="A1605" s="672"/>
      <c r="B1605" s="672"/>
      <c r="C1605" s="672"/>
      <c r="D1605" s="672"/>
      <c r="E1605" s="672"/>
      <c r="F1605" s="672"/>
      <c r="G1605" s="672"/>
      <c r="H1605" s="672"/>
      <c r="I1605" s="672"/>
      <c r="J1605" s="672"/>
      <c r="K1605" s="672"/>
      <c r="L1605" s="672"/>
    </row>
    <row r="1606" spans="1:12">
      <c r="A1606" s="672"/>
      <c r="B1606" s="672"/>
      <c r="C1606" s="672"/>
      <c r="D1606" s="672"/>
      <c r="E1606" s="672"/>
      <c r="F1606" s="672"/>
      <c r="G1606" s="672"/>
      <c r="H1606" s="672"/>
      <c r="I1606" s="672"/>
      <c r="J1606" s="672"/>
      <c r="K1606" s="672"/>
      <c r="L1606" s="672"/>
    </row>
  </sheetData>
  <mergeCells count="8">
    <mergeCell ref="B58:K106"/>
    <mergeCell ref="O30:X41"/>
    <mergeCell ref="P27:X27"/>
    <mergeCell ref="P28:X28"/>
    <mergeCell ref="G24:J24"/>
    <mergeCell ref="O43:X50"/>
    <mergeCell ref="O5:X24"/>
    <mergeCell ref="P26:X26"/>
  </mergeCells>
  <hyperlinks>
    <hyperlink ref="J36" r:id="rId1"/>
    <hyperlink ref="J41" r:id="rId2"/>
    <hyperlink ref="P26" r:id="rId3"/>
    <hyperlink ref="P28" r:id="rId4"/>
    <hyperlink ref="P27" r:id="rId5"/>
  </hyperlinks>
  <pageMargins left="0.7" right="0.7" top="0.75" bottom="0.75" header="0.3" footer="0.3"/>
  <pageSetup orientation="portrait" r:id="rId6"/>
  <drawing r:id="rId7"/>
  <legacyDrawing r:id="rId8"/>
  <oleObjects>
    <mc:AlternateContent xmlns:mc="http://schemas.openxmlformats.org/markup-compatibility/2006">
      <mc:Choice Requires="x14">
        <oleObject progId="Document" dvAspect="DVASPECT_ICON" shapeId="7175" r:id="rId9">
          <objectPr defaultSize="0" r:id="rId10">
            <anchor moveWithCells="1">
              <from>
                <xdr:col>18</xdr:col>
                <xdr:colOff>133350</xdr:colOff>
                <xdr:row>37</xdr:row>
                <xdr:rowOff>142875</xdr:rowOff>
              </from>
              <to>
                <xdr:col>19</xdr:col>
                <xdr:colOff>438150</xdr:colOff>
                <xdr:row>41</xdr:row>
                <xdr:rowOff>66675</xdr:rowOff>
              </to>
            </anchor>
          </objectPr>
        </oleObject>
      </mc:Choice>
      <mc:Fallback>
        <oleObject progId="Document" dvAspect="DVASPECT_ICON" shapeId="7175" r:id="rId9"/>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8:QK710"/>
  <sheetViews>
    <sheetView zoomScaleNormal="100" workbookViewId="0">
      <pane ySplit="6" topLeftCell="A55" activePane="bottomLeft" state="frozen"/>
      <selection activeCell="M8" sqref="M8"/>
      <selection pane="bottomLeft" activeCell="C68" sqref="C68:F68"/>
    </sheetView>
  </sheetViews>
  <sheetFormatPr defaultRowHeight="15"/>
  <cols>
    <col min="1" max="1" width="2.5703125" style="679" customWidth="1"/>
    <col min="2" max="14" width="9.140625" style="679"/>
    <col min="15" max="453" width="9.140625" style="681"/>
  </cols>
  <sheetData>
    <row r="8" spans="1:453" s="1301" customFormat="1" ht="18.75">
      <c r="B8" s="2110" t="str">
        <f ca="1">TEXT(HYPERLINK("#"&amp;CELL("address",'Equipment Results Matrix'!A4),'Equipment Results Matrix'!A4),"0,000")</f>
        <v>Appliances and Electronics</v>
      </c>
      <c r="C8" s="2110"/>
      <c r="D8" s="2110"/>
      <c r="E8" s="2110"/>
      <c r="F8" s="2110"/>
      <c r="G8" s="1302"/>
      <c r="H8" s="1302"/>
      <c r="I8" s="1302"/>
      <c r="J8" s="1302"/>
      <c r="K8" s="1302"/>
      <c r="L8" s="1302"/>
      <c r="M8" s="1302"/>
      <c r="N8" s="1302"/>
      <c r="O8" s="1303"/>
      <c r="P8" s="1303"/>
      <c r="Q8" s="1303"/>
      <c r="R8" s="1303"/>
      <c r="S8" s="1303"/>
      <c r="T8" s="1303"/>
      <c r="U8" s="1303"/>
      <c r="V8" s="1303"/>
      <c r="W8" s="1303"/>
      <c r="X8" s="1303"/>
      <c r="Y8" s="1303"/>
      <c r="Z8" s="1303"/>
      <c r="AA8" s="1303"/>
      <c r="AB8" s="1303"/>
      <c r="AC8" s="1303"/>
      <c r="AD8" s="1303"/>
      <c r="AE8" s="1303"/>
      <c r="AF8" s="1303"/>
      <c r="AG8" s="1303"/>
      <c r="AH8" s="1303"/>
      <c r="AI8" s="1303"/>
      <c r="AJ8" s="1303"/>
      <c r="AK8" s="1303"/>
      <c r="AL8" s="1303"/>
      <c r="AM8" s="1303"/>
      <c r="AN8" s="1303"/>
      <c r="AO8" s="1303"/>
      <c r="AP8" s="1303"/>
      <c r="AQ8" s="1303"/>
      <c r="AR8" s="1303"/>
      <c r="AS8" s="1303"/>
      <c r="AT8" s="1303"/>
      <c r="AU8" s="1303"/>
      <c r="AV8" s="1303"/>
      <c r="AW8" s="1303"/>
      <c r="AX8" s="1303"/>
      <c r="AY8" s="1303"/>
      <c r="AZ8" s="1303"/>
      <c r="BA8" s="1303"/>
      <c r="BB8" s="1303"/>
      <c r="BC8" s="1303"/>
      <c r="BD8" s="1303"/>
      <c r="BE8" s="1303"/>
      <c r="BF8" s="1303"/>
      <c r="BG8" s="1303"/>
      <c r="BH8" s="1303"/>
      <c r="BI8" s="1303"/>
      <c r="BJ8" s="1303"/>
      <c r="BK8" s="1303"/>
      <c r="BL8" s="1303"/>
      <c r="BM8" s="1303"/>
      <c r="BN8" s="1303"/>
      <c r="BO8" s="1303"/>
      <c r="BP8" s="1303"/>
      <c r="BQ8" s="1303"/>
      <c r="BR8" s="1303"/>
      <c r="BS8" s="1303"/>
      <c r="BT8" s="1303"/>
      <c r="BU8" s="1303"/>
      <c r="BV8" s="1303"/>
      <c r="BW8" s="1303"/>
      <c r="BX8" s="1303"/>
      <c r="BY8" s="1303"/>
      <c r="BZ8" s="1303"/>
      <c r="CA8" s="1303"/>
      <c r="CB8" s="1303"/>
      <c r="CC8" s="1303"/>
      <c r="CD8" s="1303"/>
      <c r="CE8" s="1303"/>
      <c r="CF8" s="1303"/>
      <c r="CG8" s="1303"/>
      <c r="CH8" s="1303"/>
      <c r="CI8" s="1303"/>
      <c r="CJ8" s="1303"/>
      <c r="CK8" s="1303"/>
      <c r="CL8" s="1303"/>
      <c r="CM8" s="1303"/>
      <c r="CN8" s="1303"/>
      <c r="CO8" s="1303"/>
      <c r="CP8" s="1303"/>
      <c r="CQ8" s="1303"/>
      <c r="CR8" s="1303"/>
      <c r="CS8" s="1303"/>
      <c r="CT8" s="1303"/>
      <c r="CU8" s="1303"/>
      <c r="CV8" s="1303"/>
      <c r="CW8" s="1303"/>
      <c r="CX8" s="1303"/>
      <c r="CY8" s="1303"/>
      <c r="CZ8" s="1303"/>
      <c r="DA8" s="1303"/>
      <c r="DB8" s="1303"/>
      <c r="DC8" s="1303"/>
      <c r="DD8" s="1303"/>
      <c r="DE8" s="1303"/>
      <c r="DF8" s="1303"/>
      <c r="DG8" s="1303"/>
      <c r="DH8" s="1303"/>
      <c r="DI8" s="1303"/>
      <c r="DJ8" s="1303"/>
      <c r="DK8" s="1303"/>
      <c r="DL8" s="1303"/>
      <c r="DM8" s="1303"/>
      <c r="DN8" s="1303"/>
      <c r="DO8" s="1303"/>
      <c r="DP8" s="1303"/>
      <c r="DQ8" s="1303"/>
      <c r="DR8" s="1303"/>
      <c r="DS8" s="1303"/>
      <c r="DT8" s="1303"/>
      <c r="DU8" s="1303"/>
      <c r="DV8" s="1303"/>
      <c r="DW8" s="1303"/>
      <c r="DX8" s="1303"/>
      <c r="DY8" s="1303"/>
      <c r="DZ8" s="1303"/>
      <c r="EA8" s="1303"/>
      <c r="EB8" s="1303"/>
      <c r="EC8" s="1303"/>
      <c r="ED8" s="1303"/>
      <c r="EE8" s="1303"/>
      <c r="EF8" s="1303"/>
      <c r="EG8" s="1303"/>
      <c r="EH8" s="1303"/>
      <c r="EI8" s="1303"/>
      <c r="EJ8" s="1303"/>
      <c r="EK8" s="1303"/>
      <c r="EL8" s="1303"/>
      <c r="EM8" s="1303"/>
      <c r="EN8" s="1303"/>
      <c r="EO8" s="1303"/>
      <c r="EP8" s="1303"/>
      <c r="EQ8" s="1303"/>
      <c r="ER8" s="1303"/>
      <c r="ES8" s="1303"/>
      <c r="ET8" s="1303"/>
      <c r="EU8" s="1303"/>
      <c r="EV8" s="1303"/>
      <c r="EW8" s="1303"/>
      <c r="EX8" s="1303"/>
      <c r="EY8" s="1303"/>
      <c r="EZ8" s="1303"/>
      <c r="FA8" s="1303"/>
      <c r="FB8" s="1303"/>
      <c r="FC8" s="1303"/>
      <c r="FD8" s="1303"/>
      <c r="FE8" s="1303"/>
      <c r="FF8" s="1303"/>
      <c r="FG8" s="1303"/>
      <c r="FH8" s="1303"/>
      <c r="FI8" s="1303"/>
      <c r="FJ8" s="1303"/>
      <c r="FK8" s="1303"/>
      <c r="FL8" s="1303"/>
      <c r="FM8" s="1303"/>
      <c r="FN8" s="1303"/>
      <c r="FO8" s="1303"/>
      <c r="FP8" s="1303"/>
      <c r="FQ8" s="1303"/>
      <c r="FR8" s="1303"/>
      <c r="FS8" s="1303"/>
      <c r="FT8" s="1303"/>
      <c r="FU8" s="1303"/>
      <c r="FV8" s="1303"/>
      <c r="FW8" s="1303"/>
      <c r="FX8" s="1303"/>
      <c r="FY8" s="1303"/>
      <c r="FZ8" s="1303"/>
      <c r="GA8" s="1303"/>
      <c r="GB8" s="1303"/>
      <c r="GC8" s="1303"/>
      <c r="GD8" s="1303"/>
      <c r="GE8" s="1303"/>
      <c r="GF8" s="1303"/>
      <c r="GG8" s="1303"/>
      <c r="GH8" s="1303"/>
      <c r="GI8" s="1303"/>
      <c r="GJ8" s="1303"/>
      <c r="GK8" s="1303"/>
      <c r="GL8" s="1303"/>
      <c r="GM8" s="1303"/>
      <c r="GN8" s="1303"/>
      <c r="GO8" s="1303"/>
      <c r="GP8" s="1303"/>
      <c r="GQ8" s="1303"/>
      <c r="GR8" s="1303"/>
      <c r="GS8" s="1303"/>
      <c r="GT8" s="1303"/>
      <c r="GU8" s="1303"/>
      <c r="GV8" s="1303"/>
      <c r="GW8" s="1303"/>
      <c r="GX8" s="1303"/>
      <c r="GY8" s="1303"/>
      <c r="GZ8" s="1303"/>
      <c r="HA8" s="1303"/>
      <c r="HB8" s="1303"/>
      <c r="HC8" s="1303"/>
      <c r="HD8" s="1303"/>
      <c r="HE8" s="1303"/>
      <c r="HF8" s="1303"/>
      <c r="HG8" s="1303"/>
      <c r="HH8" s="1303"/>
      <c r="HI8" s="1303"/>
      <c r="HJ8" s="1303"/>
      <c r="HK8" s="1303"/>
      <c r="HL8" s="1303"/>
      <c r="HM8" s="1303"/>
      <c r="HN8" s="1303"/>
      <c r="HO8" s="1303"/>
      <c r="HP8" s="1303"/>
      <c r="HQ8" s="1303"/>
      <c r="HR8" s="1303"/>
      <c r="HS8" s="1303"/>
      <c r="HT8" s="1303"/>
      <c r="HU8" s="1303"/>
      <c r="HV8" s="1303"/>
      <c r="HW8" s="1303"/>
      <c r="HX8" s="1303"/>
      <c r="HY8" s="1303"/>
      <c r="HZ8" s="1303"/>
      <c r="IA8" s="1303"/>
      <c r="IB8" s="1303"/>
      <c r="IC8" s="1303"/>
      <c r="ID8" s="1303"/>
      <c r="IE8" s="1303"/>
      <c r="IF8" s="1303"/>
      <c r="IG8" s="1303"/>
      <c r="IH8" s="1303"/>
      <c r="II8" s="1303"/>
      <c r="IJ8" s="1303"/>
      <c r="IK8" s="1303"/>
      <c r="IL8" s="1303"/>
      <c r="IM8" s="1303"/>
      <c r="IN8" s="1303"/>
      <c r="IO8" s="1303"/>
      <c r="IP8" s="1303"/>
      <c r="IQ8" s="1303"/>
      <c r="IR8" s="1303"/>
      <c r="IS8" s="1303"/>
      <c r="IT8" s="1303"/>
      <c r="IU8" s="1303"/>
      <c r="IV8" s="1303"/>
      <c r="IW8" s="1303"/>
      <c r="IX8" s="1303"/>
      <c r="IY8" s="1303"/>
      <c r="IZ8" s="1303"/>
      <c r="JA8" s="1303"/>
      <c r="JB8" s="1303"/>
      <c r="JC8" s="1303"/>
      <c r="JD8" s="1303"/>
      <c r="JE8" s="1303"/>
      <c r="JF8" s="1303"/>
      <c r="JG8" s="1303"/>
      <c r="JH8" s="1303"/>
      <c r="JI8" s="1303"/>
      <c r="JJ8" s="1303"/>
      <c r="JK8" s="1303"/>
      <c r="JL8" s="1303"/>
      <c r="JM8" s="1303"/>
      <c r="JN8" s="1303"/>
      <c r="JO8" s="1303"/>
      <c r="JP8" s="1303"/>
      <c r="JQ8" s="1303"/>
      <c r="JR8" s="1303"/>
      <c r="JS8" s="1303"/>
      <c r="JT8" s="1303"/>
      <c r="JU8" s="1303"/>
      <c r="JV8" s="1303"/>
      <c r="JW8" s="1303"/>
      <c r="JX8" s="1303"/>
      <c r="JY8" s="1303"/>
      <c r="JZ8" s="1303"/>
      <c r="KA8" s="1303"/>
      <c r="KB8" s="1303"/>
      <c r="KC8" s="1303"/>
      <c r="KD8" s="1303"/>
      <c r="KE8" s="1303"/>
      <c r="KF8" s="1303"/>
      <c r="KG8" s="1303"/>
      <c r="KH8" s="1303"/>
      <c r="KI8" s="1303"/>
      <c r="KJ8" s="1303"/>
      <c r="KK8" s="1303"/>
      <c r="KL8" s="1303"/>
      <c r="KM8" s="1303"/>
      <c r="KN8" s="1303"/>
      <c r="KO8" s="1303"/>
      <c r="KP8" s="1303"/>
      <c r="KQ8" s="1303"/>
      <c r="KR8" s="1303"/>
      <c r="KS8" s="1303"/>
      <c r="KT8" s="1303"/>
      <c r="KU8" s="1303"/>
      <c r="KV8" s="1303"/>
      <c r="KW8" s="1303"/>
      <c r="KX8" s="1303"/>
      <c r="KY8" s="1303"/>
      <c r="KZ8" s="1303"/>
      <c r="LA8" s="1303"/>
      <c r="LB8" s="1303"/>
      <c r="LC8" s="1303"/>
      <c r="LD8" s="1303"/>
      <c r="LE8" s="1303"/>
      <c r="LF8" s="1303"/>
      <c r="LG8" s="1303"/>
      <c r="LH8" s="1303"/>
      <c r="LI8" s="1303"/>
      <c r="LJ8" s="1303"/>
      <c r="LK8" s="1303"/>
      <c r="LL8" s="1303"/>
      <c r="LM8" s="1303"/>
      <c r="LN8" s="1303"/>
      <c r="LO8" s="1303"/>
      <c r="LP8" s="1303"/>
      <c r="LQ8" s="1303"/>
      <c r="LR8" s="1303"/>
      <c r="LS8" s="1303"/>
      <c r="LT8" s="1303"/>
      <c r="LU8" s="1303"/>
      <c r="LV8" s="1303"/>
      <c r="LW8" s="1303"/>
      <c r="LX8" s="1303"/>
      <c r="LY8" s="1303"/>
      <c r="LZ8" s="1303"/>
      <c r="MA8" s="1303"/>
      <c r="MB8" s="1303"/>
      <c r="MC8" s="1303"/>
      <c r="MD8" s="1303"/>
      <c r="ME8" s="1303"/>
      <c r="MF8" s="1303"/>
      <c r="MG8" s="1303"/>
      <c r="MH8" s="1303"/>
      <c r="MI8" s="1303"/>
      <c r="MJ8" s="1303"/>
      <c r="MK8" s="1303"/>
      <c r="ML8" s="1303"/>
      <c r="MM8" s="1303"/>
      <c r="MN8" s="1303"/>
      <c r="MO8" s="1303"/>
      <c r="MP8" s="1303"/>
      <c r="MQ8" s="1303"/>
      <c r="MR8" s="1303"/>
      <c r="MS8" s="1303"/>
      <c r="MT8" s="1303"/>
      <c r="MU8" s="1303"/>
      <c r="MV8" s="1303"/>
      <c r="MW8" s="1303"/>
      <c r="MX8" s="1303"/>
      <c r="MY8" s="1303"/>
      <c r="MZ8" s="1303"/>
      <c r="NA8" s="1303"/>
      <c r="NB8" s="1303"/>
      <c r="NC8" s="1303"/>
      <c r="ND8" s="1303"/>
      <c r="NE8" s="1303"/>
      <c r="NF8" s="1303"/>
      <c r="NG8" s="1303"/>
      <c r="NH8" s="1303"/>
      <c r="NI8" s="1303"/>
      <c r="NJ8" s="1303"/>
      <c r="NK8" s="1303"/>
      <c r="NL8" s="1303"/>
      <c r="NM8" s="1303"/>
      <c r="NN8" s="1303"/>
      <c r="NO8" s="1303"/>
      <c r="NP8" s="1303"/>
      <c r="NQ8" s="1303"/>
      <c r="NR8" s="1303"/>
      <c r="NS8" s="1303"/>
      <c r="NT8" s="1303"/>
      <c r="NU8" s="1303"/>
      <c r="NV8" s="1303"/>
      <c r="NW8" s="1303"/>
      <c r="NX8" s="1303"/>
      <c r="NY8" s="1303"/>
      <c r="NZ8" s="1303"/>
      <c r="OA8" s="1303"/>
      <c r="OB8" s="1303"/>
      <c r="OC8" s="1303"/>
      <c r="OD8" s="1303"/>
      <c r="OE8" s="1303"/>
      <c r="OF8" s="1303"/>
      <c r="OG8" s="1303"/>
      <c r="OH8" s="1303"/>
      <c r="OI8" s="1303"/>
      <c r="OJ8" s="1303"/>
      <c r="OK8" s="1303"/>
      <c r="OL8" s="1303"/>
      <c r="OM8" s="1303"/>
      <c r="ON8" s="1303"/>
      <c r="OO8" s="1303"/>
      <c r="OP8" s="1303"/>
      <c r="OQ8" s="1303"/>
      <c r="OR8" s="1303"/>
      <c r="OS8" s="1303"/>
      <c r="OT8" s="1303"/>
      <c r="OU8" s="1303"/>
      <c r="OV8" s="1303"/>
      <c r="OW8" s="1303"/>
      <c r="OX8" s="1303"/>
      <c r="OY8" s="1303"/>
      <c r="OZ8" s="1303"/>
      <c r="PA8" s="1303"/>
      <c r="PB8" s="1303"/>
      <c r="PC8" s="1303"/>
      <c r="PD8" s="1303"/>
      <c r="PE8" s="1303"/>
      <c r="PF8" s="1303"/>
      <c r="PG8" s="1303"/>
      <c r="PH8" s="1303"/>
      <c r="PI8" s="1303"/>
      <c r="PJ8" s="1303"/>
      <c r="PK8" s="1303"/>
      <c r="PL8" s="1303"/>
      <c r="PM8" s="1303"/>
      <c r="PN8" s="1303"/>
      <c r="PO8" s="1303"/>
      <c r="PP8" s="1303"/>
      <c r="PQ8" s="1303"/>
      <c r="PR8" s="1303"/>
      <c r="PS8" s="1303"/>
      <c r="PT8" s="1303"/>
      <c r="PU8" s="1303"/>
      <c r="PV8" s="1303"/>
      <c r="PW8" s="1303"/>
      <c r="PX8" s="1303"/>
      <c r="PY8" s="1303"/>
      <c r="PZ8" s="1303"/>
      <c r="QA8" s="1303"/>
      <c r="QB8" s="1303"/>
      <c r="QC8" s="1303"/>
      <c r="QD8" s="1303"/>
      <c r="QE8" s="1303"/>
      <c r="QF8" s="1303"/>
      <c r="QG8" s="1303"/>
      <c r="QH8" s="1303"/>
      <c r="QI8" s="1303"/>
      <c r="QJ8" s="1303"/>
      <c r="QK8" s="1303"/>
    </row>
    <row r="9" spans="1:453" s="558" customFormat="1" ht="15" customHeight="1">
      <c r="A9" s="680"/>
      <c r="B9" s="680"/>
      <c r="C9" s="2108" t="str">
        <f ca="1">TEXT(HYPERLINK("#"&amp;CELL("address",'Equipment Results Matrix'!A5),'Equipment Results Matrix'!A5),"0,000")</f>
        <v>Refrigerators 
(full size residential)</v>
      </c>
      <c r="D9" s="2108"/>
      <c r="E9" s="2108"/>
      <c r="F9" s="2108"/>
      <c r="G9" s="2108"/>
      <c r="H9" s="2108"/>
      <c r="I9" s="680"/>
      <c r="J9" s="680"/>
      <c r="K9" s="680"/>
      <c r="L9" s="2107" t="str">
        <f ca="1">TEXT(HYPERLINK("#"&amp;CELL("address",'Equipment + Labor'!A5),"Total installed cost"),"0,000")</f>
        <v>Total installed cost</v>
      </c>
      <c r="M9" s="2107"/>
      <c r="N9" s="2107"/>
      <c r="O9" s="673"/>
      <c r="P9" s="673"/>
      <c r="Q9" s="673"/>
      <c r="R9" s="673"/>
      <c r="S9" s="673"/>
      <c r="T9" s="673"/>
      <c r="U9" s="673"/>
      <c r="V9" s="673"/>
      <c r="W9" s="673"/>
      <c r="X9" s="673"/>
      <c r="Y9" s="673"/>
      <c r="Z9" s="673"/>
      <c r="AA9" s="673"/>
      <c r="AB9" s="673"/>
      <c r="AC9" s="673"/>
      <c r="AD9" s="673"/>
      <c r="AE9" s="673"/>
      <c r="AF9" s="673"/>
      <c r="AG9" s="673"/>
      <c r="AH9" s="673"/>
      <c r="AI9" s="673"/>
      <c r="AJ9" s="673"/>
      <c r="AK9" s="673"/>
      <c r="AL9" s="673"/>
      <c r="AM9" s="673"/>
      <c r="AN9" s="673"/>
      <c r="AO9" s="673"/>
      <c r="AP9" s="673"/>
      <c r="AQ9" s="673"/>
      <c r="AR9" s="673"/>
      <c r="AS9" s="673"/>
      <c r="AT9" s="673"/>
      <c r="AU9" s="673"/>
      <c r="AV9" s="673"/>
      <c r="AW9" s="673"/>
      <c r="AX9" s="673"/>
      <c r="AY9" s="673"/>
      <c r="AZ9" s="673"/>
      <c r="BA9" s="673"/>
      <c r="BB9" s="673"/>
      <c r="BC9" s="673"/>
      <c r="BD9" s="673"/>
      <c r="BE9" s="673"/>
      <c r="BF9" s="673"/>
      <c r="BG9" s="673"/>
      <c r="BH9" s="673"/>
      <c r="BI9" s="673"/>
      <c r="BJ9" s="673"/>
      <c r="BK9" s="673"/>
      <c r="BL9" s="673"/>
      <c r="BM9" s="673"/>
      <c r="BN9" s="673"/>
      <c r="BO9" s="673"/>
      <c r="BP9" s="673"/>
      <c r="BQ9" s="673"/>
      <c r="BR9" s="673"/>
      <c r="BS9" s="673"/>
      <c r="BT9" s="673"/>
      <c r="BU9" s="673"/>
      <c r="BV9" s="673"/>
      <c r="BW9" s="673"/>
      <c r="BX9" s="673"/>
      <c r="BY9" s="673"/>
      <c r="BZ9" s="673"/>
      <c r="CA9" s="673"/>
      <c r="CB9" s="673"/>
      <c r="CC9" s="673"/>
      <c r="CD9" s="673"/>
      <c r="CE9" s="673"/>
      <c r="CF9" s="673"/>
      <c r="CG9" s="673"/>
      <c r="CH9" s="673"/>
      <c r="CI9" s="673"/>
      <c r="CJ9" s="673"/>
      <c r="CK9" s="673"/>
      <c r="CL9" s="673"/>
      <c r="CM9" s="673"/>
      <c r="CN9" s="673"/>
      <c r="CO9" s="673"/>
      <c r="CP9" s="673"/>
      <c r="CQ9" s="673"/>
      <c r="CR9" s="673"/>
      <c r="CS9" s="673"/>
      <c r="CT9" s="673"/>
      <c r="CU9" s="673"/>
      <c r="CV9" s="673"/>
      <c r="CW9" s="673"/>
      <c r="CX9" s="673"/>
      <c r="CY9" s="673"/>
      <c r="CZ9" s="673"/>
      <c r="DA9" s="673"/>
      <c r="DB9" s="673"/>
      <c r="DC9" s="673"/>
      <c r="DD9" s="673"/>
      <c r="DE9" s="673"/>
      <c r="DF9" s="673"/>
      <c r="DG9" s="673"/>
      <c r="DH9" s="673"/>
      <c r="DI9" s="673"/>
      <c r="DJ9" s="673"/>
      <c r="DK9" s="673"/>
      <c r="DL9" s="673"/>
      <c r="DM9" s="673"/>
      <c r="DN9" s="673"/>
      <c r="DO9" s="673"/>
      <c r="DP9" s="673"/>
      <c r="DQ9" s="673"/>
      <c r="DR9" s="673"/>
      <c r="DS9" s="673"/>
      <c r="DT9" s="673"/>
      <c r="DU9" s="673"/>
      <c r="DV9" s="673"/>
      <c r="DW9" s="673"/>
      <c r="DX9" s="673"/>
      <c r="DY9" s="673"/>
      <c r="DZ9" s="673"/>
      <c r="EA9" s="673"/>
      <c r="EB9" s="673"/>
      <c r="EC9" s="673"/>
      <c r="ED9" s="673"/>
      <c r="EE9" s="673"/>
      <c r="EF9" s="673"/>
      <c r="EG9" s="673"/>
      <c r="EH9" s="673"/>
      <c r="EI9" s="673"/>
      <c r="EJ9" s="673"/>
      <c r="EK9" s="673"/>
      <c r="EL9" s="673"/>
      <c r="EM9" s="673"/>
      <c r="EN9" s="673"/>
      <c r="EO9" s="673"/>
      <c r="EP9" s="673"/>
      <c r="EQ9" s="673"/>
      <c r="ER9" s="673"/>
      <c r="ES9" s="673"/>
      <c r="ET9" s="673"/>
      <c r="EU9" s="673"/>
      <c r="EV9" s="673"/>
      <c r="EW9" s="673"/>
      <c r="EX9" s="673"/>
      <c r="EY9" s="673"/>
      <c r="EZ9" s="673"/>
      <c r="FA9" s="673"/>
      <c r="FB9" s="673"/>
      <c r="FC9" s="673"/>
      <c r="FD9" s="673"/>
      <c r="FE9" s="673"/>
      <c r="FF9" s="673"/>
      <c r="FG9" s="673"/>
      <c r="FH9" s="673"/>
      <c r="FI9" s="673"/>
      <c r="FJ9" s="673"/>
      <c r="FK9" s="673"/>
      <c r="FL9" s="673"/>
      <c r="FM9" s="673"/>
      <c r="FN9" s="673"/>
      <c r="FO9" s="673"/>
      <c r="FP9" s="673"/>
      <c r="FQ9" s="673"/>
      <c r="FR9" s="673"/>
      <c r="FS9" s="673"/>
      <c r="FT9" s="673"/>
      <c r="FU9" s="673"/>
      <c r="FV9" s="673"/>
      <c r="FW9" s="673"/>
      <c r="FX9" s="673"/>
      <c r="FY9" s="673"/>
      <c r="FZ9" s="673"/>
      <c r="GA9" s="673"/>
      <c r="GB9" s="673"/>
      <c r="GC9" s="673"/>
      <c r="GD9" s="673"/>
      <c r="GE9" s="673"/>
      <c r="GF9" s="673"/>
      <c r="GG9" s="673"/>
      <c r="GH9" s="673"/>
      <c r="GI9" s="673"/>
      <c r="GJ9" s="673"/>
      <c r="GK9" s="673"/>
      <c r="GL9" s="673"/>
      <c r="GM9" s="673"/>
      <c r="GN9" s="673"/>
      <c r="GO9" s="673"/>
      <c r="GP9" s="673"/>
      <c r="GQ9" s="673"/>
      <c r="GR9" s="673"/>
      <c r="GS9" s="673"/>
      <c r="GT9" s="673"/>
      <c r="GU9" s="673"/>
      <c r="GV9" s="673"/>
      <c r="GW9" s="673"/>
      <c r="GX9" s="673"/>
      <c r="GY9" s="673"/>
      <c r="GZ9" s="673"/>
      <c r="HA9" s="673"/>
      <c r="HB9" s="673"/>
      <c r="HC9" s="673"/>
      <c r="HD9" s="673"/>
      <c r="HE9" s="673"/>
      <c r="HF9" s="673"/>
      <c r="HG9" s="673"/>
      <c r="HH9" s="673"/>
      <c r="HI9" s="673"/>
      <c r="HJ9" s="673"/>
      <c r="HK9" s="673"/>
      <c r="HL9" s="673"/>
      <c r="HM9" s="673"/>
      <c r="HN9" s="673"/>
      <c r="HO9" s="673"/>
      <c r="HP9" s="673"/>
      <c r="HQ9" s="673"/>
      <c r="HR9" s="673"/>
      <c r="HS9" s="673"/>
      <c r="HT9" s="673"/>
      <c r="HU9" s="673"/>
      <c r="HV9" s="673"/>
      <c r="HW9" s="673"/>
      <c r="HX9" s="673"/>
      <c r="HY9" s="673"/>
      <c r="HZ9" s="673"/>
      <c r="IA9" s="673"/>
      <c r="IB9" s="673"/>
      <c r="IC9" s="673"/>
      <c r="ID9" s="673"/>
      <c r="IE9" s="673"/>
      <c r="IF9" s="673"/>
      <c r="IG9" s="673"/>
      <c r="IH9" s="673"/>
      <c r="II9" s="673"/>
      <c r="IJ9" s="673"/>
      <c r="IK9" s="673"/>
      <c r="IL9" s="673"/>
      <c r="IM9" s="673"/>
      <c r="IN9" s="673"/>
      <c r="IO9" s="673"/>
      <c r="IP9" s="673"/>
      <c r="IQ9" s="673"/>
      <c r="IR9" s="673"/>
      <c r="IS9" s="673"/>
      <c r="IT9" s="673"/>
      <c r="IU9" s="673"/>
      <c r="IV9" s="673"/>
      <c r="IW9" s="673"/>
      <c r="IX9" s="673"/>
      <c r="IY9" s="673"/>
      <c r="IZ9" s="673"/>
      <c r="JA9" s="673"/>
      <c r="JB9" s="673"/>
      <c r="JC9" s="673"/>
      <c r="JD9" s="673"/>
      <c r="JE9" s="673"/>
      <c r="JF9" s="673"/>
      <c r="JG9" s="673"/>
      <c r="JH9" s="673"/>
      <c r="JI9" s="673"/>
      <c r="JJ9" s="673"/>
      <c r="JK9" s="673"/>
      <c r="JL9" s="673"/>
      <c r="JM9" s="673"/>
      <c r="JN9" s="673"/>
      <c r="JO9" s="673"/>
      <c r="JP9" s="673"/>
      <c r="JQ9" s="673"/>
      <c r="JR9" s="673"/>
      <c r="JS9" s="673"/>
      <c r="JT9" s="673"/>
      <c r="JU9" s="673"/>
      <c r="JV9" s="673"/>
      <c r="JW9" s="673"/>
      <c r="JX9" s="673"/>
      <c r="JY9" s="673"/>
      <c r="JZ9" s="673"/>
      <c r="KA9" s="673"/>
      <c r="KB9" s="673"/>
      <c r="KC9" s="673"/>
      <c r="KD9" s="673"/>
      <c r="KE9" s="673"/>
      <c r="KF9" s="673"/>
      <c r="KG9" s="673"/>
      <c r="KH9" s="673"/>
      <c r="KI9" s="673"/>
      <c r="KJ9" s="673"/>
      <c r="KK9" s="673"/>
      <c r="KL9" s="673"/>
      <c r="KM9" s="673"/>
      <c r="KN9" s="673"/>
      <c r="KO9" s="673"/>
      <c r="KP9" s="673"/>
      <c r="KQ9" s="673"/>
      <c r="KR9" s="673"/>
      <c r="KS9" s="673"/>
      <c r="KT9" s="673"/>
      <c r="KU9" s="673"/>
      <c r="KV9" s="673"/>
      <c r="KW9" s="673"/>
      <c r="KX9" s="673"/>
      <c r="KY9" s="673"/>
      <c r="KZ9" s="673"/>
      <c r="LA9" s="673"/>
      <c r="LB9" s="673"/>
      <c r="LC9" s="673"/>
      <c r="LD9" s="673"/>
      <c r="LE9" s="673"/>
      <c r="LF9" s="673"/>
      <c r="LG9" s="673"/>
      <c r="LH9" s="673"/>
      <c r="LI9" s="673"/>
      <c r="LJ9" s="673"/>
      <c r="LK9" s="673"/>
      <c r="LL9" s="673"/>
      <c r="LM9" s="673"/>
      <c r="LN9" s="673"/>
      <c r="LO9" s="673"/>
      <c r="LP9" s="673"/>
      <c r="LQ9" s="673"/>
      <c r="LR9" s="673"/>
      <c r="LS9" s="673"/>
      <c r="LT9" s="673"/>
      <c r="LU9" s="673"/>
      <c r="LV9" s="673"/>
      <c r="LW9" s="673"/>
      <c r="LX9" s="673"/>
      <c r="LY9" s="673"/>
      <c r="LZ9" s="673"/>
      <c r="MA9" s="673"/>
      <c r="MB9" s="673"/>
      <c r="MC9" s="673"/>
      <c r="MD9" s="673"/>
      <c r="ME9" s="673"/>
      <c r="MF9" s="673"/>
      <c r="MG9" s="673"/>
      <c r="MH9" s="673"/>
      <c r="MI9" s="673"/>
      <c r="MJ9" s="673"/>
      <c r="MK9" s="673"/>
      <c r="ML9" s="673"/>
      <c r="MM9" s="673"/>
      <c r="MN9" s="673"/>
      <c r="MO9" s="673"/>
      <c r="MP9" s="673"/>
      <c r="MQ9" s="673"/>
      <c r="MR9" s="673"/>
      <c r="MS9" s="673"/>
      <c r="MT9" s="673"/>
      <c r="MU9" s="673"/>
      <c r="MV9" s="673"/>
      <c r="MW9" s="673"/>
      <c r="MX9" s="673"/>
      <c r="MY9" s="673"/>
      <c r="MZ9" s="673"/>
      <c r="NA9" s="673"/>
      <c r="NB9" s="673"/>
      <c r="NC9" s="673"/>
      <c r="ND9" s="673"/>
      <c r="NE9" s="673"/>
      <c r="NF9" s="673"/>
      <c r="NG9" s="673"/>
      <c r="NH9" s="673"/>
      <c r="NI9" s="673"/>
      <c r="NJ9" s="673"/>
      <c r="NK9" s="673"/>
      <c r="NL9" s="673"/>
      <c r="NM9" s="673"/>
      <c r="NN9" s="673"/>
      <c r="NO9" s="673"/>
      <c r="NP9" s="673"/>
      <c r="NQ9" s="673"/>
      <c r="NR9" s="673"/>
      <c r="NS9" s="673"/>
      <c r="NT9" s="673"/>
      <c r="NU9" s="673"/>
      <c r="NV9" s="673"/>
      <c r="NW9" s="673"/>
      <c r="NX9" s="673"/>
      <c r="NY9" s="673"/>
      <c r="NZ9" s="673"/>
      <c r="OA9" s="673"/>
      <c r="OB9" s="673"/>
      <c r="OC9" s="673"/>
      <c r="OD9" s="673"/>
      <c r="OE9" s="673"/>
      <c r="OF9" s="673"/>
      <c r="OG9" s="673"/>
      <c r="OH9" s="673"/>
      <c r="OI9" s="673"/>
      <c r="OJ9" s="673"/>
      <c r="OK9" s="673"/>
      <c r="OL9" s="673"/>
      <c r="OM9" s="673"/>
      <c r="ON9" s="673"/>
      <c r="OO9" s="673"/>
      <c r="OP9" s="673"/>
      <c r="OQ9" s="673"/>
      <c r="OR9" s="673"/>
      <c r="OS9" s="673"/>
      <c r="OT9" s="673"/>
      <c r="OU9" s="673"/>
      <c r="OV9" s="673"/>
      <c r="OW9" s="673"/>
      <c r="OX9" s="673"/>
      <c r="OY9" s="673"/>
      <c r="OZ9" s="673"/>
      <c r="PA9" s="673"/>
      <c r="PB9" s="673"/>
      <c r="PC9" s="673"/>
      <c r="PD9" s="673"/>
      <c r="PE9" s="673"/>
      <c r="PF9" s="673"/>
      <c r="PG9" s="673"/>
      <c r="PH9" s="673"/>
      <c r="PI9" s="673"/>
      <c r="PJ9" s="673"/>
      <c r="PK9" s="673"/>
      <c r="PL9" s="673"/>
      <c r="PM9" s="673"/>
      <c r="PN9" s="673"/>
      <c r="PO9" s="673"/>
      <c r="PP9" s="673"/>
      <c r="PQ9" s="673"/>
      <c r="PR9" s="673"/>
      <c r="PS9" s="673"/>
      <c r="PT9" s="673"/>
      <c r="PU9" s="673"/>
      <c r="PV9" s="673"/>
      <c r="PW9" s="673"/>
      <c r="PX9" s="673"/>
      <c r="PY9" s="673"/>
      <c r="PZ9" s="673"/>
      <c r="QA9" s="673"/>
      <c r="QB9" s="673"/>
      <c r="QC9" s="673"/>
      <c r="QD9" s="673"/>
      <c r="QE9" s="673"/>
      <c r="QF9" s="673"/>
      <c r="QG9" s="673"/>
      <c r="QH9" s="673"/>
      <c r="QI9" s="673"/>
      <c r="QJ9" s="673"/>
      <c r="QK9" s="673"/>
    </row>
    <row r="10" spans="1:453" s="558" customFormat="1">
      <c r="A10" s="680"/>
      <c r="B10" s="680"/>
      <c r="C10" s="2107" t="str">
        <f ca="1">TEXT(HYPERLINK("#"&amp;CELL("address",'Equipment Results Matrix'!A28),'Equipment Results Matrix'!A28),"0,000")</f>
        <v>Clothes Washers 
(side by side, top loading)</v>
      </c>
      <c r="D10" s="2107"/>
      <c r="E10" s="2107"/>
      <c r="F10" s="2107"/>
      <c r="G10" s="2107"/>
      <c r="H10" s="2107"/>
      <c r="I10" s="680"/>
      <c r="J10" s="680"/>
      <c r="K10" s="680"/>
      <c r="L10" s="2107" t="str">
        <f ca="1">TEXT(HYPERLINK("#"&amp;CELL("address",'Equipment + Labor'!A28),"Total installed cost"),"0,000")</f>
        <v>Total installed cost</v>
      </c>
      <c r="M10" s="2107"/>
      <c r="N10" s="2107"/>
      <c r="O10" s="673"/>
      <c r="P10" s="673"/>
      <c r="Q10" s="673"/>
      <c r="R10" s="673"/>
      <c r="S10" s="673"/>
      <c r="T10" s="673"/>
      <c r="U10" s="673"/>
      <c r="V10" s="673"/>
      <c r="W10" s="673"/>
      <c r="X10" s="673"/>
      <c r="Y10" s="673"/>
      <c r="Z10" s="673"/>
      <c r="AA10" s="673"/>
      <c r="AB10" s="673"/>
      <c r="AC10" s="673"/>
      <c r="AD10" s="673"/>
      <c r="AE10" s="673"/>
      <c r="AF10" s="673"/>
      <c r="AG10" s="673"/>
      <c r="AH10" s="673"/>
      <c r="AI10" s="673"/>
      <c r="AJ10" s="673"/>
      <c r="AK10" s="673"/>
      <c r="AL10" s="673"/>
      <c r="AM10" s="673"/>
      <c r="AN10" s="673"/>
      <c r="AO10" s="673"/>
      <c r="AP10" s="673"/>
      <c r="AQ10" s="673"/>
      <c r="AR10" s="673"/>
      <c r="AS10" s="673"/>
      <c r="AT10" s="673"/>
      <c r="AU10" s="673"/>
      <c r="AV10" s="673"/>
      <c r="AW10" s="673"/>
      <c r="AX10" s="673"/>
      <c r="AY10" s="673"/>
      <c r="AZ10" s="673"/>
      <c r="BA10" s="673"/>
      <c r="BB10" s="673"/>
      <c r="BC10" s="673"/>
      <c r="BD10" s="673"/>
      <c r="BE10" s="673"/>
      <c r="BF10" s="673"/>
      <c r="BG10" s="673"/>
      <c r="BH10" s="673"/>
      <c r="BI10" s="673"/>
      <c r="BJ10" s="673"/>
      <c r="BK10" s="673"/>
      <c r="BL10" s="673"/>
      <c r="BM10" s="673"/>
      <c r="BN10" s="673"/>
      <c r="BO10" s="673"/>
      <c r="BP10" s="673"/>
      <c r="BQ10" s="673"/>
      <c r="BR10" s="673"/>
      <c r="BS10" s="673"/>
      <c r="BT10" s="673"/>
      <c r="BU10" s="673"/>
      <c r="BV10" s="673"/>
      <c r="BW10" s="673"/>
      <c r="BX10" s="673"/>
      <c r="BY10" s="673"/>
      <c r="BZ10" s="673"/>
      <c r="CA10" s="673"/>
      <c r="CB10" s="673"/>
      <c r="CC10" s="673"/>
      <c r="CD10" s="673"/>
      <c r="CE10" s="673"/>
      <c r="CF10" s="673"/>
      <c r="CG10" s="673"/>
      <c r="CH10" s="673"/>
      <c r="CI10" s="673"/>
      <c r="CJ10" s="673"/>
      <c r="CK10" s="673"/>
      <c r="CL10" s="673"/>
      <c r="CM10" s="673"/>
      <c r="CN10" s="673"/>
      <c r="CO10" s="673"/>
      <c r="CP10" s="673"/>
      <c r="CQ10" s="673"/>
      <c r="CR10" s="673"/>
      <c r="CS10" s="673"/>
      <c r="CT10" s="673"/>
      <c r="CU10" s="673"/>
      <c r="CV10" s="673"/>
      <c r="CW10" s="673"/>
      <c r="CX10" s="673"/>
      <c r="CY10" s="673"/>
      <c r="CZ10" s="673"/>
      <c r="DA10" s="673"/>
      <c r="DB10" s="673"/>
      <c r="DC10" s="673"/>
      <c r="DD10" s="673"/>
      <c r="DE10" s="673"/>
      <c r="DF10" s="673"/>
      <c r="DG10" s="673"/>
      <c r="DH10" s="673"/>
      <c r="DI10" s="673"/>
      <c r="DJ10" s="673"/>
      <c r="DK10" s="673"/>
      <c r="DL10" s="673"/>
      <c r="DM10" s="673"/>
      <c r="DN10" s="673"/>
      <c r="DO10" s="673"/>
      <c r="DP10" s="673"/>
      <c r="DQ10" s="673"/>
      <c r="DR10" s="673"/>
      <c r="DS10" s="673"/>
      <c r="DT10" s="673"/>
      <c r="DU10" s="673"/>
      <c r="DV10" s="673"/>
      <c r="DW10" s="673"/>
      <c r="DX10" s="673"/>
      <c r="DY10" s="673"/>
      <c r="DZ10" s="673"/>
      <c r="EA10" s="673"/>
      <c r="EB10" s="673"/>
      <c r="EC10" s="673"/>
      <c r="ED10" s="673"/>
      <c r="EE10" s="673"/>
      <c r="EF10" s="673"/>
      <c r="EG10" s="673"/>
      <c r="EH10" s="673"/>
      <c r="EI10" s="673"/>
      <c r="EJ10" s="673"/>
      <c r="EK10" s="673"/>
      <c r="EL10" s="673"/>
      <c r="EM10" s="673"/>
      <c r="EN10" s="673"/>
      <c r="EO10" s="673"/>
      <c r="EP10" s="673"/>
      <c r="EQ10" s="673"/>
      <c r="ER10" s="673"/>
      <c r="ES10" s="673"/>
      <c r="ET10" s="673"/>
      <c r="EU10" s="673"/>
      <c r="EV10" s="673"/>
      <c r="EW10" s="673"/>
      <c r="EX10" s="673"/>
      <c r="EY10" s="673"/>
      <c r="EZ10" s="673"/>
      <c r="FA10" s="673"/>
      <c r="FB10" s="673"/>
      <c r="FC10" s="673"/>
      <c r="FD10" s="673"/>
      <c r="FE10" s="673"/>
      <c r="FF10" s="673"/>
      <c r="FG10" s="673"/>
      <c r="FH10" s="673"/>
      <c r="FI10" s="673"/>
      <c r="FJ10" s="673"/>
      <c r="FK10" s="673"/>
      <c r="FL10" s="673"/>
      <c r="FM10" s="673"/>
      <c r="FN10" s="673"/>
      <c r="FO10" s="673"/>
      <c r="FP10" s="673"/>
      <c r="FQ10" s="673"/>
      <c r="FR10" s="673"/>
      <c r="FS10" s="673"/>
      <c r="FT10" s="673"/>
      <c r="FU10" s="673"/>
      <c r="FV10" s="673"/>
      <c r="FW10" s="673"/>
      <c r="FX10" s="673"/>
      <c r="FY10" s="673"/>
      <c r="FZ10" s="673"/>
      <c r="GA10" s="673"/>
      <c r="GB10" s="673"/>
      <c r="GC10" s="673"/>
      <c r="GD10" s="673"/>
      <c r="GE10" s="673"/>
      <c r="GF10" s="673"/>
      <c r="GG10" s="673"/>
      <c r="GH10" s="673"/>
      <c r="GI10" s="673"/>
      <c r="GJ10" s="673"/>
      <c r="GK10" s="673"/>
      <c r="GL10" s="673"/>
      <c r="GM10" s="673"/>
      <c r="GN10" s="673"/>
      <c r="GO10" s="673"/>
      <c r="GP10" s="673"/>
      <c r="GQ10" s="673"/>
      <c r="GR10" s="673"/>
      <c r="GS10" s="673"/>
      <c r="GT10" s="673"/>
      <c r="GU10" s="673"/>
      <c r="GV10" s="673"/>
      <c r="GW10" s="673"/>
      <c r="GX10" s="673"/>
      <c r="GY10" s="673"/>
      <c r="GZ10" s="673"/>
      <c r="HA10" s="673"/>
      <c r="HB10" s="673"/>
      <c r="HC10" s="673"/>
      <c r="HD10" s="673"/>
      <c r="HE10" s="673"/>
      <c r="HF10" s="673"/>
      <c r="HG10" s="673"/>
      <c r="HH10" s="673"/>
      <c r="HI10" s="673"/>
      <c r="HJ10" s="673"/>
      <c r="HK10" s="673"/>
      <c r="HL10" s="673"/>
      <c r="HM10" s="673"/>
      <c r="HN10" s="673"/>
      <c r="HO10" s="673"/>
      <c r="HP10" s="673"/>
      <c r="HQ10" s="673"/>
      <c r="HR10" s="673"/>
      <c r="HS10" s="673"/>
      <c r="HT10" s="673"/>
      <c r="HU10" s="673"/>
      <c r="HV10" s="673"/>
      <c r="HW10" s="673"/>
      <c r="HX10" s="673"/>
      <c r="HY10" s="673"/>
      <c r="HZ10" s="673"/>
      <c r="IA10" s="673"/>
      <c r="IB10" s="673"/>
      <c r="IC10" s="673"/>
      <c r="ID10" s="673"/>
      <c r="IE10" s="673"/>
      <c r="IF10" s="673"/>
      <c r="IG10" s="673"/>
      <c r="IH10" s="673"/>
      <c r="II10" s="673"/>
      <c r="IJ10" s="673"/>
      <c r="IK10" s="673"/>
      <c r="IL10" s="673"/>
      <c r="IM10" s="673"/>
      <c r="IN10" s="673"/>
      <c r="IO10" s="673"/>
      <c r="IP10" s="673"/>
      <c r="IQ10" s="673"/>
      <c r="IR10" s="673"/>
      <c r="IS10" s="673"/>
      <c r="IT10" s="673"/>
      <c r="IU10" s="673"/>
      <c r="IV10" s="673"/>
      <c r="IW10" s="673"/>
      <c r="IX10" s="673"/>
      <c r="IY10" s="673"/>
      <c r="IZ10" s="673"/>
      <c r="JA10" s="673"/>
      <c r="JB10" s="673"/>
      <c r="JC10" s="673"/>
      <c r="JD10" s="673"/>
      <c r="JE10" s="673"/>
      <c r="JF10" s="673"/>
      <c r="JG10" s="673"/>
      <c r="JH10" s="673"/>
      <c r="JI10" s="673"/>
      <c r="JJ10" s="673"/>
      <c r="JK10" s="673"/>
      <c r="JL10" s="673"/>
      <c r="JM10" s="673"/>
      <c r="JN10" s="673"/>
      <c r="JO10" s="673"/>
      <c r="JP10" s="673"/>
      <c r="JQ10" s="673"/>
      <c r="JR10" s="673"/>
      <c r="JS10" s="673"/>
      <c r="JT10" s="673"/>
      <c r="JU10" s="673"/>
      <c r="JV10" s="673"/>
      <c r="JW10" s="673"/>
      <c r="JX10" s="673"/>
      <c r="JY10" s="673"/>
      <c r="JZ10" s="673"/>
      <c r="KA10" s="673"/>
      <c r="KB10" s="673"/>
      <c r="KC10" s="673"/>
      <c r="KD10" s="673"/>
      <c r="KE10" s="673"/>
      <c r="KF10" s="673"/>
      <c r="KG10" s="673"/>
      <c r="KH10" s="673"/>
      <c r="KI10" s="673"/>
      <c r="KJ10" s="673"/>
      <c r="KK10" s="673"/>
      <c r="KL10" s="673"/>
      <c r="KM10" s="673"/>
      <c r="KN10" s="673"/>
      <c r="KO10" s="673"/>
      <c r="KP10" s="673"/>
      <c r="KQ10" s="673"/>
      <c r="KR10" s="673"/>
      <c r="KS10" s="673"/>
      <c r="KT10" s="673"/>
      <c r="KU10" s="673"/>
      <c r="KV10" s="673"/>
      <c r="KW10" s="673"/>
      <c r="KX10" s="673"/>
      <c r="KY10" s="673"/>
      <c r="KZ10" s="673"/>
      <c r="LA10" s="673"/>
      <c r="LB10" s="673"/>
      <c r="LC10" s="673"/>
      <c r="LD10" s="673"/>
      <c r="LE10" s="673"/>
      <c r="LF10" s="673"/>
      <c r="LG10" s="673"/>
      <c r="LH10" s="673"/>
      <c r="LI10" s="673"/>
      <c r="LJ10" s="673"/>
      <c r="LK10" s="673"/>
      <c r="LL10" s="673"/>
      <c r="LM10" s="673"/>
      <c r="LN10" s="673"/>
      <c r="LO10" s="673"/>
      <c r="LP10" s="673"/>
      <c r="LQ10" s="673"/>
      <c r="LR10" s="673"/>
      <c r="LS10" s="673"/>
      <c r="LT10" s="673"/>
      <c r="LU10" s="673"/>
      <c r="LV10" s="673"/>
      <c r="LW10" s="673"/>
      <c r="LX10" s="673"/>
      <c r="LY10" s="673"/>
      <c r="LZ10" s="673"/>
      <c r="MA10" s="673"/>
      <c r="MB10" s="673"/>
      <c r="MC10" s="673"/>
      <c r="MD10" s="673"/>
      <c r="ME10" s="673"/>
      <c r="MF10" s="673"/>
      <c r="MG10" s="673"/>
      <c r="MH10" s="673"/>
      <c r="MI10" s="673"/>
      <c r="MJ10" s="673"/>
      <c r="MK10" s="673"/>
      <c r="ML10" s="673"/>
      <c r="MM10" s="673"/>
      <c r="MN10" s="673"/>
      <c r="MO10" s="673"/>
      <c r="MP10" s="673"/>
      <c r="MQ10" s="673"/>
      <c r="MR10" s="673"/>
      <c r="MS10" s="673"/>
      <c r="MT10" s="673"/>
      <c r="MU10" s="673"/>
      <c r="MV10" s="673"/>
      <c r="MW10" s="673"/>
      <c r="MX10" s="673"/>
      <c r="MY10" s="673"/>
      <c r="MZ10" s="673"/>
      <c r="NA10" s="673"/>
      <c r="NB10" s="673"/>
      <c r="NC10" s="673"/>
      <c r="ND10" s="673"/>
      <c r="NE10" s="673"/>
      <c r="NF10" s="673"/>
      <c r="NG10" s="673"/>
      <c r="NH10" s="673"/>
      <c r="NI10" s="673"/>
      <c r="NJ10" s="673"/>
      <c r="NK10" s="673"/>
      <c r="NL10" s="673"/>
      <c r="NM10" s="673"/>
      <c r="NN10" s="673"/>
      <c r="NO10" s="673"/>
      <c r="NP10" s="673"/>
      <c r="NQ10" s="673"/>
      <c r="NR10" s="673"/>
      <c r="NS10" s="673"/>
      <c r="NT10" s="673"/>
      <c r="NU10" s="673"/>
      <c r="NV10" s="673"/>
      <c r="NW10" s="673"/>
      <c r="NX10" s="673"/>
      <c r="NY10" s="673"/>
      <c r="NZ10" s="673"/>
      <c r="OA10" s="673"/>
      <c r="OB10" s="673"/>
      <c r="OC10" s="673"/>
      <c r="OD10" s="673"/>
      <c r="OE10" s="673"/>
      <c r="OF10" s="673"/>
      <c r="OG10" s="673"/>
      <c r="OH10" s="673"/>
      <c r="OI10" s="673"/>
      <c r="OJ10" s="673"/>
      <c r="OK10" s="673"/>
      <c r="OL10" s="673"/>
      <c r="OM10" s="673"/>
      <c r="ON10" s="673"/>
      <c r="OO10" s="673"/>
      <c r="OP10" s="673"/>
      <c r="OQ10" s="673"/>
      <c r="OR10" s="673"/>
      <c r="OS10" s="673"/>
      <c r="OT10" s="673"/>
      <c r="OU10" s="673"/>
      <c r="OV10" s="673"/>
      <c r="OW10" s="673"/>
      <c r="OX10" s="673"/>
      <c r="OY10" s="673"/>
      <c r="OZ10" s="673"/>
      <c r="PA10" s="673"/>
      <c r="PB10" s="673"/>
      <c r="PC10" s="673"/>
      <c r="PD10" s="673"/>
      <c r="PE10" s="673"/>
      <c r="PF10" s="673"/>
      <c r="PG10" s="673"/>
      <c r="PH10" s="673"/>
      <c r="PI10" s="673"/>
      <c r="PJ10" s="673"/>
      <c r="PK10" s="673"/>
      <c r="PL10" s="673"/>
      <c r="PM10" s="673"/>
      <c r="PN10" s="673"/>
      <c r="PO10" s="673"/>
      <c r="PP10" s="673"/>
      <c r="PQ10" s="673"/>
      <c r="PR10" s="673"/>
      <c r="PS10" s="673"/>
      <c r="PT10" s="673"/>
      <c r="PU10" s="673"/>
      <c r="PV10" s="673"/>
      <c r="PW10" s="673"/>
      <c r="PX10" s="673"/>
      <c r="PY10" s="673"/>
      <c r="PZ10" s="673"/>
      <c r="QA10" s="673"/>
      <c r="QB10" s="673"/>
      <c r="QC10" s="673"/>
      <c r="QD10" s="673"/>
      <c r="QE10" s="673"/>
      <c r="QF10" s="673"/>
      <c r="QG10" s="673"/>
      <c r="QH10" s="673"/>
      <c r="QI10" s="673"/>
      <c r="QJ10" s="673"/>
      <c r="QK10" s="673"/>
    </row>
    <row r="11" spans="1:453" s="558" customFormat="1">
      <c r="A11" s="680"/>
      <c r="B11" s="680"/>
      <c r="C11" s="2107" t="str">
        <f ca="1">TEXT(HYPERLINK("#"&amp;CELL("address",'Equipment Results Matrix'!A56),'Equipment Results Matrix'!A56),"0,000")</f>
        <v xml:space="preserve">Clothes Washers 
(stackable, front loading) </v>
      </c>
      <c r="D11" s="2107"/>
      <c r="E11" s="2107"/>
      <c r="F11" s="2107"/>
      <c r="G11" s="2107"/>
      <c r="H11" s="2107"/>
      <c r="I11" s="680"/>
      <c r="J11" s="680"/>
      <c r="K11" s="680"/>
      <c r="L11" s="2107" t="str">
        <f ca="1">TEXT(HYPERLINK("#"&amp;CELL("address",'Equipment + Labor'!A37),"Total installed cost"),"0,000")</f>
        <v>Total installed cost</v>
      </c>
      <c r="M11" s="2107"/>
      <c r="N11" s="2107"/>
      <c r="O11" s="673"/>
      <c r="P11" s="673"/>
      <c r="Q11" s="673"/>
      <c r="R11" s="673"/>
      <c r="S11" s="673"/>
      <c r="T11" s="673"/>
      <c r="U11" s="673"/>
      <c r="V11" s="673"/>
      <c r="W11" s="673"/>
      <c r="X11" s="673"/>
      <c r="Y11" s="673"/>
      <c r="Z11" s="673"/>
      <c r="AA11" s="673"/>
      <c r="AB11" s="673"/>
      <c r="AC11" s="673"/>
      <c r="AD11" s="673"/>
      <c r="AE11" s="673"/>
      <c r="AF11" s="673"/>
      <c r="AG11" s="673"/>
      <c r="AH11" s="673"/>
      <c r="AI11" s="673"/>
      <c r="AJ11" s="673"/>
      <c r="AK11" s="673"/>
      <c r="AL11" s="673"/>
      <c r="AM11" s="673"/>
      <c r="AN11" s="673"/>
      <c r="AO11" s="673"/>
      <c r="AP11" s="673"/>
      <c r="AQ11" s="673"/>
      <c r="AR11" s="673"/>
      <c r="AS11" s="673"/>
      <c r="AT11" s="673"/>
      <c r="AU11" s="673"/>
      <c r="AV11" s="673"/>
      <c r="AW11" s="673"/>
      <c r="AX11" s="673"/>
      <c r="AY11" s="673"/>
      <c r="AZ11" s="673"/>
      <c r="BA11" s="673"/>
      <c r="BB11" s="673"/>
      <c r="BC11" s="673"/>
      <c r="BD11" s="673"/>
      <c r="BE11" s="673"/>
      <c r="BF11" s="673"/>
      <c r="BG11" s="673"/>
      <c r="BH11" s="673"/>
      <c r="BI11" s="673"/>
      <c r="BJ11" s="673"/>
      <c r="BK11" s="673"/>
      <c r="BL11" s="673"/>
      <c r="BM11" s="673"/>
      <c r="BN11" s="673"/>
      <c r="BO11" s="673"/>
      <c r="BP11" s="673"/>
      <c r="BQ11" s="673"/>
      <c r="BR11" s="673"/>
      <c r="BS11" s="673"/>
      <c r="BT11" s="673"/>
      <c r="BU11" s="673"/>
      <c r="BV11" s="673"/>
      <c r="BW11" s="673"/>
      <c r="BX11" s="673"/>
      <c r="BY11" s="673"/>
      <c r="BZ11" s="673"/>
      <c r="CA11" s="673"/>
      <c r="CB11" s="673"/>
      <c r="CC11" s="673"/>
      <c r="CD11" s="673"/>
      <c r="CE11" s="673"/>
      <c r="CF11" s="673"/>
      <c r="CG11" s="673"/>
      <c r="CH11" s="673"/>
      <c r="CI11" s="673"/>
      <c r="CJ11" s="673"/>
      <c r="CK11" s="673"/>
      <c r="CL11" s="673"/>
      <c r="CM11" s="673"/>
      <c r="CN11" s="673"/>
      <c r="CO11" s="673"/>
      <c r="CP11" s="673"/>
      <c r="CQ11" s="673"/>
      <c r="CR11" s="673"/>
      <c r="CS11" s="673"/>
      <c r="CT11" s="673"/>
      <c r="CU11" s="673"/>
      <c r="CV11" s="673"/>
      <c r="CW11" s="673"/>
      <c r="CX11" s="673"/>
      <c r="CY11" s="673"/>
      <c r="CZ11" s="673"/>
      <c r="DA11" s="673"/>
      <c r="DB11" s="673"/>
      <c r="DC11" s="673"/>
      <c r="DD11" s="673"/>
      <c r="DE11" s="673"/>
      <c r="DF11" s="673"/>
      <c r="DG11" s="673"/>
      <c r="DH11" s="673"/>
      <c r="DI11" s="673"/>
      <c r="DJ11" s="673"/>
      <c r="DK11" s="673"/>
      <c r="DL11" s="673"/>
      <c r="DM11" s="673"/>
      <c r="DN11" s="673"/>
      <c r="DO11" s="673"/>
      <c r="DP11" s="673"/>
      <c r="DQ11" s="673"/>
      <c r="DR11" s="673"/>
      <c r="DS11" s="673"/>
      <c r="DT11" s="673"/>
      <c r="DU11" s="673"/>
      <c r="DV11" s="673"/>
      <c r="DW11" s="673"/>
      <c r="DX11" s="673"/>
      <c r="DY11" s="673"/>
      <c r="DZ11" s="673"/>
      <c r="EA11" s="673"/>
      <c r="EB11" s="673"/>
      <c r="EC11" s="673"/>
      <c r="ED11" s="673"/>
      <c r="EE11" s="673"/>
      <c r="EF11" s="673"/>
      <c r="EG11" s="673"/>
      <c r="EH11" s="673"/>
      <c r="EI11" s="673"/>
      <c r="EJ11" s="673"/>
      <c r="EK11" s="673"/>
      <c r="EL11" s="673"/>
      <c r="EM11" s="673"/>
      <c r="EN11" s="673"/>
      <c r="EO11" s="673"/>
      <c r="EP11" s="673"/>
      <c r="EQ11" s="673"/>
      <c r="ER11" s="673"/>
      <c r="ES11" s="673"/>
      <c r="ET11" s="673"/>
      <c r="EU11" s="673"/>
      <c r="EV11" s="673"/>
      <c r="EW11" s="673"/>
      <c r="EX11" s="673"/>
      <c r="EY11" s="673"/>
      <c r="EZ11" s="673"/>
      <c r="FA11" s="673"/>
      <c r="FB11" s="673"/>
      <c r="FC11" s="673"/>
      <c r="FD11" s="673"/>
      <c r="FE11" s="673"/>
      <c r="FF11" s="673"/>
      <c r="FG11" s="673"/>
      <c r="FH11" s="673"/>
      <c r="FI11" s="673"/>
      <c r="FJ11" s="673"/>
      <c r="FK11" s="673"/>
      <c r="FL11" s="673"/>
      <c r="FM11" s="673"/>
      <c r="FN11" s="673"/>
      <c r="FO11" s="673"/>
      <c r="FP11" s="673"/>
      <c r="FQ11" s="673"/>
      <c r="FR11" s="673"/>
      <c r="FS11" s="673"/>
      <c r="FT11" s="673"/>
      <c r="FU11" s="673"/>
      <c r="FV11" s="673"/>
      <c r="FW11" s="673"/>
      <c r="FX11" s="673"/>
      <c r="FY11" s="673"/>
      <c r="FZ11" s="673"/>
      <c r="GA11" s="673"/>
      <c r="GB11" s="673"/>
      <c r="GC11" s="673"/>
      <c r="GD11" s="673"/>
      <c r="GE11" s="673"/>
      <c r="GF11" s="673"/>
      <c r="GG11" s="673"/>
      <c r="GH11" s="673"/>
      <c r="GI11" s="673"/>
      <c r="GJ11" s="673"/>
      <c r="GK11" s="673"/>
      <c r="GL11" s="673"/>
      <c r="GM11" s="673"/>
      <c r="GN11" s="673"/>
      <c r="GO11" s="673"/>
      <c r="GP11" s="673"/>
      <c r="GQ11" s="673"/>
      <c r="GR11" s="673"/>
      <c r="GS11" s="673"/>
      <c r="GT11" s="673"/>
      <c r="GU11" s="673"/>
      <c r="GV11" s="673"/>
      <c r="GW11" s="673"/>
      <c r="GX11" s="673"/>
      <c r="GY11" s="673"/>
      <c r="GZ11" s="673"/>
      <c r="HA11" s="673"/>
      <c r="HB11" s="673"/>
      <c r="HC11" s="673"/>
      <c r="HD11" s="673"/>
      <c r="HE11" s="673"/>
      <c r="HF11" s="673"/>
      <c r="HG11" s="673"/>
      <c r="HH11" s="673"/>
      <c r="HI11" s="673"/>
      <c r="HJ11" s="673"/>
      <c r="HK11" s="673"/>
      <c r="HL11" s="673"/>
      <c r="HM11" s="673"/>
      <c r="HN11" s="673"/>
      <c r="HO11" s="673"/>
      <c r="HP11" s="673"/>
      <c r="HQ11" s="673"/>
      <c r="HR11" s="673"/>
      <c r="HS11" s="673"/>
      <c r="HT11" s="673"/>
      <c r="HU11" s="673"/>
      <c r="HV11" s="673"/>
      <c r="HW11" s="673"/>
      <c r="HX11" s="673"/>
      <c r="HY11" s="673"/>
      <c r="HZ11" s="673"/>
      <c r="IA11" s="673"/>
      <c r="IB11" s="673"/>
      <c r="IC11" s="673"/>
      <c r="ID11" s="673"/>
      <c r="IE11" s="673"/>
      <c r="IF11" s="673"/>
      <c r="IG11" s="673"/>
      <c r="IH11" s="673"/>
      <c r="II11" s="673"/>
      <c r="IJ11" s="673"/>
      <c r="IK11" s="673"/>
      <c r="IL11" s="673"/>
      <c r="IM11" s="673"/>
      <c r="IN11" s="673"/>
      <c r="IO11" s="673"/>
      <c r="IP11" s="673"/>
      <c r="IQ11" s="673"/>
      <c r="IR11" s="673"/>
      <c r="IS11" s="673"/>
      <c r="IT11" s="673"/>
      <c r="IU11" s="673"/>
      <c r="IV11" s="673"/>
      <c r="IW11" s="673"/>
      <c r="IX11" s="673"/>
      <c r="IY11" s="673"/>
      <c r="IZ11" s="673"/>
      <c r="JA11" s="673"/>
      <c r="JB11" s="673"/>
      <c r="JC11" s="673"/>
      <c r="JD11" s="673"/>
      <c r="JE11" s="673"/>
      <c r="JF11" s="673"/>
      <c r="JG11" s="673"/>
      <c r="JH11" s="673"/>
      <c r="JI11" s="673"/>
      <c r="JJ11" s="673"/>
      <c r="JK11" s="673"/>
      <c r="JL11" s="673"/>
      <c r="JM11" s="673"/>
      <c r="JN11" s="673"/>
      <c r="JO11" s="673"/>
      <c r="JP11" s="673"/>
      <c r="JQ11" s="673"/>
      <c r="JR11" s="673"/>
      <c r="JS11" s="673"/>
      <c r="JT11" s="673"/>
      <c r="JU11" s="673"/>
      <c r="JV11" s="673"/>
      <c r="JW11" s="673"/>
      <c r="JX11" s="673"/>
      <c r="JY11" s="673"/>
      <c r="JZ11" s="673"/>
      <c r="KA11" s="673"/>
      <c r="KB11" s="673"/>
      <c r="KC11" s="673"/>
      <c r="KD11" s="673"/>
      <c r="KE11" s="673"/>
      <c r="KF11" s="673"/>
      <c r="KG11" s="673"/>
      <c r="KH11" s="673"/>
      <c r="KI11" s="673"/>
      <c r="KJ11" s="673"/>
      <c r="KK11" s="673"/>
      <c r="KL11" s="673"/>
      <c r="KM11" s="673"/>
      <c r="KN11" s="673"/>
      <c r="KO11" s="673"/>
      <c r="KP11" s="673"/>
      <c r="KQ11" s="673"/>
      <c r="KR11" s="673"/>
      <c r="KS11" s="673"/>
      <c r="KT11" s="673"/>
      <c r="KU11" s="673"/>
      <c r="KV11" s="673"/>
      <c r="KW11" s="673"/>
      <c r="KX11" s="673"/>
      <c r="KY11" s="673"/>
      <c r="KZ11" s="673"/>
      <c r="LA11" s="673"/>
      <c r="LB11" s="673"/>
      <c r="LC11" s="673"/>
      <c r="LD11" s="673"/>
      <c r="LE11" s="673"/>
      <c r="LF11" s="673"/>
      <c r="LG11" s="673"/>
      <c r="LH11" s="673"/>
      <c r="LI11" s="673"/>
      <c r="LJ11" s="673"/>
      <c r="LK11" s="673"/>
      <c r="LL11" s="673"/>
      <c r="LM11" s="673"/>
      <c r="LN11" s="673"/>
      <c r="LO11" s="673"/>
      <c r="LP11" s="673"/>
      <c r="LQ11" s="673"/>
      <c r="LR11" s="673"/>
      <c r="LS11" s="673"/>
      <c r="LT11" s="673"/>
      <c r="LU11" s="673"/>
      <c r="LV11" s="673"/>
      <c r="LW11" s="673"/>
      <c r="LX11" s="673"/>
      <c r="LY11" s="673"/>
      <c r="LZ11" s="673"/>
      <c r="MA11" s="673"/>
      <c r="MB11" s="673"/>
      <c r="MC11" s="673"/>
      <c r="MD11" s="673"/>
      <c r="ME11" s="673"/>
      <c r="MF11" s="673"/>
      <c r="MG11" s="673"/>
      <c r="MH11" s="673"/>
      <c r="MI11" s="673"/>
      <c r="MJ11" s="673"/>
      <c r="MK11" s="673"/>
      <c r="ML11" s="673"/>
      <c r="MM11" s="673"/>
      <c r="MN11" s="673"/>
      <c r="MO11" s="673"/>
      <c r="MP11" s="673"/>
      <c r="MQ11" s="673"/>
      <c r="MR11" s="673"/>
      <c r="MS11" s="673"/>
      <c r="MT11" s="673"/>
      <c r="MU11" s="673"/>
      <c r="MV11" s="673"/>
      <c r="MW11" s="673"/>
      <c r="MX11" s="673"/>
      <c r="MY11" s="673"/>
      <c r="MZ11" s="673"/>
      <c r="NA11" s="673"/>
      <c r="NB11" s="673"/>
      <c r="NC11" s="673"/>
      <c r="ND11" s="673"/>
      <c r="NE11" s="673"/>
      <c r="NF11" s="673"/>
      <c r="NG11" s="673"/>
      <c r="NH11" s="673"/>
      <c r="NI11" s="673"/>
      <c r="NJ11" s="673"/>
      <c r="NK11" s="673"/>
      <c r="NL11" s="673"/>
      <c r="NM11" s="673"/>
      <c r="NN11" s="673"/>
      <c r="NO11" s="673"/>
      <c r="NP11" s="673"/>
      <c r="NQ11" s="673"/>
      <c r="NR11" s="673"/>
      <c r="NS11" s="673"/>
      <c r="NT11" s="673"/>
      <c r="NU11" s="673"/>
      <c r="NV11" s="673"/>
      <c r="NW11" s="673"/>
      <c r="NX11" s="673"/>
      <c r="NY11" s="673"/>
      <c r="NZ11" s="673"/>
      <c r="OA11" s="673"/>
      <c r="OB11" s="673"/>
      <c r="OC11" s="673"/>
      <c r="OD11" s="673"/>
      <c r="OE11" s="673"/>
      <c r="OF11" s="673"/>
      <c r="OG11" s="673"/>
      <c r="OH11" s="673"/>
      <c r="OI11" s="673"/>
      <c r="OJ11" s="673"/>
      <c r="OK11" s="673"/>
      <c r="OL11" s="673"/>
      <c r="OM11" s="673"/>
      <c r="ON11" s="673"/>
      <c r="OO11" s="673"/>
      <c r="OP11" s="673"/>
      <c r="OQ11" s="673"/>
      <c r="OR11" s="673"/>
      <c r="OS11" s="673"/>
      <c r="OT11" s="673"/>
      <c r="OU11" s="673"/>
      <c r="OV11" s="673"/>
      <c r="OW11" s="673"/>
      <c r="OX11" s="673"/>
      <c r="OY11" s="673"/>
      <c r="OZ11" s="673"/>
      <c r="PA11" s="673"/>
      <c r="PB11" s="673"/>
      <c r="PC11" s="673"/>
      <c r="PD11" s="673"/>
      <c r="PE11" s="673"/>
      <c r="PF11" s="673"/>
      <c r="PG11" s="673"/>
      <c r="PH11" s="673"/>
      <c r="PI11" s="673"/>
      <c r="PJ11" s="673"/>
      <c r="PK11" s="673"/>
      <c r="PL11" s="673"/>
      <c r="PM11" s="673"/>
      <c r="PN11" s="673"/>
      <c r="PO11" s="673"/>
      <c r="PP11" s="673"/>
      <c r="PQ11" s="673"/>
      <c r="PR11" s="673"/>
      <c r="PS11" s="673"/>
      <c r="PT11" s="673"/>
      <c r="PU11" s="673"/>
      <c r="PV11" s="673"/>
      <c r="PW11" s="673"/>
      <c r="PX11" s="673"/>
      <c r="PY11" s="673"/>
      <c r="PZ11" s="673"/>
      <c r="QA11" s="673"/>
      <c r="QB11" s="673"/>
      <c r="QC11" s="673"/>
      <c r="QD11" s="673"/>
      <c r="QE11" s="673"/>
      <c r="QF11" s="673"/>
      <c r="QG11" s="673"/>
      <c r="QH11" s="673"/>
      <c r="QI11" s="673"/>
      <c r="QJ11" s="673"/>
      <c r="QK11" s="673"/>
    </row>
    <row r="12" spans="1:453" s="558" customFormat="1">
      <c r="A12" s="680"/>
      <c r="B12" s="680"/>
      <c r="C12" s="2107" t="str">
        <f ca="1">TEXT(HYPERLINK("#"&amp;CELL("address",'Equipment Results Matrix'!A96),'Equipment Results Matrix'!A96),"0,000")</f>
        <v>LED-backlit LCD Televisions 
(55" screen size)</v>
      </c>
      <c r="D12" s="2107"/>
      <c r="E12" s="2107"/>
      <c r="F12" s="2107"/>
      <c r="G12" s="2107"/>
      <c r="H12" s="2107"/>
      <c r="I12" s="680"/>
      <c r="J12" s="680"/>
      <c r="K12" s="680"/>
      <c r="L12" s="2107" t="str">
        <f ca="1">TEXT(HYPERLINK("#"&amp;CELL("address",'Equipment + Labor'!A46),"Total installed cost"),"0,000")</f>
        <v>Total installed cost</v>
      </c>
      <c r="M12" s="2107"/>
      <c r="N12" s="2107"/>
      <c r="O12" s="673"/>
      <c r="P12" s="673"/>
      <c r="Q12" s="673"/>
      <c r="R12" s="673"/>
      <c r="S12" s="673"/>
      <c r="T12" s="673"/>
      <c r="U12" s="673"/>
      <c r="V12" s="673"/>
      <c r="W12" s="673"/>
      <c r="X12" s="673"/>
      <c r="Y12" s="673"/>
      <c r="Z12" s="673"/>
      <c r="AA12" s="673"/>
      <c r="AB12" s="673"/>
      <c r="AC12" s="673"/>
      <c r="AD12" s="673"/>
      <c r="AE12" s="673"/>
      <c r="AF12" s="673"/>
      <c r="AG12" s="673"/>
      <c r="AH12" s="673"/>
      <c r="AI12" s="673"/>
      <c r="AJ12" s="673"/>
      <c r="AK12" s="673"/>
      <c r="AL12" s="673"/>
      <c r="AM12" s="673"/>
      <c r="AN12" s="673"/>
      <c r="AO12" s="673"/>
      <c r="AP12" s="673"/>
      <c r="AQ12" s="673"/>
      <c r="AR12" s="673"/>
      <c r="AS12" s="673"/>
      <c r="AT12" s="673"/>
      <c r="AU12" s="673"/>
      <c r="AV12" s="673"/>
      <c r="AW12" s="673"/>
      <c r="AX12" s="673"/>
      <c r="AY12" s="673"/>
      <c r="AZ12" s="673"/>
      <c r="BA12" s="673"/>
      <c r="BB12" s="673"/>
      <c r="BC12" s="673"/>
      <c r="BD12" s="673"/>
      <c r="BE12" s="673"/>
      <c r="BF12" s="673"/>
      <c r="BG12" s="673"/>
      <c r="BH12" s="673"/>
      <c r="BI12" s="673"/>
      <c r="BJ12" s="673"/>
      <c r="BK12" s="673"/>
      <c r="BL12" s="673"/>
      <c r="BM12" s="673"/>
      <c r="BN12" s="673"/>
      <c r="BO12" s="673"/>
      <c r="BP12" s="673"/>
      <c r="BQ12" s="673"/>
      <c r="BR12" s="673"/>
      <c r="BS12" s="673"/>
      <c r="BT12" s="673"/>
      <c r="BU12" s="673"/>
      <c r="BV12" s="673"/>
      <c r="BW12" s="673"/>
      <c r="BX12" s="673"/>
      <c r="BY12" s="673"/>
      <c r="BZ12" s="673"/>
      <c r="CA12" s="673"/>
      <c r="CB12" s="673"/>
      <c r="CC12" s="673"/>
      <c r="CD12" s="673"/>
      <c r="CE12" s="673"/>
      <c r="CF12" s="673"/>
      <c r="CG12" s="673"/>
      <c r="CH12" s="673"/>
      <c r="CI12" s="673"/>
      <c r="CJ12" s="673"/>
      <c r="CK12" s="673"/>
      <c r="CL12" s="673"/>
      <c r="CM12" s="673"/>
      <c r="CN12" s="673"/>
      <c r="CO12" s="673"/>
      <c r="CP12" s="673"/>
      <c r="CQ12" s="673"/>
      <c r="CR12" s="673"/>
      <c r="CS12" s="673"/>
      <c r="CT12" s="673"/>
      <c r="CU12" s="673"/>
      <c r="CV12" s="673"/>
      <c r="CW12" s="673"/>
      <c r="CX12" s="673"/>
      <c r="CY12" s="673"/>
      <c r="CZ12" s="673"/>
      <c r="DA12" s="673"/>
      <c r="DB12" s="673"/>
      <c r="DC12" s="673"/>
      <c r="DD12" s="673"/>
      <c r="DE12" s="673"/>
      <c r="DF12" s="673"/>
      <c r="DG12" s="673"/>
      <c r="DH12" s="673"/>
      <c r="DI12" s="673"/>
      <c r="DJ12" s="673"/>
      <c r="DK12" s="673"/>
      <c r="DL12" s="673"/>
      <c r="DM12" s="673"/>
      <c r="DN12" s="673"/>
      <c r="DO12" s="673"/>
      <c r="DP12" s="673"/>
      <c r="DQ12" s="673"/>
      <c r="DR12" s="673"/>
      <c r="DS12" s="673"/>
      <c r="DT12" s="673"/>
      <c r="DU12" s="673"/>
      <c r="DV12" s="673"/>
      <c r="DW12" s="673"/>
      <c r="DX12" s="673"/>
      <c r="DY12" s="673"/>
      <c r="DZ12" s="673"/>
      <c r="EA12" s="673"/>
      <c r="EB12" s="673"/>
      <c r="EC12" s="673"/>
      <c r="ED12" s="673"/>
      <c r="EE12" s="673"/>
      <c r="EF12" s="673"/>
      <c r="EG12" s="673"/>
      <c r="EH12" s="673"/>
      <c r="EI12" s="673"/>
      <c r="EJ12" s="673"/>
      <c r="EK12" s="673"/>
      <c r="EL12" s="673"/>
      <c r="EM12" s="673"/>
      <c r="EN12" s="673"/>
      <c r="EO12" s="673"/>
      <c r="EP12" s="673"/>
      <c r="EQ12" s="673"/>
      <c r="ER12" s="673"/>
      <c r="ES12" s="673"/>
      <c r="ET12" s="673"/>
      <c r="EU12" s="673"/>
      <c r="EV12" s="673"/>
      <c r="EW12" s="673"/>
      <c r="EX12" s="673"/>
      <c r="EY12" s="673"/>
      <c r="EZ12" s="673"/>
      <c r="FA12" s="673"/>
      <c r="FB12" s="673"/>
      <c r="FC12" s="673"/>
      <c r="FD12" s="673"/>
      <c r="FE12" s="673"/>
      <c r="FF12" s="673"/>
      <c r="FG12" s="673"/>
      <c r="FH12" s="673"/>
      <c r="FI12" s="673"/>
      <c r="FJ12" s="673"/>
      <c r="FK12" s="673"/>
      <c r="FL12" s="673"/>
      <c r="FM12" s="673"/>
      <c r="FN12" s="673"/>
      <c r="FO12" s="673"/>
      <c r="FP12" s="673"/>
      <c r="FQ12" s="673"/>
      <c r="FR12" s="673"/>
      <c r="FS12" s="673"/>
      <c r="FT12" s="673"/>
      <c r="FU12" s="673"/>
      <c r="FV12" s="673"/>
      <c r="FW12" s="673"/>
      <c r="FX12" s="673"/>
      <c r="FY12" s="673"/>
      <c r="FZ12" s="673"/>
      <c r="GA12" s="673"/>
      <c r="GB12" s="673"/>
      <c r="GC12" s="673"/>
      <c r="GD12" s="673"/>
      <c r="GE12" s="673"/>
      <c r="GF12" s="673"/>
      <c r="GG12" s="673"/>
      <c r="GH12" s="673"/>
      <c r="GI12" s="673"/>
      <c r="GJ12" s="673"/>
      <c r="GK12" s="673"/>
      <c r="GL12" s="673"/>
      <c r="GM12" s="673"/>
      <c r="GN12" s="673"/>
      <c r="GO12" s="673"/>
      <c r="GP12" s="673"/>
      <c r="GQ12" s="673"/>
      <c r="GR12" s="673"/>
      <c r="GS12" s="673"/>
      <c r="GT12" s="673"/>
      <c r="GU12" s="673"/>
      <c r="GV12" s="673"/>
      <c r="GW12" s="673"/>
      <c r="GX12" s="673"/>
      <c r="GY12" s="673"/>
      <c r="GZ12" s="673"/>
      <c r="HA12" s="673"/>
      <c r="HB12" s="673"/>
      <c r="HC12" s="673"/>
      <c r="HD12" s="673"/>
      <c r="HE12" s="673"/>
      <c r="HF12" s="673"/>
      <c r="HG12" s="673"/>
      <c r="HH12" s="673"/>
      <c r="HI12" s="673"/>
      <c r="HJ12" s="673"/>
      <c r="HK12" s="673"/>
      <c r="HL12" s="673"/>
      <c r="HM12" s="673"/>
      <c r="HN12" s="673"/>
      <c r="HO12" s="673"/>
      <c r="HP12" s="673"/>
      <c r="HQ12" s="673"/>
      <c r="HR12" s="673"/>
      <c r="HS12" s="673"/>
      <c r="HT12" s="673"/>
      <c r="HU12" s="673"/>
      <c r="HV12" s="673"/>
      <c r="HW12" s="673"/>
      <c r="HX12" s="673"/>
      <c r="HY12" s="673"/>
      <c r="HZ12" s="673"/>
      <c r="IA12" s="673"/>
      <c r="IB12" s="673"/>
      <c r="IC12" s="673"/>
      <c r="ID12" s="673"/>
      <c r="IE12" s="673"/>
      <c r="IF12" s="673"/>
      <c r="IG12" s="673"/>
      <c r="IH12" s="673"/>
      <c r="II12" s="673"/>
      <c r="IJ12" s="673"/>
      <c r="IK12" s="673"/>
      <c r="IL12" s="673"/>
      <c r="IM12" s="673"/>
      <c r="IN12" s="673"/>
      <c r="IO12" s="673"/>
      <c r="IP12" s="673"/>
      <c r="IQ12" s="673"/>
      <c r="IR12" s="673"/>
      <c r="IS12" s="673"/>
      <c r="IT12" s="673"/>
      <c r="IU12" s="673"/>
      <c r="IV12" s="673"/>
      <c r="IW12" s="673"/>
      <c r="IX12" s="673"/>
      <c r="IY12" s="673"/>
      <c r="IZ12" s="673"/>
      <c r="JA12" s="673"/>
      <c r="JB12" s="673"/>
      <c r="JC12" s="673"/>
      <c r="JD12" s="673"/>
      <c r="JE12" s="673"/>
      <c r="JF12" s="673"/>
      <c r="JG12" s="673"/>
      <c r="JH12" s="673"/>
      <c r="JI12" s="673"/>
      <c r="JJ12" s="673"/>
      <c r="JK12" s="673"/>
      <c r="JL12" s="673"/>
      <c r="JM12" s="673"/>
      <c r="JN12" s="673"/>
      <c r="JO12" s="673"/>
      <c r="JP12" s="673"/>
      <c r="JQ12" s="673"/>
      <c r="JR12" s="673"/>
      <c r="JS12" s="673"/>
      <c r="JT12" s="673"/>
      <c r="JU12" s="673"/>
      <c r="JV12" s="673"/>
      <c r="JW12" s="673"/>
      <c r="JX12" s="673"/>
      <c r="JY12" s="673"/>
      <c r="JZ12" s="673"/>
      <c r="KA12" s="673"/>
      <c r="KB12" s="673"/>
      <c r="KC12" s="673"/>
      <c r="KD12" s="673"/>
      <c r="KE12" s="673"/>
      <c r="KF12" s="673"/>
      <c r="KG12" s="673"/>
      <c r="KH12" s="673"/>
      <c r="KI12" s="673"/>
      <c r="KJ12" s="673"/>
      <c r="KK12" s="673"/>
      <c r="KL12" s="673"/>
      <c r="KM12" s="673"/>
      <c r="KN12" s="673"/>
      <c r="KO12" s="673"/>
      <c r="KP12" s="673"/>
      <c r="KQ12" s="673"/>
      <c r="KR12" s="673"/>
      <c r="KS12" s="673"/>
      <c r="KT12" s="673"/>
      <c r="KU12" s="673"/>
      <c r="KV12" s="673"/>
      <c r="KW12" s="673"/>
      <c r="KX12" s="673"/>
      <c r="KY12" s="673"/>
      <c r="KZ12" s="673"/>
      <c r="LA12" s="673"/>
      <c r="LB12" s="673"/>
      <c r="LC12" s="673"/>
      <c r="LD12" s="673"/>
      <c r="LE12" s="673"/>
      <c r="LF12" s="673"/>
      <c r="LG12" s="673"/>
      <c r="LH12" s="673"/>
      <c r="LI12" s="673"/>
      <c r="LJ12" s="673"/>
      <c r="LK12" s="673"/>
      <c r="LL12" s="673"/>
      <c r="LM12" s="673"/>
      <c r="LN12" s="673"/>
      <c r="LO12" s="673"/>
      <c r="LP12" s="673"/>
      <c r="LQ12" s="673"/>
      <c r="LR12" s="673"/>
      <c r="LS12" s="673"/>
      <c r="LT12" s="673"/>
      <c r="LU12" s="673"/>
      <c r="LV12" s="673"/>
      <c r="LW12" s="673"/>
      <c r="LX12" s="673"/>
      <c r="LY12" s="673"/>
      <c r="LZ12" s="673"/>
      <c r="MA12" s="673"/>
      <c r="MB12" s="673"/>
      <c r="MC12" s="673"/>
      <c r="MD12" s="673"/>
      <c r="ME12" s="673"/>
      <c r="MF12" s="673"/>
      <c r="MG12" s="673"/>
      <c r="MH12" s="673"/>
      <c r="MI12" s="673"/>
      <c r="MJ12" s="673"/>
      <c r="MK12" s="673"/>
      <c r="ML12" s="673"/>
      <c r="MM12" s="673"/>
      <c r="MN12" s="673"/>
      <c r="MO12" s="673"/>
      <c r="MP12" s="673"/>
      <c r="MQ12" s="673"/>
      <c r="MR12" s="673"/>
      <c r="MS12" s="673"/>
      <c r="MT12" s="673"/>
      <c r="MU12" s="673"/>
      <c r="MV12" s="673"/>
      <c r="MW12" s="673"/>
      <c r="MX12" s="673"/>
      <c r="MY12" s="673"/>
      <c r="MZ12" s="673"/>
      <c r="NA12" s="673"/>
      <c r="NB12" s="673"/>
      <c r="NC12" s="673"/>
      <c r="ND12" s="673"/>
      <c r="NE12" s="673"/>
      <c r="NF12" s="673"/>
      <c r="NG12" s="673"/>
      <c r="NH12" s="673"/>
      <c r="NI12" s="673"/>
      <c r="NJ12" s="673"/>
      <c r="NK12" s="673"/>
      <c r="NL12" s="673"/>
      <c r="NM12" s="673"/>
      <c r="NN12" s="673"/>
      <c r="NO12" s="673"/>
      <c r="NP12" s="673"/>
      <c r="NQ12" s="673"/>
      <c r="NR12" s="673"/>
      <c r="NS12" s="673"/>
      <c r="NT12" s="673"/>
      <c r="NU12" s="673"/>
      <c r="NV12" s="673"/>
      <c r="NW12" s="673"/>
      <c r="NX12" s="673"/>
      <c r="NY12" s="673"/>
      <c r="NZ12" s="673"/>
      <c r="OA12" s="673"/>
      <c r="OB12" s="673"/>
      <c r="OC12" s="673"/>
      <c r="OD12" s="673"/>
      <c r="OE12" s="673"/>
      <c r="OF12" s="673"/>
      <c r="OG12" s="673"/>
      <c r="OH12" s="673"/>
      <c r="OI12" s="673"/>
      <c r="OJ12" s="673"/>
      <c r="OK12" s="673"/>
      <c r="OL12" s="673"/>
      <c r="OM12" s="673"/>
      <c r="ON12" s="673"/>
      <c r="OO12" s="673"/>
      <c r="OP12" s="673"/>
      <c r="OQ12" s="673"/>
      <c r="OR12" s="673"/>
      <c r="OS12" s="673"/>
      <c r="OT12" s="673"/>
      <c r="OU12" s="673"/>
      <c r="OV12" s="673"/>
      <c r="OW12" s="673"/>
      <c r="OX12" s="673"/>
      <c r="OY12" s="673"/>
      <c r="OZ12" s="673"/>
      <c r="PA12" s="673"/>
      <c r="PB12" s="673"/>
      <c r="PC12" s="673"/>
      <c r="PD12" s="673"/>
      <c r="PE12" s="673"/>
      <c r="PF12" s="673"/>
      <c r="PG12" s="673"/>
      <c r="PH12" s="673"/>
      <c r="PI12" s="673"/>
      <c r="PJ12" s="673"/>
      <c r="PK12" s="673"/>
      <c r="PL12" s="673"/>
      <c r="PM12" s="673"/>
      <c r="PN12" s="673"/>
      <c r="PO12" s="673"/>
      <c r="PP12" s="673"/>
      <c r="PQ12" s="673"/>
      <c r="PR12" s="673"/>
      <c r="PS12" s="673"/>
      <c r="PT12" s="673"/>
      <c r="PU12" s="673"/>
      <c r="PV12" s="673"/>
      <c r="PW12" s="673"/>
      <c r="PX12" s="673"/>
      <c r="PY12" s="673"/>
      <c r="PZ12" s="673"/>
      <c r="QA12" s="673"/>
      <c r="QB12" s="673"/>
      <c r="QC12" s="673"/>
      <c r="QD12" s="673"/>
      <c r="QE12" s="673"/>
      <c r="QF12" s="673"/>
      <c r="QG12" s="673"/>
      <c r="QH12" s="673"/>
      <c r="QI12" s="673"/>
      <c r="QJ12" s="673"/>
      <c r="QK12" s="673"/>
    </row>
    <row r="13" spans="1:453" s="558" customFormat="1">
      <c r="A13" s="680"/>
      <c r="B13" s="680"/>
      <c r="C13" s="2107" t="str">
        <f ca="1">TEXT(HYPERLINK("#"&amp;CELL("address",'Equipment Results Matrix'!A128),'Equipment Results Matrix'!A128),"0,000")</f>
        <v xml:space="preserve">LED-backlit LCD Televisions 
(46" screen size) </v>
      </c>
      <c r="D13" s="2107"/>
      <c r="E13" s="2107"/>
      <c r="F13" s="2107"/>
      <c r="G13" s="2107"/>
      <c r="H13" s="2107"/>
      <c r="I13" s="680"/>
      <c r="J13" s="680"/>
      <c r="K13" s="680"/>
      <c r="L13" s="2107" t="str">
        <f ca="1">TEXT(HYPERLINK("#"&amp;CELL("address",'Equipment + Labor'!A50),"Total installed cost"),"0,000")</f>
        <v>Total installed cost</v>
      </c>
      <c r="M13" s="2107"/>
      <c r="N13" s="2107"/>
      <c r="O13" s="673"/>
      <c r="P13" s="673"/>
      <c r="Q13" s="673"/>
      <c r="R13" s="673"/>
      <c r="S13" s="673"/>
      <c r="T13" s="673"/>
      <c r="U13" s="673"/>
      <c r="V13" s="673"/>
      <c r="W13" s="673"/>
      <c r="X13" s="673"/>
      <c r="Y13" s="673"/>
      <c r="Z13" s="673"/>
      <c r="AA13" s="673"/>
      <c r="AB13" s="673"/>
      <c r="AC13" s="673"/>
      <c r="AD13" s="673"/>
      <c r="AE13" s="673"/>
      <c r="AF13" s="673"/>
      <c r="AG13" s="673"/>
      <c r="AH13" s="673"/>
      <c r="AI13" s="673"/>
      <c r="AJ13" s="673"/>
      <c r="AK13" s="673"/>
      <c r="AL13" s="673"/>
      <c r="AM13" s="673"/>
      <c r="AN13" s="673"/>
      <c r="AO13" s="673"/>
      <c r="AP13" s="673"/>
      <c r="AQ13" s="673"/>
      <c r="AR13" s="673"/>
      <c r="AS13" s="673"/>
      <c r="AT13" s="673"/>
      <c r="AU13" s="673"/>
      <c r="AV13" s="673"/>
      <c r="AW13" s="673"/>
      <c r="AX13" s="673"/>
      <c r="AY13" s="673"/>
      <c r="AZ13" s="673"/>
      <c r="BA13" s="673"/>
      <c r="BB13" s="673"/>
      <c r="BC13" s="673"/>
      <c r="BD13" s="673"/>
      <c r="BE13" s="673"/>
      <c r="BF13" s="673"/>
      <c r="BG13" s="673"/>
      <c r="BH13" s="673"/>
      <c r="BI13" s="673"/>
      <c r="BJ13" s="673"/>
      <c r="BK13" s="673"/>
      <c r="BL13" s="673"/>
      <c r="BM13" s="673"/>
      <c r="BN13" s="673"/>
      <c r="BO13" s="673"/>
      <c r="BP13" s="673"/>
      <c r="BQ13" s="673"/>
      <c r="BR13" s="673"/>
      <c r="BS13" s="673"/>
      <c r="BT13" s="673"/>
      <c r="BU13" s="673"/>
      <c r="BV13" s="673"/>
      <c r="BW13" s="673"/>
      <c r="BX13" s="673"/>
      <c r="BY13" s="673"/>
      <c r="BZ13" s="673"/>
      <c r="CA13" s="673"/>
      <c r="CB13" s="673"/>
      <c r="CC13" s="673"/>
      <c r="CD13" s="673"/>
      <c r="CE13" s="673"/>
      <c r="CF13" s="673"/>
      <c r="CG13" s="673"/>
      <c r="CH13" s="673"/>
      <c r="CI13" s="673"/>
      <c r="CJ13" s="673"/>
      <c r="CK13" s="673"/>
      <c r="CL13" s="673"/>
      <c r="CM13" s="673"/>
      <c r="CN13" s="673"/>
      <c r="CO13" s="673"/>
      <c r="CP13" s="673"/>
      <c r="CQ13" s="673"/>
      <c r="CR13" s="673"/>
      <c r="CS13" s="673"/>
      <c r="CT13" s="673"/>
      <c r="CU13" s="673"/>
      <c r="CV13" s="673"/>
      <c r="CW13" s="673"/>
      <c r="CX13" s="673"/>
      <c r="CY13" s="673"/>
      <c r="CZ13" s="673"/>
      <c r="DA13" s="673"/>
      <c r="DB13" s="673"/>
      <c r="DC13" s="673"/>
      <c r="DD13" s="673"/>
      <c r="DE13" s="673"/>
      <c r="DF13" s="673"/>
      <c r="DG13" s="673"/>
      <c r="DH13" s="673"/>
      <c r="DI13" s="673"/>
      <c r="DJ13" s="673"/>
      <c r="DK13" s="673"/>
      <c r="DL13" s="673"/>
      <c r="DM13" s="673"/>
      <c r="DN13" s="673"/>
      <c r="DO13" s="673"/>
      <c r="DP13" s="673"/>
      <c r="DQ13" s="673"/>
      <c r="DR13" s="673"/>
      <c r="DS13" s="673"/>
      <c r="DT13" s="673"/>
      <c r="DU13" s="673"/>
      <c r="DV13" s="673"/>
      <c r="DW13" s="673"/>
      <c r="DX13" s="673"/>
      <c r="DY13" s="673"/>
      <c r="DZ13" s="673"/>
      <c r="EA13" s="673"/>
      <c r="EB13" s="673"/>
      <c r="EC13" s="673"/>
      <c r="ED13" s="673"/>
      <c r="EE13" s="673"/>
      <c r="EF13" s="673"/>
      <c r="EG13" s="673"/>
      <c r="EH13" s="673"/>
      <c r="EI13" s="673"/>
      <c r="EJ13" s="673"/>
      <c r="EK13" s="673"/>
      <c r="EL13" s="673"/>
      <c r="EM13" s="673"/>
      <c r="EN13" s="673"/>
      <c r="EO13" s="673"/>
      <c r="EP13" s="673"/>
      <c r="EQ13" s="673"/>
      <c r="ER13" s="673"/>
      <c r="ES13" s="673"/>
      <c r="ET13" s="673"/>
      <c r="EU13" s="673"/>
      <c r="EV13" s="673"/>
      <c r="EW13" s="673"/>
      <c r="EX13" s="673"/>
      <c r="EY13" s="673"/>
      <c r="EZ13" s="673"/>
      <c r="FA13" s="673"/>
      <c r="FB13" s="673"/>
      <c r="FC13" s="673"/>
      <c r="FD13" s="673"/>
      <c r="FE13" s="673"/>
      <c r="FF13" s="673"/>
      <c r="FG13" s="673"/>
      <c r="FH13" s="673"/>
      <c r="FI13" s="673"/>
      <c r="FJ13" s="673"/>
      <c r="FK13" s="673"/>
      <c r="FL13" s="673"/>
      <c r="FM13" s="673"/>
      <c r="FN13" s="673"/>
      <c r="FO13" s="673"/>
      <c r="FP13" s="673"/>
      <c r="FQ13" s="673"/>
      <c r="FR13" s="673"/>
      <c r="FS13" s="673"/>
      <c r="FT13" s="673"/>
      <c r="FU13" s="673"/>
      <c r="FV13" s="673"/>
      <c r="FW13" s="673"/>
      <c r="FX13" s="673"/>
      <c r="FY13" s="673"/>
      <c r="FZ13" s="673"/>
      <c r="GA13" s="673"/>
      <c r="GB13" s="673"/>
      <c r="GC13" s="673"/>
      <c r="GD13" s="673"/>
      <c r="GE13" s="673"/>
      <c r="GF13" s="673"/>
      <c r="GG13" s="673"/>
      <c r="GH13" s="673"/>
      <c r="GI13" s="673"/>
      <c r="GJ13" s="673"/>
      <c r="GK13" s="673"/>
      <c r="GL13" s="673"/>
      <c r="GM13" s="673"/>
      <c r="GN13" s="673"/>
      <c r="GO13" s="673"/>
      <c r="GP13" s="673"/>
      <c r="GQ13" s="673"/>
      <c r="GR13" s="673"/>
      <c r="GS13" s="673"/>
      <c r="GT13" s="673"/>
      <c r="GU13" s="673"/>
      <c r="GV13" s="673"/>
      <c r="GW13" s="673"/>
      <c r="GX13" s="673"/>
      <c r="GY13" s="673"/>
      <c r="GZ13" s="673"/>
      <c r="HA13" s="673"/>
      <c r="HB13" s="673"/>
      <c r="HC13" s="673"/>
      <c r="HD13" s="673"/>
      <c r="HE13" s="673"/>
      <c r="HF13" s="673"/>
      <c r="HG13" s="673"/>
      <c r="HH13" s="673"/>
      <c r="HI13" s="673"/>
      <c r="HJ13" s="673"/>
      <c r="HK13" s="673"/>
      <c r="HL13" s="673"/>
      <c r="HM13" s="673"/>
      <c r="HN13" s="673"/>
      <c r="HO13" s="673"/>
      <c r="HP13" s="673"/>
      <c r="HQ13" s="673"/>
      <c r="HR13" s="673"/>
      <c r="HS13" s="673"/>
      <c r="HT13" s="673"/>
      <c r="HU13" s="673"/>
      <c r="HV13" s="673"/>
      <c r="HW13" s="673"/>
      <c r="HX13" s="673"/>
      <c r="HY13" s="673"/>
      <c r="HZ13" s="673"/>
      <c r="IA13" s="673"/>
      <c r="IB13" s="673"/>
      <c r="IC13" s="673"/>
      <c r="ID13" s="673"/>
      <c r="IE13" s="673"/>
      <c r="IF13" s="673"/>
      <c r="IG13" s="673"/>
      <c r="IH13" s="673"/>
      <c r="II13" s="673"/>
      <c r="IJ13" s="673"/>
      <c r="IK13" s="673"/>
      <c r="IL13" s="673"/>
      <c r="IM13" s="673"/>
      <c r="IN13" s="673"/>
      <c r="IO13" s="673"/>
      <c r="IP13" s="673"/>
      <c r="IQ13" s="673"/>
      <c r="IR13" s="673"/>
      <c r="IS13" s="673"/>
      <c r="IT13" s="673"/>
      <c r="IU13" s="673"/>
      <c r="IV13" s="673"/>
      <c r="IW13" s="673"/>
      <c r="IX13" s="673"/>
      <c r="IY13" s="673"/>
      <c r="IZ13" s="673"/>
      <c r="JA13" s="673"/>
      <c r="JB13" s="673"/>
      <c r="JC13" s="673"/>
      <c r="JD13" s="673"/>
      <c r="JE13" s="673"/>
      <c r="JF13" s="673"/>
      <c r="JG13" s="673"/>
      <c r="JH13" s="673"/>
      <c r="JI13" s="673"/>
      <c r="JJ13" s="673"/>
      <c r="JK13" s="673"/>
      <c r="JL13" s="673"/>
      <c r="JM13" s="673"/>
      <c r="JN13" s="673"/>
      <c r="JO13" s="673"/>
      <c r="JP13" s="673"/>
      <c r="JQ13" s="673"/>
      <c r="JR13" s="673"/>
      <c r="JS13" s="673"/>
      <c r="JT13" s="673"/>
      <c r="JU13" s="673"/>
      <c r="JV13" s="673"/>
      <c r="JW13" s="673"/>
      <c r="JX13" s="673"/>
      <c r="JY13" s="673"/>
      <c r="JZ13" s="673"/>
      <c r="KA13" s="673"/>
      <c r="KB13" s="673"/>
      <c r="KC13" s="673"/>
      <c r="KD13" s="673"/>
      <c r="KE13" s="673"/>
      <c r="KF13" s="673"/>
      <c r="KG13" s="673"/>
      <c r="KH13" s="673"/>
      <c r="KI13" s="673"/>
      <c r="KJ13" s="673"/>
      <c r="KK13" s="673"/>
      <c r="KL13" s="673"/>
      <c r="KM13" s="673"/>
      <c r="KN13" s="673"/>
      <c r="KO13" s="673"/>
      <c r="KP13" s="673"/>
      <c r="KQ13" s="673"/>
      <c r="KR13" s="673"/>
      <c r="KS13" s="673"/>
      <c r="KT13" s="673"/>
      <c r="KU13" s="673"/>
      <c r="KV13" s="673"/>
      <c r="KW13" s="673"/>
      <c r="KX13" s="673"/>
      <c r="KY13" s="673"/>
      <c r="KZ13" s="673"/>
      <c r="LA13" s="673"/>
      <c r="LB13" s="673"/>
      <c r="LC13" s="673"/>
      <c r="LD13" s="673"/>
      <c r="LE13" s="673"/>
      <c r="LF13" s="673"/>
      <c r="LG13" s="673"/>
      <c r="LH13" s="673"/>
      <c r="LI13" s="673"/>
      <c r="LJ13" s="673"/>
      <c r="LK13" s="673"/>
      <c r="LL13" s="673"/>
      <c r="LM13" s="673"/>
      <c r="LN13" s="673"/>
      <c r="LO13" s="673"/>
      <c r="LP13" s="673"/>
      <c r="LQ13" s="673"/>
      <c r="LR13" s="673"/>
      <c r="LS13" s="673"/>
      <c r="LT13" s="673"/>
      <c r="LU13" s="673"/>
      <c r="LV13" s="673"/>
      <c r="LW13" s="673"/>
      <c r="LX13" s="673"/>
      <c r="LY13" s="673"/>
      <c r="LZ13" s="673"/>
      <c r="MA13" s="673"/>
      <c r="MB13" s="673"/>
      <c r="MC13" s="673"/>
      <c r="MD13" s="673"/>
      <c r="ME13" s="673"/>
      <c r="MF13" s="673"/>
      <c r="MG13" s="673"/>
      <c r="MH13" s="673"/>
      <c r="MI13" s="673"/>
      <c r="MJ13" s="673"/>
      <c r="MK13" s="673"/>
      <c r="ML13" s="673"/>
      <c r="MM13" s="673"/>
      <c r="MN13" s="673"/>
      <c r="MO13" s="673"/>
      <c r="MP13" s="673"/>
      <c r="MQ13" s="673"/>
      <c r="MR13" s="673"/>
      <c r="MS13" s="673"/>
      <c r="MT13" s="673"/>
      <c r="MU13" s="673"/>
      <c r="MV13" s="673"/>
      <c r="MW13" s="673"/>
      <c r="MX13" s="673"/>
      <c r="MY13" s="673"/>
      <c r="MZ13" s="673"/>
      <c r="NA13" s="673"/>
      <c r="NB13" s="673"/>
      <c r="NC13" s="673"/>
      <c r="ND13" s="673"/>
      <c r="NE13" s="673"/>
      <c r="NF13" s="673"/>
      <c r="NG13" s="673"/>
      <c r="NH13" s="673"/>
      <c r="NI13" s="673"/>
      <c r="NJ13" s="673"/>
      <c r="NK13" s="673"/>
      <c r="NL13" s="673"/>
      <c r="NM13" s="673"/>
      <c r="NN13" s="673"/>
      <c r="NO13" s="673"/>
      <c r="NP13" s="673"/>
      <c r="NQ13" s="673"/>
      <c r="NR13" s="673"/>
      <c r="NS13" s="673"/>
      <c r="NT13" s="673"/>
      <c r="NU13" s="673"/>
      <c r="NV13" s="673"/>
      <c r="NW13" s="673"/>
      <c r="NX13" s="673"/>
      <c r="NY13" s="673"/>
      <c r="NZ13" s="673"/>
      <c r="OA13" s="673"/>
      <c r="OB13" s="673"/>
      <c r="OC13" s="673"/>
      <c r="OD13" s="673"/>
      <c r="OE13" s="673"/>
      <c r="OF13" s="673"/>
      <c r="OG13" s="673"/>
      <c r="OH13" s="673"/>
      <c r="OI13" s="673"/>
      <c r="OJ13" s="673"/>
      <c r="OK13" s="673"/>
      <c r="OL13" s="673"/>
      <c r="OM13" s="673"/>
      <c r="ON13" s="673"/>
      <c r="OO13" s="673"/>
      <c r="OP13" s="673"/>
      <c r="OQ13" s="673"/>
      <c r="OR13" s="673"/>
      <c r="OS13" s="673"/>
      <c r="OT13" s="673"/>
      <c r="OU13" s="673"/>
      <c r="OV13" s="673"/>
      <c r="OW13" s="673"/>
      <c r="OX13" s="673"/>
      <c r="OY13" s="673"/>
      <c r="OZ13" s="673"/>
      <c r="PA13" s="673"/>
      <c r="PB13" s="673"/>
      <c r="PC13" s="673"/>
      <c r="PD13" s="673"/>
      <c r="PE13" s="673"/>
      <c r="PF13" s="673"/>
      <c r="PG13" s="673"/>
      <c r="PH13" s="673"/>
      <c r="PI13" s="673"/>
      <c r="PJ13" s="673"/>
      <c r="PK13" s="673"/>
      <c r="PL13" s="673"/>
      <c r="PM13" s="673"/>
      <c r="PN13" s="673"/>
      <c r="PO13" s="673"/>
      <c r="PP13" s="673"/>
      <c r="PQ13" s="673"/>
      <c r="PR13" s="673"/>
      <c r="PS13" s="673"/>
      <c r="PT13" s="673"/>
      <c r="PU13" s="673"/>
      <c r="PV13" s="673"/>
      <c r="PW13" s="673"/>
      <c r="PX13" s="673"/>
      <c r="PY13" s="673"/>
      <c r="PZ13" s="673"/>
      <c r="QA13" s="673"/>
      <c r="QB13" s="673"/>
      <c r="QC13" s="673"/>
      <c r="QD13" s="673"/>
      <c r="QE13" s="673"/>
      <c r="QF13" s="673"/>
      <c r="QG13" s="673"/>
      <c r="QH13" s="673"/>
      <c r="QI13" s="673"/>
      <c r="QJ13" s="673"/>
      <c r="QK13" s="673"/>
    </row>
    <row r="14" spans="1:453" s="558" customFormat="1">
      <c r="A14" s="680"/>
      <c r="B14" s="680"/>
      <c r="C14" s="2107" t="str">
        <f ca="1">TEXT(HYPERLINK("#"&amp;CELL("address",'Equipment Results Matrix'!A163),'Equipment Results Matrix'!A163),"0,000")</f>
        <v>LED-backlit LCD Televisions 
(40" screen size)</v>
      </c>
      <c r="D14" s="2107"/>
      <c r="E14" s="2107"/>
      <c r="F14" s="2107"/>
      <c r="G14" s="2107"/>
      <c r="H14" s="2107"/>
      <c r="I14" s="680"/>
      <c r="J14" s="680"/>
      <c r="K14" s="680"/>
      <c r="L14" s="2107" t="str">
        <f ca="1">TEXT(HYPERLINK("#"&amp;CELL("address",'Equipment + Labor'!A54),"Total installed cost"),"0,000")</f>
        <v>Total installed cost</v>
      </c>
      <c r="M14" s="2107"/>
      <c r="N14" s="2107"/>
      <c r="O14" s="673"/>
      <c r="P14" s="673"/>
      <c r="Q14" s="673"/>
      <c r="R14" s="673"/>
      <c r="S14" s="673"/>
      <c r="T14" s="673"/>
      <c r="U14" s="673"/>
      <c r="V14" s="673"/>
      <c r="W14" s="673"/>
      <c r="X14" s="673"/>
      <c r="Y14" s="673"/>
      <c r="Z14" s="673"/>
      <c r="AA14" s="673"/>
      <c r="AB14" s="673"/>
      <c r="AC14" s="673"/>
      <c r="AD14" s="673"/>
      <c r="AE14" s="673"/>
      <c r="AF14" s="673"/>
      <c r="AG14" s="673"/>
      <c r="AH14" s="673"/>
      <c r="AI14" s="673"/>
      <c r="AJ14" s="673"/>
      <c r="AK14" s="673"/>
      <c r="AL14" s="673"/>
      <c r="AM14" s="673"/>
      <c r="AN14" s="673"/>
      <c r="AO14" s="673"/>
      <c r="AP14" s="673"/>
      <c r="AQ14" s="673"/>
      <c r="AR14" s="673"/>
      <c r="AS14" s="673"/>
      <c r="AT14" s="673"/>
      <c r="AU14" s="673"/>
      <c r="AV14" s="673"/>
      <c r="AW14" s="673"/>
      <c r="AX14" s="673"/>
      <c r="AY14" s="673"/>
      <c r="AZ14" s="673"/>
      <c r="BA14" s="673"/>
      <c r="BB14" s="673"/>
      <c r="BC14" s="673"/>
      <c r="BD14" s="673"/>
      <c r="BE14" s="673"/>
      <c r="BF14" s="673"/>
      <c r="BG14" s="673"/>
      <c r="BH14" s="673"/>
      <c r="BI14" s="673"/>
      <c r="BJ14" s="673"/>
      <c r="BK14" s="673"/>
      <c r="BL14" s="673"/>
      <c r="BM14" s="673"/>
      <c r="BN14" s="673"/>
      <c r="BO14" s="673"/>
      <c r="BP14" s="673"/>
      <c r="BQ14" s="673"/>
      <c r="BR14" s="673"/>
      <c r="BS14" s="673"/>
      <c r="BT14" s="673"/>
      <c r="BU14" s="673"/>
      <c r="BV14" s="673"/>
      <c r="BW14" s="673"/>
      <c r="BX14" s="673"/>
      <c r="BY14" s="673"/>
      <c r="BZ14" s="673"/>
      <c r="CA14" s="673"/>
      <c r="CB14" s="673"/>
      <c r="CC14" s="673"/>
      <c r="CD14" s="673"/>
      <c r="CE14" s="673"/>
      <c r="CF14" s="673"/>
      <c r="CG14" s="673"/>
      <c r="CH14" s="673"/>
      <c r="CI14" s="673"/>
      <c r="CJ14" s="673"/>
      <c r="CK14" s="673"/>
      <c r="CL14" s="673"/>
      <c r="CM14" s="673"/>
      <c r="CN14" s="673"/>
      <c r="CO14" s="673"/>
      <c r="CP14" s="673"/>
      <c r="CQ14" s="673"/>
      <c r="CR14" s="673"/>
      <c r="CS14" s="673"/>
      <c r="CT14" s="673"/>
      <c r="CU14" s="673"/>
      <c r="CV14" s="673"/>
      <c r="CW14" s="673"/>
      <c r="CX14" s="673"/>
      <c r="CY14" s="673"/>
      <c r="CZ14" s="673"/>
      <c r="DA14" s="673"/>
      <c r="DB14" s="673"/>
      <c r="DC14" s="673"/>
      <c r="DD14" s="673"/>
      <c r="DE14" s="673"/>
      <c r="DF14" s="673"/>
      <c r="DG14" s="673"/>
      <c r="DH14" s="673"/>
      <c r="DI14" s="673"/>
      <c r="DJ14" s="673"/>
      <c r="DK14" s="673"/>
      <c r="DL14" s="673"/>
      <c r="DM14" s="673"/>
      <c r="DN14" s="673"/>
      <c r="DO14" s="673"/>
      <c r="DP14" s="673"/>
      <c r="DQ14" s="673"/>
      <c r="DR14" s="673"/>
      <c r="DS14" s="673"/>
      <c r="DT14" s="673"/>
      <c r="DU14" s="673"/>
      <c r="DV14" s="673"/>
      <c r="DW14" s="673"/>
      <c r="DX14" s="673"/>
      <c r="DY14" s="673"/>
      <c r="DZ14" s="673"/>
      <c r="EA14" s="673"/>
      <c r="EB14" s="673"/>
      <c r="EC14" s="673"/>
      <c r="ED14" s="673"/>
      <c r="EE14" s="673"/>
      <c r="EF14" s="673"/>
      <c r="EG14" s="673"/>
      <c r="EH14" s="673"/>
      <c r="EI14" s="673"/>
      <c r="EJ14" s="673"/>
      <c r="EK14" s="673"/>
      <c r="EL14" s="673"/>
      <c r="EM14" s="673"/>
      <c r="EN14" s="673"/>
      <c r="EO14" s="673"/>
      <c r="EP14" s="673"/>
      <c r="EQ14" s="673"/>
      <c r="ER14" s="673"/>
      <c r="ES14" s="673"/>
      <c r="ET14" s="673"/>
      <c r="EU14" s="673"/>
      <c r="EV14" s="673"/>
      <c r="EW14" s="673"/>
      <c r="EX14" s="673"/>
      <c r="EY14" s="673"/>
      <c r="EZ14" s="673"/>
      <c r="FA14" s="673"/>
      <c r="FB14" s="673"/>
      <c r="FC14" s="673"/>
      <c r="FD14" s="673"/>
      <c r="FE14" s="673"/>
      <c r="FF14" s="673"/>
      <c r="FG14" s="673"/>
      <c r="FH14" s="673"/>
      <c r="FI14" s="673"/>
      <c r="FJ14" s="673"/>
      <c r="FK14" s="673"/>
      <c r="FL14" s="673"/>
      <c r="FM14" s="673"/>
      <c r="FN14" s="673"/>
      <c r="FO14" s="673"/>
      <c r="FP14" s="673"/>
      <c r="FQ14" s="673"/>
      <c r="FR14" s="673"/>
      <c r="FS14" s="673"/>
      <c r="FT14" s="673"/>
      <c r="FU14" s="673"/>
      <c r="FV14" s="673"/>
      <c r="FW14" s="673"/>
      <c r="FX14" s="673"/>
      <c r="FY14" s="673"/>
      <c r="FZ14" s="673"/>
      <c r="GA14" s="673"/>
      <c r="GB14" s="673"/>
      <c r="GC14" s="673"/>
      <c r="GD14" s="673"/>
      <c r="GE14" s="673"/>
      <c r="GF14" s="673"/>
      <c r="GG14" s="673"/>
      <c r="GH14" s="673"/>
      <c r="GI14" s="673"/>
      <c r="GJ14" s="673"/>
      <c r="GK14" s="673"/>
      <c r="GL14" s="673"/>
      <c r="GM14" s="673"/>
      <c r="GN14" s="673"/>
      <c r="GO14" s="673"/>
      <c r="GP14" s="673"/>
      <c r="GQ14" s="673"/>
      <c r="GR14" s="673"/>
      <c r="GS14" s="673"/>
      <c r="GT14" s="673"/>
      <c r="GU14" s="673"/>
      <c r="GV14" s="673"/>
      <c r="GW14" s="673"/>
      <c r="GX14" s="673"/>
      <c r="GY14" s="673"/>
      <c r="GZ14" s="673"/>
      <c r="HA14" s="673"/>
      <c r="HB14" s="673"/>
      <c r="HC14" s="673"/>
      <c r="HD14" s="673"/>
      <c r="HE14" s="673"/>
      <c r="HF14" s="673"/>
      <c r="HG14" s="673"/>
      <c r="HH14" s="673"/>
      <c r="HI14" s="673"/>
      <c r="HJ14" s="673"/>
      <c r="HK14" s="673"/>
      <c r="HL14" s="673"/>
      <c r="HM14" s="673"/>
      <c r="HN14" s="673"/>
      <c r="HO14" s="673"/>
      <c r="HP14" s="673"/>
      <c r="HQ14" s="673"/>
      <c r="HR14" s="673"/>
      <c r="HS14" s="673"/>
      <c r="HT14" s="673"/>
      <c r="HU14" s="673"/>
      <c r="HV14" s="673"/>
      <c r="HW14" s="673"/>
      <c r="HX14" s="673"/>
      <c r="HY14" s="673"/>
      <c r="HZ14" s="673"/>
      <c r="IA14" s="673"/>
      <c r="IB14" s="673"/>
      <c r="IC14" s="673"/>
      <c r="ID14" s="673"/>
      <c r="IE14" s="673"/>
      <c r="IF14" s="673"/>
      <c r="IG14" s="673"/>
      <c r="IH14" s="673"/>
      <c r="II14" s="673"/>
      <c r="IJ14" s="673"/>
      <c r="IK14" s="673"/>
      <c r="IL14" s="673"/>
      <c r="IM14" s="673"/>
      <c r="IN14" s="673"/>
      <c r="IO14" s="673"/>
      <c r="IP14" s="673"/>
      <c r="IQ14" s="673"/>
      <c r="IR14" s="673"/>
      <c r="IS14" s="673"/>
      <c r="IT14" s="673"/>
      <c r="IU14" s="673"/>
      <c r="IV14" s="673"/>
      <c r="IW14" s="673"/>
      <c r="IX14" s="673"/>
      <c r="IY14" s="673"/>
      <c r="IZ14" s="673"/>
      <c r="JA14" s="673"/>
      <c r="JB14" s="673"/>
      <c r="JC14" s="673"/>
      <c r="JD14" s="673"/>
      <c r="JE14" s="673"/>
      <c r="JF14" s="673"/>
      <c r="JG14" s="673"/>
      <c r="JH14" s="673"/>
      <c r="JI14" s="673"/>
      <c r="JJ14" s="673"/>
      <c r="JK14" s="673"/>
      <c r="JL14" s="673"/>
      <c r="JM14" s="673"/>
      <c r="JN14" s="673"/>
      <c r="JO14" s="673"/>
      <c r="JP14" s="673"/>
      <c r="JQ14" s="673"/>
      <c r="JR14" s="673"/>
      <c r="JS14" s="673"/>
      <c r="JT14" s="673"/>
      <c r="JU14" s="673"/>
      <c r="JV14" s="673"/>
      <c r="JW14" s="673"/>
      <c r="JX14" s="673"/>
      <c r="JY14" s="673"/>
      <c r="JZ14" s="673"/>
      <c r="KA14" s="673"/>
      <c r="KB14" s="673"/>
      <c r="KC14" s="673"/>
      <c r="KD14" s="673"/>
      <c r="KE14" s="673"/>
      <c r="KF14" s="673"/>
      <c r="KG14" s="673"/>
      <c r="KH14" s="673"/>
      <c r="KI14" s="673"/>
      <c r="KJ14" s="673"/>
      <c r="KK14" s="673"/>
      <c r="KL14" s="673"/>
      <c r="KM14" s="673"/>
      <c r="KN14" s="673"/>
      <c r="KO14" s="673"/>
      <c r="KP14" s="673"/>
      <c r="KQ14" s="673"/>
      <c r="KR14" s="673"/>
      <c r="KS14" s="673"/>
      <c r="KT14" s="673"/>
      <c r="KU14" s="673"/>
      <c r="KV14" s="673"/>
      <c r="KW14" s="673"/>
      <c r="KX14" s="673"/>
      <c r="KY14" s="673"/>
      <c r="KZ14" s="673"/>
      <c r="LA14" s="673"/>
      <c r="LB14" s="673"/>
      <c r="LC14" s="673"/>
      <c r="LD14" s="673"/>
      <c r="LE14" s="673"/>
      <c r="LF14" s="673"/>
      <c r="LG14" s="673"/>
      <c r="LH14" s="673"/>
      <c r="LI14" s="673"/>
      <c r="LJ14" s="673"/>
      <c r="LK14" s="673"/>
      <c r="LL14" s="673"/>
      <c r="LM14" s="673"/>
      <c r="LN14" s="673"/>
      <c r="LO14" s="673"/>
      <c r="LP14" s="673"/>
      <c r="LQ14" s="673"/>
      <c r="LR14" s="673"/>
      <c r="LS14" s="673"/>
      <c r="LT14" s="673"/>
      <c r="LU14" s="673"/>
      <c r="LV14" s="673"/>
      <c r="LW14" s="673"/>
      <c r="LX14" s="673"/>
      <c r="LY14" s="673"/>
      <c r="LZ14" s="673"/>
      <c r="MA14" s="673"/>
      <c r="MB14" s="673"/>
      <c r="MC14" s="673"/>
      <c r="MD14" s="673"/>
      <c r="ME14" s="673"/>
      <c r="MF14" s="673"/>
      <c r="MG14" s="673"/>
      <c r="MH14" s="673"/>
      <c r="MI14" s="673"/>
      <c r="MJ14" s="673"/>
      <c r="MK14" s="673"/>
      <c r="ML14" s="673"/>
      <c r="MM14" s="673"/>
      <c r="MN14" s="673"/>
      <c r="MO14" s="673"/>
      <c r="MP14" s="673"/>
      <c r="MQ14" s="673"/>
      <c r="MR14" s="673"/>
      <c r="MS14" s="673"/>
      <c r="MT14" s="673"/>
      <c r="MU14" s="673"/>
      <c r="MV14" s="673"/>
      <c r="MW14" s="673"/>
      <c r="MX14" s="673"/>
      <c r="MY14" s="673"/>
      <c r="MZ14" s="673"/>
      <c r="NA14" s="673"/>
      <c r="NB14" s="673"/>
      <c r="NC14" s="673"/>
      <c r="ND14" s="673"/>
      <c r="NE14" s="673"/>
      <c r="NF14" s="673"/>
      <c r="NG14" s="673"/>
      <c r="NH14" s="673"/>
      <c r="NI14" s="673"/>
      <c r="NJ14" s="673"/>
      <c r="NK14" s="673"/>
      <c r="NL14" s="673"/>
      <c r="NM14" s="673"/>
      <c r="NN14" s="673"/>
      <c r="NO14" s="673"/>
      <c r="NP14" s="673"/>
      <c r="NQ14" s="673"/>
      <c r="NR14" s="673"/>
      <c r="NS14" s="673"/>
      <c r="NT14" s="673"/>
      <c r="NU14" s="673"/>
      <c r="NV14" s="673"/>
      <c r="NW14" s="673"/>
      <c r="NX14" s="673"/>
      <c r="NY14" s="673"/>
      <c r="NZ14" s="673"/>
      <c r="OA14" s="673"/>
      <c r="OB14" s="673"/>
      <c r="OC14" s="673"/>
      <c r="OD14" s="673"/>
      <c r="OE14" s="673"/>
      <c r="OF14" s="673"/>
      <c r="OG14" s="673"/>
      <c r="OH14" s="673"/>
      <c r="OI14" s="673"/>
      <c r="OJ14" s="673"/>
      <c r="OK14" s="673"/>
      <c r="OL14" s="673"/>
      <c r="OM14" s="673"/>
      <c r="ON14" s="673"/>
      <c r="OO14" s="673"/>
      <c r="OP14" s="673"/>
      <c r="OQ14" s="673"/>
      <c r="OR14" s="673"/>
      <c r="OS14" s="673"/>
      <c r="OT14" s="673"/>
      <c r="OU14" s="673"/>
      <c r="OV14" s="673"/>
      <c r="OW14" s="673"/>
      <c r="OX14" s="673"/>
      <c r="OY14" s="673"/>
      <c r="OZ14" s="673"/>
      <c r="PA14" s="673"/>
      <c r="PB14" s="673"/>
      <c r="PC14" s="673"/>
      <c r="PD14" s="673"/>
      <c r="PE14" s="673"/>
      <c r="PF14" s="673"/>
      <c r="PG14" s="673"/>
      <c r="PH14" s="673"/>
      <c r="PI14" s="673"/>
      <c r="PJ14" s="673"/>
      <c r="PK14" s="673"/>
      <c r="PL14" s="673"/>
      <c r="PM14" s="673"/>
      <c r="PN14" s="673"/>
      <c r="PO14" s="673"/>
      <c r="PP14" s="673"/>
      <c r="PQ14" s="673"/>
      <c r="PR14" s="673"/>
      <c r="PS14" s="673"/>
      <c r="PT14" s="673"/>
      <c r="PU14" s="673"/>
      <c r="PV14" s="673"/>
      <c r="PW14" s="673"/>
      <c r="PX14" s="673"/>
      <c r="PY14" s="673"/>
      <c r="PZ14" s="673"/>
      <c r="QA14" s="673"/>
      <c r="QB14" s="673"/>
      <c r="QC14" s="673"/>
      <c r="QD14" s="673"/>
      <c r="QE14" s="673"/>
      <c r="QF14" s="673"/>
      <c r="QG14" s="673"/>
      <c r="QH14" s="673"/>
      <c r="QI14" s="673"/>
      <c r="QJ14" s="673"/>
      <c r="QK14" s="673"/>
    </row>
    <row r="15" spans="1:453" s="558" customFormat="1">
      <c r="A15" s="680"/>
      <c r="B15" s="680"/>
      <c r="C15" s="2107" t="str">
        <f ca="1">TEXT(HYPERLINK("#"&amp;CELL("address",'Equipment Results Matrix'!A188),'Equipment Results Matrix'!A188),"0,000")</f>
        <v xml:space="preserve">LED-backlit LCD Televisions 
(32" screen size) </v>
      </c>
      <c r="D15" s="2107"/>
      <c r="E15" s="2107"/>
      <c r="F15" s="2107"/>
      <c r="G15" s="2107"/>
      <c r="H15" s="2107"/>
      <c r="I15" s="680"/>
      <c r="J15" s="680"/>
      <c r="K15" s="680"/>
      <c r="L15" s="2107" t="str">
        <f ca="1">TEXT(HYPERLINK("#"&amp;CELL("address",'Equipment + Labor'!A58),"Total installed cost"),"0,000")</f>
        <v>Total installed cost</v>
      </c>
      <c r="M15" s="2107"/>
      <c r="N15" s="2107"/>
      <c r="O15" s="673"/>
      <c r="P15" s="673"/>
      <c r="Q15" s="673"/>
      <c r="R15" s="673"/>
      <c r="S15" s="673"/>
      <c r="T15" s="673"/>
      <c r="U15" s="673"/>
      <c r="V15" s="673"/>
      <c r="W15" s="673"/>
      <c r="X15" s="673"/>
      <c r="Y15" s="673"/>
      <c r="Z15" s="673"/>
      <c r="AA15" s="673"/>
      <c r="AB15" s="673"/>
      <c r="AC15" s="673"/>
      <c r="AD15" s="673"/>
      <c r="AE15" s="673"/>
      <c r="AF15" s="673"/>
      <c r="AG15" s="673"/>
      <c r="AH15" s="673"/>
      <c r="AI15" s="673"/>
      <c r="AJ15" s="673"/>
      <c r="AK15" s="673"/>
      <c r="AL15" s="673"/>
      <c r="AM15" s="673"/>
      <c r="AN15" s="673"/>
      <c r="AO15" s="673"/>
      <c r="AP15" s="673"/>
      <c r="AQ15" s="673"/>
      <c r="AR15" s="673"/>
      <c r="AS15" s="673"/>
      <c r="AT15" s="673"/>
      <c r="AU15" s="673"/>
      <c r="AV15" s="673"/>
      <c r="AW15" s="673"/>
      <c r="AX15" s="673"/>
      <c r="AY15" s="673"/>
      <c r="AZ15" s="673"/>
      <c r="BA15" s="673"/>
      <c r="BB15" s="673"/>
      <c r="BC15" s="673"/>
      <c r="BD15" s="673"/>
      <c r="BE15" s="673"/>
      <c r="BF15" s="673"/>
      <c r="BG15" s="673"/>
      <c r="BH15" s="673"/>
      <c r="BI15" s="673"/>
      <c r="BJ15" s="673"/>
      <c r="BK15" s="673"/>
      <c r="BL15" s="673"/>
      <c r="BM15" s="673"/>
      <c r="BN15" s="673"/>
      <c r="BO15" s="673"/>
      <c r="BP15" s="673"/>
      <c r="BQ15" s="673"/>
      <c r="BR15" s="673"/>
      <c r="BS15" s="673"/>
      <c r="BT15" s="673"/>
      <c r="BU15" s="673"/>
      <c r="BV15" s="673"/>
      <c r="BW15" s="673"/>
      <c r="BX15" s="673"/>
      <c r="BY15" s="673"/>
      <c r="BZ15" s="673"/>
      <c r="CA15" s="673"/>
      <c r="CB15" s="673"/>
      <c r="CC15" s="673"/>
      <c r="CD15" s="673"/>
      <c r="CE15" s="673"/>
      <c r="CF15" s="673"/>
      <c r="CG15" s="673"/>
      <c r="CH15" s="673"/>
      <c r="CI15" s="673"/>
      <c r="CJ15" s="673"/>
      <c r="CK15" s="673"/>
      <c r="CL15" s="673"/>
      <c r="CM15" s="673"/>
      <c r="CN15" s="673"/>
      <c r="CO15" s="673"/>
      <c r="CP15" s="673"/>
      <c r="CQ15" s="673"/>
      <c r="CR15" s="673"/>
      <c r="CS15" s="673"/>
      <c r="CT15" s="673"/>
      <c r="CU15" s="673"/>
      <c r="CV15" s="673"/>
      <c r="CW15" s="673"/>
      <c r="CX15" s="673"/>
      <c r="CY15" s="673"/>
      <c r="CZ15" s="673"/>
      <c r="DA15" s="673"/>
      <c r="DB15" s="673"/>
      <c r="DC15" s="673"/>
      <c r="DD15" s="673"/>
      <c r="DE15" s="673"/>
      <c r="DF15" s="673"/>
      <c r="DG15" s="673"/>
      <c r="DH15" s="673"/>
      <c r="DI15" s="673"/>
      <c r="DJ15" s="673"/>
      <c r="DK15" s="673"/>
      <c r="DL15" s="673"/>
      <c r="DM15" s="673"/>
      <c r="DN15" s="673"/>
      <c r="DO15" s="673"/>
      <c r="DP15" s="673"/>
      <c r="DQ15" s="673"/>
      <c r="DR15" s="673"/>
      <c r="DS15" s="673"/>
      <c r="DT15" s="673"/>
      <c r="DU15" s="673"/>
      <c r="DV15" s="673"/>
      <c r="DW15" s="673"/>
      <c r="DX15" s="673"/>
      <c r="DY15" s="673"/>
      <c r="DZ15" s="673"/>
      <c r="EA15" s="673"/>
      <c r="EB15" s="673"/>
      <c r="EC15" s="673"/>
      <c r="ED15" s="673"/>
      <c r="EE15" s="673"/>
      <c r="EF15" s="673"/>
      <c r="EG15" s="673"/>
      <c r="EH15" s="673"/>
      <c r="EI15" s="673"/>
      <c r="EJ15" s="673"/>
      <c r="EK15" s="673"/>
      <c r="EL15" s="673"/>
      <c r="EM15" s="673"/>
      <c r="EN15" s="673"/>
      <c r="EO15" s="673"/>
      <c r="EP15" s="673"/>
      <c r="EQ15" s="673"/>
      <c r="ER15" s="673"/>
      <c r="ES15" s="673"/>
      <c r="ET15" s="673"/>
      <c r="EU15" s="673"/>
      <c r="EV15" s="673"/>
      <c r="EW15" s="673"/>
      <c r="EX15" s="673"/>
      <c r="EY15" s="673"/>
      <c r="EZ15" s="673"/>
      <c r="FA15" s="673"/>
      <c r="FB15" s="673"/>
      <c r="FC15" s="673"/>
      <c r="FD15" s="673"/>
      <c r="FE15" s="673"/>
      <c r="FF15" s="673"/>
      <c r="FG15" s="673"/>
      <c r="FH15" s="673"/>
      <c r="FI15" s="673"/>
      <c r="FJ15" s="673"/>
      <c r="FK15" s="673"/>
      <c r="FL15" s="673"/>
      <c r="FM15" s="673"/>
      <c r="FN15" s="673"/>
      <c r="FO15" s="673"/>
      <c r="FP15" s="673"/>
      <c r="FQ15" s="673"/>
      <c r="FR15" s="673"/>
      <c r="FS15" s="673"/>
      <c r="FT15" s="673"/>
      <c r="FU15" s="673"/>
      <c r="FV15" s="673"/>
      <c r="FW15" s="673"/>
      <c r="FX15" s="673"/>
      <c r="FY15" s="673"/>
      <c r="FZ15" s="673"/>
      <c r="GA15" s="673"/>
      <c r="GB15" s="673"/>
      <c r="GC15" s="673"/>
      <c r="GD15" s="673"/>
      <c r="GE15" s="673"/>
      <c r="GF15" s="673"/>
      <c r="GG15" s="673"/>
      <c r="GH15" s="673"/>
      <c r="GI15" s="673"/>
      <c r="GJ15" s="673"/>
      <c r="GK15" s="673"/>
      <c r="GL15" s="673"/>
      <c r="GM15" s="673"/>
      <c r="GN15" s="673"/>
      <c r="GO15" s="673"/>
      <c r="GP15" s="673"/>
      <c r="GQ15" s="673"/>
      <c r="GR15" s="673"/>
      <c r="GS15" s="673"/>
      <c r="GT15" s="673"/>
      <c r="GU15" s="673"/>
      <c r="GV15" s="673"/>
      <c r="GW15" s="673"/>
      <c r="GX15" s="673"/>
      <c r="GY15" s="673"/>
      <c r="GZ15" s="673"/>
      <c r="HA15" s="673"/>
      <c r="HB15" s="673"/>
      <c r="HC15" s="673"/>
      <c r="HD15" s="673"/>
      <c r="HE15" s="673"/>
      <c r="HF15" s="673"/>
      <c r="HG15" s="673"/>
      <c r="HH15" s="673"/>
      <c r="HI15" s="673"/>
      <c r="HJ15" s="673"/>
      <c r="HK15" s="673"/>
      <c r="HL15" s="673"/>
      <c r="HM15" s="673"/>
      <c r="HN15" s="673"/>
      <c r="HO15" s="673"/>
      <c r="HP15" s="673"/>
      <c r="HQ15" s="673"/>
      <c r="HR15" s="673"/>
      <c r="HS15" s="673"/>
      <c r="HT15" s="673"/>
      <c r="HU15" s="673"/>
      <c r="HV15" s="673"/>
      <c r="HW15" s="673"/>
      <c r="HX15" s="673"/>
      <c r="HY15" s="673"/>
      <c r="HZ15" s="673"/>
      <c r="IA15" s="673"/>
      <c r="IB15" s="673"/>
      <c r="IC15" s="673"/>
      <c r="ID15" s="673"/>
      <c r="IE15" s="673"/>
      <c r="IF15" s="673"/>
      <c r="IG15" s="673"/>
      <c r="IH15" s="673"/>
      <c r="II15" s="673"/>
      <c r="IJ15" s="673"/>
      <c r="IK15" s="673"/>
      <c r="IL15" s="673"/>
      <c r="IM15" s="673"/>
      <c r="IN15" s="673"/>
      <c r="IO15" s="673"/>
      <c r="IP15" s="673"/>
      <c r="IQ15" s="673"/>
      <c r="IR15" s="673"/>
      <c r="IS15" s="673"/>
      <c r="IT15" s="673"/>
      <c r="IU15" s="673"/>
      <c r="IV15" s="673"/>
      <c r="IW15" s="673"/>
      <c r="IX15" s="673"/>
      <c r="IY15" s="673"/>
      <c r="IZ15" s="673"/>
      <c r="JA15" s="673"/>
      <c r="JB15" s="673"/>
      <c r="JC15" s="673"/>
      <c r="JD15" s="673"/>
      <c r="JE15" s="673"/>
      <c r="JF15" s="673"/>
      <c r="JG15" s="673"/>
      <c r="JH15" s="673"/>
      <c r="JI15" s="673"/>
      <c r="JJ15" s="673"/>
      <c r="JK15" s="673"/>
      <c r="JL15" s="673"/>
      <c r="JM15" s="673"/>
      <c r="JN15" s="673"/>
      <c r="JO15" s="673"/>
      <c r="JP15" s="673"/>
      <c r="JQ15" s="673"/>
      <c r="JR15" s="673"/>
      <c r="JS15" s="673"/>
      <c r="JT15" s="673"/>
      <c r="JU15" s="673"/>
      <c r="JV15" s="673"/>
      <c r="JW15" s="673"/>
      <c r="JX15" s="673"/>
      <c r="JY15" s="673"/>
      <c r="JZ15" s="673"/>
      <c r="KA15" s="673"/>
      <c r="KB15" s="673"/>
      <c r="KC15" s="673"/>
      <c r="KD15" s="673"/>
      <c r="KE15" s="673"/>
      <c r="KF15" s="673"/>
      <c r="KG15" s="673"/>
      <c r="KH15" s="673"/>
      <c r="KI15" s="673"/>
      <c r="KJ15" s="673"/>
      <c r="KK15" s="673"/>
      <c r="KL15" s="673"/>
      <c r="KM15" s="673"/>
      <c r="KN15" s="673"/>
      <c r="KO15" s="673"/>
      <c r="KP15" s="673"/>
      <c r="KQ15" s="673"/>
      <c r="KR15" s="673"/>
      <c r="KS15" s="673"/>
      <c r="KT15" s="673"/>
      <c r="KU15" s="673"/>
      <c r="KV15" s="673"/>
      <c r="KW15" s="673"/>
      <c r="KX15" s="673"/>
      <c r="KY15" s="673"/>
      <c r="KZ15" s="673"/>
      <c r="LA15" s="673"/>
      <c r="LB15" s="673"/>
      <c r="LC15" s="673"/>
      <c r="LD15" s="673"/>
      <c r="LE15" s="673"/>
      <c r="LF15" s="673"/>
      <c r="LG15" s="673"/>
      <c r="LH15" s="673"/>
      <c r="LI15" s="673"/>
      <c r="LJ15" s="673"/>
      <c r="LK15" s="673"/>
      <c r="LL15" s="673"/>
      <c r="LM15" s="673"/>
      <c r="LN15" s="673"/>
      <c r="LO15" s="673"/>
      <c r="LP15" s="673"/>
      <c r="LQ15" s="673"/>
      <c r="LR15" s="673"/>
      <c r="LS15" s="673"/>
      <c r="LT15" s="673"/>
      <c r="LU15" s="673"/>
      <c r="LV15" s="673"/>
      <c r="LW15" s="673"/>
      <c r="LX15" s="673"/>
      <c r="LY15" s="673"/>
      <c r="LZ15" s="673"/>
      <c r="MA15" s="673"/>
      <c r="MB15" s="673"/>
      <c r="MC15" s="673"/>
      <c r="MD15" s="673"/>
      <c r="ME15" s="673"/>
      <c r="MF15" s="673"/>
      <c r="MG15" s="673"/>
      <c r="MH15" s="673"/>
      <c r="MI15" s="673"/>
      <c r="MJ15" s="673"/>
      <c r="MK15" s="673"/>
      <c r="ML15" s="673"/>
      <c r="MM15" s="673"/>
      <c r="MN15" s="673"/>
      <c r="MO15" s="673"/>
      <c r="MP15" s="673"/>
      <c r="MQ15" s="673"/>
      <c r="MR15" s="673"/>
      <c r="MS15" s="673"/>
      <c r="MT15" s="673"/>
      <c r="MU15" s="673"/>
      <c r="MV15" s="673"/>
      <c r="MW15" s="673"/>
      <c r="MX15" s="673"/>
      <c r="MY15" s="673"/>
      <c r="MZ15" s="673"/>
      <c r="NA15" s="673"/>
      <c r="NB15" s="673"/>
      <c r="NC15" s="673"/>
      <c r="ND15" s="673"/>
      <c r="NE15" s="673"/>
      <c r="NF15" s="673"/>
      <c r="NG15" s="673"/>
      <c r="NH15" s="673"/>
      <c r="NI15" s="673"/>
      <c r="NJ15" s="673"/>
      <c r="NK15" s="673"/>
      <c r="NL15" s="673"/>
      <c r="NM15" s="673"/>
      <c r="NN15" s="673"/>
      <c r="NO15" s="673"/>
      <c r="NP15" s="673"/>
      <c r="NQ15" s="673"/>
      <c r="NR15" s="673"/>
      <c r="NS15" s="673"/>
      <c r="NT15" s="673"/>
      <c r="NU15" s="673"/>
      <c r="NV15" s="673"/>
      <c r="NW15" s="673"/>
      <c r="NX15" s="673"/>
      <c r="NY15" s="673"/>
      <c r="NZ15" s="673"/>
      <c r="OA15" s="673"/>
      <c r="OB15" s="673"/>
      <c r="OC15" s="673"/>
      <c r="OD15" s="673"/>
      <c r="OE15" s="673"/>
      <c r="OF15" s="673"/>
      <c r="OG15" s="673"/>
      <c r="OH15" s="673"/>
      <c r="OI15" s="673"/>
      <c r="OJ15" s="673"/>
      <c r="OK15" s="673"/>
      <c r="OL15" s="673"/>
      <c r="OM15" s="673"/>
      <c r="ON15" s="673"/>
      <c r="OO15" s="673"/>
      <c r="OP15" s="673"/>
      <c r="OQ15" s="673"/>
      <c r="OR15" s="673"/>
      <c r="OS15" s="673"/>
      <c r="OT15" s="673"/>
      <c r="OU15" s="673"/>
      <c r="OV15" s="673"/>
      <c r="OW15" s="673"/>
      <c r="OX15" s="673"/>
      <c r="OY15" s="673"/>
      <c r="OZ15" s="673"/>
      <c r="PA15" s="673"/>
      <c r="PB15" s="673"/>
      <c r="PC15" s="673"/>
      <c r="PD15" s="673"/>
      <c r="PE15" s="673"/>
      <c r="PF15" s="673"/>
      <c r="PG15" s="673"/>
      <c r="PH15" s="673"/>
      <c r="PI15" s="673"/>
      <c r="PJ15" s="673"/>
      <c r="PK15" s="673"/>
      <c r="PL15" s="673"/>
      <c r="PM15" s="673"/>
      <c r="PN15" s="673"/>
      <c r="PO15" s="673"/>
      <c r="PP15" s="673"/>
      <c r="PQ15" s="673"/>
      <c r="PR15" s="673"/>
      <c r="PS15" s="673"/>
      <c r="PT15" s="673"/>
      <c r="PU15" s="673"/>
      <c r="PV15" s="673"/>
      <c r="PW15" s="673"/>
      <c r="PX15" s="673"/>
      <c r="PY15" s="673"/>
      <c r="PZ15" s="673"/>
      <c r="QA15" s="673"/>
      <c r="QB15" s="673"/>
      <c r="QC15" s="673"/>
      <c r="QD15" s="673"/>
      <c r="QE15" s="673"/>
      <c r="QF15" s="673"/>
      <c r="QG15" s="673"/>
      <c r="QH15" s="673"/>
      <c r="QI15" s="673"/>
      <c r="QJ15" s="673"/>
      <c r="QK15" s="673"/>
    </row>
    <row r="16" spans="1:453" s="558" customFormat="1">
      <c r="A16" s="680"/>
      <c r="B16" s="680"/>
      <c r="C16" s="2107" t="str">
        <f ca="1">TEXT(HYPERLINK("#"&amp;CELL("address",'Equipment Results Matrix'!A227),'Equipment Results Matrix'!A227),"0,000")</f>
        <v>LED-backlit LCD Televisions 
(22" screen size)</v>
      </c>
      <c r="D16" s="2107"/>
      <c r="E16" s="2107"/>
      <c r="F16" s="2107"/>
      <c r="G16" s="2107"/>
      <c r="H16" s="2107"/>
      <c r="I16" s="680"/>
      <c r="J16" s="680"/>
      <c r="K16" s="680"/>
      <c r="L16" s="2107" t="str">
        <f ca="1">TEXT(HYPERLINK("#"&amp;CELL("address",'Equipment + Labor'!A62),"Total installed cost"),"0,000")</f>
        <v>Total installed cost</v>
      </c>
      <c r="M16" s="2107"/>
      <c r="N16" s="2107"/>
      <c r="O16" s="673"/>
      <c r="P16" s="673"/>
      <c r="Q16" s="673"/>
      <c r="R16" s="673"/>
      <c r="S16" s="673"/>
      <c r="T16" s="673"/>
      <c r="U16" s="673"/>
      <c r="V16" s="673"/>
      <c r="W16" s="673"/>
      <c r="X16" s="673"/>
      <c r="Y16" s="673"/>
      <c r="Z16" s="673"/>
      <c r="AA16" s="673"/>
      <c r="AB16" s="673"/>
      <c r="AC16" s="673"/>
      <c r="AD16" s="673"/>
      <c r="AE16" s="673"/>
      <c r="AF16" s="673"/>
      <c r="AG16" s="673"/>
      <c r="AH16" s="673"/>
      <c r="AI16" s="673"/>
      <c r="AJ16" s="673"/>
      <c r="AK16" s="673"/>
      <c r="AL16" s="673"/>
      <c r="AM16" s="673"/>
      <c r="AN16" s="673"/>
      <c r="AO16" s="673"/>
      <c r="AP16" s="673"/>
      <c r="AQ16" s="673"/>
      <c r="AR16" s="673"/>
      <c r="AS16" s="673"/>
      <c r="AT16" s="673"/>
      <c r="AU16" s="673"/>
      <c r="AV16" s="673"/>
      <c r="AW16" s="673"/>
      <c r="AX16" s="673"/>
      <c r="AY16" s="673"/>
      <c r="AZ16" s="673"/>
      <c r="BA16" s="673"/>
      <c r="BB16" s="673"/>
      <c r="BC16" s="673"/>
      <c r="BD16" s="673"/>
      <c r="BE16" s="673"/>
      <c r="BF16" s="673"/>
      <c r="BG16" s="673"/>
      <c r="BH16" s="673"/>
      <c r="BI16" s="673"/>
      <c r="BJ16" s="673"/>
      <c r="BK16" s="673"/>
      <c r="BL16" s="673"/>
      <c r="BM16" s="673"/>
      <c r="BN16" s="673"/>
      <c r="BO16" s="673"/>
      <c r="BP16" s="673"/>
      <c r="BQ16" s="673"/>
      <c r="BR16" s="673"/>
      <c r="BS16" s="673"/>
      <c r="BT16" s="673"/>
      <c r="BU16" s="673"/>
      <c r="BV16" s="673"/>
      <c r="BW16" s="673"/>
      <c r="BX16" s="673"/>
      <c r="BY16" s="673"/>
      <c r="BZ16" s="673"/>
      <c r="CA16" s="673"/>
      <c r="CB16" s="673"/>
      <c r="CC16" s="673"/>
      <c r="CD16" s="673"/>
      <c r="CE16" s="673"/>
      <c r="CF16" s="673"/>
      <c r="CG16" s="673"/>
      <c r="CH16" s="673"/>
      <c r="CI16" s="673"/>
      <c r="CJ16" s="673"/>
      <c r="CK16" s="673"/>
      <c r="CL16" s="673"/>
      <c r="CM16" s="673"/>
      <c r="CN16" s="673"/>
      <c r="CO16" s="673"/>
      <c r="CP16" s="673"/>
      <c r="CQ16" s="673"/>
      <c r="CR16" s="673"/>
      <c r="CS16" s="673"/>
      <c r="CT16" s="673"/>
      <c r="CU16" s="673"/>
      <c r="CV16" s="673"/>
      <c r="CW16" s="673"/>
      <c r="CX16" s="673"/>
      <c r="CY16" s="673"/>
      <c r="CZ16" s="673"/>
      <c r="DA16" s="673"/>
      <c r="DB16" s="673"/>
      <c r="DC16" s="673"/>
      <c r="DD16" s="673"/>
      <c r="DE16" s="673"/>
      <c r="DF16" s="673"/>
      <c r="DG16" s="673"/>
      <c r="DH16" s="673"/>
      <c r="DI16" s="673"/>
      <c r="DJ16" s="673"/>
      <c r="DK16" s="673"/>
      <c r="DL16" s="673"/>
      <c r="DM16" s="673"/>
      <c r="DN16" s="673"/>
      <c r="DO16" s="673"/>
      <c r="DP16" s="673"/>
      <c r="DQ16" s="673"/>
      <c r="DR16" s="673"/>
      <c r="DS16" s="673"/>
      <c r="DT16" s="673"/>
      <c r="DU16" s="673"/>
      <c r="DV16" s="673"/>
      <c r="DW16" s="673"/>
      <c r="DX16" s="673"/>
      <c r="DY16" s="673"/>
      <c r="DZ16" s="673"/>
      <c r="EA16" s="673"/>
      <c r="EB16" s="673"/>
      <c r="EC16" s="673"/>
      <c r="ED16" s="673"/>
      <c r="EE16" s="673"/>
      <c r="EF16" s="673"/>
      <c r="EG16" s="673"/>
      <c r="EH16" s="673"/>
      <c r="EI16" s="673"/>
      <c r="EJ16" s="673"/>
      <c r="EK16" s="673"/>
      <c r="EL16" s="673"/>
      <c r="EM16" s="673"/>
      <c r="EN16" s="673"/>
      <c r="EO16" s="673"/>
      <c r="EP16" s="673"/>
      <c r="EQ16" s="673"/>
      <c r="ER16" s="673"/>
      <c r="ES16" s="673"/>
      <c r="ET16" s="673"/>
      <c r="EU16" s="673"/>
      <c r="EV16" s="673"/>
      <c r="EW16" s="673"/>
      <c r="EX16" s="673"/>
      <c r="EY16" s="673"/>
      <c r="EZ16" s="673"/>
      <c r="FA16" s="673"/>
      <c r="FB16" s="673"/>
      <c r="FC16" s="673"/>
      <c r="FD16" s="673"/>
      <c r="FE16" s="673"/>
      <c r="FF16" s="673"/>
      <c r="FG16" s="673"/>
      <c r="FH16" s="673"/>
      <c r="FI16" s="673"/>
      <c r="FJ16" s="673"/>
      <c r="FK16" s="673"/>
      <c r="FL16" s="673"/>
      <c r="FM16" s="673"/>
      <c r="FN16" s="673"/>
      <c r="FO16" s="673"/>
      <c r="FP16" s="673"/>
      <c r="FQ16" s="673"/>
      <c r="FR16" s="673"/>
      <c r="FS16" s="673"/>
      <c r="FT16" s="673"/>
      <c r="FU16" s="673"/>
      <c r="FV16" s="673"/>
      <c r="FW16" s="673"/>
      <c r="FX16" s="673"/>
      <c r="FY16" s="673"/>
      <c r="FZ16" s="673"/>
      <c r="GA16" s="673"/>
      <c r="GB16" s="673"/>
      <c r="GC16" s="673"/>
      <c r="GD16" s="673"/>
      <c r="GE16" s="673"/>
      <c r="GF16" s="673"/>
      <c r="GG16" s="673"/>
      <c r="GH16" s="673"/>
      <c r="GI16" s="673"/>
      <c r="GJ16" s="673"/>
      <c r="GK16" s="673"/>
      <c r="GL16" s="673"/>
      <c r="GM16" s="673"/>
      <c r="GN16" s="673"/>
      <c r="GO16" s="673"/>
      <c r="GP16" s="673"/>
      <c r="GQ16" s="673"/>
      <c r="GR16" s="673"/>
      <c r="GS16" s="673"/>
      <c r="GT16" s="673"/>
      <c r="GU16" s="673"/>
      <c r="GV16" s="673"/>
      <c r="GW16" s="673"/>
      <c r="GX16" s="673"/>
      <c r="GY16" s="673"/>
      <c r="GZ16" s="673"/>
      <c r="HA16" s="673"/>
      <c r="HB16" s="673"/>
      <c r="HC16" s="673"/>
      <c r="HD16" s="673"/>
      <c r="HE16" s="673"/>
      <c r="HF16" s="673"/>
      <c r="HG16" s="673"/>
      <c r="HH16" s="673"/>
      <c r="HI16" s="673"/>
      <c r="HJ16" s="673"/>
      <c r="HK16" s="673"/>
      <c r="HL16" s="673"/>
      <c r="HM16" s="673"/>
      <c r="HN16" s="673"/>
      <c r="HO16" s="673"/>
      <c r="HP16" s="673"/>
      <c r="HQ16" s="673"/>
      <c r="HR16" s="673"/>
      <c r="HS16" s="673"/>
      <c r="HT16" s="673"/>
      <c r="HU16" s="673"/>
      <c r="HV16" s="673"/>
      <c r="HW16" s="673"/>
      <c r="HX16" s="673"/>
      <c r="HY16" s="673"/>
      <c r="HZ16" s="673"/>
      <c r="IA16" s="673"/>
      <c r="IB16" s="673"/>
      <c r="IC16" s="673"/>
      <c r="ID16" s="673"/>
      <c r="IE16" s="673"/>
      <c r="IF16" s="673"/>
      <c r="IG16" s="673"/>
      <c r="IH16" s="673"/>
      <c r="II16" s="673"/>
      <c r="IJ16" s="673"/>
      <c r="IK16" s="673"/>
      <c r="IL16" s="673"/>
      <c r="IM16" s="673"/>
      <c r="IN16" s="673"/>
      <c r="IO16" s="673"/>
      <c r="IP16" s="673"/>
      <c r="IQ16" s="673"/>
      <c r="IR16" s="673"/>
      <c r="IS16" s="673"/>
      <c r="IT16" s="673"/>
      <c r="IU16" s="673"/>
      <c r="IV16" s="673"/>
      <c r="IW16" s="673"/>
      <c r="IX16" s="673"/>
      <c r="IY16" s="673"/>
      <c r="IZ16" s="673"/>
      <c r="JA16" s="673"/>
      <c r="JB16" s="673"/>
      <c r="JC16" s="673"/>
      <c r="JD16" s="673"/>
      <c r="JE16" s="673"/>
      <c r="JF16" s="673"/>
      <c r="JG16" s="673"/>
      <c r="JH16" s="673"/>
      <c r="JI16" s="673"/>
      <c r="JJ16" s="673"/>
      <c r="JK16" s="673"/>
      <c r="JL16" s="673"/>
      <c r="JM16" s="673"/>
      <c r="JN16" s="673"/>
      <c r="JO16" s="673"/>
      <c r="JP16" s="673"/>
      <c r="JQ16" s="673"/>
      <c r="JR16" s="673"/>
      <c r="JS16" s="673"/>
      <c r="JT16" s="673"/>
      <c r="JU16" s="673"/>
      <c r="JV16" s="673"/>
      <c r="JW16" s="673"/>
      <c r="JX16" s="673"/>
      <c r="JY16" s="673"/>
      <c r="JZ16" s="673"/>
      <c r="KA16" s="673"/>
      <c r="KB16" s="673"/>
      <c r="KC16" s="673"/>
      <c r="KD16" s="673"/>
      <c r="KE16" s="673"/>
      <c r="KF16" s="673"/>
      <c r="KG16" s="673"/>
      <c r="KH16" s="673"/>
      <c r="KI16" s="673"/>
      <c r="KJ16" s="673"/>
      <c r="KK16" s="673"/>
      <c r="KL16" s="673"/>
      <c r="KM16" s="673"/>
      <c r="KN16" s="673"/>
      <c r="KO16" s="673"/>
      <c r="KP16" s="673"/>
      <c r="KQ16" s="673"/>
      <c r="KR16" s="673"/>
      <c r="KS16" s="673"/>
      <c r="KT16" s="673"/>
      <c r="KU16" s="673"/>
      <c r="KV16" s="673"/>
      <c r="KW16" s="673"/>
      <c r="KX16" s="673"/>
      <c r="KY16" s="673"/>
      <c r="KZ16" s="673"/>
      <c r="LA16" s="673"/>
      <c r="LB16" s="673"/>
      <c r="LC16" s="673"/>
      <c r="LD16" s="673"/>
      <c r="LE16" s="673"/>
      <c r="LF16" s="673"/>
      <c r="LG16" s="673"/>
      <c r="LH16" s="673"/>
      <c r="LI16" s="673"/>
      <c r="LJ16" s="673"/>
      <c r="LK16" s="673"/>
      <c r="LL16" s="673"/>
      <c r="LM16" s="673"/>
      <c r="LN16" s="673"/>
      <c r="LO16" s="673"/>
      <c r="LP16" s="673"/>
      <c r="LQ16" s="673"/>
      <c r="LR16" s="673"/>
      <c r="LS16" s="673"/>
      <c r="LT16" s="673"/>
      <c r="LU16" s="673"/>
      <c r="LV16" s="673"/>
      <c r="LW16" s="673"/>
      <c r="LX16" s="673"/>
      <c r="LY16" s="673"/>
      <c r="LZ16" s="673"/>
      <c r="MA16" s="673"/>
      <c r="MB16" s="673"/>
      <c r="MC16" s="673"/>
      <c r="MD16" s="673"/>
      <c r="ME16" s="673"/>
      <c r="MF16" s="673"/>
      <c r="MG16" s="673"/>
      <c r="MH16" s="673"/>
      <c r="MI16" s="673"/>
      <c r="MJ16" s="673"/>
      <c r="MK16" s="673"/>
      <c r="ML16" s="673"/>
      <c r="MM16" s="673"/>
      <c r="MN16" s="673"/>
      <c r="MO16" s="673"/>
      <c r="MP16" s="673"/>
      <c r="MQ16" s="673"/>
      <c r="MR16" s="673"/>
      <c r="MS16" s="673"/>
      <c r="MT16" s="673"/>
      <c r="MU16" s="673"/>
      <c r="MV16" s="673"/>
      <c r="MW16" s="673"/>
      <c r="MX16" s="673"/>
      <c r="MY16" s="673"/>
      <c r="MZ16" s="673"/>
      <c r="NA16" s="673"/>
      <c r="NB16" s="673"/>
      <c r="NC16" s="673"/>
      <c r="ND16" s="673"/>
      <c r="NE16" s="673"/>
      <c r="NF16" s="673"/>
      <c r="NG16" s="673"/>
      <c r="NH16" s="673"/>
      <c r="NI16" s="673"/>
      <c r="NJ16" s="673"/>
      <c r="NK16" s="673"/>
      <c r="NL16" s="673"/>
      <c r="NM16" s="673"/>
      <c r="NN16" s="673"/>
      <c r="NO16" s="673"/>
      <c r="NP16" s="673"/>
      <c r="NQ16" s="673"/>
      <c r="NR16" s="673"/>
      <c r="NS16" s="673"/>
      <c r="NT16" s="673"/>
      <c r="NU16" s="673"/>
      <c r="NV16" s="673"/>
      <c r="NW16" s="673"/>
      <c r="NX16" s="673"/>
      <c r="NY16" s="673"/>
      <c r="NZ16" s="673"/>
      <c r="OA16" s="673"/>
      <c r="OB16" s="673"/>
      <c r="OC16" s="673"/>
      <c r="OD16" s="673"/>
      <c r="OE16" s="673"/>
      <c r="OF16" s="673"/>
      <c r="OG16" s="673"/>
      <c r="OH16" s="673"/>
      <c r="OI16" s="673"/>
      <c r="OJ16" s="673"/>
      <c r="OK16" s="673"/>
      <c r="OL16" s="673"/>
      <c r="OM16" s="673"/>
      <c r="ON16" s="673"/>
      <c r="OO16" s="673"/>
      <c r="OP16" s="673"/>
      <c r="OQ16" s="673"/>
      <c r="OR16" s="673"/>
      <c r="OS16" s="673"/>
      <c r="OT16" s="673"/>
      <c r="OU16" s="673"/>
      <c r="OV16" s="673"/>
      <c r="OW16" s="673"/>
      <c r="OX16" s="673"/>
      <c r="OY16" s="673"/>
      <c r="OZ16" s="673"/>
      <c r="PA16" s="673"/>
      <c r="PB16" s="673"/>
      <c r="PC16" s="673"/>
      <c r="PD16" s="673"/>
      <c r="PE16" s="673"/>
      <c r="PF16" s="673"/>
      <c r="PG16" s="673"/>
      <c r="PH16" s="673"/>
      <c r="PI16" s="673"/>
      <c r="PJ16" s="673"/>
      <c r="PK16" s="673"/>
      <c r="PL16" s="673"/>
      <c r="PM16" s="673"/>
      <c r="PN16" s="673"/>
      <c r="PO16" s="673"/>
      <c r="PP16" s="673"/>
      <c r="PQ16" s="673"/>
      <c r="PR16" s="673"/>
      <c r="PS16" s="673"/>
      <c r="PT16" s="673"/>
      <c r="PU16" s="673"/>
      <c r="PV16" s="673"/>
      <c r="PW16" s="673"/>
      <c r="PX16" s="673"/>
      <c r="PY16" s="673"/>
      <c r="PZ16" s="673"/>
      <c r="QA16" s="673"/>
      <c r="QB16" s="673"/>
      <c r="QC16" s="673"/>
      <c r="QD16" s="673"/>
      <c r="QE16" s="673"/>
      <c r="QF16" s="673"/>
      <c r="QG16" s="673"/>
      <c r="QH16" s="673"/>
      <c r="QI16" s="673"/>
      <c r="QJ16" s="673"/>
      <c r="QK16" s="673"/>
    </row>
    <row r="17" spans="1:453" s="558" customFormat="1">
      <c r="A17" s="680"/>
      <c r="B17" s="680"/>
      <c r="C17" s="2107" t="str">
        <f ca="1">TEXT(HYPERLINK("#"&amp;CELL("address",'Equipment Results Matrix'!A257),'Equipment Results Matrix'!A257),"0,000")</f>
        <v>LED-backlit LCD Televisions 
(19" screen size)</v>
      </c>
      <c r="D17" s="2107"/>
      <c r="E17" s="2107"/>
      <c r="F17" s="2107"/>
      <c r="G17" s="2107"/>
      <c r="H17" s="2107"/>
      <c r="I17" s="680"/>
      <c r="J17" s="680"/>
      <c r="K17" s="680"/>
      <c r="L17" s="2107" t="str">
        <f ca="1">TEXT(HYPERLINK("#"&amp;CELL("address",'Equipment + Labor'!A66),"Total installed cost"),"0,000")</f>
        <v>Total installed cost</v>
      </c>
      <c r="M17" s="2107"/>
      <c r="N17" s="2107"/>
      <c r="O17" s="673"/>
      <c r="P17" s="673"/>
      <c r="Q17" s="673"/>
      <c r="R17" s="673"/>
      <c r="S17" s="673"/>
      <c r="T17" s="673"/>
      <c r="U17" s="673"/>
      <c r="V17" s="673"/>
      <c r="W17" s="673"/>
      <c r="X17" s="673"/>
      <c r="Y17" s="673"/>
      <c r="Z17" s="673"/>
      <c r="AA17" s="673"/>
      <c r="AB17" s="673"/>
      <c r="AC17" s="673"/>
      <c r="AD17" s="673"/>
      <c r="AE17" s="673"/>
      <c r="AF17" s="673"/>
      <c r="AG17" s="673"/>
      <c r="AH17" s="673"/>
      <c r="AI17" s="673"/>
      <c r="AJ17" s="673"/>
      <c r="AK17" s="673"/>
      <c r="AL17" s="673"/>
      <c r="AM17" s="673"/>
      <c r="AN17" s="673"/>
      <c r="AO17" s="673"/>
      <c r="AP17" s="673"/>
      <c r="AQ17" s="673"/>
      <c r="AR17" s="673"/>
      <c r="AS17" s="673"/>
      <c r="AT17" s="673"/>
      <c r="AU17" s="673"/>
      <c r="AV17" s="673"/>
      <c r="AW17" s="673"/>
      <c r="AX17" s="673"/>
      <c r="AY17" s="673"/>
      <c r="AZ17" s="673"/>
      <c r="BA17" s="673"/>
      <c r="BB17" s="673"/>
      <c r="BC17" s="673"/>
      <c r="BD17" s="673"/>
      <c r="BE17" s="673"/>
      <c r="BF17" s="673"/>
      <c r="BG17" s="673"/>
      <c r="BH17" s="673"/>
      <c r="BI17" s="673"/>
      <c r="BJ17" s="673"/>
      <c r="BK17" s="673"/>
      <c r="BL17" s="673"/>
      <c r="BM17" s="673"/>
      <c r="BN17" s="673"/>
      <c r="BO17" s="673"/>
      <c r="BP17" s="673"/>
      <c r="BQ17" s="673"/>
      <c r="BR17" s="673"/>
      <c r="BS17" s="673"/>
      <c r="BT17" s="673"/>
      <c r="BU17" s="673"/>
      <c r="BV17" s="673"/>
      <c r="BW17" s="673"/>
      <c r="BX17" s="673"/>
      <c r="BY17" s="673"/>
      <c r="BZ17" s="673"/>
      <c r="CA17" s="673"/>
      <c r="CB17" s="673"/>
      <c r="CC17" s="673"/>
      <c r="CD17" s="673"/>
      <c r="CE17" s="673"/>
      <c r="CF17" s="673"/>
      <c r="CG17" s="673"/>
      <c r="CH17" s="673"/>
      <c r="CI17" s="673"/>
      <c r="CJ17" s="673"/>
      <c r="CK17" s="673"/>
      <c r="CL17" s="673"/>
      <c r="CM17" s="673"/>
      <c r="CN17" s="673"/>
      <c r="CO17" s="673"/>
      <c r="CP17" s="673"/>
      <c r="CQ17" s="673"/>
      <c r="CR17" s="673"/>
      <c r="CS17" s="673"/>
      <c r="CT17" s="673"/>
      <c r="CU17" s="673"/>
      <c r="CV17" s="673"/>
      <c r="CW17" s="673"/>
      <c r="CX17" s="673"/>
      <c r="CY17" s="673"/>
      <c r="CZ17" s="673"/>
      <c r="DA17" s="673"/>
      <c r="DB17" s="673"/>
      <c r="DC17" s="673"/>
      <c r="DD17" s="673"/>
      <c r="DE17" s="673"/>
      <c r="DF17" s="673"/>
      <c r="DG17" s="673"/>
      <c r="DH17" s="673"/>
      <c r="DI17" s="673"/>
      <c r="DJ17" s="673"/>
      <c r="DK17" s="673"/>
      <c r="DL17" s="673"/>
      <c r="DM17" s="673"/>
      <c r="DN17" s="673"/>
      <c r="DO17" s="673"/>
      <c r="DP17" s="673"/>
      <c r="DQ17" s="673"/>
      <c r="DR17" s="673"/>
      <c r="DS17" s="673"/>
      <c r="DT17" s="673"/>
      <c r="DU17" s="673"/>
      <c r="DV17" s="673"/>
      <c r="DW17" s="673"/>
      <c r="DX17" s="673"/>
      <c r="DY17" s="673"/>
      <c r="DZ17" s="673"/>
      <c r="EA17" s="673"/>
      <c r="EB17" s="673"/>
      <c r="EC17" s="673"/>
      <c r="ED17" s="673"/>
      <c r="EE17" s="673"/>
      <c r="EF17" s="673"/>
      <c r="EG17" s="673"/>
      <c r="EH17" s="673"/>
      <c r="EI17" s="673"/>
      <c r="EJ17" s="673"/>
      <c r="EK17" s="673"/>
      <c r="EL17" s="673"/>
      <c r="EM17" s="673"/>
      <c r="EN17" s="673"/>
      <c r="EO17" s="673"/>
      <c r="EP17" s="673"/>
      <c r="EQ17" s="673"/>
      <c r="ER17" s="673"/>
      <c r="ES17" s="673"/>
      <c r="ET17" s="673"/>
      <c r="EU17" s="673"/>
      <c r="EV17" s="673"/>
      <c r="EW17" s="673"/>
      <c r="EX17" s="673"/>
      <c r="EY17" s="673"/>
      <c r="EZ17" s="673"/>
      <c r="FA17" s="673"/>
      <c r="FB17" s="673"/>
      <c r="FC17" s="673"/>
      <c r="FD17" s="673"/>
      <c r="FE17" s="673"/>
      <c r="FF17" s="673"/>
      <c r="FG17" s="673"/>
      <c r="FH17" s="673"/>
      <c r="FI17" s="673"/>
      <c r="FJ17" s="673"/>
      <c r="FK17" s="673"/>
      <c r="FL17" s="673"/>
      <c r="FM17" s="673"/>
      <c r="FN17" s="673"/>
      <c r="FO17" s="673"/>
      <c r="FP17" s="673"/>
      <c r="FQ17" s="673"/>
      <c r="FR17" s="673"/>
      <c r="FS17" s="673"/>
      <c r="FT17" s="673"/>
      <c r="FU17" s="673"/>
      <c r="FV17" s="673"/>
      <c r="FW17" s="673"/>
      <c r="FX17" s="673"/>
      <c r="FY17" s="673"/>
      <c r="FZ17" s="673"/>
      <c r="GA17" s="673"/>
      <c r="GB17" s="673"/>
      <c r="GC17" s="673"/>
      <c r="GD17" s="673"/>
      <c r="GE17" s="673"/>
      <c r="GF17" s="673"/>
      <c r="GG17" s="673"/>
      <c r="GH17" s="673"/>
      <c r="GI17" s="673"/>
      <c r="GJ17" s="673"/>
      <c r="GK17" s="673"/>
      <c r="GL17" s="673"/>
      <c r="GM17" s="673"/>
      <c r="GN17" s="673"/>
      <c r="GO17" s="673"/>
      <c r="GP17" s="673"/>
      <c r="GQ17" s="673"/>
      <c r="GR17" s="673"/>
      <c r="GS17" s="673"/>
      <c r="GT17" s="673"/>
      <c r="GU17" s="673"/>
      <c r="GV17" s="673"/>
      <c r="GW17" s="673"/>
      <c r="GX17" s="673"/>
      <c r="GY17" s="673"/>
      <c r="GZ17" s="673"/>
      <c r="HA17" s="673"/>
      <c r="HB17" s="673"/>
      <c r="HC17" s="673"/>
      <c r="HD17" s="673"/>
      <c r="HE17" s="673"/>
      <c r="HF17" s="673"/>
      <c r="HG17" s="673"/>
      <c r="HH17" s="673"/>
      <c r="HI17" s="673"/>
      <c r="HJ17" s="673"/>
      <c r="HK17" s="673"/>
      <c r="HL17" s="673"/>
      <c r="HM17" s="673"/>
      <c r="HN17" s="673"/>
      <c r="HO17" s="673"/>
      <c r="HP17" s="673"/>
      <c r="HQ17" s="673"/>
      <c r="HR17" s="673"/>
      <c r="HS17" s="673"/>
      <c r="HT17" s="673"/>
      <c r="HU17" s="673"/>
      <c r="HV17" s="673"/>
      <c r="HW17" s="673"/>
      <c r="HX17" s="673"/>
      <c r="HY17" s="673"/>
      <c r="HZ17" s="673"/>
      <c r="IA17" s="673"/>
      <c r="IB17" s="673"/>
      <c r="IC17" s="673"/>
      <c r="ID17" s="673"/>
      <c r="IE17" s="673"/>
      <c r="IF17" s="673"/>
      <c r="IG17" s="673"/>
      <c r="IH17" s="673"/>
      <c r="II17" s="673"/>
      <c r="IJ17" s="673"/>
      <c r="IK17" s="673"/>
      <c r="IL17" s="673"/>
      <c r="IM17" s="673"/>
      <c r="IN17" s="673"/>
      <c r="IO17" s="673"/>
      <c r="IP17" s="673"/>
      <c r="IQ17" s="673"/>
      <c r="IR17" s="673"/>
      <c r="IS17" s="673"/>
      <c r="IT17" s="673"/>
      <c r="IU17" s="673"/>
      <c r="IV17" s="673"/>
      <c r="IW17" s="673"/>
      <c r="IX17" s="673"/>
      <c r="IY17" s="673"/>
      <c r="IZ17" s="673"/>
      <c r="JA17" s="673"/>
      <c r="JB17" s="673"/>
      <c r="JC17" s="673"/>
      <c r="JD17" s="673"/>
      <c r="JE17" s="673"/>
      <c r="JF17" s="673"/>
      <c r="JG17" s="673"/>
      <c r="JH17" s="673"/>
      <c r="JI17" s="673"/>
      <c r="JJ17" s="673"/>
      <c r="JK17" s="673"/>
      <c r="JL17" s="673"/>
      <c r="JM17" s="673"/>
      <c r="JN17" s="673"/>
      <c r="JO17" s="673"/>
      <c r="JP17" s="673"/>
      <c r="JQ17" s="673"/>
      <c r="JR17" s="673"/>
      <c r="JS17" s="673"/>
      <c r="JT17" s="673"/>
      <c r="JU17" s="673"/>
      <c r="JV17" s="673"/>
      <c r="JW17" s="673"/>
      <c r="JX17" s="673"/>
      <c r="JY17" s="673"/>
      <c r="JZ17" s="673"/>
      <c r="KA17" s="673"/>
      <c r="KB17" s="673"/>
      <c r="KC17" s="673"/>
      <c r="KD17" s="673"/>
      <c r="KE17" s="673"/>
      <c r="KF17" s="673"/>
      <c r="KG17" s="673"/>
      <c r="KH17" s="673"/>
      <c r="KI17" s="673"/>
      <c r="KJ17" s="673"/>
      <c r="KK17" s="673"/>
      <c r="KL17" s="673"/>
      <c r="KM17" s="673"/>
      <c r="KN17" s="673"/>
      <c r="KO17" s="673"/>
      <c r="KP17" s="673"/>
      <c r="KQ17" s="673"/>
      <c r="KR17" s="673"/>
      <c r="KS17" s="673"/>
      <c r="KT17" s="673"/>
      <c r="KU17" s="673"/>
      <c r="KV17" s="673"/>
      <c r="KW17" s="673"/>
      <c r="KX17" s="673"/>
      <c r="KY17" s="673"/>
      <c r="KZ17" s="673"/>
      <c r="LA17" s="673"/>
      <c r="LB17" s="673"/>
      <c r="LC17" s="673"/>
      <c r="LD17" s="673"/>
      <c r="LE17" s="673"/>
      <c r="LF17" s="673"/>
      <c r="LG17" s="673"/>
      <c r="LH17" s="673"/>
      <c r="LI17" s="673"/>
      <c r="LJ17" s="673"/>
      <c r="LK17" s="673"/>
      <c r="LL17" s="673"/>
      <c r="LM17" s="673"/>
      <c r="LN17" s="673"/>
      <c r="LO17" s="673"/>
      <c r="LP17" s="673"/>
      <c r="LQ17" s="673"/>
      <c r="LR17" s="673"/>
      <c r="LS17" s="673"/>
      <c r="LT17" s="673"/>
      <c r="LU17" s="673"/>
      <c r="LV17" s="673"/>
      <c r="LW17" s="673"/>
      <c r="LX17" s="673"/>
      <c r="LY17" s="673"/>
      <c r="LZ17" s="673"/>
      <c r="MA17" s="673"/>
      <c r="MB17" s="673"/>
      <c r="MC17" s="673"/>
      <c r="MD17" s="673"/>
      <c r="ME17" s="673"/>
      <c r="MF17" s="673"/>
      <c r="MG17" s="673"/>
      <c r="MH17" s="673"/>
      <c r="MI17" s="673"/>
      <c r="MJ17" s="673"/>
      <c r="MK17" s="673"/>
      <c r="ML17" s="673"/>
      <c r="MM17" s="673"/>
      <c r="MN17" s="673"/>
      <c r="MO17" s="673"/>
      <c r="MP17" s="673"/>
      <c r="MQ17" s="673"/>
      <c r="MR17" s="673"/>
      <c r="MS17" s="673"/>
      <c r="MT17" s="673"/>
      <c r="MU17" s="673"/>
      <c r="MV17" s="673"/>
      <c r="MW17" s="673"/>
      <c r="MX17" s="673"/>
      <c r="MY17" s="673"/>
      <c r="MZ17" s="673"/>
      <c r="NA17" s="673"/>
      <c r="NB17" s="673"/>
      <c r="NC17" s="673"/>
      <c r="ND17" s="673"/>
      <c r="NE17" s="673"/>
      <c r="NF17" s="673"/>
      <c r="NG17" s="673"/>
      <c r="NH17" s="673"/>
      <c r="NI17" s="673"/>
      <c r="NJ17" s="673"/>
      <c r="NK17" s="673"/>
      <c r="NL17" s="673"/>
      <c r="NM17" s="673"/>
      <c r="NN17" s="673"/>
      <c r="NO17" s="673"/>
      <c r="NP17" s="673"/>
      <c r="NQ17" s="673"/>
      <c r="NR17" s="673"/>
      <c r="NS17" s="673"/>
      <c r="NT17" s="673"/>
      <c r="NU17" s="673"/>
      <c r="NV17" s="673"/>
      <c r="NW17" s="673"/>
      <c r="NX17" s="673"/>
      <c r="NY17" s="673"/>
      <c r="NZ17" s="673"/>
      <c r="OA17" s="673"/>
      <c r="OB17" s="673"/>
      <c r="OC17" s="673"/>
      <c r="OD17" s="673"/>
      <c r="OE17" s="673"/>
      <c r="OF17" s="673"/>
      <c r="OG17" s="673"/>
      <c r="OH17" s="673"/>
      <c r="OI17" s="673"/>
      <c r="OJ17" s="673"/>
      <c r="OK17" s="673"/>
      <c r="OL17" s="673"/>
      <c r="OM17" s="673"/>
      <c r="ON17" s="673"/>
      <c r="OO17" s="673"/>
      <c r="OP17" s="673"/>
      <c r="OQ17" s="673"/>
      <c r="OR17" s="673"/>
      <c r="OS17" s="673"/>
      <c r="OT17" s="673"/>
      <c r="OU17" s="673"/>
      <c r="OV17" s="673"/>
      <c r="OW17" s="673"/>
      <c r="OX17" s="673"/>
      <c r="OY17" s="673"/>
      <c r="OZ17" s="673"/>
      <c r="PA17" s="673"/>
      <c r="PB17" s="673"/>
      <c r="PC17" s="673"/>
      <c r="PD17" s="673"/>
      <c r="PE17" s="673"/>
      <c r="PF17" s="673"/>
      <c r="PG17" s="673"/>
      <c r="PH17" s="673"/>
      <c r="PI17" s="673"/>
      <c r="PJ17" s="673"/>
      <c r="PK17" s="673"/>
      <c r="PL17" s="673"/>
      <c r="PM17" s="673"/>
      <c r="PN17" s="673"/>
      <c r="PO17" s="673"/>
      <c r="PP17" s="673"/>
      <c r="PQ17" s="673"/>
      <c r="PR17" s="673"/>
      <c r="PS17" s="673"/>
      <c r="PT17" s="673"/>
      <c r="PU17" s="673"/>
      <c r="PV17" s="673"/>
      <c r="PW17" s="673"/>
      <c r="PX17" s="673"/>
      <c r="PY17" s="673"/>
      <c r="PZ17" s="673"/>
      <c r="QA17" s="673"/>
      <c r="QB17" s="673"/>
      <c r="QC17" s="673"/>
      <c r="QD17" s="673"/>
      <c r="QE17" s="673"/>
      <c r="QF17" s="673"/>
      <c r="QG17" s="673"/>
      <c r="QH17" s="673"/>
      <c r="QI17" s="673"/>
      <c r="QJ17" s="673"/>
      <c r="QK17" s="673"/>
    </row>
    <row r="18" spans="1:453" s="558" customFormat="1">
      <c r="A18" s="680"/>
      <c r="B18" s="680"/>
      <c r="C18" s="2107" t="str">
        <f ca="1">TEXT(HYPERLINK("#"&amp;CELL("address",'Equipment Results Matrix'!A288),'Equipment Results Matrix'!A288),"0,000")</f>
        <v>CCFL-backlit LCD Televisions 
(55" screen size)</v>
      </c>
      <c r="D18" s="2107"/>
      <c r="E18" s="2107"/>
      <c r="F18" s="2107"/>
      <c r="G18" s="2107"/>
      <c r="H18" s="2107"/>
      <c r="I18" s="680"/>
      <c r="J18" s="680"/>
      <c r="K18" s="680"/>
      <c r="L18" s="2107" t="str">
        <f ca="1">TEXT(HYPERLINK("#"&amp;CELL("address",'Equipment + Labor'!A70),"Total installed cost"),"0,000")</f>
        <v>Total installed cost</v>
      </c>
      <c r="M18" s="2107"/>
      <c r="N18" s="2107"/>
      <c r="O18" s="673"/>
      <c r="P18" s="673"/>
      <c r="Q18" s="673"/>
      <c r="R18" s="673"/>
      <c r="S18" s="673"/>
      <c r="T18" s="673"/>
      <c r="U18" s="673"/>
      <c r="V18" s="673"/>
      <c r="W18" s="673"/>
      <c r="X18" s="673"/>
      <c r="Y18" s="673"/>
      <c r="Z18" s="673"/>
      <c r="AA18" s="673"/>
      <c r="AB18" s="673"/>
      <c r="AC18" s="673"/>
      <c r="AD18" s="673"/>
      <c r="AE18" s="673"/>
      <c r="AF18" s="673"/>
      <c r="AG18" s="673"/>
      <c r="AH18" s="673"/>
      <c r="AI18" s="673"/>
      <c r="AJ18" s="673"/>
      <c r="AK18" s="673"/>
      <c r="AL18" s="673"/>
      <c r="AM18" s="673"/>
      <c r="AN18" s="673"/>
      <c r="AO18" s="673"/>
      <c r="AP18" s="673"/>
      <c r="AQ18" s="673"/>
      <c r="AR18" s="673"/>
      <c r="AS18" s="673"/>
      <c r="AT18" s="673"/>
      <c r="AU18" s="673"/>
      <c r="AV18" s="673"/>
      <c r="AW18" s="673"/>
      <c r="AX18" s="673"/>
      <c r="AY18" s="673"/>
      <c r="AZ18" s="673"/>
      <c r="BA18" s="673"/>
      <c r="BB18" s="673"/>
      <c r="BC18" s="673"/>
      <c r="BD18" s="673"/>
      <c r="BE18" s="673"/>
      <c r="BF18" s="673"/>
      <c r="BG18" s="673"/>
      <c r="BH18" s="673"/>
      <c r="BI18" s="673"/>
      <c r="BJ18" s="673"/>
      <c r="BK18" s="673"/>
      <c r="BL18" s="673"/>
      <c r="BM18" s="673"/>
      <c r="BN18" s="673"/>
      <c r="BO18" s="673"/>
      <c r="BP18" s="673"/>
      <c r="BQ18" s="673"/>
      <c r="BR18" s="673"/>
      <c r="BS18" s="673"/>
      <c r="BT18" s="673"/>
      <c r="BU18" s="673"/>
      <c r="BV18" s="673"/>
      <c r="BW18" s="673"/>
      <c r="BX18" s="673"/>
      <c r="BY18" s="673"/>
      <c r="BZ18" s="673"/>
      <c r="CA18" s="673"/>
      <c r="CB18" s="673"/>
      <c r="CC18" s="673"/>
      <c r="CD18" s="673"/>
      <c r="CE18" s="673"/>
      <c r="CF18" s="673"/>
      <c r="CG18" s="673"/>
      <c r="CH18" s="673"/>
      <c r="CI18" s="673"/>
      <c r="CJ18" s="673"/>
      <c r="CK18" s="673"/>
      <c r="CL18" s="673"/>
      <c r="CM18" s="673"/>
      <c r="CN18" s="673"/>
      <c r="CO18" s="673"/>
      <c r="CP18" s="673"/>
      <c r="CQ18" s="673"/>
      <c r="CR18" s="673"/>
      <c r="CS18" s="673"/>
      <c r="CT18" s="673"/>
      <c r="CU18" s="673"/>
      <c r="CV18" s="673"/>
      <c r="CW18" s="673"/>
      <c r="CX18" s="673"/>
      <c r="CY18" s="673"/>
      <c r="CZ18" s="673"/>
      <c r="DA18" s="673"/>
      <c r="DB18" s="673"/>
      <c r="DC18" s="673"/>
      <c r="DD18" s="673"/>
      <c r="DE18" s="673"/>
      <c r="DF18" s="673"/>
      <c r="DG18" s="673"/>
      <c r="DH18" s="673"/>
      <c r="DI18" s="673"/>
      <c r="DJ18" s="673"/>
      <c r="DK18" s="673"/>
      <c r="DL18" s="673"/>
      <c r="DM18" s="673"/>
      <c r="DN18" s="673"/>
      <c r="DO18" s="673"/>
      <c r="DP18" s="673"/>
      <c r="DQ18" s="673"/>
      <c r="DR18" s="673"/>
      <c r="DS18" s="673"/>
      <c r="DT18" s="673"/>
      <c r="DU18" s="673"/>
      <c r="DV18" s="673"/>
      <c r="DW18" s="673"/>
      <c r="DX18" s="673"/>
      <c r="DY18" s="673"/>
      <c r="DZ18" s="673"/>
      <c r="EA18" s="673"/>
      <c r="EB18" s="673"/>
      <c r="EC18" s="673"/>
      <c r="ED18" s="673"/>
      <c r="EE18" s="673"/>
      <c r="EF18" s="673"/>
      <c r="EG18" s="673"/>
      <c r="EH18" s="673"/>
      <c r="EI18" s="673"/>
      <c r="EJ18" s="673"/>
      <c r="EK18" s="673"/>
      <c r="EL18" s="673"/>
      <c r="EM18" s="673"/>
      <c r="EN18" s="673"/>
      <c r="EO18" s="673"/>
      <c r="EP18" s="673"/>
      <c r="EQ18" s="673"/>
      <c r="ER18" s="673"/>
      <c r="ES18" s="673"/>
      <c r="ET18" s="673"/>
      <c r="EU18" s="673"/>
      <c r="EV18" s="673"/>
      <c r="EW18" s="673"/>
      <c r="EX18" s="673"/>
      <c r="EY18" s="673"/>
      <c r="EZ18" s="673"/>
      <c r="FA18" s="673"/>
      <c r="FB18" s="673"/>
      <c r="FC18" s="673"/>
      <c r="FD18" s="673"/>
      <c r="FE18" s="673"/>
      <c r="FF18" s="673"/>
      <c r="FG18" s="673"/>
      <c r="FH18" s="673"/>
      <c r="FI18" s="673"/>
      <c r="FJ18" s="673"/>
      <c r="FK18" s="673"/>
      <c r="FL18" s="673"/>
      <c r="FM18" s="673"/>
      <c r="FN18" s="673"/>
      <c r="FO18" s="673"/>
      <c r="FP18" s="673"/>
      <c r="FQ18" s="673"/>
      <c r="FR18" s="673"/>
      <c r="FS18" s="673"/>
      <c r="FT18" s="673"/>
      <c r="FU18" s="673"/>
      <c r="FV18" s="673"/>
      <c r="FW18" s="673"/>
      <c r="FX18" s="673"/>
      <c r="FY18" s="673"/>
      <c r="FZ18" s="673"/>
      <c r="GA18" s="673"/>
      <c r="GB18" s="673"/>
      <c r="GC18" s="673"/>
      <c r="GD18" s="673"/>
      <c r="GE18" s="673"/>
      <c r="GF18" s="673"/>
      <c r="GG18" s="673"/>
      <c r="GH18" s="673"/>
      <c r="GI18" s="673"/>
      <c r="GJ18" s="673"/>
      <c r="GK18" s="673"/>
      <c r="GL18" s="673"/>
      <c r="GM18" s="673"/>
      <c r="GN18" s="673"/>
      <c r="GO18" s="673"/>
      <c r="GP18" s="673"/>
      <c r="GQ18" s="673"/>
      <c r="GR18" s="673"/>
      <c r="GS18" s="673"/>
      <c r="GT18" s="673"/>
      <c r="GU18" s="673"/>
      <c r="GV18" s="673"/>
      <c r="GW18" s="673"/>
      <c r="GX18" s="673"/>
      <c r="GY18" s="673"/>
      <c r="GZ18" s="673"/>
      <c r="HA18" s="673"/>
      <c r="HB18" s="673"/>
      <c r="HC18" s="673"/>
      <c r="HD18" s="673"/>
      <c r="HE18" s="673"/>
      <c r="HF18" s="673"/>
      <c r="HG18" s="673"/>
      <c r="HH18" s="673"/>
      <c r="HI18" s="673"/>
      <c r="HJ18" s="673"/>
      <c r="HK18" s="673"/>
      <c r="HL18" s="673"/>
      <c r="HM18" s="673"/>
      <c r="HN18" s="673"/>
      <c r="HO18" s="673"/>
      <c r="HP18" s="673"/>
      <c r="HQ18" s="673"/>
      <c r="HR18" s="673"/>
      <c r="HS18" s="673"/>
      <c r="HT18" s="673"/>
      <c r="HU18" s="673"/>
      <c r="HV18" s="673"/>
      <c r="HW18" s="673"/>
      <c r="HX18" s="673"/>
      <c r="HY18" s="673"/>
      <c r="HZ18" s="673"/>
      <c r="IA18" s="673"/>
      <c r="IB18" s="673"/>
      <c r="IC18" s="673"/>
      <c r="ID18" s="673"/>
      <c r="IE18" s="673"/>
      <c r="IF18" s="673"/>
      <c r="IG18" s="673"/>
      <c r="IH18" s="673"/>
      <c r="II18" s="673"/>
      <c r="IJ18" s="673"/>
      <c r="IK18" s="673"/>
      <c r="IL18" s="673"/>
      <c r="IM18" s="673"/>
      <c r="IN18" s="673"/>
      <c r="IO18" s="673"/>
      <c r="IP18" s="673"/>
      <c r="IQ18" s="673"/>
      <c r="IR18" s="673"/>
      <c r="IS18" s="673"/>
      <c r="IT18" s="673"/>
      <c r="IU18" s="673"/>
      <c r="IV18" s="673"/>
      <c r="IW18" s="673"/>
      <c r="IX18" s="673"/>
      <c r="IY18" s="673"/>
      <c r="IZ18" s="673"/>
      <c r="JA18" s="673"/>
      <c r="JB18" s="673"/>
      <c r="JC18" s="673"/>
      <c r="JD18" s="673"/>
      <c r="JE18" s="673"/>
      <c r="JF18" s="673"/>
      <c r="JG18" s="673"/>
      <c r="JH18" s="673"/>
      <c r="JI18" s="673"/>
      <c r="JJ18" s="673"/>
      <c r="JK18" s="673"/>
      <c r="JL18" s="673"/>
      <c r="JM18" s="673"/>
      <c r="JN18" s="673"/>
      <c r="JO18" s="673"/>
      <c r="JP18" s="673"/>
      <c r="JQ18" s="673"/>
      <c r="JR18" s="673"/>
      <c r="JS18" s="673"/>
      <c r="JT18" s="673"/>
      <c r="JU18" s="673"/>
      <c r="JV18" s="673"/>
      <c r="JW18" s="673"/>
      <c r="JX18" s="673"/>
      <c r="JY18" s="673"/>
      <c r="JZ18" s="673"/>
      <c r="KA18" s="673"/>
      <c r="KB18" s="673"/>
      <c r="KC18" s="673"/>
      <c r="KD18" s="673"/>
      <c r="KE18" s="673"/>
      <c r="KF18" s="673"/>
      <c r="KG18" s="673"/>
      <c r="KH18" s="673"/>
      <c r="KI18" s="673"/>
      <c r="KJ18" s="673"/>
      <c r="KK18" s="673"/>
      <c r="KL18" s="673"/>
      <c r="KM18" s="673"/>
      <c r="KN18" s="673"/>
      <c r="KO18" s="673"/>
      <c r="KP18" s="673"/>
      <c r="KQ18" s="673"/>
      <c r="KR18" s="673"/>
      <c r="KS18" s="673"/>
      <c r="KT18" s="673"/>
      <c r="KU18" s="673"/>
      <c r="KV18" s="673"/>
      <c r="KW18" s="673"/>
      <c r="KX18" s="673"/>
      <c r="KY18" s="673"/>
      <c r="KZ18" s="673"/>
      <c r="LA18" s="673"/>
      <c r="LB18" s="673"/>
      <c r="LC18" s="673"/>
      <c r="LD18" s="673"/>
      <c r="LE18" s="673"/>
      <c r="LF18" s="673"/>
      <c r="LG18" s="673"/>
      <c r="LH18" s="673"/>
      <c r="LI18" s="673"/>
      <c r="LJ18" s="673"/>
      <c r="LK18" s="673"/>
      <c r="LL18" s="673"/>
      <c r="LM18" s="673"/>
      <c r="LN18" s="673"/>
      <c r="LO18" s="673"/>
      <c r="LP18" s="673"/>
      <c r="LQ18" s="673"/>
      <c r="LR18" s="673"/>
      <c r="LS18" s="673"/>
      <c r="LT18" s="673"/>
      <c r="LU18" s="673"/>
      <c r="LV18" s="673"/>
      <c r="LW18" s="673"/>
      <c r="LX18" s="673"/>
      <c r="LY18" s="673"/>
      <c r="LZ18" s="673"/>
      <c r="MA18" s="673"/>
      <c r="MB18" s="673"/>
      <c r="MC18" s="673"/>
      <c r="MD18" s="673"/>
      <c r="ME18" s="673"/>
      <c r="MF18" s="673"/>
      <c r="MG18" s="673"/>
      <c r="MH18" s="673"/>
      <c r="MI18" s="673"/>
      <c r="MJ18" s="673"/>
      <c r="MK18" s="673"/>
      <c r="ML18" s="673"/>
      <c r="MM18" s="673"/>
      <c r="MN18" s="673"/>
      <c r="MO18" s="673"/>
      <c r="MP18" s="673"/>
      <c r="MQ18" s="673"/>
      <c r="MR18" s="673"/>
      <c r="MS18" s="673"/>
      <c r="MT18" s="673"/>
      <c r="MU18" s="673"/>
      <c r="MV18" s="673"/>
      <c r="MW18" s="673"/>
      <c r="MX18" s="673"/>
      <c r="MY18" s="673"/>
      <c r="MZ18" s="673"/>
      <c r="NA18" s="673"/>
      <c r="NB18" s="673"/>
      <c r="NC18" s="673"/>
      <c r="ND18" s="673"/>
      <c r="NE18" s="673"/>
      <c r="NF18" s="673"/>
      <c r="NG18" s="673"/>
      <c r="NH18" s="673"/>
      <c r="NI18" s="673"/>
      <c r="NJ18" s="673"/>
      <c r="NK18" s="673"/>
      <c r="NL18" s="673"/>
      <c r="NM18" s="673"/>
      <c r="NN18" s="673"/>
      <c r="NO18" s="673"/>
      <c r="NP18" s="673"/>
      <c r="NQ18" s="673"/>
      <c r="NR18" s="673"/>
      <c r="NS18" s="673"/>
      <c r="NT18" s="673"/>
      <c r="NU18" s="673"/>
      <c r="NV18" s="673"/>
      <c r="NW18" s="673"/>
      <c r="NX18" s="673"/>
      <c r="NY18" s="673"/>
      <c r="NZ18" s="673"/>
      <c r="OA18" s="673"/>
      <c r="OB18" s="673"/>
      <c r="OC18" s="673"/>
      <c r="OD18" s="673"/>
      <c r="OE18" s="673"/>
      <c r="OF18" s="673"/>
      <c r="OG18" s="673"/>
      <c r="OH18" s="673"/>
      <c r="OI18" s="673"/>
      <c r="OJ18" s="673"/>
      <c r="OK18" s="673"/>
      <c r="OL18" s="673"/>
      <c r="OM18" s="673"/>
      <c r="ON18" s="673"/>
      <c r="OO18" s="673"/>
      <c r="OP18" s="673"/>
      <c r="OQ18" s="673"/>
      <c r="OR18" s="673"/>
      <c r="OS18" s="673"/>
      <c r="OT18" s="673"/>
      <c r="OU18" s="673"/>
      <c r="OV18" s="673"/>
      <c r="OW18" s="673"/>
      <c r="OX18" s="673"/>
      <c r="OY18" s="673"/>
      <c r="OZ18" s="673"/>
      <c r="PA18" s="673"/>
      <c r="PB18" s="673"/>
      <c r="PC18" s="673"/>
      <c r="PD18" s="673"/>
      <c r="PE18" s="673"/>
      <c r="PF18" s="673"/>
      <c r="PG18" s="673"/>
      <c r="PH18" s="673"/>
      <c r="PI18" s="673"/>
      <c r="PJ18" s="673"/>
      <c r="PK18" s="673"/>
      <c r="PL18" s="673"/>
      <c r="PM18" s="673"/>
      <c r="PN18" s="673"/>
      <c r="PO18" s="673"/>
      <c r="PP18" s="673"/>
      <c r="PQ18" s="673"/>
      <c r="PR18" s="673"/>
      <c r="PS18" s="673"/>
      <c r="PT18" s="673"/>
      <c r="PU18" s="673"/>
      <c r="PV18" s="673"/>
      <c r="PW18" s="673"/>
      <c r="PX18" s="673"/>
      <c r="PY18" s="673"/>
      <c r="PZ18" s="673"/>
      <c r="QA18" s="673"/>
      <c r="QB18" s="673"/>
      <c r="QC18" s="673"/>
      <c r="QD18" s="673"/>
      <c r="QE18" s="673"/>
      <c r="QF18" s="673"/>
      <c r="QG18" s="673"/>
      <c r="QH18" s="673"/>
      <c r="QI18" s="673"/>
      <c r="QJ18" s="673"/>
      <c r="QK18" s="673"/>
    </row>
    <row r="19" spans="1:453" s="558" customFormat="1">
      <c r="A19" s="680"/>
      <c r="B19" s="680"/>
      <c r="C19" s="2107" t="str">
        <f ca="1">TEXT(HYPERLINK("#"&amp;CELL("address",'Equipment Results Matrix'!A320),'Equipment Results Matrix'!A320),"0,000")</f>
        <v>CCFL-backlit LCD Televisions 
(46" screen size)</v>
      </c>
      <c r="D19" s="2107"/>
      <c r="E19" s="2107"/>
      <c r="F19" s="2107"/>
      <c r="G19" s="2107"/>
      <c r="H19" s="2107"/>
      <c r="I19" s="680"/>
      <c r="J19" s="680"/>
      <c r="K19" s="680"/>
      <c r="L19" s="2107" t="str">
        <f ca="1">TEXT(HYPERLINK("#"&amp;CELL("address",'Equipment + Labor'!A74),"Total installed cost"),"0,000")</f>
        <v>Total installed cost</v>
      </c>
      <c r="M19" s="2107"/>
      <c r="N19" s="2107"/>
      <c r="O19" s="673"/>
      <c r="P19" s="673"/>
      <c r="Q19" s="673"/>
      <c r="R19" s="673"/>
      <c r="S19" s="673"/>
      <c r="T19" s="673"/>
      <c r="U19" s="673"/>
      <c r="V19" s="673"/>
      <c r="W19" s="673"/>
      <c r="X19" s="673"/>
      <c r="Y19" s="673"/>
      <c r="Z19" s="673"/>
      <c r="AA19" s="673"/>
      <c r="AB19" s="673"/>
      <c r="AC19" s="673"/>
      <c r="AD19" s="673"/>
      <c r="AE19" s="673"/>
      <c r="AF19" s="673"/>
      <c r="AG19" s="673"/>
      <c r="AH19" s="673"/>
      <c r="AI19" s="673"/>
      <c r="AJ19" s="673"/>
      <c r="AK19" s="673"/>
      <c r="AL19" s="673"/>
      <c r="AM19" s="673"/>
      <c r="AN19" s="673"/>
      <c r="AO19" s="673"/>
      <c r="AP19" s="673"/>
      <c r="AQ19" s="673"/>
      <c r="AR19" s="673"/>
      <c r="AS19" s="673"/>
      <c r="AT19" s="673"/>
      <c r="AU19" s="673"/>
      <c r="AV19" s="673"/>
      <c r="AW19" s="673"/>
      <c r="AX19" s="673"/>
      <c r="AY19" s="673"/>
      <c r="AZ19" s="673"/>
      <c r="BA19" s="673"/>
      <c r="BB19" s="673"/>
      <c r="BC19" s="673"/>
      <c r="BD19" s="673"/>
      <c r="BE19" s="673"/>
      <c r="BF19" s="673"/>
      <c r="BG19" s="673"/>
      <c r="BH19" s="673"/>
      <c r="BI19" s="673"/>
      <c r="BJ19" s="673"/>
      <c r="BK19" s="673"/>
      <c r="BL19" s="673"/>
      <c r="BM19" s="673"/>
      <c r="BN19" s="673"/>
      <c r="BO19" s="673"/>
      <c r="BP19" s="673"/>
      <c r="BQ19" s="673"/>
      <c r="BR19" s="673"/>
      <c r="BS19" s="673"/>
      <c r="BT19" s="673"/>
      <c r="BU19" s="673"/>
      <c r="BV19" s="673"/>
      <c r="BW19" s="673"/>
      <c r="BX19" s="673"/>
      <c r="BY19" s="673"/>
      <c r="BZ19" s="673"/>
      <c r="CA19" s="673"/>
      <c r="CB19" s="673"/>
      <c r="CC19" s="673"/>
      <c r="CD19" s="673"/>
      <c r="CE19" s="673"/>
      <c r="CF19" s="673"/>
      <c r="CG19" s="673"/>
      <c r="CH19" s="673"/>
      <c r="CI19" s="673"/>
      <c r="CJ19" s="673"/>
      <c r="CK19" s="673"/>
      <c r="CL19" s="673"/>
      <c r="CM19" s="673"/>
      <c r="CN19" s="673"/>
      <c r="CO19" s="673"/>
      <c r="CP19" s="673"/>
      <c r="CQ19" s="673"/>
      <c r="CR19" s="673"/>
      <c r="CS19" s="673"/>
      <c r="CT19" s="673"/>
      <c r="CU19" s="673"/>
      <c r="CV19" s="673"/>
      <c r="CW19" s="673"/>
      <c r="CX19" s="673"/>
      <c r="CY19" s="673"/>
      <c r="CZ19" s="673"/>
      <c r="DA19" s="673"/>
      <c r="DB19" s="673"/>
      <c r="DC19" s="673"/>
      <c r="DD19" s="673"/>
      <c r="DE19" s="673"/>
      <c r="DF19" s="673"/>
      <c r="DG19" s="673"/>
      <c r="DH19" s="673"/>
      <c r="DI19" s="673"/>
      <c r="DJ19" s="673"/>
      <c r="DK19" s="673"/>
      <c r="DL19" s="673"/>
      <c r="DM19" s="673"/>
      <c r="DN19" s="673"/>
      <c r="DO19" s="673"/>
      <c r="DP19" s="673"/>
      <c r="DQ19" s="673"/>
      <c r="DR19" s="673"/>
      <c r="DS19" s="673"/>
      <c r="DT19" s="673"/>
      <c r="DU19" s="673"/>
      <c r="DV19" s="673"/>
      <c r="DW19" s="673"/>
      <c r="DX19" s="673"/>
      <c r="DY19" s="673"/>
      <c r="DZ19" s="673"/>
      <c r="EA19" s="673"/>
      <c r="EB19" s="673"/>
      <c r="EC19" s="673"/>
      <c r="ED19" s="673"/>
      <c r="EE19" s="673"/>
      <c r="EF19" s="673"/>
      <c r="EG19" s="673"/>
      <c r="EH19" s="673"/>
      <c r="EI19" s="673"/>
      <c r="EJ19" s="673"/>
      <c r="EK19" s="673"/>
      <c r="EL19" s="673"/>
      <c r="EM19" s="673"/>
      <c r="EN19" s="673"/>
      <c r="EO19" s="673"/>
      <c r="EP19" s="673"/>
      <c r="EQ19" s="673"/>
      <c r="ER19" s="673"/>
      <c r="ES19" s="673"/>
      <c r="ET19" s="673"/>
      <c r="EU19" s="673"/>
      <c r="EV19" s="673"/>
      <c r="EW19" s="673"/>
      <c r="EX19" s="673"/>
      <c r="EY19" s="673"/>
      <c r="EZ19" s="673"/>
      <c r="FA19" s="673"/>
      <c r="FB19" s="673"/>
      <c r="FC19" s="673"/>
      <c r="FD19" s="673"/>
      <c r="FE19" s="673"/>
      <c r="FF19" s="673"/>
      <c r="FG19" s="673"/>
      <c r="FH19" s="673"/>
      <c r="FI19" s="673"/>
      <c r="FJ19" s="673"/>
      <c r="FK19" s="673"/>
      <c r="FL19" s="673"/>
      <c r="FM19" s="673"/>
      <c r="FN19" s="673"/>
      <c r="FO19" s="673"/>
      <c r="FP19" s="673"/>
      <c r="FQ19" s="673"/>
      <c r="FR19" s="673"/>
      <c r="FS19" s="673"/>
      <c r="FT19" s="673"/>
      <c r="FU19" s="673"/>
      <c r="FV19" s="673"/>
      <c r="FW19" s="673"/>
      <c r="FX19" s="673"/>
      <c r="FY19" s="673"/>
      <c r="FZ19" s="673"/>
      <c r="GA19" s="673"/>
      <c r="GB19" s="673"/>
      <c r="GC19" s="673"/>
      <c r="GD19" s="673"/>
      <c r="GE19" s="673"/>
      <c r="GF19" s="673"/>
      <c r="GG19" s="673"/>
      <c r="GH19" s="673"/>
      <c r="GI19" s="673"/>
      <c r="GJ19" s="673"/>
      <c r="GK19" s="673"/>
      <c r="GL19" s="673"/>
      <c r="GM19" s="673"/>
      <c r="GN19" s="673"/>
      <c r="GO19" s="673"/>
      <c r="GP19" s="673"/>
      <c r="GQ19" s="673"/>
      <c r="GR19" s="673"/>
      <c r="GS19" s="673"/>
      <c r="GT19" s="673"/>
      <c r="GU19" s="673"/>
      <c r="GV19" s="673"/>
      <c r="GW19" s="673"/>
      <c r="GX19" s="673"/>
      <c r="GY19" s="673"/>
      <c r="GZ19" s="673"/>
      <c r="HA19" s="673"/>
      <c r="HB19" s="673"/>
      <c r="HC19" s="673"/>
      <c r="HD19" s="673"/>
      <c r="HE19" s="673"/>
      <c r="HF19" s="673"/>
      <c r="HG19" s="673"/>
      <c r="HH19" s="673"/>
      <c r="HI19" s="673"/>
      <c r="HJ19" s="673"/>
      <c r="HK19" s="673"/>
      <c r="HL19" s="673"/>
      <c r="HM19" s="673"/>
      <c r="HN19" s="673"/>
      <c r="HO19" s="673"/>
      <c r="HP19" s="673"/>
      <c r="HQ19" s="673"/>
      <c r="HR19" s="673"/>
      <c r="HS19" s="673"/>
      <c r="HT19" s="673"/>
      <c r="HU19" s="673"/>
      <c r="HV19" s="673"/>
      <c r="HW19" s="673"/>
      <c r="HX19" s="673"/>
      <c r="HY19" s="673"/>
      <c r="HZ19" s="673"/>
      <c r="IA19" s="673"/>
      <c r="IB19" s="673"/>
      <c r="IC19" s="673"/>
      <c r="ID19" s="673"/>
      <c r="IE19" s="673"/>
      <c r="IF19" s="673"/>
      <c r="IG19" s="673"/>
      <c r="IH19" s="673"/>
      <c r="II19" s="673"/>
      <c r="IJ19" s="673"/>
      <c r="IK19" s="673"/>
      <c r="IL19" s="673"/>
      <c r="IM19" s="673"/>
      <c r="IN19" s="673"/>
      <c r="IO19" s="673"/>
      <c r="IP19" s="673"/>
      <c r="IQ19" s="673"/>
      <c r="IR19" s="673"/>
      <c r="IS19" s="673"/>
      <c r="IT19" s="673"/>
      <c r="IU19" s="673"/>
      <c r="IV19" s="673"/>
      <c r="IW19" s="673"/>
      <c r="IX19" s="673"/>
      <c r="IY19" s="673"/>
      <c r="IZ19" s="673"/>
      <c r="JA19" s="673"/>
      <c r="JB19" s="673"/>
      <c r="JC19" s="673"/>
      <c r="JD19" s="673"/>
      <c r="JE19" s="673"/>
      <c r="JF19" s="673"/>
      <c r="JG19" s="673"/>
      <c r="JH19" s="673"/>
      <c r="JI19" s="673"/>
      <c r="JJ19" s="673"/>
      <c r="JK19" s="673"/>
      <c r="JL19" s="673"/>
      <c r="JM19" s="673"/>
      <c r="JN19" s="673"/>
      <c r="JO19" s="673"/>
      <c r="JP19" s="673"/>
      <c r="JQ19" s="673"/>
      <c r="JR19" s="673"/>
      <c r="JS19" s="673"/>
      <c r="JT19" s="673"/>
      <c r="JU19" s="673"/>
      <c r="JV19" s="673"/>
      <c r="JW19" s="673"/>
      <c r="JX19" s="673"/>
      <c r="JY19" s="673"/>
      <c r="JZ19" s="673"/>
      <c r="KA19" s="673"/>
      <c r="KB19" s="673"/>
      <c r="KC19" s="673"/>
      <c r="KD19" s="673"/>
      <c r="KE19" s="673"/>
      <c r="KF19" s="673"/>
      <c r="KG19" s="673"/>
      <c r="KH19" s="673"/>
      <c r="KI19" s="673"/>
      <c r="KJ19" s="673"/>
      <c r="KK19" s="673"/>
      <c r="KL19" s="673"/>
      <c r="KM19" s="673"/>
      <c r="KN19" s="673"/>
      <c r="KO19" s="673"/>
      <c r="KP19" s="673"/>
      <c r="KQ19" s="673"/>
      <c r="KR19" s="673"/>
      <c r="KS19" s="673"/>
      <c r="KT19" s="673"/>
      <c r="KU19" s="673"/>
      <c r="KV19" s="673"/>
      <c r="KW19" s="673"/>
      <c r="KX19" s="673"/>
      <c r="KY19" s="673"/>
      <c r="KZ19" s="673"/>
      <c r="LA19" s="673"/>
      <c r="LB19" s="673"/>
      <c r="LC19" s="673"/>
      <c r="LD19" s="673"/>
      <c r="LE19" s="673"/>
      <c r="LF19" s="673"/>
      <c r="LG19" s="673"/>
      <c r="LH19" s="673"/>
      <c r="LI19" s="673"/>
      <c r="LJ19" s="673"/>
      <c r="LK19" s="673"/>
      <c r="LL19" s="673"/>
      <c r="LM19" s="673"/>
      <c r="LN19" s="673"/>
      <c r="LO19" s="673"/>
      <c r="LP19" s="673"/>
      <c r="LQ19" s="673"/>
      <c r="LR19" s="673"/>
      <c r="LS19" s="673"/>
      <c r="LT19" s="673"/>
      <c r="LU19" s="673"/>
      <c r="LV19" s="673"/>
      <c r="LW19" s="673"/>
      <c r="LX19" s="673"/>
      <c r="LY19" s="673"/>
      <c r="LZ19" s="673"/>
      <c r="MA19" s="673"/>
      <c r="MB19" s="673"/>
      <c r="MC19" s="673"/>
      <c r="MD19" s="673"/>
      <c r="ME19" s="673"/>
      <c r="MF19" s="673"/>
      <c r="MG19" s="673"/>
      <c r="MH19" s="673"/>
      <c r="MI19" s="673"/>
      <c r="MJ19" s="673"/>
      <c r="MK19" s="673"/>
      <c r="ML19" s="673"/>
      <c r="MM19" s="673"/>
      <c r="MN19" s="673"/>
      <c r="MO19" s="673"/>
      <c r="MP19" s="673"/>
      <c r="MQ19" s="673"/>
      <c r="MR19" s="673"/>
      <c r="MS19" s="673"/>
      <c r="MT19" s="673"/>
      <c r="MU19" s="673"/>
      <c r="MV19" s="673"/>
      <c r="MW19" s="673"/>
      <c r="MX19" s="673"/>
      <c r="MY19" s="673"/>
      <c r="MZ19" s="673"/>
      <c r="NA19" s="673"/>
      <c r="NB19" s="673"/>
      <c r="NC19" s="673"/>
      <c r="ND19" s="673"/>
      <c r="NE19" s="673"/>
      <c r="NF19" s="673"/>
      <c r="NG19" s="673"/>
      <c r="NH19" s="673"/>
      <c r="NI19" s="673"/>
      <c r="NJ19" s="673"/>
      <c r="NK19" s="673"/>
      <c r="NL19" s="673"/>
      <c r="NM19" s="673"/>
      <c r="NN19" s="673"/>
      <c r="NO19" s="673"/>
      <c r="NP19" s="673"/>
      <c r="NQ19" s="673"/>
      <c r="NR19" s="673"/>
      <c r="NS19" s="673"/>
      <c r="NT19" s="673"/>
      <c r="NU19" s="673"/>
      <c r="NV19" s="673"/>
      <c r="NW19" s="673"/>
      <c r="NX19" s="673"/>
      <c r="NY19" s="673"/>
      <c r="NZ19" s="673"/>
      <c r="OA19" s="673"/>
      <c r="OB19" s="673"/>
      <c r="OC19" s="673"/>
      <c r="OD19" s="673"/>
      <c r="OE19" s="673"/>
      <c r="OF19" s="673"/>
      <c r="OG19" s="673"/>
      <c r="OH19" s="673"/>
      <c r="OI19" s="673"/>
      <c r="OJ19" s="673"/>
      <c r="OK19" s="673"/>
      <c r="OL19" s="673"/>
      <c r="OM19" s="673"/>
      <c r="ON19" s="673"/>
      <c r="OO19" s="673"/>
      <c r="OP19" s="673"/>
      <c r="OQ19" s="673"/>
      <c r="OR19" s="673"/>
      <c r="OS19" s="673"/>
      <c r="OT19" s="673"/>
      <c r="OU19" s="673"/>
      <c r="OV19" s="673"/>
      <c r="OW19" s="673"/>
      <c r="OX19" s="673"/>
      <c r="OY19" s="673"/>
      <c r="OZ19" s="673"/>
      <c r="PA19" s="673"/>
      <c r="PB19" s="673"/>
      <c r="PC19" s="673"/>
      <c r="PD19" s="673"/>
      <c r="PE19" s="673"/>
      <c r="PF19" s="673"/>
      <c r="PG19" s="673"/>
      <c r="PH19" s="673"/>
      <c r="PI19" s="673"/>
      <c r="PJ19" s="673"/>
      <c r="PK19" s="673"/>
      <c r="PL19" s="673"/>
      <c r="PM19" s="673"/>
      <c r="PN19" s="673"/>
      <c r="PO19" s="673"/>
      <c r="PP19" s="673"/>
      <c r="PQ19" s="673"/>
      <c r="PR19" s="673"/>
      <c r="PS19" s="673"/>
      <c r="PT19" s="673"/>
      <c r="PU19" s="673"/>
      <c r="PV19" s="673"/>
      <c r="PW19" s="673"/>
      <c r="PX19" s="673"/>
      <c r="PY19" s="673"/>
      <c r="PZ19" s="673"/>
      <c r="QA19" s="673"/>
      <c r="QB19" s="673"/>
      <c r="QC19" s="673"/>
      <c r="QD19" s="673"/>
      <c r="QE19" s="673"/>
      <c r="QF19" s="673"/>
      <c r="QG19" s="673"/>
      <c r="QH19" s="673"/>
      <c r="QI19" s="673"/>
      <c r="QJ19" s="673"/>
      <c r="QK19" s="673"/>
    </row>
    <row r="20" spans="1:453" s="558" customFormat="1">
      <c r="A20" s="680"/>
      <c r="B20" s="680"/>
      <c r="C20" s="2107" t="str">
        <f ca="1">TEXT(HYPERLINK("#"&amp;CELL("address",'Equipment Results Matrix'!A360),'Equipment Results Matrix'!A360),"0,000")</f>
        <v>CCFL-backlit LCD Televisions 
(40" screen size)</v>
      </c>
      <c r="D20" s="2107"/>
      <c r="E20" s="2107"/>
      <c r="F20" s="2107"/>
      <c r="G20" s="2107"/>
      <c r="H20" s="2107"/>
      <c r="I20" s="680"/>
      <c r="J20" s="680"/>
      <c r="K20" s="680"/>
      <c r="L20" s="2107" t="str">
        <f ca="1">TEXT(HYPERLINK("#"&amp;CELL("address",'Equipment + Labor'!A78),"Total installed cost"),"0,000")</f>
        <v>Total installed cost</v>
      </c>
      <c r="M20" s="2107"/>
      <c r="N20" s="2107"/>
      <c r="O20" s="673"/>
      <c r="P20" s="673"/>
      <c r="Q20" s="673"/>
      <c r="R20" s="673"/>
      <c r="S20" s="673"/>
      <c r="T20" s="673"/>
      <c r="U20" s="673"/>
      <c r="V20" s="673"/>
      <c r="W20" s="673"/>
      <c r="X20" s="673"/>
      <c r="Y20" s="673"/>
      <c r="Z20" s="673"/>
      <c r="AA20" s="673"/>
      <c r="AB20" s="673"/>
      <c r="AC20" s="673"/>
      <c r="AD20" s="673"/>
      <c r="AE20" s="673"/>
      <c r="AF20" s="673"/>
      <c r="AG20" s="673"/>
      <c r="AH20" s="673"/>
      <c r="AI20" s="673"/>
      <c r="AJ20" s="673"/>
      <c r="AK20" s="673"/>
      <c r="AL20" s="673"/>
      <c r="AM20" s="673"/>
      <c r="AN20" s="673"/>
      <c r="AO20" s="673"/>
      <c r="AP20" s="673"/>
      <c r="AQ20" s="673"/>
      <c r="AR20" s="673"/>
      <c r="AS20" s="673"/>
      <c r="AT20" s="673"/>
      <c r="AU20" s="673"/>
      <c r="AV20" s="673"/>
      <c r="AW20" s="673"/>
      <c r="AX20" s="673"/>
      <c r="AY20" s="673"/>
      <c r="AZ20" s="673"/>
      <c r="BA20" s="673"/>
      <c r="BB20" s="673"/>
      <c r="BC20" s="673"/>
      <c r="BD20" s="673"/>
      <c r="BE20" s="673"/>
      <c r="BF20" s="673"/>
      <c r="BG20" s="673"/>
      <c r="BH20" s="673"/>
      <c r="BI20" s="673"/>
      <c r="BJ20" s="673"/>
      <c r="BK20" s="673"/>
      <c r="BL20" s="673"/>
      <c r="BM20" s="673"/>
      <c r="BN20" s="673"/>
      <c r="BO20" s="673"/>
      <c r="BP20" s="673"/>
      <c r="BQ20" s="673"/>
      <c r="BR20" s="673"/>
      <c r="BS20" s="673"/>
      <c r="BT20" s="673"/>
      <c r="BU20" s="673"/>
      <c r="BV20" s="673"/>
      <c r="BW20" s="673"/>
      <c r="BX20" s="673"/>
      <c r="BY20" s="673"/>
      <c r="BZ20" s="673"/>
      <c r="CA20" s="673"/>
      <c r="CB20" s="673"/>
      <c r="CC20" s="673"/>
      <c r="CD20" s="673"/>
      <c r="CE20" s="673"/>
      <c r="CF20" s="673"/>
      <c r="CG20" s="673"/>
      <c r="CH20" s="673"/>
      <c r="CI20" s="673"/>
      <c r="CJ20" s="673"/>
      <c r="CK20" s="673"/>
      <c r="CL20" s="673"/>
      <c r="CM20" s="673"/>
      <c r="CN20" s="673"/>
      <c r="CO20" s="673"/>
      <c r="CP20" s="673"/>
      <c r="CQ20" s="673"/>
      <c r="CR20" s="673"/>
      <c r="CS20" s="673"/>
      <c r="CT20" s="673"/>
      <c r="CU20" s="673"/>
      <c r="CV20" s="673"/>
      <c r="CW20" s="673"/>
      <c r="CX20" s="673"/>
      <c r="CY20" s="673"/>
      <c r="CZ20" s="673"/>
      <c r="DA20" s="673"/>
      <c r="DB20" s="673"/>
      <c r="DC20" s="673"/>
      <c r="DD20" s="673"/>
      <c r="DE20" s="673"/>
      <c r="DF20" s="673"/>
      <c r="DG20" s="673"/>
      <c r="DH20" s="673"/>
      <c r="DI20" s="673"/>
      <c r="DJ20" s="673"/>
      <c r="DK20" s="673"/>
      <c r="DL20" s="673"/>
      <c r="DM20" s="673"/>
      <c r="DN20" s="673"/>
      <c r="DO20" s="673"/>
      <c r="DP20" s="673"/>
      <c r="DQ20" s="673"/>
      <c r="DR20" s="673"/>
      <c r="DS20" s="673"/>
      <c r="DT20" s="673"/>
      <c r="DU20" s="673"/>
      <c r="DV20" s="673"/>
      <c r="DW20" s="673"/>
      <c r="DX20" s="673"/>
      <c r="DY20" s="673"/>
      <c r="DZ20" s="673"/>
      <c r="EA20" s="673"/>
      <c r="EB20" s="673"/>
      <c r="EC20" s="673"/>
      <c r="ED20" s="673"/>
      <c r="EE20" s="673"/>
      <c r="EF20" s="673"/>
      <c r="EG20" s="673"/>
      <c r="EH20" s="673"/>
      <c r="EI20" s="673"/>
      <c r="EJ20" s="673"/>
      <c r="EK20" s="673"/>
      <c r="EL20" s="673"/>
      <c r="EM20" s="673"/>
      <c r="EN20" s="673"/>
      <c r="EO20" s="673"/>
      <c r="EP20" s="673"/>
      <c r="EQ20" s="673"/>
      <c r="ER20" s="673"/>
      <c r="ES20" s="673"/>
      <c r="ET20" s="673"/>
      <c r="EU20" s="673"/>
      <c r="EV20" s="673"/>
      <c r="EW20" s="673"/>
      <c r="EX20" s="673"/>
      <c r="EY20" s="673"/>
      <c r="EZ20" s="673"/>
      <c r="FA20" s="673"/>
      <c r="FB20" s="673"/>
      <c r="FC20" s="673"/>
      <c r="FD20" s="673"/>
      <c r="FE20" s="673"/>
      <c r="FF20" s="673"/>
      <c r="FG20" s="673"/>
      <c r="FH20" s="673"/>
      <c r="FI20" s="673"/>
      <c r="FJ20" s="673"/>
      <c r="FK20" s="673"/>
      <c r="FL20" s="673"/>
      <c r="FM20" s="673"/>
      <c r="FN20" s="673"/>
      <c r="FO20" s="673"/>
      <c r="FP20" s="673"/>
      <c r="FQ20" s="673"/>
      <c r="FR20" s="673"/>
      <c r="FS20" s="673"/>
      <c r="FT20" s="673"/>
      <c r="FU20" s="673"/>
      <c r="FV20" s="673"/>
      <c r="FW20" s="673"/>
      <c r="FX20" s="673"/>
      <c r="FY20" s="673"/>
      <c r="FZ20" s="673"/>
      <c r="GA20" s="673"/>
      <c r="GB20" s="673"/>
      <c r="GC20" s="673"/>
      <c r="GD20" s="673"/>
      <c r="GE20" s="673"/>
      <c r="GF20" s="673"/>
      <c r="GG20" s="673"/>
      <c r="GH20" s="673"/>
      <c r="GI20" s="673"/>
      <c r="GJ20" s="673"/>
      <c r="GK20" s="673"/>
      <c r="GL20" s="673"/>
      <c r="GM20" s="673"/>
      <c r="GN20" s="673"/>
      <c r="GO20" s="673"/>
      <c r="GP20" s="673"/>
      <c r="GQ20" s="673"/>
      <c r="GR20" s="673"/>
      <c r="GS20" s="673"/>
      <c r="GT20" s="673"/>
      <c r="GU20" s="673"/>
      <c r="GV20" s="673"/>
      <c r="GW20" s="673"/>
      <c r="GX20" s="673"/>
      <c r="GY20" s="673"/>
      <c r="GZ20" s="673"/>
      <c r="HA20" s="673"/>
      <c r="HB20" s="673"/>
      <c r="HC20" s="673"/>
      <c r="HD20" s="673"/>
      <c r="HE20" s="673"/>
      <c r="HF20" s="673"/>
      <c r="HG20" s="673"/>
      <c r="HH20" s="673"/>
      <c r="HI20" s="673"/>
      <c r="HJ20" s="673"/>
      <c r="HK20" s="673"/>
      <c r="HL20" s="673"/>
      <c r="HM20" s="673"/>
      <c r="HN20" s="673"/>
      <c r="HO20" s="673"/>
      <c r="HP20" s="673"/>
      <c r="HQ20" s="673"/>
      <c r="HR20" s="673"/>
      <c r="HS20" s="673"/>
      <c r="HT20" s="673"/>
      <c r="HU20" s="673"/>
      <c r="HV20" s="673"/>
      <c r="HW20" s="673"/>
      <c r="HX20" s="673"/>
      <c r="HY20" s="673"/>
      <c r="HZ20" s="673"/>
      <c r="IA20" s="673"/>
      <c r="IB20" s="673"/>
      <c r="IC20" s="673"/>
      <c r="ID20" s="673"/>
      <c r="IE20" s="673"/>
      <c r="IF20" s="673"/>
      <c r="IG20" s="673"/>
      <c r="IH20" s="673"/>
      <c r="II20" s="673"/>
      <c r="IJ20" s="673"/>
      <c r="IK20" s="673"/>
      <c r="IL20" s="673"/>
      <c r="IM20" s="673"/>
      <c r="IN20" s="673"/>
      <c r="IO20" s="673"/>
      <c r="IP20" s="673"/>
      <c r="IQ20" s="673"/>
      <c r="IR20" s="673"/>
      <c r="IS20" s="673"/>
      <c r="IT20" s="673"/>
      <c r="IU20" s="673"/>
      <c r="IV20" s="673"/>
      <c r="IW20" s="673"/>
      <c r="IX20" s="673"/>
      <c r="IY20" s="673"/>
      <c r="IZ20" s="673"/>
      <c r="JA20" s="673"/>
      <c r="JB20" s="673"/>
      <c r="JC20" s="673"/>
      <c r="JD20" s="673"/>
      <c r="JE20" s="673"/>
      <c r="JF20" s="673"/>
      <c r="JG20" s="673"/>
      <c r="JH20" s="673"/>
      <c r="JI20" s="673"/>
      <c r="JJ20" s="673"/>
      <c r="JK20" s="673"/>
      <c r="JL20" s="673"/>
      <c r="JM20" s="673"/>
      <c r="JN20" s="673"/>
      <c r="JO20" s="673"/>
      <c r="JP20" s="673"/>
      <c r="JQ20" s="673"/>
      <c r="JR20" s="673"/>
      <c r="JS20" s="673"/>
      <c r="JT20" s="673"/>
      <c r="JU20" s="673"/>
      <c r="JV20" s="673"/>
      <c r="JW20" s="673"/>
      <c r="JX20" s="673"/>
      <c r="JY20" s="673"/>
      <c r="JZ20" s="673"/>
      <c r="KA20" s="673"/>
      <c r="KB20" s="673"/>
      <c r="KC20" s="673"/>
      <c r="KD20" s="673"/>
      <c r="KE20" s="673"/>
      <c r="KF20" s="673"/>
      <c r="KG20" s="673"/>
      <c r="KH20" s="673"/>
      <c r="KI20" s="673"/>
      <c r="KJ20" s="673"/>
      <c r="KK20" s="673"/>
      <c r="KL20" s="673"/>
      <c r="KM20" s="673"/>
      <c r="KN20" s="673"/>
      <c r="KO20" s="673"/>
      <c r="KP20" s="673"/>
      <c r="KQ20" s="673"/>
      <c r="KR20" s="673"/>
      <c r="KS20" s="673"/>
      <c r="KT20" s="673"/>
      <c r="KU20" s="673"/>
      <c r="KV20" s="673"/>
      <c r="KW20" s="673"/>
      <c r="KX20" s="673"/>
      <c r="KY20" s="673"/>
      <c r="KZ20" s="673"/>
      <c r="LA20" s="673"/>
      <c r="LB20" s="673"/>
      <c r="LC20" s="673"/>
      <c r="LD20" s="673"/>
      <c r="LE20" s="673"/>
      <c r="LF20" s="673"/>
      <c r="LG20" s="673"/>
      <c r="LH20" s="673"/>
      <c r="LI20" s="673"/>
      <c r="LJ20" s="673"/>
      <c r="LK20" s="673"/>
      <c r="LL20" s="673"/>
      <c r="LM20" s="673"/>
      <c r="LN20" s="673"/>
      <c r="LO20" s="673"/>
      <c r="LP20" s="673"/>
      <c r="LQ20" s="673"/>
      <c r="LR20" s="673"/>
      <c r="LS20" s="673"/>
      <c r="LT20" s="673"/>
      <c r="LU20" s="673"/>
      <c r="LV20" s="673"/>
      <c r="LW20" s="673"/>
      <c r="LX20" s="673"/>
      <c r="LY20" s="673"/>
      <c r="LZ20" s="673"/>
      <c r="MA20" s="673"/>
      <c r="MB20" s="673"/>
      <c r="MC20" s="673"/>
      <c r="MD20" s="673"/>
      <c r="ME20" s="673"/>
      <c r="MF20" s="673"/>
      <c r="MG20" s="673"/>
      <c r="MH20" s="673"/>
      <c r="MI20" s="673"/>
      <c r="MJ20" s="673"/>
      <c r="MK20" s="673"/>
      <c r="ML20" s="673"/>
      <c r="MM20" s="673"/>
      <c r="MN20" s="673"/>
      <c r="MO20" s="673"/>
      <c r="MP20" s="673"/>
      <c r="MQ20" s="673"/>
      <c r="MR20" s="673"/>
      <c r="MS20" s="673"/>
      <c r="MT20" s="673"/>
      <c r="MU20" s="673"/>
      <c r="MV20" s="673"/>
      <c r="MW20" s="673"/>
      <c r="MX20" s="673"/>
      <c r="MY20" s="673"/>
      <c r="MZ20" s="673"/>
      <c r="NA20" s="673"/>
      <c r="NB20" s="673"/>
      <c r="NC20" s="673"/>
      <c r="ND20" s="673"/>
      <c r="NE20" s="673"/>
      <c r="NF20" s="673"/>
      <c r="NG20" s="673"/>
      <c r="NH20" s="673"/>
      <c r="NI20" s="673"/>
      <c r="NJ20" s="673"/>
      <c r="NK20" s="673"/>
      <c r="NL20" s="673"/>
      <c r="NM20" s="673"/>
      <c r="NN20" s="673"/>
      <c r="NO20" s="673"/>
      <c r="NP20" s="673"/>
      <c r="NQ20" s="673"/>
      <c r="NR20" s="673"/>
      <c r="NS20" s="673"/>
      <c r="NT20" s="673"/>
      <c r="NU20" s="673"/>
      <c r="NV20" s="673"/>
      <c r="NW20" s="673"/>
      <c r="NX20" s="673"/>
      <c r="NY20" s="673"/>
      <c r="NZ20" s="673"/>
      <c r="OA20" s="673"/>
      <c r="OB20" s="673"/>
      <c r="OC20" s="673"/>
      <c r="OD20" s="673"/>
      <c r="OE20" s="673"/>
      <c r="OF20" s="673"/>
      <c r="OG20" s="673"/>
      <c r="OH20" s="673"/>
      <c r="OI20" s="673"/>
      <c r="OJ20" s="673"/>
      <c r="OK20" s="673"/>
      <c r="OL20" s="673"/>
      <c r="OM20" s="673"/>
      <c r="ON20" s="673"/>
      <c r="OO20" s="673"/>
      <c r="OP20" s="673"/>
      <c r="OQ20" s="673"/>
      <c r="OR20" s="673"/>
      <c r="OS20" s="673"/>
      <c r="OT20" s="673"/>
      <c r="OU20" s="673"/>
      <c r="OV20" s="673"/>
      <c r="OW20" s="673"/>
      <c r="OX20" s="673"/>
      <c r="OY20" s="673"/>
      <c r="OZ20" s="673"/>
      <c r="PA20" s="673"/>
      <c r="PB20" s="673"/>
      <c r="PC20" s="673"/>
      <c r="PD20" s="673"/>
      <c r="PE20" s="673"/>
      <c r="PF20" s="673"/>
      <c r="PG20" s="673"/>
      <c r="PH20" s="673"/>
      <c r="PI20" s="673"/>
      <c r="PJ20" s="673"/>
      <c r="PK20" s="673"/>
      <c r="PL20" s="673"/>
      <c r="PM20" s="673"/>
      <c r="PN20" s="673"/>
      <c r="PO20" s="673"/>
      <c r="PP20" s="673"/>
      <c r="PQ20" s="673"/>
      <c r="PR20" s="673"/>
      <c r="PS20" s="673"/>
      <c r="PT20" s="673"/>
      <c r="PU20" s="673"/>
      <c r="PV20" s="673"/>
      <c r="PW20" s="673"/>
      <c r="PX20" s="673"/>
      <c r="PY20" s="673"/>
      <c r="PZ20" s="673"/>
      <c r="QA20" s="673"/>
      <c r="QB20" s="673"/>
      <c r="QC20" s="673"/>
      <c r="QD20" s="673"/>
      <c r="QE20" s="673"/>
      <c r="QF20" s="673"/>
      <c r="QG20" s="673"/>
      <c r="QH20" s="673"/>
      <c r="QI20" s="673"/>
      <c r="QJ20" s="673"/>
      <c r="QK20" s="673"/>
    </row>
    <row r="21" spans="1:453" s="558" customFormat="1">
      <c r="A21" s="680"/>
      <c r="B21" s="680"/>
      <c r="C21" s="2107" t="str">
        <f ca="1">TEXT(HYPERLINK("#"&amp;CELL("address",'Equipment Results Matrix'!A396),'Equipment Results Matrix'!A396),"0,000")</f>
        <v>CCFL-backlit LCD Televisions 
(32" screen size)</v>
      </c>
      <c r="D21" s="2107"/>
      <c r="E21" s="2107"/>
      <c r="F21" s="2107"/>
      <c r="G21" s="2107"/>
      <c r="H21" s="2107"/>
      <c r="I21" s="680"/>
      <c r="J21" s="680"/>
      <c r="K21" s="680"/>
      <c r="L21" s="2107" t="str">
        <f ca="1">TEXT(HYPERLINK("#"&amp;CELL("address",'Equipment + Labor'!A82),"Total installed cost"),"0,000")</f>
        <v>Total installed cost</v>
      </c>
      <c r="M21" s="2107"/>
      <c r="N21" s="2107"/>
      <c r="O21" s="673"/>
      <c r="P21" s="673"/>
      <c r="Q21" s="673"/>
      <c r="R21" s="673"/>
      <c r="S21" s="673"/>
      <c r="T21" s="673"/>
      <c r="U21" s="673"/>
      <c r="V21" s="673"/>
      <c r="W21" s="673"/>
      <c r="X21" s="673"/>
      <c r="Y21" s="673"/>
      <c r="Z21" s="673"/>
      <c r="AA21" s="673"/>
      <c r="AB21" s="673"/>
      <c r="AC21" s="673"/>
      <c r="AD21" s="673"/>
      <c r="AE21" s="673"/>
      <c r="AF21" s="673"/>
      <c r="AG21" s="673"/>
      <c r="AH21" s="673"/>
      <c r="AI21" s="673"/>
      <c r="AJ21" s="673"/>
      <c r="AK21" s="673"/>
      <c r="AL21" s="673"/>
      <c r="AM21" s="673"/>
      <c r="AN21" s="673"/>
      <c r="AO21" s="673"/>
      <c r="AP21" s="673"/>
      <c r="AQ21" s="673"/>
      <c r="AR21" s="673"/>
      <c r="AS21" s="673"/>
      <c r="AT21" s="673"/>
      <c r="AU21" s="673"/>
      <c r="AV21" s="673"/>
      <c r="AW21" s="673"/>
      <c r="AX21" s="673"/>
      <c r="AY21" s="673"/>
      <c r="AZ21" s="673"/>
      <c r="BA21" s="673"/>
      <c r="BB21" s="673"/>
      <c r="BC21" s="673"/>
      <c r="BD21" s="673"/>
      <c r="BE21" s="673"/>
      <c r="BF21" s="673"/>
      <c r="BG21" s="673"/>
      <c r="BH21" s="673"/>
      <c r="BI21" s="673"/>
      <c r="BJ21" s="673"/>
      <c r="BK21" s="673"/>
      <c r="BL21" s="673"/>
      <c r="BM21" s="673"/>
      <c r="BN21" s="673"/>
      <c r="BO21" s="673"/>
      <c r="BP21" s="673"/>
      <c r="BQ21" s="673"/>
      <c r="BR21" s="673"/>
      <c r="BS21" s="673"/>
      <c r="BT21" s="673"/>
      <c r="BU21" s="673"/>
      <c r="BV21" s="673"/>
      <c r="BW21" s="673"/>
      <c r="BX21" s="673"/>
      <c r="BY21" s="673"/>
      <c r="BZ21" s="673"/>
      <c r="CA21" s="673"/>
      <c r="CB21" s="673"/>
      <c r="CC21" s="673"/>
      <c r="CD21" s="673"/>
      <c r="CE21" s="673"/>
      <c r="CF21" s="673"/>
      <c r="CG21" s="673"/>
      <c r="CH21" s="673"/>
      <c r="CI21" s="673"/>
      <c r="CJ21" s="673"/>
      <c r="CK21" s="673"/>
      <c r="CL21" s="673"/>
      <c r="CM21" s="673"/>
      <c r="CN21" s="673"/>
      <c r="CO21" s="673"/>
      <c r="CP21" s="673"/>
      <c r="CQ21" s="673"/>
      <c r="CR21" s="673"/>
      <c r="CS21" s="673"/>
      <c r="CT21" s="673"/>
      <c r="CU21" s="673"/>
      <c r="CV21" s="673"/>
      <c r="CW21" s="673"/>
      <c r="CX21" s="673"/>
      <c r="CY21" s="673"/>
      <c r="CZ21" s="673"/>
      <c r="DA21" s="673"/>
      <c r="DB21" s="673"/>
      <c r="DC21" s="673"/>
      <c r="DD21" s="673"/>
      <c r="DE21" s="673"/>
      <c r="DF21" s="673"/>
      <c r="DG21" s="673"/>
      <c r="DH21" s="673"/>
      <c r="DI21" s="673"/>
      <c r="DJ21" s="673"/>
      <c r="DK21" s="673"/>
      <c r="DL21" s="673"/>
      <c r="DM21" s="673"/>
      <c r="DN21" s="673"/>
      <c r="DO21" s="673"/>
      <c r="DP21" s="673"/>
      <c r="DQ21" s="673"/>
      <c r="DR21" s="673"/>
      <c r="DS21" s="673"/>
      <c r="DT21" s="673"/>
      <c r="DU21" s="673"/>
      <c r="DV21" s="673"/>
      <c r="DW21" s="673"/>
      <c r="DX21" s="673"/>
      <c r="DY21" s="673"/>
      <c r="DZ21" s="673"/>
      <c r="EA21" s="673"/>
      <c r="EB21" s="673"/>
      <c r="EC21" s="673"/>
      <c r="ED21" s="673"/>
      <c r="EE21" s="673"/>
      <c r="EF21" s="673"/>
      <c r="EG21" s="673"/>
      <c r="EH21" s="673"/>
      <c r="EI21" s="673"/>
      <c r="EJ21" s="673"/>
      <c r="EK21" s="673"/>
      <c r="EL21" s="673"/>
      <c r="EM21" s="673"/>
      <c r="EN21" s="673"/>
      <c r="EO21" s="673"/>
      <c r="EP21" s="673"/>
      <c r="EQ21" s="673"/>
      <c r="ER21" s="673"/>
      <c r="ES21" s="673"/>
      <c r="ET21" s="673"/>
      <c r="EU21" s="673"/>
      <c r="EV21" s="673"/>
      <c r="EW21" s="673"/>
      <c r="EX21" s="673"/>
      <c r="EY21" s="673"/>
      <c r="EZ21" s="673"/>
      <c r="FA21" s="673"/>
      <c r="FB21" s="673"/>
      <c r="FC21" s="673"/>
      <c r="FD21" s="673"/>
      <c r="FE21" s="673"/>
      <c r="FF21" s="673"/>
      <c r="FG21" s="673"/>
      <c r="FH21" s="673"/>
      <c r="FI21" s="673"/>
      <c r="FJ21" s="673"/>
      <c r="FK21" s="673"/>
      <c r="FL21" s="673"/>
      <c r="FM21" s="673"/>
      <c r="FN21" s="673"/>
      <c r="FO21" s="673"/>
      <c r="FP21" s="673"/>
      <c r="FQ21" s="673"/>
      <c r="FR21" s="673"/>
      <c r="FS21" s="673"/>
      <c r="FT21" s="673"/>
      <c r="FU21" s="673"/>
      <c r="FV21" s="673"/>
      <c r="FW21" s="673"/>
      <c r="FX21" s="673"/>
      <c r="FY21" s="673"/>
      <c r="FZ21" s="673"/>
      <c r="GA21" s="673"/>
      <c r="GB21" s="673"/>
      <c r="GC21" s="673"/>
      <c r="GD21" s="673"/>
      <c r="GE21" s="673"/>
      <c r="GF21" s="673"/>
      <c r="GG21" s="673"/>
      <c r="GH21" s="673"/>
      <c r="GI21" s="673"/>
      <c r="GJ21" s="673"/>
      <c r="GK21" s="673"/>
      <c r="GL21" s="673"/>
      <c r="GM21" s="673"/>
      <c r="GN21" s="673"/>
      <c r="GO21" s="673"/>
      <c r="GP21" s="673"/>
      <c r="GQ21" s="673"/>
      <c r="GR21" s="673"/>
      <c r="GS21" s="673"/>
      <c r="GT21" s="673"/>
      <c r="GU21" s="673"/>
      <c r="GV21" s="673"/>
      <c r="GW21" s="673"/>
      <c r="GX21" s="673"/>
      <c r="GY21" s="673"/>
      <c r="GZ21" s="673"/>
      <c r="HA21" s="673"/>
      <c r="HB21" s="673"/>
      <c r="HC21" s="673"/>
      <c r="HD21" s="673"/>
      <c r="HE21" s="673"/>
      <c r="HF21" s="673"/>
      <c r="HG21" s="673"/>
      <c r="HH21" s="673"/>
      <c r="HI21" s="673"/>
      <c r="HJ21" s="673"/>
      <c r="HK21" s="673"/>
      <c r="HL21" s="673"/>
      <c r="HM21" s="673"/>
      <c r="HN21" s="673"/>
      <c r="HO21" s="673"/>
      <c r="HP21" s="673"/>
      <c r="HQ21" s="673"/>
      <c r="HR21" s="673"/>
      <c r="HS21" s="673"/>
      <c r="HT21" s="673"/>
      <c r="HU21" s="673"/>
      <c r="HV21" s="673"/>
      <c r="HW21" s="673"/>
      <c r="HX21" s="673"/>
      <c r="HY21" s="673"/>
      <c r="HZ21" s="673"/>
      <c r="IA21" s="673"/>
      <c r="IB21" s="673"/>
      <c r="IC21" s="673"/>
      <c r="ID21" s="673"/>
      <c r="IE21" s="673"/>
      <c r="IF21" s="673"/>
      <c r="IG21" s="673"/>
      <c r="IH21" s="673"/>
      <c r="II21" s="673"/>
      <c r="IJ21" s="673"/>
      <c r="IK21" s="673"/>
      <c r="IL21" s="673"/>
      <c r="IM21" s="673"/>
      <c r="IN21" s="673"/>
      <c r="IO21" s="673"/>
      <c r="IP21" s="673"/>
      <c r="IQ21" s="673"/>
      <c r="IR21" s="673"/>
      <c r="IS21" s="673"/>
      <c r="IT21" s="673"/>
      <c r="IU21" s="673"/>
      <c r="IV21" s="673"/>
      <c r="IW21" s="673"/>
      <c r="IX21" s="673"/>
      <c r="IY21" s="673"/>
      <c r="IZ21" s="673"/>
      <c r="JA21" s="673"/>
      <c r="JB21" s="673"/>
      <c r="JC21" s="673"/>
      <c r="JD21" s="673"/>
      <c r="JE21" s="673"/>
      <c r="JF21" s="673"/>
      <c r="JG21" s="673"/>
      <c r="JH21" s="673"/>
      <c r="JI21" s="673"/>
      <c r="JJ21" s="673"/>
      <c r="JK21" s="673"/>
      <c r="JL21" s="673"/>
      <c r="JM21" s="673"/>
      <c r="JN21" s="673"/>
      <c r="JO21" s="673"/>
      <c r="JP21" s="673"/>
      <c r="JQ21" s="673"/>
      <c r="JR21" s="673"/>
      <c r="JS21" s="673"/>
      <c r="JT21" s="673"/>
      <c r="JU21" s="673"/>
      <c r="JV21" s="673"/>
      <c r="JW21" s="673"/>
      <c r="JX21" s="673"/>
      <c r="JY21" s="673"/>
      <c r="JZ21" s="673"/>
      <c r="KA21" s="673"/>
      <c r="KB21" s="673"/>
      <c r="KC21" s="673"/>
      <c r="KD21" s="673"/>
      <c r="KE21" s="673"/>
      <c r="KF21" s="673"/>
      <c r="KG21" s="673"/>
      <c r="KH21" s="673"/>
      <c r="KI21" s="673"/>
      <c r="KJ21" s="673"/>
      <c r="KK21" s="673"/>
      <c r="KL21" s="673"/>
      <c r="KM21" s="673"/>
      <c r="KN21" s="673"/>
      <c r="KO21" s="673"/>
      <c r="KP21" s="673"/>
      <c r="KQ21" s="673"/>
      <c r="KR21" s="673"/>
      <c r="KS21" s="673"/>
      <c r="KT21" s="673"/>
      <c r="KU21" s="673"/>
      <c r="KV21" s="673"/>
      <c r="KW21" s="673"/>
      <c r="KX21" s="673"/>
      <c r="KY21" s="673"/>
      <c r="KZ21" s="673"/>
      <c r="LA21" s="673"/>
      <c r="LB21" s="673"/>
      <c r="LC21" s="673"/>
      <c r="LD21" s="673"/>
      <c r="LE21" s="673"/>
      <c r="LF21" s="673"/>
      <c r="LG21" s="673"/>
      <c r="LH21" s="673"/>
      <c r="LI21" s="673"/>
      <c r="LJ21" s="673"/>
      <c r="LK21" s="673"/>
      <c r="LL21" s="673"/>
      <c r="LM21" s="673"/>
      <c r="LN21" s="673"/>
      <c r="LO21" s="673"/>
      <c r="LP21" s="673"/>
      <c r="LQ21" s="673"/>
      <c r="LR21" s="673"/>
      <c r="LS21" s="673"/>
      <c r="LT21" s="673"/>
      <c r="LU21" s="673"/>
      <c r="LV21" s="673"/>
      <c r="LW21" s="673"/>
      <c r="LX21" s="673"/>
      <c r="LY21" s="673"/>
      <c r="LZ21" s="673"/>
      <c r="MA21" s="673"/>
      <c r="MB21" s="673"/>
      <c r="MC21" s="673"/>
      <c r="MD21" s="673"/>
      <c r="ME21" s="673"/>
      <c r="MF21" s="673"/>
      <c r="MG21" s="673"/>
      <c r="MH21" s="673"/>
      <c r="MI21" s="673"/>
      <c r="MJ21" s="673"/>
      <c r="MK21" s="673"/>
      <c r="ML21" s="673"/>
      <c r="MM21" s="673"/>
      <c r="MN21" s="673"/>
      <c r="MO21" s="673"/>
      <c r="MP21" s="673"/>
      <c r="MQ21" s="673"/>
      <c r="MR21" s="673"/>
      <c r="MS21" s="673"/>
      <c r="MT21" s="673"/>
      <c r="MU21" s="673"/>
      <c r="MV21" s="673"/>
      <c r="MW21" s="673"/>
      <c r="MX21" s="673"/>
      <c r="MY21" s="673"/>
      <c r="MZ21" s="673"/>
      <c r="NA21" s="673"/>
      <c r="NB21" s="673"/>
      <c r="NC21" s="673"/>
      <c r="ND21" s="673"/>
      <c r="NE21" s="673"/>
      <c r="NF21" s="673"/>
      <c r="NG21" s="673"/>
      <c r="NH21" s="673"/>
      <c r="NI21" s="673"/>
      <c r="NJ21" s="673"/>
      <c r="NK21" s="673"/>
      <c r="NL21" s="673"/>
      <c r="NM21" s="673"/>
      <c r="NN21" s="673"/>
      <c r="NO21" s="673"/>
      <c r="NP21" s="673"/>
      <c r="NQ21" s="673"/>
      <c r="NR21" s="673"/>
      <c r="NS21" s="673"/>
      <c r="NT21" s="673"/>
      <c r="NU21" s="673"/>
      <c r="NV21" s="673"/>
      <c r="NW21" s="673"/>
      <c r="NX21" s="673"/>
      <c r="NY21" s="673"/>
      <c r="NZ21" s="673"/>
      <c r="OA21" s="673"/>
      <c r="OB21" s="673"/>
      <c r="OC21" s="673"/>
      <c r="OD21" s="673"/>
      <c r="OE21" s="673"/>
      <c r="OF21" s="673"/>
      <c r="OG21" s="673"/>
      <c r="OH21" s="673"/>
      <c r="OI21" s="673"/>
      <c r="OJ21" s="673"/>
      <c r="OK21" s="673"/>
      <c r="OL21" s="673"/>
      <c r="OM21" s="673"/>
      <c r="ON21" s="673"/>
      <c r="OO21" s="673"/>
      <c r="OP21" s="673"/>
      <c r="OQ21" s="673"/>
      <c r="OR21" s="673"/>
      <c r="OS21" s="673"/>
      <c r="OT21" s="673"/>
      <c r="OU21" s="673"/>
      <c r="OV21" s="673"/>
      <c r="OW21" s="673"/>
      <c r="OX21" s="673"/>
      <c r="OY21" s="673"/>
      <c r="OZ21" s="673"/>
      <c r="PA21" s="673"/>
      <c r="PB21" s="673"/>
      <c r="PC21" s="673"/>
      <c r="PD21" s="673"/>
      <c r="PE21" s="673"/>
      <c r="PF21" s="673"/>
      <c r="PG21" s="673"/>
      <c r="PH21" s="673"/>
      <c r="PI21" s="673"/>
      <c r="PJ21" s="673"/>
      <c r="PK21" s="673"/>
      <c r="PL21" s="673"/>
      <c r="PM21" s="673"/>
      <c r="PN21" s="673"/>
      <c r="PO21" s="673"/>
      <c r="PP21" s="673"/>
      <c r="PQ21" s="673"/>
      <c r="PR21" s="673"/>
      <c r="PS21" s="673"/>
      <c r="PT21" s="673"/>
      <c r="PU21" s="673"/>
      <c r="PV21" s="673"/>
      <c r="PW21" s="673"/>
      <c r="PX21" s="673"/>
      <c r="PY21" s="673"/>
      <c r="PZ21" s="673"/>
      <c r="QA21" s="673"/>
      <c r="QB21" s="673"/>
      <c r="QC21" s="673"/>
      <c r="QD21" s="673"/>
      <c r="QE21" s="673"/>
      <c r="QF21" s="673"/>
      <c r="QG21" s="673"/>
      <c r="QH21" s="673"/>
      <c r="QI21" s="673"/>
      <c r="QJ21" s="673"/>
      <c r="QK21" s="673"/>
    </row>
    <row r="22" spans="1:453" s="558" customFormat="1">
      <c r="A22" s="680"/>
      <c r="B22" s="680"/>
      <c r="C22" s="2107" t="str">
        <f ca="1">TEXT(HYPERLINK("#"&amp;CELL("address",'Equipment Results Matrix'!A442),'Equipment Results Matrix'!A442),"0,000")</f>
        <v>CCFL-backlit LCD Televisions 
(22" screen size)</v>
      </c>
      <c r="D22" s="2107"/>
      <c r="E22" s="2107"/>
      <c r="F22" s="2107"/>
      <c r="G22" s="2107"/>
      <c r="H22" s="2107"/>
      <c r="I22" s="680"/>
      <c r="J22" s="680"/>
      <c r="K22" s="680"/>
      <c r="L22" s="2107" t="str">
        <f ca="1">TEXT(HYPERLINK("#"&amp;CELL("address",'Equipment + Labor'!A86),"Total installed cost"),"0,000")</f>
        <v>Total installed cost</v>
      </c>
      <c r="M22" s="2107"/>
      <c r="N22" s="2107"/>
      <c r="O22" s="673"/>
      <c r="P22" s="673"/>
      <c r="Q22" s="673"/>
      <c r="R22" s="673"/>
      <c r="S22" s="673"/>
      <c r="T22" s="673"/>
      <c r="U22" s="673"/>
      <c r="V22" s="673"/>
      <c r="W22" s="673"/>
      <c r="X22" s="673"/>
      <c r="Y22" s="673"/>
      <c r="Z22" s="673"/>
      <c r="AA22" s="673"/>
      <c r="AB22" s="673"/>
      <c r="AC22" s="673"/>
      <c r="AD22" s="673"/>
      <c r="AE22" s="673"/>
      <c r="AF22" s="673"/>
      <c r="AG22" s="673"/>
      <c r="AH22" s="673"/>
      <c r="AI22" s="673"/>
      <c r="AJ22" s="673"/>
      <c r="AK22" s="673"/>
      <c r="AL22" s="673"/>
      <c r="AM22" s="673"/>
      <c r="AN22" s="673"/>
      <c r="AO22" s="673"/>
      <c r="AP22" s="673"/>
      <c r="AQ22" s="673"/>
      <c r="AR22" s="673"/>
      <c r="AS22" s="673"/>
      <c r="AT22" s="673"/>
      <c r="AU22" s="673"/>
      <c r="AV22" s="673"/>
      <c r="AW22" s="673"/>
      <c r="AX22" s="673"/>
      <c r="AY22" s="673"/>
      <c r="AZ22" s="673"/>
      <c r="BA22" s="673"/>
      <c r="BB22" s="673"/>
      <c r="BC22" s="673"/>
      <c r="BD22" s="673"/>
      <c r="BE22" s="673"/>
      <c r="BF22" s="673"/>
      <c r="BG22" s="673"/>
      <c r="BH22" s="673"/>
      <c r="BI22" s="673"/>
      <c r="BJ22" s="673"/>
      <c r="BK22" s="673"/>
      <c r="BL22" s="673"/>
      <c r="BM22" s="673"/>
      <c r="BN22" s="673"/>
      <c r="BO22" s="673"/>
      <c r="BP22" s="673"/>
      <c r="BQ22" s="673"/>
      <c r="BR22" s="673"/>
      <c r="BS22" s="673"/>
      <c r="BT22" s="673"/>
      <c r="BU22" s="673"/>
      <c r="BV22" s="673"/>
      <c r="BW22" s="673"/>
      <c r="BX22" s="673"/>
      <c r="BY22" s="673"/>
      <c r="BZ22" s="673"/>
      <c r="CA22" s="673"/>
      <c r="CB22" s="673"/>
      <c r="CC22" s="673"/>
      <c r="CD22" s="673"/>
      <c r="CE22" s="673"/>
      <c r="CF22" s="673"/>
      <c r="CG22" s="673"/>
      <c r="CH22" s="673"/>
      <c r="CI22" s="673"/>
      <c r="CJ22" s="673"/>
      <c r="CK22" s="673"/>
      <c r="CL22" s="673"/>
      <c r="CM22" s="673"/>
      <c r="CN22" s="673"/>
      <c r="CO22" s="673"/>
      <c r="CP22" s="673"/>
      <c r="CQ22" s="673"/>
      <c r="CR22" s="673"/>
      <c r="CS22" s="673"/>
      <c r="CT22" s="673"/>
      <c r="CU22" s="673"/>
      <c r="CV22" s="673"/>
      <c r="CW22" s="673"/>
      <c r="CX22" s="673"/>
      <c r="CY22" s="673"/>
      <c r="CZ22" s="673"/>
      <c r="DA22" s="673"/>
      <c r="DB22" s="673"/>
      <c r="DC22" s="673"/>
      <c r="DD22" s="673"/>
      <c r="DE22" s="673"/>
      <c r="DF22" s="673"/>
      <c r="DG22" s="673"/>
      <c r="DH22" s="673"/>
      <c r="DI22" s="673"/>
      <c r="DJ22" s="673"/>
      <c r="DK22" s="673"/>
      <c r="DL22" s="673"/>
      <c r="DM22" s="673"/>
      <c r="DN22" s="673"/>
      <c r="DO22" s="673"/>
      <c r="DP22" s="673"/>
      <c r="DQ22" s="673"/>
      <c r="DR22" s="673"/>
      <c r="DS22" s="673"/>
      <c r="DT22" s="673"/>
      <c r="DU22" s="673"/>
      <c r="DV22" s="673"/>
      <c r="DW22" s="673"/>
      <c r="DX22" s="673"/>
      <c r="DY22" s="673"/>
      <c r="DZ22" s="673"/>
      <c r="EA22" s="673"/>
      <c r="EB22" s="673"/>
      <c r="EC22" s="673"/>
      <c r="ED22" s="673"/>
      <c r="EE22" s="673"/>
      <c r="EF22" s="673"/>
      <c r="EG22" s="673"/>
      <c r="EH22" s="673"/>
      <c r="EI22" s="673"/>
      <c r="EJ22" s="673"/>
      <c r="EK22" s="673"/>
      <c r="EL22" s="673"/>
      <c r="EM22" s="673"/>
      <c r="EN22" s="673"/>
      <c r="EO22" s="673"/>
      <c r="EP22" s="673"/>
      <c r="EQ22" s="673"/>
      <c r="ER22" s="673"/>
      <c r="ES22" s="673"/>
      <c r="ET22" s="673"/>
      <c r="EU22" s="673"/>
      <c r="EV22" s="673"/>
      <c r="EW22" s="673"/>
      <c r="EX22" s="673"/>
      <c r="EY22" s="673"/>
      <c r="EZ22" s="673"/>
      <c r="FA22" s="673"/>
      <c r="FB22" s="673"/>
      <c r="FC22" s="673"/>
      <c r="FD22" s="673"/>
      <c r="FE22" s="673"/>
      <c r="FF22" s="673"/>
      <c r="FG22" s="673"/>
      <c r="FH22" s="673"/>
      <c r="FI22" s="673"/>
      <c r="FJ22" s="673"/>
      <c r="FK22" s="673"/>
      <c r="FL22" s="673"/>
      <c r="FM22" s="673"/>
      <c r="FN22" s="673"/>
      <c r="FO22" s="673"/>
      <c r="FP22" s="673"/>
      <c r="FQ22" s="673"/>
      <c r="FR22" s="673"/>
      <c r="FS22" s="673"/>
      <c r="FT22" s="673"/>
      <c r="FU22" s="673"/>
      <c r="FV22" s="673"/>
      <c r="FW22" s="673"/>
      <c r="FX22" s="673"/>
      <c r="FY22" s="673"/>
      <c r="FZ22" s="673"/>
      <c r="GA22" s="673"/>
      <c r="GB22" s="673"/>
      <c r="GC22" s="673"/>
      <c r="GD22" s="673"/>
      <c r="GE22" s="673"/>
      <c r="GF22" s="673"/>
      <c r="GG22" s="673"/>
      <c r="GH22" s="673"/>
      <c r="GI22" s="673"/>
      <c r="GJ22" s="673"/>
      <c r="GK22" s="673"/>
      <c r="GL22" s="673"/>
      <c r="GM22" s="673"/>
      <c r="GN22" s="673"/>
      <c r="GO22" s="673"/>
      <c r="GP22" s="673"/>
      <c r="GQ22" s="673"/>
      <c r="GR22" s="673"/>
      <c r="GS22" s="673"/>
      <c r="GT22" s="673"/>
      <c r="GU22" s="673"/>
      <c r="GV22" s="673"/>
      <c r="GW22" s="673"/>
      <c r="GX22" s="673"/>
      <c r="GY22" s="673"/>
      <c r="GZ22" s="673"/>
      <c r="HA22" s="673"/>
      <c r="HB22" s="673"/>
      <c r="HC22" s="673"/>
      <c r="HD22" s="673"/>
      <c r="HE22" s="673"/>
      <c r="HF22" s="673"/>
      <c r="HG22" s="673"/>
      <c r="HH22" s="673"/>
      <c r="HI22" s="673"/>
      <c r="HJ22" s="673"/>
      <c r="HK22" s="673"/>
      <c r="HL22" s="673"/>
      <c r="HM22" s="673"/>
      <c r="HN22" s="673"/>
      <c r="HO22" s="673"/>
      <c r="HP22" s="673"/>
      <c r="HQ22" s="673"/>
      <c r="HR22" s="673"/>
      <c r="HS22" s="673"/>
      <c r="HT22" s="673"/>
      <c r="HU22" s="673"/>
      <c r="HV22" s="673"/>
      <c r="HW22" s="673"/>
      <c r="HX22" s="673"/>
      <c r="HY22" s="673"/>
      <c r="HZ22" s="673"/>
      <c r="IA22" s="673"/>
      <c r="IB22" s="673"/>
      <c r="IC22" s="673"/>
      <c r="ID22" s="673"/>
      <c r="IE22" s="673"/>
      <c r="IF22" s="673"/>
      <c r="IG22" s="673"/>
      <c r="IH22" s="673"/>
      <c r="II22" s="673"/>
      <c r="IJ22" s="673"/>
      <c r="IK22" s="673"/>
      <c r="IL22" s="673"/>
      <c r="IM22" s="673"/>
      <c r="IN22" s="673"/>
      <c r="IO22" s="673"/>
      <c r="IP22" s="673"/>
      <c r="IQ22" s="673"/>
      <c r="IR22" s="673"/>
      <c r="IS22" s="673"/>
      <c r="IT22" s="673"/>
      <c r="IU22" s="673"/>
      <c r="IV22" s="673"/>
      <c r="IW22" s="673"/>
      <c r="IX22" s="673"/>
      <c r="IY22" s="673"/>
      <c r="IZ22" s="673"/>
      <c r="JA22" s="673"/>
      <c r="JB22" s="673"/>
      <c r="JC22" s="673"/>
      <c r="JD22" s="673"/>
      <c r="JE22" s="673"/>
      <c r="JF22" s="673"/>
      <c r="JG22" s="673"/>
      <c r="JH22" s="673"/>
      <c r="JI22" s="673"/>
      <c r="JJ22" s="673"/>
      <c r="JK22" s="673"/>
      <c r="JL22" s="673"/>
      <c r="JM22" s="673"/>
      <c r="JN22" s="673"/>
      <c r="JO22" s="673"/>
      <c r="JP22" s="673"/>
      <c r="JQ22" s="673"/>
      <c r="JR22" s="673"/>
      <c r="JS22" s="673"/>
      <c r="JT22" s="673"/>
      <c r="JU22" s="673"/>
      <c r="JV22" s="673"/>
      <c r="JW22" s="673"/>
      <c r="JX22" s="673"/>
      <c r="JY22" s="673"/>
      <c r="JZ22" s="673"/>
      <c r="KA22" s="673"/>
      <c r="KB22" s="673"/>
      <c r="KC22" s="673"/>
      <c r="KD22" s="673"/>
      <c r="KE22" s="673"/>
      <c r="KF22" s="673"/>
      <c r="KG22" s="673"/>
      <c r="KH22" s="673"/>
      <c r="KI22" s="673"/>
      <c r="KJ22" s="673"/>
      <c r="KK22" s="673"/>
      <c r="KL22" s="673"/>
      <c r="KM22" s="673"/>
      <c r="KN22" s="673"/>
      <c r="KO22" s="673"/>
      <c r="KP22" s="673"/>
      <c r="KQ22" s="673"/>
      <c r="KR22" s="673"/>
      <c r="KS22" s="673"/>
      <c r="KT22" s="673"/>
      <c r="KU22" s="673"/>
      <c r="KV22" s="673"/>
      <c r="KW22" s="673"/>
      <c r="KX22" s="673"/>
      <c r="KY22" s="673"/>
      <c r="KZ22" s="673"/>
      <c r="LA22" s="673"/>
      <c r="LB22" s="673"/>
      <c r="LC22" s="673"/>
      <c r="LD22" s="673"/>
      <c r="LE22" s="673"/>
      <c r="LF22" s="673"/>
      <c r="LG22" s="673"/>
      <c r="LH22" s="673"/>
      <c r="LI22" s="673"/>
      <c r="LJ22" s="673"/>
      <c r="LK22" s="673"/>
      <c r="LL22" s="673"/>
      <c r="LM22" s="673"/>
      <c r="LN22" s="673"/>
      <c r="LO22" s="673"/>
      <c r="LP22" s="673"/>
      <c r="LQ22" s="673"/>
      <c r="LR22" s="673"/>
      <c r="LS22" s="673"/>
      <c r="LT22" s="673"/>
      <c r="LU22" s="673"/>
      <c r="LV22" s="673"/>
      <c r="LW22" s="673"/>
      <c r="LX22" s="673"/>
      <c r="LY22" s="673"/>
      <c r="LZ22" s="673"/>
      <c r="MA22" s="673"/>
      <c r="MB22" s="673"/>
      <c r="MC22" s="673"/>
      <c r="MD22" s="673"/>
      <c r="ME22" s="673"/>
      <c r="MF22" s="673"/>
      <c r="MG22" s="673"/>
      <c r="MH22" s="673"/>
      <c r="MI22" s="673"/>
      <c r="MJ22" s="673"/>
      <c r="MK22" s="673"/>
      <c r="ML22" s="673"/>
      <c r="MM22" s="673"/>
      <c r="MN22" s="673"/>
      <c r="MO22" s="673"/>
      <c r="MP22" s="673"/>
      <c r="MQ22" s="673"/>
      <c r="MR22" s="673"/>
      <c r="MS22" s="673"/>
      <c r="MT22" s="673"/>
      <c r="MU22" s="673"/>
      <c r="MV22" s="673"/>
      <c r="MW22" s="673"/>
      <c r="MX22" s="673"/>
      <c r="MY22" s="673"/>
      <c r="MZ22" s="673"/>
      <c r="NA22" s="673"/>
      <c r="NB22" s="673"/>
      <c r="NC22" s="673"/>
      <c r="ND22" s="673"/>
      <c r="NE22" s="673"/>
      <c r="NF22" s="673"/>
      <c r="NG22" s="673"/>
      <c r="NH22" s="673"/>
      <c r="NI22" s="673"/>
      <c r="NJ22" s="673"/>
      <c r="NK22" s="673"/>
      <c r="NL22" s="673"/>
      <c r="NM22" s="673"/>
      <c r="NN22" s="673"/>
      <c r="NO22" s="673"/>
      <c r="NP22" s="673"/>
      <c r="NQ22" s="673"/>
      <c r="NR22" s="673"/>
      <c r="NS22" s="673"/>
      <c r="NT22" s="673"/>
      <c r="NU22" s="673"/>
      <c r="NV22" s="673"/>
      <c r="NW22" s="673"/>
      <c r="NX22" s="673"/>
      <c r="NY22" s="673"/>
      <c r="NZ22" s="673"/>
      <c r="OA22" s="673"/>
      <c r="OB22" s="673"/>
      <c r="OC22" s="673"/>
      <c r="OD22" s="673"/>
      <c r="OE22" s="673"/>
      <c r="OF22" s="673"/>
      <c r="OG22" s="673"/>
      <c r="OH22" s="673"/>
      <c r="OI22" s="673"/>
      <c r="OJ22" s="673"/>
      <c r="OK22" s="673"/>
      <c r="OL22" s="673"/>
      <c r="OM22" s="673"/>
      <c r="ON22" s="673"/>
      <c r="OO22" s="673"/>
      <c r="OP22" s="673"/>
      <c r="OQ22" s="673"/>
      <c r="OR22" s="673"/>
      <c r="OS22" s="673"/>
      <c r="OT22" s="673"/>
      <c r="OU22" s="673"/>
      <c r="OV22" s="673"/>
      <c r="OW22" s="673"/>
      <c r="OX22" s="673"/>
      <c r="OY22" s="673"/>
      <c r="OZ22" s="673"/>
      <c r="PA22" s="673"/>
      <c r="PB22" s="673"/>
      <c r="PC22" s="673"/>
      <c r="PD22" s="673"/>
      <c r="PE22" s="673"/>
      <c r="PF22" s="673"/>
      <c r="PG22" s="673"/>
      <c r="PH22" s="673"/>
      <c r="PI22" s="673"/>
      <c r="PJ22" s="673"/>
      <c r="PK22" s="673"/>
      <c r="PL22" s="673"/>
      <c r="PM22" s="673"/>
      <c r="PN22" s="673"/>
      <c r="PO22" s="673"/>
      <c r="PP22" s="673"/>
      <c r="PQ22" s="673"/>
      <c r="PR22" s="673"/>
      <c r="PS22" s="673"/>
      <c r="PT22" s="673"/>
      <c r="PU22" s="673"/>
      <c r="PV22" s="673"/>
      <c r="PW22" s="673"/>
      <c r="PX22" s="673"/>
      <c r="PY22" s="673"/>
      <c r="PZ22" s="673"/>
      <c r="QA22" s="673"/>
      <c r="QB22" s="673"/>
      <c r="QC22" s="673"/>
      <c r="QD22" s="673"/>
      <c r="QE22" s="673"/>
      <c r="QF22" s="673"/>
      <c r="QG22" s="673"/>
      <c r="QH22" s="673"/>
      <c r="QI22" s="673"/>
      <c r="QJ22" s="673"/>
      <c r="QK22" s="673"/>
    </row>
    <row r="23" spans="1:453" s="558" customFormat="1">
      <c r="A23" s="680"/>
      <c r="B23" s="680"/>
      <c r="C23" s="2107" t="str">
        <f ca="1">TEXT(HYPERLINK("#"&amp;CELL("address",'Equipment Results Matrix'!A470),'Equipment Results Matrix'!A470),"0,000")</f>
        <v>CCFL-backlit LCD Televisions 
(19" screen size)</v>
      </c>
      <c r="D23" s="2107"/>
      <c r="E23" s="2107"/>
      <c r="F23" s="2107"/>
      <c r="G23" s="2107"/>
      <c r="H23" s="2107"/>
      <c r="I23" s="680"/>
      <c r="J23" s="680"/>
      <c r="K23" s="680"/>
      <c r="L23" s="2107" t="str">
        <f ca="1">TEXT(HYPERLINK("#"&amp;CELL("address",'Equipment + Labor'!A90),"Total installed cost"),"0,000")</f>
        <v>Total installed cost</v>
      </c>
      <c r="M23" s="2107"/>
      <c r="N23" s="2107"/>
      <c r="O23" s="673"/>
      <c r="P23" s="673"/>
      <c r="Q23" s="673"/>
      <c r="R23" s="673"/>
      <c r="S23" s="673"/>
      <c r="T23" s="673"/>
      <c r="U23" s="673"/>
      <c r="V23" s="673"/>
      <c r="W23" s="673"/>
      <c r="X23" s="673"/>
      <c r="Y23" s="673"/>
      <c r="Z23" s="673"/>
      <c r="AA23" s="673"/>
      <c r="AB23" s="673"/>
      <c r="AC23" s="673"/>
      <c r="AD23" s="673"/>
      <c r="AE23" s="673"/>
      <c r="AF23" s="673"/>
      <c r="AG23" s="673"/>
      <c r="AH23" s="673"/>
      <c r="AI23" s="673"/>
      <c r="AJ23" s="673"/>
      <c r="AK23" s="673"/>
      <c r="AL23" s="673"/>
      <c r="AM23" s="673"/>
      <c r="AN23" s="673"/>
      <c r="AO23" s="673"/>
      <c r="AP23" s="673"/>
      <c r="AQ23" s="673"/>
      <c r="AR23" s="673"/>
      <c r="AS23" s="673"/>
      <c r="AT23" s="673"/>
      <c r="AU23" s="673"/>
      <c r="AV23" s="673"/>
      <c r="AW23" s="673"/>
      <c r="AX23" s="673"/>
      <c r="AY23" s="673"/>
      <c r="AZ23" s="673"/>
      <c r="BA23" s="673"/>
      <c r="BB23" s="673"/>
      <c r="BC23" s="673"/>
      <c r="BD23" s="673"/>
      <c r="BE23" s="673"/>
      <c r="BF23" s="673"/>
      <c r="BG23" s="673"/>
      <c r="BH23" s="673"/>
      <c r="BI23" s="673"/>
      <c r="BJ23" s="673"/>
      <c r="BK23" s="673"/>
      <c r="BL23" s="673"/>
      <c r="BM23" s="673"/>
      <c r="BN23" s="673"/>
      <c r="BO23" s="673"/>
      <c r="BP23" s="673"/>
      <c r="BQ23" s="673"/>
      <c r="BR23" s="673"/>
      <c r="BS23" s="673"/>
      <c r="BT23" s="673"/>
      <c r="BU23" s="673"/>
      <c r="BV23" s="673"/>
      <c r="BW23" s="673"/>
      <c r="BX23" s="673"/>
      <c r="BY23" s="673"/>
      <c r="BZ23" s="673"/>
      <c r="CA23" s="673"/>
      <c r="CB23" s="673"/>
      <c r="CC23" s="673"/>
      <c r="CD23" s="673"/>
      <c r="CE23" s="673"/>
      <c r="CF23" s="673"/>
      <c r="CG23" s="673"/>
      <c r="CH23" s="673"/>
      <c r="CI23" s="673"/>
      <c r="CJ23" s="673"/>
      <c r="CK23" s="673"/>
      <c r="CL23" s="673"/>
      <c r="CM23" s="673"/>
      <c r="CN23" s="673"/>
      <c r="CO23" s="673"/>
      <c r="CP23" s="673"/>
      <c r="CQ23" s="673"/>
      <c r="CR23" s="673"/>
      <c r="CS23" s="673"/>
      <c r="CT23" s="673"/>
      <c r="CU23" s="673"/>
      <c r="CV23" s="673"/>
      <c r="CW23" s="673"/>
      <c r="CX23" s="673"/>
      <c r="CY23" s="673"/>
      <c r="CZ23" s="673"/>
      <c r="DA23" s="673"/>
      <c r="DB23" s="673"/>
      <c r="DC23" s="673"/>
      <c r="DD23" s="673"/>
      <c r="DE23" s="673"/>
      <c r="DF23" s="673"/>
      <c r="DG23" s="673"/>
      <c r="DH23" s="673"/>
      <c r="DI23" s="673"/>
      <c r="DJ23" s="673"/>
      <c r="DK23" s="673"/>
      <c r="DL23" s="673"/>
      <c r="DM23" s="673"/>
      <c r="DN23" s="673"/>
      <c r="DO23" s="673"/>
      <c r="DP23" s="673"/>
      <c r="DQ23" s="673"/>
      <c r="DR23" s="673"/>
      <c r="DS23" s="673"/>
      <c r="DT23" s="673"/>
      <c r="DU23" s="673"/>
      <c r="DV23" s="673"/>
      <c r="DW23" s="673"/>
      <c r="DX23" s="673"/>
      <c r="DY23" s="673"/>
      <c r="DZ23" s="673"/>
      <c r="EA23" s="673"/>
      <c r="EB23" s="673"/>
      <c r="EC23" s="673"/>
      <c r="ED23" s="673"/>
      <c r="EE23" s="673"/>
      <c r="EF23" s="673"/>
      <c r="EG23" s="673"/>
      <c r="EH23" s="673"/>
      <c r="EI23" s="673"/>
      <c r="EJ23" s="673"/>
      <c r="EK23" s="673"/>
      <c r="EL23" s="673"/>
      <c r="EM23" s="673"/>
      <c r="EN23" s="673"/>
      <c r="EO23" s="673"/>
      <c r="EP23" s="673"/>
      <c r="EQ23" s="673"/>
      <c r="ER23" s="673"/>
      <c r="ES23" s="673"/>
      <c r="ET23" s="673"/>
      <c r="EU23" s="673"/>
      <c r="EV23" s="673"/>
      <c r="EW23" s="673"/>
      <c r="EX23" s="673"/>
      <c r="EY23" s="673"/>
      <c r="EZ23" s="673"/>
      <c r="FA23" s="673"/>
      <c r="FB23" s="673"/>
      <c r="FC23" s="673"/>
      <c r="FD23" s="673"/>
      <c r="FE23" s="673"/>
      <c r="FF23" s="673"/>
      <c r="FG23" s="673"/>
      <c r="FH23" s="673"/>
      <c r="FI23" s="673"/>
      <c r="FJ23" s="673"/>
      <c r="FK23" s="673"/>
      <c r="FL23" s="673"/>
      <c r="FM23" s="673"/>
      <c r="FN23" s="673"/>
      <c r="FO23" s="673"/>
      <c r="FP23" s="673"/>
      <c r="FQ23" s="673"/>
      <c r="FR23" s="673"/>
      <c r="FS23" s="673"/>
      <c r="FT23" s="673"/>
      <c r="FU23" s="673"/>
      <c r="FV23" s="673"/>
      <c r="FW23" s="673"/>
      <c r="FX23" s="673"/>
      <c r="FY23" s="673"/>
      <c r="FZ23" s="673"/>
      <c r="GA23" s="673"/>
      <c r="GB23" s="673"/>
      <c r="GC23" s="673"/>
      <c r="GD23" s="673"/>
      <c r="GE23" s="673"/>
      <c r="GF23" s="673"/>
      <c r="GG23" s="673"/>
      <c r="GH23" s="673"/>
      <c r="GI23" s="673"/>
      <c r="GJ23" s="673"/>
      <c r="GK23" s="673"/>
      <c r="GL23" s="673"/>
      <c r="GM23" s="673"/>
      <c r="GN23" s="673"/>
      <c r="GO23" s="673"/>
      <c r="GP23" s="673"/>
      <c r="GQ23" s="673"/>
      <c r="GR23" s="673"/>
      <c r="GS23" s="673"/>
      <c r="GT23" s="673"/>
      <c r="GU23" s="673"/>
      <c r="GV23" s="673"/>
      <c r="GW23" s="673"/>
      <c r="GX23" s="673"/>
      <c r="GY23" s="673"/>
      <c r="GZ23" s="673"/>
      <c r="HA23" s="673"/>
      <c r="HB23" s="673"/>
      <c r="HC23" s="673"/>
      <c r="HD23" s="673"/>
      <c r="HE23" s="673"/>
      <c r="HF23" s="673"/>
      <c r="HG23" s="673"/>
      <c r="HH23" s="673"/>
      <c r="HI23" s="673"/>
      <c r="HJ23" s="673"/>
      <c r="HK23" s="673"/>
      <c r="HL23" s="673"/>
      <c r="HM23" s="673"/>
      <c r="HN23" s="673"/>
      <c r="HO23" s="673"/>
      <c r="HP23" s="673"/>
      <c r="HQ23" s="673"/>
      <c r="HR23" s="673"/>
      <c r="HS23" s="673"/>
      <c r="HT23" s="673"/>
      <c r="HU23" s="673"/>
      <c r="HV23" s="673"/>
      <c r="HW23" s="673"/>
      <c r="HX23" s="673"/>
      <c r="HY23" s="673"/>
      <c r="HZ23" s="673"/>
      <c r="IA23" s="673"/>
      <c r="IB23" s="673"/>
      <c r="IC23" s="673"/>
      <c r="ID23" s="673"/>
      <c r="IE23" s="673"/>
      <c r="IF23" s="673"/>
      <c r="IG23" s="673"/>
      <c r="IH23" s="673"/>
      <c r="II23" s="673"/>
      <c r="IJ23" s="673"/>
      <c r="IK23" s="673"/>
      <c r="IL23" s="673"/>
      <c r="IM23" s="673"/>
      <c r="IN23" s="673"/>
      <c r="IO23" s="673"/>
      <c r="IP23" s="673"/>
      <c r="IQ23" s="673"/>
      <c r="IR23" s="673"/>
      <c r="IS23" s="673"/>
      <c r="IT23" s="673"/>
      <c r="IU23" s="673"/>
      <c r="IV23" s="673"/>
      <c r="IW23" s="673"/>
      <c r="IX23" s="673"/>
      <c r="IY23" s="673"/>
      <c r="IZ23" s="673"/>
      <c r="JA23" s="673"/>
      <c r="JB23" s="673"/>
      <c r="JC23" s="673"/>
      <c r="JD23" s="673"/>
      <c r="JE23" s="673"/>
      <c r="JF23" s="673"/>
      <c r="JG23" s="673"/>
      <c r="JH23" s="673"/>
      <c r="JI23" s="673"/>
      <c r="JJ23" s="673"/>
      <c r="JK23" s="673"/>
      <c r="JL23" s="673"/>
      <c r="JM23" s="673"/>
      <c r="JN23" s="673"/>
      <c r="JO23" s="673"/>
      <c r="JP23" s="673"/>
      <c r="JQ23" s="673"/>
      <c r="JR23" s="673"/>
      <c r="JS23" s="673"/>
      <c r="JT23" s="673"/>
      <c r="JU23" s="673"/>
      <c r="JV23" s="673"/>
      <c r="JW23" s="673"/>
      <c r="JX23" s="673"/>
      <c r="JY23" s="673"/>
      <c r="JZ23" s="673"/>
      <c r="KA23" s="673"/>
      <c r="KB23" s="673"/>
      <c r="KC23" s="673"/>
      <c r="KD23" s="673"/>
      <c r="KE23" s="673"/>
      <c r="KF23" s="673"/>
      <c r="KG23" s="673"/>
      <c r="KH23" s="673"/>
      <c r="KI23" s="673"/>
      <c r="KJ23" s="673"/>
      <c r="KK23" s="673"/>
      <c r="KL23" s="673"/>
      <c r="KM23" s="673"/>
      <c r="KN23" s="673"/>
      <c r="KO23" s="673"/>
      <c r="KP23" s="673"/>
      <c r="KQ23" s="673"/>
      <c r="KR23" s="673"/>
      <c r="KS23" s="673"/>
      <c r="KT23" s="673"/>
      <c r="KU23" s="673"/>
      <c r="KV23" s="673"/>
      <c r="KW23" s="673"/>
      <c r="KX23" s="673"/>
      <c r="KY23" s="673"/>
      <c r="KZ23" s="673"/>
      <c r="LA23" s="673"/>
      <c r="LB23" s="673"/>
      <c r="LC23" s="673"/>
      <c r="LD23" s="673"/>
      <c r="LE23" s="673"/>
      <c r="LF23" s="673"/>
      <c r="LG23" s="673"/>
      <c r="LH23" s="673"/>
      <c r="LI23" s="673"/>
      <c r="LJ23" s="673"/>
      <c r="LK23" s="673"/>
      <c r="LL23" s="673"/>
      <c r="LM23" s="673"/>
      <c r="LN23" s="673"/>
      <c r="LO23" s="673"/>
      <c r="LP23" s="673"/>
      <c r="LQ23" s="673"/>
      <c r="LR23" s="673"/>
      <c r="LS23" s="673"/>
      <c r="LT23" s="673"/>
      <c r="LU23" s="673"/>
      <c r="LV23" s="673"/>
      <c r="LW23" s="673"/>
      <c r="LX23" s="673"/>
      <c r="LY23" s="673"/>
      <c r="LZ23" s="673"/>
      <c r="MA23" s="673"/>
      <c r="MB23" s="673"/>
      <c r="MC23" s="673"/>
      <c r="MD23" s="673"/>
      <c r="ME23" s="673"/>
      <c r="MF23" s="673"/>
      <c r="MG23" s="673"/>
      <c r="MH23" s="673"/>
      <c r="MI23" s="673"/>
      <c r="MJ23" s="673"/>
      <c r="MK23" s="673"/>
      <c r="ML23" s="673"/>
      <c r="MM23" s="673"/>
      <c r="MN23" s="673"/>
      <c r="MO23" s="673"/>
      <c r="MP23" s="673"/>
      <c r="MQ23" s="673"/>
      <c r="MR23" s="673"/>
      <c r="MS23" s="673"/>
      <c r="MT23" s="673"/>
      <c r="MU23" s="673"/>
      <c r="MV23" s="673"/>
      <c r="MW23" s="673"/>
      <c r="MX23" s="673"/>
      <c r="MY23" s="673"/>
      <c r="MZ23" s="673"/>
      <c r="NA23" s="673"/>
      <c r="NB23" s="673"/>
      <c r="NC23" s="673"/>
      <c r="ND23" s="673"/>
      <c r="NE23" s="673"/>
      <c r="NF23" s="673"/>
      <c r="NG23" s="673"/>
      <c r="NH23" s="673"/>
      <c r="NI23" s="673"/>
      <c r="NJ23" s="673"/>
      <c r="NK23" s="673"/>
      <c r="NL23" s="673"/>
      <c r="NM23" s="673"/>
      <c r="NN23" s="673"/>
      <c r="NO23" s="673"/>
      <c r="NP23" s="673"/>
      <c r="NQ23" s="673"/>
      <c r="NR23" s="673"/>
      <c r="NS23" s="673"/>
      <c r="NT23" s="673"/>
      <c r="NU23" s="673"/>
      <c r="NV23" s="673"/>
      <c r="NW23" s="673"/>
      <c r="NX23" s="673"/>
      <c r="NY23" s="673"/>
      <c r="NZ23" s="673"/>
      <c r="OA23" s="673"/>
      <c r="OB23" s="673"/>
      <c r="OC23" s="673"/>
      <c r="OD23" s="673"/>
      <c r="OE23" s="673"/>
      <c r="OF23" s="673"/>
      <c r="OG23" s="673"/>
      <c r="OH23" s="673"/>
      <c r="OI23" s="673"/>
      <c r="OJ23" s="673"/>
      <c r="OK23" s="673"/>
      <c r="OL23" s="673"/>
      <c r="OM23" s="673"/>
      <c r="ON23" s="673"/>
      <c r="OO23" s="673"/>
      <c r="OP23" s="673"/>
      <c r="OQ23" s="673"/>
      <c r="OR23" s="673"/>
      <c r="OS23" s="673"/>
      <c r="OT23" s="673"/>
      <c r="OU23" s="673"/>
      <c r="OV23" s="673"/>
      <c r="OW23" s="673"/>
      <c r="OX23" s="673"/>
      <c r="OY23" s="673"/>
      <c r="OZ23" s="673"/>
      <c r="PA23" s="673"/>
      <c r="PB23" s="673"/>
      <c r="PC23" s="673"/>
      <c r="PD23" s="673"/>
      <c r="PE23" s="673"/>
      <c r="PF23" s="673"/>
      <c r="PG23" s="673"/>
      <c r="PH23" s="673"/>
      <c r="PI23" s="673"/>
      <c r="PJ23" s="673"/>
      <c r="PK23" s="673"/>
      <c r="PL23" s="673"/>
      <c r="PM23" s="673"/>
      <c r="PN23" s="673"/>
      <c r="PO23" s="673"/>
      <c r="PP23" s="673"/>
      <c r="PQ23" s="673"/>
      <c r="PR23" s="673"/>
      <c r="PS23" s="673"/>
      <c r="PT23" s="673"/>
      <c r="PU23" s="673"/>
      <c r="PV23" s="673"/>
      <c r="PW23" s="673"/>
      <c r="PX23" s="673"/>
      <c r="PY23" s="673"/>
      <c r="PZ23" s="673"/>
      <c r="QA23" s="673"/>
      <c r="QB23" s="673"/>
      <c r="QC23" s="673"/>
      <c r="QD23" s="673"/>
      <c r="QE23" s="673"/>
      <c r="QF23" s="673"/>
      <c r="QG23" s="673"/>
      <c r="QH23" s="673"/>
      <c r="QI23" s="673"/>
      <c r="QJ23" s="673"/>
      <c r="QK23" s="673"/>
    </row>
    <row r="24" spans="1:453" s="558" customFormat="1">
      <c r="A24" s="680"/>
      <c r="B24" s="680"/>
      <c r="C24" s="2107" t="str">
        <f ca="1">TEXT(HYPERLINK("#"&amp;CELL("address",'Equipment Results Matrix'!A495),'Equipment Results Matrix'!A495),"0,000")</f>
        <v>Plasma Televisions 
(all screen sizes)</v>
      </c>
      <c r="D24" s="2107"/>
      <c r="E24" s="2107"/>
      <c r="F24" s="2107"/>
      <c r="G24" s="2107"/>
      <c r="H24" s="2107"/>
      <c r="I24" s="680"/>
      <c r="J24" s="680"/>
      <c r="K24" s="680"/>
      <c r="L24" s="2107" t="str">
        <f ca="1">TEXT(HYPERLINK("#"&amp;CELL("address",'Equipment + Labor'!A94),"Total installed cost"),"0,000")</f>
        <v>Total installed cost</v>
      </c>
      <c r="M24" s="2107"/>
      <c r="N24" s="2107"/>
      <c r="O24" s="673"/>
      <c r="P24" s="673"/>
      <c r="Q24" s="673"/>
      <c r="R24" s="673"/>
      <c r="S24" s="673"/>
      <c r="T24" s="673"/>
      <c r="U24" s="673"/>
      <c r="V24" s="673"/>
      <c r="W24" s="673"/>
      <c r="X24" s="673"/>
      <c r="Y24" s="673"/>
      <c r="Z24" s="673"/>
      <c r="AA24" s="673"/>
      <c r="AB24" s="673"/>
      <c r="AC24" s="673"/>
      <c r="AD24" s="673"/>
      <c r="AE24" s="673"/>
      <c r="AF24" s="673"/>
      <c r="AG24" s="673"/>
      <c r="AH24" s="673"/>
      <c r="AI24" s="673"/>
      <c r="AJ24" s="673"/>
      <c r="AK24" s="673"/>
      <c r="AL24" s="673"/>
      <c r="AM24" s="673"/>
      <c r="AN24" s="673"/>
      <c r="AO24" s="673"/>
      <c r="AP24" s="673"/>
      <c r="AQ24" s="673"/>
      <c r="AR24" s="673"/>
      <c r="AS24" s="673"/>
      <c r="AT24" s="673"/>
      <c r="AU24" s="673"/>
      <c r="AV24" s="673"/>
      <c r="AW24" s="673"/>
      <c r="AX24" s="673"/>
      <c r="AY24" s="673"/>
      <c r="AZ24" s="673"/>
      <c r="BA24" s="673"/>
      <c r="BB24" s="673"/>
      <c r="BC24" s="673"/>
      <c r="BD24" s="673"/>
      <c r="BE24" s="673"/>
      <c r="BF24" s="673"/>
      <c r="BG24" s="673"/>
      <c r="BH24" s="673"/>
      <c r="BI24" s="673"/>
      <c r="BJ24" s="673"/>
      <c r="BK24" s="673"/>
      <c r="BL24" s="673"/>
      <c r="BM24" s="673"/>
      <c r="BN24" s="673"/>
      <c r="BO24" s="673"/>
      <c r="BP24" s="673"/>
      <c r="BQ24" s="673"/>
      <c r="BR24" s="673"/>
      <c r="BS24" s="673"/>
      <c r="BT24" s="673"/>
      <c r="BU24" s="673"/>
      <c r="BV24" s="673"/>
      <c r="BW24" s="673"/>
      <c r="BX24" s="673"/>
      <c r="BY24" s="673"/>
      <c r="BZ24" s="673"/>
      <c r="CA24" s="673"/>
      <c r="CB24" s="673"/>
      <c r="CC24" s="673"/>
      <c r="CD24" s="673"/>
      <c r="CE24" s="673"/>
      <c r="CF24" s="673"/>
      <c r="CG24" s="673"/>
      <c r="CH24" s="673"/>
      <c r="CI24" s="673"/>
      <c r="CJ24" s="673"/>
      <c r="CK24" s="673"/>
      <c r="CL24" s="673"/>
      <c r="CM24" s="673"/>
      <c r="CN24" s="673"/>
      <c r="CO24" s="673"/>
      <c r="CP24" s="673"/>
      <c r="CQ24" s="673"/>
      <c r="CR24" s="673"/>
      <c r="CS24" s="673"/>
      <c r="CT24" s="673"/>
      <c r="CU24" s="673"/>
      <c r="CV24" s="673"/>
      <c r="CW24" s="673"/>
      <c r="CX24" s="673"/>
      <c r="CY24" s="673"/>
      <c r="CZ24" s="673"/>
      <c r="DA24" s="673"/>
      <c r="DB24" s="673"/>
      <c r="DC24" s="673"/>
      <c r="DD24" s="673"/>
      <c r="DE24" s="673"/>
      <c r="DF24" s="673"/>
      <c r="DG24" s="673"/>
      <c r="DH24" s="673"/>
      <c r="DI24" s="673"/>
      <c r="DJ24" s="673"/>
      <c r="DK24" s="673"/>
      <c r="DL24" s="673"/>
      <c r="DM24" s="673"/>
      <c r="DN24" s="673"/>
      <c r="DO24" s="673"/>
      <c r="DP24" s="673"/>
      <c r="DQ24" s="673"/>
      <c r="DR24" s="673"/>
      <c r="DS24" s="673"/>
      <c r="DT24" s="673"/>
      <c r="DU24" s="673"/>
      <c r="DV24" s="673"/>
      <c r="DW24" s="673"/>
      <c r="DX24" s="673"/>
      <c r="DY24" s="673"/>
      <c r="DZ24" s="673"/>
      <c r="EA24" s="673"/>
      <c r="EB24" s="673"/>
      <c r="EC24" s="673"/>
      <c r="ED24" s="673"/>
      <c r="EE24" s="673"/>
      <c r="EF24" s="673"/>
      <c r="EG24" s="673"/>
      <c r="EH24" s="673"/>
      <c r="EI24" s="673"/>
      <c r="EJ24" s="673"/>
      <c r="EK24" s="673"/>
      <c r="EL24" s="673"/>
      <c r="EM24" s="673"/>
      <c r="EN24" s="673"/>
      <c r="EO24" s="673"/>
      <c r="EP24" s="673"/>
      <c r="EQ24" s="673"/>
      <c r="ER24" s="673"/>
      <c r="ES24" s="673"/>
      <c r="ET24" s="673"/>
      <c r="EU24" s="673"/>
      <c r="EV24" s="673"/>
      <c r="EW24" s="673"/>
      <c r="EX24" s="673"/>
      <c r="EY24" s="673"/>
      <c r="EZ24" s="673"/>
      <c r="FA24" s="673"/>
      <c r="FB24" s="673"/>
      <c r="FC24" s="673"/>
      <c r="FD24" s="673"/>
      <c r="FE24" s="673"/>
      <c r="FF24" s="673"/>
      <c r="FG24" s="673"/>
      <c r="FH24" s="673"/>
      <c r="FI24" s="673"/>
      <c r="FJ24" s="673"/>
      <c r="FK24" s="673"/>
      <c r="FL24" s="673"/>
      <c r="FM24" s="673"/>
      <c r="FN24" s="673"/>
      <c r="FO24" s="673"/>
      <c r="FP24" s="673"/>
      <c r="FQ24" s="673"/>
      <c r="FR24" s="673"/>
      <c r="FS24" s="673"/>
      <c r="FT24" s="673"/>
      <c r="FU24" s="673"/>
      <c r="FV24" s="673"/>
      <c r="FW24" s="673"/>
      <c r="FX24" s="673"/>
      <c r="FY24" s="673"/>
      <c r="FZ24" s="673"/>
      <c r="GA24" s="673"/>
      <c r="GB24" s="673"/>
      <c r="GC24" s="673"/>
      <c r="GD24" s="673"/>
      <c r="GE24" s="673"/>
      <c r="GF24" s="673"/>
      <c r="GG24" s="673"/>
      <c r="GH24" s="673"/>
      <c r="GI24" s="673"/>
      <c r="GJ24" s="673"/>
      <c r="GK24" s="673"/>
      <c r="GL24" s="673"/>
      <c r="GM24" s="673"/>
      <c r="GN24" s="673"/>
      <c r="GO24" s="673"/>
      <c r="GP24" s="673"/>
      <c r="GQ24" s="673"/>
      <c r="GR24" s="673"/>
      <c r="GS24" s="673"/>
      <c r="GT24" s="673"/>
      <c r="GU24" s="673"/>
      <c r="GV24" s="673"/>
      <c r="GW24" s="673"/>
      <c r="GX24" s="673"/>
      <c r="GY24" s="673"/>
      <c r="GZ24" s="673"/>
      <c r="HA24" s="673"/>
      <c r="HB24" s="673"/>
      <c r="HC24" s="673"/>
      <c r="HD24" s="673"/>
      <c r="HE24" s="673"/>
      <c r="HF24" s="673"/>
      <c r="HG24" s="673"/>
      <c r="HH24" s="673"/>
      <c r="HI24" s="673"/>
      <c r="HJ24" s="673"/>
      <c r="HK24" s="673"/>
      <c r="HL24" s="673"/>
      <c r="HM24" s="673"/>
      <c r="HN24" s="673"/>
      <c r="HO24" s="673"/>
      <c r="HP24" s="673"/>
      <c r="HQ24" s="673"/>
      <c r="HR24" s="673"/>
      <c r="HS24" s="673"/>
      <c r="HT24" s="673"/>
      <c r="HU24" s="673"/>
      <c r="HV24" s="673"/>
      <c r="HW24" s="673"/>
      <c r="HX24" s="673"/>
      <c r="HY24" s="673"/>
      <c r="HZ24" s="673"/>
      <c r="IA24" s="673"/>
      <c r="IB24" s="673"/>
      <c r="IC24" s="673"/>
      <c r="ID24" s="673"/>
      <c r="IE24" s="673"/>
      <c r="IF24" s="673"/>
      <c r="IG24" s="673"/>
      <c r="IH24" s="673"/>
      <c r="II24" s="673"/>
      <c r="IJ24" s="673"/>
      <c r="IK24" s="673"/>
      <c r="IL24" s="673"/>
      <c r="IM24" s="673"/>
      <c r="IN24" s="673"/>
      <c r="IO24" s="673"/>
      <c r="IP24" s="673"/>
      <c r="IQ24" s="673"/>
      <c r="IR24" s="673"/>
      <c r="IS24" s="673"/>
      <c r="IT24" s="673"/>
      <c r="IU24" s="673"/>
      <c r="IV24" s="673"/>
      <c r="IW24" s="673"/>
      <c r="IX24" s="673"/>
      <c r="IY24" s="673"/>
      <c r="IZ24" s="673"/>
      <c r="JA24" s="673"/>
      <c r="JB24" s="673"/>
      <c r="JC24" s="673"/>
      <c r="JD24" s="673"/>
      <c r="JE24" s="673"/>
      <c r="JF24" s="673"/>
      <c r="JG24" s="673"/>
      <c r="JH24" s="673"/>
      <c r="JI24" s="673"/>
      <c r="JJ24" s="673"/>
      <c r="JK24" s="673"/>
      <c r="JL24" s="673"/>
      <c r="JM24" s="673"/>
      <c r="JN24" s="673"/>
      <c r="JO24" s="673"/>
      <c r="JP24" s="673"/>
      <c r="JQ24" s="673"/>
      <c r="JR24" s="673"/>
      <c r="JS24" s="673"/>
      <c r="JT24" s="673"/>
      <c r="JU24" s="673"/>
      <c r="JV24" s="673"/>
      <c r="JW24" s="673"/>
      <c r="JX24" s="673"/>
      <c r="JY24" s="673"/>
      <c r="JZ24" s="673"/>
      <c r="KA24" s="673"/>
      <c r="KB24" s="673"/>
      <c r="KC24" s="673"/>
      <c r="KD24" s="673"/>
      <c r="KE24" s="673"/>
      <c r="KF24" s="673"/>
      <c r="KG24" s="673"/>
      <c r="KH24" s="673"/>
      <c r="KI24" s="673"/>
      <c r="KJ24" s="673"/>
      <c r="KK24" s="673"/>
      <c r="KL24" s="673"/>
      <c r="KM24" s="673"/>
      <c r="KN24" s="673"/>
      <c r="KO24" s="673"/>
      <c r="KP24" s="673"/>
      <c r="KQ24" s="673"/>
      <c r="KR24" s="673"/>
      <c r="KS24" s="673"/>
      <c r="KT24" s="673"/>
      <c r="KU24" s="673"/>
      <c r="KV24" s="673"/>
      <c r="KW24" s="673"/>
      <c r="KX24" s="673"/>
      <c r="KY24" s="673"/>
      <c r="KZ24" s="673"/>
      <c r="LA24" s="673"/>
      <c r="LB24" s="673"/>
      <c r="LC24" s="673"/>
      <c r="LD24" s="673"/>
      <c r="LE24" s="673"/>
      <c r="LF24" s="673"/>
      <c r="LG24" s="673"/>
      <c r="LH24" s="673"/>
      <c r="LI24" s="673"/>
      <c r="LJ24" s="673"/>
      <c r="LK24" s="673"/>
      <c r="LL24" s="673"/>
      <c r="LM24" s="673"/>
      <c r="LN24" s="673"/>
      <c r="LO24" s="673"/>
      <c r="LP24" s="673"/>
      <c r="LQ24" s="673"/>
      <c r="LR24" s="673"/>
      <c r="LS24" s="673"/>
      <c r="LT24" s="673"/>
      <c r="LU24" s="673"/>
      <c r="LV24" s="673"/>
      <c r="LW24" s="673"/>
      <c r="LX24" s="673"/>
      <c r="LY24" s="673"/>
      <c r="LZ24" s="673"/>
      <c r="MA24" s="673"/>
      <c r="MB24" s="673"/>
      <c r="MC24" s="673"/>
      <c r="MD24" s="673"/>
      <c r="ME24" s="673"/>
      <c r="MF24" s="673"/>
      <c r="MG24" s="673"/>
      <c r="MH24" s="673"/>
      <c r="MI24" s="673"/>
      <c r="MJ24" s="673"/>
      <c r="MK24" s="673"/>
      <c r="ML24" s="673"/>
      <c r="MM24" s="673"/>
      <c r="MN24" s="673"/>
      <c r="MO24" s="673"/>
      <c r="MP24" s="673"/>
      <c r="MQ24" s="673"/>
      <c r="MR24" s="673"/>
      <c r="MS24" s="673"/>
      <c r="MT24" s="673"/>
      <c r="MU24" s="673"/>
      <c r="MV24" s="673"/>
      <c r="MW24" s="673"/>
      <c r="MX24" s="673"/>
      <c r="MY24" s="673"/>
      <c r="MZ24" s="673"/>
      <c r="NA24" s="673"/>
      <c r="NB24" s="673"/>
      <c r="NC24" s="673"/>
      <c r="ND24" s="673"/>
      <c r="NE24" s="673"/>
      <c r="NF24" s="673"/>
      <c r="NG24" s="673"/>
      <c r="NH24" s="673"/>
      <c r="NI24" s="673"/>
      <c r="NJ24" s="673"/>
      <c r="NK24" s="673"/>
      <c r="NL24" s="673"/>
      <c r="NM24" s="673"/>
      <c r="NN24" s="673"/>
      <c r="NO24" s="673"/>
      <c r="NP24" s="673"/>
      <c r="NQ24" s="673"/>
      <c r="NR24" s="673"/>
      <c r="NS24" s="673"/>
      <c r="NT24" s="673"/>
      <c r="NU24" s="673"/>
      <c r="NV24" s="673"/>
      <c r="NW24" s="673"/>
      <c r="NX24" s="673"/>
      <c r="NY24" s="673"/>
      <c r="NZ24" s="673"/>
      <c r="OA24" s="673"/>
      <c r="OB24" s="673"/>
      <c r="OC24" s="673"/>
      <c r="OD24" s="673"/>
      <c r="OE24" s="673"/>
      <c r="OF24" s="673"/>
      <c r="OG24" s="673"/>
      <c r="OH24" s="673"/>
      <c r="OI24" s="673"/>
      <c r="OJ24" s="673"/>
      <c r="OK24" s="673"/>
      <c r="OL24" s="673"/>
      <c r="OM24" s="673"/>
      <c r="ON24" s="673"/>
      <c r="OO24" s="673"/>
      <c r="OP24" s="673"/>
      <c r="OQ24" s="673"/>
      <c r="OR24" s="673"/>
      <c r="OS24" s="673"/>
      <c r="OT24" s="673"/>
      <c r="OU24" s="673"/>
      <c r="OV24" s="673"/>
      <c r="OW24" s="673"/>
      <c r="OX24" s="673"/>
      <c r="OY24" s="673"/>
      <c r="OZ24" s="673"/>
      <c r="PA24" s="673"/>
      <c r="PB24" s="673"/>
      <c r="PC24" s="673"/>
      <c r="PD24" s="673"/>
      <c r="PE24" s="673"/>
      <c r="PF24" s="673"/>
      <c r="PG24" s="673"/>
      <c r="PH24" s="673"/>
      <c r="PI24" s="673"/>
      <c r="PJ24" s="673"/>
      <c r="PK24" s="673"/>
      <c r="PL24" s="673"/>
      <c r="PM24" s="673"/>
      <c r="PN24" s="673"/>
      <c r="PO24" s="673"/>
      <c r="PP24" s="673"/>
      <c r="PQ24" s="673"/>
      <c r="PR24" s="673"/>
      <c r="PS24" s="673"/>
      <c r="PT24" s="673"/>
      <c r="PU24" s="673"/>
      <c r="PV24" s="673"/>
      <c r="PW24" s="673"/>
      <c r="PX24" s="673"/>
      <c r="PY24" s="673"/>
      <c r="PZ24" s="673"/>
      <c r="QA24" s="673"/>
      <c r="QB24" s="673"/>
      <c r="QC24" s="673"/>
      <c r="QD24" s="673"/>
      <c r="QE24" s="673"/>
      <c r="QF24" s="673"/>
      <c r="QG24" s="673"/>
      <c r="QH24" s="673"/>
      <c r="QI24" s="673"/>
      <c r="QJ24" s="673"/>
      <c r="QK24" s="673"/>
    </row>
    <row r="25" spans="1:453" s="1301" customFormat="1" ht="18.75">
      <c r="B25" s="2109" t="str">
        <f ca="1">TEXT(HYPERLINK("#"&amp;CELL("address",'Equipment Results Matrix'!A516),'Equipment Results Matrix'!A516),"0,000")</f>
        <v>Residential HVAC</v>
      </c>
      <c r="C25" s="2109"/>
      <c r="D25" s="2109"/>
      <c r="E25" s="2109"/>
      <c r="F25" s="2109"/>
      <c r="G25" s="1302"/>
      <c r="H25" s="1302"/>
      <c r="I25" s="1302"/>
      <c r="J25" s="1302"/>
      <c r="K25" s="1302"/>
      <c r="L25" s="2111"/>
      <c r="M25" s="2111"/>
      <c r="N25" s="2111"/>
      <c r="O25" s="1303"/>
      <c r="P25" s="1303"/>
      <c r="Q25" s="1303"/>
      <c r="R25" s="1303"/>
      <c r="S25" s="1303"/>
      <c r="T25" s="1303"/>
      <c r="U25" s="1303"/>
      <c r="V25" s="1303"/>
      <c r="W25" s="1303"/>
      <c r="X25" s="1303"/>
      <c r="Y25" s="1303"/>
      <c r="Z25" s="1303"/>
      <c r="AA25" s="1303"/>
      <c r="AB25" s="1303"/>
      <c r="AC25" s="1303"/>
      <c r="AD25" s="1303"/>
      <c r="AE25" s="1303"/>
      <c r="AF25" s="1303"/>
      <c r="AG25" s="1303"/>
      <c r="AH25" s="1303"/>
      <c r="AI25" s="1303"/>
      <c r="AJ25" s="1303"/>
      <c r="AK25" s="1303"/>
      <c r="AL25" s="1303"/>
      <c r="AM25" s="1303"/>
      <c r="AN25" s="1303"/>
      <c r="AO25" s="1303"/>
      <c r="AP25" s="1303"/>
      <c r="AQ25" s="1303"/>
      <c r="AR25" s="1303"/>
      <c r="AS25" s="1303"/>
      <c r="AT25" s="1303"/>
      <c r="AU25" s="1303"/>
      <c r="AV25" s="1303"/>
      <c r="AW25" s="1303"/>
      <c r="AX25" s="1303"/>
      <c r="AY25" s="1303"/>
      <c r="AZ25" s="1303"/>
      <c r="BA25" s="1303"/>
      <c r="BB25" s="1303"/>
      <c r="BC25" s="1303"/>
      <c r="BD25" s="1303"/>
      <c r="BE25" s="1303"/>
      <c r="BF25" s="1303"/>
      <c r="BG25" s="1303"/>
      <c r="BH25" s="1303"/>
      <c r="BI25" s="1303"/>
      <c r="BJ25" s="1303"/>
      <c r="BK25" s="1303"/>
      <c r="BL25" s="1303"/>
      <c r="BM25" s="1303"/>
      <c r="BN25" s="1303"/>
      <c r="BO25" s="1303"/>
      <c r="BP25" s="1303"/>
      <c r="BQ25" s="1303"/>
      <c r="BR25" s="1303"/>
      <c r="BS25" s="1303"/>
      <c r="BT25" s="1303"/>
      <c r="BU25" s="1303"/>
      <c r="BV25" s="1303"/>
      <c r="BW25" s="1303"/>
      <c r="BX25" s="1303"/>
      <c r="BY25" s="1303"/>
      <c r="BZ25" s="1303"/>
      <c r="CA25" s="1303"/>
      <c r="CB25" s="1303"/>
      <c r="CC25" s="1303"/>
      <c r="CD25" s="1303"/>
      <c r="CE25" s="1303"/>
      <c r="CF25" s="1303"/>
      <c r="CG25" s="1303"/>
      <c r="CH25" s="1303"/>
      <c r="CI25" s="1303"/>
      <c r="CJ25" s="1303"/>
      <c r="CK25" s="1303"/>
      <c r="CL25" s="1303"/>
      <c r="CM25" s="1303"/>
      <c r="CN25" s="1303"/>
      <c r="CO25" s="1303"/>
      <c r="CP25" s="1303"/>
      <c r="CQ25" s="1303"/>
      <c r="CR25" s="1303"/>
      <c r="CS25" s="1303"/>
      <c r="CT25" s="1303"/>
      <c r="CU25" s="1303"/>
      <c r="CV25" s="1303"/>
      <c r="CW25" s="1303"/>
      <c r="CX25" s="1303"/>
      <c r="CY25" s="1303"/>
      <c r="CZ25" s="1303"/>
      <c r="DA25" s="1303"/>
      <c r="DB25" s="1303"/>
      <c r="DC25" s="1303"/>
      <c r="DD25" s="1303"/>
      <c r="DE25" s="1303"/>
      <c r="DF25" s="1303"/>
      <c r="DG25" s="1303"/>
      <c r="DH25" s="1303"/>
      <c r="DI25" s="1303"/>
      <c r="DJ25" s="1303"/>
      <c r="DK25" s="1303"/>
      <c r="DL25" s="1303"/>
      <c r="DM25" s="1303"/>
      <c r="DN25" s="1303"/>
      <c r="DO25" s="1303"/>
      <c r="DP25" s="1303"/>
      <c r="DQ25" s="1303"/>
      <c r="DR25" s="1303"/>
      <c r="DS25" s="1303"/>
      <c r="DT25" s="1303"/>
      <c r="DU25" s="1303"/>
      <c r="DV25" s="1303"/>
      <c r="DW25" s="1303"/>
      <c r="DX25" s="1303"/>
      <c r="DY25" s="1303"/>
      <c r="DZ25" s="1303"/>
      <c r="EA25" s="1303"/>
      <c r="EB25" s="1303"/>
      <c r="EC25" s="1303"/>
      <c r="ED25" s="1303"/>
      <c r="EE25" s="1303"/>
      <c r="EF25" s="1303"/>
      <c r="EG25" s="1303"/>
      <c r="EH25" s="1303"/>
      <c r="EI25" s="1303"/>
      <c r="EJ25" s="1303"/>
      <c r="EK25" s="1303"/>
      <c r="EL25" s="1303"/>
      <c r="EM25" s="1303"/>
      <c r="EN25" s="1303"/>
      <c r="EO25" s="1303"/>
      <c r="EP25" s="1303"/>
      <c r="EQ25" s="1303"/>
      <c r="ER25" s="1303"/>
      <c r="ES25" s="1303"/>
      <c r="ET25" s="1303"/>
      <c r="EU25" s="1303"/>
      <c r="EV25" s="1303"/>
      <c r="EW25" s="1303"/>
      <c r="EX25" s="1303"/>
      <c r="EY25" s="1303"/>
      <c r="EZ25" s="1303"/>
      <c r="FA25" s="1303"/>
      <c r="FB25" s="1303"/>
      <c r="FC25" s="1303"/>
      <c r="FD25" s="1303"/>
      <c r="FE25" s="1303"/>
      <c r="FF25" s="1303"/>
      <c r="FG25" s="1303"/>
      <c r="FH25" s="1303"/>
      <c r="FI25" s="1303"/>
      <c r="FJ25" s="1303"/>
      <c r="FK25" s="1303"/>
      <c r="FL25" s="1303"/>
      <c r="FM25" s="1303"/>
      <c r="FN25" s="1303"/>
      <c r="FO25" s="1303"/>
      <c r="FP25" s="1303"/>
      <c r="FQ25" s="1303"/>
      <c r="FR25" s="1303"/>
      <c r="FS25" s="1303"/>
      <c r="FT25" s="1303"/>
      <c r="FU25" s="1303"/>
      <c r="FV25" s="1303"/>
      <c r="FW25" s="1303"/>
      <c r="FX25" s="1303"/>
      <c r="FY25" s="1303"/>
      <c r="FZ25" s="1303"/>
      <c r="GA25" s="1303"/>
      <c r="GB25" s="1303"/>
      <c r="GC25" s="1303"/>
      <c r="GD25" s="1303"/>
      <c r="GE25" s="1303"/>
      <c r="GF25" s="1303"/>
      <c r="GG25" s="1303"/>
      <c r="GH25" s="1303"/>
      <c r="GI25" s="1303"/>
      <c r="GJ25" s="1303"/>
      <c r="GK25" s="1303"/>
      <c r="GL25" s="1303"/>
      <c r="GM25" s="1303"/>
      <c r="GN25" s="1303"/>
      <c r="GO25" s="1303"/>
      <c r="GP25" s="1303"/>
      <c r="GQ25" s="1303"/>
      <c r="GR25" s="1303"/>
      <c r="GS25" s="1303"/>
      <c r="GT25" s="1303"/>
      <c r="GU25" s="1303"/>
      <c r="GV25" s="1303"/>
      <c r="GW25" s="1303"/>
      <c r="GX25" s="1303"/>
      <c r="GY25" s="1303"/>
      <c r="GZ25" s="1303"/>
      <c r="HA25" s="1303"/>
      <c r="HB25" s="1303"/>
      <c r="HC25" s="1303"/>
      <c r="HD25" s="1303"/>
      <c r="HE25" s="1303"/>
      <c r="HF25" s="1303"/>
      <c r="HG25" s="1303"/>
      <c r="HH25" s="1303"/>
      <c r="HI25" s="1303"/>
      <c r="HJ25" s="1303"/>
      <c r="HK25" s="1303"/>
      <c r="HL25" s="1303"/>
      <c r="HM25" s="1303"/>
      <c r="HN25" s="1303"/>
      <c r="HO25" s="1303"/>
      <c r="HP25" s="1303"/>
      <c r="HQ25" s="1303"/>
      <c r="HR25" s="1303"/>
      <c r="HS25" s="1303"/>
      <c r="HT25" s="1303"/>
      <c r="HU25" s="1303"/>
      <c r="HV25" s="1303"/>
      <c r="HW25" s="1303"/>
      <c r="HX25" s="1303"/>
      <c r="HY25" s="1303"/>
      <c r="HZ25" s="1303"/>
      <c r="IA25" s="1303"/>
      <c r="IB25" s="1303"/>
      <c r="IC25" s="1303"/>
      <c r="ID25" s="1303"/>
      <c r="IE25" s="1303"/>
      <c r="IF25" s="1303"/>
      <c r="IG25" s="1303"/>
      <c r="IH25" s="1303"/>
      <c r="II25" s="1303"/>
      <c r="IJ25" s="1303"/>
      <c r="IK25" s="1303"/>
      <c r="IL25" s="1303"/>
      <c r="IM25" s="1303"/>
      <c r="IN25" s="1303"/>
      <c r="IO25" s="1303"/>
      <c r="IP25" s="1303"/>
      <c r="IQ25" s="1303"/>
      <c r="IR25" s="1303"/>
      <c r="IS25" s="1303"/>
      <c r="IT25" s="1303"/>
      <c r="IU25" s="1303"/>
      <c r="IV25" s="1303"/>
      <c r="IW25" s="1303"/>
      <c r="IX25" s="1303"/>
      <c r="IY25" s="1303"/>
      <c r="IZ25" s="1303"/>
      <c r="JA25" s="1303"/>
      <c r="JB25" s="1303"/>
      <c r="JC25" s="1303"/>
      <c r="JD25" s="1303"/>
      <c r="JE25" s="1303"/>
      <c r="JF25" s="1303"/>
      <c r="JG25" s="1303"/>
      <c r="JH25" s="1303"/>
      <c r="JI25" s="1303"/>
      <c r="JJ25" s="1303"/>
      <c r="JK25" s="1303"/>
      <c r="JL25" s="1303"/>
      <c r="JM25" s="1303"/>
      <c r="JN25" s="1303"/>
      <c r="JO25" s="1303"/>
      <c r="JP25" s="1303"/>
      <c r="JQ25" s="1303"/>
      <c r="JR25" s="1303"/>
      <c r="JS25" s="1303"/>
      <c r="JT25" s="1303"/>
      <c r="JU25" s="1303"/>
      <c r="JV25" s="1303"/>
      <c r="JW25" s="1303"/>
      <c r="JX25" s="1303"/>
      <c r="JY25" s="1303"/>
      <c r="JZ25" s="1303"/>
      <c r="KA25" s="1303"/>
      <c r="KB25" s="1303"/>
      <c r="KC25" s="1303"/>
      <c r="KD25" s="1303"/>
      <c r="KE25" s="1303"/>
      <c r="KF25" s="1303"/>
      <c r="KG25" s="1303"/>
      <c r="KH25" s="1303"/>
      <c r="KI25" s="1303"/>
      <c r="KJ25" s="1303"/>
      <c r="KK25" s="1303"/>
      <c r="KL25" s="1303"/>
      <c r="KM25" s="1303"/>
      <c r="KN25" s="1303"/>
      <c r="KO25" s="1303"/>
      <c r="KP25" s="1303"/>
      <c r="KQ25" s="1303"/>
      <c r="KR25" s="1303"/>
      <c r="KS25" s="1303"/>
      <c r="KT25" s="1303"/>
      <c r="KU25" s="1303"/>
      <c r="KV25" s="1303"/>
      <c r="KW25" s="1303"/>
      <c r="KX25" s="1303"/>
      <c r="KY25" s="1303"/>
      <c r="KZ25" s="1303"/>
      <c r="LA25" s="1303"/>
      <c r="LB25" s="1303"/>
      <c r="LC25" s="1303"/>
      <c r="LD25" s="1303"/>
      <c r="LE25" s="1303"/>
      <c r="LF25" s="1303"/>
      <c r="LG25" s="1303"/>
      <c r="LH25" s="1303"/>
      <c r="LI25" s="1303"/>
      <c r="LJ25" s="1303"/>
      <c r="LK25" s="1303"/>
      <c r="LL25" s="1303"/>
      <c r="LM25" s="1303"/>
      <c r="LN25" s="1303"/>
      <c r="LO25" s="1303"/>
      <c r="LP25" s="1303"/>
      <c r="LQ25" s="1303"/>
      <c r="LR25" s="1303"/>
      <c r="LS25" s="1303"/>
      <c r="LT25" s="1303"/>
      <c r="LU25" s="1303"/>
      <c r="LV25" s="1303"/>
      <c r="LW25" s="1303"/>
      <c r="LX25" s="1303"/>
      <c r="LY25" s="1303"/>
      <c r="LZ25" s="1303"/>
      <c r="MA25" s="1303"/>
      <c r="MB25" s="1303"/>
      <c r="MC25" s="1303"/>
      <c r="MD25" s="1303"/>
      <c r="ME25" s="1303"/>
      <c r="MF25" s="1303"/>
      <c r="MG25" s="1303"/>
      <c r="MH25" s="1303"/>
      <c r="MI25" s="1303"/>
      <c r="MJ25" s="1303"/>
      <c r="MK25" s="1303"/>
      <c r="ML25" s="1303"/>
      <c r="MM25" s="1303"/>
      <c r="MN25" s="1303"/>
      <c r="MO25" s="1303"/>
      <c r="MP25" s="1303"/>
      <c r="MQ25" s="1303"/>
      <c r="MR25" s="1303"/>
      <c r="MS25" s="1303"/>
      <c r="MT25" s="1303"/>
      <c r="MU25" s="1303"/>
      <c r="MV25" s="1303"/>
      <c r="MW25" s="1303"/>
      <c r="MX25" s="1303"/>
      <c r="MY25" s="1303"/>
      <c r="MZ25" s="1303"/>
      <c r="NA25" s="1303"/>
      <c r="NB25" s="1303"/>
      <c r="NC25" s="1303"/>
      <c r="ND25" s="1303"/>
      <c r="NE25" s="1303"/>
      <c r="NF25" s="1303"/>
      <c r="NG25" s="1303"/>
      <c r="NH25" s="1303"/>
      <c r="NI25" s="1303"/>
      <c r="NJ25" s="1303"/>
      <c r="NK25" s="1303"/>
      <c r="NL25" s="1303"/>
      <c r="NM25" s="1303"/>
      <c r="NN25" s="1303"/>
      <c r="NO25" s="1303"/>
      <c r="NP25" s="1303"/>
      <c r="NQ25" s="1303"/>
      <c r="NR25" s="1303"/>
      <c r="NS25" s="1303"/>
      <c r="NT25" s="1303"/>
      <c r="NU25" s="1303"/>
      <c r="NV25" s="1303"/>
      <c r="NW25" s="1303"/>
      <c r="NX25" s="1303"/>
      <c r="NY25" s="1303"/>
      <c r="NZ25" s="1303"/>
      <c r="OA25" s="1303"/>
      <c r="OB25" s="1303"/>
      <c r="OC25" s="1303"/>
      <c r="OD25" s="1303"/>
      <c r="OE25" s="1303"/>
      <c r="OF25" s="1303"/>
      <c r="OG25" s="1303"/>
      <c r="OH25" s="1303"/>
      <c r="OI25" s="1303"/>
      <c r="OJ25" s="1303"/>
      <c r="OK25" s="1303"/>
      <c r="OL25" s="1303"/>
      <c r="OM25" s="1303"/>
      <c r="ON25" s="1303"/>
      <c r="OO25" s="1303"/>
      <c r="OP25" s="1303"/>
      <c r="OQ25" s="1303"/>
      <c r="OR25" s="1303"/>
      <c r="OS25" s="1303"/>
      <c r="OT25" s="1303"/>
      <c r="OU25" s="1303"/>
      <c r="OV25" s="1303"/>
      <c r="OW25" s="1303"/>
      <c r="OX25" s="1303"/>
      <c r="OY25" s="1303"/>
      <c r="OZ25" s="1303"/>
      <c r="PA25" s="1303"/>
      <c r="PB25" s="1303"/>
      <c r="PC25" s="1303"/>
      <c r="PD25" s="1303"/>
      <c r="PE25" s="1303"/>
      <c r="PF25" s="1303"/>
      <c r="PG25" s="1303"/>
      <c r="PH25" s="1303"/>
      <c r="PI25" s="1303"/>
      <c r="PJ25" s="1303"/>
      <c r="PK25" s="1303"/>
      <c r="PL25" s="1303"/>
      <c r="PM25" s="1303"/>
      <c r="PN25" s="1303"/>
      <c r="PO25" s="1303"/>
      <c r="PP25" s="1303"/>
      <c r="PQ25" s="1303"/>
      <c r="PR25" s="1303"/>
      <c r="PS25" s="1303"/>
      <c r="PT25" s="1303"/>
      <c r="PU25" s="1303"/>
      <c r="PV25" s="1303"/>
      <c r="PW25" s="1303"/>
      <c r="PX25" s="1303"/>
      <c r="PY25" s="1303"/>
      <c r="PZ25" s="1303"/>
      <c r="QA25" s="1303"/>
      <c r="QB25" s="1303"/>
      <c r="QC25" s="1303"/>
      <c r="QD25" s="1303"/>
      <c r="QE25" s="1303"/>
      <c r="QF25" s="1303"/>
      <c r="QG25" s="1303"/>
      <c r="QH25" s="1303"/>
      <c r="QI25" s="1303"/>
      <c r="QJ25" s="1303"/>
      <c r="QK25" s="1303"/>
    </row>
    <row r="26" spans="1:453" s="558" customFormat="1">
      <c r="A26" s="680"/>
      <c r="B26" s="680"/>
      <c r="C26" s="2107" t="str">
        <f ca="1">TEXT(HYPERLINK("#"&amp;CELL("address",'Equipment Results Matrix'!A517),'Equipment Results Matrix'!A517),"0,000")</f>
        <v xml:space="preserve">Room AC 
(cooling only, window units only)
</v>
      </c>
      <c r="D26" s="2107"/>
      <c r="E26" s="2107"/>
      <c r="F26" s="2107"/>
      <c r="G26" s="2107"/>
      <c r="H26" s="680"/>
      <c r="I26" s="680"/>
      <c r="J26" s="680"/>
      <c r="K26" s="680"/>
      <c r="L26" s="2107" t="str">
        <f ca="1">TEXT(HYPERLINK("#"&amp;CELL("address",'Equipment + Labor'!A98),"Total installed cost"),"0,000")</f>
        <v>Total installed cost</v>
      </c>
      <c r="M26" s="2107"/>
      <c r="N26" s="2107"/>
      <c r="O26" s="673"/>
      <c r="P26" s="673"/>
      <c r="Q26" s="673"/>
      <c r="R26" s="673"/>
      <c r="S26" s="673"/>
      <c r="T26" s="673"/>
      <c r="U26" s="673"/>
      <c r="V26" s="673"/>
      <c r="W26" s="673"/>
      <c r="X26" s="673"/>
      <c r="Y26" s="673"/>
      <c r="Z26" s="673"/>
      <c r="AA26" s="673"/>
      <c r="AB26" s="673"/>
      <c r="AC26" s="673"/>
      <c r="AD26" s="673"/>
      <c r="AE26" s="673"/>
      <c r="AF26" s="673"/>
      <c r="AG26" s="673"/>
      <c r="AH26" s="673"/>
      <c r="AI26" s="673"/>
      <c r="AJ26" s="673"/>
      <c r="AK26" s="673"/>
      <c r="AL26" s="673"/>
      <c r="AM26" s="673"/>
      <c r="AN26" s="673"/>
      <c r="AO26" s="673"/>
      <c r="AP26" s="673"/>
      <c r="AQ26" s="673"/>
      <c r="AR26" s="673"/>
      <c r="AS26" s="673"/>
      <c r="AT26" s="673"/>
      <c r="AU26" s="673"/>
      <c r="AV26" s="673"/>
      <c r="AW26" s="673"/>
      <c r="AX26" s="673"/>
      <c r="AY26" s="673"/>
      <c r="AZ26" s="673"/>
      <c r="BA26" s="673"/>
      <c r="BB26" s="673"/>
      <c r="BC26" s="673"/>
      <c r="BD26" s="673"/>
      <c r="BE26" s="673"/>
      <c r="BF26" s="673"/>
      <c r="BG26" s="673"/>
      <c r="BH26" s="673"/>
      <c r="BI26" s="673"/>
      <c r="BJ26" s="673"/>
      <c r="BK26" s="673"/>
      <c r="BL26" s="673"/>
      <c r="BM26" s="673"/>
      <c r="BN26" s="673"/>
      <c r="BO26" s="673"/>
      <c r="BP26" s="673"/>
      <c r="BQ26" s="673"/>
      <c r="BR26" s="673"/>
      <c r="BS26" s="673"/>
      <c r="BT26" s="673"/>
      <c r="BU26" s="673"/>
      <c r="BV26" s="673"/>
      <c r="BW26" s="673"/>
      <c r="BX26" s="673"/>
      <c r="BY26" s="673"/>
      <c r="BZ26" s="673"/>
      <c r="CA26" s="673"/>
      <c r="CB26" s="673"/>
      <c r="CC26" s="673"/>
      <c r="CD26" s="673"/>
      <c r="CE26" s="673"/>
      <c r="CF26" s="673"/>
      <c r="CG26" s="673"/>
      <c r="CH26" s="673"/>
      <c r="CI26" s="673"/>
      <c r="CJ26" s="673"/>
      <c r="CK26" s="673"/>
      <c r="CL26" s="673"/>
      <c r="CM26" s="673"/>
      <c r="CN26" s="673"/>
      <c r="CO26" s="673"/>
      <c r="CP26" s="673"/>
      <c r="CQ26" s="673"/>
      <c r="CR26" s="673"/>
      <c r="CS26" s="673"/>
      <c r="CT26" s="673"/>
      <c r="CU26" s="673"/>
      <c r="CV26" s="673"/>
      <c r="CW26" s="673"/>
      <c r="CX26" s="673"/>
      <c r="CY26" s="673"/>
      <c r="CZ26" s="673"/>
      <c r="DA26" s="673"/>
      <c r="DB26" s="673"/>
      <c r="DC26" s="673"/>
      <c r="DD26" s="673"/>
      <c r="DE26" s="673"/>
      <c r="DF26" s="673"/>
      <c r="DG26" s="673"/>
      <c r="DH26" s="673"/>
      <c r="DI26" s="673"/>
      <c r="DJ26" s="673"/>
      <c r="DK26" s="673"/>
      <c r="DL26" s="673"/>
      <c r="DM26" s="673"/>
      <c r="DN26" s="673"/>
      <c r="DO26" s="673"/>
      <c r="DP26" s="673"/>
      <c r="DQ26" s="673"/>
      <c r="DR26" s="673"/>
      <c r="DS26" s="673"/>
      <c r="DT26" s="673"/>
      <c r="DU26" s="673"/>
      <c r="DV26" s="673"/>
      <c r="DW26" s="673"/>
      <c r="DX26" s="673"/>
      <c r="DY26" s="673"/>
      <c r="DZ26" s="673"/>
      <c r="EA26" s="673"/>
      <c r="EB26" s="673"/>
      <c r="EC26" s="673"/>
      <c r="ED26" s="673"/>
      <c r="EE26" s="673"/>
      <c r="EF26" s="673"/>
      <c r="EG26" s="673"/>
      <c r="EH26" s="673"/>
      <c r="EI26" s="673"/>
      <c r="EJ26" s="673"/>
      <c r="EK26" s="673"/>
      <c r="EL26" s="673"/>
      <c r="EM26" s="673"/>
      <c r="EN26" s="673"/>
      <c r="EO26" s="673"/>
      <c r="EP26" s="673"/>
      <c r="EQ26" s="673"/>
      <c r="ER26" s="673"/>
      <c r="ES26" s="673"/>
      <c r="ET26" s="673"/>
      <c r="EU26" s="673"/>
      <c r="EV26" s="673"/>
      <c r="EW26" s="673"/>
      <c r="EX26" s="673"/>
      <c r="EY26" s="673"/>
      <c r="EZ26" s="673"/>
      <c r="FA26" s="673"/>
      <c r="FB26" s="673"/>
      <c r="FC26" s="673"/>
      <c r="FD26" s="673"/>
      <c r="FE26" s="673"/>
      <c r="FF26" s="673"/>
      <c r="FG26" s="673"/>
      <c r="FH26" s="673"/>
      <c r="FI26" s="673"/>
      <c r="FJ26" s="673"/>
      <c r="FK26" s="673"/>
      <c r="FL26" s="673"/>
      <c r="FM26" s="673"/>
      <c r="FN26" s="673"/>
      <c r="FO26" s="673"/>
      <c r="FP26" s="673"/>
      <c r="FQ26" s="673"/>
      <c r="FR26" s="673"/>
      <c r="FS26" s="673"/>
      <c r="FT26" s="673"/>
      <c r="FU26" s="673"/>
      <c r="FV26" s="673"/>
      <c r="FW26" s="673"/>
      <c r="FX26" s="673"/>
      <c r="FY26" s="673"/>
      <c r="FZ26" s="673"/>
      <c r="GA26" s="673"/>
      <c r="GB26" s="673"/>
      <c r="GC26" s="673"/>
      <c r="GD26" s="673"/>
      <c r="GE26" s="673"/>
      <c r="GF26" s="673"/>
      <c r="GG26" s="673"/>
      <c r="GH26" s="673"/>
      <c r="GI26" s="673"/>
      <c r="GJ26" s="673"/>
      <c r="GK26" s="673"/>
      <c r="GL26" s="673"/>
      <c r="GM26" s="673"/>
      <c r="GN26" s="673"/>
      <c r="GO26" s="673"/>
      <c r="GP26" s="673"/>
      <c r="GQ26" s="673"/>
      <c r="GR26" s="673"/>
      <c r="GS26" s="673"/>
      <c r="GT26" s="673"/>
      <c r="GU26" s="673"/>
      <c r="GV26" s="673"/>
      <c r="GW26" s="673"/>
      <c r="GX26" s="673"/>
      <c r="GY26" s="673"/>
      <c r="GZ26" s="673"/>
      <c r="HA26" s="673"/>
      <c r="HB26" s="673"/>
      <c r="HC26" s="673"/>
      <c r="HD26" s="673"/>
      <c r="HE26" s="673"/>
      <c r="HF26" s="673"/>
      <c r="HG26" s="673"/>
      <c r="HH26" s="673"/>
      <c r="HI26" s="673"/>
      <c r="HJ26" s="673"/>
      <c r="HK26" s="673"/>
      <c r="HL26" s="673"/>
      <c r="HM26" s="673"/>
      <c r="HN26" s="673"/>
      <c r="HO26" s="673"/>
      <c r="HP26" s="673"/>
      <c r="HQ26" s="673"/>
      <c r="HR26" s="673"/>
      <c r="HS26" s="673"/>
      <c r="HT26" s="673"/>
      <c r="HU26" s="673"/>
      <c r="HV26" s="673"/>
      <c r="HW26" s="673"/>
      <c r="HX26" s="673"/>
      <c r="HY26" s="673"/>
      <c r="HZ26" s="673"/>
      <c r="IA26" s="673"/>
      <c r="IB26" s="673"/>
      <c r="IC26" s="673"/>
      <c r="ID26" s="673"/>
      <c r="IE26" s="673"/>
      <c r="IF26" s="673"/>
      <c r="IG26" s="673"/>
      <c r="IH26" s="673"/>
      <c r="II26" s="673"/>
      <c r="IJ26" s="673"/>
      <c r="IK26" s="673"/>
      <c r="IL26" s="673"/>
      <c r="IM26" s="673"/>
      <c r="IN26" s="673"/>
      <c r="IO26" s="673"/>
      <c r="IP26" s="673"/>
      <c r="IQ26" s="673"/>
      <c r="IR26" s="673"/>
      <c r="IS26" s="673"/>
      <c r="IT26" s="673"/>
      <c r="IU26" s="673"/>
      <c r="IV26" s="673"/>
      <c r="IW26" s="673"/>
      <c r="IX26" s="673"/>
      <c r="IY26" s="673"/>
      <c r="IZ26" s="673"/>
      <c r="JA26" s="673"/>
      <c r="JB26" s="673"/>
      <c r="JC26" s="673"/>
      <c r="JD26" s="673"/>
      <c r="JE26" s="673"/>
      <c r="JF26" s="673"/>
      <c r="JG26" s="673"/>
      <c r="JH26" s="673"/>
      <c r="JI26" s="673"/>
      <c r="JJ26" s="673"/>
      <c r="JK26" s="673"/>
      <c r="JL26" s="673"/>
      <c r="JM26" s="673"/>
      <c r="JN26" s="673"/>
      <c r="JO26" s="673"/>
      <c r="JP26" s="673"/>
      <c r="JQ26" s="673"/>
      <c r="JR26" s="673"/>
      <c r="JS26" s="673"/>
      <c r="JT26" s="673"/>
      <c r="JU26" s="673"/>
      <c r="JV26" s="673"/>
      <c r="JW26" s="673"/>
      <c r="JX26" s="673"/>
      <c r="JY26" s="673"/>
      <c r="JZ26" s="673"/>
      <c r="KA26" s="673"/>
      <c r="KB26" s="673"/>
      <c r="KC26" s="673"/>
      <c r="KD26" s="673"/>
      <c r="KE26" s="673"/>
      <c r="KF26" s="673"/>
      <c r="KG26" s="673"/>
      <c r="KH26" s="673"/>
      <c r="KI26" s="673"/>
      <c r="KJ26" s="673"/>
      <c r="KK26" s="673"/>
      <c r="KL26" s="673"/>
      <c r="KM26" s="673"/>
      <c r="KN26" s="673"/>
      <c r="KO26" s="673"/>
      <c r="KP26" s="673"/>
      <c r="KQ26" s="673"/>
      <c r="KR26" s="673"/>
      <c r="KS26" s="673"/>
      <c r="KT26" s="673"/>
      <c r="KU26" s="673"/>
      <c r="KV26" s="673"/>
      <c r="KW26" s="673"/>
      <c r="KX26" s="673"/>
      <c r="KY26" s="673"/>
      <c r="KZ26" s="673"/>
      <c r="LA26" s="673"/>
      <c r="LB26" s="673"/>
      <c r="LC26" s="673"/>
      <c r="LD26" s="673"/>
      <c r="LE26" s="673"/>
      <c r="LF26" s="673"/>
      <c r="LG26" s="673"/>
      <c r="LH26" s="673"/>
      <c r="LI26" s="673"/>
      <c r="LJ26" s="673"/>
      <c r="LK26" s="673"/>
      <c r="LL26" s="673"/>
      <c r="LM26" s="673"/>
      <c r="LN26" s="673"/>
      <c r="LO26" s="673"/>
      <c r="LP26" s="673"/>
      <c r="LQ26" s="673"/>
      <c r="LR26" s="673"/>
      <c r="LS26" s="673"/>
      <c r="LT26" s="673"/>
      <c r="LU26" s="673"/>
      <c r="LV26" s="673"/>
      <c r="LW26" s="673"/>
      <c r="LX26" s="673"/>
      <c r="LY26" s="673"/>
      <c r="LZ26" s="673"/>
      <c r="MA26" s="673"/>
      <c r="MB26" s="673"/>
      <c r="MC26" s="673"/>
      <c r="MD26" s="673"/>
      <c r="ME26" s="673"/>
      <c r="MF26" s="673"/>
      <c r="MG26" s="673"/>
      <c r="MH26" s="673"/>
      <c r="MI26" s="673"/>
      <c r="MJ26" s="673"/>
      <c r="MK26" s="673"/>
      <c r="ML26" s="673"/>
      <c r="MM26" s="673"/>
      <c r="MN26" s="673"/>
      <c r="MO26" s="673"/>
      <c r="MP26" s="673"/>
      <c r="MQ26" s="673"/>
      <c r="MR26" s="673"/>
      <c r="MS26" s="673"/>
      <c r="MT26" s="673"/>
      <c r="MU26" s="673"/>
      <c r="MV26" s="673"/>
      <c r="MW26" s="673"/>
      <c r="MX26" s="673"/>
      <c r="MY26" s="673"/>
      <c r="MZ26" s="673"/>
      <c r="NA26" s="673"/>
      <c r="NB26" s="673"/>
      <c r="NC26" s="673"/>
      <c r="ND26" s="673"/>
      <c r="NE26" s="673"/>
      <c r="NF26" s="673"/>
      <c r="NG26" s="673"/>
      <c r="NH26" s="673"/>
      <c r="NI26" s="673"/>
      <c r="NJ26" s="673"/>
      <c r="NK26" s="673"/>
      <c r="NL26" s="673"/>
      <c r="NM26" s="673"/>
      <c r="NN26" s="673"/>
      <c r="NO26" s="673"/>
      <c r="NP26" s="673"/>
      <c r="NQ26" s="673"/>
      <c r="NR26" s="673"/>
      <c r="NS26" s="673"/>
      <c r="NT26" s="673"/>
      <c r="NU26" s="673"/>
      <c r="NV26" s="673"/>
      <c r="NW26" s="673"/>
      <c r="NX26" s="673"/>
      <c r="NY26" s="673"/>
      <c r="NZ26" s="673"/>
      <c r="OA26" s="673"/>
      <c r="OB26" s="673"/>
      <c r="OC26" s="673"/>
      <c r="OD26" s="673"/>
      <c r="OE26" s="673"/>
      <c r="OF26" s="673"/>
      <c r="OG26" s="673"/>
      <c r="OH26" s="673"/>
      <c r="OI26" s="673"/>
      <c r="OJ26" s="673"/>
      <c r="OK26" s="673"/>
      <c r="OL26" s="673"/>
      <c r="OM26" s="673"/>
      <c r="ON26" s="673"/>
      <c r="OO26" s="673"/>
      <c r="OP26" s="673"/>
      <c r="OQ26" s="673"/>
      <c r="OR26" s="673"/>
      <c r="OS26" s="673"/>
      <c r="OT26" s="673"/>
      <c r="OU26" s="673"/>
      <c r="OV26" s="673"/>
      <c r="OW26" s="673"/>
      <c r="OX26" s="673"/>
      <c r="OY26" s="673"/>
      <c r="OZ26" s="673"/>
      <c r="PA26" s="673"/>
      <c r="PB26" s="673"/>
      <c r="PC26" s="673"/>
      <c r="PD26" s="673"/>
      <c r="PE26" s="673"/>
      <c r="PF26" s="673"/>
      <c r="PG26" s="673"/>
      <c r="PH26" s="673"/>
      <c r="PI26" s="673"/>
      <c r="PJ26" s="673"/>
      <c r="PK26" s="673"/>
      <c r="PL26" s="673"/>
      <c r="PM26" s="673"/>
      <c r="PN26" s="673"/>
      <c r="PO26" s="673"/>
      <c r="PP26" s="673"/>
      <c r="PQ26" s="673"/>
      <c r="PR26" s="673"/>
      <c r="PS26" s="673"/>
      <c r="PT26" s="673"/>
      <c r="PU26" s="673"/>
      <c r="PV26" s="673"/>
      <c r="PW26" s="673"/>
      <c r="PX26" s="673"/>
      <c r="PY26" s="673"/>
      <c r="PZ26" s="673"/>
      <c r="QA26" s="673"/>
      <c r="QB26" s="673"/>
      <c r="QC26" s="673"/>
      <c r="QD26" s="673"/>
      <c r="QE26" s="673"/>
      <c r="QF26" s="673"/>
      <c r="QG26" s="673"/>
      <c r="QH26" s="673"/>
      <c r="QI26" s="673"/>
      <c r="QJ26" s="673"/>
      <c r="QK26" s="673"/>
    </row>
    <row r="27" spans="1:453" s="558" customFormat="1">
      <c r="A27" s="680"/>
      <c r="B27" s="680"/>
      <c r="C27" s="2107" t="str">
        <f ca="1">TEXT(HYPERLINK("#"&amp;CELL("address",'Equipment Results Matrix'!A534),'Equipment Results Matrix'!A534),"0,000")</f>
        <v>Whole House Fans</v>
      </c>
      <c r="D27" s="2107"/>
      <c r="E27" s="2107"/>
      <c r="F27" s="2107"/>
      <c r="G27" s="2107"/>
      <c r="H27" s="680"/>
      <c r="I27" s="680"/>
      <c r="J27" s="1525" t="str">
        <f ca="1">TEXT(HYPERLINK("#"&amp;CELL("address",'Labor Results Matrix'!A5),"Labor"),"0,000")</f>
        <v>Labor</v>
      </c>
      <c r="K27" s="1525"/>
      <c r="L27" s="2107" t="str">
        <f ca="1">TEXT(HYPERLINK("#"&amp;CELL("address",'Equipment + Labor'!A180),"Total installed cost"),"0,000")</f>
        <v>Total installed cost</v>
      </c>
      <c r="M27" s="2107"/>
      <c r="N27" s="2107"/>
      <c r="O27" s="673"/>
      <c r="P27" s="673"/>
      <c r="Q27" s="673"/>
      <c r="R27" s="673"/>
      <c r="S27" s="673"/>
      <c r="T27" s="673"/>
      <c r="U27" s="673"/>
      <c r="V27" s="673"/>
      <c r="W27" s="673"/>
      <c r="X27" s="673"/>
      <c r="Y27" s="673"/>
      <c r="Z27" s="673"/>
      <c r="AA27" s="673"/>
      <c r="AB27" s="673"/>
      <c r="AC27" s="673"/>
      <c r="AD27" s="673"/>
      <c r="AE27" s="673"/>
      <c r="AF27" s="673"/>
      <c r="AG27" s="673"/>
      <c r="AH27" s="673"/>
      <c r="AI27" s="673"/>
      <c r="AJ27" s="673"/>
      <c r="AK27" s="673"/>
      <c r="AL27" s="673"/>
      <c r="AM27" s="673"/>
      <c r="AN27" s="673"/>
      <c r="AO27" s="673"/>
      <c r="AP27" s="673"/>
      <c r="AQ27" s="673"/>
      <c r="AR27" s="673"/>
      <c r="AS27" s="673"/>
      <c r="AT27" s="673"/>
      <c r="AU27" s="673"/>
      <c r="AV27" s="673"/>
      <c r="AW27" s="673"/>
      <c r="AX27" s="673"/>
      <c r="AY27" s="673"/>
      <c r="AZ27" s="673"/>
      <c r="BA27" s="673"/>
      <c r="BB27" s="673"/>
      <c r="BC27" s="673"/>
      <c r="BD27" s="673"/>
      <c r="BE27" s="673"/>
      <c r="BF27" s="673"/>
      <c r="BG27" s="673"/>
      <c r="BH27" s="673"/>
      <c r="BI27" s="673"/>
      <c r="BJ27" s="673"/>
      <c r="BK27" s="673"/>
      <c r="BL27" s="673"/>
      <c r="BM27" s="673"/>
      <c r="BN27" s="673"/>
      <c r="BO27" s="673"/>
      <c r="BP27" s="673"/>
      <c r="BQ27" s="673"/>
      <c r="BR27" s="673"/>
      <c r="BS27" s="673"/>
      <c r="BT27" s="673"/>
      <c r="BU27" s="673"/>
      <c r="BV27" s="673"/>
      <c r="BW27" s="673"/>
      <c r="BX27" s="673"/>
      <c r="BY27" s="673"/>
      <c r="BZ27" s="673"/>
      <c r="CA27" s="673"/>
      <c r="CB27" s="673"/>
      <c r="CC27" s="673"/>
      <c r="CD27" s="673"/>
      <c r="CE27" s="673"/>
      <c r="CF27" s="673"/>
      <c r="CG27" s="673"/>
      <c r="CH27" s="673"/>
      <c r="CI27" s="673"/>
      <c r="CJ27" s="673"/>
      <c r="CK27" s="673"/>
      <c r="CL27" s="673"/>
      <c r="CM27" s="673"/>
      <c r="CN27" s="673"/>
      <c r="CO27" s="673"/>
      <c r="CP27" s="673"/>
      <c r="CQ27" s="673"/>
      <c r="CR27" s="673"/>
      <c r="CS27" s="673"/>
      <c r="CT27" s="673"/>
      <c r="CU27" s="673"/>
      <c r="CV27" s="673"/>
      <c r="CW27" s="673"/>
      <c r="CX27" s="673"/>
      <c r="CY27" s="673"/>
      <c r="CZ27" s="673"/>
      <c r="DA27" s="673"/>
      <c r="DB27" s="673"/>
      <c r="DC27" s="673"/>
      <c r="DD27" s="673"/>
      <c r="DE27" s="673"/>
      <c r="DF27" s="673"/>
      <c r="DG27" s="673"/>
      <c r="DH27" s="673"/>
      <c r="DI27" s="673"/>
      <c r="DJ27" s="673"/>
      <c r="DK27" s="673"/>
      <c r="DL27" s="673"/>
      <c r="DM27" s="673"/>
      <c r="DN27" s="673"/>
      <c r="DO27" s="673"/>
      <c r="DP27" s="673"/>
      <c r="DQ27" s="673"/>
      <c r="DR27" s="673"/>
      <c r="DS27" s="673"/>
      <c r="DT27" s="673"/>
      <c r="DU27" s="673"/>
      <c r="DV27" s="673"/>
      <c r="DW27" s="673"/>
      <c r="DX27" s="673"/>
      <c r="DY27" s="673"/>
      <c r="DZ27" s="673"/>
      <c r="EA27" s="673"/>
      <c r="EB27" s="673"/>
      <c r="EC27" s="673"/>
      <c r="ED27" s="673"/>
      <c r="EE27" s="673"/>
      <c r="EF27" s="673"/>
      <c r="EG27" s="673"/>
      <c r="EH27" s="673"/>
      <c r="EI27" s="673"/>
      <c r="EJ27" s="673"/>
      <c r="EK27" s="673"/>
      <c r="EL27" s="673"/>
      <c r="EM27" s="673"/>
      <c r="EN27" s="673"/>
      <c r="EO27" s="673"/>
      <c r="EP27" s="673"/>
      <c r="EQ27" s="673"/>
      <c r="ER27" s="673"/>
      <c r="ES27" s="673"/>
      <c r="ET27" s="673"/>
      <c r="EU27" s="673"/>
      <c r="EV27" s="673"/>
      <c r="EW27" s="673"/>
      <c r="EX27" s="673"/>
      <c r="EY27" s="673"/>
      <c r="EZ27" s="673"/>
      <c r="FA27" s="673"/>
      <c r="FB27" s="673"/>
      <c r="FC27" s="673"/>
      <c r="FD27" s="673"/>
      <c r="FE27" s="673"/>
      <c r="FF27" s="673"/>
      <c r="FG27" s="673"/>
      <c r="FH27" s="673"/>
      <c r="FI27" s="673"/>
      <c r="FJ27" s="673"/>
      <c r="FK27" s="673"/>
      <c r="FL27" s="673"/>
      <c r="FM27" s="673"/>
      <c r="FN27" s="673"/>
      <c r="FO27" s="673"/>
      <c r="FP27" s="673"/>
      <c r="FQ27" s="673"/>
      <c r="FR27" s="673"/>
      <c r="FS27" s="673"/>
      <c r="FT27" s="673"/>
      <c r="FU27" s="673"/>
      <c r="FV27" s="673"/>
      <c r="FW27" s="673"/>
      <c r="FX27" s="673"/>
      <c r="FY27" s="673"/>
      <c r="FZ27" s="673"/>
      <c r="GA27" s="673"/>
      <c r="GB27" s="673"/>
      <c r="GC27" s="673"/>
      <c r="GD27" s="673"/>
      <c r="GE27" s="673"/>
      <c r="GF27" s="673"/>
      <c r="GG27" s="673"/>
      <c r="GH27" s="673"/>
      <c r="GI27" s="673"/>
      <c r="GJ27" s="673"/>
      <c r="GK27" s="673"/>
      <c r="GL27" s="673"/>
      <c r="GM27" s="673"/>
      <c r="GN27" s="673"/>
      <c r="GO27" s="673"/>
      <c r="GP27" s="673"/>
      <c r="GQ27" s="673"/>
      <c r="GR27" s="673"/>
      <c r="GS27" s="673"/>
      <c r="GT27" s="673"/>
      <c r="GU27" s="673"/>
      <c r="GV27" s="673"/>
      <c r="GW27" s="673"/>
      <c r="GX27" s="673"/>
      <c r="GY27" s="673"/>
      <c r="GZ27" s="673"/>
      <c r="HA27" s="673"/>
      <c r="HB27" s="673"/>
      <c r="HC27" s="673"/>
      <c r="HD27" s="673"/>
      <c r="HE27" s="673"/>
      <c r="HF27" s="673"/>
      <c r="HG27" s="673"/>
      <c r="HH27" s="673"/>
      <c r="HI27" s="673"/>
      <c r="HJ27" s="673"/>
      <c r="HK27" s="673"/>
      <c r="HL27" s="673"/>
      <c r="HM27" s="673"/>
      <c r="HN27" s="673"/>
      <c r="HO27" s="673"/>
      <c r="HP27" s="673"/>
      <c r="HQ27" s="673"/>
      <c r="HR27" s="673"/>
      <c r="HS27" s="673"/>
      <c r="HT27" s="673"/>
      <c r="HU27" s="673"/>
      <c r="HV27" s="673"/>
      <c r="HW27" s="673"/>
      <c r="HX27" s="673"/>
      <c r="HY27" s="673"/>
      <c r="HZ27" s="673"/>
      <c r="IA27" s="673"/>
      <c r="IB27" s="673"/>
      <c r="IC27" s="673"/>
      <c r="ID27" s="673"/>
      <c r="IE27" s="673"/>
      <c r="IF27" s="673"/>
      <c r="IG27" s="673"/>
      <c r="IH27" s="673"/>
      <c r="II27" s="673"/>
      <c r="IJ27" s="673"/>
      <c r="IK27" s="673"/>
      <c r="IL27" s="673"/>
      <c r="IM27" s="673"/>
      <c r="IN27" s="673"/>
      <c r="IO27" s="673"/>
      <c r="IP27" s="673"/>
      <c r="IQ27" s="673"/>
      <c r="IR27" s="673"/>
      <c r="IS27" s="673"/>
      <c r="IT27" s="673"/>
      <c r="IU27" s="673"/>
      <c r="IV27" s="673"/>
      <c r="IW27" s="673"/>
      <c r="IX27" s="673"/>
      <c r="IY27" s="673"/>
      <c r="IZ27" s="673"/>
      <c r="JA27" s="673"/>
      <c r="JB27" s="673"/>
      <c r="JC27" s="673"/>
      <c r="JD27" s="673"/>
      <c r="JE27" s="673"/>
      <c r="JF27" s="673"/>
      <c r="JG27" s="673"/>
      <c r="JH27" s="673"/>
      <c r="JI27" s="673"/>
      <c r="JJ27" s="673"/>
      <c r="JK27" s="673"/>
      <c r="JL27" s="673"/>
      <c r="JM27" s="673"/>
      <c r="JN27" s="673"/>
      <c r="JO27" s="673"/>
      <c r="JP27" s="673"/>
      <c r="JQ27" s="673"/>
      <c r="JR27" s="673"/>
      <c r="JS27" s="673"/>
      <c r="JT27" s="673"/>
      <c r="JU27" s="673"/>
      <c r="JV27" s="673"/>
      <c r="JW27" s="673"/>
      <c r="JX27" s="673"/>
      <c r="JY27" s="673"/>
      <c r="JZ27" s="673"/>
      <c r="KA27" s="673"/>
      <c r="KB27" s="673"/>
      <c r="KC27" s="673"/>
      <c r="KD27" s="673"/>
      <c r="KE27" s="673"/>
      <c r="KF27" s="673"/>
      <c r="KG27" s="673"/>
      <c r="KH27" s="673"/>
      <c r="KI27" s="673"/>
      <c r="KJ27" s="673"/>
      <c r="KK27" s="673"/>
      <c r="KL27" s="673"/>
      <c r="KM27" s="673"/>
      <c r="KN27" s="673"/>
      <c r="KO27" s="673"/>
      <c r="KP27" s="673"/>
      <c r="KQ27" s="673"/>
      <c r="KR27" s="673"/>
      <c r="KS27" s="673"/>
      <c r="KT27" s="673"/>
      <c r="KU27" s="673"/>
      <c r="KV27" s="673"/>
      <c r="KW27" s="673"/>
      <c r="KX27" s="673"/>
      <c r="KY27" s="673"/>
      <c r="KZ27" s="673"/>
      <c r="LA27" s="673"/>
      <c r="LB27" s="673"/>
      <c r="LC27" s="673"/>
      <c r="LD27" s="673"/>
      <c r="LE27" s="673"/>
      <c r="LF27" s="673"/>
      <c r="LG27" s="673"/>
      <c r="LH27" s="673"/>
      <c r="LI27" s="673"/>
      <c r="LJ27" s="673"/>
      <c r="LK27" s="673"/>
      <c r="LL27" s="673"/>
      <c r="LM27" s="673"/>
      <c r="LN27" s="673"/>
      <c r="LO27" s="673"/>
      <c r="LP27" s="673"/>
      <c r="LQ27" s="673"/>
      <c r="LR27" s="673"/>
      <c r="LS27" s="673"/>
      <c r="LT27" s="673"/>
      <c r="LU27" s="673"/>
      <c r="LV27" s="673"/>
      <c r="LW27" s="673"/>
      <c r="LX27" s="673"/>
      <c r="LY27" s="673"/>
      <c r="LZ27" s="673"/>
      <c r="MA27" s="673"/>
      <c r="MB27" s="673"/>
      <c r="MC27" s="673"/>
      <c r="MD27" s="673"/>
      <c r="ME27" s="673"/>
      <c r="MF27" s="673"/>
      <c r="MG27" s="673"/>
      <c r="MH27" s="673"/>
      <c r="MI27" s="673"/>
      <c r="MJ27" s="673"/>
      <c r="MK27" s="673"/>
      <c r="ML27" s="673"/>
      <c r="MM27" s="673"/>
      <c r="MN27" s="673"/>
      <c r="MO27" s="673"/>
      <c r="MP27" s="673"/>
      <c r="MQ27" s="673"/>
      <c r="MR27" s="673"/>
      <c r="MS27" s="673"/>
      <c r="MT27" s="673"/>
      <c r="MU27" s="673"/>
      <c r="MV27" s="673"/>
      <c r="MW27" s="673"/>
      <c r="MX27" s="673"/>
      <c r="MY27" s="673"/>
      <c r="MZ27" s="673"/>
      <c r="NA27" s="673"/>
      <c r="NB27" s="673"/>
      <c r="NC27" s="673"/>
      <c r="ND27" s="673"/>
      <c r="NE27" s="673"/>
      <c r="NF27" s="673"/>
      <c r="NG27" s="673"/>
      <c r="NH27" s="673"/>
      <c r="NI27" s="673"/>
      <c r="NJ27" s="673"/>
      <c r="NK27" s="673"/>
      <c r="NL27" s="673"/>
      <c r="NM27" s="673"/>
      <c r="NN27" s="673"/>
      <c r="NO27" s="673"/>
      <c r="NP27" s="673"/>
      <c r="NQ27" s="673"/>
      <c r="NR27" s="673"/>
      <c r="NS27" s="673"/>
      <c r="NT27" s="673"/>
      <c r="NU27" s="673"/>
      <c r="NV27" s="673"/>
      <c r="NW27" s="673"/>
      <c r="NX27" s="673"/>
      <c r="NY27" s="673"/>
      <c r="NZ27" s="673"/>
      <c r="OA27" s="673"/>
      <c r="OB27" s="673"/>
      <c r="OC27" s="673"/>
      <c r="OD27" s="673"/>
      <c r="OE27" s="673"/>
      <c r="OF27" s="673"/>
      <c r="OG27" s="673"/>
      <c r="OH27" s="673"/>
      <c r="OI27" s="673"/>
      <c r="OJ27" s="673"/>
      <c r="OK27" s="673"/>
      <c r="OL27" s="673"/>
      <c r="OM27" s="673"/>
      <c r="ON27" s="673"/>
      <c r="OO27" s="673"/>
      <c r="OP27" s="673"/>
      <c r="OQ27" s="673"/>
      <c r="OR27" s="673"/>
      <c r="OS27" s="673"/>
      <c r="OT27" s="673"/>
      <c r="OU27" s="673"/>
      <c r="OV27" s="673"/>
      <c r="OW27" s="673"/>
      <c r="OX27" s="673"/>
      <c r="OY27" s="673"/>
      <c r="OZ27" s="673"/>
      <c r="PA27" s="673"/>
      <c r="PB27" s="673"/>
      <c r="PC27" s="673"/>
      <c r="PD27" s="673"/>
      <c r="PE27" s="673"/>
      <c r="PF27" s="673"/>
      <c r="PG27" s="673"/>
      <c r="PH27" s="673"/>
      <c r="PI27" s="673"/>
      <c r="PJ27" s="673"/>
      <c r="PK27" s="673"/>
      <c r="PL27" s="673"/>
      <c r="PM27" s="673"/>
      <c r="PN27" s="673"/>
      <c r="PO27" s="673"/>
      <c r="PP27" s="673"/>
      <c r="PQ27" s="673"/>
      <c r="PR27" s="673"/>
      <c r="PS27" s="673"/>
      <c r="PT27" s="673"/>
      <c r="PU27" s="673"/>
      <c r="PV27" s="673"/>
      <c r="PW27" s="673"/>
      <c r="PX27" s="673"/>
      <c r="PY27" s="673"/>
      <c r="PZ27" s="673"/>
      <c r="QA27" s="673"/>
      <c r="QB27" s="673"/>
      <c r="QC27" s="673"/>
      <c r="QD27" s="673"/>
      <c r="QE27" s="673"/>
      <c r="QF27" s="673"/>
      <c r="QG27" s="673"/>
      <c r="QH27" s="673"/>
      <c r="QI27" s="673"/>
      <c r="QJ27" s="673"/>
      <c r="QK27" s="673"/>
    </row>
    <row r="28" spans="1:453" s="558" customFormat="1">
      <c r="A28" s="680"/>
      <c r="B28" s="680"/>
      <c r="C28" s="2107" t="str">
        <f ca="1">TEXT(HYPERLINK("#"&amp;CELL("address",'Equipment Results Matrix'!A545),'Equipment Results Matrix'!A545),"0,000")</f>
        <v>Gas Furnaces 
(residential)</v>
      </c>
      <c r="D28" s="2107"/>
      <c r="E28" s="2107"/>
      <c r="F28" s="2107"/>
      <c r="G28" s="2107"/>
      <c r="H28" s="680"/>
      <c r="I28" s="680"/>
      <c r="J28" s="1525" t="str">
        <f ca="1">TEXT(HYPERLINK("#"&amp;CELL("address",'Labor Results Matrix'!A16),"Labor"),"0,000")</f>
        <v>Labor</v>
      </c>
      <c r="K28" s="1525"/>
      <c r="L28" s="2107" t="str">
        <f ca="1">TEXT(HYPERLINK("#"&amp;CELL("address",'Equipment + Labor'!A109),"Total installed cost"),"0,000")</f>
        <v>Total installed cost</v>
      </c>
      <c r="M28" s="2107"/>
      <c r="N28" s="2107"/>
      <c r="O28" s="673"/>
      <c r="P28" s="673"/>
      <c r="Q28" s="673"/>
      <c r="R28" s="673"/>
      <c r="S28" s="673"/>
      <c r="T28" s="673"/>
      <c r="U28" s="673"/>
      <c r="V28" s="673"/>
      <c r="W28" s="673"/>
      <c r="X28" s="673"/>
      <c r="Y28" s="673"/>
      <c r="Z28" s="673"/>
      <c r="AA28" s="673"/>
      <c r="AB28" s="673"/>
      <c r="AC28" s="673"/>
      <c r="AD28" s="673"/>
      <c r="AE28" s="673"/>
      <c r="AF28" s="673"/>
      <c r="AG28" s="673"/>
      <c r="AH28" s="673"/>
      <c r="AI28" s="673"/>
      <c r="AJ28" s="673"/>
      <c r="AK28" s="673"/>
      <c r="AL28" s="673"/>
      <c r="AM28" s="673"/>
      <c r="AN28" s="673"/>
      <c r="AO28" s="673"/>
      <c r="AP28" s="673"/>
      <c r="AQ28" s="673"/>
      <c r="AR28" s="673"/>
      <c r="AS28" s="673"/>
      <c r="AT28" s="673"/>
      <c r="AU28" s="673"/>
      <c r="AV28" s="673"/>
      <c r="AW28" s="673"/>
      <c r="AX28" s="673"/>
      <c r="AY28" s="673"/>
      <c r="AZ28" s="673"/>
      <c r="BA28" s="673"/>
      <c r="BB28" s="673"/>
      <c r="BC28" s="673"/>
      <c r="BD28" s="673"/>
      <c r="BE28" s="673"/>
      <c r="BF28" s="673"/>
      <c r="BG28" s="673"/>
      <c r="BH28" s="673"/>
      <c r="BI28" s="673"/>
      <c r="BJ28" s="673"/>
      <c r="BK28" s="673"/>
      <c r="BL28" s="673"/>
      <c r="BM28" s="673"/>
      <c r="BN28" s="673"/>
      <c r="BO28" s="673"/>
      <c r="BP28" s="673"/>
      <c r="BQ28" s="673"/>
      <c r="BR28" s="673"/>
      <c r="BS28" s="673"/>
      <c r="BT28" s="673"/>
      <c r="BU28" s="673"/>
      <c r="BV28" s="673"/>
      <c r="BW28" s="673"/>
      <c r="BX28" s="673"/>
      <c r="BY28" s="673"/>
      <c r="BZ28" s="673"/>
      <c r="CA28" s="673"/>
      <c r="CB28" s="673"/>
      <c r="CC28" s="673"/>
      <c r="CD28" s="673"/>
      <c r="CE28" s="673"/>
      <c r="CF28" s="673"/>
      <c r="CG28" s="673"/>
      <c r="CH28" s="673"/>
      <c r="CI28" s="673"/>
      <c r="CJ28" s="673"/>
      <c r="CK28" s="673"/>
      <c r="CL28" s="673"/>
      <c r="CM28" s="673"/>
      <c r="CN28" s="673"/>
      <c r="CO28" s="673"/>
      <c r="CP28" s="673"/>
      <c r="CQ28" s="673"/>
      <c r="CR28" s="673"/>
      <c r="CS28" s="673"/>
      <c r="CT28" s="673"/>
      <c r="CU28" s="673"/>
      <c r="CV28" s="673"/>
      <c r="CW28" s="673"/>
      <c r="CX28" s="673"/>
      <c r="CY28" s="673"/>
      <c r="CZ28" s="673"/>
      <c r="DA28" s="673"/>
      <c r="DB28" s="673"/>
      <c r="DC28" s="673"/>
      <c r="DD28" s="673"/>
      <c r="DE28" s="673"/>
      <c r="DF28" s="673"/>
      <c r="DG28" s="673"/>
      <c r="DH28" s="673"/>
      <c r="DI28" s="673"/>
      <c r="DJ28" s="673"/>
      <c r="DK28" s="673"/>
      <c r="DL28" s="673"/>
      <c r="DM28" s="673"/>
      <c r="DN28" s="673"/>
      <c r="DO28" s="673"/>
      <c r="DP28" s="673"/>
      <c r="DQ28" s="673"/>
      <c r="DR28" s="673"/>
      <c r="DS28" s="673"/>
      <c r="DT28" s="673"/>
      <c r="DU28" s="673"/>
      <c r="DV28" s="673"/>
      <c r="DW28" s="673"/>
      <c r="DX28" s="673"/>
      <c r="DY28" s="673"/>
      <c r="DZ28" s="673"/>
      <c r="EA28" s="673"/>
      <c r="EB28" s="673"/>
      <c r="EC28" s="673"/>
      <c r="ED28" s="673"/>
      <c r="EE28" s="673"/>
      <c r="EF28" s="673"/>
      <c r="EG28" s="673"/>
      <c r="EH28" s="673"/>
      <c r="EI28" s="673"/>
      <c r="EJ28" s="673"/>
      <c r="EK28" s="673"/>
      <c r="EL28" s="673"/>
      <c r="EM28" s="673"/>
      <c r="EN28" s="673"/>
      <c r="EO28" s="673"/>
      <c r="EP28" s="673"/>
      <c r="EQ28" s="673"/>
      <c r="ER28" s="673"/>
      <c r="ES28" s="673"/>
      <c r="ET28" s="673"/>
      <c r="EU28" s="673"/>
      <c r="EV28" s="673"/>
      <c r="EW28" s="673"/>
      <c r="EX28" s="673"/>
      <c r="EY28" s="673"/>
      <c r="EZ28" s="673"/>
      <c r="FA28" s="673"/>
      <c r="FB28" s="673"/>
      <c r="FC28" s="673"/>
      <c r="FD28" s="673"/>
      <c r="FE28" s="673"/>
      <c r="FF28" s="673"/>
      <c r="FG28" s="673"/>
      <c r="FH28" s="673"/>
      <c r="FI28" s="673"/>
      <c r="FJ28" s="673"/>
      <c r="FK28" s="673"/>
      <c r="FL28" s="673"/>
      <c r="FM28" s="673"/>
      <c r="FN28" s="673"/>
      <c r="FO28" s="673"/>
      <c r="FP28" s="673"/>
      <c r="FQ28" s="673"/>
      <c r="FR28" s="673"/>
      <c r="FS28" s="673"/>
      <c r="FT28" s="673"/>
      <c r="FU28" s="673"/>
      <c r="FV28" s="673"/>
      <c r="FW28" s="673"/>
      <c r="FX28" s="673"/>
      <c r="FY28" s="673"/>
      <c r="FZ28" s="673"/>
      <c r="GA28" s="673"/>
      <c r="GB28" s="673"/>
      <c r="GC28" s="673"/>
      <c r="GD28" s="673"/>
      <c r="GE28" s="673"/>
      <c r="GF28" s="673"/>
      <c r="GG28" s="673"/>
      <c r="GH28" s="673"/>
      <c r="GI28" s="673"/>
      <c r="GJ28" s="673"/>
      <c r="GK28" s="673"/>
      <c r="GL28" s="673"/>
      <c r="GM28" s="673"/>
      <c r="GN28" s="673"/>
      <c r="GO28" s="673"/>
      <c r="GP28" s="673"/>
      <c r="GQ28" s="673"/>
      <c r="GR28" s="673"/>
      <c r="GS28" s="673"/>
      <c r="GT28" s="673"/>
      <c r="GU28" s="673"/>
      <c r="GV28" s="673"/>
      <c r="GW28" s="673"/>
      <c r="GX28" s="673"/>
      <c r="GY28" s="673"/>
      <c r="GZ28" s="673"/>
      <c r="HA28" s="673"/>
      <c r="HB28" s="673"/>
      <c r="HC28" s="673"/>
      <c r="HD28" s="673"/>
      <c r="HE28" s="673"/>
      <c r="HF28" s="673"/>
      <c r="HG28" s="673"/>
      <c r="HH28" s="673"/>
      <c r="HI28" s="673"/>
      <c r="HJ28" s="673"/>
      <c r="HK28" s="673"/>
      <c r="HL28" s="673"/>
      <c r="HM28" s="673"/>
      <c r="HN28" s="673"/>
      <c r="HO28" s="673"/>
      <c r="HP28" s="673"/>
      <c r="HQ28" s="673"/>
      <c r="HR28" s="673"/>
      <c r="HS28" s="673"/>
      <c r="HT28" s="673"/>
      <c r="HU28" s="673"/>
      <c r="HV28" s="673"/>
      <c r="HW28" s="673"/>
      <c r="HX28" s="673"/>
      <c r="HY28" s="673"/>
      <c r="HZ28" s="673"/>
      <c r="IA28" s="673"/>
      <c r="IB28" s="673"/>
      <c r="IC28" s="673"/>
      <c r="ID28" s="673"/>
      <c r="IE28" s="673"/>
      <c r="IF28" s="673"/>
      <c r="IG28" s="673"/>
      <c r="IH28" s="673"/>
      <c r="II28" s="673"/>
      <c r="IJ28" s="673"/>
      <c r="IK28" s="673"/>
      <c r="IL28" s="673"/>
      <c r="IM28" s="673"/>
      <c r="IN28" s="673"/>
      <c r="IO28" s="673"/>
      <c r="IP28" s="673"/>
      <c r="IQ28" s="673"/>
      <c r="IR28" s="673"/>
      <c r="IS28" s="673"/>
      <c r="IT28" s="673"/>
      <c r="IU28" s="673"/>
      <c r="IV28" s="673"/>
      <c r="IW28" s="673"/>
      <c r="IX28" s="673"/>
      <c r="IY28" s="673"/>
      <c r="IZ28" s="673"/>
      <c r="JA28" s="673"/>
      <c r="JB28" s="673"/>
      <c r="JC28" s="673"/>
      <c r="JD28" s="673"/>
      <c r="JE28" s="673"/>
      <c r="JF28" s="673"/>
      <c r="JG28" s="673"/>
      <c r="JH28" s="673"/>
      <c r="JI28" s="673"/>
      <c r="JJ28" s="673"/>
      <c r="JK28" s="673"/>
      <c r="JL28" s="673"/>
      <c r="JM28" s="673"/>
      <c r="JN28" s="673"/>
      <c r="JO28" s="673"/>
      <c r="JP28" s="673"/>
      <c r="JQ28" s="673"/>
      <c r="JR28" s="673"/>
      <c r="JS28" s="673"/>
      <c r="JT28" s="673"/>
      <c r="JU28" s="673"/>
      <c r="JV28" s="673"/>
      <c r="JW28" s="673"/>
      <c r="JX28" s="673"/>
      <c r="JY28" s="673"/>
      <c r="JZ28" s="673"/>
      <c r="KA28" s="673"/>
      <c r="KB28" s="673"/>
      <c r="KC28" s="673"/>
      <c r="KD28" s="673"/>
      <c r="KE28" s="673"/>
      <c r="KF28" s="673"/>
      <c r="KG28" s="673"/>
      <c r="KH28" s="673"/>
      <c r="KI28" s="673"/>
      <c r="KJ28" s="673"/>
      <c r="KK28" s="673"/>
      <c r="KL28" s="673"/>
      <c r="KM28" s="673"/>
      <c r="KN28" s="673"/>
      <c r="KO28" s="673"/>
      <c r="KP28" s="673"/>
      <c r="KQ28" s="673"/>
      <c r="KR28" s="673"/>
      <c r="KS28" s="673"/>
      <c r="KT28" s="673"/>
      <c r="KU28" s="673"/>
      <c r="KV28" s="673"/>
      <c r="KW28" s="673"/>
      <c r="KX28" s="673"/>
      <c r="KY28" s="673"/>
      <c r="KZ28" s="673"/>
      <c r="LA28" s="673"/>
      <c r="LB28" s="673"/>
      <c r="LC28" s="673"/>
      <c r="LD28" s="673"/>
      <c r="LE28" s="673"/>
      <c r="LF28" s="673"/>
      <c r="LG28" s="673"/>
      <c r="LH28" s="673"/>
      <c r="LI28" s="673"/>
      <c r="LJ28" s="673"/>
      <c r="LK28" s="673"/>
      <c r="LL28" s="673"/>
      <c r="LM28" s="673"/>
      <c r="LN28" s="673"/>
      <c r="LO28" s="673"/>
      <c r="LP28" s="673"/>
      <c r="LQ28" s="673"/>
      <c r="LR28" s="673"/>
      <c r="LS28" s="673"/>
      <c r="LT28" s="673"/>
      <c r="LU28" s="673"/>
      <c r="LV28" s="673"/>
      <c r="LW28" s="673"/>
      <c r="LX28" s="673"/>
      <c r="LY28" s="673"/>
      <c r="LZ28" s="673"/>
      <c r="MA28" s="673"/>
      <c r="MB28" s="673"/>
      <c r="MC28" s="673"/>
      <c r="MD28" s="673"/>
      <c r="ME28" s="673"/>
      <c r="MF28" s="673"/>
      <c r="MG28" s="673"/>
      <c r="MH28" s="673"/>
      <c r="MI28" s="673"/>
      <c r="MJ28" s="673"/>
      <c r="MK28" s="673"/>
      <c r="ML28" s="673"/>
      <c r="MM28" s="673"/>
      <c r="MN28" s="673"/>
      <c r="MO28" s="673"/>
      <c r="MP28" s="673"/>
      <c r="MQ28" s="673"/>
      <c r="MR28" s="673"/>
      <c r="MS28" s="673"/>
      <c r="MT28" s="673"/>
      <c r="MU28" s="673"/>
      <c r="MV28" s="673"/>
      <c r="MW28" s="673"/>
      <c r="MX28" s="673"/>
      <c r="MY28" s="673"/>
      <c r="MZ28" s="673"/>
      <c r="NA28" s="673"/>
      <c r="NB28" s="673"/>
      <c r="NC28" s="673"/>
      <c r="ND28" s="673"/>
      <c r="NE28" s="673"/>
      <c r="NF28" s="673"/>
      <c r="NG28" s="673"/>
      <c r="NH28" s="673"/>
      <c r="NI28" s="673"/>
      <c r="NJ28" s="673"/>
      <c r="NK28" s="673"/>
      <c r="NL28" s="673"/>
      <c r="NM28" s="673"/>
      <c r="NN28" s="673"/>
      <c r="NO28" s="673"/>
      <c r="NP28" s="673"/>
      <c r="NQ28" s="673"/>
      <c r="NR28" s="673"/>
      <c r="NS28" s="673"/>
      <c r="NT28" s="673"/>
      <c r="NU28" s="673"/>
      <c r="NV28" s="673"/>
      <c r="NW28" s="673"/>
      <c r="NX28" s="673"/>
      <c r="NY28" s="673"/>
      <c r="NZ28" s="673"/>
      <c r="OA28" s="673"/>
      <c r="OB28" s="673"/>
      <c r="OC28" s="673"/>
      <c r="OD28" s="673"/>
      <c r="OE28" s="673"/>
      <c r="OF28" s="673"/>
      <c r="OG28" s="673"/>
      <c r="OH28" s="673"/>
      <c r="OI28" s="673"/>
      <c r="OJ28" s="673"/>
      <c r="OK28" s="673"/>
      <c r="OL28" s="673"/>
      <c r="OM28" s="673"/>
      <c r="ON28" s="673"/>
      <c r="OO28" s="673"/>
      <c r="OP28" s="673"/>
      <c r="OQ28" s="673"/>
      <c r="OR28" s="673"/>
      <c r="OS28" s="673"/>
      <c r="OT28" s="673"/>
      <c r="OU28" s="673"/>
      <c r="OV28" s="673"/>
      <c r="OW28" s="673"/>
      <c r="OX28" s="673"/>
      <c r="OY28" s="673"/>
      <c r="OZ28" s="673"/>
      <c r="PA28" s="673"/>
      <c r="PB28" s="673"/>
      <c r="PC28" s="673"/>
      <c r="PD28" s="673"/>
      <c r="PE28" s="673"/>
      <c r="PF28" s="673"/>
      <c r="PG28" s="673"/>
      <c r="PH28" s="673"/>
      <c r="PI28" s="673"/>
      <c r="PJ28" s="673"/>
      <c r="PK28" s="673"/>
      <c r="PL28" s="673"/>
      <c r="PM28" s="673"/>
      <c r="PN28" s="673"/>
      <c r="PO28" s="673"/>
      <c r="PP28" s="673"/>
      <c r="PQ28" s="673"/>
      <c r="PR28" s="673"/>
      <c r="PS28" s="673"/>
      <c r="PT28" s="673"/>
      <c r="PU28" s="673"/>
      <c r="PV28" s="673"/>
      <c r="PW28" s="673"/>
      <c r="PX28" s="673"/>
      <c r="PY28" s="673"/>
      <c r="PZ28" s="673"/>
      <c r="QA28" s="673"/>
      <c r="QB28" s="673"/>
      <c r="QC28" s="673"/>
      <c r="QD28" s="673"/>
      <c r="QE28" s="673"/>
      <c r="QF28" s="673"/>
      <c r="QG28" s="673"/>
      <c r="QH28" s="673"/>
      <c r="QI28" s="673"/>
      <c r="QJ28" s="673"/>
      <c r="QK28" s="673"/>
    </row>
    <row r="29" spans="1:453" s="558" customFormat="1">
      <c r="A29" s="680"/>
      <c r="B29" s="680"/>
      <c r="C29" s="2107" t="str">
        <f ca="1">TEXT(HYPERLINK("#"&amp;CELL("address",'Equipment Results Matrix'!A557),'Equipment Results Matrix'!A557),"0,000")</f>
        <v>Split-System HP 
(residential and commerical)</v>
      </c>
      <c r="D29" s="2107"/>
      <c r="E29" s="2107"/>
      <c r="F29" s="2107"/>
      <c r="G29" s="2107"/>
      <c r="H29" s="680"/>
      <c r="I29" s="680"/>
      <c r="J29" s="1525" t="str">
        <f ca="1">TEXT(HYPERLINK("#"&amp;CELL("address",'Labor Results Matrix'!A28),"Labor"),"0,000")</f>
        <v>Labor</v>
      </c>
      <c r="K29" s="1525"/>
      <c r="L29" s="2107" t="str">
        <f ca="1">TEXT(HYPERLINK("#"&amp;CELL("address",'Equipment + Labor'!A134),"Total installed cost"),"0,000")</f>
        <v>Total installed cost</v>
      </c>
      <c r="M29" s="2107"/>
      <c r="N29" s="2107"/>
      <c r="O29" s="673"/>
      <c r="P29" s="673"/>
      <c r="Q29" s="673"/>
      <c r="R29" s="673"/>
      <c r="S29" s="673"/>
      <c r="T29" s="673"/>
      <c r="U29" s="673"/>
      <c r="V29" s="673"/>
      <c r="W29" s="673"/>
      <c r="X29" s="673"/>
      <c r="Y29" s="673"/>
      <c r="Z29" s="673"/>
      <c r="AA29" s="673"/>
      <c r="AB29" s="673"/>
      <c r="AC29" s="673"/>
      <c r="AD29" s="673"/>
      <c r="AE29" s="673"/>
      <c r="AF29" s="673"/>
      <c r="AG29" s="673"/>
      <c r="AH29" s="673"/>
      <c r="AI29" s="673"/>
      <c r="AJ29" s="673"/>
      <c r="AK29" s="673"/>
      <c r="AL29" s="673"/>
      <c r="AM29" s="673"/>
      <c r="AN29" s="673"/>
      <c r="AO29" s="673"/>
      <c r="AP29" s="673"/>
      <c r="AQ29" s="673"/>
      <c r="AR29" s="673"/>
      <c r="AS29" s="673"/>
      <c r="AT29" s="673"/>
      <c r="AU29" s="673"/>
      <c r="AV29" s="673"/>
      <c r="AW29" s="673"/>
      <c r="AX29" s="673"/>
      <c r="AY29" s="673"/>
      <c r="AZ29" s="673"/>
      <c r="BA29" s="673"/>
      <c r="BB29" s="673"/>
      <c r="BC29" s="673"/>
      <c r="BD29" s="673"/>
      <c r="BE29" s="673"/>
      <c r="BF29" s="673"/>
      <c r="BG29" s="673"/>
      <c r="BH29" s="673"/>
      <c r="BI29" s="673"/>
      <c r="BJ29" s="673"/>
      <c r="BK29" s="673"/>
      <c r="BL29" s="673"/>
      <c r="BM29" s="673"/>
      <c r="BN29" s="673"/>
      <c r="BO29" s="673"/>
      <c r="BP29" s="673"/>
      <c r="BQ29" s="673"/>
      <c r="BR29" s="673"/>
      <c r="BS29" s="673"/>
      <c r="BT29" s="673"/>
      <c r="BU29" s="673"/>
      <c r="BV29" s="673"/>
      <c r="BW29" s="673"/>
      <c r="BX29" s="673"/>
      <c r="BY29" s="673"/>
      <c r="BZ29" s="673"/>
      <c r="CA29" s="673"/>
      <c r="CB29" s="673"/>
      <c r="CC29" s="673"/>
      <c r="CD29" s="673"/>
      <c r="CE29" s="673"/>
      <c r="CF29" s="673"/>
      <c r="CG29" s="673"/>
      <c r="CH29" s="673"/>
      <c r="CI29" s="673"/>
      <c r="CJ29" s="673"/>
      <c r="CK29" s="673"/>
      <c r="CL29" s="673"/>
      <c r="CM29" s="673"/>
      <c r="CN29" s="673"/>
      <c r="CO29" s="673"/>
      <c r="CP29" s="673"/>
      <c r="CQ29" s="673"/>
      <c r="CR29" s="673"/>
      <c r="CS29" s="673"/>
      <c r="CT29" s="673"/>
      <c r="CU29" s="673"/>
      <c r="CV29" s="673"/>
      <c r="CW29" s="673"/>
      <c r="CX29" s="673"/>
      <c r="CY29" s="673"/>
      <c r="CZ29" s="673"/>
      <c r="DA29" s="673"/>
      <c r="DB29" s="673"/>
      <c r="DC29" s="673"/>
      <c r="DD29" s="673"/>
      <c r="DE29" s="673"/>
      <c r="DF29" s="673"/>
      <c r="DG29" s="673"/>
      <c r="DH29" s="673"/>
      <c r="DI29" s="673"/>
      <c r="DJ29" s="673"/>
      <c r="DK29" s="673"/>
      <c r="DL29" s="673"/>
      <c r="DM29" s="673"/>
      <c r="DN29" s="673"/>
      <c r="DO29" s="673"/>
      <c r="DP29" s="673"/>
      <c r="DQ29" s="673"/>
      <c r="DR29" s="673"/>
      <c r="DS29" s="673"/>
      <c r="DT29" s="673"/>
      <c r="DU29" s="673"/>
      <c r="DV29" s="673"/>
      <c r="DW29" s="673"/>
      <c r="DX29" s="673"/>
      <c r="DY29" s="673"/>
      <c r="DZ29" s="673"/>
      <c r="EA29" s="673"/>
      <c r="EB29" s="673"/>
      <c r="EC29" s="673"/>
      <c r="ED29" s="673"/>
      <c r="EE29" s="673"/>
      <c r="EF29" s="673"/>
      <c r="EG29" s="673"/>
      <c r="EH29" s="673"/>
      <c r="EI29" s="673"/>
      <c r="EJ29" s="673"/>
      <c r="EK29" s="673"/>
      <c r="EL29" s="673"/>
      <c r="EM29" s="673"/>
      <c r="EN29" s="673"/>
      <c r="EO29" s="673"/>
      <c r="EP29" s="673"/>
      <c r="EQ29" s="673"/>
      <c r="ER29" s="673"/>
      <c r="ES29" s="673"/>
      <c r="ET29" s="673"/>
      <c r="EU29" s="673"/>
      <c r="EV29" s="673"/>
      <c r="EW29" s="673"/>
      <c r="EX29" s="673"/>
      <c r="EY29" s="673"/>
      <c r="EZ29" s="673"/>
      <c r="FA29" s="673"/>
      <c r="FB29" s="673"/>
      <c r="FC29" s="673"/>
      <c r="FD29" s="673"/>
      <c r="FE29" s="673"/>
      <c r="FF29" s="673"/>
      <c r="FG29" s="673"/>
      <c r="FH29" s="673"/>
      <c r="FI29" s="673"/>
      <c r="FJ29" s="673"/>
      <c r="FK29" s="673"/>
      <c r="FL29" s="673"/>
      <c r="FM29" s="673"/>
      <c r="FN29" s="673"/>
      <c r="FO29" s="673"/>
      <c r="FP29" s="673"/>
      <c r="FQ29" s="673"/>
      <c r="FR29" s="673"/>
      <c r="FS29" s="673"/>
      <c r="FT29" s="673"/>
      <c r="FU29" s="673"/>
      <c r="FV29" s="673"/>
      <c r="FW29" s="673"/>
      <c r="FX29" s="673"/>
      <c r="FY29" s="673"/>
      <c r="FZ29" s="673"/>
      <c r="GA29" s="673"/>
      <c r="GB29" s="673"/>
      <c r="GC29" s="673"/>
      <c r="GD29" s="673"/>
      <c r="GE29" s="673"/>
      <c r="GF29" s="673"/>
      <c r="GG29" s="673"/>
      <c r="GH29" s="673"/>
      <c r="GI29" s="673"/>
      <c r="GJ29" s="673"/>
      <c r="GK29" s="673"/>
      <c r="GL29" s="673"/>
      <c r="GM29" s="673"/>
      <c r="GN29" s="673"/>
      <c r="GO29" s="673"/>
      <c r="GP29" s="673"/>
      <c r="GQ29" s="673"/>
      <c r="GR29" s="673"/>
      <c r="GS29" s="673"/>
      <c r="GT29" s="673"/>
      <c r="GU29" s="673"/>
      <c r="GV29" s="673"/>
      <c r="GW29" s="673"/>
      <c r="GX29" s="673"/>
      <c r="GY29" s="673"/>
      <c r="GZ29" s="673"/>
      <c r="HA29" s="673"/>
      <c r="HB29" s="673"/>
      <c r="HC29" s="673"/>
      <c r="HD29" s="673"/>
      <c r="HE29" s="673"/>
      <c r="HF29" s="673"/>
      <c r="HG29" s="673"/>
      <c r="HH29" s="673"/>
      <c r="HI29" s="673"/>
      <c r="HJ29" s="673"/>
      <c r="HK29" s="673"/>
      <c r="HL29" s="673"/>
      <c r="HM29" s="673"/>
      <c r="HN29" s="673"/>
      <c r="HO29" s="673"/>
      <c r="HP29" s="673"/>
      <c r="HQ29" s="673"/>
      <c r="HR29" s="673"/>
      <c r="HS29" s="673"/>
      <c r="HT29" s="673"/>
      <c r="HU29" s="673"/>
      <c r="HV29" s="673"/>
      <c r="HW29" s="673"/>
      <c r="HX29" s="673"/>
      <c r="HY29" s="673"/>
      <c r="HZ29" s="673"/>
      <c r="IA29" s="673"/>
      <c r="IB29" s="673"/>
      <c r="IC29" s="673"/>
      <c r="ID29" s="673"/>
      <c r="IE29" s="673"/>
      <c r="IF29" s="673"/>
      <c r="IG29" s="673"/>
      <c r="IH29" s="673"/>
      <c r="II29" s="673"/>
      <c r="IJ29" s="673"/>
      <c r="IK29" s="673"/>
      <c r="IL29" s="673"/>
      <c r="IM29" s="673"/>
      <c r="IN29" s="673"/>
      <c r="IO29" s="673"/>
      <c r="IP29" s="673"/>
      <c r="IQ29" s="673"/>
      <c r="IR29" s="673"/>
      <c r="IS29" s="673"/>
      <c r="IT29" s="673"/>
      <c r="IU29" s="673"/>
      <c r="IV29" s="673"/>
      <c r="IW29" s="673"/>
      <c r="IX29" s="673"/>
      <c r="IY29" s="673"/>
      <c r="IZ29" s="673"/>
      <c r="JA29" s="673"/>
      <c r="JB29" s="673"/>
      <c r="JC29" s="673"/>
      <c r="JD29" s="673"/>
      <c r="JE29" s="673"/>
      <c r="JF29" s="673"/>
      <c r="JG29" s="673"/>
      <c r="JH29" s="673"/>
      <c r="JI29" s="673"/>
      <c r="JJ29" s="673"/>
      <c r="JK29" s="673"/>
      <c r="JL29" s="673"/>
      <c r="JM29" s="673"/>
      <c r="JN29" s="673"/>
      <c r="JO29" s="673"/>
      <c r="JP29" s="673"/>
      <c r="JQ29" s="673"/>
      <c r="JR29" s="673"/>
      <c r="JS29" s="673"/>
      <c r="JT29" s="673"/>
      <c r="JU29" s="673"/>
      <c r="JV29" s="673"/>
      <c r="JW29" s="673"/>
      <c r="JX29" s="673"/>
      <c r="JY29" s="673"/>
      <c r="JZ29" s="673"/>
      <c r="KA29" s="673"/>
      <c r="KB29" s="673"/>
      <c r="KC29" s="673"/>
      <c r="KD29" s="673"/>
      <c r="KE29" s="673"/>
      <c r="KF29" s="673"/>
      <c r="KG29" s="673"/>
      <c r="KH29" s="673"/>
      <c r="KI29" s="673"/>
      <c r="KJ29" s="673"/>
      <c r="KK29" s="673"/>
      <c r="KL29" s="673"/>
      <c r="KM29" s="673"/>
      <c r="KN29" s="673"/>
      <c r="KO29" s="673"/>
      <c r="KP29" s="673"/>
      <c r="KQ29" s="673"/>
      <c r="KR29" s="673"/>
      <c r="KS29" s="673"/>
      <c r="KT29" s="673"/>
      <c r="KU29" s="673"/>
      <c r="KV29" s="673"/>
      <c r="KW29" s="673"/>
      <c r="KX29" s="673"/>
      <c r="KY29" s="673"/>
      <c r="KZ29" s="673"/>
      <c r="LA29" s="673"/>
      <c r="LB29" s="673"/>
      <c r="LC29" s="673"/>
      <c r="LD29" s="673"/>
      <c r="LE29" s="673"/>
      <c r="LF29" s="673"/>
      <c r="LG29" s="673"/>
      <c r="LH29" s="673"/>
      <c r="LI29" s="673"/>
      <c r="LJ29" s="673"/>
      <c r="LK29" s="673"/>
      <c r="LL29" s="673"/>
      <c r="LM29" s="673"/>
      <c r="LN29" s="673"/>
      <c r="LO29" s="673"/>
      <c r="LP29" s="673"/>
      <c r="LQ29" s="673"/>
      <c r="LR29" s="673"/>
      <c r="LS29" s="673"/>
      <c r="LT29" s="673"/>
      <c r="LU29" s="673"/>
      <c r="LV29" s="673"/>
      <c r="LW29" s="673"/>
      <c r="LX29" s="673"/>
      <c r="LY29" s="673"/>
      <c r="LZ29" s="673"/>
      <c r="MA29" s="673"/>
      <c r="MB29" s="673"/>
      <c r="MC29" s="673"/>
      <c r="MD29" s="673"/>
      <c r="ME29" s="673"/>
      <c r="MF29" s="673"/>
      <c r="MG29" s="673"/>
      <c r="MH29" s="673"/>
      <c r="MI29" s="673"/>
      <c r="MJ29" s="673"/>
      <c r="MK29" s="673"/>
      <c r="ML29" s="673"/>
      <c r="MM29" s="673"/>
      <c r="MN29" s="673"/>
      <c r="MO29" s="673"/>
      <c r="MP29" s="673"/>
      <c r="MQ29" s="673"/>
      <c r="MR29" s="673"/>
      <c r="MS29" s="673"/>
      <c r="MT29" s="673"/>
      <c r="MU29" s="673"/>
      <c r="MV29" s="673"/>
      <c r="MW29" s="673"/>
      <c r="MX29" s="673"/>
      <c r="MY29" s="673"/>
      <c r="MZ29" s="673"/>
      <c r="NA29" s="673"/>
      <c r="NB29" s="673"/>
      <c r="NC29" s="673"/>
      <c r="ND29" s="673"/>
      <c r="NE29" s="673"/>
      <c r="NF29" s="673"/>
      <c r="NG29" s="673"/>
      <c r="NH29" s="673"/>
      <c r="NI29" s="673"/>
      <c r="NJ29" s="673"/>
      <c r="NK29" s="673"/>
      <c r="NL29" s="673"/>
      <c r="NM29" s="673"/>
      <c r="NN29" s="673"/>
      <c r="NO29" s="673"/>
      <c r="NP29" s="673"/>
      <c r="NQ29" s="673"/>
      <c r="NR29" s="673"/>
      <c r="NS29" s="673"/>
      <c r="NT29" s="673"/>
      <c r="NU29" s="673"/>
      <c r="NV29" s="673"/>
      <c r="NW29" s="673"/>
      <c r="NX29" s="673"/>
      <c r="NY29" s="673"/>
      <c r="NZ29" s="673"/>
      <c r="OA29" s="673"/>
      <c r="OB29" s="673"/>
      <c r="OC29" s="673"/>
      <c r="OD29" s="673"/>
      <c r="OE29" s="673"/>
      <c r="OF29" s="673"/>
      <c r="OG29" s="673"/>
      <c r="OH29" s="673"/>
      <c r="OI29" s="673"/>
      <c r="OJ29" s="673"/>
      <c r="OK29" s="673"/>
      <c r="OL29" s="673"/>
      <c r="OM29" s="673"/>
      <c r="ON29" s="673"/>
      <c r="OO29" s="673"/>
      <c r="OP29" s="673"/>
      <c r="OQ29" s="673"/>
      <c r="OR29" s="673"/>
      <c r="OS29" s="673"/>
      <c r="OT29" s="673"/>
      <c r="OU29" s="673"/>
      <c r="OV29" s="673"/>
      <c r="OW29" s="673"/>
      <c r="OX29" s="673"/>
      <c r="OY29" s="673"/>
      <c r="OZ29" s="673"/>
      <c r="PA29" s="673"/>
      <c r="PB29" s="673"/>
      <c r="PC29" s="673"/>
      <c r="PD29" s="673"/>
      <c r="PE29" s="673"/>
      <c r="PF29" s="673"/>
      <c r="PG29" s="673"/>
      <c r="PH29" s="673"/>
      <c r="PI29" s="673"/>
      <c r="PJ29" s="673"/>
      <c r="PK29" s="673"/>
      <c r="PL29" s="673"/>
      <c r="PM29" s="673"/>
      <c r="PN29" s="673"/>
      <c r="PO29" s="673"/>
      <c r="PP29" s="673"/>
      <c r="PQ29" s="673"/>
      <c r="PR29" s="673"/>
      <c r="PS29" s="673"/>
      <c r="PT29" s="673"/>
      <c r="PU29" s="673"/>
      <c r="PV29" s="673"/>
      <c r="PW29" s="673"/>
      <c r="PX29" s="673"/>
      <c r="PY29" s="673"/>
      <c r="PZ29" s="673"/>
      <c r="QA29" s="673"/>
      <c r="QB29" s="673"/>
      <c r="QC29" s="673"/>
      <c r="QD29" s="673"/>
      <c r="QE29" s="673"/>
      <c r="QF29" s="673"/>
      <c r="QG29" s="673"/>
      <c r="QH29" s="673"/>
      <c r="QI29" s="673"/>
      <c r="QJ29" s="673"/>
      <c r="QK29" s="673"/>
    </row>
    <row r="30" spans="1:453" s="558" customFormat="1" ht="15" customHeight="1">
      <c r="A30" s="680"/>
      <c r="B30" s="680"/>
      <c r="C30" s="2107" t="str">
        <f ca="1">TEXT(HYPERLINK("#"&amp;CELL("address",'Equipment Results Matrix'!A576),'Equipment Results Matrix'!A576),"0,000")</f>
        <v>Split-System DX 
(residential and commerical)</v>
      </c>
      <c r="D30" s="2107"/>
      <c r="E30" s="2107"/>
      <c r="F30" s="2107"/>
      <c r="G30" s="2107"/>
      <c r="H30" s="680"/>
      <c r="I30" s="680"/>
      <c r="J30" s="1525" t="str">
        <f ca="1">TEXT(HYPERLINK("#"&amp;CELL("address",'Labor Results Matrix'!A48),"Labor"),"0,000")</f>
        <v>Labor</v>
      </c>
      <c r="K30" s="1525"/>
      <c r="L30" s="2107" t="str">
        <f ca="1">TEXT(HYPERLINK("#"&amp;CELL("address",'Equipment + Labor'!A152),"Total installed cost"),"0,000")</f>
        <v>Total installed cost</v>
      </c>
      <c r="M30" s="2107"/>
      <c r="N30" s="2107"/>
      <c r="O30" s="673"/>
      <c r="P30" s="673"/>
      <c r="Q30" s="673"/>
      <c r="R30" s="673"/>
      <c r="S30" s="673"/>
      <c r="T30" s="673"/>
      <c r="U30" s="673"/>
      <c r="V30" s="673"/>
      <c r="W30" s="673"/>
      <c r="X30" s="673"/>
      <c r="Y30" s="673"/>
      <c r="Z30" s="673"/>
      <c r="AA30" s="673"/>
      <c r="AB30" s="673"/>
      <c r="AC30" s="673"/>
      <c r="AD30" s="673"/>
      <c r="AE30" s="673"/>
      <c r="AF30" s="673"/>
      <c r="AG30" s="673"/>
      <c r="AH30" s="673"/>
      <c r="AI30" s="673"/>
      <c r="AJ30" s="673"/>
      <c r="AK30" s="673"/>
      <c r="AL30" s="673"/>
      <c r="AM30" s="673"/>
      <c r="AN30" s="673"/>
      <c r="AO30" s="673"/>
      <c r="AP30" s="673"/>
      <c r="AQ30" s="673"/>
      <c r="AR30" s="673"/>
      <c r="AS30" s="673"/>
      <c r="AT30" s="673"/>
      <c r="AU30" s="673"/>
      <c r="AV30" s="673"/>
      <c r="AW30" s="673"/>
      <c r="AX30" s="673"/>
      <c r="AY30" s="673"/>
      <c r="AZ30" s="673"/>
      <c r="BA30" s="673"/>
      <c r="BB30" s="673"/>
      <c r="BC30" s="673"/>
      <c r="BD30" s="673"/>
      <c r="BE30" s="673"/>
      <c r="BF30" s="673"/>
      <c r="BG30" s="673"/>
      <c r="BH30" s="673"/>
      <c r="BI30" s="673"/>
      <c r="BJ30" s="673"/>
      <c r="BK30" s="673"/>
      <c r="BL30" s="673"/>
      <c r="BM30" s="673"/>
      <c r="BN30" s="673"/>
      <c r="BO30" s="673"/>
      <c r="BP30" s="673"/>
      <c r="BQ30" s="673"/>
      <c r="BR30" s="673"/>
      <c r="BS30" s="673"/>
      <c r="BT30" s="673"/>
      <c r="BU30" s="673"/>
      <c r="BV30" s="673"/>
      <c r="BW30" s="673"/>
      <c r="BX30" s="673"/>
      <c r="BY30" s="673"/>
      <c r="BZ30" s="673"/>
      <c r="CA30" s="673"/>
      <c r="CB30" s="673"/>
      <c r="CC30" s="673"/>
      <c r="CD30" s="673"/>
      <c r="CE30" s="673"/>
      <c r="CF30" s="673"/>
      <c r="CG30" s="673"/>
      <c r="CH30" s="673"/>
      <c r="CI30" s="673"/>
      <c r="CJ30" s="673"/>
      <c r="CK30" s="673"/>
      <c r="CL30" s="673"/>
      <c r="CM30" s="673"/>
      <c r="CN30" s="673"/>
      <c r="CO30" s="673"/>
      <c r="CP30" s="673"/>
      <c r="CQ30" s="673"/>
      <c r="CR30" s="673"/>
      <c r="CS30" s="673"/>
      <c r="CT30" s="673"/>
      <c r="CU30" s="673"/>
      <c r="CV30" s="673"/>
      <c r="CW30" s="673"/>
      <c r="CX30" s="673"/>
      <c r="CY30" s="673"/>
      <c r="CZ30" s="673"/>
      <c r="DA30" s="673"/>
      <c r="DB30" s="673"/>
      <c r="DC30" s="673"/>
      <c r="DD30" s="673"/>
      <c r="DE30" s="673"/>
      <c r="DF30" s="673"/>
      <c r="DG30" s="673"/>
      <c r="DH30" s="673"/>
      <c r="DI30" s="673"/>
      <c r="DJ30" s="673"/>
      <c r="DK30" s="673"/>
      <c r="DL30" s="673"/>
      <c r="DM30" s="673"/>
      <c r="DN30" s="673"/>
      <c r="DO30" s="673"/>
      <c r="DP30" s="673"/>
      <c r="DQ30" s="673"/>
      <c r="DR30" s="673"/>
      <c r="DS30" s="673"/>
      <c r="DT30" s="673"/>
      <c r="DU30" s="673"/>
      <c r="DV30" s="673"/>
      <c r="DW30" s="673"/>
      <c r="DX30" s="673"/>
      <c r="DY30" s="673"/>
      <c r="DZ30" s="673"/>
      <c r="EA30" s="673"/>
      <c r="EB30" s="673"/>
      <c r="EC30" s="673"/>
      <c r="ED30" s="673"/>
      <c r="EE30" s="673"/>
      <c r="EF30" s="673"/>
      <c r="EG30" s="673"/>
      <c r="EH30" s="673"/>
      <c r="EI30" s="673"/>
      <c r="EJ30" s="673"/>
      <c r="EK30" s="673"/>
      <c r="EL30" s="673"/>
      <c r="EM30" s="673"/>
      <c r="EN30" s="673"/>
      <c r="EO30" s="673"/>
      <c r="EP30" s="673"/>
      <c r="EQ30" s="673"/>
      <c r="ER30" s="673"/>
      <c r="ES30" s="673"/>
      <c r="ET30" s="673"/>
      <c r="EU30" s="673"/>
      <c r="EV30" s="673"/>
      <c r="EW30" s="673"/>
      <c r="EX30" s="673"/>
      <c r="EY30" s="673"/>
      <c r="EZ30" s="673"/>
      <c r="FA30" s="673"/>
      <c r="FB30" s="673"/>
      <c r="FC30" s="673"/>
      <c r="FD30" s="673"/>
      <c r="FE30" s="673"/>
      <c r="FF30" s="673"/>
      <c r="FG30" s="673"/>
      <c r="FH30" s="673"/>
      <c r="FI30" s="673"/>
      <c r="FJ30" s="673"/>
      <c r="FK30" s="673"/>
      <c r="FL30" s="673"/>
      <c r="FM30" s="673"/>
      <c r="FN30" s="673"/>
      <c r="FO30" s="673"/>
      <c r="FP30" s="673"/>
      <c r="FQ30" s="673"/>
      <c r="FR30" s="673"/>
      <c r="FS30" s="673"/>
      <c r="FT30" s="673"/>
      <c r="FU30" s="673"/>
      <c r="FV30" s="673"/>
      <c r="FW30" s="673"/>
      <c r="FX30" s="673"/>
      <c r="FY30" s="673"/>
      <c r="FZ30" s="673"/>
      <c r="GA30" s="673"/>
      <c r="GB30" s="673"/>
      <c r="GC30" s="673"/>
      <c r="GD30" s="673"/>
      <c r="GE30" s="673"/>
      <c r="GF30" s="673"/>
      <c r="GG30" s="673"/>
      <c r="GH30" s="673"/>
      <c r="GI30" s="673"/>
      <c r="GJ30" s="673"/>
      <c r="GK30" s="673"/>
      <c r="GL30" s="673"/>
      <c r="GM30" s="673"/>
      <c r="GN30" s="673"/>
      <c r="GO30" s="673"/>
      <c r="GP30" s="673"/>
      <c r="GQ30" s="673"/>
      <c r="GR30" s="673"/>
      <c r="GS30" s="673"/>
      <c r="GT30" s="673"/>
      <c r="GU30" s="673"/>
      <c r="GV30" s="673"/>
      <c r="GW30" s="673"/>
      <c r="GX30" s="673"/>
      <c r="GY30" s="673"/>
      <c r="GZ30" s="673"/>
      <c r="HA30" s="673"/>
      <c r="HB30" s="673"/>
      <c r="HC30" s="673"/>
      <c r="HD30" s="673"/>
      <c r="HE30" s="673"/>
      <c r="HF30" s="673"/>
      <c r="HG30" s="673"/>
      <c r="HH30" s="673"/>
      <c r="HI30" s="673"/>
      <c r="HJ30" s="673"/>
      <c r="HK30" s="673"/>
      <c r="HL30" s="673"/>
      <c r="HM30" s="673"/>
      <c r="HN30" s="673"/>
      <c r="HO30" s="673"/>
      <c r="HP30" s="673"/>
      <c r="HQ30" s="673"/>
      <c r="HR30" s="673"/>
      <c r="HS30" s="673"/>
      <c r="HT30" s="673"/>
      <c r="HU30" s="673"/>
      <c r="HV30" s="673"/>
      <c r="HW30" s="673"/>
      <c r="HX30" s="673"/>
      <c r="HY30" s="673"/>
      <c r="HZ30" s="673"/>
      <c r="IA30" s="673"/>
      <c r="IB30" s="673"/>
      <c r="IC30" s="673"/>
      <c r="ID30" s="673"/>
      <c r="IE30" s="673"/>
      <c r="IF30" s="673"/>
      <c r="IG30" s="673"/>
      <c r="IH30" s="673"/>
      <c r="II30" s="673"/>
      <c r="IJ30" s="673"/>
      <c r="IK30" s="673"/>
      <c r="IL30" s="673"/>
      <c r="IM30" s="673"/>
      <c r="IN30" s="673"/>
      <c r="IO30" s="673"/>
      <c r="IP30" s="673"/>
      <c r="IQ30" s="673"/>
      <c r="IR30" s="673"/>
      <c r="IS30" s="673"/>
      <c r="IT30" s="673"/>
      <c r="IU30" s="673"/>
      <c r="IV30" s="673"/>
      <c r="IW30" s="673"/>
      <c r="IX30" s="673"/>
      <c r="IY30" s="673"/>
      <c r="IZ30" s="673"/>
      <c r="JA30" s="673"/>
      <c r="JB30" s="673"/>
      <c r="JC30" s="673"/>
      <c r="JD30" s="673"/>
      <c r="JE30" s="673"/>
      <c r="JF30" s="673"/>
      <c r="JG30" s="673"/>
      <c r="JH30" s="673"/>
      <c r="JI30" s="673"/>
      <c r="JJ30" s="673"/>
      <c r="JK30" s="673"/>
      <c r="JL30" s="673"/>
      <c r="JM30" s="673"/>
      <c r="JN30" s="673"/>
      <c r="JO30" s="673"/>
      <c r="JP30" s="673"/>
      <c r="JQ30" s="673"/>
      <c r="JR30" s="673"/>
      <c r="JS30" s="673"/>
      <c r="JT30" s="673"/>
      <c r="JU30" s="673"/>
      <c r="JV30" s="673"/>
      <c r="JW30" s="673"/>
      <c r="JX30" s="673"/>
      <c r="JY30" s="673"/>
      <c r="JZ30" s="673"/>
      <c r="KA30" s="673"/>
      <c r="KB30" s="673"/>
      <c r="KC30" s="673"/>
      <c r="KD30" s="673"/>
      <c r="KE30" s="673"/>
      <c r="KF30" s="673"/>
      <c r="KG30" s="673"/>
      <c r="KH30" s="673"/>
      <c r="KI30" s="673"/>
      <c r="KJ30" s="673"/>
      <c r="KK30" s="673"/>
      <c r="KL30" s="673"/>
      <c r="KM30" s="673"/>
      <c r="KN30" s="673"/>
      <c r="KO30" s="673"/>
      <c r="KP30" s="673"/>
      <c r="KQ30" s="673"/>
      <c r="KR30" s="673"/>
      <c r="KS30" s="673"/>
      <c r="KT30" s="673"/>
      <c r="KU30" s="673"/>
      <c r="KV30" s="673"/>
      <c r="KW30" s="673"/>
      <c r="KX30" s="673"/>
      <c r="KY30" s="673"/>
      <c r="KZ30" s="673"/>
      <c r="LA30" s="673"/>
      <c r="LB30" s="673"/>
      <c r="LC30" s="673"/>
      <c r="LD30" s="673"/>
      <c r="LE30" s="673"/>
      <c r="LF30" s="673"/>
      <c r="LG30" s="673"/>
      <c r="LH30" s="673"/>
      <c r="LI30" s="673"/>
      <c r="LJ30" s="673"/>
      <c r="LK30" s="673"/>
      <c r="LL30" s="673"/>
      <c r="LM30" s="673"/>
      <c r="LN30" s="673"/>
      <c r="LO30" s="673"/>
      <c r="LP30" s="673"/>
      <c r="LQ30" s="673"/>
      <c r="LR30" s="673"/>
      <c r="LS30" s="673"/>
      <c r="LT30" s="673"/>
      <c r="LU30" s="673"/>
      <c r="LV30" s="673"/>
      <c r="LW30" s="673"/>
      <c r="LX30" s="673"/>
      <c r="LY30" s="673"/>
      <c r="LZ30" s="673"/>
      <c r="MA30" s="673"/>
      <c r="MB30" s="673"/>
      <c r="MC30" s="673"/>
      <c r="MD30" s="673"/>
      <c r="ME30" s="673"/>
      <c r="MF30" s="673"/>
      <c r="MG30" s="673"/>
      <c r="MH30" s="673"/>
      <c r="MI30" s="673"/>
      <c r="MJ30" s="673"/>
      <c r="MK30" s="673"/>
      <c r="ML30" s="673"/>
      <c r="MM30" s="673"/>
      <c r="MN30" s="673"/>
      <c r="MO30" s="673"/>
      <c r="MP30" s="673"/>
      <c r="MQ30" s="673"/>
      <c r="MR30" s="673"/>
      <c r="MS30" s="673"/>
      <c r="MT30" s="673"/>
      <c r="MU30" s="673"/>
      <c r="MV30" s="673"/>
      <c r="MW30" s="673"/>
      <c r="MX30" s="673"/>
      <c r="MY30" s="673"/>
      <c r="MZ30" s="673"/>
      <c r="NA30" s="673"/>
      <c r="NB30" s="673"/>
      <c r="NC30" s="673"/>
      <c r="ND30" s="673"/>
      <c r="NE30" s="673"/>
      <c r="NF30" s="673"/>
      <c r="NG30" s="673"/>
      <c r="NH30" s="673"/>
      <c r="NI30" s="673"/>
      <c r="NJ30" s="673"/>
      <c r="NK30" s="673"/>
      <c r="NL30" s="673"/>
      <c r="NM30" s="673"/>
      <c r="NN30" s="673"/>
      <c r="NO30" s="673"/>
      <c r="NP30" s="673"/>
      <c r="NQ30" s="673"/>
      <c r="NR30" s="673"/>
      <c r="NS30" s="673"/>
      <c r="NT30" s="673"/>
      <c r="NU30" s="673"/>
      <c r="NV30" s="673"/>
      <c r="NW30" s="673"/>
      <c r="NX30" s="673"/>
      <c r="NY30" s="673"/>
      <c r="NZ30" s="673"/>
      <c r="OA30" s="673"/>
      <c r="OB30" s="673"/>
      <c r="OC30" s="673"/>
      <c r="OD30" s="673"/>
      <c r="OE30" s="673"/>
      <c r="OF30" s="673"/>
      <c r="OG30" s="673"/>
      <c r="OH30" s="673"/>
      <c r="OI30" s="673"/>
      <c r="OJ30" s="673"/>
      <c r="OK30" s="673"/>
      <c r="OL30" s="673"/>
      <c r="OM30" s="673"/>
      <c r="ON30" s="673"/>
      <c r="OO30" s="673"/>
      <c r="OP30" s="673"/>
      <c r="OQ30" s="673"/>
      <c r="OR30" s="673"/>
      <c r="OS30" s="673"/>
      <c r="OT30" s="673"/>
      <c r="OU30" s="673"/>
      <c r="OV30" s="673"/>
      <c r="OW30" s="673"/>
      <c r="OX30" s="673"/>
      <c r="OY30" s="673"/>
      <c r="OZ30" s="673"/>
      <c r="PA30" s="673"/>
      <c r="PB30" s="673"/>
      <c r="PC30" s="673"/>
      <c r="PD30" s="673"/>
      <c r="PE30" s="673"/>
      <c r="PF30" s="673"/>
      <c r="PG30" s="673"/>
      <c r="PH30" s="673"/>
      <c r="PI30" s="673"/>
      <c r="PJ30" s="673"/>
      <c r="PK30" s="673"/>
      <c r="PL30" s="673"/>
      <c r="PM30" s="673"/>
      <c r="PN30" s="673"/>
      <c r="PO30" s="673"/>
      <c r="PP30" s="673"/>
      <c r="PQ30" s="673"/>
      <c r="PR30" s="673"/>
      <c r="PS30" s="673"/>
      <c r="PT30" s="673"/>
      <c r="PU30" s="673"/>
      <c r="PV30" s="673"/>
      <c r="PW30" s="673"/>
      <c r="PX30" s="673"/>
      <c r="PY30" s="673"/>
      <c r="PZ30" s="673"/>
      <c r="QA30" s="673"/>
      <c r="QB30" s="673"/>
      <c r="QC30" s="673"/>
      <c r="QD30" s="673"/>
      <c r="QE30" s="673"/>
      <c r="QF30" s="673"/>
      <c r="QG30" s="673"/>
      <c r="QH30" s="673"/>
      <c r="QI30" s="673"/>
      <c r="QJ30" s="673"/>
      <c r="QK30" s="673"/>
    </row>
    <row r="31" spans="1:453" s="558" customFormat="1">
      <c r="A31" s="680"/>
      <c r="B31" s="680"/>
      <c r="C31" s="2107" t="str">
        <f ca="1">TEXT(HYPERLINK("#"&amp;CELL("address",'Equipment Results Matrix'!A595),'Equipment Results Matrix'!A595),"0,000")</f>
        <v>Residential HVAC Fan Motors</v>
      </c>
      <c r="D31" s="2107"/>
      <c r="E31" s="2107"/>
      <c r="F31" s="2107"/>
      <c r="G31" s="2107"/>
      <c r="H31" s="680"/>
      <c r="I31" s="680"/>
      <c r="J31" s="1525" t="str">
        <f ca="1">TEXT(HYPERLINK("#"&amp;CELL("address",'Labor Results Matrix'!A68),"Labor"),"0,000")</f>
        <v>Labor</v>
      </c>
      <c r="K31" s="1525"/>
      <c r="L31" s="2107" t="str">
        <f ca="1">TEXT(HYPERLINK("#"&amp;CELL("address",'Equipment + Labor'!A177),"Total installed cost"),"0,000")</f>
        <v>Total installed cost</v>
      </c>
      <c r="M31" s="2107"/>
      <c r="N31" s="2107"/>
      <c r="O31" s="673"/>
      <c r="P31" s="673"/>
      <c r="Q31" s="673"/>
      <c r="R31" s="673"/>
      <c r="S31" s="673"/>
      <c r="T31" s="673"/>
      <c r="U31" s="673"/>
      <c r="V31" s="673"/>
      <c r="W31" s="673"/>
      <c r="X31" s="673"/>
      <c r="Y31" s="673"/>
      <c r="Z31" s="673"/>
      <c r="AA31" s="673"/>
      <c r="AB31" s="673"/>
      <c r="AC31" s="673"/>
      <c r="AD31" s="673"/>
      <c r="AE31" s="673"/>
      <c r="AF31" s="673"/>
      <c r="AG31" s="673"/>
      <c r="AH31" s="673"/>
      <c r="AI31" s="673"/>
      <c r="AJ31" s="673"/>
      <c r="AK31" s="673"/>
      <c r="AL31" s="673"/>
      <c r="AM31" s="673"/>
      <c r="AN31" s="673"/>
      <c r="AO31" s="673"/>
      <c r="AP31" s="673"/>
      <c r="AQ31" s="673"/>
      <c r="AR31" s="673"/>
      <c r="AS31" s="673"/>
      <c r="AT31" s="673"/>
      <c r="AU31" s="673"/>
      <c r="AV31" s="673"/>
      <c r="AW31" s="673"/>
      <c r="AX31" s="673"/>
      <c r="AY31" s="673"/>
      <c r="AZ31" s="673"/>
      <c r="BA31" s="673"/>
      <c r="BB31" s="673"/>
      <c r="BC31" s="673"/>
      <c r="BD31" s="673"/>
      <c r="BE31" s="673"/>
      <c r="BF31" s="673"/>
      <c r="BG31" s="673"/>
      <c r="BH31" s="673"/>
      <c r="BI31" s="673"/>
      <c r="BJ31" s="673"/>
      <c r="BK31" s="673"/>
      <c r="BL31" s="673"/>
      <c r="BM31" s="673"/>
      <c r="BN31" s="673"/>
      <c r="BO31" s="673"/>
      <c r="BP31" s="673"/>
      <c r="BQ31" s="673"/>
      <c r="BR31" s="673"/>
      <c r="BS31" s="673"/>
      <c r="BT31" s="673"/>
      <c r="BU31" s="673"/>
      <c r="BV31" s="673"/>
      <c r="BW31" s="673"/>
      <c r="BX31" s="673"/>
      <c r="BY31" s="673"/>
      <c r="BZ31" s="673"/>
      <c r="CA31" s="673"/>
      <c r="CB31" s="673"/>
      <c r="CC31" s="673"/>
      <c r="CD31" s="673"/>
      <c r="CE31" s="673"/>
      <c r="CF31" s="673"/>
      <c r="CG31" s="673"/>
      <c r="CH31" s="673"/>
      <c r="CI31" s="673"/>
      <c r="CJ31" s="673"/>
      <c r="CK31" s="673"/>
      <c r="CL31" s="673"/>
      <c r="CM31" s="673"/>
      <c r="CN31" s="673"/>
      <c r="CO31" s="673"/>
      <c r="CP31" s="673"/>
      <c r="CQ31" s="673"/>
      <c r="CR31" s="673"/>
      <c r="CS31" s="673"/>
      <c r="CT31" s="673"/>
      <c r="CU31" s="673"/>
      <c r="CV31" s="673"/>
      <c r="CW31" s="673"/>
      <c r="CX31" s="673"/>
      <c r="CY31" s="673"/>
      <c r="CZ31" s="673"/>
      <c r="DA31" s="673"/>
      <c r="DB31" s="673"/>
      <c r="DC31" s="673"/>
      <c r="DD31" s="673"/>
      <c r="DE31" s="673"/>
      <c r="DF31" s="673"/>
      <c r="DG31" s="673"/>
      <c r="DH31" s="673"/>
      <c r="DI31" s="673"/>
      <c r="DJ31" s="673"/>
      <c r="DK31" s="673"/>
      <c r="DL31" s="673"/>
      <c r="DM31" s="673"/>
      <c r="DN31" s="673"/>
      <c r="DO31" s="673"/>
      <c r="DP31" s="673"/>
      <c r="DQ31" s="673"/>
      <c r="DR31" s="673"/>
      <c r="DS31" s="673"/>
      <c r="DT31" s="673"/>
      <c r="DU31" s="673"/>
      <c r="DV31" s="673"/>
      <c r="DW31" s="673"/>
      <c r="DX31" s="673"/>
      <c r="DY31" s="673"/>
      <c r="DZ31" s="673"/>
      <c r="EA31" s="673"/>
      <c r="EB31" s="673"/>
      <c r="EC31" s="673"/>
      <c r="ED31" s="673"/>
      <c r="EE31" s="673"/>
      <c r="EF31" s="673"/>
      <c r="EG31" s="673"/>
      <c r="EH31" s="673"/>
      <c r="EI31" s="673"/>
      <c r="EJ31" s="673"/>
      <c r="EK31" s="673"/>
      <c r="EL31" s="673"/>
      <c r="EM31" s="673"/>
      <c r="EN31" s="673"/>
      <c r="EO31" s="673"/>
      <c r="EP31" s="673"/>
      <c r="EQ31" s="673"/>
      <c r="ER31" s="673"/>
      <c r="ES31" s="673"/>
      <c r="ET31" s="673"/>
      <c r="EU31" s="673"/>
      <c r="EV31" s="673"/>
      <c r="EW31" s="673"/>
      <c r="EX31" s="673"/>
      <c r="EY31" s="673"/>
      <c r="EZ31" s="673"/>
      <c r="FA31" s="673"/>
      <c r="FB31" s="673"/>
      <c r="FC31" s="673"/>
      <c r="FD31" s="673"/>
      <c r="FE31" s="673"/>
      <c r="FF31" s="673"/>
      <c r="FG31" s="673"/>
      <c r="FH31" s="673"/>
      <c r="FI31" s="673"/>
      <c r="FJ31" s="673"/>
      <c r="FK31" s="673"/>
      <c r="FL31" s="673"/>
      <c r="FM31" s="673"/>
      <c r="FN31" s="673"/>
      <c r="FO31" s="673"/>
      <c r="FP31" s="673"/>
      <c r="FQ31" s="673"/>
      <c r="FR31" s="673"/>
      <c r="FS31" s="673"/>
      <c r="FT31" s="673"/>
      <c r="FU31" s="673"/>
      <c r="FV31" s="673"/>
      <c r="FW31" s="673"/>
      <c r="FX31" s="673"/>
      <c r="FY31" s="673"/>
      <c r="FZ31" s="673"/>
      <c r="GA31" s="673"/>
      <c r="GB31" s="673"/>
      <c r="GC31" s="673"/>
      <c r="GD31" s="673"/>
      <c r="GE31" s="673"/>
      <c r="GF31" s="673"/>
      <c r="GG31" s="673"/>
      <c r="GH31" s="673"/>
      <c r="GI31" s="673"/>
      <c r="GJ31" s="673"/>
      <c r="GK31" s="673"/>
      <c r="GL31" s="673"/>
      <c r="GM31" s="673"/>
      <c r="GN31" s="673"/>
      <c r="GO31" s="673"/>
      <c r="GP31" s="673"/>
      <c r="GQ31" s="673"/>
      <c r="GR31" s="673"/>
      <c r="GS31" s="673"/>
      <c r="GT31" s="673"/>
      <c r="GU31" s="673"/>
      <c r="GV31" s="673"/>
      <c r="GW31" s="673"/>
      <c r="GX31" s="673"/>
      <c r="GY31" s="673"/>
      <c r="GZ31" s="673"/>
      <c r="HA31" s="673"/>
      <c r="HB31" s="673"/>
      <c r="HC31" s="673"/>
      <c r="HD31" s="673"/>
      <c r="HE31" s="673"/>
      <c r="HF31" s="673"/>
      <c r="HG31" s="673"/>
      <c r="HH31" s="673"/>
      <c r="HI31" s="673"/>
      <c r="HJ31" s="673"/>
      <c r="HK31" s="673"/>
      <c r="HL31" s="673"/>
      <c r="HM31" s="673"/>
      <c r="HN31" s="673"/>
      <c r="HO31" s="673"/>
      <c r="HP31" s="673"/>
      <c r="HQ31" s="673"/>
      <c r="HR31" s="673"/>
      <c r="HS31" s="673"/>
      <c r="HT31" s="673"/>
      <c r="HU31" s="673"/>
      <c r="HV31" s="673"/>
      <c r="HW31" s="673"/>
      <c r="HX31" s="673"/>
      <c r="HY31" s="673"/>
      <c r="HZ31" s="673"/>
      <c r="IA31" s="673"/>
      <c r="IB31" s="673"/>
      <c r="IC31" s="673"/>
      <c r="ID31" s="673"/>
      <c r="IE31" s="673"/>
      <c r="IF31" s="673"/>
      <c r="IG31" s="673"/>
      <c r="IH31" s="673"/>
      <c r="II31" s="673"/>
      <c r="IJ31" s="673"/>
      <c r="IK31" s="673"/>
      <c r="IL31" s="673"/>
      <c r="IM31" s="673"/>
      <c r="IN31" s="673"/>
      <c r="IO31" s="673"/>
      <c r="IP31" s="673"/>
      <c r="IQ31" s="673"/>
      <c r="IR31" s="673"/>
      <c r="IS31" s="673"/>
      <c r="IT31" s="673"/>
      <c r="IU31" s="673"/>
      <c r="IV31" s="673"/>
      <c r="IW31" s="673"/>
      <c r="IX31" s="673"/>
      <c r="IY31" s="673"/>
      <c r="IZ31" s="673"/>
      <c r="JA31" s="673"/>
      <c r="JB31" s="673"/>
      <c r="JC31" s="673"/>
      <c r="JD31" s="673"/>
      <c r="JE31" s="673"/>
      <c r="JF31" s="673"/>
      <c r="JG31" s="673"/>
      <c r="JH31" s="673"/>
      <c r="JI31" s="673"/>
      <c r="JJ31" s="673"/>
      <c r="JK31" s="673"/>
      <c r="JL31" s="673"/>
      <c r="JM31" s="673"/>
      <c r="JN31" s="673"/>
      <c r="JO31" s="673"/>
      <c r="JP31" s="673"/>
      <c r="JQ31" s="673"/>
      <c r="JR31" s="673"/>
      <c r="JS31" s="673"/>
      <c r="JT31" s="673"/>
      <c r="JU31" s="673"/>
      <c r="JV31" s="673"/>
      <c r="JW31" s="673"/>
      <c r="JX31" s="673"/>
      <c r="JY31" s="673"/>
      <c r="JZ31" s="673"/>
      <c r="KA31" s="673"/>
      <c r="KB31" s="673"/>
      <c r="KC31" s="673"/>
      <c r="KD31" s="673"/>
      <c r="KE31" s="673"/>
      <c r="KF31" s="673"/>
      <c r="KG31" s="673"/>
      <c r="KH31" s="673"/>
      <c r="KI31" s="673"/>
      <c r="KJ31" s="673"/>
      <c r="KK31" s="673"/>
      <c r="KL31" s="673"/>
      <c r="KM31" s="673"/>
      <c r="KN31" s="673"/>
      <c r="KO31" s="673"/>
      <c r="KP31" s="673"/>
      <c r="KQ31" s="673"/>
      <c r="KR31" s="673"/>
      <c r="KS31" s="673"/>
      <c r="KT31" s="673"/>
      <c r="KU31" s="673"/>
      <c r="KV31" s="673"/>
      <c r="KW31" s="673"/>
      <c r="KX31" s="673"/>
      <c r="KY31" s="673"/>
      <c r="KZ31" s="673"/>
      <c r="LA31" s="673"/>
      <c r="LB31" s="673"/>
      <c r="LC31" s="673"/>
      <c r="LD31" s="673"/>
      <c r="LE31" s="673"/>
      <c r="LF31" s="673"/>
      <c r="LG31" s="673"/>
      <c r="LH31" s="673"/>
      <c r="LI31" s="673"/>
      <c r="LJ31" s="673"/>
      <c r="LK31" s="673"/>
      <c r="LL31" s="673"/>
      <c r="LM31" s="673"/>
      <c r="LN31" s="673"/>
      <c r="LO31" s="673"/>
      <c r="LP31" s="673"/>
      <c r="LQ31" s="673"/>
      <c r="LR31" s="673"/>
      <c r="LS31" s="673"/>
      <c r="LT31" s="673"/>
      <c r="LU31" s="673"/>
      <c r="LV31" s="673"/>
      <c r="LW31" s="673"/>
      <c r="LX31" s="673"/>
      <c r="LY31" s="673"/>
      <c r="LZ31" s="673"/>
      <c r="MA31" s="673"/>
      <c r="MB31" s="673"/>
      <c r="MC31" s="673"/>
      <c r="MD31" s="673"/>
      <c r="ME31" s="673"/>
      <c r="MF31" s="673"/>
      <c r="MG31" s="673"/>
      <c r="MH31" s="673"/>
      <c r="MI31" s="673"/>
      <c r="MJ31" s="673"/>
      <c r="MK31" s="673"/>
      <c r="ML31" s="673"/>
      <c r="MM31" s="673"/>
      <c r="MN31" s="673"/>
      <c r="MO31" s="673"/>
      <c r="MP31" s="673"/>
      <c r="MQ31" s="673"/>
      <c r="MR31" s="673"/>
      <c r="MS31" s="673"/>
      <c r="MT31" s="673"/>
      <c r="MU31" s="673"/>
      <c r="MV31" s="673"/>
      <c r="MW31" s="673"/>
      <c r="MX31" s="673"/>
      <c r="MY31" s="673"/>
      <c r="MZ31" s="673"/>
      <c r="NA31" s="673"/>
      <c r="NB31" s="673"/>
      <c r="NC31" s="673"/>
      <c r="ND31" s="673"/>
      <c r="NE31" s="673"/>
      <c r="NF31" s="673"/>
      <c r="NG31" s="673"/>
      <c r="NH31" s="673"/>
      <c r="NI31" s="673"/>
      <c r="NJ31" s="673"/>
      <c r="NK31" s="673"/>
      <c r="NL31" s="673"/>
      <c r="NM31" s="673"/>
      <c r="NN31" s="673"/>
      <c r="NO31" s="673"/>
      <c r="NP31" s="673"/>
      <c r="NQ31" s="673"/>
      <c r="NR31" s="673"/>
      <c r="NS31" s="673"/>
      <c r="NT31" s="673"/>
      <c r="NU31" s="673"/>
      <c r="NV31" s="673"/>
      <c r="NW31" s="673"/>
      <c r="NX31" s="673"/>
      <c r="NY31" s="673"/>
      <c r="NZ31" s="673"/>
      <c r="OA31" s="673"/>
      <c r="OB31" s="673"/>
      <c r="OC31" s="673"/>
      <c r="OD31" s="673"/>
      <c r="OE31" s="673"/>
      <c r="OF31" s="673"/>
      <c r="OG31" s="673"/>
      <c r="OH31" s="673"/>
      <c r="OI31" s="673"/>
      <c r="OJ31" s="673"/>
      <c r="OK31" s="673"/>
      <c r="OL31" s="673"/>
      <c r="OM31" s="673"/>
      <c r="ON31" s="673"/>
      <c r="OO31" s="673"/>
      <c r="OP31" s="673"/>
      <c r="OQ31" s="673"/>
      <c r="OR31" s="673"/>
      <c r="OS31" s="673"/>
      <c r="OT31" s="673"/>
      <c r="OU31" s="673"/>
      <c r="OV31" s="673"/>
      <c r="OW31" s="673"/>
      <c r="OX31" s="673"/>
      <c r="OY31" s="673"/>
      <c r="OZ31" s="673"/>
      <c r="PA31" s="673"/>
      <c r="PB31" s="673"/>
      <c r="PC31" s="673"/>
      <c r="PD31" s="673"/>
      <c r="PE31" s="673"/>
      <c r="PF31" s="673"/>
      <c r="PG31" s="673"/>
      <c r="PH31" s="673"/>
      <c r="PI31" s="673"/>
      <c r="PJ31" s="673"/>
      <c r="PK31" s="673"/>
      <c r="PL31" s="673"/>
      <c r="PM31" s="673"/>
      <c r="PN31" s="673"/>
      <c r="PO31" s="673"/>
      <c r="PP31" s="673"/>
      <c r="PQ31" s="673"/>
      <c r="PR31" s="673"/>
      <c r="PS31" s="673"/>
      <c r="PT31" s="673"/>
      <c r="PU31" s="673"/>
      <c r="PV31" s="673"/>
      <c r="PW31" s="673"/>
      <c r="PX31" s="673"/>
      <c r="PY31" s="673"/>
      <c r="PZ31" s="673"/>
      <c r="QA31" s="673"/>
      <c r="QB31" s="673"/>
      <c r="QC31" s="673"/>
      <c r="QD31" s="673"/>
      <c r="QE31" s="673"/>
      <c r="QF31" s="673"/>
      <c r="QG31" s="673"/>
      <c r="QH31" s="673"/>
      <c r="QI31" s="673"/>
      <c r="QJ31" s="673"/>
      <c r="QK31" s="673"/>
    </row>
    <row r="32" spans="1:453" s="1301" customFormat="1" ht="18.75">
      <c r="B32" s="2109" t="str">
        <f ca="1">TEXT(HYPERLINK("#"&amp;CELL("address",'Equipment Results Matrix'!A609),'Equipment Results Matrix'!A609),"0,000")</f>
        <v>Non-Residential HVAC</v>
      </c>
      <c r="C32" s="2109"/>
      <c r="D32" s="2109"/>
      <c r="E32" s="2109"/>
      <c r="F32" s="2109"/>
      <c r="G32" s="1302"/>
      <c r="H32" s="1302"/>
      <c r="I32" s="1302"/>
      <c r="J32" s="1302"/>
      <c r="K32" s="1302"/>
      <c r="L32" s="2111"/>
      <c r="M32" s="2111"/>
      <c r="N32" s="2111"/>
      <c r="O32" s="1303"/>
      <c r="P32" s="1303"/>
      <c r="Q32" s="1303"/>
      <c r="R32" s="1303"/>
      <c r="S32" s="1303"/>
      <c r="T32" s="1303"/>
      <c r="U32" s="1303"/>
      <c r="V32" s="1303"/>
      <c r="W32" s="1303"/>
      <c r="X32" s="1303"/>
      <c r="Y32" s="1303"/>
      <c r="Z32" s="1303"/>
      <c r="AA32" s="1303"/>
      <c r="AB32" s="1303"/>
      <c r="AC32" s="1303"/>
      <c r="AD32" s="1303"/>
      <c r="AE32" s="1303"/>
      <c r="AF32" s="1303"/>
      <c r="AG32" s="1303"/>
      <c r="AH32" s="1303"/>
      <c r="AI32" s="1303"/>
      <c r="AJ32" s="1303"/>
      <c r="AK32" s="1303"/>
      <c r="AL32" s="1303"/>
      <c r="AM32" s="1303"/>
      <c r="AN32" s="1303"/>
      <c r="AO32" s="1303"/>
      <c r="AP32" s="1303"/>
      <c r="AQ32" s="1303"/>
      <c r="AR32" s="1303"/>
      <c r="AS32" s="1303"/>
      <c r="AT32" s="1303"/>
      <c r="AU32" s="1303"/>
      <c r="AV32" s="1303"/>
      <c r="AW32" s="1303"/>
      <c r="AX32" s="1303"/>
      <c r="AY32" s="1303"/>
      <c r="AZ32" s="1303"/>
      <c r="BA32" s="1303"/>
      <c r="BB32" s="1303"/>
      <c r="BC32" s="1303"/>
      <c r="BD32" s="1303"/>
      <c r="BE32" s="1303"/>
      <c r="BF32" s="1303"/>
      <c r="BG32" s="1303"/>
      <c r="BH32" s="1303"/>
      <c r="BI32" s="1303"/>
      <c r="BJ32" s="1303"/>
      <c r="BK32" s="1303"/>
      <c r="BL32" s="1303"/>
      <c r="BM32" s="1303"/>
      <c r="BN32" s="1303"/>
      <c r="BO32" s="1303"/>
      <c r="BP32" s="1303"/>
      <c r="BQ32" s="1303"/>
      <c r="BR32" s="1303"/>
      <c r="BS32" s="1303"/>
      <c r="BT32" s="1303"/>
      <c r="BU32" s="1303"/>
      <c r="BV32" s="1303"/>
      <c r="BW32" s="1303"/>
      <c r="BX32" s="1303"/>
      <c r="BY32" s="1303"/>
      <c r="BZ32" s="1303"/>
      <c r="CA32" s="1303"/>
      <c r="CB32" s="1303"/>
      <c r="CC32" s="1303"/>
      <c r="CD32" s="1303"/>
      <c r="CE32" s="1303"/>
      <c r="CF32" s="1303"/>
      <c r="CG32" s="1303"/>
      <c r="CH32" s="1303"/>
      <c r="CI32" s="1303"/>
      <c r="CJ32" s="1303"/>
      <c r="CK32" s="1303"/>
      <c r="CL32" s="1303"/>
      <c r="CM32" s="1303"/>
      <c r="CN32" s="1303"/>
      <c r="CO32" s="1303"/>
      <c r="CP32" s="1303"/>
      <c r="CQ32" s="1303"/>
      <c r="CR32" s="1303"/>
      <c r="CS32" s="1303"/>
      <c r="CT32" s="1303"/>
      <c r="CU32" s="1303"/>
      <c r="CV32" s="1303"/>
      <c r="CW32" s="1303"/>
      <c r="CX32" s="1303"/>
      <c r="CY32" s="1303"/>
      <c r="CZ32" s="1303"/>
      <c r="DA32" s="1303"/>
      <c r="DB32" s="1303"/>
      <c r="DC32" s="1303"/>
      <c r="DD32" s="1303"/>
      <c r="DE32" s="1303"/>
      <c r="DF32" s="1303"/>
      <c r="DG32" s="1303"/>
      <c r="DH32" s="1303"/>
      <c r="DI32" s="1303"/>
      <c r="DJ32" s="1303"/>
      <c r="DK32" s="1303"/>
      <c r="DL32" s="1303"/>
      <c r="DM32" s="1303"/>
      <c r="DN32" s="1303"/>
      <c r="DO32" s="1303"/>
      <c r="DP32" s="1303"/>
      <c r="DQ32" s="1303"/>
      <c r="DR32" s="1303"/>
      <c r="DS32" s="1303"/>
      <c r="DT32" s="1303"/>
      <c r="DU32" s="1303"/>
      <c r="DV32" s="1303"/>
      <c r="DW32" s="1303"/>
      <c r="DX32" s="1303"/>
      <c r="DY32" s="1303"/>
      <c r="DZ32" s="1303"/>
      <c r="EA32" s="1303"/>
      <c r="EB32" s="1303"/>
      <c r="EC32" s="1303"/>
      <c r="ED32" s="1303"/>
      <c r="EE32" s="1303"/>
      <c r="EF32" s="1303"/>
      <c r="EG32" s="1303"/>
      <c r="EH32" s="1303"/>
      <c r="EI32" s="1303"/>
      <c r="EJ32" s="1303"/>
      <c r="EK32" s="1303"/>
      <c r="EL32" s="1303"/>
      <c r="EM32" s="1303"/>
      <c r="EN32" s="1303"/>
      <c r="EO32" s="1303"/>
      <c r="EP32" s="1303"/>
      <c r="EQ32" s="1303"/>
      <c r="ER32" s="1303"/>
      <c r="ES32" s="1303"/>
      <c r="ET32" s="1303"/>
      <c r="EU32" s="1303"/>
      <c r="EV32" s="1303"/>
      <c r="EW32" s="1303"/>
      <c r="EX32" s="1303"/>
      <c r="EY32" s="1303"/>
      <c r="EZ32" s="1303"/>
      <c r="FA32" s="1303"/>
      <c r="FB32" s="1303"/>
      <c r="FC32" s="1303"/>
      <c r="FD32" s="1303"/>
      <c r="FE32" s="1303"/>
      <c r="FF32" s="1303"/>
      <c r="FG32" s="1303"/>
      <c r="FH32" s="1303"/>
      <c r="FI32" s="1303"/>
      <c r="FJ32" s="1303"/>
      <c r="FK32" s="1303"/>
      <c r="FL32" s="1303"/>
      <c r="FM32" s="1303"/>
      <c r="FN32" s="1303"/>
      <c r="FO32" s="1303"/>
      <c r="FP32" s="1303"/>
      <c r="FQ32" s="1303"/>
      <c r="FR32" s="1303"/>
      <c r="FS32" s="1303"/>
      <c r="FT32" s="1303"/>
      <c r="FU32" s="1303"/>
      <c r="FV32" s="1303"/>
      <c r="FW32" s="1303"/>
      <c r="FX32" s="1303"/>
      <c r="FY32" s="1303"/>
      <c r="FZ32" s="1303"/>
      <c r="GA32" s="1303"/>
      <c r="GB32" s="1303"/>
      <c r="GC32" s="1303"/>
      <c r="GD32" s="1303"/>
      <c r="GE32" s="1303"/>
      <c r="GF32" s="1303"/>
      <c r="GG32" s="1303"/>
      <c r="GH32" s="1303"/>
      <c r="GI32" s="1303"/>
      <c r="GJ32" s="1303"/>
      <c r="GK32" s="1303"/>
      <c r="GL32" s="1303"/>
      <c r="GM32" s="1303"/>
      <c r="GN32" s="1303"/>
      <c r="GO32" s="1303"/>
      <c r="GP32" s="1303"/>
      <c r="GQ32" s="1303"/>
      <c r="GR32" s="1303"/>
      <c r="GS32" s="1303"/>
      <c r="GT32" s="1303"/>
      <c r="GU32" s="1303"/>
      <c r="GV32" s="1303"/>
      <c r="GW32" s="1303"/>
      <c r="GX32" s="1303"/>
      <c r="GY32" s="1303"/>
      <c r="GZ32" s="1303"/>
      <c r="HA32" s="1303"/>
      <c r="HB32" s="1303"/>
      <c r="HC32" s="1303"/>
      <c r="HD32" s="1303"/>
      <c r="HE32" s="1303"/>
      <c r="HF32" s="1303"/>
      <c r="HG32" s="1303"/>
      <c r="HH32" s="1303"/>
      <c r="HI32" s="1303"/>
      <c r="HJ32" s="1303"/>
      <c r="HK32" s="1303"/>
      <c r="HL32" s="1303"/>
      <c r="HM32" s="1303"/>
      <c r="HN32" s="1303"/>
      <c r="HO32" s="1303"/>
      <c r="HP32" s="1303"/>
      <c r="HQ32" s="1303"/>
      <c r="HR32" s="1303"/>
      <c r="HS32" s="1303"/>
      <c r="HT32" s="1303"/>
      <c r="HU32" s="1303"/>
      <c r="HV32" s="1303"/>
      <c r="HW32" s="1303"/>
      <c r="HX32" s="1303"/>
      <c r="HY32" s="1303"/>
      <c r="HZ32" s="1303"/>
      <c r="IA32" s="1303"/>
      <c r="IB32" s="1303"/>
      <c r="IC32" s="1303"/>
      <c r="ID32" s="1303"/>
      <c r="IE32" s="1303"/>
      <c r="IF32" s="1303"/>
      <c r="IG32" s="1303"/>
      <c r="IH32" s="1303"/>
      <c r="II32" s="1303"/>
      <c r="IJ32" s="1303"/>
      <c r="IK32" s="1303"/>
      <c r="IL32" s="1303"/>
      <c r="IM32" s="1303"/>
      <c r="IN32" s="1303"/>
      <c r="IO32" s="1303"/>
      <c r="IP32" s="1303"/>
      <c r="IQ32" s="1303"/>
      <c r="IR32" s="1303"/>
      <c r="IS32" s="1303"/>
      <c r="IT32" s="1303"/>
      <c r="IU32" s="1303"/>
      <c r="IV32" s="1303"/>
      <c r="IW32" s="1303"/>
      <c r="IX32" s="1303"/>
      <c r="IY32" s="1303"/>
      <c r="IZ32" s="1303"/>
      <c r="JA32" s="1303"/>
      <c r="JB32" s="1303"/>
      <c r="JC32" s="1303"/>
      <c r="JD32" s="1303"/>
      <c r="JE32" s="1303"/>
      <c r="JF32" s="1303"/>
      <c r="JG32" s="1303"/>
      <c r="JH32" s="1303"/>
      <c r="JI32" s="1303"/>
      <c r="JJ32" s="1303"/>
      <c r="JK32" s="1303"/>
      <c r="JL32" s="1303"/>
      <c r="JM32" s="1303"/>
      <c r="JN32" s="1303"/>
      <c r="JO32" s="1303"/>
      <c r="JP32" s="1303"/>
      <c r="JQ32" s="1303"/>
      <c r="JR32" s="1303"/>
      <c r="JS32" s="1303"/>
      <c r="JT32" s="1303"/>
      <c r="JU32" s="1303"/>
      <c r="JV32" s="1303"/>
      <c r="JW32" s="1303"/>
      <c r="JX32" s="1303"/>
      <c r="JY32" s="1303"/>
      <c r="JZ32" s="1303"/>
      <c r="KA32" s="1303"/>
      <c r="KB32" s="1303"/>
      <c r="KC32" s="1303"/>
      <c r="KD32" s="1303"/>
      <c r="KE32" s="1303"/>
      <c r="KF32" s="1303"/>
      <c r="KG32" s="1303"/>
      <c r="KH32" s="1303"/>
      <c r="KI32" s="1303"/>
      <c r="KJ32" s="1303"/>
      <c r="KK32" s="1303"/>
      <c r="KL32" s="1303"/>
      <c r="KM32" s="1303"/>
      <c r="KN32" s="1303"/>
      <c r="KO32" s="1303"/>
      <c r="KP32" s="1303"/>
      <c r="KQ32" s="1303"/>
      <c r="KR32" s="1303"/>
      <c r="KS32" s="1303"/>
      <c r="KT32" s="1303"/>
      <c r="KU32" s="1303"/>
      <c r="KV32" s="1303"/>
      <c r="KW32" s="1303"/>
      <c r="KX32" s="1303"/>
      <c r="KY32" s="1303"/>
      <c r="KZ32" s="1303"/>
      <c r="LA32" s="1303"/>
      <c r="LB32" s="1303"/>
      <c r="LC32" s="1303"/>
      <c r="LD32" s="1303"/>
      <c r="LE32" s="1303"/>
      <c r="LF32" s="1303"/>
      <c r="LG32" s="1303"/>
      <c r="LH32" s="1303"/>
      <c r="LI32" s="1303"/>
      <c r="LJ32" s="1303"/>
      <c r="LK32" s="1303"/>
      <c r="LL32" s="1303"/>
      <c r="LM32" s="1303"/>
      <c r="LN32" s="1303"/>
      <c r="LO32" s="1303"/>
      <c r="LP32" s="1303"/>
      <c r="LQ32" s="1303"/>
      <c r="LR32" s="1303"/>
      <c r="LS32" s="1303"/>
      <c r="LT32" s="1303"/>
      <c r="LU32" s="1303"/>
      <c r="LV32" s="1303"/>
      <c r="LW32" s="1303"/>
      <c r="LX32" s="1303"/>
      <c r="LY32" s="1303"/>
      <c r="LZ32" s="1303"/>
      <c r="MA32" s="1303"/>
      <c r="MB32" s="1303"/>
      <c r="MC32" s="1303"/>
      <c r="MD32" s="1303"/>
      <c r="ME32" s="1303"/>
      <c r="MF32" s="1303"/>
      <c r="MG32" s="1303"/>
      <c r="MH32" s="1303"/>
      <c r="MI32" s="1303"/>
      <c r="MJ32" s="1303"/>
      <c r="MK32" s="1303"/>
      <c r="ML32" s="1303"/>
      <c r="MM32" s="1303"/>
      <c r="MN32" s="1303"/>
      <c r="MO32" s="1303"/>
      <c r="MP32" s="1303"/>
      <c r="MQ32" s="1303"/>
      <c r="MR32" s="1303"/>
      <c r="MS32" s="1303"/>
      <c r="MT32" s="1303"/>
      <c r="MU32" s="1303"/>
      <c r="MV32" s="1303"/>
      <c r="MW32" s="1303"/>
      <c r="MX32" s="1303"/>
      <c r="MY32" s="1303"/>
      <c r="MZ32" s="1303"/>
      <c r="NA32" s="1303"/>
      <c r="NB32" s="1303"/>
      <c r="NC32" s="1303"/>
      <c r="ND32" s="1303"/>
      <c r="NE32" s="1303"/>
      <c r="NF32" s="1303"/>
      <c r="NG32" s="1303"/>
      <c r="NH32" s="1303"/>
      <c r="NI32" s="1303"/>
      <c r="NJ32" s="1303"/>
      <c r="NK32" s="1303"/>
      <c r="NL32" s="1303"/>
      <c r="NM32" s="1303"/>
      <c r="NN32" s="1303"/>
      <c r="NO32" s="1303"/>
      <c r="NP32" s="1303"/>
      <c r="NQ32" s="1303"/>
      <c r="NR32" s="1303"/>
      <c r="NS32" s="1303"/>
      <c r="NT32" s="1303"/>
      <c r="NU32" s="1303"/>
      <c r="NV32" s="1303"/>
      <c r="NW32" s="1303"/>
      <c r="NX32" s="1303"/>
      <c r="NY32" s="1303"/>
      <c r="NZ32" s="1303"/>
      <c r="OA32" s="1303"/>
      <c r="OB32" s="1303"/>
      <c r="OC32" s="1303"/>
      <c r="OD32" s="1303"/>
      <c r="OE32" s="1303"/>
      <c r="OF32" s="1303"/>
      <c r="OG32" s="1303"/>
      <c r="OH32" s="1303"/>
      <c r="OI32" s="1303"/>
      <c r="OJ32" s="1303"/>
      <c r="OK32" s="1303"/>
      <c r="OL32" s="1303"/>
      <c r="OM32" s="1303"/>
      <c r="ON32" s="1303"/>
      <c r="OO32" s="1303"/>
      <c r="OP32" s="1303"/>
      <c r="OQ32" s="1303"/>
      <c r="OR32" s="1303"/>
      <c r="OS32" s="1303"/>
      <c r="OT32" s="1303"/>
      <c r="OU32" s="1303"/>
      <c r="OV32" s="1303"/>
      <c r="OW32" s="1303"/>
      <c r="OX32" s="1303"/>
      <c r="OY32" s="1303"/>
      <c r="OZ32" s="1303"/>
      <c r="PA32" s="1303"/>
      <c r="PB32" s="1303"/>
      <c r="PC32" s="1303"/>
      <c r="PD32" s="1303"/>
      <c r="PE32" s="1303"/>
      <c r="PF32" s="1303"/>
      <c r="PG32" s="1303"/>
      <c r="PH32" s="1303"/>
      <c r="PI32" s="1303"/>
      <c r="PJ32" s="1303"/>
      <c r="PK32" s="1303"/>
      <c r="PL32" s="1303"/>
      <c r="PM32" s="1303"/>
      <c r="PN32" s="1303"/>
      <c r="PO32" s="1303"/>
      <c r="PP32" s="1303"/>
      <c r="PQ32" s="1303"/>
      <c r="PR32" s="1303"/>
      <c r="PS32" s="1303"/>
      <c r="PT32" s="1303"/>
      <c r="PU32" s="1303"/>
      <c r="PV32" s="1303"/>
      <c r="PW32" s="1303"/>
      <c r="PX32" s="1303"/>
      <c r="PY32" s="1303"/>
      <c r="PZ32" s="1303"/>
      <c r="QA32" s="1303"/>
      <c r="QB32" s="1303"/>
      <c r="QC32" s="1303"/>
      <c r="QD32" s="1303"/>
      <c r="QE32" s="1303"/>
      <c r="QF32" s="1303"/>
      <c r="QG32" s="1303"/>
      <c r="QH32" s="1303"/>
      <c r="QI32" s="1303"/>
      <c r="QJ32" s="1303"/>
      <c r="QK32" s="1303"/>
    </row>
    <row r="33" spans="1:453" s="558" customFormat="1">
      <c r="A33" s="680"/>
      <c r="B33" s="680"/>
      <c r="C33" s="2107" t="str">
        <f ca="1">TEXT(HYPERLINK("#"&amp;CELL("address",'Equipment Results Matrix'!A610),'Equipment Results Matrix'!A610),"0,000")</f>
        <v xml:space="preserve">Fan VFDs 
(&gt;10hp)
</v>
      </c>
      <c r="D33" s="2107"/>
      <c r="E33" s="2107"/>
      <c r="F33" s="2107"/>
      <c r="G33" s="2107"/>
      <c r="H33" s="2107"/>
      <c r="I33" s="680"/>
      <c r="J33" s="1525" t="str">
        <f ca="1">TEXT(HYPERLINK("#"&amp;CELL("address",'Labor Results Matrix'!A83),"Labor"),"0,000")</f>
        <v>Labor</v>
      </c>
      <c r="K33" s="1525"/>
      <c r="L33" s="2107" t="str">
        <f ca="1">TEXT(HYPERLINK("#"&amp;CELL("address",'Equipment + Labor'!A187),"Total installed cost"),"0,000")</f>
        <v>Total installed cost</v>
      </c>
      <c r="M33" s="2107"/>
      <c r="N33" s="2107"/>
      <c r="O33" s="673"/>
      <c r="P33" s="673"/>
      <c r="Q33" s="673"/>
      <c r="R33" s="673"/>
      <c r="S33" s="673"/>
      <c r="T33" s="673"/>
      <c r="U33" s="673"/>
      <c r="V33" s="673"/>
      <c r="W33" s="673"/>
      <c r="X33" s="673"/>
      <c r="Y33" s="673"/>
      <c r="Z33" s="673"/>
      <c r="AA33" s="673"/>
      <c r="AB33" s="673"/>
      <c r="AC33" s="673"/>
      <c r="AD33" s="673"/>
      <c r="AE33" s="673"/>
      <c r="AF33" s="673"/>
      <c r="AG33" s="673"/>
      <c r="AH33" s="673"/>
      <c r="AI33" s="673"/>
      <c r="AJ33" s="673"/>
      <c r="AK33" s="673"/>
      <c r="AL33" s="673"/>
      <c r="AM33" s="673"/>
      <c r="AN33" s="673"/>
      <c r="AO33" s="673"/>
      <c r="AP33" s="673"/>
      <c r="AQ33" s="673"/>
      <c r="AR33" s="673"/>
      <c r="AS33" s="673"/>
      <c r="AT33" s="673"/>
      <c r="AU33" s="673"/>
      <c r="AV33" s="673"/>
      <c r="AW33" s="673"/>
      <c r="AX33" s="673"/>
      <c r="AY33" s="673"/>
      <c r="AZ33" s="673"/>
      <c r="BA33" s="673"/>
      <c r="BB33" s="673"/>
      <c r="BC33" s="673"/>
      <c r="BD33" s="673"/>
      <c r="BE33" s="673"/>
      <c r="BF33" s="673"/>
      <c r="BG33" s="673"/>
      <c r="BH33" s="673"/>
      <c r="BI33" s="673"/>
      <c r="BJ33" s="673"/>
      <c r="BK33" s="673"/>
      <c r="BL33" s="673"/>
      <c r="BM33" s="673"/>
      <c r="BN33" s="673"/>
      <c r="BO33" s="673"/>
      <c r="BP33" s="673"/>
      <c r="BQ33" s="673"/>
      <c r="BR33" s="673"/>
      <c r="BS33" s="673"/>
      <c r="BT33" s="673"/>
      <c r="BU33" s="673"/>
      <c r="BV33" s="673"/>
      <c r="BW33" s="673"/>
      <c r="BX33" s="673"/>
      <c r="BY33" s="673"/>
      <c r="BZ33" s="673"/>
      <c r="CA33" s="673"/>
      <c r="CB33" s="673"/>
      <c r="CC33" s="673"/>
      <c r="CD33" s="673"/>
      <c r="CE33" s="673"/>
      <c r="CF33" s="673"/>
      <c r="CG33" s="673"/>
      <c r="CH33" s="673"/>
      <c r="CI33" s="673"/>
      <c r="CJ33" s="673"/>
      <c r="CK33" s="673"/>
      <c r="CL33" s="673"/>
      <c r="CM33" s="673"/>
      <c r="CN33" s="673"/>
      <c r="CO33" s="673"/>
      <c r="CP33" s="673"/>
      <c r="CQ33" s="673"/>
      <c r="CR33" s="673"/>
      <c r="CS33" s="673"/>
      <c r="CT33" s="673"/>
      <c r="CU33" s="673"/>
      <c r="CV33" s="673"/>
      <c r="CW33" s="673"/>
      <c r="CX33" s="673"/>
      <c r="CY33" s="673"/>
      <c r="CZ33" s="673"/>
      <c r="DA33" s="673"/>
      <c r="DB33" s="673"/>
      <c r="DC33" s="673"/>
      <c r="DD33" s="673"/>
      <c r="DE33" s="673"/>
      <c r="DF33" s="673"/>
      <c r="DG33" s="673"/>
      <c r="DH33" s="673"/>
      <c r="DI33" s="673"/>
      <c r="DJ33" s="673"/>
      <c r="DK33" s="673"/>
      <c r="DL33" s="673"/>
      <c r="DM33" s="673"/>
      <c r="DN33" s="673"/>
      <c r="DO33" s="673"/>
      <c r="DP33" s="673"/>
      <c r="DQ33" s="673"/>
      <c r="DR33" s="673"/>
      <c r="DS33" s="673"/>
      <c r="DT33" s="673"/>
      <c r="DU33" s="673"/>
      <c r="DV33" s="673"/>
      <c r="DW33" s="673"/>
      <c r="DX33" s="673"/>
      <c r="DY33" s="673"/>
      <c r="DZ33" s="673"/>
      <c r="EA33" s="673"/>
      <c r="EB33" s="673"/>
      <c r="EC33" s="673"/>
      <c r="ED33" s="673"/>
      <c r="EE33" s="673"/>
      <c r="EF33" s="673"/>
      <c r="EG33" s="673"/>
      <c r="EH33" s="673"/>
      <c r="EI33" s="673"/>
      <c r="EJ33" s="673"/>
      <c r="EK33" s="673"/>
      <c r="EL33" s="673"/>
      <c r="EM33" s="673"/>
      <c r="EN33" s="673"/>
      <c r="EO33" s="673"/>
      <c r="EP33" s="673"/>
      <c r="EQ33" s="673"/>
      <c r="ER33" s="673"/>
      <c r="ES33" s="673"/>
      <c r="ET33" s="673"/>
      <c r="EU33" s="673"/>
      <c r="EV33" s="673"/>
      <c r="EW33" s="673"/>
      <c r="EX33" s="673"/>
      <c r="EY33" s="673"/>
      <c r="EZ33" s="673"/>
      <c r="FA33" s="673"/>
      <c r="FB33" s="673"/>
      <c r="FC33" s="673"/>
      <c r="FD33" s="673"/>
      <c r="FE33" s="673"/>
      <c r="FF33" s="673"/>
      <c r="FG33" s="673"/>
      <c r="FH33" s="673"/>
      <c r="FI33" s="673"/>
      <c r="FJ33" s="673"/>
      <c r="FK33" s="673"/>
      <c r="FL33" s="673"/>
      <c r="FM33" s="673"/>
      <c r="FN33" s="673"/>
      <c r="FO33" s="673"/>
      <c r="FP33" s="673"/>
      <c r="FQ33" s="673"/>
      <c r="FR33" s="673"/>
      <c r="FS33" s="673"/>
      <c r="FT33" s="673"/>
      <c r="FU33" s="673"/>
      <c r="FV33" s="673"/>
      <c r="FW33" s="673"/>
      <c r="FX33" s="673"/>
      <c r="FY33" s="673"/>
      <c r="FZ33" s="673"/>
      <c r="GA33" s="673"/>
      <c r="GB33" s="673"/>
      <c r="GC33" s="673"/>
      <c r="GD33" s="673"/>
      <c r="GE33" s="673"/>
      <c r="GF33" s="673"/>
      <c r="GG33" s="673"/>
      <c r="GH33" s="673"/>
      <c r="GI33" s="673"/>
      <c r="GJ33" s="673"/>
      <c r="GK33" s="673"/>
      <c r="GL33" s="673"/>
      <c r="GM33" s="673"/>
      <c r="GN33" s="673"/>
      <c r="GO33" s="673"/>
      <c r="GP33" s="673"/>
      <c r="GQ33" s="673"/>
      <c r="GR33" s="673"/>
      <c r="GS33" s="673"/>
      <c r="GT33" s="673"/>
      <c r="GU33" s="673"/>
      <c r="GV33" s="673"/>
      <c r="GW33" s="673"/>
      <c r="GX33" s="673"/>
      <c r="GY33" s="673"/>
      <c r="GZ33" s="673"/>
      <c r="HA33" s="673"/>
      <c r="HB33" s="673"/>
      <c r="HC33" s="673"/>
      <c r="HD33" s="673"/>
      <c r="HE33" s="673"/>
      <c r="HF33" s="673"/>
      <c r="HG33" s="673"/>
      <c r="HH33" s="673"/>
      <c r="HI33" s="673"/>
      <c r="HJ33" s="673"/>
      <c r="HK33" s="673"/>
      <c r="HL33" s="673"/>
      <c r="HM33" s="673"/>
      <c r="HN33" s="673"/>
      <c r="HO33" s="673"/>
      <c r="HP33" s="673"/>
      <c r="HQ33" s="673"/>
      <c r="HR33" s="673"/>
      <c r="HS33" s="673"/>
      <c r="HT33" s="673"/>
      <c r="HU33" s="673"/>
      <c r="HV33" s="673"/>
      <c r="HW33" s="673"/>
      <c r="HX33" s="673"/>
      <c r="HY33" s="673"/>
      <c r="HZ33" s="673"/>
      <c r="IA33" s="673"/>
      <c r="IB33" s="673"/>
      <c r="IC33" s="673"/>
      <c r="ID33" s="673"/>
      <c r="IE33" s="673"/>
      <c r="IF33" s="673"/>
      <c r="IG33" s="673"/>
      <c r="IH33" s="673"/>
      <c r="II33" s="673"/>
      <c r="IJ33" s="673"/>
      <c r="IK33" s="673"/>
      <c r="IL33" s="673"/>
      <c r="IM33" s="673"/>
      <c r="IN33" s="673"/>
      <c r="IO33" s="673"/>
      <c r="IP33" s="673"/>
      <c r="IQ33" s="673"/>
      <c r="IR33" s="673"/>
      <c r="IS33" s="673"/>
      <c r="IT33" s="673"/>
      <c r="IU33" s="673"/>
      <c r="IV33" s="673"/>
      <c r="IW33" s="673"/>
      <c r="IX33" s="673"/>
      <c r="IY33" s="673"/>
      <c r="IZ33" s="673"/>
      <c r="JA33" s="673"/>
      <c r="JB33" s="673"/>
      <c r="JC33" s="673"/>
      <c r="JD33" s="673"/>
      <c r="JE33" s="673"/>
      <c r="JF33" s="673"/>
      <c r="JG33" s="673"/>
      <c r="JH33" s="673"/>
      <c r="JI33" s="673"/>
      <c r="JJ33" s="673"/>
      <c r="JK33" s="673"/>
      <c r="JL33" s="673"/>
      <c r="JM33" s="673"/>
      <c r="JN33" s="673"/>
      <c r="JO33" s="673"/>
      <c r="JP33" s="673"/>
      <c r="JQ33" s="673"/>
      <c r="JR33" s="673"/>
      <c r="JS33" s="673"/>
      <c r="JT33" s="673"/>
      <c r="JU33" s="673"/>
      <c r="JV33" s="673"/>
      <c r="JW33" s="673"/>
      <c r="JX33" s="673"/>
      <c r="JY33" s="673"/>
      <c r="JZ33" s="673"/>
      <c r="KA33" s="673"/>
      <c r="KB33" s="673"/>
      <c r="KC33" s="673"/>
      <c r="KD33" s="673"/>
      <c r="KE33" s="673"/>
      <c r="KF33" s="673"/>
      <c r="KG33" s="673"/>
      <c r="KH33" s="673"/>
      <c r="KI33" s="673"/>
      <c r="KJ33" s="673"/>
      <c r="KK33" s="673"/>
      <c r="KL33" s="673"/>
      <c r="KM33" s="673"/>
      <c r="KN33" s="673"/>
      <c r="KO33" s="673"/>
      <c r="KP33" s="673"/>
      <c r="KQ33" s="673"/>
      <c r="KR33" s="673"/>
      <c r="KS33" s="673"/>
      <c r="KT33" s="673"/>
      <c r="KU33" s="673"/>
      <c r="KV33" s="673"/>
      <c r="KW33" s="673"/>
      <c r="KX33" s="673"/>
      <c r="KY33" s="673"/>
      <c r="KZ33" s="673"/>
      <c r="LA33" s="673"/>
      <c r="LB33" s="673"/>
      <c r="LC33" s="673"/>
      <c r="LD33" s="673"/>
      <c r="LE33" s="673"/>
      <c r="LF33" s="673"/>
      <c r="LG33" s="673"/>
      <c r="LH33" s="673"/>
      <c r="LI33" s="673"/>
      <c r="LJ33" s="673"/>
      <c r="LK33" s="673"/>
      <c r="LL33" s="673"/>
      <c r="LM33" s="673"/>
      <c r="LN33" s="673"/>
      <c r="LO33" s="673"/>
      <c r="LP33" s="673"/>
      <c r="LQ33" s="673"/>
      <c r="LR33" s="673"/>
      <c r="LS33" s="673"/>
      <c r="LT33" s="673"/>
      <c r="LU33" s="673"/>
      <c r="LV33" s="673"/>
      <c r="LW33" s="673"/>
      <c r="LX33" s="673"/>
      <c r="LY33" s="673"/>
      <c r="LZ33" s="673"/>
      <c r="MA33" s="673"/>
      <c r="MB33" s="673"/>
      <c r="MC33" s="673"/>
      <c r="MD33" s="673"/>
      <c r="ME33" s="673"/>
      <c r="MF33" s="673"/>
      <c r="MG33" s="673"/>
      <c r="MH33" s="673"/>
      <c r="MI33" s="673"/>
      <c r="MJ33" s="673"/>
      <c r="MK33" s="673"/>
      <c r="ML33" s="673"/>
      <c r="MM33" s="673"/>
      <c r="MN33" s="673"/>
      <c r="MO33" s="673"/>
      <c r="MP33" s="673"/>
      <c r="MQ33" s="673"/>
      <c r="MR33" s="673"/>
      <c r="MS33" s="673"/>
      <c r="MT33" s="673"/>
      <c r="MU33" s="673"/>
      <c r="MV33" s="673"/>
      <c r="MW33" s="673"/>
      <c r="MX33" s="673"/>
      <c r="MY33" s="673"/>
      <c r="MZ33" s="673"/>
      <c r="NA33" s="673"/>
      <c r="NB33" s="673"/>
      <c r="NC33" s="673"/>
      <c r="ND33" s="673"/>
      <c r="NE33" s="673"/>
      <c r="NF33" s="673"/>
      <c r="NG33" s="673"/>
      <c r="NH33" s="673"/>
      <c r="NI33" s="673"/>
      <c r="NJ33" s="673"/>
      <c r="NK33" s="673"/>
      <c r="NL33" s="673"/>
      <c r="NM33" s="673"/>
      <c r="NN33" s="673"/>
      <c r="NO33" s="673"/>
      <c r="NP33" s="673"/>
      <c r="NQ33" s="673"/>
      <c r="NR33" s="673"/>
      <c r="NS33" s="673"/>
      <c r="NT33" s="673"/>
      <c r="NU33" s="673"/>
      <c r="NV33" s="673"/>
      <c r="NW33" s="673"/>
      <c r="NX33" s="673"/>
      <c r="NY33" s="673"/>
      <c r="NZ33" s="673"/>
      <c r="OA33" s="673"/>
      <c r="OB33" s="673"/>
      <c r="OC33" s="673"/>
      <c r="OD33" s="673"/>
      <c r="OE33" s="673"/>
      <c r="OF33" s="673"/>
      <c r="OG33" s="673"/>
      <c r="OH33" s="673"/>
      <c r="OI33" s="673"/>
      <c r="OJ33" s="673"/>
      <c r="OK33" s="673"/>
      <c r="OL33" s="673"/>
      <c r="OM33" s="673"/>
      <c r="ON33" s="673"/>
      <c r="OO33" s="673"/>
      <c r="OP33" s="673"/>
      <c r="OQ33" s="673"/>
      <c r="OR33" s="673"/>
      <c r="OS33" s="673"/>
      <c r="OT33" s="673"/>
      <c r="OU33" s="673"/>
      <c r="OV33" s="673"/>
      <c r="OW33" s="673"/>
      <c r="OX33" s="673"/>
      <c r="OY33" s="673"/>
      <c r="OZ33" s="673"/>
      <c r="PA33" s="673"/>
      <c r="PB33" s="673"/>
      <c r="PC33" s="673"/>
      <c r="PD33" s="673"/>
      <c r="PE33" s="673"/>
      <c r="PF33" s="673"/>
      <c r="PG33" s="673"/>
      <c r="PH33" s="673"/>
      <c r="PI33" s="673"/>
      <c r="PJ33" s="673"/>
      <c r="PK33" s="673"/>
      <c r="PL33" s="673"/>
      <c r="PM33" s="673"/>
      <c r="PN33" s="673"/>
      <c r="PO33" s="673"/>
      <c r="PP33" s="673"/>
      <c r="PQ33" s="673"/>
      <c r="PR33" s="673"/>
      <c r="PS33" s="673"/>
      <c r="PT33" s="673"/>
      <c r="PU33" s="673"/>
      <c r="PV33" s="673"/>
      <c r="PW33" s="673"/>
      <c r="PX33" s="673"/>
      <c r="PY33" s="673"/>
      <c r="PZ33" s="673"/>
      <c r="QA33" s="673"/>
      <c r="QB33" s="673"/>
      <c r="QC33" s="673"/>
      <c r="QD33" s="673"/>
      <c r="QE33" s="673"/>
      <c r="QF33" s="673"/>
      <c r="QG33" s="673"/>
      <c r="QH33" s="673"/>
      <c r="QI33" s="673"/>
      <c r="QJ33" s="673"/>
      <c r="QK33" s="673"/>
    </row>
    <row r="34" spans="1:453" s="558" customFormat="1">
      <c r="A34" s="680"/>
      <c r="B34" s="680"/>
      <c r="C34" s="2107" t="str">
        <f ca="1">TEXT(HYPERLINK("#"&amp;CELL("address",'Equipment Results Matrix'!A621),'Equipment Results Matrix'!A621),"0,000")</f>
        <v xml:space="preserve">Fan VFDs 
(&lt;= 10hp)
</v>
      </c>
      <c r="D34" s="2107"/>
      <c r="E34" s="2107"/>
      <c r="F34" s="2107"/>
      <c r="G34" s="2107"/>
      <c r="H34" s="2107"/>
      <c r="I34" s="680"/>
      <c r="J34" s="1525" t="str">
        <f ca="1">TEXT(HYPERLINK("#"&amp;CELL("address",'Labor Results Matrix'!A94),"Labor"),"0,000")</f>
        <v>Labor</v>
      </c>
      <c r="K34" s="1525"/>
      <c r="L34" s="2107" t="str">
        <f ca="1">TEXT(HYPERLINK("#"&amp;CELL("address",'Equipment + Labor'!A196),"Total installed cost"),"0,000")</f>
        <v>Total installed cost</v>
      </c>
      <c r="M34" s="2107"/>
      <c r="N34" s="2107"/>
      <c r="O34" s="673"/>
      <c r="P34" s="673"/>
      <c r="Q34" s="673"/>
      <c r="R34" s="673"/>
      <c r="S34" s="673"/>
      <c r="T34" s="673"/>
      <c r="U34" s="673"/>
      <c r="V34" s="673"/>
      <c r="W34" s="673"/>
      <c r="X34" s="673"/>
      <c r="Y34" s="673"/>
      <c r="Z34" s="673"/>
      <c r="AA34" s="673"/>
      <c r="AB34" s="673"/>
      <c r="AC34" s="673"/>
      <c r="AD34" s="673"/>
      <c r="AE34" s="673"/>
      <c r="AF34" s="673"/>
      <c r="AG34" s="673"/>
      <c r="AH34" s="673"/>
      <c r="AI34" s="673"/>
      <c r="AJ34" s="673"/>
      <c r="AK34" s="673"/>
      <c r="AL34" s="673"/>
      <c r="AM34" s="673"/>
      <c r="AN34" s="673"/>
      <c r="AO34" s="673"/>
      <c r="AP34" s="673"/>
      <c r="AQ34" s="673"/>
      <c r="AR34" s="673"/>
      <c r="AS34" s="673"/>
      <c r="AT34" s="673"/>
      <c r="AU34" s="673"/>
      <c r="AV34" s="673"/>
      <c r="AW34" s="673"/>
      <c r="AX34" s="673"/>
      <c r="AY34" s="673"/>
      <c r="AZ34" s="673"/>
      <c r="BA34" s="673"/>
      <c r="BB34" s="673"/>
      <c r="BC34" s="673"/>
      <c r="BD34" s="673"/>
      <c r="BE34" s="673"/>
      <c r="BF34" s="673"/>
      <c r="BG34" s="673"/>
      <c r="BH34" s="673"/>
      <c r="BI34" s="673"/>
      <c r="BJ34" s="673"/>
      <c r="BK34" s="673"/>
      <c r="BL34" s="673"/>
      <c r="BM34" s="673"/>
      <c r="BN34" s="673"/>
      <c r="BO34" s="673"/>
      <c r="BP34" s="673"/>
      <c r="BQ34" s="673"/>
      <c r="BR34" s="673"/>
      <c r="BS34" s="673"/>
      <c r="BT34" s="673"/>
      <c r="BU34" s="673"/>
      <c r="BV34" s="673"/>
      <c r="BW34" s="673"/>
      <c r="BX34" s="673"/>
      <c r="BY34" s="673"/>
      <c r="BZ34" s="673"/>
      <c r="CA34" s="673"/>
      <c r="CB34" s="673"/>
      <c r="CC34" s="673"/>
      <c r="CD34" s="673"/>
      <c r="CE34" s="673"/>
      <c r="CF34" s="673"/>
      <c r="CG34" s="673"/>
      <c r="CH34" s="673"/>
      <c r="CI34" s="673"/>
      <c r="CJ34" s="673"/>
      <c r="CK34" s="673"/>
      <c r="CL34" s="673"/>
      <c r="CM34" s="673"/>
      <c r="CN34" s="673"/>
      <c r="CO34" s="673"/>
      <c r="CP34" s="673"/>
      <c r="CQ34" s="673"/>
      <c r="CR34" s="673"/>
      <c r="CS34" s="673"/>
      <c r="CT34" s="673"/>
      <c r="CU34" s="673"/>
      <c r="CV34" s="673"/>
      <c r="CW34" s="673"/>
      <c r="CX34" s="673"/>
      <c r="CY34" s="673"/>
      <c r="CZ34" s="673"/>
      <c r="DA34" s="673"/>
      <c r="DB34" s="673"/>
      <c r="DC34" s="673"/>
      <c r="DD34" s="673"/>
      <c r="DE34" s="673"/>
      <c r="DF34" s="673"/>
      <c r="DG34" s="673"/>
      <c r="DH34" s="673"/>
      <c r="DI34" s="673"/>
      <c r="DJ34" s="673"/>
      <c r="DK34" s="673"/>
      <c r="DL34" s="673"/>
      <c r="DM34" s="673"/>
      <c r="DN34" s="673"/>
      <c r="DO34" s="673"/>
      <c r="DP34" s="673"/>
      <c r="DQ34" s="673"/>
      <c r="DR34" s="673"/>
      <c r="DS34" s="673"/>
      <c r="DT34" s="673"/>
      <c r="DU34" s="673"/>
      <c r="DV34" s="673"/>
      <c r="DW34" s="673"/>
      <c r="DX34" s="673"/>
      <c r="DY34" s="673"/>
      <c r="DZ34" s="673"/>
      <c r="EA34" s="673"/>
      <c r="EB34" s="673"/>
      <c r="EC34" s="673"/>
      <c r="ED34" s="673"/>
      <c r="EE34" s="673"/>
      <c r="EF34" s="673"/>
      <c r="EG34" s="673"/>
      <c r="EH34" s="673"/>
      <c r="EI34" s="673"/>
      <c r="EJ34" s="673"/>
      <c r="EK34" s="673"/>
      <c r="EL34" s="673"/>
      <c r="EM34" s="673"/>
      <c r="EN34" s="673"/>
      <c r="EO34" s="673"/>
      <c r="EP34" s="673"/>
      <c r="EQ34" s="673"/>
      <c r="ER34" s="673"/>
      <c r="ES34" s="673"/>
      <c r="ET34" s="673"/>
      <c r="EU34" s="673"/>
      <c r="EV34" s="673"/>
      <c r="EW34" s="673"/>
      <c r="EX34" s="673"/>
      <c r="EY34" s="673"/>
      <c r="EZ34" s="673"/>
      <c r="FA34" s="673"/>
      <c r="FB34" s="673"/>
      <c r="FC34" s="673"/>
      <c r="FD34" s="673"/>
      <c r="FE34" s="673"/>
      <c r="FF34" s="673"/>
      <c r="FG34" s="673"/>
      <c r="FH34" s="673"/>
      <c r="FI34" s="673"/>
      <c r="FJ34" s="673"/>
      <c r="FK34" s="673"/>
      <c r="FL34" s="673"/>
      <c r="FM34" s="673"/>
      <c r="FN34" s="673"/>
      <c r="FO34" s="673"/>
      <c r="FP34" s="673"/>
      <c r="FQ34" s="673"/>
      <c r="FR34" s="673"/>
      <c r="FS34" s="673"/>
      <c r="FT34" s="673"/>
      <c r="FU34" s="673"/>
      <c r="FV34" s="673"/>
      <c r="FW34" s="673"/>
      <c r="FX34" s="673"/>
      <c r="FY34" s="673"/>
      <c r="FZ34" s="673"/>
      <c r="GA34" s="673"/>
      <c r="GB34" s="673"/>
      <c r="GC34" s="673"/>
      <c r="GD34" s="673"/>
      <c r="GE34" s="673"/>
      <c r="GF34" s="673"/>
      <c r="GG34" s="673"/>
      <c r="GH34" s="673"/>
      <c r="GI34" s="673"/>
      <c r="GJ34" s="673"/>
      <c r="GK34" s="673"/>
      <c r="GL34" s="673"/>
      <c r="GM34" s="673"/>
      <c r="GN34" s="673"/>
      <c r="GO34" s="673"/>
      <c r="GP34" s="673"/>
      <c r="GQ34" s="673"/>
      <c r="GR34" s="673"/>
      <c r="GS34" s="673"/>
      <c r="GT34" s="673"/>
      <c r="GU34" s="673"/>
      <c r="GV34" s="673"/>
      <c r="GW34" s="673"/>
      <c r="GX34" s="673"/>
      <c r="GY34" s="673"/>
      <c r="GZ34" s="673"/>
      <c r="HA34" s="673"/>
      <c r="HB34" s="673"/>
      <c r="HC34" s="673"/>
      <c r="HD34" s="673"/>
      <c r="HE34" s="673"/>
      <c r="HF34" s="673"/>
      <c r="HG34" s="673"/>
      <c r="HH34" s="673"/>
      <c r="HI34" s="673"/>
      <c r="HJ34" s="673"/>
      <c r="HK34" s="673"/>
      <c r="HL34" s="673"/>
      <c r="HM34" s="673"/>
      <c r="HN34" s="673"/>
      <c r="HO34" s="673"/>
      <c r="HP34" s="673"/>
      <c r="HQ34" s="673"/>
      <c r="HR34" s="673"/>
      <c r="HS34" s="673"/>
      <c r="HT34" s="673"/>
      <c r="HU34" s="673"/>
      <c r="HV34" s="673"/>
      <c r="HW34" s="673"/>
      <c r="HX34" s="673"/>
      <c r="HY34" s="673"/>
      <c r="HZ34" s="673"/>
      <c r="IA34" s="673"/>
      <c r="IB34" s="673"/>
      <c r="IC34" s="673"/>
      <c r="ID34" s="673"/>
      <c r="IE34" s="673"/>
      <c r="IF34" s="673"/>
      <c r="IG34" s="673"/>
      <c r="IH34" s="673"/>
      <c r="II34" s="673"/>
      <c r="IJ34" s="673"/>
      <c r="IK34" s="673"/>
      <c r="IL34" s="673"/>
      <c r="IM34" s="673"/>
      <c r="IN34" s="673"/>
      <c r="IO34" s="673"/>
      <c r="IP34" s="673"/>
      <c r="IQ34" s="673"/>
      <c r="IR34" s="673"/>
      <c r="IS34" s="673"/>
      <c r="IT34" s="673"/>
      <c r="IU34" s="673"/>
      <c r="IV34" s="673"/>
      <c r="IW34" s="673"/>
      <c r="IX34" s="673"/>
      <c r="IY34" s="673"/>
      <c r="IZ34" s="673"/>
      <c r="JA34" s="673"/>
      <c r="JB34" s="673"/>
      <c r="JC34" s="673"/>
      <c r="JD34" s="673"/>
      <c r="JE34" s="673"/>
      <c r="JF34" s="673"/>
      <c r="JG34" s="673"/>
      <c r="JH34" s="673"/>
      <c r="JI34" s="673"/>
      <c r="JJ34" s="673"/>
      <c r="JK34" s="673"/>
      <c r="JL34" s="673"/>
      <c r="JM34" s="673"/>
      <c r="JN34" s="673"/>
      <c r="JO34" s="673"/>
      <c r="JP34" s="673"/>
      <c r="JQ34" s="673"/>
      <c r="JR34" s="673"/>
      <c r="JS34" s="673"/>
      <c r="JT34" s="673"/>
      <c r="JU34" s="673"/>
      <c r="JV34" s="673"/>
      <c r="JW34" s="673"/>
      <c r="JX34" s="673"/>
      <c r="JY34" s="673"/>
      <c r="JZ34" s="673"/>
      <c r="KA34" s="673"/>
      <c r="KB34" s="673"/>
      <c r="KC34" s="673"/>
      <c r="KD34" s="673"/>
      <c r="KE34" s="673"/>
      <c r="KF34" s="673"/>
      <c r="KG34" s="673"/>
      <c r="KH34" s="673"/>
      <c r="KI34" s="673"/>
      <c r="KJ34" s="673"/>
      <c r="KK34" s="673"/>
      <c r="KL34" s="673"/>
      <c r="KM34" s="673"/>
      <c r="KN34" s="673"/>
      <c r="KO34" s="673"/>
      <c r="KP34" s="673"/>
      <c r="KQ34" s="673"/>
      <c r="KR34" s="673"/>
      <c r="KS34" s="673"/>
      <c r="KT34" s="673"/>
      <c r="KU34" s="673"/>
      <c r="KV34" s="673"/>
      <c r="KW34" s="673"/>
      <c r="KX34" s="673"/>
      <c r="KY34" s="673"/>
      <c r="KZ34" s="673"/>
      <c r="LA34" s="673"/>
      <c r="LB34" s="673"/>
      <c r="LC34" s="673"/>
      <c r="LD34" s="673"/>
      <c r="LE34" s="673"/>
      <c r="LF34" s="673"/>
      <c r="LG34" s="673"/>
      <c r="LH34" s="673"/>
      <c r="LI34" s="673"/>
      <c r="LJ34" s="673"/>
      <c r="LK34" s="673"/>
      <c r="LL34" s="673"/>
      <c r="LM34" s="673"/>
      <c r="LN34" s="673"/>
      <c r="LO34" s="673"/>
      <c r="LP34" s="673"/>
      <c r="LQ34" s="673"/>
      <c r="LR34" s="673"/>
      <c r="LS34" s="673"/>
      <c r="LT34" s="673"/>
      <c r="LU34" s="673"/>
      <c r="LV34" s="673"/>
      <c r="LW34" s="673"/>
      <c r="LX34" s="673"/>
      <c r="LY34" s="673"/>
      <c r="LZ34" s="673"/>
      <c r="MA34" s="673"/>
      <c r="MB34" s="673"/>
      <c r="MC34" s="673"/>
      <c r="MD34" s="673"/>
      <c r="ME34" s="673"/>
      <c r="MF34" s="673"/>
      <c r="MG34" s="673"/>
      <c r="MH34" s="673"/>
      <c r="MI34" s="673"/>
      <c r="MJ34" s="673"/>
      <c r="MK34" s="673"/>
      <c r="ML34" s="673"/>
      <c r="MM34" s="673"/>
      <c r="MN34" s="673"/>
      <c r="MO34" s="673"/>
      <c r="MP34" s="673"/>
      <c r="MQ34" s="673"/>
      <c r="MR34" s="673"/>
      <c r="MS34" s="673"/>
      <c r="MT34" s="673"/>
      <c r="MU34" s="673"/>
      <c r="MV34" s="673"/>
      <c r="MW34" s="673"/>
      <c r="MX34" s="673"/>
      <c r="MY34" s="673"/>
      <c r="MZ34" s="673"/>
      <c r="NA34" s="673"/>
      <c r="NB34" s="673"/>
      <c r="NC34" s="673"/>
      <c r="ND34" s="673"/>
      <c r="NE34" s="673"/>
      <c r="NF34" s="673"/>
      <c r="NG34" s="673"/>
      <c r="NH34" s="673"/>
      <c r="NI34" s="673"/>
      <c r="NJ34" s="673"/>
      <c r="NK34" s="673"/>
      <c r="NL34" s="673"/>
      <c r="NM34" s="673"/>
      <c r="NN34" s="673"/>
      <c r="NO34" s="673"/>
      <c r="NP34" s="673"/>
      <c r="NQ34" s="673"/>
      <c r="NR34" s="673"/>
      <c r="NS34" s="673"/>
      <c r="NT34" s="673"/>
      <c r="NU34" s="673"/>
      <c r="NV34" s="673"/>
      <c r="NW34" s="673"/>
      <c r="NX34" s="673"/>
      <c r="NY34" s="673"/>
      <c r="NZ34" s="673"/>
      <c r="OA34" s="673"/>
      <c r="OB34" s="673"/>
      <c r="OC34" s="673"/>
      <c r="OD34" s="673"/>
      <c r="OE34" s="673"/>
      <c r="OF34" s="673"/>
      <c r="OG34" s="673"/>
      <c r="OH34" s="673"/>
      <c r="OI34" s="673"/>
      <c r="OJ34" s="673"/>
      <c r="OK34" s="673"/>
      <c r="OL34" s="673"/>
      <c r="OM34" s="673"/>
      <c r="ON34" s="673"/>
      <c r="OO34" s="673"/>
      <c r="OP34" s="673"/>
      <c r="OQ34" s="673"/>
      <c r="OR34" s="673"/>
      <c r="OS34" s="673"/>
      <c r="OT34" s="673"/>
      <c r="OU34" s="673"/>
      <c r="OV34" s="673"/>
      <c r="OW34" s="673"/>
      <c r="OX34" s="673"/>
      <c r="OY34" s="673"/>
      <c r="OZ34" s="673"/>
      <c r="PA34" s="673"/>
      <c r="PB34" s="673"/>
      <c r="PC34" s="673"/>
      <c r="PD34" s="673"/>
      <c r="PE34" s="673"/>
      <c r="PF34" s="673"/>
      <c r="PG34" s="673"/>
      <c r="PH34" s="673"/>
      <c r="PI34" s="673"/>
      <c r="PJ34" s="673"/>
      <c r="PK34" s="673"/>
      <c r="PL34" s="673"/>
      <c r="PM34" s="673"/>
      <c r="PN34" s="673"/>
      <c r="PO34" s="673"/>
      <c r="PP34" s="673"/>
      <c r="PQ34" s="673"/>
      <c r="PR34" s="673"/>
      <c r="PS34" s="673"/>
      <c r="PT34" s="673"/>
      <c r="PU34" s="673"/>
      <c r="PV34" s="673"/>
      <c r="PW34" s="673"/>
      <c r="PX34" s="673"/>
      <c r="PY34" s="673"/>
      <c r="PZ34" s="673"/>
      <c r="QA34" s="673"/>
      <c r="QB34" s="673"/>
      <c r="QC34" s="673"/>
      <c r="QD34" s="673"/>
      <c r="QE34" s="673"/>
      <c r="QF34" s="673"/>
      <c r="QG34" s="673"/>
      <c r="QH34" s="673"/>
      <c r="QI34" s="673"/>
      <c r="QJ34" s="673"/>
      <c r="QK34" s="673"/>
    </row>
    <row r="35" spans="1:453" s="558" customFormat="1">
      <c r="A35" s="680"/>
      <c r="B35" s="680"/>
      <c r="C35" s="2107" t="str">
        <f ca="1">TEXT(HYPERLINK("#"&amp;CELL("address",'Equipment Results Matrix'!A632),'Equipment Results Matrix'!A632),"0,000")</f>
        <v>Demand Control Ventilation</v>
      </c>
      <c r="D35" s="2107"/>
      <c r="E35" s="2107"/>
      <c r="F35" s="2107"/>
      <c r="G35" s="2107"/>
      <c r="H35" s="2107"/>
      <c r="I35" s="680"/>
      <c r="J35" s="1525" t="str">
        <f ca="1">TEXT(HYPERLINK("#"&amp;CELL("address",'Labor Results Matrix'!A105),"Labor"),"0,000")</f>
        <v>Labor</v>
      </c>
      <c r="K35" s="1525"/>
      <c r="L35" s="2107" t="str">
        <f ca="1">TEXT(HYPERLINK("#"&amp;CELL("address",'Equipment + Labor'!A202),"Total installed cost"),"0,000")</f>
        <v>Total installed cost</v>
      </c>
      <c r="M35" s="2107"/>
      <c r="N35" s="2107"/>
      <c r="O35" s="673"/>
      <c r="P35" s="673"/>
      <c r="Q35" s="673"/>
      <c r="R35" s="673"/>
      <c r="S35" s="673"/>
      <c r="T35" s="673"/>
      <c r="U35" s="673"/>
      <c r="V35" s="673"/>
      <c r="W35" s="673"/>
      <c r="X35" s="673"/>
      <c r="Y35" s="673"/>
      <c r="Z35" s="673"/>
      <c r="AA35" s="673"/>
      <c r="AB35" s="673"/>
      <c r="AC35" s="673"/>
      <c r="AD35" s="673"/>
      <c r="AE35" s="673"/>
      <c r="AF35" s="673"/>
      <c r="AG35" s="673"/>
      <c r="AH35" s="673"/>
      <c r="AI35" s="673"/>
      <c r="AJ35" s="673"/>
      <c r="AK35" s="673"/>
      <c r="AL35" s="673"/>
      <c r="AM35" s="673"/>
      <c r="AN35" s="673"/>
      <c r="AO35" s="673"/>
      <c r="AP35" s="673"/>
      <c r="AQ35" s="673"/>
      <c r="AR35" s="673"/>
      <c r="AS35" s="673"/>
      <c r="AT35" s="673"/>
      <c r="AU35" s="673"/>
      <c r="AV35" s="673"/>
      <c r="AW35" s="673"/>
      <c r="AX35" s="673"/>
      <c r="AY35" s="673"/>
      <c r="AZ35" s="673"/>
      <c r="BA35" s="673"/>
      <c r="BB35" s="673"/>
      <c r="BC35" s="673"/>
      <c r="BD35" s="673"/>
      <c r="BE35" s="673"/>
      <c r="BF35" s="673"/>
      <c r="BG35" s="673"/>
      <c r="BH35" s="673"/>
      <c r="BI35" s="673"/>
      <c r="BJ35" s="673"/>
      <c r="BK35" s="673"/>
      <c r="BL35" s="673"/>
      <c r="BM35" s="673"/>
      <c r="BN35" s="673"/>
      <c r="BO35" s="673"/>
      <c r="BP35" s="673"/>
      <c r="BQ35" s="673"/>
      <c r="BR35" s="673"/>
      <c r="BS35" s="673"/>
      <c r="BT35" s="673"/>
      <c r="BU35" s="673"/>
      <c r="BV35" s="673"/>
      <c r="BW35" s="673"/>
      <c r="BX35" s="673"/>
      <c r="BY35" s="673"/>
      <c r="BZ35" s="673"/>
      <c r="CA35" s="673"/>
      <c r="CB35" s="673"/>
      <c r="CC35" s="673"/>
      <c r="CD35" s="673"/>
      <c r="CE35" s="673"/>
      <c r="CF35" s="673"/>
      <c r="CG35" s="673"/>
      <c r="CH35" s="673"/>
      <c r="CI35" s="673"/>
      <c r="CJ35" s="673"/>
      <c r="CK35" s="673"/>
      <c r="CL35" s="673"/>
      <c r="CM35" s="673"/>
      <c r="CN35" s="673"/>
      <c r="CO35" s="673"/>
      <c r="CP35" s="673"/>
      <c r="CQ35" s="673"/>
      <c r="CR35" s="673"/>
      <c r="CS35" s="673"/>
      <c r="CT35" s="673"/>
      <c r="CU35" s="673"/>
      <c r="CV35" s="673"/>
      <c r="CW35" s="673"/>
      <c r="CX35" s="673"/>
      <c r="CY35" s="673"/>
      <c r="CZ35" s="673"/>
      <c r="DA35" s="673"/>
      <c r="DB35" s="673"/>
      <c r="DC35" s="673"/>
      <c r="DD35" s="673"/>
      <c r="DE35" s="673"/>
      <c r="DF35" s="673"/>
      <c r="DG35" s="673"/>
      <c r="DH35" s="673"/>
      <c r="DI35" s="673"/>
      <c r="DJ35" s="673"/>
      <c r="DK35" s="673"/>
      <c r="DL35" s="673"/>
      <c r="DM35" s="673"/>
      <c r="DN35" s="673"/>
      <c r="DO35" s="673"/>
      <c r="DP35" s="673"/>
      <c r="DQ35" s="673"/>
      <c r="DR35" s="673"/>
      <c r="DS35" s="673"/>
      <c r="DT35" s="673"/>
      <c r="DU35" s="673"/>
      <c r="DV35" s="673"/>
      <c r="DW35" s="673"/>
      <c r="DX35" s="673"/>
      <c r="DY35" s="673"/>
      <c r="DZ35" s="673"/>
      <c r="EA35" s="673"/>
      <c r="EB35" s="673"/>
      <c r="EC35" s="673"/>
      <c r="ED35" s="673"/>
      <c r="EE35" s="673"/>
      <c r="EF35" s="673"/>
      <c r="EG35" s="673"/>
      <c r="EH35" s="673"/>
      <c r="EI35" s="673"/>
      <c r="EJ35" s="673"/>
      <c r="EK35" s="673"/>
      <c r="EL35" s="673"/>
      <c r="EM35" s="673"/>
      <c r="EN35" s="673"/>
      <c r="EO35" s="673"/>
      <c r="EP35" s="673"/>
      <c r="EQ35" s="673"/>
      <c r="ER35" s="673"/>
      <c r="ES35" s="673"/>
      <c r="ET35" s="673"/>
      <c r="EU35" s="673"/>
      <c r="EV35" s="673"/>
      <c r="EW35" s="673"/>
      <c r="EX35" s="673"/>
      <c r="EY35" s="673"/>
      <c r="EZ35" s="673"/>
      <c r="FA35" s="673"/>
      <c r="FB35" s="673"/>
      <c r="FC35" s="673"/>
      <c r="FD35" s="673"/>
      <c r="FE35" s="673"/>
      <c r="FF35" s="673"/>
      <c r="FG35" s="673"/>
      <c r="FH35" s="673"/>
      <c r="FI35" s="673"/>
      <c r="FJ35" s="673"/>
      <c r="FK35" s="673"/>
      <c r="FL35" s="673"/>
      <c r="FM35" s="673"/>
      <c r="FN35" s="673"/>
      <c r="FO35" s="673"/>
      <c r="FP35" s="673"/>
      <c r="FQ35" s="673"/>
      <c r="FR35" s="673"/>
      <c r="FS35" s="673"/>
      <c r="FT35" s="673"/>
      <c r="FU35" s="673"/>
      <c r="FV35" s="673"/>
      <c r="FW35" s="673"/>
      <c r="FX35" s="673"/>
      <c r="FY35" s="673"/>
      <c r="FZ35" s="673"/>
      <c r="GA35" s="673"/>
      <c r="GB35" s="673"/>
      <c r="GC35" s="673"/>
      <c r="GD35" s="673"/>
      <c r="GE35" s="673"/>
      <c r="GF35" s="673"/>
      <c r="GG35" s="673"/>
      <c r="GH35" s="673"/>
      <c r="GI35" s="673"/>
      <c r="GJ35" s="673"/>
      <c r="GK35" s="673"/>
      <c r="GL35" s="673"/>
      <c r="GM35" s="673"/>
      <c r="GN35" s="673"/>
      <c r="GO35" s="673"/>
      <c r="GP35" s="673"/>
      <c r="GQ35" s="673"/>
      <c r="GR35" s="673"/>
      <c r="GS35" s="673"/>
      <c r="GT35" s="673"/>
      <c r="GU35" s="673"/>
      <c r="GV35" s="673"/>
      <c r="GW35" s="673"/>
      <c r="GX35" s="673"/>
      <c r="GY35" s="673"/>
      <c r="GZ35" s="673"/>
      <c r="HA35" s="673"/>
      <c r="HB35" s="673"/>
      <c r="HC35" s="673"/>
      <c r="HD35" s="673"/>
      <c r="HE35" s="673"/>
      <c r="HF35" s="673"/>
      <c r="HG35" s="673"/>
      <c r="HH35" s="673"/>
      <c r="HI35" s="673"/>
      <c r="HJ35" s="673"/>
      <c r="HK35" s="673"/>
      <c r="HL35" s="673"/>
      <c r="HM35" s="673"/>
      <c r="HN35" s="673"/>
      <c r="HO35" s="673"/>
      <c r="HP35" s="673"/>
      <c r="HQ35" s="673"/>
      <c r="HR35" s="673"/>
      <c r="HS35" s="673"/>
      <c r="HT35" s="673"/>
      <c r="HU35" s="673"/>
      <c r="HV35" s="673"/>
      <c r="HW35" s="673"/>
      <c r="HX35" s="673"/>
      <c r="HY35" s="673"/>
      <c r="HZ35" s="673"/>
      <c r="IA35" s="673"/>
      <c r="IB35" s="673"/>
      <c r="IC35" s="673"/>
      <c r="ID35" s="673"/>
      <c r="IE35" s="673"/>
      <c r="IF35" s="673"/>
      <c r="IG35" s="673"/>
      <c r="IH35" s="673"/>
      <c r="II35" s="673"/>
      <c r="IJ35" s="673"/>
      <c r="IK35" s="673"/>
      <c r="IL35" s="673"/>
      <c r="IM35" s="673"/>
      <c r="IN35" s="673"/>
      <c r="IO35" s="673"/>
      <c r="IP35" s="673"/>
      <c r="IQ35" s="673"/>
      <c r="IR35" s="673"/>
      <c r="IS35" s="673"/>
      <c r="IT35" s="673"/>
      <c r="IU35" s="673"/>
      <c r="IV35" s="673"/>
      <c r="IW35" s="673"/>
      <c r="IX35" s="673"/>
      <c r="IY35" s="673"/>
      <c r="IZ35" s="673"/>
      <c r="JA35" s="673"/>
      <c r="JB35" s="673"/>
      <c r="JC35" s="673"/>
      <c r="JD35" s="673"/>
      <c r="JE35" s="673"/>
      <c r="JF35" s="673"/>
      <c r="JG35" s="673"/>
      <c r="JH35" s="673"/>
      <c r="JI35" s="673"/>
      <c r="JJ35" s="673"/>
      <c r="JK35" s="673"/>
      <c r="JL35" s="673"/>
      <c r="JM35" s="673"/>
      <c r="JN35" s="673"/>
      <c r="JO35" s="673"/>
      <c r="JP35" s="673"/>
      <c r="JQ35" s="673"/>
      <c r="JR35" s="673"/>
      <c r="JS35" s="673"/>
      <c r="JT35" s="673"/>
      <c r="JU35" s="673"/>
      <c r="JV35" s="673"/>
      <c r="JW35" s="673"/>
      <c r="JX35" s="673"/>
      <c r="JY35" s="673"/>
      <c r="JZ35" s="673"/>
      <c r="KA35" s="673"/>
      <c r="KB35" s="673"/>
      <c r="KC35" s="673"/>
      <c r="KD35" s="673"/>
      <c r="KE35" s="673"/>
      <c r="KF35" s="673"/>
      <c r="KG35" s="673"/>
      <c r="KH35" s="673"/>
      <c r="KI35" s="673"/>
      <c r="KJ35" s="673"/>
      <c r="KK35" s="673"/>
      <c r="KL35" s="673"/>
      <c r="KM35" s="673"/>
      <c r="KN35" s="673"/>
      <c r="KO35" s="673"/>
      <c r="KP35" s="673"/>
      <c r="KQ35" s="673"/>
      <c r="KR35" s="673"/>
      <c r="KS35" s="673"/>
      <c r="KT35" s="673"/>
      <c r="KU35" s="673"/>
      <c r="KV35" s="673"/>
      <c r="KW35" s="673"/>
      <c r="KX35" s="673"/>
      <c r="KY35" s="673"/>
      <c r="KZ35" s="673"/>
      <c r="LA35" s="673"/>
      <c r="LB35" s="673"/>
      <c r="LC35" s="673"/>
      <c r="LD35" s="673"/>
      <c r="LE35" s="673"/>
      <c r="LF35" s="673"/>
      <c r="LG35" s="673"/>
      <c r="LH35" s="673"/>
      <c r="LI35" s="673"/>
      <c r="LJ35" s="673"/>
      <c r="LK35" s="673"/>
      <c r="LL35" s="673"/>
      <c r="LM35" s="673"/>
      <c r="LN35" s="673"/>
      <c r="LO35" s="673"/>
      <c r="LP35" s="673"/>
      <c r="LQ35" s="673"/>
      <c r="LR35" s="673"/>
      <c r="LS35" s="673"/>
      <c r="LT35" s="673"/>
      <c r="LU35" s="673"/>
      <c r="LV35" s="673"/>
      <c r="LW35" s="673"/>
      <c r="LX35" s="673"/>
      <c r="LY35" s="673"/>
      <c r="LZ35" s="673"/>
      <c r="MA35" s="673"/>
      <c r="MB35" s="673"/>
      <c r="MC35" s="673"/>
      <c r="MD35" s="673"/>
      <c r="ME35" s="673"/>
      <c r="MF35" s="673"/>
      <c r="MG35" s="673"/>
      <c r="MH35" s="673"/>
      <c r="MI35" s="673"/>
      <c r="MJ35" s="673"/>
      <c r="MK35" s="673"/>
      <c r="ML35" s="673"/>
      <c r="MM35" s="673"/>
      <c r="MN35" s="673"/>
      <c r="MO35" s="673"/>
      <c r="MP35" s="673"/>
      <c r="MQ35" s="673"/>
      <c r="MR35" s="673"/>
      <c r="MS35" s="673"/>
      <c r="MT35" s="673"/>
      <c r="MU35" s="673"/>
      <c r="MV35" s="673"/>
      <c r="MW35" s="673"/>
      <c r="MX35" s="673"/>
      <c r="MY35" s="673"/>
      <c r="MZ35" s="673"/>
      <c r="NA35" s="673"/>
      <c r="NB35" s="673"/>
      <c r="NC35" s="673"/>
      <c r="ND35" s="673"/>
      <c r="NE35" s="673"/>
      <c r="NF35" s="673"/>
      <c r="NG35" s="673"/>
      <c r="NH35" s="673"/>
      <c r="NI35" s="673"/>
      <c r="NJ35" s="673"/>
      <c r="NK35" s="673"/>
      <c r="NL35" s="673"/>
      <c r="NM35" s="673"/>
      <c r="NN35" s="673"/>
      <c r="NO35" s="673"/>
      <c r="NP35" s="673"/>
      <c r="NQ35" s="673"/>
      <c r="NR35" s="673"/>
      <c r="NS35" s="673"/>
      <c r="NT35" s="673"/>
      <c r="NU35" s="673"/>
      <c r="NV35" s="673"/>
      <c r="NW35" s="673"/>
      <c r="NX35" s="673"/>
      <c r="NY35" s="673"/>
      <c r="NZ35" s="673"/>
      <c r="OA35" s="673"/>
      <c r="OB35" s="673"/>
      <c r="OC35" s="673"/>
      <c r="OD35" s="673"/>
      <c r="OE35" s="673"/>
      <c r="OF35" s="673"/>
      <c r="OG35" s="673"/>
      <c r="OH35" s="673"/>
      <c r="OI35" s="673"/>
      <c r="OJ35" s="673"/>
      <c r="OK35" s="673"/>
      <c r="OL35" s="673"/>
      <c r="OM35" s="673"/>
      <c r="ON35" s="673"/>
      <c r="OO35" s="673"/>
      <c r="OP35" s="673"/>
      <c r="OQ35" s="673"/>
      <c r="OR35" s="673"/>
      <c r="OS35" s="673"/>
      <c r="OT35" s="673"/>
      <c r="OU35" s="673"/>
      <c r="OV35" s="673"/>
      <c r="OW35" s="673"/>
      <c r="OX35" s="673"/>
      <c r="OY35" s="673"/>
      <c r="OZ35" s="673"/>
      <c r="PA35" s="673"/>
      <c r="PB35" s="673"/>
      <c r="PC35" s="673"/>
      <c r="PD35" s="673"/>
      <c r="PE35" s="673"/>
      <c r="PF35" s="673"/>
      <c r="PG35" s="673"/>
      <c r="PH35" s="673"/>
      <c r="PI35" s="673"/>
      <c r="PJ35" s="673"/>
      <c r="PK35" s="673"/>
      <c r="PL35" s="673"/>
      <c r="PM35" s="673"/>
      <c r="PN35" s="673"/>
      <c r="PO35" s="673"/>
      <c r="PP35" s="673"/>
      <c r="PQ35" s="673"/>
      <c r="PR35" s="673"/>
      <c r="PS35" s="673"/>
      <c r="PT35" s="673"/>
      <c r="PU35" s="673"/>
      <c r="PV35" s="673"/>
      <c r="PW35" s="673"/>
      <c r="PX35" s="673"/>
      <c r="PY35" s="673"/>
      <c r="PZ35" s="673"/>
      <c r="QA35" s="673"/>
      <c r="QB35" s="673"/>
      <c r="QC35" s="673"/>
      <c r="QD35" s="673"/>
      <c r="QE35" s="673"/>
      <c r="QF35" s="673"/>
      <c r="QG35" s="673"/>
      <c r="QH35" s="673"/>
      <c r="QI35" s="673"/>
      <c r="QJ35" s="673"/>
      <c r="QK35" s="673"/>
    </row>
    <row r="36" spans="1:453" s="558" customFormat="1">
      <c r="A36" s="680"/>
      <c r="B36" s="680"/>
      <c r="C36" s="2107" t="str">
        <f ca="1">TEXT(HYPERLINK("#"&amp;CELL("address",'Equipment Results Matrix'!A658),'Equipment Results Matrix'!A658),"0,000")</f>
        <v>Direct Evaporative Coolers 
(non-residential)</v>
      </c>
      <c r="D36" s="2107"/>
      <c r="E36" s="2107"/>
      <c r="F36" s="2107"/>
      <c r="G36" s="2107"/>
      <c r="H36" s="2107"/>
      <c r="I36" s="680"/>
      <c r="J36" s="1525" t="str">
        <f ca="1">TEXT(HYPERLINK("#"&amp;CELL("address",'Labor Results Matrix'!A131),"Labor"),"0,000")</f>
        <v>Labor</v>
      </c>
      <c r="K36" s="1525"/>
      <c r="L36" s="2107" t="str">
        <f ca="1">TEXT(HYPERLINK("#"&amp;CELL("address",'Equipment + Labor'!A215),"Total installed cost"),"0,000")</f>
        <v>Total installed cost</v>
      </c>
      <c r="M36" s="2107"/>
      <c r="N36" s="2107"/>
      <c r="O36" s="673"/>
      <c r="P36" s="673"/>
      <c r="Q36" s="673"/>
      <c r="R36" s="673"/>
      <c r="S36" s="673"/>
      <c r="T36" s="673"/>
      <c r="U36" s="673"/>
      <c r="V36" s="673"/>
      <c r="W36" s="673"/>
      <c r="X36" s="673"/>
      <c r="Y36" s="673"/>
      <c r="Z36" s="673"/>
      <c r="AA36" s="673"/>
      <c r="AB36" s="673"/>
      <c r="AC36" s="673"/>
      <c r="AD36" s="673"/>
      <c r="AE36" s="673"/>
      <c r="AF36" s="673"/>
      <c r="AG36" s="673"/>
      <c r="AH36" s="673"/>
      <c r="AI36" s="673"/>
      <c r="AJ36" s="673"/>
      <c r="AK36" s="673"/>
      <c r="AL36" s="673"/>
      <c r="AM36" s="673"/>
      <c r="AN36" s="673"/>
      <c r="AO36" s="673"/>
      <c r="AP36" s="673"/>
      <c r="AQ36" s="673"/>
      <c r="AR36" s="673"/>
      <c r="AS36" s="673"/>
      <c r="AT36" s="673"/>
      <c r="AU36" s="673"/>
      <c r="AV36" s="673"/>
      <c r="AW36" s="673"/>
      <c r="AX36" s="673"/>
      <c r="AY36" s="673"/>
      <c r="AZ36" s="673"/>
      <c r="BA36" s="673"/>
      <c r="BB36" s="673"/>
      <c r="BC36" s="673"/>
      <c r="BD36" s="673"/>
      <c r="BE36" s="673"/>
      <c r="BF36" s="673"/>
      <c r="BG36" s="673"/>
      <c r="BH36" s="673"/>
      <c r="BI36" s="673"/>
      <c r="BJ36" s="673"/>
      <c r="BK36" s="673"/>
      <c r="BL36" s="673"/>
      <c r="BM36" s="673"/>
      <c r="BN36" s="673"/>
      <c r="BO36" s="673"/>
      <c r="BP36" s="673"/>
      <c r="BQ36" s="673"/>
      <c r="BR36" s="673"/>
      <c r="BS36" s="673"/>
      <c r="BT36" s="673"/>
      <c r="BU36" s="673"/>
      <c r="BV36" s="673"/>
      <c r="BW36" s="673"/>
      <c r="BX36" s="673"/>
      <c r="BY36" s="673"/>
      <c r="BZ36" s="673"/>
      <c r="CA36" s="673"/>
      <c r="CB36" s="673"/>
      <c r="CC36" s="673"/>
      <c r="CD36" s="673"/>
      <c r="CE36" s="673"/>
      <c r="CF36" s="673"/>
      <c r="CG36" s="673"/>
      <c r="CH36" s="673"/>
      <c r="CI36" s="673"/>
      <c r="CJ36" s="673"/>
      <c r="CK36" s="673"/>
      <c r="CL36" s="673"/>
      <c r="CM36" s="673"/>
      <c r="CN36" s="673"/>
      <c r="CO36" s="673"/>
      <c r="CP36" s="673"/>
      <c r="CQ36" s="673"/>
      <c r="CR36" s="673"/>
      <c r="CS36" s="673"/>
      <c r="CT36" s="673"/>
      <c r="CU36" s="673"/>
      <c r="CV36" s="673"/>
      <c r="CW36" s="673"/>
      <c r="CX36" s="673"/>
      <c r="CY36" s="673"/>
      <c r="CZ36" s="673"/>
      <c r="DA36" s="673"/>
      <c r="DB36" s="673"/>
      <c r="DC36" s="673"/>
      <c r="DD36" s="673"/>
      <c r="DE36" s="673"/>
      <c r="DF36" s="673"/>
      <c r="DG36" s="673"/>
      <c r="DH36" s="673"/>
      <c r="DI36" s="673"/>
      <c r="DJ36" s="673"/>
      <c r="DK36" s="673"/>
      <c r="DL36" s="673"/>
      <c r="DM36" s="673"/>
      <c r="DN36" s="673"/>
      <c r="DO36" s="673"/>
      <c r="DP36" s="673"/>
      <c r="DQ36" s="673"/>
      <c r="DR36" s="673"/>
      <c r="DS36" s="673"/>
      <c r="DT36" s="673"/>
      <c r="DU36" s="673"/>
      <c r="DV36" s="673"/>
      <c r="DW36" s="673"/>
      <c r="DX36" s="673"/>
      <c r="DY36" s="673"/>
      <c r="DZ36" s="673"/>
      <c r="EA36" s="673"/>
      <c r="EB36" s="673"/>
      <c r="EC36" s="673"/>
      <c r="ED36" s="673"/>
      <c r="EE36" s="673"/>
      <c r="EF36" s="673"/>
      <c r="EG36" s="673"/>
      <c r="EH36" s="673"/>
      <c r="EI36" s="673"/>
      <c r="EJ36" s="673"/>
      <c r="EK36" s="673"/>
      <c r="EL36" s="673"/>
      <c r="EM36" s="673"/>
      <c r="EN36" s="673"/>
      <c r="EO36" s="673"/>
      <c r="EP36" s="673"/>
      <c r="EQ36" s="673"/>
      <c r="ER36" s="673"/>
      <c r="ES36" s="673"/>
      <c r="ET36" s="673"/>
      <c r="EU36" s="673"/>
      <c r="EV36" s="673"/>
      <c r="EW36" s="673"/>
      <c r="EX36" s="673"/>
      <c r="EY36" s="673"/>
      <c r="EZ36" s="673"/>
      <c r="FA36" s="673"/>
      <c r="FB36" s="673"/>
      <c r="FC36" s="673"/>
      <c r="FD36" s="673"/>
      <c r="FE36" s="673"/>
      <c r="FF36" s="673"/>
      <c r="FG36" s="673"/>
      <c r="FH36" s="673"/>
      <c r="FI36" s="673"/>
      <c r="FJ36" s="673"/>
      <c r="FK36" s="673"/>
      <c r="FL36" s="673"/>
      <c r="FM36" s="673"/>
      <c r="FN36" s="673"/>
      <c r="FO36" s="673"/>
      <c r="FP36" s="673"/>
      <c r="FQ36" s="673"/>
      <c r="FR36" s="673"/>
      <c r="FS36" s="673"/>
      <c r="FT36" s="673"/>
      <c r="FU36" s="673"/>
      <c r="FV36" s="673"/>
      <c r="FW36" s="673"/>
      <c r="FX36" s="673"/>
      <c r="FY36" s="673"/>
      <c r="FZ36" s="673"/>
      <c r="GA36" s="673"/>
      <c r="GB36" s="673"/>
      <c r="GC36" s="673"/>
      <c r="GD36" s="673"/>
      <c r="GE36" s="673"/>
      <c r="GF36" s="673"/>
      <c r="GG36" s="673"/>
      <c r="GH36" s="673"/>
      <c r="GI36" s="673"/>
      <c r="GJ36" s="673"/>
      <c r="GK36" s="673"/>
      <c r="GL36" s="673"/>
      <c r="GM36" s="673"/>
      <c r="GN36" s="673"/>
      <c r="GO36" s="673"/>
      <c r="GP36" s="673"/>
      <c r="GQ36" s="673"/>
      <c r="GR36" s="673"/>
      <c r="GS36" s="673"/>
      <c r="GT36" s="673"/>
      <c r="GU36" s="673"/>
      <c r="GV36" s="673"/>
      <c r="GW36" s="673"/>
      <c r="GX36" s="673"/>
      <c r="GY36" s="673"/>
      <c r="GZ36" s="673"/>
      <c r="HA36" s="673"/>
      <c r="HB36" s="673"/>
      <c r="HC36" s="673"/>
      <c r="HD36" s="673"/>
      <c r="HE36" s="673"/>
      <c r="HF36" s="673"/>
      <c r="HG36" s="673"/>
      <c r="HH36" s="673"/>
      <c r="HI36" s="673"/>
      <c r="HJ36" s="673"/>
      <c r="HK36" s="673"/>
      <c r="HL36" s="673"/>
      <c r="HM36" s="673"/>
      <c r="HN36" s="673"/>
      <c r="HO36" s="673"/>
      <c r="HP36" s="673"/>
      <c r="HQ36" s="673"/>
      <c r="HR36" s="673"/>
      <c r="HS36" s="673"/>
      <c r="HT36" s="673"/>
      <c r="HU36" s="673"/>
      <c r="HV36" s="673"/>
      <c r="HW36" s="673"/>
      <c r="HX36" s="673"/>
      <c r="HY36" s="673"/>
      <c r="HZ36" s="673"/>
      <c r="IA36" s="673"/>
      <c r="IB36" s="673"/>
      <c r="IC36" s="673"/>
      <c r="ID36" s="673"/>
      <c r="IE36" s="673"/>
      <c r="IF36" s="673"/>
      <c r="IG36" s="673"/>
      <c r="IH36" s="673"/>
      <c r="II36" s="673"/>
      <c r="IJ36" s="673"/>
      <c r="IK36" s="673"/>
      <c r="IL36" s="673"/>
      <c r="IM36" s="673"/>
      <c r="IN36" s="673"/>
      <c r="IO36" s="673"/>
      <c r="IP36" s="673"/>
      <c r="IQ36" s="673"/>
      <c r="IR36" s="673"/>
      <c r="IS36" s="673"/>
      <c r="IT36" s="673"/>
      <c r="IU36" s="673"/>
      <c r="IV36" s="673"/>
      <c r="IW36" s="673"/>
      <c r="IX36" s="673"/>
      <c r="IY36" s="673"/>
      <c r="IZ36" s="673"/>
      <c r="JA36" s="673"/>
      <c r="JB36" s="673"/>
      <c r="JC36" s="673"/>
      <c r="JD36" s="673"/>
      <c r="JE36" s="673"/>
      <c r="JF36" s="673"/>
      <c r="JG36" s="673"/>
      <c r="JH36" s="673"/>
      <c r="JI36" s="673"/>
      <c r="JJ36" s="673"/>
      <c r="JK36" s="673"/>
      <c r="JL36" s="673"/>
      <c r="JM36" s="673"/>
      <c r="JN36" s="673"/>
      <c r="JO36" s="673"/>
      <c r="JP36" s="673"/>
      <c r="JQ36" s="673"/>
      <c r="JR36" s="673"/>
      <c r="JS36" s="673"/>
      <c r="JT36" s="673"/>
      <c r="JU36" s="673"/>
      <c r="JV36" s="673"/>
      <c r="JW36" s="673"/>
      <c r="JX36" s="673"/>
      <c r="JY36" s="673"/>
      <c r="JZ36" s="673"/>
      <c r="KA36" s="673"/>
      <c r="KB36" s="673"/>
      <c r="KC36" s="673"/>
      <c r="KD36" s="673"/>
      <c r="KE36" s="673"/>
      <c r="KF36" s="673"/>
      <c r="KG36" s="673"/>
      <c r="KH36" s="673"/>
      <c r="KI36" s="673"/>
      <c r="KJ36" s="673"/>
      <c r="KK36" s="673"/>
      <c r="KL36" s="673"/>
      <c r="KM36" s="673"/>
      <c r="KN36" s="673"/>
      <c r="KO36" s="673"/>
      <c r="KP36" s="673"/>
      <c r="KQ36" s="673"/>
      <c r="KR36" s="673"/>
      <c r="KS36" s="673"/>
      <c r="KT36" s="673"/>
      <c r="KU36" s="673"/>
      <c r="KV36" s="673"/>
      <c r="KW36" s="673"/>
      <c r="KX36" s="673"/>
      <c r="KY36" s="673"/>
      <c r="KZ36" s="673"/>
      <c r="LA36" s="673"/>
      <c r="LB36" s="673"/>
      <c r="LC36" s="673"/>
      <c r="LD36" s="673"/>
      <c r="LE36" s="673"/>
      <c r="LF36" s="673"/>
      <c r="LG36" s="673"/>
      <c r="LH36" s="673"/>
      <c r="LI36" s="673"/>
      <c r="LJ36" s="673"/>
      <c r="LK36" s="673"/>
      <c r="LL36" s="673"/>
      <c r="LM36" s="673"/>
      <c r="LN36" s="673"/>
      <c r="LO36" s="673"/>
      <c r="LP36" s="673"/>
      <c r="LQ36" s="673"/>
      <c r="LR36" s="673"/>
      <c r="LS36" s="673"/>
      <c r="LT36" s="673"/>
      <c r="LU36" s="673"/>
      <c r="LV36" s="673"/>
      <c r="LW36" s="673"/>
      <c r="LX36" s="673"/>
      <c r="LY36" s="673"/>
      <c r="LZ36" s="673"/>
      <c r="MA36" s="673"/>
      <c r="MB36" s="673"/>
      <c r="MC36" s="673"/>
      <c r="MD36" s="673"/>
      <c r="ME36" s="673"/>
      <c r="MF36" s="673"/>
      <c r="MG36" s="673"/>
      <c r="MH36" s="673"/>
      <c r="MI36" s="673"/>
      <c r="MJ36" s="673"/>
      <c r="MK36" s="673"/>
      <c r="ML36" s="673"/>
      <c r="MM36" s="673"/>
      <c r="MN36" s="673"/>
      <c r="MO36" s="673"/>
      <c r="MP36" s="673"/>
      <c r="MQ36" s="673"/>
      <c r="MR36" s="673"/>
      <c r="MS36" s="673"/>
      <c r="MT36" s="673"/>
      <c r="MU36" s="673"/>
      <c r="MV36" s="673"/>
      <c r="MW36" s="673"/>
      <c r="MX36" s="673"/>
      <c r="MY36" s="673"/>
      <c r="MZ36" s="673"/>
      <c r="NA36" s="673"/>
      <c r="NB36" s="673"/>
      <c r="NC36" s="673"/>
      <c r="ND36" s="673"/>
      <c r="NE36" s="673"/>
      <c r="NF36" s="673"/>
      <c r="NG36" s="673"/>
      <c r="NH36" s="673"/>
      <c r="NI36" s="673"/>
      <c r="NJ36" s="673"/>
      <c r="NK36" s="673"/>
      <c r="NL36" s="673"/>
      <c r="NM36" s="673"/>
      <c r="NN36" s="673"/>
      <c r="NO36" s="673"/>
      <c r="NP36" s="673"/>
      <c r="NQ36" s="673"/>
      <c r="NR36" s="673"/>
      <c r="NS36" s="673"/>
      <c r="NT36" s="673"/>
      <c r="NU36" s="673"/>
      <c r="NV36" s="673"/>
      <c r="NW36" s="673"/>
      <c r="NX36" s="673"/>
      <c r="NY36" s="673"/>
      <c r="NZ36" s="673"/>
      <c r="OA36" s="673"/>
      <c r="OB36" s="673"/>
      <c r="OC36" s="673"/>
      <c r="OD36" s="673"/>
      <c r="OE36" s="673"/>
      <c r="OF36" s="673"/>
      <c r="OG36" s="673"/>
      <c r="OH36" s="673"/>
      <c r="OI36" s="673"/>
      <c r="OJ36" s="673"/>
      <c r="OK36" s="673"/>
      <c r="OL36" s="673"/>
      <c r="OM36" s="673"/>
      <c r="ON36" s="673"/>
      <c r="OO36" s="673"/>
      <c r="OP36" s="673"/>
      <c r="OQ36" s="673"/>
      <c r="OR36" s="673"/>
      <c r="OS36" s="673"/>
      <c r="OT36" s="673"/>
      <c r="OU36" s="673"/>
      <c r="OV36" s="673"/>
      <c r="OW36" s="673"/>
      <c r="OX36" s="673"/>
      <c r="OY36" s="673"/>
      <c r="OZ36" s="673"/>
      <c r="PA36" s="673"/>
      <c r="PB36" s="673"/>
      <c r="PC36" s="673"/>
      <c r="PD36" s="673"/>
      <c r="PE36" s="673"/>
      <c r="PF36" s="673"/>
      <c r="PG36" s="673"/>
      <c r="PH36" s="673"/>
      <c r="PI36" s="673"/>
      <c r="PJ36" s="673"/>
      <c r="PK36" s="673"/>
      <c r="PL36" s="673"/>
      <c r="PM36" s="673"/>
      <c r="PN36" s="673"/>
      <c r="PO36" s="673"/>
      <c r="PP36" s="673"/>
      <c r="PQ36" s="673"/>
      <c r="PR36" s="673"/>
      <c r="PS36" s="673"/>
      <c r="PT36" s="673"/>
      <c r="PU36" s="673"/>
      <c r="PV36" s="673"/>
      <c r="PW36" s="673"/>
      <c r="PX36" s="673"/>
      <c r="PY36" s="673"/>
      <c r="PZ36" s="673"/>
      <c r="QA36" s="673"/>
      <c r="QB36" s="673"/>
      <c r="QC36" s="673"/>
      <c r="QD36" s="673"/>
      <c r="QE36" s="673"/>
      <c r="QF36" s="673"/>
      <c r="QG36" s="673"/>
      <c r="QH36" s="673"/>
      <c r="QI36" s="673"/>
      <c r="QJ36" s="673"/>
      <c r="QK36" s="673"/>
    </row>
    <row r="37" spans="1:453" s="558" customFormat="1">
      <c r="A37" s="680"/>
      <c r="B37" s="680"/>
      <c r="C37" s="2107" t="str">
        <f ca="1">TEXT(HYPERLINK("#"&amp;CELL("address",'Equipment Results Matrix'!A672),'Equipment Results Matrix'!A672),"0,000")</f>
        <v>Indirect Evaporative Coolers</v>
      </c>
      <c r="D37" s="2107"/>
      <c r="E37" s="2107"/>
      <c r="F37" s="2107"/>
      <c r="G37" s="2107"/>
      <c r="H37" s="2107"/>
      <c r="I37" s="1304"/>
      <c r="J37" s="1525" t="str">
        <f ca="1">TEXT(HYPERLINK("#"&amp;CELL("address",'Labor Results Matrix'!A145),"Labor"),"0,000")</f>
        <v>Labor</v>
      </c>
      <c r="K37" s="1525"/>
      <c r="L37" s="2107" t="str">
        <f ca="1">TEXT(HYPERLINK("#"&amp;CELL("address",'Equipment + Labor'!A218),"Total installed cost"),"0,000")</f>
        <v>Total installed cost</v>
      </c>
      <c r="M37" s="2107"/>
      <c r="N37" s="2107"/>
      <c r="O37" s="673"/>
      <c r="P37" s="673"/>
      <c r="Q37" s="673"/>
      <c r="R37" s="673"/>
      <c r="S37" s="673"/>
      <c r="T37" s="673"/>
      <c r="U37" s="673"/>
      <c r="V37" s="673"/>
      <c r="W37" s="673"/>
      <c r="X37" s="673"/>
      <c r="Y37" s="673"/>
      <c r="Z37" s="673"/>
      <c r="AA37" s="673"/>
      <c r="AB37" s="673"/>
      <c r="AC37" s="673"/>
      <c r="AD37" s="673"/>
      <c r="AE37" s="673"/>
      <c r="AF37" s="673"/>
      <c r="AG37" s="673"/>
      <c r="AH37" s="673"/>
      <c r="AI37" s="673"/>
      <c r="AJ37" s="673"/>
      <c r="AK37" s="673"/>
      <c r="AL37" s="673"/>
      <c r="AM37" s="673"/>
      <c r="AN37" s="673"/>
      <c r="AO37" s="673"/>
      <c r="AP37" s="673"/>
      <c r="AQ37" s="673"/>
      <c r="AR37" s="673"/>
      <c r="AS37" s="673"/>
      <c r="AT37" s="673"/>
      <c r="AU37" s="673"/>
      <c r="AV37" s="673"/>
      <c r="AW37" s="673"/>
      <c r="AX37" s="673"/>
      <c r="AY37" s="673"/>
      <c r="AZ37" s="673"/>
      <c r="BA37" s="673"/>
      <c r="BB37" s="673"/>
      <c r="BC37" s="673"/>
      <c r="BD37" s="673"/>
      <c r="BE37" s="673"/>
      <c r="BF37" s="673"/>
      <c r="BG37" s="673"/>
      <c r="BH37" s="673"/>
      <c r="BI37" s="673"/>
      <c r="BJ37" s="673"/>
      <c r="BK37" s="673"/>
      <c r="BL37" s="673"/>
      <c r="BM37" s="673"/>
      <c r="BN37" s="673"/>
      <c r="BO37" s="673"/>
      <c r="BP37" s="673"/>
      <c r="BQ37" s="673"/>
      <c r="BR37" s="673"/>
      <c r="BS37" s="673"/>
      <c r="BT37" s="673"/>
      <c r="BU37" s="673"/>
      <c r="BV37" s="673"/>
      <c r="BW37" s="673"/>
      <c r="BX37" s="673"/>
      <c r="BY37" s="673"/>
      <c r="BZ37" s="673"/>
      <c r="CA37" s="673"/>
      <c r="CB37" s="673"/>
      <c r="CC37" s="673"/>
      <c r="CD37" s="673"/>
      <c r="CE37" s="673"/>
      <c r="CF37" s="673"/>
      <c r="CG37" s="673"/>
      <c r="CH37" s="673"/>
      <c r="CI37" s="673"/>
      <c r="CJ37" s="673"/>
      <c r="CK37" s="673"/>
      <c r="CL37" s="673"/>
      <c r="CM37" s="673"/>
      <c r="CN37" s="673"/>
      <c r="CO37" s="673"/>
      <c r="CP37" s="673"/>
      <c r="CQ37" s="673"/>
      <c r="CR37" s="673"/>
      <c r="CS37" s="673"/>
      <c r="CT37" s="673"/>
      <c r="CU37" s="673"/>
      <c r="CV37" s="673"/>
      <c r="CW37" s="673"/>
      <c r="CX37" s="673"/>
      <c r="CY37" s="673"/>
      <c r="CZ37" s="673"/>
      <c r="DA37" s="673"/>
      <c r="DB37" s="673"/>
      <c r="DC37" s="673"/>
      <c r="DD37" s="673"/>
      <c r="DE37" s="673"/>
      <c r="DF37" s="673"/>
      <c r="DG37" s="673"/>
      <c r="DH37" s="673"/>
      <c r="DI37" s="673"/>
      <c r="DJ37" s="673"/>
      <c r="DK37" s="673"/>
      <c r="DL37" s="673"/>
      <c r="DM37" s="673"/>
      <c r="DN37" s="673"/>
      <c r="DO37" s="673"/>
      <c r="DP37" s="673"/>
      <c r="DQ37" s="673"/>
      <c r="DR37" s="673"/>
      <c r="DS37" s="673"/>
      <c r="DT37" s="673"/>
      <c r="DU37" s="673"/>
      <c r="DV37" s="673"/>
      <c r="DW37" s="673"/>
      <c r="DX37" s="673"/>
      <c r="DY37" s="673"/>
      <c r="DZ37" s="673"/>
      <c r="EA37" s="673"/>
      <c r="EB37" s="673"/>
      <c r="EC37" s="673"/>
      <c r="ED37" s="673"/>
      <c r="EE37" s="673"/>
      <c r="EF37" s="673"/>
      <c r="EG37" s="673"/>
      <c r="EH37" s="673"/>
      <c r="EI37" s="673"/>
      <c r="EJ37" s="673"/>
      <c r="EK37" s="673"/>
      <c r="EL37" s="673"/>
      <c r="EM37" s="673"/>
      <c r="EN37" s="673"/>
      <c r="EO37" s="673"/>
      <c r="EP37" s="673"/>
      <c r="EQ37" s="673"/>
      <c r="ER37" s="673"/>
      <c r="ES37" s="673"/>
      <c r="ET37" s="673"/>
      <c r="EU37" s="673"/>
      <c r="EV37" s="673"/>
      <c r="EW37" s="673"/>
      <c r="EX37" s="673"/>
      <c r="EY37" s="673"/>
      <c r="EZ37" s="673"/>
      <c r="FA37" s="673"/>
      <c r="FB37" s="673"/>
      <c r="FC37" s="673"/>
      <c r="FD37" s="673"/>
      <c r="FE37" s="673"/>
      <c r="FF37" s="673"/>
      <c r="FG37" s="673"/>
      <c r="FH37" s="673"/>
      <c r="FI37" s="673"/>
      <c r="FJ37" s="673"/>
      <c r="FK37" s="673"/>
      <c r="FL37" s="673"/>
      <c r="FM37" s="673"/>
      <c r="FN37" s="673"/>
      <c r="FO37" s="673"/>
      <c r="FP37" s="673"/>
      <c r="FQ37" s="673"/>
      <c r="FR37" s="673"/>
      <c r="FS37" s="673"/>
      <c r="FT37" s="673"/>
      <c r="FU37" s="673"/>
      <c r="FV37" s="673"/>
      <c r="FW37" s="673"/>
      <c r="FX37" s="673"/>
      <c r="FY37" s="673"/>
      <c r="FZ37" s="673"/>
      <c r="GA37" s="673"/>
      <c r="GB37" s="673"/>
      <c r="GC37" s="673"/>
      <c r="GD37" s="673"/>
      <c r="GE37" s="673"/>
      <c r="GF37" s="673"/>
      <c r="GG37" s="673"/>
      <c r="GH37" s="673"/>
      <c r="GI37" s="673"/>
      <c r="GJ37" s="673"/>
      <c r="GK37" s="673"/>
      <c r="GL37" s="673"/>
      <c r="GM37" s="673"/>
      <c r="GN37" s="673"/>
      <c r="GO37" s="673"/>
      <c r="GP37" s="673"/>
      <c r="GQ37" s="673"/>
      <c r="GR37" s="673"/>
      <c r="GS37" s="673"/>
      <c r="GT37" s="673"/>
      <c r="GU37" s="673"/>
      <c r="GV37" s="673"/>
      <c r="GW37" s="673"/>
      <c r="GX37" s="673"/>
      <c r="GY37" s="673"/>
      <c r="GZ37" s="673"/>
      <c r="HA37" s="673"/>
      <c r="HB37" s="673"/>
      <c r="HC37" s="673"/>
      <c r="HD37" s="673"/>
      <c r="HE37" s="673"/>
      <c r="HF37" s="673"/>
      <c r="HG37" s="673"/>
      <c r="HH37" s="673"/>
      <c r="HI37" s="673"/>
      <c r="HJ37" s="673"/>
      <c r="HK37" s="673"/>
      <c r="HL37" s="673"/>
      <c r="HM37" s="673"/>
      <c r="HN37" s="673"/>
      <c r="HO37" s="673"/>
      <c r="HP37" s="673"/>
      <c r="HQ37" s="673"/>
      <c r="HR37" s="673"/>
      <c r="HS37" s="673"/>
      <c r="HT37" s="673"/>
      <c r="HU37" s="673"/>
      <c r="HV37" s="673"/>
      <c r="HW37" s="673"/>
      <c r="HX37" s="673"/>
      <c r="HY37" s="673"/>
      <c r="HZ37" s="673"/>
      <c r="IA37" s="673"/>
      <c r="IB37" s="673"/>
      <c r="IC37" s="673"/>
      <c r="ID37" s="673"/>
      <c r="IE37" s="673"/>
      <c r="IF37" s="673"/>
      <c r="IG37" s="673"/>
      <c r="IH37" s="673"/>
      <c r="II37" s="673"/>
      <c r="IJ37" s="673"/>
      <c r="IK37" s="673"/>
      <c r="IL37" s="673"/>
      <c r="IM37" s="673"/>
      <c r="IN37" s="673"/>
      <c r="IO37" s="673"/>
      <c r="IP37" s="673"/>
      <c r="IQ37" s="673"/>
      <c r="IR37" s="673"/>
      <c r="IS37" s="673"/>
      <c r="IT37" s="673"/>
      <c r="IU37" s="673"/>
      <c r="IV37" s="673"/>
      <c r="IW37" s="673"/>
      <c r="IX37" s="673"/>
      <c r="IY37" s="673"/>
      <c r="IZ37" s="673"/>
      <c r="JA37" s="673"/>
      <c r="JB37" s="673"/>
      <c r="JC37" s="673"/>
      <c r="JD37" s="673"/>
      <c r="JE37" s="673"/>
      <c r="JF37" s="673"/>
      <c r="JG37" s="673"/>
      <c r="JH37" s="673"/>
      <c r="JI37" s="673"/>
      <c r="JJ37" s="673"/>
      <c r="JK37" s="673"/>
      <c r="JL37" s="673"/>
      <c r="JM37" s="673"/>
      <c r="JN37" s="673"/>
      <c r="JO37" s="673"/>
      <c r="JP37" s="673"/>
      <c r="JQ37" s="673"/>
      <c r="JR37" s="673"/>
      <c r="JS37" s="673"/>
      <c r="JT37" s="673"/>
      <c r="JU37" s="673"/>
      <c r="JV37" s="673"/>
      <c r="JW37" s="673"/>
      <c r="JX37" s="673"/>
      <c r="JY37" s="673"/>
      <c r="JZ37" s="673"/>
      <c r="KA37" s="673"/>
      <c r="KB37" s="673"/>
      <c r="KC37" s="673"/>
      <c r="KD37" s="673"/>
      <c r="KE37" s="673"/>
      <c r="KF37" s="673"/>
      <c r="KG37" s="673"/>
      <c r="KH37" s="673"/>
      <c r="KI37" s="673"/>
      <c r="KJ37" s="673"/>
      <c r="KK37" s="673"/>
      <c r="KL37" s="673"/>
      <c r="KM37" s="673"/>
      <c r="KN37" s="673"/>
      <c r="KO37" s="673"/>
      <c r="KP37" s="673"/>
      <c r="KQ37" s="673"/>
      <c r="KR37" s="673"/>
      <c r="KS37" s="673"/>
      <c r="KT37" s="673"/>
      <c r="KU37" s="673"/>
      <c r="KV37" s="673"/>
      <c r="KW37" s="673"/>
      <c r="KX37" s="673"/>
      <c r="KY37" s="673"/>
      <c r="KZ37" s="673"/>
      <c r="LA37" s="673"/>
      <c r="LB37" s="673"/>
      <c r="LC37" s="673"/>
      <c r="LD37" s="673"/>
      <c r="LE37" s="673"/>
      <c r="LF37" s="673"/>
      <c r="LG37" s="673"/>
      <c r="LH37" s="673"/>
      <c r="LI37" s="673"/>
      <c r="LJ37" s="673"/>
      <c r="LK37" s="673"/>
      <c r="LL37" s="673"/>
      <c r="LM37" s="673"/>
      <c r="LN37" s="673"/>
      <c r="LO37" s="673"/>
      <c r="LP37" s="673"/>
      <c r="LQ37" s="673"/>
      <c r="LR37" s="673"/>
      <c r="LS37" s="673"/>
      <c r="LT37" s="673"/>
      <c r="LU37" s="673"/>
      <c r="LV37" s="673"/>
      <c r="LW37" s="673"/>
      <c r="LX37" s="673"/>
      <c r="LY37" s="673"/>
      <c r="LZ37" s="673"/>
      <c r="MA37" s="673"/>
      <c r="MB37" s="673"/>
      <c r="MC37" s="673"/>
      <c r="MD37" s="673"/>
      <c r="ME37" s="673"/>
      <c r="MF37" s="673"/>
      <c r="MG37" s="673"/>
      <c r="MH37" s="673"/>
      <c r="MI37" s="673"/>
      <c r="MJ37" s="673"/>
      <c r="MK37" s="673"/>
      <c r="ML37" s="673"/>
      <c r="MM37" s="673"/>
      <c r="MN37" s="673"/>
      <c r="MO37" s="673"/>
      <c r="MP37" s="673"/>
      <c r="MQ37" s="673"/>
      <c r="MR37" s="673"/>
      <c r="MS37" s="673"/>
      <c r="MT37" s="673"/>
      <c r="MU37" s="673"/>
      <c r="MV37" s="673"/>
      <c r="MW37" s="673"/>
      <c r="MX37" s="673"/>
      <c r="MY37" s="673"/>
      <c r="MZ37" s="673"/>
      <c r="NA37" s="673"/>
      <c r="NB37" s="673"/>
      <c r="NC37" s="673"/>
      <c r="ND37" s="673"/>
      <c r="NE37" s="673"/>
      <c r="NF37" s="673"/>
      <c r="NG37" s="673"/>
      <c r="NH37" s="673"/>
      <c r="NI37" s="673"/>
      <c r="NJ37" s="673"/>
      <c r="NK37" s="673"/>
      <c r="NL37" s="673"/>
      <c r="NM37" s="673"/>
      <c r="NN37" s="673"/>
      <c r="NO37" s="673"/>
      <c r="NP37" s="673"/>
      <c r="NQ37" s="673"/>
      <c r="NR37" s="673"/>
      <c r="NS37" s="673"/>
      <c r="NT37" s="673"/>
      <c r="NU37" s="673"/>
      <c r="NV37" s="673"/>
      <c r="NW37" s="673"/>
      <c r="NX37" s="673"/>
      <c r="NY37" s="673"/>
      <c r="NZ37" s="673"/>
      <c r="OA37" s="673"/>
      <c r="OB37" s="673"/>
      <c r="OC37" s="673"/>
      <c r="OD37" s="673"/>
      <c r="OE37" s="673"/>
      <c r="OF37" s="673"/>
      <c r="OG37" s="673"/>
      <c r="OH37" s="673"/>
      <c r="OI37" s="673"/>
      <c r="OJ37" s="673"/>
      <c r="OK37" s="673"/>
      <c r="OL37" s="673"/>
      <c r="OM37" s="673"/>
      <c r="ON37" s="673"/>
      <c r="OO37" s="673"/>
      <c r="OP37" s="673"/>
      <c r="OQ37" s="673"/>
      <c r="OR37" s="673"/>
      <c r="OS37" s="673"/>
      <c r="OT37" s="673"/>
      <c r="OU37" s="673"/>
      <c r="OV37" s="673"/>
      <c r="OW37" s="673"/>
      <c r="OX37" s="673"/>
      <c r="OY37" s="673"/>
      <c r="OZ37" s="673"/>
      <c r="PA37" s="673"/>
      <c r="PB37" s="673"/>
      <c r="PC37" s="673"/>
      <c r="PD37" s="673"/>
      <c r="PE37" s="673"/>
      <c r="PF37" s="673"/>
      <c r="PG37" s="673"/>
      <c r="PH37" s="673"/>
      <c r="PI37" s="673"/>
      <c r="PJ37" s="673"/>
      <c r="PK37" s="673"/>
      <c r="PL37" s="673"/>
      <c r="PM37" s="673"/>
      <c r="PN37" s="673"/>
      <c r="PO37" s="673"/>
      <c r="PP37" s="673"/>
      <c r="PQ37" s="673"/>
      <c r="PR37" s="673"/>
      <c r="PS37" s="673"/>
      <c r="PT37" s="673"/>
      <c r="PU37" s="673"/>
      <c r="PV37" s="673"/>
      <c r="PW37" s="673"/>
      <c r="PX37" s="673"/>
      <c r="PY37" s="673"/>
      <c r="PZ37" s="673"/>
      <c r="QA37" s="673"/>
      <c r="QB37" s="673"/>
      <c r="QC37" s="673"/>
      <c r="QD37" s="673"/>
      <c r="QE37" s="673"/>
      <c r="QF37" s="673"/>
      <c r="QG37" s="673"/>
      <c r="QH37" s="673"/>
      <c r="QI37" s="673"/>
      <c r="QJ37" s="673"/>
      <c r="QK37" s="673"/>
    </row>
    <row r="38" spans="1:453" s="558" customFormat="1">
      <c r="A38" s="680"/>
      <c r="B38" s="680"/>
      <c r="C38" s="2107" t="str">
        <f ca="1">TEXT(HYPERLINK("#"&amp;CELL("address",'Equipment Results Matrix'!A683),'Equipment Results Matrix'!A683),"0,000")</f>
        <v>Small Packaged DX 
(&lt;= 5 tons)</v>
      </c>
      <c r="D38" s="2107"/>
      <c r="E38" s="2107"/>
      <c r="F38" s="2107"/>
      <c r="G38" s="2107"/>
      <c r="H38" s="2107"/>
      <c r="I38" s="680"/>
      <c r="J38" s="1525" t="str">
        <f ca="1">TEXT(HYPERLINK("#"&amp;CELL("address",'Labor Results Matrix'!A156),"Labor"),"0,000")</f>
        <v>Labor</v>
      </c>
      <c r="K38" s="1525"/>
      <c r="L38" s="2107" t="str">
        <f ca="1">TEXT(HYPERLINK("#"&amp;CELL("address",'Equipment + Labor'!A224),"Total installed cost"),"0,000")</f>
        <v>Total installed cost</v>
      </c>
      <c r="M38" s="2107"/>
      <c r="N38" s="2107"/>
      <c r="O38" s="673"/>
      <c r="P38" s="673"/>
      <c r="Q38" s="673"/>
      <c r="R38" s="673"/>
      <c r="S38" s="673"/>
      <c r="T38" s="673"/>
      <c r="U38" s="673"/>
      <c r="V38" s="673"/>
      <c r="W38" s="673"/>
      <c r="X38" s="673"/>
      <c r="Y38" s="673"/>
      <c r="Z38" s="673"/>
      <c r="AA38" s="673"/>
      <c r="AB38" s="673"/>
      <c r="AC38" s="673"/>
      <c r="AD38" s="673"/>
      <c r="AE38" s="673"/>
      <c r="AF38" s="673"/>
      <c r="AG38" s="673"/>
      <c r="AH38" s="673"/>
      <c r="AI38" s="673"/>
      <c r="AJ38" s="673"/>
      <c r="AK38" s="673"/>
      <c r="AL38" s="673"/>
      <c r="AM38" s="673"/>
      <c r="AN38" s="673"/>
      <c r="AO38" s="673"/>
      <c r="AP38" s="673"/>
      <c r="AQ38" s="673"/>
      <c r="AR38" s="673"/>
      <c r="AS38" s="673"/>
      <c r="AT38" s="673"/>
      <c r="AU38" s="673"/>
      <c r="AV38" s="673"/>
      <c r="AW38" s="673"/>
      <c r="AX38" s="673"/>
      <c r="AY38" s="673"/>
      <c r="AZ38" s="673"/>
      <c r="BA38" s="673"/>
      <c r="BB38" s="673"/>
      <c r="BC38" s="673"/>
      <c r="BD38" s="673"/>
      <c r="BE38" s="673"/>
      <c r="BF38" s="673"/>
      <c r="BG38" s="673"/>
      <c r="BH38" s="673"/>
      <c r="BI38" s="673"/>
      <c r="BJ38" s="673"/>
      <c r="BK38" s="673"/>
      <c r="BL38" s="673"/>
      <c r="BM38" s="673"/>
      <c r="BN38" s="673"/>
      <c r="BO38" s="673"/>
      <c r="BP38" s="673"/>
      <c r="BQ38" s="673"/>
      <c r="BR38" s="673"/>
      <c r="BS38" s="673"/>
      <c r="BT38" s="673"/>
      <c r="BU38" s="673"/>
      <c r="BV38" s="673"/>
      <c r="BW38" s="673"/>
      <c r="BX38" s="673"/>
      <c r="BY38" s="673"/>
      <c r="BZ38" s="673"/>
      <c r="CA38" s="673"/>
      <c r="CB38" s="673"/>
      <c r="CC38" s="673"/>
      <c r="CD38" s="673"/>
      <c r="CE38" s="673"/>
      <c r="CF38" s="673"/>
      <c r="CG38" s="673"/>
      <c r="CH38" s="673"/>
      <c r="CI38" s="673"/>
      <c r="CJ38" s="673"/>
      <c r="CK38" s="673"/>
      <c r="CL38" s="673"/>
      <c r="CM38" s="673"/>
      <c r="CN38" s="673"/>
      <c r="CO38" s="673"/>
      <c r="CP38" s="673"/>
      <c r="CQ38" s="673"/>
      <c r="CR38" s="673"/>
      <c r="CS38" s="673"/>
      <c r="CT38" s="673"/>
      <c r="CU38" s="673"/>
      <c r="CV38" s="673"/>
      <c r="CW38" s="673"/>
      <c r="CX38" s="673"/>
      <c r="CY38" s="673"/>
      <c r="CZ38" s="673"/>
      <c r="DA38" s="673"/>
      <c r="DB38" s="673"/>
      <c r="DC38" s="673"/>
      <c r="DD38" s="673"/>
      <c r="DE38" s="673"/>
      <c r="DF38" s="673"/>
      <c r="DG38" s="673"/>
      <c r="DH38" s="673"/>
      <c r="DI38" s="673"/>
      <c r="DJ38" s="673"/>
      <c r="DK38" s="673"/>
      <c r="DL38" s="673"/>
      <c r="DM38" s="673"/>
      <c r="DN38" s="673"/>
      <c r="DO38" s="673"/>
      <c r="DP38" s="673"/>
      <c r="DQ38" s="673"/>
      <c r="DR38" s="673"/>
      <c r="DS38" s="673"/>
      <c r="DT38" s="673"/>
      <c r="DU38" s="673"/>
      <c r="DV38" s="673"/>
      <c r="DW38" s="673"/>
      <c r="DX38" s="673"/>
      <c r="DY38" s="673"/>
      <c r="DZ38" s="673"/>
      <c r="EA38" s="673"/>
      <c r="EB38" s="673"/>
      <c r="EC38" s="673"/>
      <c r="ED38" s="673"/>
      <c r="EE38" s="673"/>
      <c r="EF38" s="673"/>
      <c r="EG38" s="673"/>
      <c r="EH38" s="673"/>
      <c r="EI38" s="673"/>
      <c r="EJ38" s="673"/>
      <c r="EK38" s="673"/>
      <c r="EL38" s="673"/>
      <c r="EM38" s="673"/>
      <c r="EN38" s="673"/>
      <c r="EO38" s="673"/>
      <c r="EP38" s="673"/>
      <c r="EQ38" s="673"/>
      <c r="ER38" s="673"/>
      <c r="ES38" s="673"/>
      <c r="ET38" s="673"/>
      <c r="EU38" s="673"/>
      <c r="EV38" s="673"/>
      <c r="EW38" s="673"/>
      <c r="EX38" s="673"/>
      <c r="EY38" s="673"/>
      <c r="EZ38" s="673"/>
      <c r="FA38" s="673"/>
      <c r="FB38" s="673"/>
      <c r="FC38" s="673"/>
      <c r="FD38" s="673"/>
      <c r="FE38" s="673"/>
      <c r="FF38" s="673"/>
      <c r="FG38" s="673"/>
      <c r="FH38" s="673"/>
      <c r="FI38" s="673"/>
      <c r="FJ38" s="673"/>
      <c r="FK38" s="673"/>
      <c r="FL38" s="673"/>
      <c r="FM38" s="673"/>
      <c r="FN38" s="673"/>
      <c r="FO38" s="673"/>
      <c r="FP38" s="673"/>
      <c r="FQ38" s="673"/>
      <c r="FR38" s="673"/>
      <c r="FS38" s="673"/>
      <c r="FT38" s="673"/>
      <c r="FU38" s="673"/>
      <c r="FV38" s="673"/>
      <c r="FW38" s="673"/>
      <c r="FX38" s="673"/>
      <c r="FY38" s="673"/>
      <c r="FZ38" s="673"/>
      <c r="GA38" s="673"/>
      <c r="GB38" s="673"/>
      <c r="GC38" s="673"/>
      <c r="GD38" s="673"/>
      <c r="GE38" s="673"/>
      <c r="GF38" s="673"/>
      <c r="GG38" s="673"/>
      <c r="GH38" s="673"/>
      <c r="GI38" s="673"/>
      <c r="GJ38" s="673"/>
      <c r="GK38" s="673"/>
      <c r="GL38" s="673"/>
      <c r="GM38" s="673"/>
      <c r="GN38" s="673"/>
      <c r="GO38" s="673"/>
      <c r="GP38" s="673"/>
      <c r="GQ38" s="673"/>
      <c r="GR38" s="673"/>
      <c r="GS38" s="673"/>
      <c r="GT38" s="673"/>
      <c r="GU38" s="673"/>
      <c r="GV38" s="673"/>
      <c r="GW38" s="673"/>
      <c r="GX38" s="673"/>
      <c r="GY38" s="673"/>
      <c r="GZ38" s="673"/>
      <c r="HA38" s="673"/>
      <c r="HB38" s="673"/>
      <c r="HC38" s="673"/>
      <c r="HD38" s="673"/>
      <c r="HE38" s="673"/>
      <c r="HF38" s="673"/>
      <c r="HG38" s="673"/>
      <c r="HH38" s="673"/>
      <c r="HI38" s="673"/>
      <c r="HJ38" s="673"/>
      <c r="HK38" s="673"/>
      <c r="HL38" s="673"/>
      <c r="HM38" s="673"/>
      <c r="HN38" s="673"/>
      <c r="HO38" s="673"/>
      <c r="HP38" s="673"/>
      <c r="HQ38" s="673"/>
      <c r="HR38" s="673"/>
      <c r="HS38" s="673"/>
      <c r="HT38" s="673"/>
      <c r="HU38" s="673"/>
      <c r="HV38" s="673"/>
      <c r="HW38" s="673"/>
      <c r="HX38" s="673"/>
      <c r="HY38" s="673"/>
      <c r="HZ38" s="673"/>
      <c r="IA38" s="673"/>
      <c r="IB38" s="673"/>
      <c r="IC38" s="673"/>
      <c r="ID38" s="673"/>
      <c r="IE38" s="673"/>
      <c r="IF38" s="673"/>
      <c r="IG38" s="673"/>
      <c r="IH38" s="673"/>
      <c r="II38" s="673"/>
      <c r="IJ38" s="673"/>
      <c r="IK38" s="673"/>
      <c r="IL38" s="673"/>
      <c r="IM38" s="673"/>
      <c r="IN38" s="673"/>
      <c r="IO38" s="673"/>
      <c r="IP38" s="673"/>
      <c r="IQ38" s="673"/>
      <c r="IR38" s="673"/>
      <c r="IS38" s="673"/>
      <c r="IT38" s="673"/>
      <c r="IU38" s="673"/>
      <c r="IV38" s="673"/>
      <c r="IW38" s="673"/>
      <c r="IX38" s="673"/>
      <c r="IY38" s="673"/>
      <c r="IZ38" s="673"/>
      <c r="JA38" s="673"/>
      <c r="JB38" s="673"/>
      <c r="JC38" s="673"/>
      <c r="JD38" s="673"/>
      <c r="JE38" s="673"/>
      <c r="JF38" s="673"/>
      <c r="JG38" s="673"/>
      <c r="JH38" s="673"/>
      <c r="JI38" s="673"/>
      <c r="JJ38" s="673"/>
      <c r="JK38" s="673"/>
      <c r="JL38" s="673"/>
      <c r="JM38" s="673"/>
      <c r="JN38" s="673"/>
      <c r="JO38" s="673"/>
      <c r="JP38" s="673"/>
      <c r="JQ38" s="673"/>
      <c r="JR38" s="673"/>
      <c r="JS38" s="673"/>
      <c r="JT38" s="673"/>
      <c r="JU38" s="673"/>
      <c r="JV38" s="673"/>
      <c r="JW38" s="673"/>
      <c r="JX38" s="673"/>
      <c r="JY38" s="673"/>
      <c r="JZ38" s="673"/>
      <c r="KA38" s="673"/>
      <c r="KB38" s="673"/>
      <c r="KC38" s="673"/>
      <c r="KD38" s="673"/>
      <c r="KE38" s="673"/>
      <c r="KF38" s="673"/>
      <c r="KG38" s="673"/>
      <c r="KH38" s="673"/>
      <c r="KI38" s="673"/>
      <c r="KJ38" s="673"/>
      <c r="KK38" s="673"/>
      <c r="KL38" s="673"/>
      <c r="KM38" s="673"/>
      <c r="KN38" s="673"/>
      <c r="KO38" s="673"/>
      <c r="KP38" s="673"/>
      <c r="KQ38" s="673"/>
      <c r="KR38" s="673"/>
      <c r="KS38" s="673"/>
      <c r="KT38" s="673"/>
      <c r="KU38" s="673"/>
      <c r="KV38" s="673"/>
      <c r="KW38" s="673"/>
      <c r="KX38" s="673"/>
      <c r="KY38" s="673"/>
      <c r="KZ38" s="673"/>
      <c r="LA38" s="673"/>
      <c r="LB38" s="673"/>
      <c r="LC38" s="673"/>
      <c r="LD38" s="673"/>
      <c r="LE38" s="673"/>
      <c r="LF38" s="673"/>
      <c r="LG38" s="673"/>
      <c r="LH38" s="673"/>
      <c r="LI38" s="673"/>
      <c r="LJ38" s="673"/>
      <c r="LK38" s="673"/>
      <c r="LL38" s="673"/>
      <c r="LM38" s="673"/>
      <c r="LN38" s="673"/>
      <c r="LO38" s="673"/>
      <c r="LP38" s="673"/>
      <c r="LQ38" s="673"/>
      <c r="LR38" s="673"/>
      <c r="LS38" s="673"/>
      <c r="LT38" s="673"/>
      <c r="LU38" s="673"/>
      <c r="LV38" s="673"/>
      <c r="LW38" s="673"/>
      <c r="LX38" s="673"/>
      <c r="LY38" s="673"/>
      <c r="LZ38" s="673"/>
      <c r="MA38" s="673"/>
      <c r="MB38" s="673"/>
      <c r="MC38" s="673"/>
      <c r="MD38" s="673"/>
      <c r="ME38" s="673"/>
      <c r="MF38" s="673"/>
      <c r="MG38" s="673"/>
      <c r="MH38" s="673"/>
      <c r="MI38" s="673"/>
      <c r="MJ38" s="673"/>
      <c r="MK38" s="673"/>
      <c r="ML38" s="673"/>
      <c r="MM38" s="673"/>
      <c r="MN38" s="673"/>
      <c r="MO38" s="673"/>
      <c r="MP38" s="673"/>
      <c r="MQ38" s="673"/>
      <c r="MR38" s="673"/>
      <c r="MS38" s="673"/>
      <c r="MT38" s="673"/>
      <c r="MU38" s="673"/>
      <c r="MV38" s="673"/>
      <c r="MW38" s="673"/>
      <c r="MX38" s="673"/>
      <c r="MY38" s="673"/>
      <c r="MZ38" s="673"/>
      <c r="NA38" s="673"/>
      <c r="NB38" s="673"/>
      <c r="NC38" s="673"/>
      <c r="ND38" s="673"/>
      <c r="NE38" s="673"/>
      <c r="NF38" s="673"/>
      <c r="NG38" s="673"/>
      <c r="NH38" s="673"/>
      <c r="NI38" s="673"/>
      <c r="NJ38" s="673"/>
      <c r="NK38" s="673"/>
      <c r="NL38" s="673"/>
      <c r="NM38" s="673"/>
      <c r="NN38" s="673"/>
      <c r="NO38" s="673"/>
      <c r="NP38" s="673"/>
      <c r="NQ38" s="673"/>
      <c r="NR38" s="673"/>
      <c r="NS38" s="673"/>
      <c r="NT38" s="673"/>
      <c r="NU38" s="673"/>
      <c r="NV38" s="673"/>
      <c r="NW38" s="673"/>
      <c r="NX38" s="673"/>
      <c r="NY38" s="673"/>
      <c r="NZ38" s="673"/>
      <c r="OA38" s="673"/>
      <c r="OB38" s="673"/>
      <c r="OC38" s="673"/>
      <c r="OD38" s="673"/>
      <c r="OE38" s="673"/>
      <c r="OF38" s="673"/>
      <c r="OG38" s="673"/>
      <c r="OH38" s="673"/>
      <c r="OI38" s="673"/>
      <c r="OJ38" s="673"/>
      <c r="OK38" s="673"/>
      <c r="OL38" s="673"/>
      <c r="OM38" s="673"/>
      <c r="ON38" s="673"/>
      <c r="OO38" s="673"/>
      <c r="OP38" s="673"/>
      <c r="OQ38" s="673"/>
      <c r="OR38" s="673"/>
      <c r="OS38" s="673"/>
      <c r="OT38" s="673"/>
      <c r="OU38" s="673"/>
      <c r="OV38" s="673"/>
      <c r="OW38" s="673"/>
      <c r="OX38" s="673"/>
      <c r="OY38" s="673"/>
      <c r="OZ38" s="673"/>
      <c r="PA38" s="673"/>
      <c r="PB38" s="673"/>
      <c r="PC38" s="673"/>
      <c r="PD38" s="673"/>
      <c r="PE38" s="673"/>
      <c r="PF38" s="673"/>
      <c r="PG38" s="673"/>
      <c r="PH38" s="673"/>
      <c r="PI38" s="673"/>
      <c r="PJ38" s="673"/>
      <c r="PK38" s="673"/>
      <c r="PL38" s="673"/>
      <c r="PM38" s="673"/>
      <c r="PN38" s="673"/>
      <c r="PO38" s="673"/>
      <c r="PP38" s="673"/>
      <c r="PQ38" s="673"/>
      <c r="PR38" s="673"/>
      <c r="PS38" s="673"/>
      <c r="PT38" s="673"/>
      <c r="PU38" s="673"/>
      <c r="PV38" s="673"/>
      <c r="PW38" s="673"/>
      <c r="PX38" s="673"/>
      <c r="PY38" s="673"/>
      <c r="PZ38" s="673"/>
      <c r="QA38" s="673"/>
      <c r="QB38" s="673"/>
      <c r="QC38" s="673"/>
      <c r="QD38" s="673"/>
      <c r="QE38" s="673"/>
      <c r="QF38" s="673"/>
      <c r="QG38" s="673"/>
      <c r="QH38" s="673"/>
      <c r="QI38" s="673"/>
      <c r="QJ38" s="673"/>
      <c r="QK38" s="673"/>
    </row>
    <row r="39" spans="1:453" s="558" customFormat="1">
      <c r="A39" s="680"/>
      <c r="B39" s="680"/>
      <c r="C39" s="2107" t="str">
        <f ca="1">TEXT(HYPERLINK("#"&amp;CELL("address",'Equipment Results Matrix'!A696),'Equipment Results Matrix'!A696),"0,000")</f>
        <v xml:space="preserve">Large Packaged DX 
(&gt; 5 tons) </v>
      </c>
      <c r="D39" s="2107"/>
      <c r="E39" s="2107"/>
      <c r="F39" s="2107"/>
      <c r="G39" s="2107"/>
      <c r="H39" s="2107"/>
      <c r="I39" s="680"/>
      <c r="J39" s="1525" t="str">
        <f ca="1">TEXT(HYPERLINK("#"&amp;CELL("address",'Labor Results Matrix'!A169),"Labor"),"0,000")</f>
        <v>Labor</v>
      </c>
      <c r="K39" s="1525"/>
      <c r="L39" s="2107" t="str">
        <f ca="1">TEXT(HYPERLINK("#"&amp;CELL("address",'Equipment + Labor'!A237),"Total installed cost"),"0,000")</f>
        <v>Total installed cost</v>
      </c>
      <c r="M39" s="2107"/>
      <c r="N39" s="2107"/>
      <c r="O39" s="673"/>
      <c r="P39" s="673"/>
      <c r="Q39" s="673"/>
      <c r="R39" s="673"/>
      <c r="S39" s="673"/>
      <c r="T39" s="673"/>
      <c r="U39" s="673"/>
      <c r="V39" s="673"/>
      <c r="W39" s="673"/>
      <c r="X39" s="673"/>
      <c r="Y39" s="673"/>
      <c r="Z39" s="673"/>
      <c r="AA39" s="673"/>
      <c r="AB39" s="673"/>
      <c r="AC39" s="673"/>
      <c r="AD39" s="673"/>
      <c r="AE39" s="673"/>
      <c r="AF39" s="673"/>
      <c r="AG39" s="673"/>
      <c r="AH39" s="673"/>
      <c r="AI39" s="673"/>
      <c r="AJ39" s="673"/>
      <c r="AK39" s="673"/>
      <c r="AL39" s="673"/>
      <c r="AM39" s="673"/>
      <c r="AN39" s="673"/>
      <c r="AO39" s="673"/>
      <c r="AP39" s="673"/>
      <c r="AQ39" s="673"/>
      <c r="AR39" s="673"/>
      <c r="AS39" s="673"/>
      <c r="AT39" s="673"/>
      <c r="AU39" s="673"/>
      <c r="AV39" s="673"/>
      <c r="AW39" s="673"/>
      <c r="AX39" s="673"/>
      <c r="AY39" s="673"/>
      <c r="AZ39" s="673"/>
      <c r="BA39" s="673"/>
      <c r="BB39" s="673"/>
      <c r="BC39" s="673"/>
      <c r="BD39" s="673"/>
      <c r="BE39" s="673"/>
      <c r="BF39" s="673"/>
      <c r="BG39" s="673"/>
      <c r="BH39" s="673"/>
      <c r="BI39" s="673"/>
      <c r="BJ39" s="673"/>
      <c r="BK39" s="673"/>
      <c r="BL39" s="673"/>
      <c r="BM39" s="673"/>
      <c r="BN39" s="673"/>
      <c r="BO39" s="673"/>
      <c r="BP39" s="673"/>
      <c r="BQ39" s="673"/>
      <c r="BR39" s="673"/>
      <c r="BS39" s="673"/>
      <c r="BT39" s="673"/>
      <c r="BU39" s="673"/>
      <c r="BV39" s="673"/>
      <c r="BW39" s="673"/>
      <c r="BX39" s="673"/>
      <c r="BY39" s="673"/>
      <c r="BZ39" s="673"/>
      <c r="CA39" s="673"/>
      <c r="CB39" s="673"/>
      <c r="CC39" s="673"/>
      <c r="CD39" s="673"/>
      <c r="CE39" s="673"/>
      <c r="CF39" s="673"/>
      <c r="CG39" s="673"/>
      <c r="CH39" s="673"/>
      <c r="CI39" s="673"/>
      <c r="CJ39" s="673"/>
      <c r="CK39" s="673"/>
      <c r="CL39" s="673"/>
      <c r="CM39" s="673"/>
      <c r="CN39" s="673"/>
      <c r="CO39" s="673"/>
      <c r="CP39" s="673"/>
      <c r="CQ39" s="673"/>
      <c r="CR39" s="673"/>
      <c r="CS39" s="673"/>
      <c r="CT39" s="673"/>
      <c r="CU39" s="673"/>
      <c r="CV39" s="673"/>
      <c r="CW39" s="673"/>
      <c r="CX39" s="673"/>
      <c r="CY39" s="673"/>
      <c r="CZ39" s="673"/>
      <c r="DA39" s="673"/>
      <c r="DB39" s="673"/>
      <c r="DC39" s="673"/>
      <c r="DD39" s="673"/>
      <c r="DE39" s="673"/>
      <c r="DF39" s="673"/>
      <c r="DG39" s="673"/>
      <c r="DH39" s="673"/>
      <c r="DI39" s="673"/>
      <c r="DJ39" s="673"/>
      <c r="DK39" s="673"/>
      <c r="DL39" s="673"/>
      <c r="DM39" s="673"/>
      <c r="DN39" s="673"/>
      <c r="DO39" s="673"/>
      <c r="DP39" s="673"/>
      <c r="DQ39" s="673"/>
      <c r="DR39" s="673"/>
      <c r="DS39" s="673"/>
      <c r="DT39" s="673"/>
      <c r="DU39" s="673"/>
      <c r="DV39" s="673"/>
      <c r="DW39" s="673"/>
      <c r="DX39" s="673"/>
      <c r="DY39" s="673"/>
      <c r="DZ39" s="673"/>
      <c r="EA39" s="673"/>
      <c r="EB39" s="673"/>
      <c r="EC39" s="673"/>
      <c r="ED39" s="673"/>
      <c r="EE39" s="673"/>
      <c r="EF39" s="673"/>
      <c r="EG39" s="673"/>
      <c r="EH39" s="673"/>
      <c r="EI39" s="673"/>
      <c r="EJ39" s="673"/>
      <c r="EK39" s="673"/>
      <c r="EL39" s="673"/>
      <c r="EM39" s="673"/>
      <c r="EN39" s="673"/>
      <c r="EO39" s="673"/>
      <c r="EP39" s="673"/>
      <c r="EQ39" s="673"/>
      <c r="ER39" s="673"/>
      <c r="ES39" s="673"/>
      <c r="ET39" s="673"/>
      <c r="EU39" s="673"/>
      <c r="EV39" s="673"/>
      <c r="EW39" s="673"/>
      <c r="EX39" s="673"/>
      <c r="EY39" s="673"/>
      <c r="EZ39" s="673"/>
      <c r="FA39" s="673"/>
      <c r="FB39" s="673"/>
      <c r="FC39" s="673"/>
      <c r="FD39" s="673"/>
      <c r="FE39" s="673"/>
      <c r="FF39" s="673"/>
      <c r="FG39" s="673"/>
      <c r="FH39" s="673"/>
      <c r="FI39" s="673"/>
      <c r="FJ39" s="673"/>
      <c r="FK39" s="673"/>
      <c r="FL39" s="673"/>
      <c r="FM39" s="673"/>
      <c r="FN39" s="673"/>
      <c r="FO39" s="673"/>
      <c r="FP39" s="673"/>
      <c r="FQ39" s="673"/>
      <c r="FR39" s="673"/>
      <c r="FS39" s="673"/>
      <c r="FT39" s="673"/>
      <c r="FU39" s="673"/>
      <c r="FV39" s="673"/>
      <c r="FW39" s="673"/>
      <c r="FX39" s="673"/>
      <c r="FY39" s="673"/>
      <c r="FZ39" s="673"/>
      <c r="GA39" s="673"/>
      <c r="GB39" s="673"/>
      <c r="GC39" s="673"/>
      <c r="GD39" s="673"/>
      <c r="GE39" s="673"/>
      <c r="GF39" s="673"/>
      <c r="GG39" s="673"/>
      <c r="GH39" s="673"/>
      <c r="GI39" s="673"/>
      <c r="GJ39" s="673"/>
      <c r="GK39" s="673"/>
      <c r="GL39" s="673"/>
      <c r="GM39" s="673"/>
      <c r="GN39" s="673"/>
      <c r="GO39" s="673"/>
      <c r="GP39" s="673"/>
      <c r="GQ39" s="673"/>
      <c r="GR39" s="673"/>
      <c r="GS39" s="673"/>
      <c r="GT39" s="673"/>
      <c r="GU39" s="673"/>
      <c r="GV39" s="673"/>
      <c r="GW39" s="673"/>
      <c r="GX39" s="673"/>
      <c r="GY39" s="673"/>
      <c r="GZ39" s="673"/>
      <c r="HA39" s="673"/>
      <c r="HB39" s="673"/>
      <c r="HC39" s="673"/>
      <c r="HD39" s="673"/>
      <c r="HE39" s="673"/>
      <c r="HF39" s="673"/>
      <c r="HG39" s="673"/>
      <c r="HH39" s="673"/>
      <c r="HI39" s="673"/>
      <c r="HJ39" s="673"/>
      <c r="HK39" s="673"/>
      <c r="HL39" s="673"/>
      <c r="HM39" s="673"/>
      <c r="HN39" s="673"/>
      <c r="HO39" s="673"/>
      <c r="HP39" s="673"/>
      <c r="HQ39" s="673"/>
      <c r="HR39" s="673"/>
      <c r="HS39" s="673"/>
      <c r="HT39" s="673"/>
      <c r="HU39" s="673"/>
      <c r="HV39" s="673"/>
      <c r="HW39" s="673"/>
      <c r="HX39" s="673"/>
      <c r="HY39" s="673"/>
      <c r="HZ39" s="673"/>
      <c r="IA39" s="673"/>
      <c r="IB39" s="673"/>
      <c r="IC39" s="673"/>
      <c r="ID39" s="673"/>
      <c r="IE39" s="673"/>
      <c r="IF39" s="673"/>
      <c r="IG39" s="673"/>
      <c r="IH39" s="673"/>
      <c r="II39" s="673"/>
      <c r="IJ39" s="673"/>
      <c r="IK39" s="673"/>
      <c r="IL39" s="673"/>
      <c r="IM39" s="673"/>
      <c r="IN39" s="673"/>
      <c r="IO39" s="673"/>
      <c r="IP39" s="673"/>
      <c r="IQ39" s="673"/>
      <c r="IR39" s="673"/>
      <c r="IS39" s="673"/>
      <c r="IT39" s="673"/>
      <c r="IU39" s="673"/>
      <c r="IV39" s="673"/>
      <c r="IW39" s="673"/>
      <c r="IX39" s="673"/>
      <c r="IY39" s="673"/>
      <c r="IZ39" s="673"/>
      <c r="JA39" s="673"/>
      <c r="JB39" s="673"/>
      <c r="JC39" s="673"/>
      <c r="JD39" s="673"/>
      <c r="JE39" s="673"/>
      <c r="JF39" s="673"/>
      <c r="JG39" s="673"/>
      <c r="JH39" s="673"/>
      <c r="JI39" s="673"/>
      <c r="JJ39" s="673"/>
      <c r="JK39" s="673"/>
      <c r="JL39" s="673"/>
      <c r="JM39" s="673"/>
      <c r="JN39" s="673"/>
      <c r="JO39" s="673"/>
      <c r="JP39" s="673"/>
      <c r="JQ39" s="673"/>
      <c r="JR39" s="673"/>
      <c r="JS39" s="673"/>
      <c r="JT39" s="673"/>
      <c r="JU39" s="673"/>
      <c r="JV39" s="673"/>
      <c r="JW39" s="673"/>
      <c r="JX39" s="673"/>
      <c r="JY39" s="673"/>
      <c r="JZ39" s="673"/>
      <c r="KA39" s="673"/>
      <c r="KB39" s="673"/>
      <c r="KC39" s="673"/>
      <c r="KD39" s="673"/>
      <c r="KE39" s="673"/>
      <c r="KF39" s="673"/>
      <c r="KG39" s="673"/>
      <c r="KH39" s="673"/>
      <c r="KI39" s="673"/>
      <c r="KJ39" s="673"/>
      <c r="KK39" s="673"/>
      <c r="KL39" s="673"/>
      <c r="KM39" s="673"/>
      <c r="KN39" s="673"/>
      <c r="KO39" s="673"/>
      <c r="KP39" s="673"/>
      <c r="KQ39" s="673"/>
      <c r="KR39" s="673"/>
      <c r="KS39" s="673"/>
      <c r="KT39" s="673"/>
      <c r="KU39" s="673"/>
      <c r="KV39" s="673"/>
      <c r="KW39" s="673"/>
      <c r="KX39" s="673"/>
      <c r="KY39" s="673"/>
      <c r="KZ39" s="673"/>
      <c r="LA39" s="673"/>
      <c r="LB39" s="673"/>
      <c r="LC39" s="673"/>
      <c r="LD39" s="673"/>
      <c r="LE39" s="673"/>
      <c r="LF39" s="673"/>
      <c r="LG39" s="673"/>
      <c r="LH39" s="673"/>
      <c r="LI39" s="673"/>
      <c r="LJ39" s="673"/>
      <c r="LK39" s="673"/>
      <c r="LL39" s="673"/>
      <c r="LM39" s="673"/>
      <c r="LN39" s="673"/>
      <c r="LO39" s="673"/>
      <c r="LP39" s="673"/>
      <c r="LQ39" s="673"/>
      <c r="LR39" s="673"/>
      <c r="LS39" s="673"/>
      <c r="LT39" s="673"/>
      <c r="LU39" s="673"/>
      <c r="LV39" s="673"/>
      <c r="LW39" s="673"/>
      <c r="LX39" s="673"/>
      <c r="LY39" s="673"/>
      <c r="LZ39" s="673"/>
      <c r="MA39" s="673"/>
      <c r="MB39" s="673"/>
      <c r="MC39" s="673"/>
      <c r="MD39" s="673"/>
      <c r="ME39" s="673"/>
      <c r="MF39" s="673"/>
      <c r="MG39" s="673"/>
      <c r="MH39" s="673"/>
      <c r="MI39" s="673"/>
      <c r="MJ39" s="673"/>
      <c r="MK39" s="673"/>
      <c r="ML39" s="673"/>
      <c r="MM39" s="673"/>
      <c r="MN39" s="673"/>
      <c r="MO39" s="673"/>
      <c r="MP39" s="673"/>
      <c r="MQ39" s="673"/>
      <c r="MR39" s="673"/>
      <c r="MS39" s="673"/>
      <c r="MT39" s="673"/>
      <c r="MU39" s="673"/>
      <c r="MV39" s="673"/>
      <c r="MW39" s="673"/>
      <c r="MX39" s="673"/>
      <c r="MY39" s="673"/>
      <c r="MZ39" s="673"/>
      <c r="NA39" s="673"/>
      <c r="NB39" s="673"/>
      <c r="NC39" s="673"/>
      <c r="ND39" s="673"/>
      <c r="NE39" s="673"/>
      <c r="NF39" s="673"/>
      <c r="NG39" s="673"/>
      <c r="NH39" s="673"/>
      <c r="NI39" s="673"/>
      <c r="NJ39" s="673"/>
      <c r="NK39" s="673"/>
      <c r="NL39" s="673"/>
      <c r="NM39" s="673"/>
      <c r="NN39" s="673"/>
      <c r="NO39" s="673"/>
      <c r="NP39" s="673"/>
      <c r="NQ39" s="673"/>
      <c r="NR39" s="673"/>
      <c r="NS39" s="673"/>
      <c r="NT39" s="673"/>
      <c r="NU39" s="673"/>
      <c r="NV39" s="673"/>
      <c r="NW39" s="673"/>
      <c r="NX39" s="673"/>
      <c r="NY39" s="673"/>
      <c r="NZ39" s="673"/>
      <c r="OA39" s="673"/>
      <c r="OB39" s="673"/>
      <c r="OC39" s="673"/>
      <c r="OD39" s="673"/>
      <c r="OE39" s="673"/>
      <c r="OF39" s="673"/>
      <c r="OG39" s="673"/>
      <c r="OH39" s="673"/>
      <c r="OI39" s="673"/>
      <c r="OJ39" s="673"/>
      <c r="OK39" s="673"/>
      <c r="OL39" s="673"/>
      <c r="OM39" s="673"/>
      <c r="ON39" s="673"/>
      <c r="OO39" s="673"/>
      <c r="OP39" s="673"/>
      <c r="OQ39" s="673"/>
      <c r="OR39" s="673"/>
      <c r="OS39" s="673"/>
      <c r="OT39" s="673"/>
      <c r="OU39" s="673"/>
      <c r="OV39" s="673"/>
      <c r="OW39" s="673"/>
      <c r="OX39" s="673"/>
      <c r="OY39" s="673"/>
      <c r="OZ39" s="673"/>
      <c r="PA39" s="673"/>
      <c r="PB39" s="673"/>
      <c r="PC39" s="673"/>
      <c r="PD39" s="673"/>
      <c r="PE39" s="673"/>
      <c r="PF39" s="673"/>
      <c r="PG39" s="673"/>
      <c r="PH39" s="673"/>
      <c r="PI39" s="673"/>
      <c r="PJ39" s="673"/>
      <c r="PK39" s="673"/>
      <c r="PL39" s="673"/>
      <c r="PM39" s="673"/>
      <c r="PN39" s="673"/>
      <c r="PO39" s="673"/>
      <c r="PP39" s="673"/>
      <c r="PQ39" s="673"/>
      <c r="PR39" s="673"/>
      <c r="PS39" s="673"/>
      <c r="PT39" s="673"/>
      <c r="PU39" s="673"/>
      <c r="PV39" s="673"/>
      <c r="PW39" s="673"/>
      <c r="PX39" s="673"/>
      <c r="PY39" s="673"/>
      <c r="PZ39" s="673"/>
      <c r="QA39" s="673"/>
      <c r="QB39" s="673"/>
      <c r="QC39" s="673"/>
      <c r="QD39" s="673"/>
      <c r="QE39" s="673"/>
      <c r="QF39" s="673"/>
      <c r="QG39" s="673"/>
      <c r="QH39" s="673"/>
      <c r="QI39" s="673"/>
      <c r="QJ39" s="673"/>
      <c r="QK39" s="673"/>
    </row>
    <row r="40" spans="1:453" s="558" customFormat="1">
      <c r="A40" s="680"/>
      <c r="B40" s="680"/>
      <c r="C40" s="2107" t="str">
        <f ca="1">TEXT(HYPERLINK("#"&amp;CELL("address",'Equipment Results Matrix'!A717),'Equipment Results Matrix'!A717),"0,000")</f>
        <v>Air-Cooled Chillers</v>
      </c>
      <c r="D40" s="2107"/>
      <c r="E40" s="2107"/>
      <c r="F40" s="2107"/>
      <c r="G40" s="2107"/>
      <c r="H40" s="2107"/>
      <c r="I40" s="680"/>
      <c r="J40" s="1525" t="str">
        <f ca="1">TEXT(HYPERLINK("#"&amp;CELL("address",'Labor Results Matrix'!A190),"Labor"),"0,000")</f>
        <v>Labor</v>
      </c>
      <c r="K40" s="1525"/>
      <c r="L40" s="2107" t="str">
        <f ca="1">TEXT(HYPERLINK("#"&amp;CELL("address",'Equipment + Labor'!A266),"Total installed cost"),"0,000")</f>
        <v>Total installed cost</v>
      </c>
      <c r="M40" s="2107"/>
      <c r="N40" s="2107"/>
      <c r="O40" s="673"/>
      <c r="P40" s="673"/>
      <c r="Q40" s="673"/>
      <c r="R40" s="673"/>
      <c r="S40" s="673"/>
      <c r="T40" s="673"/>
      <c r="U40" s="673"/>
      <c r="V40" s="673"/>
      <c r="W40" s="673"/>
      <c r="X40" s="673"/>
      <c r="Y40" s="673"/>
      <c r="Z40" s="673"/>
      <c r="AA40" s="673"/>
      <c r="AB40" s="673"/>
      <c r="AC40" s="673"/>
      <c r="AD40" s="673"/>
      <c r="AE40" s="673"/>
      <c r="AF40" s="673"/>
      <c r="AG40" s="673"/>
      <c r="AH40" s="673"/>
      <c r="AI40" s="673"/>
      <c r="AJ40" s="673"/>
      <c r="AK40" s="673"/>
      <c r="AL40" s="673"/>
      <c r="AM40" s="673"/>
      <c r="AN40" s="673"/>
      <c r="AO40" s="673"/>
      <c r="AP40" s="673"/>
      <c r="AQ40" s="673"/>
      <c r="AR40" s="673"/>
      <c r="AS40" s="673"/>
      <c r="AT40" s="673"/>
      <c r="AU40" s="673"/>
      <c r="AV40" s="673"/>
      <c r="AW40" s="673"/>
      <c r="AX40" s="673"/>
      <c r="AY40" s="673"/>
      <c r="AZ40" s="673"/>
      <c r="BA40" s="673"/>
      <c r="BB40" s="673"/>
      <c r="BC40" s="673"/>
      <c r="BD40" s="673"/>
      <c r="BE40" s="673"/>
      <c r="BF40" s="673"/>
      <c r="BG40" s="673"/>
      <c r="BH40" s="673"/>
      <c r="BI40" s="673"/>
      <c r="BJ40" s="673"/>
      <c r="BK40" s="673"/>
      <c r="BL40" s="673"/>
      <c r="BM40" s="673"/>
      <c r="BN40" s="673"/>
      <c r="BO40" s="673"/>
      <c r="BP40" s="673"/>
      <c r="BQ40" s="673"/>
      <c r="BR40" s="673"/>
      <c r="BS40" s="673"/>
      <c r="BT40" s="673"/>
      <c r="BU40" s="673"/>
      <c r="BV40" s="673"/>
      <c r="BW40" s="673"/>
      <c r="BX40" s="673"/>
      <c r="BY40" s="673"/>
      <c r="BZ40" s="673"/>
      <c r="CA40" s="673"/>
      <c r="CB40" s="673"/>
      <c r="CC40" s="673"/>
      <c r="CD40" s="673"/>
      <c r="CE40" s="673"/>
      <c r="CF40" s="673"/>
      <c r="CG40" s="673"/>
      <c r="CH40" s="673"/>
      <c r="CI40" s="673"/>
      <c r="CJ40" s="673"/>
      <c r="CK40" s="673"/>
      <c r="CL40" s="673"/>
      <c r="CM40" s="673"/>
      <c r="CN40" s="673"/>
      <c r="CO40" s="673"/>
      <c r="CP40" s="673"/>
      <c r="CQ40" s="673"/>
      <c r="CR40" s="673"/>
      <c r="CS40" s="673"/>
      <c r="CT40" s="673"/>
      <c r="CU40" s="673"/>
      <c r="CV40" s="673"/>
      <c r="CW40" s="673"/>
      <c r="CX40" s="673"/>
      <c r="CY40" s="673"/>
      <c r="CZ40" s="673"/>
      <c r="DA40" s="673"/>
      <c r="DB40" s="673"/>
      <c r="DC40" s="673"/>
      <c r="DD40" s="673"/>
      <c r="DE40" s="673"/>
      <c r="DF40" s="673"/>
      <c r="DG40" s="673"/>
      <c r="DH40" s="673"/>
      <c r="DI40" s="673"/>
      <c r="DJ40" s="673"/>
      <c r="DK40" s="673"/>
      <c r="DL40" s="673"/>
      <c r="DM40" s="673"/>
      <c r="DN40" s="673"/>
      <c r="DO40" s="673"/>
      <c r="DP40" s="673"/>
      <c r="DQ40" s="673"/>
      <c r="DR40" s="673"/>
      <c r="DS40" s="673"/>
      <c r="DT40" s="673"/>
      <c r="DU40" s="673"/>
      <c r="DV40" s="673"/>
      <c r="DW40" s="673"/>
      <c r="DX40" s="673"/>
      <c r="DY40" s="673"/>
      <c r="DZ40" s="673"/>
      <c r="EA40" s="673"/>
      <c r="EB40" s="673"/>
      <c r="EC40" s="673"/>
      <c r="ED40" s="673"/>
      <c r="EE40" s="673"/>
      <c r="EF40" s="673"/>
      <c r="EG40" s="673"/>
      <c r="EH40" s="673"/>
      <c r="EI40" s="673"/>
      <c r="EJ40" s="673"/>
      <c r="EK40" s="673"/>
      <c r="EL40" s="673"/>
      <c r="EM40" s="673"/>
      <c r="EN40" s="673"/>
      <c r="EO40" s="673"/>
      <c r="EP40" s="673"/>
      <c r="EQ40" s="673"/>
      <c r="ER40" s="673"/>
      <c r="ES40" s="673"/>
      <c r="ET40" s="673"/>
      <c r="EU40" s="673"/>
      <c r="EV40" s="673"/>
      <c r="EW40" s="673"/>
      <c r="EX40" s="673"/>
      <c r="EY40" s="673"/>
      <c r="EZ40" s="673"/>
      <c r="FA40" s="673"/>
      <c r="FB40" s="673"/>
      <c r="FC40" s="673"/>
      <c r="FD40" s="673"/>
      <c r="FE40" s="673"/>
      <c r="FF40" s="673"/>
      <c r="FG40" s="673"/>
      <c r="FH40" s="673"/>
      <c r="FI40" s="673"/>
      <c r="FJ40" s="673"/>
      <c r="FK40" s="673"/>
      <c r="FL40" s="673"/>
      <c r="FM40" s="673"/>
      <c r="FN40" s="673"/>
      <c r="FO40" s="673"/>
      <c r="FP40" s="673"/>
      <c r="FQ40" s="673"/>
      <c r="FR40" s="673"/>
      <c r="FS40" s="673"/>
      <c r="FT40" s="673"/>
      <c r="FU40" s="673"/>
      <c r="FV40" s="673"/>
      <c r="FW40" s="673"/>
      <c r="FX40" s="673"/>
      <c r="FY40" s="673"/>
      <c r="FZ40" s="673"/>
      <c r="GA40" s="673"/>
      <c r="GB40" s="673"/>
      <c r="GC40" s="673"/>
      <c r="GD40" s="673"/>
      <c r="GE40" s="673"/>
      <c r="GF40" s="673"/>
      <c r="GG40" s="673"/>
      <c r="GH40" s="673"/>
      <c r="GI40" s="673"/>
      <c r="GJ40" s="673"/>
      <c r="GK40" s="673"/>
      <c r="GL40" s="673"/>
      <c r="GM40" s="673"/>
      <c r="GN40" s="673"/>
      <c r="GO40" s="673"/>
      <c r="GP40" s="673"/>
      <c r="GQ40" s="673"/>
      <c r="GR40" s="673"/>
      <c r="GS40" s="673"/>
      <c r="GT40" s="673"/>
      <c r="GU40" s="673"/>
      <c r="GV40" s="673"/>
      <c r="GW40" s="673"/>
      <c r="GX40" s="673"/>
      <c r="GY40" s="673"/>
      <c r="GZ40" s="673"/>
      <c r="HA40" s="673"/>
      <c r="HB40" s="673"/>
      <c r="HC40" s="673"/>
      <c r="HD40" s="673"/>
      <c r="HE40" s="673"/>
      <c r="HF40" s="673"/>
      <c r="HG40" s="673"/>
      <c r="HH40" s="673"/>
      <c r="HI40" s="673"/>
      <c r="HJ40" s="673"/>
      <c r="HK40" s="673"/>
      <c r="HL40" s="673"/>
      <c r="HM40" s="673"/>
      <c r="HN40" s="673"/>
      <c r="HO40" s="673"/>
      <c r="HP40" s="673"/>
      <c r="HQ40" s="673"/>
      <c r="HR40" s="673"/>
      <c r="HS40" s="673"/>
      <c r="HT40" s="673"/>
      <c r="HU40" s="673"/>
      <c r="HV40" s="673"/>
      <c r="HW40" s="673"/>
      <c r="HX40" s="673"/>
      <c r="HY40" s="673"/>
      <c r="HZ40" s="673"/>
      <c r="IA40" s="673"/>
      <c r="IB40" s="673"/>
      <c r="IC40" s="673"/>
      <c r="ID40" s="673"/>
      <c r="IE40" s="673"/>
      <c r="IF40" s="673"/>
      <c r="IG40" s="673"/>
      <c r="IH40" s="673"/>
      <c r="II40" s="673"/>
      <c r="IJ40" s="673"/>
      <c r="IK40" s="673"/>
      <c r="IL40" s="673"/>
      <c r="IM40" s="673"/>
      <c r="IN40" s="673"/>
      <c r="IO40" s="673"/>
      <c r="IP40" s="673"/>
      <c r="IQ40" s="673"/>
      <c r="IR40" s="673"/>
      <c r="IS40" s="673"/>
      <c r="IT40" s="673"/>
      <c r="IU40" s="673"/>
      <c r="IV40" s="673"/>
      <c r="IW40" s="673"/>
      <c r="IX40" s="673"/>
      <c r="IY40" s="673"/>
      <c r="IZ40" s="673"/>
      <c r="JA40" s="673"/>
      <c r="JB40" s="673"/>
      <c r="JC40" s="673"/>
      <c r="JD40" s="673"/>
      <c r="JE40" s="673"/>
      <c r="JF40" s="673"/>
      <c r="JG40" s="673"/>
      <c r="JH40" s="673"/>
      <c r="JI40" s="673"/>
      <c r="JJ40" s="673"/>
      <c r="JK40" s="673"/>
      <c r="JL40" s="673"/>
      <c r="JM40" s="673"/>
      <c r="JN40" s="673"/>
      <c r="JO40" s="673"/>
      <c r="JP40" s="673"/>
      <c r="JQ40" s="673"/>
      <c r="JR40" s="673"/>
      <c r="JS40" s="673"/>
      <c r="JT40" s="673"/>
      <c r="JU40" s="673"/>
      <c r="JV40" s="673"/>
      <c r="JW40" s="673"/>
      <c r="JX40" s="673"/>
      <c r="JY40" s="673"/>
      <c r="JZ40" s="673"/>
      <c r="KA40" s="673"/>
      <c r="KB40" s="673"/>
      <c r="KC40" s="673"/>
      <c r="KD40" s="673"/>
      <c r="KE40" s="673"/>
      <c r="KF40" s="673"/>
      <c r="KG40" s="673"/>
      <c r="KH40" s="673"/>
      <c r="KI40" s="673"/>
      <c r="KJ40" s="673"/>
      <c r="KK40" s="673"/>
      <c r="KL40" s="673"/>
      <c r="KM40" s="673"/>
      <c r="KN40" s="673"/>
      <c r="KO40" s="673"/>
      <c r="KP40" s="673"/>
      <c r="KQ40" s="673"/>
      <c r="KR40" s="673"/>
      <c r="KS40" s="673"/>
      <c r="KT40" s="673"/>
      <c r="KU40" s="673"/>
      <c r="KV40" s="673"/>
      <c r="KW40" s="673"/>
      <c r="KX40" s="673"/>
      <c r="KY40" s="673"/>
      <c r="KZ40" s="673"/>
      <c r="LA40" s="673"/>
      <c r="LB40" s="673"/>
      <c r="LC40" s="673"/>
      <c r="LD40" s="673"/>
      <c r="LE40" s="673"/>
      <c r="LF40" s="673"/>
      <c r="LG40" s="673"/>
      <c r="LH40" s="673"/>
      <c r="LI40" s="673"/>
      <c r="LJ40" s="673"/>
      <c r="LK40" s="673"/>
      <c r="LL40" s="673"/>
      <c r="LM40" s="673"/>
      <c r="LN40" s="673"/>
      <c r="LO40" s="673"/>
      <c r="LP40" s="673"/>
      <c r="LQ40" s="673"/>
      <c r="LR40" s="673"/>
      <c r="LS40" s="673"/>
      <c r="LT40" s="673"/>
      <c r="LU40" s="673"/>
      <c r="LV40" s="673"/>
      <c r="LW40" s="673"/>
      <c r="LX40" s="673"/>
      <c r="LY40" s="673"/>
      <c r="LZ40" s="673"/>
      <c r="MA40" s="673"/>
      <c r="MB40" s="673"/>
      <c r="MC40" s="673"/>
      <c r="MD40" s="673"/>
      <c r="ME40" s="673"/>
      <c r="MF40" s="673"/>
      <c r="MG40" s="673"/>
      <c r="MH40" s="673"/>
      <c r="MI40" s="673"/>
      <c r="MJ40" s="673"/>
      <c r="MK40" s="673"/>
      <c r="ML40" s="673"/>
      <c r="MM40" s="673"/>
      <c r="MN40" s="673"/>
      <c r="MO40" s="673"/>
      <c r="MP40" s="673"/>
      <c r="MQ40" s="673"/>
      <c r="MR40" s="673"/>
      <c r="MS40" s="673"/>
      <c r="MT40" s="673"/>
      <c r="MU40" s="673"/>
      <c r="MV40" s="673"/>
      <c r="MW40" s="673"/>
      <c r="MX40" s="673"/>
      <c r="MY40" s="673"/>
      <c r="MZ40" s="673"/>
      <c r="NA40" s="673"/>
      <c r="NB40" s="673"/>
      <c r="NC40" s="673"/>
      <c r="ND40" s="673"/>
      <c r="NE40" s="673"/>
      <c r="NF40" s="673"/>
      <c r="NG40" s="673"/>
      <c r="NH40" s="673"/>
      <c r="NI40" s="673"/>
      <c r="NJ40" s="673"/>
      <c r="NK40" s="673"/>
      <c r="NL40" s="673"/>
      <c r="NM40" s="673"/>
      <c r="NN40" s="673"/>
      <c r="NO40" s="673"/>
      <c r="NP40" s="673"/>
      <c r="NQ40" s="673"/>
      <c r="NR40" s="673"/>
      <c r="NS40" s="673"/>
      <c r="NT40" s="673"/>
      <c r="NU40" s="673"/>
      <c r="NV40" s="673"/>
      <c r="NW40" s="673"/>
      <c r="NX40" s="673"/>
      <c r="NY40" s="673"/>
      <c r="NZ40" s="673"/>
      <c r="OA40" s="673"/>
      <c r="OB40" s="673"/>
      <c r="OC40" s="673"/>
      <c r="OD40" s="673"/>
      <c r="OE40" s="673"/>
      <c r="OF40" s="673"/>
      <c r="OG40" s="673"/>
      <c r="OH40" s="673"/>
      <c r="OI40" s="673"/>
      <c r="OJ40" s="673"/>
      <c r="OK40" s="673"/>
      <c r="OL40" s="673"/>
      <c r="OM40" s="673"/>
      <c r="ON40" s="673"/>
      <c r="OO40" s="673"/>
      <c r="OP40" s="673"/>
      <c r="OQ40" s="673"/>
      <c r="OR40" s="673"/>
      <c r="OS40" s="673"/>
      <c r="OT40" s="673"/>
      <c r="OU40" s="673"/>
      <c r="OV40" s="673"/>
      <c r="OW40" s="673"/>
      <c r="OX40" s="673"/>
      <c r="OY40" s="673"/>
      <c r="OZ40" s="673"/>
      <c r="PA40" s="673"/>
      <c r="PB40" s="673"/>
      <c r="PC40" s="673"/>
      <c r="PD40" s="673"/>
      <c r="PE40" s="673"/>
      <c r="PF40" s="673"/>
      <c r="PG40" s="673"/>
      <c r="PH40" s="673"/>
      <c r="PI40" s="673"/>
      <c r="PJ40" s="673"/>
      <c r="PK40" s="673"/>
      <c r="PL40" s="673"/>
      <c r="PM40" s="673"/>
      <c r="PN40" s="673"/>
      <c r="PO40" s="673"/>
      <c r="PP40" s="673"/>
      <c r="PQ40" s="673"/>
      <c r="PR40" s="673"/>
      <c r="PS40" s="673"/>
      <c r="PT40" s="673"/>
      <c r="PU40" s="673"/>
      <c r="PV40" s="673"/>
      <c r="PW40" s="673"/>
      <c r="PX40" s="673"/>
      <c r="PY40" s="673"/>
      <c r="PZ40" s="673"/>
      <c r="QA40" s="673"/>
      <c r="QB40" s="673"/>
      <c r="QC40" s="673"/>
      <c r="QD40" s="673"/>
      <c r="QE40" s="673"/>
      <c r="QF40" s="673"/>
      <c r="QG40" s="673"/>
      <c r="QH40" s="673"/>
      <c r="QI40" s="673"/>
      <c r="QJ40" s="673"/>
      <c r="QK40" s="673"/>
    </row>
    <row r="41" spans="1:453" s="558" customFormat="1">
      <c r="A41" s="680"/>
      <c r="B41" s="680"/>
      <c r="C41" s="2107" t="str">
        <f ca="1">TEXT(HYPERLINK("#"&amp;CELL("address",'Equipment Results Matrix'!A739),'Equipment Results Matrix'!A739),"0,000")</f>
        <v>Water-Cooled Chillers 
(excluding centrifugal VSD)</v>
      </c>
      <c r="D41" s="2107"/>
      <c r="E41" s="2107"/>
      <c r="F41" s="2107"/>
      <c r="G41" s="2107"/>
      <c r="H41" s="2107"/>
      <c r="I41" s="680"/>
      <c r="J41" s="1525" t="str">
        <f ca="1">TEXT(HYPERLINK("#"&amp;CELL("address",'Labor Results Matrix'!A212),"Labor"),"0,000")</f>
        <v>Labor</v>
      </c>
      <c r="K41" s="1525"/>
      <c r="L41" s="2107" t="str">
        <f ca="1">TEXT(HYPERLINK("#"&amp;CELL("address",'Equipment + Labor'!A269),"Total installed cost"),"0,000")</f>
        <v>Total installed cost</v>
      </c>
      <c r="M41" s="2107"/>
      <c r="N41" s="2107"/>
      <c r="O41" s="673"/>
      <c r="P41" s="673"/>
      <c r="Q41" s="673"/>
      <c r="R41" s="673"/>
      <c r="S41" s="673"/>
      <c r="T41" s="673"/>
      <c r="U41" s="673"/>
      <c r="V41" s="673"/>
      <c r="W41" s="673"/>
      <c r="X41" s="673"/>
      <c r="Y41" s="673"/>
      <c r="Z41" s="673"/>
      <c r="AA41" s="673"/>
      <c r="AB41" s="673"/>
      <c r="AC41" s="673"/>
      <c r="AD41" s="673"/>
      <c r="AE41" s="673"/>
      <c r="AF41" s="673"/>
      <c r="AG41" s="673"/>
      <c r="AH41" s="673"/>
      <c r="AI41" s="673"/>
      <c r="AJ41" s="673"/>
      <c r="AK41" s="673"/>
      <c r="AL41" s="673"/>
      <c r="AM41" s="673"/>
      <c r="AN41" s="673"/>
      <c r="AO41" s="673"/>
      <c r="AP41" s="673"/>
      <c r="AQ41" s="673"/>
      <c r="AR41" s="673"/>
      <c r="AS41" s="673"/>
      <c r="AT41" s="673"/>
      <c r="AU41" s="673"/>
      <c r="AV41" s="673"/>
      <c r="AW41" s="673"/>
      <c r="AX41" s="673"/>
      <c r="AY41" s="673"/>
      <c r="AZ41" s="673"/>
      <c r="BA41" s="673"/>
      <c r="BB41" s="673"/>
      <c r="BC41" s="673"/>
      <c r="BD41" s="673"/>
      <c r="BE41" s="673"/>
      <c r="BF41" s="673"/>
      <c r="BG41" s="673"/>
      <c r="BH41" s="673"/>
      <c r="BI41" s="673"/>
      <c r="BJ41" s="673"/>
      <c r="BK41" s="673"/>
      <c r="BL41" s="673"/>
      <c r="BM41" s="673"/>
      <c r="BN41" s="673"/>
      <c r="BO41" s="673"/>
      <c r="BP41" s="673"/>
      <c r="BQ41" s="673"/>
      <c r="BR41" s="673"/>
      <c r="BS41" s="673"/>
      <c r="BT41" s="673"/>
      <c r="BU41" s="673"/>
      <c r="BV41" s="673"/>
      <c r="BW41" s="673"/>
      <c r="BX41" s="673"/>
      <c r="BY41" s="673"/>
      <c r="BZ41" s="673"/>
      <c r="CA41" s="673"/>
      <c r="CB41" s="673"/>
      <c r="CC41" s="673"/>
      <c r="CD41" s="673"/>
      <c r="CE41" s="673"/>
      <c r="CF41" s="673"/>
      <c r="CG41" s="673"/>
      <c r="CH41" s="673"/>
      <c r="CI41" s="673"/>
      <c r="CJ41" s="673"/>
      <c r="CK41" s="673"/>
      <c r="CL41" s="673"/>
      <c r="CM41" s="673"/>
      <c r="CN41" s="673"/>
      <c r="CO41" s="673"/>
      <c r="CP41" s="673"/>
      <c r="CQ41" s="673"/>
      <c r="CR41" s="673"/>
      <c r="CS41" s="673"/>
      <c r="CT41" s="673"/>
      <c r="CU41" s="673"/>
      <c r="CV41" s="673"/>
      <c r="CW41" s="673"/>
      <c r="CX41" s="673"/>
      <c r="CY41" s="673"/>
      <c r="CZ41" s="673"/>
      <c r="DA41" s="673"/>
      <c r="DB41" s="673"/>
      <c r="DC41" s="673"/>
      <c r="DD41" s="673"/>
      <c r="DE41" s="673"/>
      <c r="DF41" s="673"/>
      <c r="DG41" s="673"/>
      <c r="DH41" s="673"/>
      <c r="DI41" s="673"/>
      <c r="DJ41" s="673"/>
      <c r="DK41" s="673"/>
      <c r="DL41" s="673"/>
      <c r="DM41" s="673"/>
      <c r="DN41" s="673"/>
      <c r="DO41" s="673"/>
      <c r="DP41" s="673"/>
      <c r="DQ41" s="673"/>
      <c r="DR41" s="673"/>
      <c r="DS41" s="673"/>
      <c r="DT41" s="673"/>
      <c r="DU41" s="673"/>
      <c r="DV41" s="673"/>
      <c r="DW41" s="673"/>
      <c r="DX41" s="673"/>
      <c r="DY41" s="673"/>
      <c r="DZ41" s="673"/>
      <c r="EA41" s="673"/>
      <c r="EB41" s="673"/>
      <c r="EC41" s="673"/>
      <c r="ED41" s="673"/>
      <c r="EE41" s="673"/>
      <c r="EF41" s="673"/>
      <c r="EG41" s="673"/>
      <c r="EH41" s="673"/>
      <c r="EI41" s="673"/>
      <c r="EJ41" s="673"/>
      <c r="EK41" s="673"/>
      <c r="EL41" s="673"/>
      <c r="EM41" s="673"/>
      <c r="EN41" s="673"/>
      <c r="EO41" s="673"/>
      <c r="EP41" s="673"/>
      <c r="EQ41" s="673"/>
      <c r="ER41" s="673"/>
      <c r="ES41" s="673"/>
      <c r="ET41" s="673"/>
      <c r="EU41" s="673"/>
      <c r="EV41" s="673"/>
      <c r="EW41" s="673"/>
      <c r="EX41" s="673"/>
      <c r="EY41" s="673"/>
      <c r="EZ41" s="673"/>
      <c r="FA41" s="673"/>
      <c r="FB41" s="673"/>
      <c r="FC41" s="673"/>
      <c r="FD41" s="673"/>
      <c r="FE41" s="673"/>
      <c r="FF41" s="673"/>
      <c r="FG41" s="673"/>
      <c r="FH41" s="673"/>
      <c r="FI41" s="673"/>
      <c r="FJ41" s="673"/>
      <c r="FK41" s="673"/>
      <c r="FL41" s="673"/>
      <c r="FM41" s="673"/>
      <c r="FN41" s="673"/>
      <c r="FO41" s="673"/>
      <c r="FP41" s="673"/>
      <c r="FQ41" s="673"/>
      <c r="FR41" s="673"/>
      <c r="FS41" s="673"/>
      <c r="FT41" s="673"/>
      <c r="FU41" s="673"/>
      <c r="FV41" s="673"/>
      <c r="FW41" s="673"/>
      <c r="FX41" s="673"/>
      <c r="FY41" s="673"/>
      <c r="FZ41" s="673"/>
      <c r="GA41" s="673"/>
      <c r="GB41" s="673"/>
      <c r="GC41" s="673"/>
      <c r="GD41" s="673"/>
      <c r="GE41" s="673"/>
      <c r="GF41" s="673"/>
      <c r="GG41" s="673"/>
      <c r="GH41" s="673"/>
      <c r="GI41" s="673"/>
      <c r="GJ41" s="673"/>
      <c r="GK41" s="673"/>
      <c r="GL41" s="673"/>
      <c r="GM41" s="673"/>
      <c r="GN41" s="673"/>
      <c r="GO41" s="673"/>
      <c r="GP41" s="673"/>
      <c r="GQ41" s="673"/>
      <c r="GR41" s="673"/>
      <c r="GS41" s="673"/>
      <c r="GT41" s="673"/>
      <c r="GU41" s="673"/>
      <c r="GV41" s="673"/>
      <c r="GW41" s="673"/>
      <c r="GX41" s="673"/>
      <c r="GY41" s="673"/>
      <c r="GZ41" s="673"/>
      <c r="HA41" s="673"/>
      <c r="HB41" s="673"/>
      <c r="HC41" s="673"/>
      <c r="HD41" s="673"/>
      <c r="HE41" s="673"/>
      <c r="HF41" s="673"/>
      <c r="HG41" s="673"/>
      <c r="HH41" s="673"/>
      <c r="HI41" s="673"/>
      <c r="HJ41" s="673"/>
      <c r="HK41" s="673"/>
      <c r="HL41" s="673"/>
      <c r="HM41" s="673"/>
      <c r="HN41" s="673"/>
      <c r="HO41" s="673"/>
      <c r="HP41" s="673"/>
      <c r="HQ41" s="673"/>
      <c r="HR41" s="673"/>
      <c r="HS41" s="673"/>
      <c r="HT41" s="673"/>
      <c r="HU41" s="673"/>
      <c r="HV41" s="673"/>
      <c r="HW41" s="673"/>
      <c r="HX41" s="673"/>
      <c r="HY41" s="673"/>
      <c r="HZ41" s="673"/>
      <c r="IA41" s="673"/>
      <c r="IB41" s="673"/>
      <c r="IC41" s="673"/>
      <c r="ID41" s="673"/>
      <c r="IE41" s="673"/>
      <c r="IF41" s="673"/>
      <c r="IG41" s="673"/>
      <c r="IH41" s="673"/>
      <c r="II41" s="673"/>
      <c r="IJ41" s="673"/>
      <c r="IK41" s="673"/>
      <c r="IL41" s="673"/>
      <c r="IM41" s="673"/>
      <c r="IN41" s="673"/>
      <c r="IO41" s="673"/>
      <c r="IP41" s="673"/>
      <c r="IQ41" s="673"/>
      <c r="IR41" s="673"/>
      <c r="IS41" s="673"/>
      <c r="IT41" s="673"/>
      <c r="IU41" s="673"/>
      <c r="IV41" s="673"/>
      <c r="IW41" s="673"/>
      <c r="IX41" s="673"/>
      <c r="IY41" s="673"/>
      <c r="IZ41" s="673"/>
      <c r="JA41" s="673"/>
      <c r="JB41" s="673"/>
      <c r="JC41" s="673"/>
      <c r="JD41" s="673"/>
      <c r="JE41" s="673"/>
      <c r="JF41" s="673"/>
      <c r="JG41" s="673"/>
      <c r="JH41" s="673"/>
      <c r="JI41" s="673"/>
      <c r="JJ41" s="673"/>
      <c r="JK41" s="673"/>
      <c r="JL41" s="673"/>
      <c r="JM41" s="673"/>
      <c r="JN41" s="673"/>
      <c r="JO41" s="673"/>
      <c r="JP41" s="673"/>
      <c r="JQ41" s="673"/>
      <c r="JR41" s="673"/>
      <c r="JS41" s="673"/>
      <c r="JT41" s="673"/>
      <c r="JU41" s="673"/>
      <c r="JV41" s="673"/>
      <c r="JW41" s="673"/>
      <c r="JX41" s="673"/>
      <c r="JY41" s="673"/>
      <c r="JZ41" s="673"/>
      <c r="KA41" s="673"/>
      <c r="KB41" s="673"/>
      <c r="KC41" s="673"/>
      <c r="KD41" s="673"/>
      <c r="KE41" s="673"/>
      <c r="KF41" s="673"/>
      <c r="KG41" s="673"/>
      <c r="KH41" s="673"/>
      <c r="KI41" s="673"/>
      <c r="KJ41" s="673"/>
      <c r="KK41" s="673"/>
      <c r="KL41" s="673"/>
      <c r="KM41" s="673"/>
      <c r="KN41" s="673"/>
      <c r="KO41" s="673"/>
      <c r="KP41" s="673"/>
      <c r="KQ41" s="673"/>
      <c r="KR41" s="673"/>
      <c r="KS41" s="673"/>
      <c r="KT41" s="673"/>
      <c r="KU41" s="673"/>
      <c r="KV41" s="673"/>
      <c r="KW41" s="673"/>
      <c r="KX41" s="673"/>
      <c r="KY41" s="673"/>
      <c r="KZ41" s="673"/>
      <c r="LA41" s="673"/>
      <c r="LB41" s="673"/>
      <c r="LC41" s="673"/>
      <c r="LD41" s="673"/>
      <c r="LE41" s="673"/>
      <c r="LF41" s="673"/>
      <c r="LG41" s="673"/>
      <c r="LH41" s="673"/>
      <c r="LI41" s="673"/>
      <c r="LJ41" s="673"/>
      <c r="LK41" s="673"/>
      <c r="LL41" s="673"/>
      <c r="LM41" s="673"/>
      <c r="LN41" s="673"/>
      <c r="LO41" s="673"/>
      <c r="LP41" s="673"/>
      <c r="LQ41" s="673"/>
      <c r="LR41" s="673"/>
      <c r="LS41" s="673"/>
      <c r="LT41" s="673"/>
      <c r="LU41" s="673"/>
      <c r="LV41" s="673"/>
      <c r="LW41" s="673"/>
      <c r="LX41" s="673"/>
      <c r="LY41" s="673"/>
      <c r="LZ41" s="673"/>
      <c r="MA41" s="673"/>
      <c r="MB41" s="673"/>
      <c r="MC41" s="673"/>
      <c r="MD41" s="673"/>
      <c r="ME41" s="673"/>
      <c r="MF41" s="673"/>
      <c r="MG41" s="673"/>
      <c r="MH41" s="673"/>
      <c r="MI41" s="673"/>
      <c r="MJ41" s="673"/>
      <c r="MK41" s="673"/>
      <c r="ML41" s="673"/>
      <c r="MM41" s="673"/>
      <c r="MN41" s="673"/>
      <c r="MO41" s="673"/>
      <c r="MP41" s="673"/>
      <c r="MQ41" s="673"/>
      <c r="MR41" s="673"/>
      <c r="MS41" s="673"/>
      <c r="MT41" s="673"/>
      <c r="MU41" s="673"/>
      <c r="MV41" s="673"/>
      <c r="MW41" s="673"/>
      <c r="MX41" s="673"/>
      <c r="MY41" s="673"/>
      <c r="MZ41" s="673"/>
      <c r="NA41" s="673"/>
      <c r="NB41" s="673"/>
      <c r="NC41" s="673"/>
      <c r="ND41" s="673"/>
      <c r="NE41" s="673"/>
      <c r="NF41" s="673"/>
      <c r="NG41" s="673"/>
      <c r="NH41" s="673"/>
      <c r="NI41" s="673"/>
      <c r="NJ41" s="673"/>
      <c r="NK41" s="673"/>
      <c r="NL41" s="673"/>
      <c r="NM41" s="673"/>
      <c r="NN41" s="673"/>
      <c r="NO41" s="673"/>
      <c r="NP41" s="673"/>
      <c r="NQ41" s="673"/>
      <c r="NR41" s="673"/>
      <c r="NS41" s="673"/>
      <c r="NT41" s="673"/>
      <c r="NU41" s="673"/>
      <c r="NV41" s="673"/>
      <c r="NW41" s="673"/>
      <c r="NX41" s="673"/>
      <c r="NY41" s="673"/>
      <c r="NZ41" s="673"/>
      <c r="OA41" s="673"/>
      <c r="OB41" s="673"/>
      <c r="OC41" s="673"/>
      <c r="OD41" s="673"/>
      <c r="OE41" s="673"/>
      <c r="OF41" s="673"/>
      <c r="OG41" s="673"/>
      <c r="OH41" s="673"/>
      <c r="OI41" s="673"/>
      <c r="OJ41" s="673"/>
      <c r="OK41" s="673"/>
      <c r="OL41" s="673"/>
      <c r="OM41" s="673"/>
      <c r="ON41" s="673"/>
      <c r="OO41" s="673"/>
      <c r="OP41" s="673"/>
      <c r="OQ41" s="673"/>
      <c r="OR41" s="673"/>
      <c r="OS41" s="673"/>
      <c r="OT41" s="673"/>
      <c r="OU41" s="673"/>
      <c r="OV41" s="673"/>
      <c r="OW41" s="673"/>
      <c r="OX41" s="673"/>
      <c r="OY41" s="673"/>
      <c r="OZ41" s="673"/>
      <c r="PA41" s="673"/>
      <c r="PB41" s="673"/>
      <c r="PC41" s="673"/>
      <c r="PD41" s="673"/>
      <c r="PE41" s="673"/>
      <c r="PF41" s="673"/>
      <c r="PG41" s="673"/>
      <c r="PH41" s="673"/>
      <c r="PI41" s="673"/>
      <c r="PJ41" s="673"/>
      <c r="PK41" s="673"/>
      <c r="PL41" s="673"/>
      <c r="PM41" s="673"/>
      <c r="PN41" s="673"/>
      <c r="PO41" s="673"/>
      <c r="PP41" s="673"/>
      <c r="PQ41" s="673"/>
      <c r="PR41" s="673"/>
      <c r="PS41" s="673"/>
      <c r="PT41" s="673"/>
      <c r="PU41" s="673"/>
      <c r="PV41" s="673"/>
      <c r="PW41" s="673"/>
      <c r="PX41" s="673"/>
      <c r="PY41" s="673"/>
      <c r="PZ41" s="673"/>
      <c r="QA41" s="673"/>
      <c r="QB41" s="673"/>
      <c r="QC41" s="673"/>
      <c r="QD41" s="673"/>
      <c r="QE41" s="673"/>
      <c r="QF41" s="673"/>
      <c r="QG41" s="673"/>
      <c r="QH41" s="673"/>
      <c r="QI41" s="673"/>
      <c r="QJ41" s="673"/>
      <c r="QK41" s="673"/>
    </row>
    <row r="42" spans="1:453" s="558" customFormat="1">
      <c r="A42" s="680"/>
      <c r="B42" s="680"/>
      <c r="C42" s="2107" t="str">
        <f ca="1">TEXT(HYPERLINK("#"&amp;CELL("address",'Equipment Results Matrix'!A752),'Equipment Results Matrix'!A752),"0,000")</f>
        <v>Water-Cooled Centrifugal VSD Chillers
(&gt;= 300 tons)</v>
      </c>
      <c r="D42" s="2107"/>
      <c r="E42" s="2107"/>
      <c r="F42" s="2107"/>
      <c r="G42" s="2107"/>
      <c r="H42" s="2107"/>
      <c r="I42" s="680"/>
      <c r="J42" s="1525" t="str">
        <f ca="1">TEXT(HYPERLINK("#"&amp;CELL("address",'Labor Results Matrix'!A247),"Labor"),"0,000")</f>
        <v>Labor</v>
      </c>
      <c r="K42" s="1525"/>
      <c r="L42" s="2107" t="str">
        <f ca="1">TEXT(HYPERLINK("#"&amp;CELL("address",'Equipment + Labor'!A282),"Total installed cost"),"0,000")</f>
        <v>Total installed cost</v>
      </c>
      <c r="M42" s="2107"/>
      <c r="N42" s="2107"/>
      <c r="O42" s="673"/>
      <c r="P42" s="673"/>
      <c r="Q42" s="673"/>
      <c r="R42" s="673"/>
      <c r="S42" s="673"/>
      <c r="T42" s="673"/>
      <c r="U42" s="673"/>
      <c r="V42" s="673"/>
      <c r="W42" s="673"/>
      <c r="X42" s="673"/>
      <c r="Y42" s="673"/>
      <c r="Z42" s="673"/>
      <c r="AA42" s="673"/>
      <c r="AB42" s="673"/>
      <c r="AC42" s="673"/>
      <c r="AD42" s="673"/>
      <c r="AE42" s="673"/>
      <c r="AF42" s="673"/>
      <c r="AG42" s="673"/>
      <c r="AH42" s="673"/>
      <c r="AI42" s="673"/>
      <c r="AJ42" s="673"/>
      <c r="AK42" s="673"/>
      <c r="AL42" s="673"/>
      <c r="AM42" s="673"/>
      <c r="AN42" s="673"/>
      <c r="AO42" s="673"/>
      <c r="AP42" s="673"/>
      <c r="AQ42" s="673"/>
      <c r="AR42" s="673"/>
      <c r="AS42" s="673"/>
      <c r="AT42" s="673"/>
      <c r="AU42" s="673"/>
      <c r="AV42" s="673"/>
      <c r="AW42" s="673"/>
      <c r="AX42" s="673"/>
      <c r="AY42" s="673"/>
      <c r="AZ42" s="673"/>
      <c r="BA42" s="673"/>
      <c r="BB42" s="673"/>
      <c r="BC42" s="673"/>
      <c r="BD42" s="673"/>
      <c r="BE42" s="673"/>
      <c r="BF42" s="673"/>
      <c r="BG42" s="673"/>
      <c r="BH42" s="673"/>
      <c r="BI42" s="673"/>
      <c r="BJ42" s="673"/>
      <c r="BK42" s="673"/>
      <c r="BL42" s="673"/>
      <c r="BM42" s="673"/>
      <c r="BN42" s="673"/>
      <c r="BO42" s="673"/>
      <c r="BP42" s="673"/>
      <c r="BQ42" s="673"/>
      <c r="BR42" s="673"/>
      <c r="BS42" s="673"/>
      <c r="BT42" s="673"/>
      <c r="BU42" s="673"/>
      <c r="BV42" s="673"/>
      <c r="BW42" s="673"/>
      <c r="BX42" s="673"/>
      <c r="BY42" s="673"/>
      <c r="BZ42" s="673"/>
      <c r="CA42" s="673"/>
      <c r="CB42" s="673"/>
      <c r="CC42" s="673"/>
      <c r="CD42" s="673"/>
      <c r="CE42" s="673"/>
      <c r="CF42" s="673"/>
      <c r="CG42" s="673"/>
      <c r="CH42" s="673"/>
      <c r="CI42" s="673"/>
      <c r="CJ42" s="673"/>
      <c r="CK42" s="673"/>
      <c r="CL42" s="673"/>
      <c r="CM42" s="673"/>
      <c r="CN42" s="673"/>
      <c r="CO42" s="673"/>
      <c r="CP42" s="673"/>
      <c r="CQ42" s="673"/>
      <c r="CR42" s="673"/>
      <c r="CS42" s="673"/>
      <c r="CT42" s="673"/>
      <c r="CU42" s="673"/>
      <c r="CV42" s="673"/>
      <c r="CW42" s="673"/>
      <c r="CX42" s="673"/>
      <c r="CY42" s="673"/>
      <c r="CZ42" s="673"/>
      <c r="DA42" s="673"/>
      <c r="DB42" s="673"/>
      <c r="DC42" s="673"/>
      <c r="DD42" s="673"/>
      <c r="DE42" s="673"/>
      <c r="DF42" s="673"/>
      <c r="DG42" s="673"/>
      <c r="DH42" s="673"/>
      <c r="DI42" s="673"/>
      <c r="DJ42" s="673"/>
      <c r="DK42" s="673"/>
      <c r="DL42" s="673"/>
      <c r="DM42" s="673"/>
      <c r="DN42" s="673"/>
      <c r="DO42" s="673"/>
      <c r="DP42" s="673"/>
      <c r="DQ42" s="673"/>
      <c r="DR42" s="673"/>
      <c r="DS42" s="673"/>
      <c r="DT42" s="673"/>
      <c r="DU42" s="673"/>
      <c r="DV42" s="673"/>
      <c r="DW42" s="673"/>
      <c r="DX42" s="673"/>
      <c r="DY42" s="673"/>
      <c r="DZ42" s="673"/>
      <c r="EA42" s="673"/>
      <c r="EB42" s="673"/>
      <c r="EC42" s="673"/>
      <c r="ED42" s="673"/>
      <c r="EE42" s="673"/>
      <c r="EF42" s="673"/>
      <c r="EG42" s="673"/>
      <c r="EH42" s="673"/>
      <c r="EI42" s="673"/>
      <c r="EJ42" s="673"/>
      <c r="EK42" s="673"/>
      <c r="EL42" s="673"/>
      <c r="EM42" s="673"/>
      <c r="EN42" s="673"/>
      <c r="EO42" s="673"/>
      <c r="EP42" s="673"/>
      <c r="EQ42" s="673"/>
      <c r="ER42" s="673"/>
      <c r="ES42" s="673"/>
      <c r="ET42" s="673"/>
      <c r="EU42" s="673"/>
      <c r="EV42" s="673"/>
      <c r="EW42" s="673"/>
      <c r="EX42" s="673"/>
      <c r="EY42" s="673"/>
      <c r="EZ42" s="673"/>
      <c r="FA42" s="673"/>
      <c r="FB42" s="673"/>
      <c r="FC42" s="673"/>
      <c r="FD42" s="673"/>
      <c r="FE42" s="673"/>
      <c r="FF42" s="673"/>
      <c r="FG42" s="673"/>
      <c r="FH42" s="673"/>
      <c r="FI42" s="673"/>
      <c r="FJ42" s="673"/>
      <c r="FK42" s="673"/>
      <c r="FL42" s="673"/>
      <c r="FM42" s="673"/>
      <c r="FN42" s="673"/>
      <c r="FO42" s="673"/>
      <c r="FP42" s="673"/>
      <c r="FQ42" s="673"/>
      <c r="FR42" s="673"/>
      <c r="FS42" s="673"/>
      <c r="FT42" s="673"/>
      <c r="FU42" s="673"/>
      <c r="FV42" s="673"/>
      <c r="FW42" s="673"/>
      <c r="FX42" s="673"/>
      <c r="FY42" s="673"/>
      <c r="FZ42" s="673"/>
      <c r="GA42" s="673"/>
      <c r="GB42" s="673"/>
      <c r="GC42" s="673"/>
      <c r="GD42" s="673"/>
      <c r="GE42" s="673"/>
      <c r="GF42" s="673"/>
      <c r="GG42" s="673"/>
      <c r="GH42" s="673"/>
      <c r="GI42" s="673"/>
      <c r="GJ42" s="673"/>
      <c r="GK42" s="673"/>
      <c r="GL42" s="673"/>
      <c r="GM42" s="673"/>
      <c r="GN42" s="673"/>
      <c r="GO42" s="673"/>
      <c r="GP42" s="673"/>
      <c r="GQ42" s="673"/>
      <c r="GR42" s="673"/>
      <c r="GS42" s="673"/>
      <c r="GT42" s="673"/>
      <c r="GU42" s="673"/>
      <c r="GV42" s="673"/>
      <c r="GW42" s="673"/>
      <c r="GX42" s="673"/>
      <c r="GY42" s="673"/>
      <c r="GZ42" s="673"/>
      <c r="HA42" s="673"/>
      <c r="HB42" s="673"/>
      <c r="HC42" s="673"/>
      <c r="HD42" s="673"/>
      <c r="HE42" s="673"/>
      <c r="HF42" s="673"/>
      <c r="HG42" s="673"/>
      <c r="HH42" s="673"/>
      <c r="HI42" s="673"/>
      <c r="HJ42" s="673"/>
      <c r="HK42" s="673"/>
      <c r="HL42" s="673"/>
      <c r="HM42" s="673"/>
      <c r="HN42" s="673"/>
      <c r="HO42" s="673"/>
      <c r="HP42" s="673"/>
      <c r="HQ42" s="673"/>
      <c r="HR42" s="673"/>
      <c r="HS42" s="673"/>
      <c r="HT42" s="673"/>
      <c r="HU42" s="673"/>
      <c r="HV42" s="673"/>
      <c r="HW42" s="673"/>
      <c r="HX42" s="673"/>
      <c r="HY42" s="673"/>
      <c r="HZ42" s="673"/>
      <c r="IA42" s="673"/>
      <c r="IB42" s="673"/>
      <c r="IC42" s="673"/>
      <c r="ID42" s="673"/>
      <c r="IE42" s="673"/>
      <c r="IF42" s="673"/>
      <c r="IG42" s="673"/>
      <c r="IH42" s="673"/>
      <c r="II42" s="673"/>
      <c r="IJ42" s="673"/>
      <c r="IK42" s="673"/>
      <c r="IL42" s="673"/>
      <c r="IM42" s="673"/>
      <c r="IN42" s="673"/>
      <c r="IO42" s="673"/>
      <c r="IP42" s="673"/>
      <c r="IQ42" s="673"/>
      <c r="IR42" s="673"/>
      <c r="IS42" s="673"/>
      <c r="IT42" s="673"/>
      <c r="IU42" s="673"/>
      <c r="IV42" s="673"/>
      <c r="IW42" s="673"/>
      <c r="IX42" s="673"/>
      <c r="IY42" s="673"/>
      <c r="IZ42" s="673"/>
      <c r="JA42" s="673"/>
      <c r="JB42" s="673"/>
      <c r="JC42" s="673"/>
      <c r="JD42" s="673"/>
      <c r="JE42" s="673"/>
      <c r="JF42" s="673"/>
      <c r="JG42" s="673"/>
      <c r="JH42" s="673"/>
      <c r="JI42" s="673"/>
      <c r="JJ42" s="673"/>
      <c r="JK42" s="673"/>
      <c r="JL42" s="673"/>
      <c r="JM42" s="673"/>
      <c r="JN42" s="673"/>
      <c r="JO42" s="673"/>
      <c r="JP42" s="673"/>
      <c r="JQ42" s="673"/>
      <c r="JR42" s="673"/>
      <c r="JS42" s="673"/>
      <c r="JT42" s="673"/>
      <c r="JU42" s="673"/>
      <c r="JV42" s="673"/>
      <c r="JW42" s="673"/>
      <c r="JX42" s="673"/>
      <c r="JY42" s="673"/>
      <c r="JZ42" s="673"/>
      <c r="KA42" s="673"/>
      <c r="KB42" s="673"/>
      <c r="KC42" s="673"/>
      <c r="KD42" s="673"/>
      <c r="KE42" s="673"/>
      <c r="KF42" s="673"/>
      <c r="KG42" s="673"/>
      <c r="KH42" s="673"/>
      <c r="KI42" s="673"/>
      <c r="KJ42" s="673"/>
      <c r="KK42" s="673"/>
      <c r="KL42" s="673"/>
      <c r="KM42" s="673"/>
      <c r="KN42" s="673"/>
      <c r="KO42" s="673"/>
      <c r="KP42" s="673"/>
      <c r="KQ42" s="673"/>
      <c r="KR42" s="673"/>
      <c r="KS42" s="673"/>
      <c r="KT42" s="673"/>
      <c r="KU42" s="673"/>
      <c r="KV42" s="673"/>
      <c r="KW42" s="673"/>
      <c r="KX42" s="673"/>
      <c r="KY42" s="673"/>
      <c r="KZ42" s="673"/>
      <c r="LA42" s="673"/>
      <c r="LB42" s="673"/>
      <c r="LC42" s="673"/>
      <c r="LD42" s="673"/>
      <c r="LE42" s="673"/>
      <c r="LF42" s="673"/>
      <c r="LG42" s="673"/>
      <c r="LH42" s="673"/>
      <c r="LI42" s="673"/>
      <c r="LJ42" s="673"/>
      <c r="LK42" s="673"/>
      <c r="LL42" s="673"/>
      <c r="LM42" s="673"/>
      <c r="LN42" s="673"/>
      <c r="LO42" s="673"/>
      <c r="LP42" s="673"/>
      <c r="LQ42" s="673"/>
      <c r="LR42" s="673"/>
      <c r="LS42" s="673"/>
      <c r="LT42" s="673"/>
      <c r="LU42" s="673"/>
      <c r="LV42" s="673"/>
      <c r="LW42" s="673"/>
      <c r="LX42" s="673"/>
      <c r="LY42" s="673"/>
      <c r="LZ42" s="673"/>
      <c r="MA42" s="673"/>
      <c r="MB42" s="673"/>
      <c r="MC42" s="673"/>
      <c r="MD42" s="673"/>
      <c r="ME42" s="673"/>
      <c r="MF42" s="673"/>
      <c r="MG42" s="673"/>
      <c r="MH42" s="673"/>
      <c r="MI42" s="673"/>
      <c r="MJ42" s="673"/>
      <c r="MK42" s="673"/>
      <c r="ML42" s="673"/>
      <c r="MM42" s="673"/>
      <c r="MN42" s="673"/>
      <c r="MO42" s="673"/>
      <c r="MP42" s="673"/>
      <c r="MQ42" s="673"/>
      <c r="MR42" s="673"/>
      <c r="MS42" s="673"/>
      <c r="MT42" s="673"/>
      <c r="MU42" s="673"/>
      <c r="MV42" s="673"/>
      <c r="MW42" s="673"/>
      <c r="MX42" s="673"/>
      <c r="MY42" s="673"/>
      <c r="MZ42" s="673"/>
      <c r="NA42" s="673"/>
      <c r="NB42" s="673"/>
      <c r="NC42" s="673"/>
      <c r="ND42" s="673"/>
      <c r="NE42" s="673"/>
      <c r="NF42" s="673"/>
      <c r="NG42" s="673"/>
      <c r="NH42" s="673"/>
      <c r="NI42" s="673"/>
      <c r="NJ42" s="673"/>
      <c r="NK42" s="673"/>
      <c r="NL42" s="673"/>
      <c r="NM42" s="673"/>
      <c r="NN42" s="673"/>
      <c r="NO42" s="673"/>
      <c r="NP42" s="673"/>
      <c r="NQ42" s="673"/>
      <c r="NR42" s="673"/>
      <c r="NS42" s="673"/>
      <c r="NT42" s="673"/>
      <c r="NU42" s="673"/>
      <c r="NV42" s="673"/>
      <c r="NW42" s="673"/>
      <c r="NX42" s="673"/>
      <c r="NY42" s="673"/>
      <c r="NZ42" s="673"/>
      <c r="OA42" s="673"/>
      <c r="OB42" s="673"/>
      <c r="OC42" s="673"/>
      <c r="OD42" s="673"/>
      <c r="OE42" s="673"/>
      <c r="OF42" s="673"/>
      <c r="OG42" s="673"/>
      <c r="OH42" s="673"/>
      <c r="OI42" s="673"/>
      <c r="OJ42" s="673"/>
      <c r="OK42" s="673"/>
      <c r="OL42" s="673"/>
      <c r="OM42" s="673"/>
      <c r="ON42" s="673"/>
      <c r="OO42" s="673"/>
      <c r="OP42" s="673"/>
      <c r="OQ42" s="673"/>
      <c r="OR42" s="673"/>
      <c r="OS42" s="673"/>
      <c r="OT42" s="673"/>
      <c r="OU42" s="673"/>
      <c r="OV42" s="673"/>
      <c r="OW42" s="673"/>
      <c r="OX42" s="673"/>
      <c r="OY42" s="673"/>
      <c r="OZ42" s="673"/>
      <c r="PA42" s="673"/>
      <c r="PB42" s="673"/>
      <c r="PC42" s="673"/>
      <c r="PD42" s="673"/>
      <c r="PE42" s="673"/>
      <c r="PF42" s="673"/>
      <c r="PG42" s="673"/>
      <c r="PH42" s="673"/>
      <c r="PI42" s="673"/>
      <c r="PJ42" s="673"/>
      <c r="PK42" s="673"/>
      <c r="PL42" s="673"/>
      <c r="PM42" s="673"/>
      <c r="PN42" s="673"/>
      <c r="PO42" s="673"/>
      <c r="PP42" s="673"/>
      <c r="PQ42" s="673"/>
      <c r="PR42" s="673"/>
      <c r="PS42" s="673"/>
      <c r="PT42" s="673"/>
      <c r="PU42" s="673"/>
      <c r="PV42" s="673"/>
      <c r="PW42" s="673"/>
      <c r="PX42" s="673"/>
      <c r="PY42" s="673"/>
      <c r="PZ42" s="673"/>
      <c r="QA42" s="673"/>
      <c r="QB42" s="673"/>
      <c r="QC42" s="673"/>
      <c r="QD42" s="673"/>
      <c r="QE42" s="673"/>
      <c r="QF42" s="673"/>
      <c r="QG42" s="673"/>
      <c r="QH42" s="673"/>
      <c r="QI42" s="673"/>
      <c r="QJ42" s="673"/>
      <c r="QK42" s="673"/>
    </row>
    <row r="43" spans="1:453" s="558" customFormat="1">
      <c r="A43" s="680"/>
      <c r="B43" s="680"/>
      <c r="C43" s="2107" t="str">
        <f ca="1">TEXT(HYPERLINK("#"&amp;CELL("address",'Equipment Results Matrix'!A763),'Equipment Results Matrix'!A763),"0,000")</f>
        <v>Small Packaged HP
 (&lt; 65,000 Btuh)</v>
      </c>
      <c r="D43" s="2107"/>
      <c r="E43" s="2107"/>
      <c r="F43" s="2107"/>
      <c r="G43" s="2107"/>
      <c r="H43" s="2107"/>
      <c r="I43" s="680"/>
      <c r="J43" s="1525" t="str">
        <f ca="1">TEXT(HYPERLINK("#"&amp;CELL("address",'Labor Results Matrix'!A261),"Labor"),"0,000")</f>
        <v>Labor</v>
      </c>
      <c r="K43" s="1525"/>
      <c r="L43" s="2107" t="str">
        <f ca="1">TEXT(HYPERLINK("#"&amp;CELL("address",'Equipment + Labor'!A291),"Total installed cost"),"0,000")</f>
        <v>Total installed cost</v>
      </c>
      <c r="M43" s="2107"/>
      <c r="N43" s="2107"/>
      <c r="O43" s="673"/>
      <c r="P43" s="673"/>
      <c r="Q43" s="673"/>
      <c r="R43" s="673"/>
      <c r="S43" s="673"/>
      <c r="T43" s="673"/>
      <c r="U43" s="673"/>
      <c r="V43" s="673"/>
      <c r="W43" s="673"/>
      <c r="X43" s="673"/>
      <c r="Y43" s="673"/>
      <c r="Z43" s="673"/>
      <c r="AA43" s="673"/>
      <c r="AB43" s="673"/>
      <c r="AC43" s="673"/>
      <c r="AD43" s="673"/>
      <c r="AE43" s="673"/>
      <c r="AF43" s="673"/>
      <c r="AG43" s="673"/>
      <c r="AH43" s="673"/>
      <c r="AI43" s="673"/>
      <c r="AJ43" s="673"/>
      <c r="AK43" s="673"/>
      <c r="AL43" s="673"/>
      <c r="AM43" s="673"/>
      <c r="AN43" s="673"/>
      <c r="AO43" s="673"/>
      <c r="AP43" s="673"/>
      <c r="AQ43" s="673"/>
      <c r="AR43" s="673"/>
      <c r="AS43" s="673"/>
      <c r="AT43" s="673"/>
      <c r="AU43" s="673"/>
      <c r="AV43" s="673"/>
      <c r="AW43" s="673"/>
      <c r="AX43" s="673"/>
      <c r="AY43" s="673"/>
      <c r="AZ43" s="673"/>
      <c r="BA43" s="673"/>
      <c r="BB43" s="673"/>
      <c r="BC43" s="673"/>
      <c r="BD43" s="673"/>
      <c r="BE43" s="673"/>
      <c r="BF43" s="673"/>
      <c r="BG43" s="673"/>
      <c r="BH43" s="673"/>
      <c r="BI43" s="673"/>
      <c r="BJ43" s="673"/>
      <c r="BK43" s="673"/>
      <c r="BL43" s="673"/>
      <c r="BM43" s="673"/>
      <c r="BN43" s="673"/>
      <c r="BO43" s="673"/>
      <c r="BP43" s="673"/>
      <c r="BQ43" s="673"/>
      <c r="BR43" s="673"/>
      <c r="BS43" s="673"/>
      <c r="BT43" s="673"/>
      <c r="BU43" s="673"/>
      <c r="BV43" s="673"/>
      <c r="BW43" s="673"/>
      <c r="BX43" s="673"/>
      <c r="BY43" s="673"/>
      <c r="BZ43" s="673"/>
      <c r="CA43" s="673"/>
      <c r="CB43" s="673"/>
      <c r="CC43" s="673"/>
      <c r="CD43" s="673"/>
      <c r="CE43" s="673"/>
      <c r="CF43" s="673"/>
      <c r="CG43" s="673"/>
      <c r="CH43" s="673"/>
      <c r="CI43" s="673"/>
      <c r="CJ43" s="673"/>
      <c r="CK43" s="673"/>
      <c r="CL43" s="673"/>
      <c r="CM43" s="673"/>
      <c r="CN43" s="673"/>
      <c r="CO43" s="673"/>
      <c r="CP43" s="673"/>
      <c r="CQ43" s="673"/>
      <c r="CR43" s="673"/>
      <c r="CS43" s="673"/>
      <c r="CT43" s="673"/>
      <c r="CU43" s="673"/>
      <c r="CV43" s="673"/>
      <c r="CW43" s="673"/>
      <c r="CX43" s="673"/>
      <c r="CY43" s="673"/>
      <c r="CZ43" s="673"/>
      <c r="DA43" s="673"/>
      <c r="DB43" s="673"/>
      <c r="DC43" s="673"/>
      <c r="DD43" s="673"/>
      <c r="DE43" s="673"/>
      <c r="DF43" s="673"/>
      <c r="DG43" s="673"/>
      <c r="DH43" s="673"/>
      <c r="DI43" s="673"/>
      <c r="DJ43" s="673"/>
      <c r="DK43" s="673"/>
      <c r="DL43" s="673"/>
      <c r="DM43" s="673"/>
      <c r="DN43" s="673"/>
      <c r="DO43" s="673"/>
      <c r="DP43" s="673"/>
      <c r="DQ43" s="673"/>
      <c r="DR43" s="673"/>
      <c r="DS43" s="673"/>
      <c r="DT43" s="673"/>
      <c r="DU43" s="673"/>
      <c r="DV43" s="673"/>
      <c r="DW43" s="673"/>
      <c r="DX43" s="673"/>
      <c r="DY43" s="673"/>
      <c r="DZ43" s="673"/>
      <c r="EA43" s="673"/>
      <c r="EB43" s="673"/>
      <c r="EC43" s="673"/>
      <c r="ED43" s="673"/>
      <c r="EE43" s="673"/>
      <c r="EF43" s="673"/>
      <c r="EG43" s="673"/>
      <c r="EH43" s="673"/>
      <c r="EI43" s="673"/>
      <c r="EJ43" s="673"/>
      <c r="EK43" s="673"/>
      <c r="EL43" s="673"/>
      <c r="EM43" s="673"/>
      <c r="EN43" s="673"/>
      <c r="EO43" s="673"/>
      <c r="EP43" s="673"/>
      <c r="EQ43" s="673"/>
      <c r="ER43" s="673"/>
      <c r="ES43" s="673"/>
      <c r="ET43" s="673"/>
      <c r="EU43" s="673"/>
      <c r="EV43" s="673"/>
      <c r="EW43" s="673"/>
      <c r="EX43" s="673"/>
      <c r="EY43" s="673"/>
      <c r="EZ43" s="673"/>
      <c r="FA43" s="673"/>
      <c r="FB43" s="673"/>
      <c r="FC43" s="673"/>
      <c r="FD43" s="673"/>
      <c r="FE43" s="673"/>
      <c r="FF43" s="673"/>
      <c r="FG43" s="673"/>
      <c r="FH43" s="673"/>
      <c r="FI43" s="673"/>
      <c r="FJ43" s="673"/>
      <c r="FK43" s="673"/>
      <c r="FL43" s="673"/>
      <c r="FM43" s="673"/>
      <c r="FN43" s="673"/>
      <c r="FO43" s="673"/>
      <c r="FP43" s="673"/>
      <c r="FQ43" s="673"/>
      <c r="FR43" s="673"/>
      <c r="FS43" s="673"/>
      <c r="FT43" s="673"/>
      <c r="FU43" s="673"/>
      <c r="FV43" s="673"/>
      <c r="FW43" s="673"/>
      <c r="FX43" s="673"/>
      <c r="FY43" s="673"/>
      <c r="FZ43" s="673"/>
      <c r="GA43" s="673"/>
      <c r="GB43" s="673"/>
      <c r="GC43" s="673"/>
      <c r="GD43" s="673"/>
      <c r="GE43" s="673"/>
      <c r="GF43" s="673"/>
      <c r="GG43" s="673"/>
      <c r="GH43" s="673"/>
      <c r="GI43" s="673"/>
      <c r="GJ43" s="673"/>
      <c r="GK43" s="673"/>
      <c r="GL43" s="673"/>
      <c r="GM43" s="673"/>
      <c r="GN43" s="673"/>
      <c r="GO43" s="673"/>
      <c r="GP43" s="673"/>
      <c r="GQ43" s="673"/>
      <c r="GR43" s="673"/>
      <c r="GS43" s="673"/>
      <c r="GT43" s="673"/>
      <c r="GU43" s="673"/>
      <c r="GV43" s="673"/>
      <c r="GW43" s="673"/>
      <c r="GX43" s="673"/>
      <c r="GY43" s="673"/>
      <c r="GZ43" s="673"/>
      <c r="HA43" s="673"/>
      <c r="HB43" s="673"/>
      <c r="HC43" s="673"/>
      <c r="HD43" s="673"/>
      <c r="HE43" s="673"/>
      <c r="HF43" s="673"/>
      <c r="HG43" s="673"/>
      <c r="HH43" s="673"/>
      <c r="HI43" s="673"/>
      <c r="HJ43" s="673"/>
      <c r="HK43" s="673"/>
      <c r="HL43" s="673"/>
      <c r="HM43" s="673"/>
      <c r="HN43" s="673"/>
      <c r="HO43" s="673"/>
      <c r="HP43" s="673"/>
      <c r="HQ43" s="673"/>
      <c r="HR43" s="673"/>
      <c r="HS43" s="673"/>
      <c r="HT43" s="673"/>
      <c r="HU43" s="673"/>
      <c r="HV43" s="673"/>
      <c r="HW43" s="673"/>
      <c r="HX43" s="673"/>
      <c r="HY43" s="673"/>
      <c r="HZ43" s="673"/>
      <c r="IA43" s="673"/>
      <c r="IB43" s="673"/>
      <c r="IC43" s="673"/>
      <c r="ID43" s="673"/>
      <c r="IE43" s="673"/>
      <c r="IF43" s="673"/>
      <c r="IG43" s="673"/>
      <c r="IH43" s="673"/>
      <c r="II43" s="673"/>
      <c r="IJ43" s="673"/>
      <c r="IK43" s="673"/>
      <c r="IL43" s="673"/>
      <c r="IM43" s="673"/>
      <c r="IN43" s="673"/>
      <c r="IO43" s="673"/>
      <c r="IP43" s="673"/>
      <c r="IQ43" s="673"/>
      <c r="IR43" s="673"/>
      <c r="IS43" s="673"/>
      <c r="IT43" s="673"/>
      <c r="IU43" s="673"/>
      <c r="IV43" s="673"/>
      <c r="IW43" s="673"/>
      <c r="IX43" s="673"/>
      <c r="IY43" s="673"/>
      <c r="IZ43" s="673"/>
      <c r="JA43" s="673"/>
      <c r="JB43" s="673"/>
      <c r="JC43" s="673"/>
      <c r="JD43" s="673"/>
      <c r="JE43" s="673"/>
      <c r="JF43" s="673"/>
      <c r="JG43" s="673"/>
      <c r="JH43" s="673"/>
      <c r="JI43" s="673"/>
      <c r="JJ43" s="673"/>
      <c r="JK43" s="673"/>
      <c r="JL43" s="673"/>
      <c r="JM43" s="673"/>
      <c r="JN43" s="673"/>
      <c r="JO43" s="673"/>
      <c r="JP43" s="673"/>
      <c r="JQ43" s="673"/>
      <c r="JR43" s="673"/>
      <c r="JS43" s="673"/>
      <c r="JT43" s="673"/>
      <c r="JU43" s="673"/>
      <c r="JV43" s="673"/>
      <c r="JW43" s="673"/>
      <c r="JX43" s="673"/>
      <c r="JY43" s="673"/>
      <c r="JZ43" s="673"/>
      <c r="KA43" s="673"/>
      <c r="KB43" s="673"/>
      <c r="KC43" s="673"/>
      <c r="KD43" s="673"/>
      <c r="KE43" s="673"/>
      <c r="KF43" s="673"/>
      <c r="KG43" s="673"/>
      <c r="KH43" s="673"/>
      <c r="KI43" s="673"/>
      <c r="KJ43" s="673"/>
      <c r="KK43" s="673"/>
      <c r="KL43" s="673"/>
      <c r="KM43" s="673"/>
      <c r="KN43" s="673"/>
      <c r="KO43" s="673"/>
      <c r="KP43" s="673"/>
      <c r="KQ43" s="673"/>
      <c r="KR43" s="673"/>
      <c r="KS43" s="673"/>
      <c r="KT43" s="673"/>
      <c r="KU43" s="673"/>
      <c r="KV43" s="673"/>
      <c r="KW43" s="673"/>
      <c r="KX43" s="673"/>
      <c r="KY43" s="673"/>
      <c r="KZ43" s="673"/>
      <c r="LA43" s="673"/>
      <c r="LB43" s="673"/>
      <c r="LC43" s="673"/>
      <c r="LD43" s="673"/>
      <c r="LE43" s="673"/>
      <c r="LF43" s="673"/>
      <c r="LG43" s="673"/>
      <c r="LH43" s="673"/>
      <c r="LI43" s="673"/>
      <c r="LJ43" s="673"/>
      <c r="LK43" s="673"/>
      <c r="LL43" s="673"/>
      <c r="LM43" s="673"/>
      <c r="LN43" s="673"/>
      <c r="LO43" s="673"/>
      <c r="LP43" s="673"/>
      <c r="LQ43" s="673"/>
      <c r="LR43" s="673"/>
      <c r="LS43" s="673"/>
      <c r="LT43" s="673"/>
      <c r="LU43" s="673"/>
      <c r="LV43" s="673"/>
      <c r="LW43" s="673"/>
      <c r="LX43" s="673"/>
      <c r="LY43" s="673"/>
      <c r="LZ43" s="673"/>
      <c r="MA43" s="673"/>
      <c r="MB43" s="673"/>
      <c r="MC43" s="673"/>
      <c r="MD43" s="673"/>
      <c r="ME43" s="673"/>
      <c r="MF43" s="673"/>
      <c r="MG43" s="673"/>
      <c r="MH43" s="673"/>
      <c r="MI43" s="673"/>
      <c r="MJ43" s="673"/>
      <c r="MK43" s="673"/>
      <c r="ML43" s="673"/>
      <c r="MM43" s="673"/>
      <c r="MN43" s="673"/>
      <c r="MO43" s="673"/>
      <c r="MP43" s="673"/>
      <c r="MQ43" s="673"/>
      <c r="MR43" s="673"/>
      <c r="MS43" s="673"/>
      <c r="MT43" s="673"/>
      <c r="MU43" s="673"/>
      <c r="MV43" s="673"/>
      <c r="MW43" s="673"/>
      <c r="MX43" s="673"/>
      <c r="MY43" s="673"/>
      <c r="MZ43" s="673"/>
      <c r="NA43" s="673"/>
      <c r="NB43" s="673"/>
      <c r="NC43" s="673"/>
      <c r="ND43" s="673"/>
      <c r="NE43" s="673"/>
      <c r="NF43" s="673"/>
      <c r="NG43" s="673"/>
      <c r="NH43" s="673"/>
      <c r="NI43" s="673"/>
      <c r="NJ43" s="673"/>
      <c r="NK43" s="673"/>
      <c r="NL43" s="673"/>
      <c r="NM43" s="673"/>
      <c r="NN43" s="673"/>
      <c r="NO43" s="673"/>
      <c r="NP43" s="673"/>
      <c r="NQ43" s="673"/>
      <c r="NR43" s="673"/>
      <c r="NS43" s="673"/>
      <c r="NT43" s="673"/>
      <c r="NU43" s="673"/>
      <c r="NV43" s="673"/>
      <c r="NW43" s="673"/>
      <c r="NX43" s="673"/>
      <c r="NY43" s="673"/>
      <c r="NZ43" s="673"/>
      <c r="OA43" s="673"/>
      <c r="OB43" s="673"/>
      <c r="OC43" s="673"/>
      <c r="OD43" s="673"/>
      <c r="OE43" s="673"/>
      <c r="OF43" s="673"/>
      <c r="OG43" s="673"/>
      <c r="OH43" s="673"/>
      <c r="OI43" s="673"/>
      <c r="OJ43" s="673"/>
      <c r="OK43" s="673"/>
      <c r="OL43" s="673"/>
      <c r="OM43" s="673"/>
      <c r="ON43" s="673"/>
      <c r="OO43" s="673"/>
      <c r="OP43" s="673"/>
      <c r="OQ43" s="673"/>
      <c r="OR43" s="673"/>
      <c r="OS43" s="673"/>
      <c r="OT43" s="673"/>
      <c r="OU43" s="673"/>
      <c r="OV43" s="673"/>
      <c r="OW43" s="673"/>
      <c r="OX43" s="673"/>
      <c r="OY43" s="673"/>
      <c r="OZ43" s="673"/>
      <c r="PA43" s="673"/>
      <c r="PB43" s="673"/>
      <c r="PC43" s="673"/>
      <c r="PD43" s="673"/>
      <c r="PE43" s="673"/>
      <c r="PF43" s="673"/>
      <c r="PG43" s="673"/>
      <c r="PH43" s="673"/>
      <c r="PI43" s="673"/>
      <c r="PJ43" s="673"/>
      <c r="PK43" s="673"/>
      <c r="PL43" s="673"/>
      <c r="PM43" s="673"/>
      <c r="PN43" s="673"/>
      <c r="PO43" s="673"/>
      <c r="PP43" s="673"/>
      <c r="PQ43" s="673"/>
      <c r="PR43" s="673"/>
      <c r="PS43" s="673"/>
      <c r="PT43" s="673"/>
      <c r="PU43" s="673"/>
      <c r="PV43" s="673"/>
      <c r="PW43" s="673"/>
      <c r="PX43" s="673"/>
      <c r="PY43" s="673"/>
      <c r="PZ43" s="673"/>
      <c r="QA43" s="673"/>
      <c r="QB43" s="673"/>
      <c r="QC43" s="673"/>
      <c r="QD43" s="673"/>
      <c r="QE43" s="673"/>
      <c r="QF43" s="673"/>
      <c r="QG43" s="673"/>
      <c r="QH43" s="673"/>
      <c r="QI43" s="673"/>
      <c r="QJ43" s="673"/>
      <c r="QK43" s="673"/>
    </row>
    <row r="44" spans="1:453" s="558" customFormat="1">
      <c r="A44" s="680"/>
      <c r="B44" s="680"/>
      <c r="C44" s="2107" t="str">
        <f ca="1">TEXT(HYPERLINK("#"&amp;CELL("address",'Equipment Results Matrix'!A774),'Equipment Results Matrix'!A774),"0,000")</f>
        <v>Large Packaged HP 
(65,000 - 240,000 Btuh)</v>
      </c>
      <c r="D44" s="2107"/>
      <c r="E44" s="2107"/>
      <c r="F44" s="2107"/>
      <c r="G44" s="2107"/>
      <c r="H44" s="2107"/>
      <c r="I44" s="680"/>
      <c r="J44" s="1525" t="str">
        <f ca="1">TEXT(HYPERLINK("#"&amp;CELL("address",'Labor Results Matrix'!A274),"Labor"),"0,000")</f>
        <v>Labor</v>
      </c>
      <c r="K44" s="1525"/>
      <c r="L44" s="2107" t="str">
        <f ca="1">TEXT(HYPERLINK("#"&amp;CELL("address",'Equipment + Labor'!A305),"Total installed cost"),"0,000")</f>
        <v>Total installed cost</v>
      </c>
      <c r="M44" s="2107"/>
      <c r="N44" s="2107"/>
      <c r="O44" s="673"/>
      <c r="P44" s="673"/>
      <c r="Q44" s="673"/>
      <c r="R44" s="673"/>
      <c r="S44" s="673"/>
      <c r="T44" s="673"/>
      <c r="U44" s="673"/>
      <c r="V44" s="673"/>
      <c r="W44" s="673"/>
      <c r="X44" s="673"/>
      <c r="Y44" s="673"/>
      <c r="Z44" s="673"/>
      <c r="AA44" s="673"/>
      <c r="AB44" s="673"/>
      <c r="AC44" s="673"/>
      <c r="AD44" s="673"/>
      <c r="AE44" s="673"/>
      <c r="AF44" s="673"/>
      <c r="AG44" s="673"/>
      <c r="AH44" s="673"/>
      <c r="AI44" s="673"/>
      <c r="AJ44" s="673"/>
      <c r="AK44" s="673"/>
      <c r="AL44" s="673"/>
      <c r="AM44" s="673"/>
      <c r="AN44" s="673"/>
      <c r="AO44" s="673"/>
      <c r="AP44" s="673"/>
      <c r="AQ44" s="673"/>
      <c r="AR44" s="673"/>
      <c r="AS44" s="673"/>
      <c r="AT44" s="673"/>
      <c r="AU44" s="673"/>
      <c r="AV44" s="673"/>
      <c r="AW44" s="673"/>
      <c r="AX44" s="673"/>
      <c r="AY44" s="673"/>
      <c r="AZ44" s="673"/>
      <c r="BA44" s="673"/>
      <c r="BB44" s="673"/>
      <c r="BC44" s="673"/>
      <c r="BD44" s="673"/>
      <c r="BE44" s="673"/>
      <c r="BF44" s="673"/>
      <c r="BG44" s="673"/>
      <c r="BH44" s="673"/>
      <c r="BI44" s="673"/>
      <c r="BJ44" s="673"/>
      <c r="BK44" s="673"/>
      <c r="BL44" s="673"/>
      <c r="BM44" s="673"/>
      <c r="BN44" s="673"/>
      <c r="BO44" s="673"/>
      <c r="BP44" s="673"/>
      <c r="BQ44" s="673"/>
      <c r="BR44" s="673"/>
      <c r="BS44" s="673"/>
      <c r="BT44" s="673"/>
      <c r="BU44" s="673"/>
      <c r="BV44" s="673"/>
      <c r="BW44" s="673"/>
      <c r="BX44" s="673"/>
      <c r="BY44" s="673"/>
      <c r="BZ44" s="673"/>
      <c r="CA44" s="673"/>
      <c r="CB44" s="673"/>
      <c r="CC44" s="673"/>
      <c r="CD44" s="673"/>
      <c r="CE44" s="673"/>
      <c r="CF44" s="673"/>
      <c r="CG44" s="673"/>
      <c r="CH44" s="673"/>
      <c r="CI44" s="673"/>
      <c r="CJ44" s="673"/>
      <c r="CK44" s="673"/>
      <c r="CL44" s="673"/>
      <c r="CM44" s="673"/>
      <c r="CN44" s="673"/>
      <c r="CO44" s="673"/>
      <c r="CP44" s="673"/>
      <c r="CQ44" s="673"/>
      <c r="CR44" s="673"/>
      <c r="CS44" s="673"/>
      <c r="CT44" s="673"/>
      <c r="CU44" s="673"/>
      <c r="CV44" s="673"/>
      <c r="CW44" s="673"/>
      <c r="CX44" s="673"/>
      <c r="CY44" s="673"/>
      <c r="CZ44" s="673"/>
      <c r="DA44" s="673"/>
      <c r="DB44" s="673"/>
      <c r="DC44" s="673"/>
      <c r="DD44" s="673"/>
      <c r="DE44" s="673"/>
      <c r="DF44" s="673"/>
      <c r="DG44" s="673"/>
      <c r="DH44" s="673"/>
      <c r="DI44" s="673"/>
      <c r="DJ44" s="673"/>
      <c r="DK44" s="673"/>
      <c r="DL44" s="673"/>
      <c r="DM44" s="673"/>
      <c r="DN44" s="673"/>
      <c r="DO44" s="673"/>
      <c r="DP44" s="673"/>
      <c r="DQ44" s="673"/>
      <c r="DR44" s="673"/>
      <c r="DS44" s="673"/>
      <c r="DT44" s="673"/>
      <c r="DU44" s="673"/>
      <c r="DV44" s="673"/>
      <c r="DW44" s="673"/>
      <c r="DX44" s="673"/>
      <c r="DY44" s="673"/>
      <c r="DZ44" s="673"/>
      <c r="EA44" s="673"/>
      <c r="EB44" s="673"/>
      <c r="EC44" s="673"/>
      <c r="ED44" s="673"/>
      <c r="EE44" s="673"/>
      <c r="EF44" s="673"/>
      <c r="EG44" s="673"/>
      <c r="EH44" s="673"/>
      <c r="EI44" s="673"/>
      <c r="EJ44" s="673"/>
      <c r="EK44" s="673"/>
      <c r="EL44" s="673"/>
      <c r="EM44" s="673"/>
      <c r="EN44" s="673"/>
      <c r="EO44" s="673"/>
      <c r="EP44" s="673"/>
      <c r="EQ44" s="673"/>
      <c r="ER44" s="673"/>
      <c r="ES44" s="673"/>
      <c r="ET44" s="673"/>
      <c r="EU44" s="673"/>
      <c r="EV44" s="673"/>
      <c r="EW44" s="673"/>
      <c r="EX44" s="673"/>
      <c r="EY44" s="673"/>
      <c r="EZ44" s="673"/>
      <c r="FA44" s="673"/>
      <c r="FB44" s="673"/>
      <c r="FC44" s="673"/>
      <c r="FD44" s="673"/>
      <c r="FE44" s="673"/>
      <c r="FF44" s="673"/>
      <c r="FG44" s="673"/>
      <c r="FH44" s="673"/>
      <c r="FI44" s="673"/>
      <c r="FJ44" s="673"/>
      <c r="FK44" s="673"/>
      <c r="FL44" s="673"/>
      <c r="FM44" s="673"/>
      <c r="FN44" s="673"/>
      <c r="FO44" s="673"/>
      <c r="FP44" s="673"/>
      <c r="FQ44" s="673"/>
      <c r="FR44" s="673"/>
      <c r="FS44" s="673"/>
      <c r="FT44" s="673"/>
      <c r="FU44" s="673"/>
      <c r="FV44" s="673"/>
      <c r="FW44" s="673"/>
      <c r="FX44" s="673"/>
      <c r="FY44" s="673"/>
      <c r="FZ44" s="673"/>
      <c r="GA44" s="673"/>
      <c r="GB44" s="673"/>
      <c r="GC44" s="673"/>
      <c r="GD44" s="673"/>
      <c r="GE44" s="673"/>
      <c r="GF44" s="673"/>
      <c r="GG44" s="673"/>
      <c r="GH44" s="673"/>
      <c r="GI44" s="673"/>
      <c r="GJ44" s="673"/>
      <c r="GK44" s="673"/>
      <c r="GL44" s="673"/>
      <c r="GM44" s="673"/>
      <c r="GN44" s="673"/>
      <c r="GO44" s="673"/>
      <c r="GP44" s="673"/>
      <c r="GQ44" s="673"/>
      <c r="GR44" s="673"/>
      <c r="GS44" s="673"/>
      <c r="GT44" s="673"/>
      <c r="GU44" s="673"/>
      <c r="GV44" s="673"/>
      <c r="GW44" s="673"/>
      <c r="GX44" s="673"/>
      <c r="GY44" s="673"/>
      <c r="GZ44" s="673"/>
      <c r="HA44" s="673"/>
      <c r="HB44" s="673"/>
      <c r="HC44" s="673"/>
      <c r="HD44" s="673"/>
      <c r="HE44" s="673"/>
      <c r="HF44" s="673"/>
      <c r="HG44" s="673"/>
      <c r="HH44" s="673"/>
      <c r="HI44" s="673"/>
      <c r="HJ44" s="673"/>
      <c r="HK44" s="673"/>
      <c r="HL44" s="673"/>
      <c r="HM44" s="673"/>
      <c r="HN44" s="673"/>
      <c r="HO44" s="673"/>
      <c r="HP44" s="673"/>
      <c r="HQ44" s="673"/>
      <c r="HR44" s="673"/>
      <c r="HS44" s="673"/>
      <c r="HT44" s="673"/>
      <c r="HU44" s="673"/>
      <c r="HV44" s="673"/>
      <c r="HW44" s="673"/>
      <c r="HX44" s="673"/>
      <c r="HY44" s="673"/>
      <c r="HZ44" s="673"/>
      <c r="IA44" s="673"/>
      <c r="IB44" s="673"/>
      <c r="IC44" s="673"/>
      <c r="ID44" s="673"/>
      <c r="IE44" s="673"/>
      <c r="IF44" s="673"/>
      <c r="IG44" s="673"/>
      <c r="IH44" s="673"/>
      <c r="II44" s="673"/>
      <c r="IJ44" s="673"/>
      <c r="IK44" s="673"/>
      <c r="IL44" s="673"/>
      <c r="IM44" s="673"/>
      <c r="IN44" s="673"/>
      <c r="IO44" s="673"/>
      <c r="IP44" s="673"/>
      <c r="IQ44" s="673"/>
      <c r="IR44" s="673"/>
      <c r="IS44" s="673"/>
      <c r="IT44" s="673"/>
      <c r="IU44" s="673"/>
      <c r="IV44" s="673"/>
      <c r="IW44" s="673"/>
      <c r="IX44" s="673"/>
      <c r="IY44" s="673"/>
      <c r="IZ44" s="673"/>
      <c r="JA44" s="673"/>
      <c r="JB44" s="673"/>
      <c r="JC44" s="673"/>
      <c r="JD44" s="673"/>
      <c r="JE44" s="673"/>
      <c r="JF44" s="673"/>
      <c r="JG44" s="673"/>
      <c r="JH44" s="673"/>
      <c r="JI44" s="673"/>
      <c r="JJ44" s="673"/>
      <c r="JK44" s="673"/>
      <c r="JL44" s="673"/>
      <c r="JM44" s="673"/>
      <c r="JN44" s="673"/>
      <c r="JO44" s="673"/>
      <c r="JP44" s="673"/>
      <c r="JQ44" s="673"/>
      <c r="JR44" s="673"/>
      <c r="JS44" s="673"/>
      <c r="JT44" s="673"/>
      <c r="JU44" s="673"/>
      <c r="JV44" s="673"/>
      <c r="JW44" s="673"/>
      <c r="JX44" s="673"/>
      <c r="JY44" s="673"/>
      <c r="JZ44" s="673"/>
      <c r="KA44" s="673"/>
      <c r="KB44" s="673"/>
      <c r="KC44" s="673"/>
      <c r="KD44" s="673"/>
      <c r="KE44" s="673"/>
      <c r="KF44" s="673"/>
      <c r="KG44" s="673"/>
      <c r="KH44" s="673"/>
      <c r="KI44" s="673"/>
      <c r="KJ44" s="673"/>
      <c r="KK44" s="673"/>
      <c r="KL44" s="673"/>
      <c r="KM44" s="673"/>
      <c r="KN44" s="673"/>
      <c r="KO44" s="673"/>
      <c r="KP44" s="673"/>
      <c r="KQ44" s="673"/>
      <c r="KR44" s="673"/>
      <c r="KS44" s="673"/>
      <c r="KT44" s="673"/>
      <c r="KU44" s="673"/>
      <c r="KV44" s="673"/>
      <c r="KW44" s="673"/>
      <c r="KX44" s="673"/>
      <c r="KY44" s="673"/>
      <c r="KZ44" s="673"/>
      <c r="LA44" s="673"/>
      <c r="LB44" s="673"/>
      <c r="LC44" s="673"/>
      <c r="LD44" s="673"/>
      <c r="LE44" s="673"/>
      <c r="LF44" s="673"/>
      <c r="LG44" s="673"/>
      <c r="LH44" s="673"/>
      <c r="LI44" s="673"/>
      <c r="LJ44" s="673"/>
      <c r="LK44" s="673"/>
      <c r="LL44" s="673"/>
      <c r="LM44" s="673"/>
      <c r="LN44" s="673"/>
      <c r="LO44" s="673"/>
      <c r="LP44" s="673"/>
      <c r="LQ44" s="673"/>
      <c r="LR44" s="673"/>
      <c r="LS44" s="673"/>
      <c r="LT44" s="673"/>
      <c r="LU44" s="673"/>
      <c r="LV44" s="673"/>
      <c r="LW44" s="673"/>
      <c r="LX44" s="673"/>
      <c r="LY44" s="673"/>
      <c r="LZ44" s="673"/>
      <c r="MA44" s="673"/>
      <c r="MB44" s="673"/>
      <c r="MC44" s="673"/>
      <c r="MD44" s="673"/>
      <c r="ME44" s="673"/>
      <c r="MF44" s="673"/>
      <c r="MG44" s="673"/>
      <c r="MH44" s="673"/>
      <c r="MI44" s="673"/>
      <c r="MJ44" s="673"/>
      <c r="MK44" s="673"/>
      <c r="ML44" s="673"/>
      <c r="MM44" s="673"/>
      <c r="MN44" s="673"/>
      <c r="MO44" s="673"/>
      <c r="MP44" s="673"/>
      <c r="MQ44" s="673"/>
      <c r="MR44" s="673"/>
      <c r="MS44" s="673"/>
      <c r="MT44" s="673"/>
      <c r="MU44" s="673"/>
      <c r="MV44" s="673"/>
      <c r="MW44" s="673"/>
      <c r="MX44" s="673"/>
      <c r="MY44" s="673"/>
      <c r="MZ44" s="673"/>
      <c r="NA44" s="673"/>
      <c r="NB44" s="673"/>
      <c r="NC44" s="673"/>
      <c r="ND44" s="673"/>
      <c r="NE44" s="673"/>
      <c r="NF44" s="673"/>
      <c r="NG44" s="673"/>
      <c r="NH44" s="673"/>
      <c r="NI44" s="673"/>
      <c r="NJ44" s="673"/>
      <c r="NK44" s="673"/>
      <c r="NL44" s="673"/>
      <c r="NM44" s="673"/>
      <c r="NN44" s="673"/>
      <c r="NO44" s="673"/>
      <c r="NP44" s="673"/>
      <c r="NQ44" s="673"/>
      <c r="NR44" s="673"/>
      <c r="NS44" s="673"/>
      <c r="NT44" s="673"/>
      <c r="NU44" s="673"/>
      <c r="NV44" s="673"/>
      <c r="NW44" s="673"/>
      <c r="NX44" s="673"/>
      <c r="NY44" s="673"/>
      <c r="NZ44" s="673"/>
      <c r="OA44" s="673"/>
      <c r="OB44" s="673"/>
      <c r="OC44" s="673"/>
      <c r="OD44" s="673"/>
      <c r="OE44" s="673"/>
      <c r="OF44" s="673"/>
      <c r="OG44" s="673"/>
      <c r="OH44" s="673"/>
      <c r="OI44" s="673"/>
      <c r="OJ44" s="673"/>
      <c r="OK44" s="673"/>
      <c r="OL44" s="673"/>
      <c r="OM44" s="673"/>
      <c r="ON44" s="673"/>
      <c r="OO44" s="673"/>
      <c r="OP44" s="673"/>
      <c r="OQ44" s="673"/>
      <c r="OR44" s="673"/>
      <c r="OS44" s="673"/>
      <c r="OT44" s="673"/>
      <c r="OU44" s="673"/>
      <c r="OV44" s="673"/>
      <c r="OW44" s="673"/>
      <c r="OX44" s="673"/>
      <c r="OY44" s="673"/>
      <c r="OZ44" s="673"/>
      <c r="PA44" s="673"/>
      <c r="PB44" s="673"/>
      <c r="PC44" s="673"/>
      <c r="PD44" s="673"/>
      <c r="PE44" s="673"/>
      <c r="PF44" s="673"/>
      <c r="PG44" s="673"/>
      <c r="PH44" s="673"/>
      <c r="PI44" s="673"/>
      <c r="PJ44" s="673"/>
      <c r="PK44" s="673"/>
      <c r="PL44" s="673"/>
      <c r="PM44" s="673"/>
      <c r="PN44" s="673"/>
      <c r="PO44" s="673"/>
      <c r="PP44" s="673"/>
      <c r="PQ44" s="673"/>
      <c r="PR44" s="673"/>
      <c r="PS44" s="673"/>
      <c r="PT44" s="673"/>
      <c r="PU44" s="673"/>
      <c r="PV44" s="673"/>
      <c r="PW44" s="673"/>
      <c r="PX44" s="673"/>
      <c r="PY44" s="673"/>
      <c r="PZ44" s="673"/>
      <c r="QA44" s="673"/>
      <c r="QB44" s="673"/>
      <c r="QC44" s="673"/>
      <c r="QD44" s="673"/>
      <c r="QE44" s="673"/>
      <c r="QF44" s="673"/>
      <c r="QG44" s="673"/>
      <c r="QH44" s="673"/>
      <c r="QI44" s="673"/>
      <c r="QJ44" s="673"/>
      <c r="QK44" s="673"/>
    </row>
    <row r="45" spans="1:453" s="558" customFormat="1">
      <c r="A45" s="680"/>
      <c r="B45" s="680"/>
      <c r="C45" s="2107" t="str">
        <f ca="1">TEXT(HYPERLINK("#"&amp;CELL("address",'Equipment Results Matrix'!A785),'Equipment Results Matrix'!A785),"0,000")</f>
        <v>Steam Boilers 
(non-process)</v>
      </c>
      <c r="D45" s="2107"/>
      <c r="E45" s="2107"/>
      <c r="F45" s="2107"/>
      <c r="G45" s="2107"/>
      <c r="H45" s="2107"/>
      <c r="I45" s="680"/>
      <c r="J45" s="1525" t="str">
        <f ca="1">TEXT(HYPERLINK("#"&amp;CELL("address",'Labor Results Matrix'!A281),"Labor"),"0,000")</f>
        <v>Labor</v>
      </c>
      <c r="K45" s="1525"/>
      <c r="L45" s="2107" t="str">
        <f ca="1">TEXT(HYPERLINK("#"&amp;CELL("address",'Equipment + Labor'!A327),"Total installed cost"),"0,000")</f>
        <v>Total installed cost</v>
      </c>
      <c r="M45" s="2107"/>
      <c r="N45" s="2107"/>
      <c r="O45" s="673"/>
      <c r="P45" s="673"/>
      <c r="Q45" s="673"/>
      <c r="R45" s="673"/>
      <c r="S45" s="673"/>
      <c r="T45" s="673"/>
      <c r="U45" s="673"/>
      <c r="V45" s="673"/>
      <c r="W45" s="673"/>
      <c r="X45" s="673"/>
      <c r="Y45" s="673"/>
      <c r="Z45" s="673"/>
      <c r="AA45" s="673"/>
      <c r="AB45" s="673"/>
      <c r="AC45" s="673"/>
      <c r="AD45" s="673"/>
      <c r="AE45" s="673"/>
      <c r="AF45" s="673"/>
      <c r="AG45" s="673"/>
      <c r="AH45" s="673"/>
      <c r="AI45" s="673"/>
      <c r="AJ45" s="673"/>
      <c r="AK45" s="673"/>
      <c r="AL45" s="673"/>
      <c r="AM45" s="673"/>
      <c r="AN45" s="673"/>
      <c r="AO45" s="673"/>
      <c r="AP45" s="673"/>
      <c r="AQ45" s="673"/>
      <c r="AR45" s="673"/>
      <c r="AS45" s="673"/>
      <c r="AT45" s="673"/>
      <c r="AU45" s="673"/>
      <c r="AV45" s="673"/>
      <c r="AW45" s="673"/>
      <c r="AX45" s="673"/>
      <c r="AY45" s="673"/>
      <c r="AZ45" s="673"/>
      <c r="BA45" s="673"/>
      <c r="BB45" s="673"/>
      <c r="BC45" s="673"/>
      <c r="BD45" s="673"/>
      <c r="BE45" s="673"/>
      <c r="BF45" s="673"/>
      <c r="BG45" s="673"/>
      <c r="BH45" s="673"/>
      <c r="BI45" s="673"/>
      <c r="BJ45" s="673"/>
      <c r="BK45" s="673"/>
      <c r="BL45" s="673"/>
      <c r="BM45" s="673"/>
      <c r="BN45" s="673"/>
      <c r="BO45" s="673"/>
      <c r="BP45" s="673"/>
      <c r="BQ45" s="673"/>
      <c r="BR45" s="673"/>
      <c r="BS45" s="673"/>
      <c r="BT45" s="673"/>
      <c r="BU45" s="673"/>
      <c r="BV45" s="673"/>
      <c r="BW45" s="673"/>
      <c r="BX45" s="673"/>
      <c r="BY45" s="673"/>
      <c r="BZ45" s="673"/>
      <c r="CA45" s="673"/>
      <c r="CB45" s="673"/>
      <c r="CC45" s="673"/>
      <c r="CD45" s="673"/>
      <c r="CE45" s="673"/>
      <c r="CF45" s="673"/>
      <c r="CG45" s="673"/>
      <c r="CH45" s="673"/>
      <c r="CI45" s="673"/>
      <c r="CJ45" s="673"/>
      <c r="CK45" s="673"/>
      <c r="CL45" s="673"/>
      <c r="CM45" s="673"/>
      <c r="CN45" s="673"/>
      <c r="CO45" s="673"/>
      <c r="CP45" s="673"/>
      <c r="CQ45" s="673"/>
      <c r="CR45" s="673"/>
      <c r="CS45" s="673"/>
      <c r="CT45" s="673"/>
      <c r="CU45" s="673"/>
      <c r="CV45" s="673"/>
      <c r="CW45" s="673"/>
      <c r="CX45" s="673"/>
      <c r="CY45" s="673"/>
      <c r="CZ45" s="673"/>
      <c r="DA45" s="673"/>
      <c r="DB45" s="673"/>
      <c r="DC45" s="673"/>
      <c r="DD45" s="673"/>
      <c r="DE45" s="673"/>
      <c r="DF45" s="673"/>
      <c r="DG45" s="673"/>
      <c r="DH45" s="673"/>
      <c r="DI45" s="673"/>
      <c r="DJ45" s="673"/>
      <c r="DK45" s="673"/>
      <c r="DL45" s="673"/>
      <c r="DM45" s="673"/>
      <c r="DN45" s="673"/>
      <c r="DO45" s="673"/>
      <c r="DP45" s="673"/>
      <c r="DQ45" s="673"/>
      <c r="DR45" s="673"/>
      <c r="DS45" s="673"/>
      <c r="DT45" s="673"/>
      <c r="DU45" s="673"/>
      <c r="DV45" s="673"/>
      <c r="DW45" s="673"/>
      <c r="DX45" s="673"/>
      <c r="DY45" s="673"/>
      <c r="DZ45" s="673"/>
      <c r="EA45" s="673"/>
      <c r="EB45" s="673"/>
      <c r="EC45" s="673"/>
      <c r="ED45" s="673"/>
      <c r="EE45" s="673"/>
      <c r="EF45" s="673"/>
      <c r="EG45" s="673"/>
      <c r="EH45" s="673"/>
      <c r="EI45" s="673"/>
      <c r="EJ45" s="673"/>
      <c r="EK45" s="673"/>
      <c r="EL45" s="673"/>
      <c r="EM45" s="673"/>
      <c r="EN45" s="673"/>
      <c r="EO45" s="673"/>
      <c r="EP45" s="673"/>
      <c r="EQ45" s="673"/>
      <c r="ER45" s="673"/>
      <c r="ES45" s="673"/>
      <c r="ET45" s="673"/>
      <c r="EU45" s="673"/>
      <c r="EV45" s="673"/>
      <c r="EW45" s="673"/>
      <c r="EX45" s="673"/>
      <c r="EY45" s="673"/>
      <c r="EZ45" s="673"/>
      <c r="FA45" s="673"/>
      <c r="FB45" s="673"/>
      <c r="FC45" s="673"/>
      <c r="FD45" s="673"/>
      <c r="FE45" s="673"/>
      <c r="FF45" s="673"/>
      <c r="FG45" s="673"/>
      <c r="FH45" s="673"/>
      <c r="FI45" s="673"/>
      <c r="FJ45" s="673"/>
      <c r="FK45" s="673"/>
      <c r="FL45" s="673"/>
      <c r="FM45" s="673"/>
      <c r="FN45" s="673"/>
      <c r="FO45" s="673"/>
      <c r="FP45" s="673"/>
      <c r="FQ45" s="673"/>
      <c r="FR45" s="673"/>
      <c r="FS45" s="673"/>
      <c r="FT45" s="673"/>
      <c r="FU45" s="673"/>
      <c r="FV45" s="673"/>
      <c r="FW45" s="673"/>
      <c r="FX45" s="673"/>
      <c r="FY45" s="673"/>
      <c r="FZ45" s="673"/>
      <c r="GA45" s="673"/>
      <c r="GB45" s="673"/>
      <c r="GC45" s="673"/>
      <c r="GD45" s="673"/>
      <c r="GE45" s="673"/>
      <c r="GF45" s="673"/>
      <c r="GG45" s="673"/>
      <c r="GH45" s="673"/>
      <c r="GI45" s="673"/>
      <c r="GJ45" s="673"/>
      <c r="GK45" s="673"/>
      <c r="GL45" s="673"/>
      <c r="GM45" s="673"/>
      <c r="GN45" s="673"/>
      <c r="GO45" s="673"/>
      <c r="GP45" s="673"/>
      <c r="GQ45" s="673"/>
      <c r="GR45" s="673"/>
      <c r="GS45" s="673"/>
      <c r="GT45" s="673"/>
      <c r="GU45" s="673"/>
      <c r="GV45" s="673"/>
      <c r="GW45" s="673"/>
      <c r="GX45" s="673"/>
      <c r="GY45" s="673"/>
      <c r="GZ45" s="673"/>
      <c r="HA45" s="673"/>
      <c r="HB45" s="673"/>
      <c r="HC45" s="673"/>
      <c r="HD45" s="673"/>
      <c r="HE45" s="673"/>
      <c r="HF45" s="673"/>
      <c r="HG45" s="673"/>
      <c r="HH45" s="673"/>
      <c r="HI45" s="673"/>
      <c r="HJ45" s="673"/>
      <c r="HK45" s="673"/>
      <c r="HL45" s="673"/>
      <c r="HM45" s="673"/>
      <c r="HN45" s="673"/>
      <c r="HO45" s="673"/>
      <c r="HP45" s="673"/>
      <c r="HQ45" s="673"/>
      <c r="HR45" s="673"/>
      <c r="HS45" s="673"/>
      <c r="HT45" s="673"/>
      <c r="HU45" s="673"/>
      <c r="HV45" s="673"/>
      <c r="HW45" s="673"/>
      <c r="HX45" s="673"/>
      <c r="HY45" s="673"/>
      <c r="HZ45" s="673"/>
      <c r="IA45" s="673"/>
      <c r="IB45" s="673"/>
      <c r="IC45" s="673"/>
      <c r="ID45" s="673"/>
      <c r="IE45" s="673"/>
      <c r="IF45" s="673"/>
      <c r="IG45" s="673"/>
      <c r="IH45" s="673"/>
      <c r="II45" s="673"/>
      <c r="IJ45" s="673"/>
      <c r="IK45" s="673"/>
      <c r="IL45" s="673"/>
      <c r="IM45" s="673"/>
      <c r="IN45" s="673"/>
      <c r="IO45" s="673"/>
      <c r="IP45" s="673"/>
      <c r="IQ45" s="673"/>
      <c r="IR45" s="673"/>
      <c r="IS45" s="673"/>
      <c r="IT45" s="673"/>
      <c r="IU45" s="673"/>
      <c r="IV45" s="673"/>
      <c r="IW45" s="673"/>
      <c r="IX45" s="673"/>
      <c r="IY45" s="673"/>
      <c r="IZ45" s="673"/>
      <c r="JA45" s="673"/>
      <c r="JB45" s="673"/>
      <c r="JC45" s="673"/>
      <c r="JD45" s="673"/>
      <c r="JE45" s="673"/>
      <c r="JF45" s="673"/>
      <c r="JG45" s="673"/>
      <c r="JH45" s="673"/>
      <c r="JI45" s="673"/>
      <c r="JJ45" s="673"/>
      <c r="JK45" s="673"/>
      <c r="JL45" s="673"/>
      <c r="JM45" s="673"/>
      <c r="JN45" s="673"/>
      <c r="JO45" s="673"/>
      <c r="JP45" s="673"/>
      <c r="JQ45" s="673"/>
      <c r="JR45" s="673"/>
      <c r="JS45" s="673"/>
      <c r="JT45" s="673"/>
      <c r="JU45" s="673"/>
      <c r="JV45" s="673"/>
      <c r="JW45" s="673"/>
      <c r="JX45" s="673"/>
      <c r="JY45" s="673"/>
      <c r="JZ45" s="673"/>
      <c r="KA45" s="673"/>
      <c r="KB45" s="673"/>
      <c r="KC45" s="673"/>
      <c r="KD45" s="673"/>
      <c r="KE45" s="673"/>
      <c r="KF45" s="673"/>
      <c r="KG45" s="673"/>
      <c r="KH45" s="673"/>
      <c r="KI45" s="673"/>
      <c r="KJ45" s="673"/>
      <c r="KK45" s="673"/>
      <c r="KL45" s="673"/>
      <c r="KM45" s="673"/>
      <c r="KN45" s="673"/>
      <c r="KO45" s="673"/>
      <c r="KP45" s="673"/>
      <c r="KQ45" s="673"/>
      <c r="KR45" s="673"/>
      <c r="KS45" s="673"/>
      <c r="KT45" s="673"/>
      <c r="KU45" s="673"/>
      <c r="KV45" s="673"/>
      <c r="KW45" s="673"/>
      <c r="KX45" s="673"/>
      <c r="KY45" s="673"/>
      <c r="KZ45" s="673"/>
      <c r="LA45" s="673"/>
      <c r="LB45" s="673"/>
      <c r="LC45" s="673"/>
      <c r="LD45" s="673"/>
      <c r="LE45" s="673"/>
      <c r="LF45" s="673"/>
      <c r="LG45" s="673"/>
      <c r="LH45" s="673"/>
      <c r="LI45" s="673"/>
      <c r="LJ45" s="673"/>
      <c r="LK45" s="673"/>
      <c r="LL45" s="673"/>
      <c r="LM45" s="673"/>
      <c r="LN45" s="673"/>
      <c r="LO45" s="673"/>
      <c r="LP45" s="673"/>
      <c r="LQ45" s="673"/>
      <c r="LR45" s="673"/>
      <c r="LS45" s="673"/>
      <c r="LT45" s="673"/>
      <c r="LU45" s="673"/>
      <c r="LV45" s="673"/>
      <c r="LW45" s="673"/>
      <c r="LX45" s="673"/>
      <c r="LY45" s="673"/>
      <c r="LZ45" s="673"/>
      <c r="MA45" s="673"/>
      <c r="MB45" s="673"/>
      <c r="MC45" s="673"/>
      <c r="MD45" s="673"/>
      <c r="ME45" s="673"/>
      <c r="MF45" s="673"/>
      <c r="MG45" s="673"/>
      <c r="MH45" s="673"/>
      <c r="MI45" s="673"/>
      <c r="MJ45" s="673"/>
      <c r="MK45" s="673"/>
      <c r="ML45" s="673"/>
      <c r="MM45" s="673"/>
      <c r="MN45" s="673"/>
      <c r="MO45" s="673"/>
      <c r="MP45" s="673"/>
      <c r="MQ45" s="673"/>
      <c r="MR45" s="673"/>
      <c r="MS45" s="673"/>
      <c r="MT45" s="673"/>
      <c r="MU45" s="673"/>
      <c r="MV45" s="673"/>
      <c r="MW45" s="673"/>
      <c r="MX45" s="673"/>
      <c r="MY45" s="673"/>
      <c r="MZ45" s="673"/>
      <c r="NA45" s="673"/>
      <c r="NB45" s="673"/>
      <c r="NC45" s="673"/>
      <c r="ND45" s="673"/>
      <c r="NE45" s="673"/>
      <c r="NF45" s="673"/>
      <c r="NG45" s="673"/>
      <c r="NH45" s="673"/>
      <c r="NI45" s="673"/>
      <c r="NJ45" s="673"/>
      <c r="NK45" s="673"/>
      <c r="NL45" s="673"/>
      <c r="NM45" s="673"/>
      <c r="NN45" s="673"/>
      <c r="NO45" s="673"/>
      <c r="NP45" s="673"/>
      <c r="NQ45" s="673"/>
      <c r="NR45" s="673"/>
      <c r="NS45" s="673"/>
      <c r="NT45" s="673"/>
      <c r="NU45" s="673"/>
      <c r="NV45" s="673"/>
      <c r="NW45" s="673"/>
      <c r="NX45" s="673"/>
      <c r="NY45" s="673"/>
      <c r="NZ45" s="673"/>
      <c r="OA45" s="673"/>
      <c r="OB45" s="673"/>
      <c r="OC45" s="673"/>
      <c r="OD45" s="673"/>
      <c r="OE45" s="673"/>
      <c r="OF45" s="673"/>
      <c r="OG45" s="673"/>
      <c r="OH45" s="673"/>
      <c r="OI45" s="673"/>
      <c r="OJ45" s="673"/>
      <c r="OK45" s="673"/>
      <c r="OL45" s="673"/>
      <c r="OM45" s="673"/>
      <c r="ON45" s="673"/>
      <c r="OO45" s="673"/>
      <c r="OP45" s="673"/>
      <c r="OQ45" s="673"/>
      <c r="OR45" s="673"/>
      <c r="OS45" s="673"/>
      <c r="OT45" s="673"/>
      <c r="OU45" s="673"/>
      <c r="OV45" s="673"/>
      <c r="OW45" s="673"/>
      <c r="OX45" s="673"/>
      <c r="OY45" s="673"/>
      <c r="OZ45" s="673"/>
      <c r="PA45" s="673"/>
      <c r="PB45" s="673"/>
      <c r="PC45" s="673"/>
      <c r="PD45" s="673"/>
      <c r="PE45" s="673"/>
      <c r="PF45" s="673"/>
      <c r="PG45" s="673"/>
      <c r="PH45" s="673"/>
      <c r="PI45" s="673"/>
      <c r="PJ45" s="673"/>
      <c r="PK45" s="673"/>
      <c r="PL45" s="673"/>
      <c r="PM45" s="673"/>
      <c r="PN45" s="673"/>
      <c r="PO45" s="673"/>
      <c r="PP45" s="673"/>
      <c r="PQ45" s="673"/>
      <c r="PR45" s="673"/>
      <c r="PS45" s="673"/>
      <c r="PT45" s="673"/>
      <c r="PU45" s="673"/>
      <c r="PV45" s="673"/>
      <c r="PW45" s="673"/>
      <c r="PX45" s="673"/>
      <c r="PY45" s="673"/>
      <c r="PZ45" s="673"/>
      <c r="QA45" s="673"/>
      <c r="QB45" s="673"/>
      <c r="QC45" s="673"/>
      <c r="QD45" s="673"/>
      <c r="QE45" s="673"/>
      <c r="QF45" s="673"/>
      <c r="QG45" s="673"/>
      <c r="QH45" s="673"/>
      <c r="QI45" s="673"/>
      <c r="QJ45" s="673"/>
      <c r="QK45" s="673"/>
    </row>
    <row r="46" spans="1:453" s="558" customFormat="1">
      <c r="A46" s="680"/>
      <c r="B46" s="680"/>
      <c r="C46" s="2107" t="str">
        <f ca="1">TEXT(HYPERLINK("#"&amp;CELL("address",'Equipment Results Matrix'!A807),'Equipment Results Matrix'!A807),"0,000")</f>
        <v>Waterside Economizers</v>
      </c>
      <c r="D46" s="2107"/>
      <c r="E46" s="2107"/>
      <c r="F46" s="2107"/>
      <c r="G46" s="2107"/>
      <c r="H46" s="2107"/>
      <c r="I46" s="680"/>
      <c r="J46" s="1525" t="str">
        <f ca="1">TEXT(HYPERLINK("#"&amp;CELL("address",'Labor Results Matrix'!A303),"Labor"),"0,000")</f>
        <v>Labor</v>
      </c>
      <c r="K46" s="1525"/>
      <c r="L46" s="2107" t="str">
        <f ca="1">TEXT(HYPERLINK("#"&amp;CELL("address",'Equipment + Labor'!A341),"Total installed cost"),"0,000")</f>
        <v>Total installed cost</v>
      </c>
      <c r="M46" s="2107"/>
      <c r="N46" s="2107"/>
      <c r="O46" s="673"/>
      <c r="P46" s="673"/>
      <c r="Q46" s="673"/>
      <c r="R46" s="673"/>
      <c r="S46" s="673"/>
      <c r="T46" s="673"/>
      <c r="U46" s="673"/>
      <c r="V46" s="673"/>
      <c r="W46" s="673"/>
      <c r="X46" s="673"/>
      <c r="Y46" s="673"/>
      <c r="Z46" s="673"/>
      <c r="AA46" s="673"/>
      <c r="AB46" s="673"/>
      <c r="AC46" s="673"/>
      <c r="AD46" s="673"/>
      <c r="AE46" s="673"/>
      <c r="AF46" s="673"/>
      <c r="AG46" s="673"/>
      <c r="AH46" s="673"/>
      <c r="AI46" s="673"/>
      <c r="AJ46" s="673"/>
      <c r="AK46" s="673"/>
      <c r="AL46" s="673"/>
      <c r="AM46" s="673"/>
      <c r="AN46" s="673"/>
      <c r="AO46" s="673"/>
      <c r="AP46" s="673"/>
      <c r="AQ46" s="673"/>
      <c r="AR46" s="673"/>
      <c r="AS46" s="673"/>
      <c r="AT46" s="673"/>
      <c r="AU46" s="673"/>
      <c r="AV46" s="673"/>
      <c r="AW46" s="673"/>
      <c r="AX46" s="673"/>
      <c r="AY46" s="673"/>
      <c r="AZ46" s="673"/>
      <c r="BA46" s="673"/>
      <c r="BB46" s="673"/>
      <c r="BC46" s="673"/>
      <c r="BD46" s="673"/>
      <c r="BE46" s="673"/>
      <c r="BF46" s="673"/>
      <c r="BG46" s="673"/>
      <c r="BH46" s="673"/>
      <c r="BI46" s="673"/>
      <c r="BJ46" s="673"/>
      <c r="BK46" s="673"/>
      <c r="BL46" s="673"/>
      <c r="BM46" s="673"/>
      <c r="BN46" s="673"/>
      <c r="BO46" s="673"/>
      <c r="BP46" s="673"/>
      <c r="BQ46" s="673"/>
      <c r="BR46" s="673"/>
      <c r="BS46" s="673"/>
      <c r="BT46" s="673"/>
      <c r="BU46" s="673"/>
      <c r="BV46" s="673"/>
      <c r="BW46" s="673"/>
      <c r="BX46" s="673"/>
      <c r="BY46" s="673"/>
      <c r="BZ46" s="673"/>
      <c r="CA46" s="673"/>
      <c r="CB46" s="673"/>
      <c r="CC46" s="673"/>
      <c r="CD46" s="673"/>
      <c r="CE46" s="673"/>
      <c r="CF46" s="673"/>
      <c r="CG46" s="673"/>
      <c r="CH46" s="673"/>
      <c r="CI46" s="673"/>
      <c r="CJ46" s="673"/>
      <c r="CK46" s="673"/>
      <c r="CL46" s="673"/>
      <c r="CM46" s="673"/>
      <c r="CN46" s="673"/>
      <c r="CO46" s="673"/>
      <c r="CP46" s="673"/>
      <c r="CQ46" s="673"/>
      <c r="CR46" s="673"/>
      <c r="CS46" s="673"/>
      <c r="CT46" s="673"/>
      <c r="CU46" s="673"/>
      <c r="CV46" s="673"/>
      <c r="CW46" s="673"/>
      <c r="CX46" s="673"/>
      <c r="CY46" s="673"/>
      <c r="CZ46" s="673"/>
      <c r="DA46" s="673"/>
      <c r="DB46" s="673"/>
      <c r="DC46" s="673"/>
      <c r="DD46" s="673"/>
      <c r="DE46" s="673"/>
      <c r="DF46" s="673"/>
      <c r="DG46" s="673"/>
      <c r="DH46" s="673"/>
      <c r="DI46" s="673"/>
      <c r="DJ46" s="673"/>
      <c r="DK46" s="673"/>
      <c r="DL46" s="673"/>
      <c r="DM46" s="673"/>
      <c r="DN46" s="673"/>
      <c r="DO46" s="673"/>
      <c r="DP46" s="673"/>
      <c r="DQ46" s="673"/>
      <c r="DR46" s="673"/>
      <c r="DS46" s="673"/>
      <c r="DT46" s="673"/>
      <c r="DU46" s="673"/>
      <c r="DV46" s="673"/>
      <c r="DW46" s="673"/>
      <c r="DX46" s="673"/>
      <c r="DY46" s="673"/>
      <c r="DZ46" s="673"/>
      <c r="EA46" s="673"/>
      <c r="EB46" s="673"/>
      <c r="EC46" s="673"/>
      <c r="ED46" s="673"/>
      <c r="EE46" s="673"/>
      <c r="EF46" s="673"/>
      <c r="EG46" s="673"/>
      <c r="EH46" s="673"/>
      <c r="EI46" s="673"/>
      <c r="EJ46" s="673"/>
      <c r="EK46" s="673"/>
      <c r="EL46" s="673"/>
      <c r="EM46" s="673"/>
      <c r="EN46" s="673"/>
      <c r="EO46" s="673"/>
      <c r="EP46" s="673"/>
      <c r="EQ46" s="673"/>
      <c r="ER46" s="673"/>
      <c r="ES46" s="673"/>
      <c r="ET46" s="673"/>
      <c r="EU46" s="673"/>
      <c r="EV46" s="673"/>
      <c r="EW46" s="673"/>
      <c r="EX46" s="673"/>
      <c r="EY46" s="673"/>
      <c r="EZ46" s="673"/>
      <c r="FA46" s="673"/>
      <c r="FB46" s="673"/>
      <c r="FC46" s="673"/>
      <c r="FD46" s="673"/>
      <c r="FE46" s="673"/>
      <c r="FF46" s="673"/>
      <c r="FG46" s="673"/>
      <c r="FH46" s="673"/>
      <c r="FI46" s="673"/>
      <c r="FJ46" s="673"/>
      <c r="FK46" s="673"/>
      <c r="FL46" s="673"/>
      <c r="FM46" s="673"/>
      <c r="FN46" s="673"/>
      <c r="FO46" s="673"/>
      <c r="FP46" s="673"/>
      <c r="FQ46" s="673"/>
      <c r="FR46" s="673"/>
      <c r="FS46" s="673"/>
      <c r="FT46" s="673"/>
      <c r="FU46" s="673"/>
      <c r="FV46" s="673"/>
      <c r="FW46" s="673"/>
      <c r="FX46" s="673"/>
      <c r="FY46" s="673"/>
      <c r="FZ46" s="673"/>
      <c r="GA46" s="673"/>
      <c r="GB46" s="673"/>
      <c r="GC46" s="673"/>
      <c r="GD46" s="673"/>
      <c r="GE46" s="673"/>
      <c r="GF46" s="673"/>
      <c r="GG46" s="673"/>
      <c r="GH46" s="673"/>
      <c r="GI46" s="673"/>
      <c r="GJ46" s="673"/>
      <c r="GK46" s="673"/>
      <c r="GL46" s="673"/>
      <c r="GM46" s="673"/>
      <c r="GN46" s="673"/>
      <c r="GO46" s="673"/>
      <c r="GP46" s="673"/>
      <c r="GQ46" s="673"/>
      <c r="GR46" s="673"/>
      <c r="GS46" s="673"/>
      <c r="GT46" s="673"/>
      <c r="GU46" s="673"/>
      <c r="GV46" s="673"/>
      <c r="GW46" s="673"/>
      <c r="GX46" s="673"/>
      <c r="GY46" s="673"/>
      <c r="GZ46" s="673"/>
      <c r="HA46" s="673"/>
      <c r="HB46" s="673"/>
      <c r="HC46" s="673"/>
      <c r="HD46" s="673"/>
      <c r="HE46" s="673"/>
      <c r="HF46" s="673"/>
      <c r="HG46" s="673"/>
      <c r="HH46" s="673"/>
      <c r="HI46" s="673"/>
      <c r="HJ46" s="673"/>
      <c r="HK46" s="673"/>
      <c r="HL46" s="673"/>
      <c r="HM46" s="673"/>
      <c r="HN46" s="673"/>
      <c r="HO46" s="673"/>
      <c r="HP46" s="673"/>
      <c r="HQ46" s="673"/>
      <c r="HR46" s="673"/>
      <c r="HS46" s="673"/>
      <c r="HT46" s="673"/>
      <c r="HU46" s="673"/>
      <c r="HV46" s="673"/>
      <c r="HW46" s="673"/>
      <c r="HX46" s="673"/>
      <c r="HY46" s="673"/>
      <c r="HZ46" s="673"/>
      <c r="IA46" s="673"/>
      <c r="IB46" s="673"/>
      <c r="IC46" s="673"/>
      <c r="ID46" s="673"/>
      <c r="IE46" s="673"/>
      <c r="IF46" s="673"/>
      <c r="IG46" s="673"/>
      <c r="IH46" s="673"/>
      <c r="II46" s="673"/>
      <c r="IJ46" s="673"/>
      <c r="IK46" s="673"/>
      <c r="IL46" s="673"/>
      <c r="IM46" s="673"/>
      <c r="IN46" s="673"/>
      <c r="IO46" s="673"/>
      <c r="IP46" s="673"/>
      <c r="IQ46" s="673"/>
      <c r="IR46" s="673"/>
      <c r="IS46" s="673"/>
      <c r="IT46" s="673"/>
      <c r="IU46" s="673"/>
      <c r="IV46" s="673"/>
      <c r="IW46" s="673"/>
      <c r="IX46" s="673"/>
      <c r="IY46" s="673"/>
      <c r="IZ46" s="673"/>
      <c r="JA46" s="673"/>
      <c r="JB46" s="673"/>
      <c r="JC46" s="673"/>
      <c r="JD46" s="673"/>
      <c r="JE46" s="673"/>
      <c r="JF46" s="673"/>
      <c r="JG46" s="673"/>
      <c r="JH46" s="673"/>
      <c r="JI46" s="673"/>
      <c r="JJ46" s="673"/>
      <c r="JK46" s="673"/>
      <c r="JL46" s="673"/>
      <c r="JM46" s="673"/>
      <c r="JN46" s="673"/>
      <c r="JO46" s="673"/>
      <c r="JP46" s="673"/>
      <c r="JQ46" s="673"/>
      <c r="JR46" s="673"/>
      <c r="JS46" s="673"/>
      <c r="JT46" s="673"/>
      <c r="JU46" s="673"/>
      <c r="JV46" s="673"/>
      <c r="JW46" s="673"/>
      <c r="JX46" s="673"/>
      <c r="JY46" s="673"/>
      <c r="JZ46" s="673"/>
      <c r="KA46" s="673"/>
      <c r="KB46" s="673"/>
      <c r="KC46" s="673"/>
      <c r="KD46" s="673"/>
      <c r="KE46" s="673"/>
      <c r="KF46" s="673"/>
      <c r="KG46" s="673"/>
      <c r="KH46" s="673"/>
      <c r="KI46" s="673"/>
      <c r="KJ46" s="673"/>
      <c r="KK46" s="673"/>
      <c r="KL46" s="673"/>
      <c r="KM46" s="673"/>
      <c r="KN46" s="673"/>
      <c r="KO46" s="673"/>
      <c r="KP46" s="673"/>
      <c r="KQ46" s="673"/>
      <c r="KR46" s="673"/>
      <c r="KS46" s="673"/>
      <c r="KT46" s="673"/>
      <c r="KU46" s="673"/>
      <c r="KV46" s="673"/>
      <c r="KW46" s="673"/>
      <c r="KX46" s="673"/>
      <c r="KY46" s="673"/>
      <c r="KZ46" s="673"/>
      <c r="LA46" s="673"/>
      <c r="LB46" s="673"/>
      <c r="LC46" s="673"/>
      <c r="LD46" s="673"/>
      <c r="LE46" s="673"/>
      <c r="LF46" s="673"/>
      <c r="LG46" s="673"/>
      <c r="LH46" s="673"/>
      <c r="LI46" s="673"/>
      <c r="LJ46" s="673"/>
      <c r="LK46" s="673"/>
      <c r="LL46" s="673"/>
      <c r="LM46" s="673"/>
      <c r="LN46" s="673"/>
      <c r="LO46" s="673"/>
      <c r="LP46" s="673"/>
      <c r="LQ46" s="673"/>
      <c r="LR46" s="673"/>
      <c r="LS46" s="673"/>
      <c r="LT46" s="673"/>
      <c r="LU46" s="673"/>
      <c r="LV46" s="673"/>
      <c r="LW46" s="673"/>
      <c r="LX46" s="673"/>
      <c r="LY46" s="673"/>
      <c r="LZ46" s="673"/>
      <c r="MA46" s="673"/>
      <c r="MB46" s="673"/>
      <c r="MC46" s="673"/>
      <c r="MD46" s="673"/>
      <c r="ME46" s="673"/>
      <c r="MF46" s="673"/>
      <c r="MG46" s="673"/>
      <c r="MH46" s="673"/>
      <c r="MI46" s="673"/>
      <c r="MJ46" s="673"/>
      <c r="MK46" s="673"/>
      <c r="ML46" s="673"/>
      <c r="MM46" s="673"/>
      <c r="MN46" s="673"/>
      <c r="MO46" s="673"/>
      <c r="MP46" s="673"/>
      <c r="MQ46" s="673"/>
      <c r="MR46" s="673"/>
      <c r="MS46" s="673"/>
      <c r="MT46" s="673"/>
      <c r="MU46" s="673"/>
      <c r="MV46" s="673"/>
      <c r="MW46" s="673"/>
      <c r="MX46" s="673"/>
      <c r="MY46" s="673"/>
      <c r="MZ46" s="673"/>
      <c r="NA46" s="673"/>
      <c r="NB46" s="673"/>
      <c r="NC46" s="673"/>
      <c r="ND46" s="673"/>
      <c r="NE46" s="673"/>
      <c r="NF46" s="673"/>
      <c r="NG46" s="673"/>
      <c r="NH46" s="673"/>
      <c r="NI46" s="673"/>
      <c r="NJ46" s="673"/>
      <c r="NK46" s="673"/>
      <c r="NL46" s="673"/>
      <c r="NM46" s="673"/>
      <c r="NN46" s="673"/>
      <c r="NO46" s="673"/>
      <c r="NP46" s="673"/>
      <c r="NQ46" s="673"/>
      <c r="NR46" s="673"/>
      <c r="NS46" s="673"/>
      <c r="NT46" s="673"/>
      <c r="NU46" s="673"/>
      <c r="NV46" s="673"/>
      <c r="NW46" s="673"/>
      <c r="NX46" s="673"/>
      <c r="NY46" s="673"/>
      <c r="NZ46" s="673"/>
      <c r="OA46" s="673"/>
      <c r="OB46" s="673"/>
      <c r="OC46" s="673"/>
      <c r="OD46" s="673"/>
      <c r="OE46" s="673"/>
      <c r="OF46" s="673"/>
      <c r="OG46" s="673"/>
      <c r="OH46" s="673"/>
      <c r="OI46" s="673"/>
      <c r="OJ46" s="673"/>
      <c r="OK46" s="673"/>
      <c r="OL46" s="673"/>
      <c r="OM46" s="673"/>
      <c r="ON46" s="673"/>
      <c r="OO46" s="673"/>
      <c r="OP46" s="673"/>
      <c r="OQ46" s="673"/>
      <c r="OR46" s="673"/>
      <c r="OS46" s="673"/>
      <c r="OT46" s="673"/>
      <c r="OU46" s="673"/>
      <c r="OV46" s="673"/>
      <c r="OW46" s="673"/>
      <c r="OX46" s="673"/>
      <c r="OY46" s="673"/>
      <c r="OZ46" s="673"/>
      <c r="PA46" s="673"/>
      <c r="PB46" s="673"/>
      <c r="PC46" s="673"/>
      <c r="PD46" s="673"/>
      <c r="PE46" s="673"/>
      <c r="PF46" s="673"/>
      <c r="PG46" s="673"/>
      <c r="PH46" s="673"/>
      <c r="PI46" s="673"/>
      <c r="PJ46" s="673"/>
      <c r="PK46" s="673"/>
      <c r="PL46" s="673"/>
      <c r="PM46" s="673"/>
      <c r="PN46" s="673"/>
      <c r="PO46" s="673"/>
      <c r="PP46" s="673"/>
      <c r="PQ46" s="673"/>
      <c r="PR46" s="673"/>
      <c r="PS46" s="673"/>
      <c r="PT46" s="673"/>
      <c r="PU46" s="673"/>
      <c r="PV46" s="673"/>
      <c r="PW46" s="673"/>
      <c r="PX46" s="673"/>
      <c r="PY46" s="673"/>
      <c r="PZ46" s="673"/>
      <c r="QA46" s="673"/>
      <c r="QB46" s="673"/>
      <c r="QC46" s="673"/>
      <c r="QD46" s="673"/>
      <c r="QE46" s="673"/>
      <c r="QF46" s="673"/>
      <c r="QG46" s="673"/>
      <c r="QH46" s="673"/>
      <c r="QI46" s="673"/>
      <c r="QJ46" s="673"/>
      <c r="QK46" s="673"/>
    </row>
    <row r="47" spans="1:453" s="1301" customFormat="1" ht="18.75">
      <c r="B47" s="2109" t="str">
        <f ca="1">TEXT(HYPERLINK("#"&amp;CELL("address",'Equipment Results Matrix'!A817),'Equipment Results Matrix'!A817),"0,000")</f>
        <v>Residential Water Heating</v>
      </c>
      <c r="C47" s="2109"/>
      <c r="D47" s="2109"/>
      <c r="E47" s="2109"/>
      <c r="F47" s="1302"/>
      <c r="G47" s="1302"/>
      <c r="H47" s="1302"/>
      <c r="I47" s="1302"/>
      <c r="J47" s="1302"/>
      <c r="K47" s="1302"/>
      <c r="L47" s="2111"/>
      <c r="M47" s="2111"/>
      <c r="N47" s="2111"/>
      <c r="O47" s="1303"/>
      <c r="P47" s="1303"/>
      <c r="Q47" s="1303"/>
      <c r="R47" s="1303"/>
      <c r="S47" s="1303"/>
      <c r="T47" s="1303"/>
      <c r="U47" s="1303"/>
      <c r="V47" s="1303"/>
      <c r="W47" s="1303"/>
      <c r="X47" s="1303"/>
      <c r="Y47" s="1303"/>
      <c r="Z47" s="1303"/>
      <c r="AA47" s="1303"/>
      <c r="AB47" s="1303"/>
      <c r="AC47" s="1303"/>
      <c r="AD47" s="1303"/>
      <c r="AE47" s="1303"/>
      <c r="AF47" s="1303"/>
      <c r="AG47" s="1303"/>
      <c r="AH47" s="1303"/>
      <c r="AI47" s="1303"/>
      <c r="AJ47" s="1303"/>
      <c r="AK47" s="1303"/>
      <c r="AL47" s="1303"/>
      <c r="AM47" s="1303"/>
      <c r="AN47" s="1303"/>
      <c r="AO47" s="1303"/>
      <c r="AP47" s="1303"/>
      <c r="AQ47" s="1303"/>
      <c r="AR47" s="1303"/>
      <c r="AS47" s="1303"/>
      <c r="AT47" s="1303"/>
      <c r="AU47" s="1303"/>
      <c r="AV47" s="1303"/>
      <c r="AW47" s="1303"/>
      <c r="AX47" s="1303"/>
      <c r="AY47" s="1303"/>
      <c r="AZ47" s="1303"/>
      <c r="BA47" s="1303"/>
      <c r="BB47" s="1303"/>
      <c r="BC47" s="1303"/>
      <c r="BD47" s="1303"/>
      <c r="BE47" s="1303"/>
      <c r="BF47" s="1303"/>
      <c r="BG47" s="1303"/>
      <c r="BH47" s="1303"/>
      <c r="BI47" s="1303"/>
      <c r="BJ47" s="1303"/>
      <c r="BK47" s="1303"/>
      <c r="BL47" s="1303"/>
      <c r="BM47" s="1303"/>
      <c r="BN47" s="1303"/>
      <c r="BO47" s="1303"/>
      <c r="BP47" s="1303"/>
      <c r="BQ47" s="1303"/>
      <c r="BR47" s="1303"/>
      <c r="BS47" s="1303"/>
      <c r="BT47" s="1303"/>
      <c r="BU47" s="1303"/>
      <c r="BV47" s="1303"/>
      <c r="BW47" s="1303"/>
      <c r="BX47" s="1303"/>
      <c r="BY47" s="1303"/>
      <c r="BZ47" s="1303"/>
      <c r="CA47" s="1303"/>
      <c r="CB47" s="1303"/>
      <c r="CC47" s="1303"/>
      <c r="CD47" s="1303"/>
      <c r="CE47" s="1303"/>
      <c r="CF47" s="1303"/>
      <c r="CG47" s="1303"/>
      <c r="CH47" s="1303"/>
      <c r="CI47" s="1303"/>
      <c r="CJ47" s="1303"/>
      <c r="CK47" s="1303"/>
      <c r="CL47" s="1303"/>
      <c r="CM47" s="1303"/>
      <c r="CN47" s="1303"/>
      <c r="CO47" s="1303"/>
      <c r="CP47" s="1303"/>
      <c r="CQ47" s="1303"/>
      <c r="CR47" s="1303"/>
      <c r="CS47" s="1303"/>
      <c r="CT47" s="1303"/>
      <c r="CU47" s="1303"/>
      <c r="CV47" s="1303"/>
      <c r="CW47" s="1303"/>
      <c r="CX47" s="1303"/>
      <c r="CY47" s="1303"/>
      <c r="CZ47" s="1303"/>
      <c r="DA47" s="1303"/>
      <c r="DB47" s="1303"/>
      <c r="DC47" s="1303"/>
      <c r="DD47" s="1303"/>
      <c r="DE47" s="1303"/>
      <c r="DF47" s="1303"/>
      <c r="DG47" s="1303"/>
      <c r="DH47" s="1303"/>
      <c r="DI47" s="1303"/>
      <c r="DJ47" s="1303"/>
      <c r="DK47" s="1303"/>
      <c r="DL47" s="1303"/>
      <c r="DM47" s="1303"/>
      <c r="DN47" s="1303"/>
      <c r="DO47" s="1303"/>
      <c r="DP47" s="1303"/>
      <c r="DQ47" s="1303"/>
      <c r="DR47" s="1303"/>
      <c r="DS47" s="1303"/>
      <c r="DT47" s="1303"/>
      <c r="DU47" s="1303"/>
      <c r="DV47" s="1303"/>
      <c r="DW47" s="1303"/>
      <c r="DX47" s="1303"/>
      <c r="DY47" s="1303"/>
      <c r="DZ47" s="1303"/>
      <c r="EA47" s="1303"/>
      <c r="EB47" s="1303"/>
      <c r="EC47" s="1303"/>
      <c r="ED47" s="1303"/>
      <c r="EE47" s="1303"/>
      <c r="EF47" s="1303"/>
      <c r="EG47" s="1303"/>
      <c r="EH47" s="1303"/>
      <c r="EI47" s="1303"/>
      <c r="EJ47" s="1303"/>
      <c r="EK47" s="1303"/>
      <c r="EL47" s="1303"/>
      <c r="EM47" s="1303"/>
      <c r="EN47" s="1303"/>
      <c r="EO47" s="1303"/>
      <c r="EP47" s="1303"/>
      <c r="EQ47" s="1303"/>
      <c r="ER47" s="1303"/>
      <c r="ES47" s="1303"/>
      <c r="ET47" s="1303"/>
      <c r="EU47" s="1303"/>
      <c r="EV47" s="1303"/>
      <c r="EW47" s="1303"/>
      <c r="EX47" s="1303"/>
      <c r="EY47" s="1303"/>
      <c r="EZ47" s="1303"/>
      <c r="FA47" s="1303"/>
      <c r="FB47" s="1303"/>
      <c r="FC47" s="1303"/>
      <c r="FD47" s="1303"/>
      <c r="FE47" s="1303"/>
      <c r="FF47" s="1303"/>
      <c r="FG47" s="1303"/>
      <c r="FH47" s="1303"/>
      <c r="FI47" s="1303"/>
      <c r="FJ47" s="1303"/>
      <c r="FK47" s="1303"/>
      <c r="FL47" s="1303"/>
      <c r="FM47" s="1303"/>
      <c r="FN47" s="1303"/>
      <c r="FO47" s="1303"/>
      <c r="FP47" s="1303"/>
      <c r="FQ47" s="1303"/>
      <c r="FR47" s="1303"/>
      <c r="FS47" s="1303"/>
      <c r="FT47" s="1303"/>
      <c r="FU47" s="1303"/>
      <c r="FV47" s="1303"/>
      <c r="FW47" s="1303"/>
      <c r="FX47" s="1303"/>
      <c r="FY47" s="1303"/>
      <c r="FZ47" s="1303"/>
      <c r="GA47" s="1303"/>
      <c r="GB47" s="1303"/>
      <c r="GC47" s="1303"/>
      <c r="GD47" s="1303"/>
      <c r="GE47" s="1303"/>
      <c r="GF47" s="1303"/>
      <c r="GG47" s="1303"/>
      <c r="GH47" s="1303"/>
      <c r="GI47" s="1303"/>
      <c r="GJ47" s="1303"/>
      <c r="GK47" s="1303"/>
      <c r="GL47" s="1303"/>
      <c r="GM47" s="1303"/>
      <c r="GN47" s="1303"/>
      <c r="GO47" s="1303"/>
      <c r="GP47" s="1303"/>
      <c r="GQ47" s="1303"/>
      <c r="GR47" s="1303"/>
      <c r="GS47" s="1303"/>
      <c r="GT47" s="1303"/>
      <c r="GU47" s="1303"/>
      <c r="GV47" s="1303"/>
      <c r="GW47" s="1303"/>
      <c r="GX47" s="1303"/>
      <c r="GY47" s="1303"/>
      <c r="GZ47" s="1303"/>
      <c r="HA47" s="1303"/>
      <c r="HB47" s="1303"/>
      <c r="HC47" s="1303"/>
      <c r="HD47" s="1303"/>
      <c r="HE47" s="1303"/>
      <c r="HF47" s="1303"/>
      <c r="HG47" s="1303"/>
      <c r="HH47" s="1303"/>
      <c r="HI47" s="1303"/>
      <c r="HJ47" s="1303"/>
      <c r="HK47" s="1303"/>
      <c r="HL47" s="1303"/>
      <c r="HM47" s="1303"/>
      <c r="HN47" s="1303"/>
      <c r="HO47" s="1303"/>
      <c r="HP47" s="1303"/>
      <c r="HQ47" s="1303"/>
      <c r="HR47" s="1303"/>
      <c r="HS47" s="1303"/>
      <c r="HT47" s="1303"/>
      <c r="HU47" s="1303"/>
      <c r="HV47" s="1303"/>
      <c r="HW47" s="1303"/>
      <c r="HX47" s="1303"/>
      <c r="HY47" s="1303"/>
      <c r="HZ47" s="1303"/>
      <c r="IA47" s="1303"/>
      <c r="IB47" s="1303"/>
      <c r="IC47" s="1303"/>
      <c r="ID47" s="1303"/>
      <c r="IE47" s="1303"/>
      <c r="IF47" s="1303"/>
      <c r="IG47" s="1303"/>
      <c r="IH47" s="1303"/>
      <c r="II47" s="1303"/>
      <c r="IJ47" s="1303"/>
      <c r="IK47" s="1303"/>
      <c r="IL47" s="1303"/>
      <c r="IM47" s="1303"/>
      <c r="IN47" s="1303"/>
      <c r="IO47" s="1303"/>
      <c r="IP47" s="1303"/>
      <c r="IQ47" s="1303"/>
      <c r="IR47" s="1303"/>
      <c r="IS47" s="1303"/>
      <c r="IT47" s="1303"/>
      <c r="IU47" s="1303"/>
      <c r="IV47" s="1303"/>
      <c r="IW47" s="1303"/>
      <c r="IX47" s="1303"/>
      <c r="IY47" s="1303"/>
      <c r="IZ47" s="1303"/>
      <c r="JA47" s="1303"/>
      <c r="JB47" s="1303"/>
      <c r="JC47" s="1303"/>
      <c r="JD47" s="1303"/>
      <c r="JE47" s="1303"/>
      <c r="JF47" s="1303"/>
      <c r="JG47" s="1303"/>
      <c r="JH47" s="1303"/>
      <c r="JI47" s="1303"/>
      <c r="JJ47" s="1303"/>
      <c r="JK47" s="1303"/>
      <c r="JL47" s="1303"/>
      <c r="JM47" s="1303"/>
      <c r="JN47" s="1303"/>
      <c r="JO47" s="1303"/>
      <c r="JP47" s="1303"/>
      <c r="JQ47" s="1303"/>
      <c r="JR47" s="1303"/>
      <c r="JS47" s="1303"/>
      <c r="JT47" s="1303"/>
      <c r="JU47" s="1303"/>
      <c r="JV47" s="1303"/>
      <c r="JW47" s="1303"/>
      <c r="JX47" s="1303"/>
      <c r="JY47" s="1303"/>
      <c r="JZ47" s="1303"/>
      <c r="KA47" s="1303"/>
      <c r="KB47" s="1303"/>
      <c r="KC47" s="1303"/>
      <c r="KD47" s="1303"/>
      <c r="KE47" s="1303"/>
      <c r="KF47" s="1303"/>
      <c r="KG47" s="1303"/>
      <c r="KH47" s="1303"/>
      <c r="KI47" s="1303"/>
      <c r="KJ47" s="1303"/>
      <c r="KK47" s="1303"/>
      <c r="KL47" s="1303"/>
      <c r="KM47" s="1303"/>
      <c r="KN47" s="1303"/>
      <c r="KO47" s="1303"/>
      <c r="KP47" s="1303"/>
      <c r="KQ47" s="1303"/>
      <c r="KR47" s="1303"/>
      <c r="KS47" s="1303"/>
      <c r="KT47" s="1303"/>
      <c r="KU47" s="1303"/>
      <c r="KV47" s="1303"/>
      <c r="KW47" s="1303"/>
      <c r="KX47" s="1303"/>
      <c r="KY47" s="1303"/>
      <c r="KZ47" s="1303"/>
      <c r="LA47" s="1303"/>
      <c r="LB47" s="1303"/>
      <c r="LC47" s="1303"/>
      <c r="LD47" s="1303"/>
      <c r="LE47" s="1303"/>
      <c r="LF47" s="1303"/>
      <c r="LG47" s="1303"/>
      <c r="LH47" s="1303"/>
      <c r="LI47" s="1303"/>
      <c r="LJ47" s="1303"/>
      <c r="LK47" s="1303"/>
      <c r="LL47" s="1303"/>
      <c r="LM47" s="1303"/>
      <c r="LN47" s="1303"/>
      <c r="LO47" s="1303"/>
      <c r="LP47" s="1303"/>
      <c r="LQ47" s="1303"/>
      <c r="LR47" s="1303"/>
      <c r="LS47" s="1303"/>
      <c r="LT47" s="1303"/>
      <c r="LU47" s="1303"/>
      <c r="LV47" s="1303"/>
      <c r="LW47" s="1303"/>
      <c r="LX47" s="1303"/>
      <c r="LY47" s="1303"/>
      <c r="LZ47" s="1303"/>
      <c r="MA47" s="1303"/>
      <c r="MB47" s="1303"/>
      <c r="MC47" s="1303"/>
      <c r="MD47" s="1303"/>
      <c r="ME47" s="1303"/>
      <c r="MF47" s="1303"/>
      <c r="MG47" s="1303"/>
      <c r="MH47" s="1303"/>
      <c r="MI47" s="1303"/>
      <c r="MJ47" s="1303"/>
      <c r="MK47" s="1303"/>
      <c r="ML47" s="1303"/>
      <c r="MM47" s="1303"/>
      <c r="MN47" s="1303"/>
      <c r="MO47" s="1303"/>
      <c r="MP47" s="1303"/>
      <c r="MQ47" s="1303"/>
      <c r="MR47" s="1303"/>
      <c r="MS47" s="1303"/>
      <c r="MT47" s="1303"/>
      <c r="MU47" s="1303"/>
      <c r="MV47" s="1303"/>
      <c r="MW47" s="1303"/>
      <c r="MX47" s="1303"/>
      <c r="MY47" s="1303"/>
      <c r="MZ47" s="1303"/>
      <c r="NA47" s="1303"/>
      <c r="NB47" s="1303"/>
      <c r="NC47" s="1303"/>
      <c r="ND47" s="1303"/>
      <c r="NE47" s="1303"/>
      <c r="NF47" s="1303"/>
      <c r="NG47" s="1303"/>
      <c r="NH47" s="1303"/>
      <c r="NI47" s="1303"/>
      <c r="NJ47" s="1303"/>
      <c r="NK47" s="1303"/>
      <c r="NL47" s="1303"/>
      <c r="NM47" s="1303"/>
      <c r="NN47" s="1303"/>
      <c r="NO47" s="1303"/>
      <c r="NP47" s="1303"/>
      <c r="NQ47" s="1303"/>
      <c r="NR47" s="1303"/>
      <c r="NS47" s="1303"/>
      <c r="NT47" s="1303"/>
      <c r="NU47" s="1303"/>
      <c r="NV47" s="1303"/>
      <c r="NW47" s="1303"/>
      <c r="NX47" s="1303"/>
      <c r="NY47" s="1303"/>
      <c r="NZ47" s="1303"/>
      <c r="OA47" s="1303"/>
      <c r="OB47" s="1303"/>
      <c r="OC47" s="1303"/>
      <c r="OD47" s="1303"/>
      <c r="OE47" s="1303"/>
      <c r="OF47" s="1303"/>
      <c r="OG47" s="1303"/>
      <c r="OH47" s="1303"/>
      <c r="OI47" s="1303"/>
      <c r="OJ47" s="1303"/>
      <c r="OK47" s="1303"/>
      <c r="OL47" s="1303"/>
      <c r="OM47" s="1303"/>
      <c r="ON47" s="1303"/>
      <c r="OO47" s="1303"/>
      <c r="OP47" s="1303"/>
      <c r="OQ47" s="1303"/>
      <c r="OR47" s="1303"/>
      <c r="OS47" s="1303"/>
      <c r="OT47" s="1303"/>
      <c r="OU47" s="1303"/>
      <c r="OV47" s="1303"/>
      <c r="OW47" s="1303"/>
      <c r="OX47" s="1303"/>
      <c r="OY47" s="1303"/>
      <c r="OZ47" s="1303"/>
      <c r="PA47" s="1303"/>
      <c r="PB47" s="1303"/>
      <c r="PC47" s="1303"/>
      <c r="PD47" s="1303"/>
      <c r="PE47" s="1303"/>
      <c r="PF47" s="1303"/>
      <c r="PG47" s="1303"/>
      <c r="PH47" s="1303"/>
      <c r="PI47" s="1303"/>
      <c r="PJ47" s="1303"/>
      <c r="PK47" s="1303"/>
      <c r="PL47" s="1303"/>
      <c r="PM47" s="1303"/>
      <c r="PN47" s="1303"/>
      <c r="PO47" s="1303"/>
      <c r="PP47" s="1303"/>
      <c r="PQ47" s="1303"/>
      <c r="PR47" s="1303"/>
      <c r="PS47" s="1303"/>
      <c r="PT47" s="1303"/>
      <c r="PU47" s="1303"/>
      <c r="PV47" s="1303"/>
      <c r="PW47" s="1303"/>
      <c r="PX47" s="1303"/>
      <c r="PY47" s="1303"/>
      <c r="PZ47" s="1303"/>
      <c r="QA47" s="1303"/>
      <c r="QB47" s="1303"/>
      <c r="QC47" s="1303"/>
      <c r="QD47" s="1303"/>
      <c r="QE47" s="1303"/>
      <c r="QF47" s="1303"/>
      <c r="QG47" s="1303"/>
      <c r="QH47" s="1303"/>
      <c r="QI47" s="1303"/>
      <c r="QJ47" s="1303"/>
      <c r="QK47" s="1303"/>
    </row>
    <row r="48" spans="1:453" s="558" customFormat="1">
      <c r="A48" s="680"/>
      <c r="B48" s="680"/>
      <c r="C48" s="2107" t="str">
        <f ca="1">TEXT(HYPERLINK("#"&amp;CELL("address",'Equipment Results Matrix'!A818),'Equipment Results Matrix'!A818),"0,000")</f>
        <v>Small Storage Gas WH 
(&lt;= 75,000 BtuH and EF rated)</v>
      </c>
      <c r="D48" s="2107"/>
      <c r="E48" s="2107"/>
      <c r="F48" s="2107"/>
      <c r="G48" s="2107"/>
      <c r="H48" s="2107"/>
      <c r="I48" s="680"/>
      <c r="J48" s="1525" t="str">
        <f ca="1">TEXT(HYPERLINK("#"&amp;CELL("address",'Labor Results Matrix'!A314),"Labor"),"0,000")</f>
        <v>Labor</v>
      </c>
      <c r="K48" s="1525"/>
      <c r="L48" s="2107" t="str">
        <f ca="1">TEXT(HYPERLINK("#"&amp;CELL("address",'Equipment + Labor'!A361),"Total installed cost"),"0,000")</f>
        <v>Total installed cost</v>
      </c>
      <c r="M48" s="2107"/>
      <c r="N48" s="2107"/>
      <c r="O48" s="673"/>
      <c r="P48" s="673"/>
      <c r="Q48" s="673"/>
      <c r="R48" s="673"/>
      <c r="S48" s="673"/>
      <c r="T48" s="673"/>
      <c r="U48" s="673"/>
      <c r="V48" s="673"/>
      <c r="W48" s="673"/>
      <c r="X48" s="673"/>
      <c r="Y48" s="673"/>
      <c r="Z48" s="673"/>
      <c r="AA48" s="673"/>
      <c r="AB48" s="673"/>
      <c r="AC48" s="673"/>
      <c r="AD48" s="673"/>
      <c r="AE48" s="673"/>
      <c r="AF48" s="673"/>
      <c r="AG48" s="673"/>
      <c r="AH48" s="673"/>
      <c r="AI48" s="673"/>
      <c r="AJ48" s="673"/>
      <c r="AK48" s="673"/>
      <c r="AL48" s="673"/>
      <c r="AM48" s="673"/>
      <c r="AN48" s="673"/>
      <c r="AO48" s="673"/>
      <c r="AP48" s="673"/>
      <c r="AQ48" s="673"/>
      <c r="AR48" s="673"/>
      <c r="AS48" s="673"/>
      <c r="AT48" s="673"/>
      <c r="AU48" s="673"/>
      <c r="AV48" s="673"/>
      <c r="AW48" s="673"/>
      <c r="AX48" s="673"/>
      <c r="AY48" s="673"/>
      <c r="AZ48" s="673"/>
      <c r="BA48" s="673"/>
      <c r="BB48" s="673"/>
      <c r="BC48" s="673"/>
      <c r="BD48" s="673"/>
      <c r="BE48" s="673"/>
      <c r="BF48" s="673"/>
      <c r="BG48" s="673"/>
      <c r="BH48" s="673"/>
      <c r="BI48" s="673"/>
      <c r="BJ48" s="673"/>
      <c r="BK48" s="673"/>
      <c r="BL48" s="673"/>
      <c r="BM48" s="673"/>
      <c r="BN48" s="673"/>
      <c r="BO48" s="673"/>
      <c r="BP48" s="673"/>
      <c r="BQ48" s="673"/>
      <c r="BR48" s="673"/>
      <c r="BS48" s="673"/>
      <c r="BT48" s="673"/>
      <c r="BU48" s="673"/>
      <c r="BV48" s="673"/>
      <c r="BW48" s="673"/>
      <c r="BX48" s="673"/>
      <c r="BY48" s="673"/>
      <c r="BZ48" s="673"/>
      <c r="CA48" s="673"/>
      <c r="CB48" s="673"/>
      <c r="CC48" s="673"/>
      <c r="CD48" s="673"/>
      <c r="CE48" s="673"/>
      <c r="CF48" s="673"/>
      <c r="CG48" s="673"/>
      <c r="CH48" s="673"/>
      <c r="CI48" s="673"/>
      <c r="CJ48" s="673"/>
      <c r="CK48" s="673"/>
      <c r="CL48" s="673"/>
      <c r="CM48" s="673"/>
      <c r="CN48" s="673"/>
      <c r="CO48" s="673"/>
      <c r="CP48" s="673"/>
      <c r="CQ48" s="673"/>
      <c r="CR48" s="673"/>
      <c r="CS48" s="673"/>
      <c r="CT48" s="673"/>
      <c r="CU48" s="673"/>
      <c r="CV48" s="673"/>
      <c r="CW48" s="673"/>
      <c r="CX48" s="673"/>
      <c r="CY48" s="673"/>
      <c r="CZ48" s="673"/>
      <c r="DA48" s="673"/>
      <c r="DB48" s="673"/>
      <c r="DC48" s="673"/>
      <c r="DD48" s="673"/>
      <c r="DE48" s="673"/>
      <c r="DF48" s="673"/>
      <c r="DG48" s="673"/>
      <c r="DH48" s="673"/>
      <c r="DI48" s="673"/>
      <c r="DJ48" s="673"/>
      <c r="DK48" s="673"/>
      <c r="DL48" s="673"/>
      <c r="DM48" s="673"/>
      <c r="DN48" s="673"/>
      <c r="DO48" s="673"/>
      <c r="DP48" s="673"/>
      <c r="DQ48" s="673"/>
      <c r="DR48" s="673"/>
      <c r="DS48" s="673"/>
      <c r="DT48" s="673"/>
      <c r="DU48" s="673"/>
      <c r="DV48" s="673"/>
      <c r="DW48" s="673"/>
      <c r="DX48" s="673"/>
      <c r="DY48" s="673"/>
      <c r="DZ48" s="673"/>
      <c r="EA48" s="673"/>
      <c r="EB48" s="673"/>
      <c r="EC48" s="673"/>
      <c r="ED48" s="673"/>
      <c r="EE48" s="673"/>
      <c r="EF48" s="673"/>
      <c r="EG48" s="673"/>
      <c r="EH48" s="673"/>
      <c r="EI48" s="673"/>
      <c r="EJ48" s="673"/>
      <c r="EK48" s="673"/>
      <c r="EL48" s="673"/>
      <c r="EM48" s="673"/>
      <c r="EN48" s="673"/>
      <c r="EO48" s="673"/>
      <c r="EP48" s="673"/>
      <c r="EQ48" s="673"/>
      <c r="ER48" s="673"/>
      <c r="ES48" s="673"/>
      <c r="ET48" s="673"/>
      <c r="EU48" s="673"/>
      <c r="EV48" s="673"/>
      <c r="EW48" s="673"/>
      <c r="EX48" s="673"/>
      <c r="EY48" s="673"/>
      <c r="EZ48" s="673"/>
      <c r="FA48" s="673"/>
      <c r="FB48" s="673"/>
      <c r="FC48" s="673"/>
      <c r="FD48" s="673"/>
      <c r="FE48" s="673"/>
      <c r="FF48" s="673"/>
      <c r="FG48" s="673"/>
      <c r="FH48" s="673"/>
      <c r="FI48" s="673"/>
      <c r="FJ48" s="673"/>
      <c r="FK48" s="673"/>
      <c r="FL48" s="673"/>
      <c r="FM48" s="673"/>
      <c r="FN48" s="673"/>
      <c r="FO48" s="673"/>
      <c r="FP48" s="673"/>
      <c r="FQ48" s="673"/>
      <c r="FR48" s="673"/>
      <c r="FS48" s="673"/>
      <c r="FT48" s="673"/>
      <c r="FU48" s="673"/>
      <c r="FV48" s="673"/>
      <c r="FW48" s="673"/>
      <c r="FX48" s="673"/>
      <c r="FY48" s="673"/>
      <c r="FZ48" s="673"/>
      <c r="GA48" s="673"/>
      <c r="GB48" s="673"/>
      <c r="GC48" s="673"/>
      <c r="GD48" s="673"/>
      <c r="GE48" s="673"/>
      <c r="GF48" s="673"/>
      <c r="GG48" s="673"/>
      <c r="GH48" s="673"/>
      <c r="GI48" s="673"/>
      <c r="GJ48" s="673"/>
      <c r="GK48" s="673"/>
      <c r="GL48" s="673"/>
      <c r="GM48" s="673"/>
      <c r="GN48" s="673"/>
      <c r="GO48" s="673"/>
      <c r="GP48" s="673"/>
      <c r="GQ48" s="673"/>
      <c r="GR48" s="673"/>
      <c r="GS48" s="673"/>
      <c r="GT48" s="673"/>
      <c r="GU48" s="673"/>
      <c r="GV48" s="673"/>
      <c r="GW48" s="673"/>
      <c r="GX48" s="673"/>
      <c r="GY48" s="673"/>
      <c r="GZ48" s="673"/>
      <c r="HA48" s="673"/>
      <c r="HB48" s="673"/>
      <c r="HC48" s="673"/>
      <c r="HD48" s="673"/>
      <c r="HE48" s="673"/>
      <c r="HF48" s="673"/>
      <c r="HG48" s="673"/>
      <c r="HH48" s="673"/>
      <c r="HI48" s="673"/>
      <c r="HJ48" s="673"/>
      <c r="HK48" s="673"/>
      <c r="HL48" s="673"/>
      <c r="HM48" s="673"/>
      <c r="HN48" s="673"/>
      <c r="HO48" s="673"/>
      <c r="HP48" s="673"/>
      <c r="HQ48" s="673"/>
      <c r="HR48" s="673"/>
      <c r="HS48" s="673"/>
      <c r="HT48" s="673"/>
      <c r="HU48" s="673"/>
      <c r="HV48" s="673"/>
      <c r="HW48" s="673"/>
      <c r="HX48" s="673"/>
      <c r="HY48" s="673"/>
      <c r="HZ48" s="673"/>
      <c r="IA48" s="673"/>
      <c r="IB48" s="673"/>
      <c r="IC48" s="673"/>
      <c r="ID48" s="673"/>
      <c r="IE48" s="673"/>
      <c r="IF48" s="673"/>
      <c r="IG48" s="673"/>
      <c r="IH48" s="673"/>
      <c r="II48" s="673"/>
      <c r="IJ48" s="673"/>
      <c r="IK48" s="673"/>
      <c r="IL48" s="673"/>
      <c r="IM48" s="673"/>
      <c r="IN48" s="673"/>
      <c r="IO48" s="673"/>
      <c r="IP48" s="673"/>
      <c r="IQ48" s="673"/>
      <c r="IR48" s="673"/>
      <c r="IS48" s="673"/>
      <c r="IT48" s="673"/>
      <c r="IU48" s="673"/>
      <c r="IV48" s="673"/>
      <c r="IW48" s="673"/>
      <c r="IX48" s="673"/>
      <c r="IY48" s="673"/>
      <c r="IZ48" s="673"/>
      <c r="JA48" s="673"/>
      <c r="JB48" s="673"/>
      <c r="JC48" s="673"/>
      <c r="JD48" s="673"/>
      <c r="JE48" s="673"/>
      <c r="JF48" s="673"/>
      <c r="JG48" s="673"/>
      <c r="JH48" s="673"/>
      <c r="JI48" s="673"/>
      <c r="JJ48" s="673"/>
      <c r="JK48" s="673"/>
      <c r="JL48" s="673"/>
      <c r="JM48" s="673"/>
      <c r="JN48" s="673"/>
      <c r="JO48" s="673"/>
      <c r="JP48" s="673"/>
      <c r="JQ48" s="673"/>
      <c r="JR48" s="673"/>
      <c r="JS48" s="673"/>
      <c r="JT48" s="673"/>
      <c r="JU48" s="673"/>
      <c r="JV48" s="673"/>
      <c r="JW48" s="673"/>
      <c r="JX48" s="673"/>
      <c r="JY48" s="673"/>
      <c r="JZ48" s="673"/>
      <c r="KA48" s="673"/>
      <c r="KB48" s="673"/>
      <c r="KC48" s="673"/>
      <c r="KD48" s="673"/>
      <c r="KE48" s="673"/>
      <c r="KF48" s="673"/>
      <c r="KG48" s="673"/>
      <c r="KH48" s="673"/>
      <c r="KI48" s="673"/>
      <c r="KJ48" s="673"/>
      <c r="KK48" s="673"/>
      <c r="KL48" s="673"/>
      <c r="KM48" s="673"/>
      <c r="KN48" s="673"/>
      <c r="KO48" s="673"/>
      <c r="KP48" s="673"/>
      <c r="KQ48" s="673"/>
      <c r="KR48" s="673"/>
      <c r="KS48" s="673"/>
      <c r="KT48" s="673"/>
      <c r="KU48" s="673"/>
      <c r="KV48" s="673"/>
      <c r="KW48" s="673"/>
      <c r="KX48" s="673"/>
      <c r="KY48" s="673"/>
      <c r="KZ48" s="673"/>
      <c r="LA48" s="673"/>
      <c r="LB48" s="673"/>
      <c r="LC48" s="673"/>
      <c r="LD48" s="673"/>
      <c r="LE48" s="673"/>
      <c r="LF48" s="673"/>
      <c r="LG48" s="673"/>
      <c r="LH48" s="673"/>
      <c r="LI48" s="673"/>
      <c r="LJ48" s="673"/>
      <c r="LK48" s="673"/>
      <c r="LL48" s="673"/>
      <c r="LM48" s="673"/>
      <c r="LN48" s="673"/>
      <c r="LO48" s="673"/>
      <c r="LP48" s="673"/>
      <c r="LQ48" s="673"/>
      <c r="LR48" s="673"/>
      <c r="LS48" s="673"/>
      <c r="LT48" s="673"/>
      <c r="LU48" s="673"/>
      <c r="LV48" s="673"/>
      <c r="LW48" s="673"/>
      <c r="LX48" s="673"/>
      <c r="LY48" s="673"/>
      <c r="LZ48" s="673"/>
      <c r="MA48" s="673"/>
      <c r="MB48" s="673"/>
      <c r="MC48" s="673"/>
      <c r="MD48" s="673"/>
      <c r="ME48" s="673"/>
      <c r="MF48" s="673"/>
      <c r="MG48" s="673"/>
      <c r="MH48" s="673"/>
      <c r="MI48" s="673"/>
      <c r="MJ48" s="673"/>
      <c r="MK48" s="673"/>
      <c r="ML48" s="673"/>
      <c r="MM48" s="673"/>
      <c r="MN48" s="673"/>
      <c r="MO48" s="673"/>
      <c r="MP48" s="673"/>
      <c r="MQ48" s="673"/>
      <c r="MR48" s="673"/>
      <c r="MS48" s="673"/>
      <c r="MT48" s="673"/>
      <c r="MU48" s="673"/>
      <c r="MV48" s="673"/>
      <c r="MW48" s="673"/>
      <c r="MX48" s="673"/>
      <c r="MY48" s="673"/>
      <c r="MZ48" s="673"/>
      <c r="NA48" s="673"/>
      <c r="NB48" s="673"/>
      <c r="NC48" s="673"/>
      <c r="ND48" s="673"/>
      <c r="NE48" s="673"/>
      <c r="NF48" s="673"/>
      <c r="NG48" s="673"/>
      <c r="NH48" s="673"/>
      <c r="NI48" s="673"/>
      <c r="NJ48" s="673"/>
      <c r="NK48" s="673"/>
      <c r="NL48" s="673"/>
      <c r="NM48" s="673"/>
      <c r="NN48" s="673"/>
      <c r="NO48" s="673"/>
      <c r="NP48" s="673"/>
      <c r="NQ48" s="673"/>
      <c r="NR48" s="673"/>
      <c r="NS48" s="673"/>
      <c r="NT48" s="673"/>
      <c r="NU48" s="673"/>
      <c r="NV48" s="673"/>
      <c r="NW48" s="673"/>
      <c r="NX48" s="673"/>
      <c r="NY48" s="673"/>
      <c r="NZ48" s="673"/>
      <c r="OA48" s="673"/>
      <c r="OB48" s="673"/>
      <c r="OC48" s="673"/>
      <c r="OD48" s="673"/>
      <c r="OE48" s="673"/>
      <c r="OF48" s="673"/>
      <c r="OG48" s="673"/>
      <c r="OH48" s="673"/>
      <c r="OI48" s="673"/>
      <c r="OJ48" s="673"/>
      <c r="OK48" s="673"/>
      <c r="OL48" s="673"/>
      <c r="OM48" s="673"/>
      <c r="ON48" s="673"/>
      <c r="OO48" s="673"/>
      <c r="OP48" s="673"/>
      <c r="OQ48" s="673"/>
      <c r="OR48" s="673"/>
      <c r="OS48" s="673"/>
      <c r="OT48" s="673"/>
      <c r="OU48" s="673"/>
      <c r="OV48" s="673"/>
      <c r="OW48" s="673"/>
      <c r="OX48" s="673"/>
      <c r="OY48" s="673"/>
      <c r="OZ48" s="673"/>
      <c r="PA48" s="673"/>
      <c r="PB48" s="673"/>
      <c r="PC48" s="673"/>
      <c r="PD48" s="673"/>
      <c r="PE48" s="673"/>
      <c r="PF48" s="673"/>
      <c r="PG48" s="673"/>
      <c r="PH48" s="673"/>
      <c r="PI48" s="673"/>
      <c r="PJ48" s="673"/>
      <c r="PK48" s="673"/>
      <c r="PL48" s="673"/>
      <c r="PM48" s="673"/>
      <c r="PN48" s="673"/>
      <c r="PO48" s="673"/>
      <c r="PP48" s="673"/>
      <c r="PQ48" s="673"/>
      <c r="PR48" s="673"/>
      <c r="PS48" s="673"/>
      <c r="PT48" s="673"/>
      <c r="PU48" s="673"/>
      <c r="PV48" s="673"/>
      <c r="PW48" s="673"/>
      <c r="PX48" s="673"/>
      <c r="PY48" s="673"/>
      <c r="PZ48" s="673"/>
      <c r="QA48" s="673"/>
      <c r="QB48" s="673"/>
      <c r="QC48" s="673"/>
      <c r="QD48" s="673"/>
      <c r="QE48" s="673"/>
      <c r="QF48" s="673"/>
      <c r="QG48" s="673"/>
      <c r="QH48" s="673"/>
      <c r="QI48" s="673"/>
      <c r="QJ48" s="673"/>
      <c r="QK48" s="673"/>
    </row>
    <row r="49" spans="1:453" s="558" customFormat="1">
      <c r="A49" s="680"/>
      <c r="B49" s="680"/>
      <c r="C49" s="2107" t="str">
        <f ca="1">TEXT(HYPERLINK("#"&amp;CELL("address",'Equipment Results Matrix'!A839),'Equipment Results Matrix'!A839),"0,000")</f>
        <v xml:space="preserve">Electric Storage WH </v>
      </c>
      <c r="D49" s="2107"/>
      <c r="E49" s="2107"/>
      <c r="F49" s="2107"/>
      <c r="G49" s="2107"/>
      <c r="H49" s="2107"/>
      <c r="I49" s="680"/>
      <c r="J49" s="1525" t="str">
        <f ca="1">TEXT(HYPERLINK("#"&amp;CELL("address",'Labor Results Matrix'!A335),"Labor"),"0,000")</f>
        <v>Labor</v>
      </c>
      <c r="K49" s="1525"/>
      <c r="L49" s="2107" t="str">
        <f ca="1">TEXT(HYPERLINK("#"&amp;CELL("address",'Equipment + Labor'!A397),"Total installed cost"),"0,000")</f>
        <v>Total installed cost</v>
      </c>
      <c r="M49" s="2107"/>
      <c r="N49" s="2107"/>
      <c r="O49" s="673"/>
      <c r="P49" s="673"/>
      <c r="Q49" s="673"/>
      <c r="R49" s="673"/>
      <c r="S49" s="673"/>
      <c r="T49" s="673"/>
      <c r="U49" s="673"/>
      <c r="V49" s="673"/>
      <c r="W49" s="673"/>
      <c r="X49" s="673"/>
      <c r="Y49" s="673"/>
      <c r="Z49" s="673"/>
      <c r="AA49" s="673"/>
      <c r="AB49" s="673"/>
      <c r="AC49" s="673"/>
      <c r="AD49" s="673"/>
      <c r="AE49" s="673"/>
      <c r="AF49" s="673"/>
      <c r="AG49" s="673"/>
      <c r="AH49" s="673"/>
      <c r="AI49" s="673"/>
      <c r="AJ49" s="673"/>
      <c r="AK49" s="673"/>
      <c r="AL49" s="673"/>
      <c r="AM49" s="673"/>
      <c r="AN49" s="673"/>
      <c r="AO49" s="673"/>
      <c r="AP49" s="673"/>
      <c r="AQ49" s="673"/>
      <c r="AR49" s="673"/>
      <c r="AS49" s="673"/>
      <c r="AT49" s="673"/>
      <c r="AU49" s="673"/>
      <c r="AV49" s="673"/>
      <c r="AW49" s="673"/>
      <c r="AX49" s="673"/>
      <c r="AY49" s="673"/>
      <c r="AZ49" s="673"/>
      <c r="BA49" s="673"/>
      <c r="BB49" s="673"/>
      <c r="BC49" s="673"/>
      <c r="BD49" s="673"/>
      <c r="BE49" s="673"/>
      <c r="BF49" s="673"/>
      <c r="BG49" s="673"/>
      <c r="BH49" s="673"/>
      <c r="BI49" s="673"/>
      <c r="BJ49" s="673"/>
      <c r="BK49" s="673"/>
      <c r="BL49" s="673"/>
      <c r="BM49" s="673"/>
      <c r="BN49" s="673"/>
      <c r="BO49" s="673"/>
      <c r="BP49" s="673"/>
      <c r="BQ49" s="673"/>
      <c r="BR49" s="673"/>
      <c r="BS49" s="673"/>
      <c r="BT49" s="673"/>
      <c r="BU49" s="673"/>
      <c r="BV49" s="673"/>
      <c r="BW49" s="673"/>
      <c r="BX49" s="673"/>
      <c r="BY49" s="673"/>
      <c r="BZ49" s="673"/>
      <c r="CA49" s="673"/>
      <c r="CB49" s="673"/>
      <c r="CC49" s="673"/>
      <c r="CD49" s="673"/>
      <c r="CE49" s="673"/>
      <c r="CF49" s="673"/>
      <c r="CG49" s="673"/>
      <c r="CH49" s="673"/>
      <c r="CI49" s="673"/>
      <c r="CJ49" s="673"/>
      <c r="CK49" s="673"/>
      <c r="CL49" s="673"/>
      <c r="CM49" s="673"/>
      <c r="CN49" s="673"/>
      <c r="CO49" s="673"/>
      <c r="CP49" s="673"/>
      <c r="CQ49" s="673"/>
      <c r="CR49" s="673"/>
      <c r="CS49" s="673"/>
      <c r="CT49" s="673"/>
      <c r="CU49" s="673"/>
      <c r="CV49" s="673"/>
      <c r="CW49" s="673"/>
      <c r="CX49" s="673"/>
      <c r="CY49" s="673"/>
      <c r="CZ49" s="673"/>
      <c r="DA49" s="673"/>
      <c r="DB49" s="673"/>
      <c r="DC49" s="673"/>
      <c r="DD49" s="673"/>
      <c r="DE49" s="673"/>
      <c r="DF49" s="673"/>
      <c r="DG49" s="673"/>
      <c r="DH49" s="673"/>
      <c r="DI49" s="673"/>
      <c r="DJ49" s="673"/>
      <c r="DK49" s="673"/>
      <c r="DL49" s="673"/>
      <c r="DM49" s="673"/>
      <c r="DN49" s="673"/>
      <c r="DO49" s="673"/>
      <c r="DP49" s="673"/>
      <c r="DQ49" s="673"/>
      <c r="DR49" s="673"/>
      <c r="DS49" s="673"/>
      <c r="DT49" s="673"/>
      <c r="DU49" s="673"/>
      <c r="DV49" s="673"/>
      <c r="DW49" s="673"/>
      <c r="DX49" s="673"/>
      <c r="DY49" s="673"/>
      <c r="DZ49" s="673"/>
      <c r="EA49" s="673"/>
      <c r="EB49" s="673"/>
      <c r="EC49" s="673"/>
      <c r="ED49" s="673"/>
      <c r="EE49" s="673"/>
      <c r="EF49" s="673"/>
      <c r="EG49" s="673"/>
      <c r="EH49" s="673"/>
      <c r="EI49" s="673"/>
      <c r="EJ49" s="673"/>
      <c r="EK49" s="673"/>
      <c r="EL49" s="673"/>
      <c r="EM49" s="673"/>
      <c r="EN49" s="673"/>
      <c r="EO49" s="673"/>
      <c r="EP49" s="673"/>
      <c r="EQ49" s="673"/>
      <c r="ER49" s="673"/>
      <c r="ES49" s="673"/>
      <c r="ET49" s="673"/>
      <c r="EU49" s="673"/>
      <c r="EV49" s="673"/>
      <c r="EW49" s="673"/>
      <c r="EX49" s="673"/>
      <c r="EY49" s="673"/>
      <c r="EZ49" s="673"/>
      <c r="FA49" s="673"/>
      <c r="FB49" s="673"/>
      <c r="FC49" s="673"/>
      <c r="FD49" s="673"/>
      <c r="FE49" s="673"/>
      <c r="FF49" s="673"/>
      <c r="FG49" s="673"/>
      <c r="FH49" s="673"/>
      <c r="FI49" s="673"/>
      <c r="FJ49" s="673"/>
      <c r="FK49" s="673"/>
      <c r="FL49" s="673"/>
      <c r="FM49" s="673"/>
      <c r="FN49" s="673"/>
      <c r="FO49" s="673"/>
      <c r="FP49" s="673"/>
      <c r="FQ49" s="673"/>
      <c r="FR49" s="673"/>
      <c r="FS49" s="673"/>
      <c r="FT49" s="673"/>
      <c r="FU49" s="673"/>
      <c r="FV49" s="673"/>
      <c r="FW49" s="673"/>
      <c r="FX49" s="673"/>
      <c r="FY49" s="673"/>
      <c r="FZ49" s="673"/>
      <c r="GA49" s="673"/>
      <c r="GB49" s="673"/>
      <c r="GC49" s="673"/>
      <c r="GD49" s="673"/>
      <c r="GE49" s="673"/>
      <c r="GF49" s="673"/>
      <c r="GG49" s="673"/>
      <c r="GH49" s="673"/>
      <c r="GI49" s="673"/>
      <c r="GJ49" s="673"/>
      <c r="GK49" s="673"/>
      <c r="GL49" s="673"/>
      <c r="GM49" s="673"/>
      <c r="GN49" s="673"/>
      <c r="GO49" s="673"/>
      <c r="GP49" s="673"/>
      <c r="GQ49" s="673"/>
      <c r="GR49" s="673"/>
      <c r="GS49" s="673"/>
      <c r="GT49" s="673"/>
      <c r="GU49" s="673"/>
      <c r="GV49" s="673"/>
      <c r="GW49" s="673"/>
      <c r="GX49" s="673"/>
      <c r="GY49" s="673"/>
      <c r="GZ49" s="673"/>
      <c r="HA49" s="673"/>
      <c r="HB49" s="673"/>
      <c r="HC49" s="673"/>
      <c r="HD49" s="673"/>
      <c r="HE49" s="673"/>
      <c r="HF49" s="673"/>
      <c r="HG49" s="673"/>
      <c r="HH49" s="673"/>
      <c r="HI49" s="673"/>
      <c r="HJ49" s="673"/>
      <c r="HK49" s="673"/>
      <c r="HL49" s="673"/>
      <c r="HM49" s="673"/>
      <c r="HN49" s="673"/>
      <c r="HO49" s="673"/>
      <c r="HP49" s="673"/>
      <c r="HQ49" s="673"/>
      <c r="HR49" s="673"/>
      <c r="HS49" s="673"/>
      <c r="HT49" s="673"/>
      <c r="HU49" s="673"/>
      <c r="HV49" s="673"/>
      <c r="HW49" s="673"/>
      <c r="HX49" s="673"/>
      <c r="HY49" s="673"/>
      <c r="HZ49" s="673"/>
      <c r="IA49" s="673"/>
      <c r="IB49" s="673"/>
      <c r="IC49" s="673"/>
      <c r="ID49" s="673"/>
      <c r="IE49" s="673"/>
      <c r="IF49" s="673"/>
      <c r="IG49" s="673"/>
      <c r="IH49" s="673"/>
      <c r="II49" s="673"/>
      <c r="IJ49" s="673"/>
      <c r="IK49" s="673"/>
      <c r="IL49" s="673"/>
      <c r="IM49" s="673"/>
      <c r="IN49" s="673"/>
      <c r="IO49" s="673"/>
      <c r="IP49" s="673"/>
      <c r="IQ49" s="673"/>
      <c r="IR49" s="673"/>
      <c r="IS49" s="673"/>
      <c r="IT49" s="673"/>
      <c r="IU49" s="673"/>
      <c r="IV49" s="673"/>
      <c r="IW49" s="673"/>
      <c r="IX49" s="673"/>
      <c r="IY49" s="673"/>
      <c r="IZ49" s="673"/>
      <c r="JA49" s="673"/>
      <c r="JB49" s="673"/>
      <c r="JC49" s="673"/>
      <c r="JD49" s="673"/>
      <c r="JE49" s="673"/>
      <c r="JF49" s="673"/>
      <c r="JG49" s="673"/>
      <c r="JH49" s="673"/>
      <c r="JI49" s="673"/>
      <c r="JJ49" s="673"/>
      <c r="JK49" s="673"/>
      <c r="JL49" s="673"/>
      <c r="JM49" s="673"/>
      <c r="JN49" s="673"/>
      <c r="JO49" s="673"/>
      <c r="JP49" s="673"/>
      <c r="JQ49" s="673"/>
      <c r="JR49" s="673"/>
      <c r="JS49" s="673"/>
      <c r="JT49" s="673"/>
      <c r="JU49" s="673"/>
      <c r="JV49" s="673"/>
      <c r="JW49" s="673"/>
      <c r="JX49" s="673"/>
      <c r="JY49" s="673"/>
      <c r="JZ49" s="673"/>
      <c r="KA49" s="673"/>
      <c r="KB49" s="673"/>
      <c r="KC49" s="673"/>
      <c r="KD49" s="673"/>
      <c r="KE49" s="673"/>
      <c r="KF49" s="673"/>
      <c r="KG49" s="673"/>
      <c r="KH49" s="673"/>
      <c r="KI49" s="673"/>
      <c r="KJ49" s="673"/>
      <c r="KK49" s="673"/>
      <c r="KL49" s="673"/>
      <c r="KM49" s="673"/>
      <c r="KN49" s="673"/>
      <c r="KO49" s="673"/>
      <c r="KP49" s="673"/>
      <c r="KQ49" s="673"/>
      <c r="KR49" s="673"/>
      <c r="KS49" s="673"/>
      <c r="KT49" s="673"/>
      <c r="KU49" s="673"/>
      <c r="KV49" s="673"/>
      <c r="KW49" s="673"/>
      <c r="KX49" s="673"/>
      <c r="KY49" s="673"/>
      <c r="KZ49" s="673"/>
      <c r="LA49" s="673"/>
      <c r="LB49" s="673"/>
      <c r="LC49" s="673"/>
      <c r="LD49" s="673"/>
      <c r="LE49" s="673"/>
      <c r="LF49" s="673"/>
      <c r="LG49" s="673"/>
      <c r="LH49" s="673"/>
      <c r="LI49" s="673"/>
      <c r="LJ49" s="673"/>
      <c r="LK49" s="673"/>
      <c r="LL49" s="673"/>
      <c r="LM49" s="673"/>
      <c r="LN49" s="673"/>
      <c r="LO49" s="673"/>
      <c r="LP49" s="673"/>
      <c r="LQ49" s="673"/>
      <c r="LR49" s="673"/>
      <c r="LS49" s="673"/>
      <c r="LT49" s="673"/>
      <c r="LU49" s="673"/>
      <c r="LV49" s="673"/>
      <c r="LW49" s="673"/>
      <c r="LX49" s="673"/>
      <c r="LY49" s="673"/>
      <c r="LZ49" s="673"/>
      <c r="MA49" s="673"/>
      <c r="MB49" s="673"/>
      <c r="MC49" s="673"/>
      <c r="MD49" s="673"/>
      <c r="ME49" s="673"/>
      <c r="MF49" s="673"/>
      <c r="MG49" s="673"/>
      <c r="MH49" s="673"/>
      <c r="MI49" s="673"/>
      <c r="MJ49" s="673"/>
      <c r="MK49" s="673"/>
      <c r="ML49" s="673"/>
      <c r="MM49" s="673"/>
      <c r="MN49" s="673"/>
      <c r="MO49" s="673"/>
      <c r="MP49" s="673"/>
      <c r="MQ49" s="673"/>
      <c r="MR49" s="673"/>
      <c r="MS49" s="673"/>
      <c r="MT49" s="673"/>
      <c r="MU49" s="673"/>
      <c r="MV49" s="673"/>
      <c r="MW49" s="673"/>
      <c r="MX49" s="673"/>
      <c r="MY49" s="673"/>
      <c r="MZ49" s="673"/>
      <c r="NA49" s="673"/>
      <c r="NB49" s="673"/>
      <c r="NC49" s="673"/>
      <c r="ND49" s="673"/>
      <c r="NE49" s="673"/>
      <c r="NF49" s="673"/>
      <c r="NG49" s="673"/>
      <c r="NH49" s="673"/>
      <c r="NI49" s="673"/>
      <c r="NJ49" s="673"/>
      <c r="NK49" s="673"/>
      <c r="NL49" s="673"/>
      <c r="NM49" s="673"/>
      <c r="NN49" s="673"/>
      <c r="NO49" s="673"/>
      <c r="NP49" s="673"/>
      <c r="NQ49" s="673"/>
      <c r="NR49" s="673"/>
      <c r="NS49" s="673"/>
      <c r="NT49" s="673"/>
      <c r="NU49" s="673"/>
      <c r="NV49" s="673"/>
      <c r="NW49" s="673"/>
      <c r="NX49" s="673"/>
      <c r="NY49" s="673"/>
      <c r="NZ49" s="673"/>
      <c r="OA49" s="673"/>
      <c r="OB49" s="673"/>
      <c r="OC49" s="673"/>
      <c r="OD49" s="673"/>
      <c r="OE49" s="673"/>
      <c r="OF49" s="673"/>
      <c r="OG49" s="673"/>
      <c r="OH49" s="673"/>
      <c r="OI49" s="673"/>
      <c r="OJ49" s="673"/>
      <c r="OK49" s="673"/>
      <c r="OL49" s="673"/>
      <c r="OM49" s="673"/>
      <c r="ON49" s="673"/>
      <c r="OO49" s="673"/>
      <c r="OP49" s="673"/>
      <c r="OQ49" s="673"/>
      <c r="OR49" s="673"/>
      <c r="OS49" s="673"/>
      <c r="OT49" s="673"/>
      <c r="OU49" s="673"/>
      <c r="OV49" s="673"/>
      <c r="OW49" s="673"/>
      <c r="OX49" s="673"/>
      <c r="OY49" s="673"/>
      <c r="OZ49" s="673"/>
      <c r="PA49" s="673"/>
      <c r="PB49" s="673"/>
      <c r="PC49" s="673"/>
      <c r="PD49" s="673"/>
      <c r="PE49" s="673"/>
      <c r="PF49" s="673"/>
      <c r="PG49" s="673"/>
      <c r="PH49" s="673"/>
      <c r="PI49" s="673"/>
      <c r="PJ49" s="673"/>
      <c r="PK49" s="673"/>
      <c r="PL49" s="673"/>
      <c r="PM49" s="673"/>
      <c r="PN49" s="673"/>
      <c r="PO49" s="673"/>
      <c r="PP49" s="673"/>
      <c r="PQ49" s="673"/>
      <c r="PR49" s="673"/>
      <c r="PS49" s="673"/>
      <c r="PT49" s="673"/>
      <c r="PU49" s="673"/>
      <c r="PV49" s="673"/>
      <c r="PW49" s="673"/>
      <c r="PX49" s="673"/>
      <c r="PY49" s="673"/>
      <c r="PZ49" s="673"/>
      <c r="QA49" s="673"/>
      <c r="QB49" s="673"/>
      <c r="QC49" s="673"/>
      <c r="QD49" s="673"/>
      <c r="QE49" s="673"/>
      <c r="QF49" s="673"/>
      <c r="QG49" s="673"/>
      <c r="QH49" s="673"/>
      <c r="QI49" s="673"/>
      <c r="QJ49" s="673"/>
      <c r="QK49" s="673"/>
    </row>
    <row r="50" spans="1:453" s="558" customFormat="1">
      <c r="A50" s="680"/>
      <c r="B50" s="680"/>
      <c r="C50" s="2107" t="str">
        <f ca="1">TEXT(HYPERLINK("#"&amp;CELL("address",'Equipment Results Matrix'!A850),'Equipment Results Matrix'!A850),"0,000")</f>
        <v>Tankless WH</v>
      </c>
      <c r="D50" s="2107"/>
      <c r="E50" s="2107"/>
      <c r="F50" s="2107"/>
      <c r="G50" s="2107"/>
      <c r="H50" s="2107"/>
      <c r="I50" s="680"/>
      <c r="J50" s="1525" t="str">
        <f ca="1">TEXT(HYPERLINK("#"&amp;CELL("address",'Labor Results Matrix'!A346),"Labor"),"0,000")</f>
        <v>Labor</v>
      </c>
      <c r="K50" s="1525"/>
      <c r="L50" s="2107" t="str">
        <f ca="1">TEXT(HYPERLINK("#"&amp;CELL("address",'Equipment + Labor'!A345),"Total installed cost"),"0,000")</f>
        <v>Total installed cost</v>
      </c>
      <c r="M50" s="2107"/>
      <c r="N50" s="2107"/>
      <c r="O50" s="673"/>
      <c r="P50" s="673"/>
      <c r="Q50" s="673"/>
      <c r="R50" s="673"/>
      <c r="S50" s="673"/>
      <c r="T50" s="673"/>
      <c r="U50" s="673"/>
      <c r="V50" s="673"/>
      <c r="W50" s="673"/>
      <c r="X50" s="673"/>
      <c r="Y50" s="673"/>
      <c r="Z50" s="673"/>
      <c r="AA50" s="673"/>
      <c r="AB50" s="673"/>
      <c r="AC50" s="673"/>
      <c r="AD50" s="673"/>
      <c r="AE50" s="673"/>
      <c r="AF50" s="673"/>
      <c r="AG50" s="673"/>
      <c r="AH50" s="673"/>
      <c r="AI50" s="673"/>
      <c r="AJ50" s="673"/>
      <c r="AK50" s="673"/>
      <c r="AL50" s="673"/>
      <c r="AM50" s="673"/>
      <c r="AN50" s="673"/>
      <c r="AO50" s="673"/>
      <c r="AP50" s="673"/>
      <c r="AQ50" s="673"/>
      <c r="AR50" s="673"/>
      <c r="AS50" s="673"/>
      <c r="AT50" s="673"/>
      <c r="AU50" s="673"/>
      <c r="AV50" s="673"/>
      <c r="AW50" s="673"/>
      <c r="AX50" s="673"/>
      <c r="AY50" s="673"/>
      <c r="AZ50" s="673"/>
      <c r="BA50" s="673"/>
      <c r="BB50" s="673"/>
      <c r="BC50" s="673"/>
      <c r="BD50" s="673"/>
      <c r="BE50" s="673"/>
      <c r="BF50" s="673"/>
      <c r="BG50" s="673"/>
      <c r="BH50" s="673"/>
      <c r="BI50" s="673"/>
      <c r="BJ50" s="673"/>
      <c r="BK50" s="673"/>
      <c r="BL50" s="673"/>
      <c r="BM50" s="673"/>
      <c r="BN50" s="673"/>
      <c r="BO50" s="673"/>
      <c r="BP50" s="673"/>
      <c r="BQ50" s="673"/>
      <c r="BR50" s="673"/>
      <c r="BS50" s="673"/>
      <c r="BT50" s="673"/>
      <c r="BU50" s="673"/>
      <c r="BV50" s="673"/>
      <c r="BW50" s="673"/>
      <c r="BX50" s="673"/>
      <c r="BY50" s="673"/>
      <c r="BZ50" s="673"/>
      <c r="CA50" s="673"/>
      <c r="CB50" s="673"/>
      <c r="CC50" s="673"/>
      <c r="CD50" s="673"/>
      <c r="CE50" s="673"/>
      <c r="CF50" s="673"/>
      <c r="CG50" s="673"/>
      <c r="CH50" s="673"/>
      <c r="CI50" s="673"/>
      <c r="CJ50" s="673"/>
      <c r="CK50" s="673"/>
      <c r="CL50" s="673"/>
      <c r="CM50" s="673"/>
      <c r="CN50" s="673"/>
      <c r="CO50" s="673"/>
      <c r="CP50" s="673"/>
      <c r="CQ50" s="673"/>
      <c r="CR50" s="673"/>
      <c r="CS50" s="673"/>
      <c r="CT50" s="673"/>
      <c r="CU50" s="673"/>
      <c r="CV50" s="673"/>
      <c r="CW50" s="673"/>
      <c r="CX50" s="673"/>
      <c r="CY50" s="673"/>
      <c r="CZ50" s="673"/>
      <c r="DA50" s="673"/>
      <c r="DB50" s="673"/>
      <c r="DC50" s="673"/>
      <c r="DD50" s="673"/>
      <c r="DE50" s="673"/>
      <c r="DF50" s="673"/>
      <c r="DG50" s="673"/>
      <c r="DH50" s="673"/>
      <c r="DI50" s="673"/>
      <c r="DJ50" s="673"/>
      <c r="DK50" s="673"/>
      <c r="DL50" s="673"/>
      <c r="DM50" s="673"/>
      <c r="DN50" s="673"/>
      <c r="DO50" s="673"/>
      <c r="DP50" s="673"/>
      <c r="DQ50" s="673"/>
      <c r="DR50" s="673"/>
      <c r="DS50" s="673"/>
      <c r="DT50" s="673"/>
      <c r="DU50" s="673"/>
      <c r="DV50" s="673"/>
      <c r="DW50" s="673"/>
      <c r="DX50" s="673"/>
      <c r="DY50" s="673"/>
      <c r="DZ50" s="673"/>
      <c r="EA50" s="673"/>
      <c r="EB50" s="673"/>
      <c r="EC50" s="673"/>
      <c r="ED50" s="673"/>
      <c r="EE50" s="673"/>
      <c r="EF50" s="673"/>
      <c r="EG50" s="673"/>
      <c r="EH50" s="673"/>
      <c r="EI50" s="673"/>
      <c r="EJ50" s="673"/>
      <c r="EK50" s="673"/>
      <c r="EL50" s="673"/>
      <c r="EM50" s="673"/>
      <c r="EN50" s="673"/>
      <c r="EO50" s="673"/>
      <c r="EP50" s="673"/>
      <c r="EQ50" s="673"/>
      <c r="ER50" s="673"/>
      <c r="ES50" s="673"/>
      <c r="ET50" s="673"/>
      <c r="EU50" s="673"/>
      <c r="EV50" s="673"/>
      <c r="EW50" s="673"/>
      <c r="EX50" s="673"/>
      <c r="EY50" s="673"/>
      <c r="EZ50" s="673"/>
      <c r="FA50" s="673"/>
      <c r="FB50" s="673"/>
      <c r="FC50" s="673"/>
      <c r="FD50" s="673"/>
      <c r="FE50" s="673"/>
      <c r="FF50" s="673"/>
      <c r="FG50" s="673"/>
      <c r="FH50" s="673"/>
      <c r="FI50" s="673"/>
      <c r="FJ50" s="673"/>
      <c r="FK50" s="673"/>
      <c r="FL50" s="673"/>
      <c r="FM50" s="673"/>
      <c r="FN50" s="673"/>
      <c r="FO50" s="673"/>
      <c r="FP50" s="673"/>
      <c r="FQ50" s="673"/>
      <c r="FR50" s="673"/>
      <c r="FS50" s="673"/>
      <c r="FT50" s="673"/>
      <c r="FU50" s="673"/>
      <c r="FV50" s="673"/>
      <c r="FW50" s="673"/>
      <c r="FX50" s="673"/>
      <c r="FY50" s="673"/>
      <c r="FZ50" s="673"/>
      <c r="GA50" s="673"/>
      <c r="GB50" s="673"/>
      <c r="GC50" s="673"/>
      <c r="GD50" s="673"/>
      <c r="GE50" s="673"/>
      <c r="GF50" s="673"/>
      <c r="GG50" s="673"/>
      <c r="GH50" s="673"/>
      <c r="GI50" s="673"/>
      <c r="GJ50" s="673"/>
      <c r="GK50" s="673"/>
      <c r="GL50" s="673"/>
      <c r="GM50" s="673"/>
      <c r="GN50" s="673"/>
      <c r="GO50" s="673"/>
      <c r="GP50" s="673"/>
      <c r="GQ50" s="673"/>
      <c r="GR50" s="673"/>
      <c r="GS50" s="673"/>
      <c r="GT50" s="673"/>
      <c r="GU50" s="673"/>
      <c r="GV50" s="673"/>
      <c r="GW50" s="673"/>
      <c r="GX50" s="673"/>
      <c r="GY50" s="673"/>
      <c r="GZ50" s="673"/>
      <c r="HA50" s="673"/>
      <c r="HB50" s="673"/>
      <c r="HC50" s="673"/>
      <c r="HD50" s="673"/>
      <c r="HE50" s="673"/>
      <c r="HF50" s="673"/>
      <c r="HG50" s="673"/>
      <c r="HH50" s="673"/>
      <c r="HI50" s="673"/>
      <c r="HJ50" s="673"/>
      <c r="HK50" s="673"/>
      <c r="HL50" s="673"/>
      <c r="HM50" s="673"/>
      <c r="HN50" s="673"/>
      <c r="HO50" s="673"/>
      <c r="HP50" s="673"/>
      <c r="HQ50" s="673"/>
      <c r="HR50" s="673"/>
      <c r="HS50" s="673"/>
      <c r="HT50" s="673"/>
      <c r="HU50" s="673"/>
      <c r="HV50" s="673"/>
      <c r="HW50" s="673"/>
      <c r="HX50" s="673"/>
      <c r="HY50" s="673"/>
      <c r="HZ50" s="673"/>
      <c r="IA50" s="673"/>
      <c r="IB50" s="673"/>
      <c r="IC50" s="673"/>
      <c r="ID50" s="673"/>
      <c r="IE50" s="673"/>
      <c r="IF50" s="673"/>
      <c r="IG50" s="673"/>
      <c r="IH50" s="673"/>
      <c r="II50" s="673"/>
      <c r="IJ50" s="673"/>
      <c r="IK50" s="673"/>
      <c r="IL50" s="673"/>
      <c r="IM50" s="673"/>
      <c r="IN50" s="673"/>
      <c r="IO50" s="673"/>
      <c r="IP50" s="673"/>
      <c r="IQ50" s="673"/>
      <c r="IR50" s="673"/>
      <c r="IS50" s="673"/>
      <c r="IT50" s="673"/>
      <c r="IU50" s="673"/>
      <c r="IV50" s="673"/>
      <c r="IW50" s="673"/>
      <c r="IX50" s="673"/>
      <c r="IY50" s="673"/>
      <c r="IZ50" s="673"/>
      <c r="JA50" s="673"/>
      <c r="JB50" s="673"/>
      <c r="JC50" s="673"/>
      <c r="JD50" s="673"/>
      <c r="JE50" s="673"/>
      <c r="JF50" s="673"/>
      <c r="JG50" s="673"/>
      <c r="JH50" s="673"/>
      <c r="JI50" s="673"/>
      <c r="JJ50" s="673"/>
      <c r="JK50" s="673"/>
      <c r="JL50" s="673"/>
      <c r="JM50" s="673"/>
      <c r="JN50" s="673"/>
      <c r="JO50" s="673"/>
      <c r="JP50" s="673"/>
      <c r="JQ50" s="673"/>
      <c r="JR50" s="673"/>
      <c r="JS50" s="673"/>
      <c r="JT50" s="673"/>
      <c r="JU50" s="673"/>
      <c r="JV50" s="673"/>
      <c r="JW50" s="673"/>
      <c r="JX50" s="673"/>
      <c r="JY50" s="673"/>
      <c r="JZ50" s="673"/>
      <c r="KA50" s="673"/>
      <c r="KB50" s="673"/>
      <c r="KC50" s="673"/>
      <c r="KD50" s="673"/>
      <c r="KE50" s="673"/>
      <c r="KF50" s="673"/>
      <c r="KG50" s="673"/>
      <c r="KH50" s="673"/>
      <c r="KI50" s="673"/>
      <c r="KJ50" s="673"/>
      <c r="KK50" s="673"/>
      <c r="KL50" s="673"/>
      <c r="KM50" s="673"/>
      <c r="KN50" s="673"/>
      <c r="KO50" s="673"/>
      <c r="KP50" s="673"/>
      <c r="KQ50" s="673"/>
      <c r="KR50" s="673"/>
      <c r="KS50" s="673"/>
      <c r="KT50" s="673"/>
      <c r="KU50" s="673"/>
      <c r="KV50" s="673"/>
      <c r="KW50" s="673"/>
      <c r="KX50" s="673"/>
      <c r="KY50" s="673"/>
      <c r="KZ50" s="673"/>
      <c r="LA50" s="673"/>
      <c r="LB50" s="673"/>
      <c r="LC50" s="673"/>
      <c r="LD50" s="673"/>
      <c r="LE50" s="673"/>
      <c r="LF50" s="673"/>
      <c r="LG50" s="673"/>
      <c r="LH50" s="673"/>
      <c r="LI50" s="673"/>
      <c r="LJ50" s="673"/>
      <c r="LK50" s="673"/>
      <c r="LL50" s="673"/>
      <c r="LM50" s="673"/>
      <c r="LN50" s="673"/>
      <c r="LO50" s="673"/>
      <c r="LP50" s="673"/>
      <c r="LQ50" s="673"/>
      <c r="LR50" s="673"/>
      <c r="LS50" s="673"/>
      <c r="LT50" s="673"/>
      <c r="LU50" s="673"/>
      <c r="LV50" s="673"/>
      <c r="LW50" s="673"/>
      <c r="LX50" s="673"/>
      <c r="LY50" s="673"/>
      <c r="LZ50" s="673"/>
      <c r="MA50" s="673"/>
      <c r="MB50" s="673"/>
      <c r="MC50" s="673"/>
      <c r="MD50" s="673"/>
      <c r="ME50" s="673"/>
      <c r="MF50" s="673"/>
      <c r="MG50" s="673"/>
      <c r="MH50" s="673"/>
      <c r="MI50" s="673"/>
      <c r="MJ50" s="673"/>
      <c r="MK50" s="673"/>
      <c r="ML50" s="673"/>
      <c r="MM50" s="673"/>
      <c r="MN50" s="673"/>
      <c r="MO50" s="673"/>
      <c r="MP50" s="673"/>
      <c r="MQ50" s="673"/>
      <c r="MR50" s="673"/>
      <c r="MS50" s="673"/>
      <c r="MT50" s="673"/>
      <c r="MU50" s="673"/>
      <c r="MV50" s="673"/>
      <c r="MW50" s="673"/>
      <c r="MX50" s="673"/>
      <c r="MY50" s="673"/>
      <c r="MZ50" s="673"/>
      <c r="NA50" s="673"/>
      <c r="NB50" s="673"/>
      <c r="NC50" s="673"/>
      <c r="ND50" s="673"/>
      <c r="NE50" s="673"/>
      <c r="NF50" s="673"/>
      <c r="NG50" s="673"/>
      <c r="NH50" s="673"/>
      <c r="NI50" s="673"/>
      <c r="NJ50" s="673"/>
      <c r="NK50" s="673"/>
      <c r="NL50" s="673"/>
      <c r="NM50" s="673"/>
      <c r="NN50" s="673"/>
      <c r="NO50" s="673"/>
      <c r="NP50" s="673"/>
      <c r="NQ50" s="673"/>
      <c r="NR50" s="673"/>
      <c r="NS50" s="673"/>
      <c r="NT50" s="673"/>
      <c r="NU50" s="673"/>
      <c r="NV50" s="673"/>
      <c r="NW50" s="673"/>
      <c r="NX50" s="673"/>
      <c r="NY50" s="673"/>
      <c r="NZ50" s="673"/>
      <c r="OA50" s="673"/>
      <c r="OB50" s="673"/>
      <c r="OC50" s="673"/>
      <c r="OD50" s="673"/>
      <c r="OE50" s="673"/>
      <c r="OF50" s="673"/>
      <c r="OG50" s="673"/>
      <c r="OH50" s="673"/>
      <c r="OI50" s="673"/>
      <c r="OJ50" s="673"/>
      <c r="OK50" s="673"/>
      <c r="OL50" s="673"/>
      <c r="OM50" s="673"/>
      <c r="ON50" s="673"/>
      <c r="OO50" s="673"/>
      <c r="OP50" s="673"/>
      <c r="OQ50" s="673"/>
      <c r="OR50" s="673"/>
      <c r="OS50" s="673"/>
      <c r="OT50" s="673"/>
      <c r="OU50" s="673"/>
      <c r="OV50" s="673"/>
      <c r="OW50" s="673"/>
      <c r="OX50" s="673"/>
      <c r="OY50" s="673"/>
      <c r="OZ50" s="673"/>
      <c r="PA50" s="673"/>
      <c r="PB50" s="673"/>
      <c r="PC50" s="673"/>
      <c r="PD50" s="673"/>
      <c r="PE50" s="673"/>
      <c r="PF50" s="673"/>
      <c r="PG50" s="673"/>
      <c r="PH50" s="673"/>
      <c r="PI50" s="673"/>
      <c r="PJ50" s="673"/>
      <c r="PK50" s="673"/>
      <c r="PL50" s="673"/>
      <c r="PM50" s="673"/>
      <c r="PN50" s="673"/>
      <c r="PO50" s="673"/>
      <c r="PP50" s="673"/>
      <c r="PQ50" s="673"/>
      <c r="PR50" s="673"/>
      <c r="PS50" s="673"/>
      <c r="PT50" s="673"/>
      <c r="PU50" s="673"/>
      <c r="PV50" s="673"/>
      <c r="PW50" s="673"/>
      <c r="PX50" s="673"/>
      <c r="PY50" s="673"/>
      <c r="PZ50" s="673"/>
      <c r="QA50" s="673"/>
      <c r="QB50" s="673"/>
      <c r="QC50" s="673"/>
      <c r="QD50" s="673"/>
      <c r="QE50" s="673"/>
      <c r="QF50" s="673"/>
      <c r="QG50" s="673"/>
      <c r="QH50" s="673"/>
      <c r="QI50" s="673"/>
      <c r="QJ50" s="673"/>
      <c r="QK50" s="673"/>
    </row>
    <row r="51" spans="1:453" s="558" customFormat="1">
      <c r="A51" s="680"/>
      <c r="B51" s="680"/>
      <c r="C51" s="2107" t="str">
        <f ca="1">TEXT(HYPERLINK("#"&amp;CELL("address",'Equipment Results Matrix'!A861),'Equipment Results Matrix'!A861),"0,000")</f>
        <v>Heat Pump Water Heaters</v>
      </c>
      <c r="D51" s="2107"/>
      <c r="E51" s="2107"/>
      <c r="F51" s="2107"/>
      <c r="G51" s="2107"/>
      <c r="H51" s="2107"/>
      <c r="I51" s="680"/>
      <c r="J51" s="1525" t="str">
        <f ca="1">TEXT(HYPERLINK("#"&amp;CELL("address",'Labor Results Matrix'!A357),"Labor"),"0,000")</f>
        <v>Labor</v>
      </c>
      <c r="K51" s="1525"/>
      <c r="L51" s="2107" t="str">
        <f ca="1">TEXT(HYPERLINK("#"&amp;CELL("address",'Equipment + Labor'!A414),"Total installed cost"),"0,000")</f>
        <v>Total installed cost</v>
      </c>
      <c r="M51" s="2107"/>
      <c r="N51" s="2107"/>
      <c r="O51" s="673"/>
      <c r="P51" s="673"/>
      <c r="Q51" s="673"/>
      <c r="R51" s="673"/>
      <c r="S51" s="673"/>
      <c r="T51" s="673"/>
      <c r="U51" s="673"/>
      <c r="V51" s="673"/>
      <c r="W51" s="673"/>
      <c r="X51" s="673"/>
      <c r="Y51" s="673"/>
      <c r="Z51" s="673"/>
      <c r="AA51" s="673"/>
      <c r="AB51" s="673"/>
      <c r="AC51" s="673"/>
      <c r="AD51" s="673"/>
      <c r="AE51" s="673"/>
      <c r="AF51" s="673"/>
      <c r="AG51" s="673"/>
      <c r="AH51" s="673"/>
      <c r="AI51" s="673"/>
      <c r="AJ51" s="673"/>
      <c r="AK51" s="673"/>
      <c r="AL51" s="673"/>
      <c r="AM51" s="673"/>
      <c r="AN51" s="673"/>
      <c r="AO51" s="673"/>
      <c r="AP51" s="673"/>
      <c r="AQ51" s="673"/>
      <c r="AR51" s="673"/>
      <c r="AS51" s="673"/>
      <c r="AT51" s="673"/>
      <c r="AU51" s="673"/>
      <c r="AV51" s="673"/>
      <c r="AW51" s="673"/>
      <c r="AX51" s="673"/>
      <c r="AY51" s="673"/>
      <c r="AZ51" s="673"/>
      <c r="BA51" s="673"/>
      <c r="BB51" s="673"/>
      <c r="BC51" s="673"/>
      <c r="BD51" s="673"/>
      <c r="BE51" s="673"/>
      <c r="BF51" s="673"/>
      <c r="BG51" s="673"/>
      <c r="BH51" s="673"/>
      <c r="BI51" s="673"/>
      <c r="BJ51" s="673"/>
      <c r="BK51" s="673"/>
      <c r="BL51" s="673"/>
      <c r="BM51" s="673"/>
      <c r="BN51" s="673"/>
      <c r="BO51" s="673"/>
      <c r="BP51" s="673"/>
      <c r="BQ51" s="673"/>
      <c r="BR51" s="673"/>
      <c r="BS51" s="673"/>
      <c r="BT51" s="673"/>
      <c r="BU51" s="673"/>
      <c r="BV51" s="673"/>
      <c r="BW51" s="673"/>
      <c r="BX51" s="673"/>
      <c r="BY51" s="673"/>
      <c r="BZ51" s="673"/>
      <c r="CA51" s="673"/>
      <c r="CB51" s="673"/>
      <c r="CC51" s="673"/>
      <c r="CD51" s="673"/>
      <c r="CE51" s="673"/>
      <c r="CF51" s="673"/>
      <c r="CG51" s="673"/>
      <c r="CH51" s="673"/>
      <c r="CI51" s="673"/>
      <c r="CJ51" s="673"/>
      <c r="CK51" s="673"/>
      <c r="CL51" s="673"/>
      <c r="CM51" s="673"/>
      <c r="CN51" s="673"/>
      <c r="CO51" s="673"/>
      <c r="CP51" s="673"/>
      <c r="CQ51" s="673"/>
      <c r="CR51" s="673"/>
      <c r="CS51" s="673"/>
      <c r="CT51" s="673"/>
      <c r="CU51" s="673"/>
      <c r="CV51" s="673"/>
      <c r="CW51" s="673"/>
      <c r="CX51" s="673"/>
      <c r="CY51" s="673"/>
      <c r="CZ51" s="673"/>
      <c r="DA51" s="673"/>
      <c r="DB51" s="673"/>
      <c r="DC51" s="673"/>
      <c r="DD51" s="673"/>
      <c r="DE51" s="673"/>
      <c r="DF51" s="673"/>
      <c r="DG51" s="673"/>
      <c r="DH51" s="673"/>
      <c r="DI51" s="673"/>
      <c r="DJ51" s="673"/>
      <c r="DK51" s="673"/>
      <c r="DL51" s="673"/>
      <c r="DM51" s="673"/>
      <c r="DN51" s="673"/>
      <c r="DO51" s="673"/>
      <c r="DP51" s="673"/>
      <c r="DQ51" s="673"/>
      <c r="DR51" s="673"/>
      <c r="DS51" s="673"/>
      <c r="DT51" s="673"/>
      <c r="DU51" s="673"/>
      <c r="DV51" s="673"/>
      <c r="DW51" s="673"/>
      <c r="DX51" s="673"/>
      <c r="DY51" s="673"/>
      <c r="DZ51" s="673"/>
      <c r="EA51" s="673"/>
      <c r="EB51" s="673"/>
      <c r="EC51" s="673"/>
      <c r="ED51" s="673"/>
      <c r="EE51" s="673"/>
      <c r="EF51" s="673"/>
      <c r="EG51" s="673"/>
      <c r="EH51" s="673"/>
      <c r="EI51" s="673"/>
      <c r="EJ51" s="673"/>
      <c r="EK51" s="673"/>
      <c r="EL51" s="673"/>
      <c r="EM51" s="673"/>
      <c r="EN51" s="673"/>
      <c r="EO51" s="673"/>
      <c r="EP51" s="673"/>
      <c r="EQ51" s="673"/>
      <c r="ER51" s="673"/>
      <c r="ES51" s="673"/>
      <c r="ET51" s="673"/>
      <c r="EU51" s="673"/>
      <c r="EV51" s="673"/>
      <c r="EW51" s="673"/>
      <c r="EX51" s="673"/>
      <c r="EY51" s="673"/>
      <c r="EZ51" s="673"/>
      <c r="FA51" s="673"/>
      <c r="FB51" s="673"/>
      <c r="FC51" s="673"/>
      <c r="FD51" s="673"/>
      <c r="FE51" s="673"/>
      <c r="FF51" s="673"/>
      <c r="FG51" s="673"/>
      <c r="FH51" s="673"/>
      <c r="FI51" s="673"/>
      <c r="FJ51" s="673"/>
      <c r="FK51" s="673"/>
      <c r="FL51" s="673"/>
      <c r="FM51" s="673"/>
      <c r="FN51" s="673"/>
      <c r="FO51" s="673"/>
      <c r="FP51" s="673"/>
      <c r="FQ51" s="673"/>
      <c r="FR51" s="673"/>
      <c r="FS51" s="673"/>
      <c r="FT51" s="673"/>
      <c r="FU51" s="673"/>
      <c r="FV51" s="673"/>
      <c r="FW51" s="673"/>
      <c r="FX51" s="673"/>
      <c r="FY51" s="673"/>
      <c r="FZ51" s="673"/>
      <c r="GA51" s="673"/>
      <c r="GB51" s="673"/>
      <c r="GC51" s="673"/>
      <c r="GD51" s="673"/>
      <c r="GE51" s="673"/>
      <c r="GF51" s="673"/>
      <c r="GG51" s="673"/>
      <c r="GH51" s="673"/>
      <c r="GI51" s="673"/>
      <c r="GJ51" s="673"/>
      <c r="GK51" s="673"/>
      <c r="GL51" s="673"/>
      <c r="GM51" s="673"/>
      <c r="GN51" s="673"/>
      <c r="GO51" s="673"/>
      <c r="GP51" s="673"/>
      <c r="GQ51" s="673"/>
      <c r="GR51" s="673"/>
      <c r="GS51" s="673"/>
      <c r="GT51" s="673"/>
      <c r="GU51" s="673"/>
      <c r="GV51" s="673"/>
      <c r="GW51" s="673"/>
      <c r="GX51" s="673"/>
      <c r="GY51" s="673"/>
      <c r="GZ51" s="673"/>
      <c r="HA51" s="673"/>
      <c r="HB51" s="673"/>
      <c r="HC51" s="673"/>
      <c r="HD51" s="673"/>
      <c r="HE51" s="673"/>
      <c r="HF51" s="673"/>
      <c r="HG51" s="673"/>
      <c r="HH51" s="673"/>
      <c r="HI51" s="673"/>
      <c r="HJ51" s="673"/>
      <c r="HK51" s="673"/>
      <c r="HL51" s="673"/>
      <c r="HM51" s="673"/>
      <c r="HN51" s="673"/>
      <c r="HO51" s="673"/>
      <c r="HP51" s="673"/>
      <c r="HQ51" s="673"/>
      <c r="HR51" s="673"/>
      <c r="HS51" s="673"/>
      <c r="HT51" s="673"/>
      <c r="HU51" s="673"/>
      <c r="HV51" s="673"/>
      <c r="HW51" s="673"/>
      <c r="HX51" s="673"/>
      <c r="HY51" s="673"/>
      <c r="HZ51" s="673"/>
      <c r="IA51" s="673"/>
      <c r="IB51" s="673"/>
      <c r="IC51" s="673"/>
      <c r="ID51" s="673"/>
      <c r="IE51" s="673"/>
      <c r="IF51" s="673"/>
      <c r="IG51" s="673"/>
      <c r="IH51" s="673"/>
      <c r="II51" s="673"/>
      <c r="IJ51" s="673"/>
      <c r="IK51" s="673"/>
      <c r="IL51" s="673"/>
      <c r="IM51" s="673"/>
      <c r="IN51" s="673"/>
      <c r="IO51" s="673"/>
      <c r="IP51" s="673"/>
      <c r="IQ51" s="673"/>
      <c r="IR51" s="673"/>
      <c r="IS51" s="673"/>
      <c r="IT51" s="673"/>
      <c r="IU51" s="673"/>
      <c r="IV51" s="673"/>
      <c r="IW51" s="673"/>
      <c r="IX51" s="673"/>
      <c r="IY51" s="673"/>
      <c r="IZ51" s="673"/>
      <c r="JA51" s="673"/>
      <c r="JB51" s="673"/>
      <c r="JC51" s="673"/>
      <c r="JD51" s="673"/>
      <c r="JE51" s="673"/>
      <c r="JF51" s="673"/>
      <c r="JG51" s="673"/>
      <c r="JH51" s="673"/>
      <c r="JI51" s="673"/>
      <c r="JJ51" s="673"/>
      <c r="JK51" s="673"/>
      <c r="JL51" s="673"/>
      <c r="JM51" s="673"/>
      <c r="JN51" s="673"/>
      <c r="JO51" s="673"/>
      <c r="JP51" s="673"/>
      <c r="JQ51" s="673"/>
      <c r="JR51" s="673"/>
      <c r="JS51" s="673"/>
      <c r="JT51" s="673"/>
      <c r="JU51" s="673"/>
      <c r="JV51" s="673"/>
      <c r="JW51" s="673"/>
      <c r="JX51" s="673"/>
      <c r="JY51" s="673"/>
      <c r="JZ51" s="673"/>
      <c r="KA51" s="673"/>
      <c r="KB51" s="673"/>
      <c r="KC51" s="673"/>
      <c r="KD51" s="673"/>
      <c r="KE51" s="673"/>
      <c r="KF51" s="673"/>
      <c r="KG51" s="673"/>
      <c r="KH51" s="673"/>
      <c r="KI51" s="673"/>
      <c r="KJ51" s="673"/>
      <c r="KK51" s="673"/>
      <c r="KL51" s="673"/>
      <c r="KM51" s="673"/>
      <c r="KN51" s="673"/>
      <c r="KO51" s="673"/>
      <c r="KP51" s="673"/>
      <c r="KQ51" s="673"/>
      <c r="KR51" s="673"/>
      <c r="KS51" s="673"/>
      <c r="KT51" s="673"/>
      <c r="KU51" s="673"/>
      <c r="KV51" s="673"/>
      <c r="KW51" s="673"/>
      <c r="KX51" s="673"/>
      <c r="KY51" s="673"/>
      <c r="KZ51" s="673"/>
      <c r="LA51" s="673"/>
      <c r="LB51" s="673"/>
      <c r="LC51" s="673"/>
      <c r="LD51" s="673"/>
      <c r="LE51" s="673"/>
      <c r="LF51" s="673"/>
      <c r="LG51" s="673"/>
      <c r="LH51" s="673"/>
      <c r="LI51" s="673"/>
      <c r="LJ51" s="673"/>
      <c r="LK51" s="673"/>
      <c r="LL51" s="673"/>
      <c r="LM51" s="673"/>
      <c r="LN51" s="673"/>
      <c r="LO51" s="673"/>
      <c r="LP51" s="673"/>
      <c r="LQ51" s="673"/>
      <c r="LR51" s="673"/>
      <c r="LS51" s="673"/>
      <c r="LT51" s="673"/>
      <c r="LU51" s="673"/>
      <c r="LV51" s="673"/>
      <c r="LW51" s="673"/>
      <c r="LX51" s="673"/>
      <c r="LY51" s="673"/>
      <c r="LZ51" s="673"/>
      <c r="MA51" s="673"/>
      <c r="MB51" s="673"/>
      <c r="MC51" s="673"/>
      <c r="MD51" s="673"/>
      <c r="ME51" s="673"/>
      <c r="MF51" s="673"/>
      <c r="MG51" s="673"/>
      <c r="MH51" s="673"/>
      <c r="MI51" s="673"/>
      <c r="MJ51" s="673"/>
      <c r="MK51" s="673"/>
      <c r="ML51" s="673"/>
      <c r="MM51" s="673"/>
      <c r="MN51" s="673"/>
      <c r="MO51" s="673"/>
      <c r="MP51" s="673"/>
      <c r="MQ51" s="673"/>
      <c r="MR51" s="673"/>
      <c r="MS51" s="673"/>
      <c r="MT51" s="673"/>
      <c r="MU51" s="673"/>
      <c r="MV51" s="673"/>
      <c r="MW51" s="673"/>
      <c r="MX51" s="673"/>
      <c r="MY51" s="673"/>
      <c r="MZ51" s="673"/>
      <c r="NA51" s="673"/>
      <c r="NB51" s="673"/>
      <c r="NC51" s="673"/>
      <c r="ND51" s="673"/>
      <c r="NE51" s="673"/>
      <c r="NF51" s="673"/>
      <c r="NG51" s="673"/>
      <c r="NH51" s="673"/>
      <c r="NI51" s="673"/>
      <c r="NJ51" s="673"/>
      <c r="NK51" s="673"/>
      <c r="NL51" s="673"/>
      <c r="NM51" s="673"/>
      <c r="NN51" s="673"/>
      <c r="NO51" s="673"/>
      <c r="NP51" s="673"/>
      <c r="NQ51" s="673"/>
      <c r="NR51" s="673"/>
      <c r="NS51" s="673"/>
      <c r="NT51" s="673"/>
      <c r="NU51" s="673"/>
      <c r="NV51" s="673"/>
      <c r="NW51" s="673"/>
      <c r="NX51" s="673"/>
      <c r="NY51" s="673"/>
      <c r="NZ51" s="673"/>
      <c r="OA51" s="673"/>
      <c r="OB51" s="673"/>
      <c r="OC51" s="673"/>
      <c r="OD51" s="673"/>
      <c r="OE51" s="673"/>
      <c r="OF51" s="673"/>
      <c r="OG51" s="673"/>
      <c r="OH51" s="673"/>
      <c r="OI51" s="673"/>
      <c r="OJ51" s="673"/>
      <c r="OK51" s="673"/>
      <c r="OL51" s="673"/>
      <c r="OM51" s="673"/>
      <c r="ON51" s="673"/>
      <c r="OO51" s="673"/>
      <c r="OP51" s="673"/>
      <c r="OQ51" s="673"/>
      <c r="OR51" s="673"/>
      <c r="OS51" s="673"/>
      <c r="OT51" s="673"/>
      <c r="OU51" s="673"/>
      <c r="OV51" s="673"/>
      <c r="OW51" s="673"/>
      <c r="OX51" s="673"/>
      <c r="OY51" s="673"/>
      <c r="OZ51" s="673"/>
      <c r="PA51" s="673"/>
      <c r="PB51" s="673"/>
      <c r="PC51" s="673"/>
      <c r="PD51" s="673"/>
      <c r="PE51" s="673"/>
      <c r="PF51" s="673"/>
      <c r="PG51" s="673"/>
      <c r="PH51" s="673"/>
      <c r="PI51" s="673"/>
      <c r="PJ51" s="673"/>
      <c r="PK51" s="673"/>
      <c r="PL51" s="673"/>
      <c r="PM51" s="673"/>
      <c r="PN51" s="673"/>
      <c r="PO51" s="673"/>
      <c r="PP51" s="673"/>
      <c r="PQ51" s="673"/>
      <c r="PR51" s="673"/>
      <c r="PS51" s="673"/>
      <c r="PT51" s="673"/>
      <c r="PU51" s="673"/>
      <c r="PV51" s="673"/>
      <c r="PW51" s="673"/>
      <c r="PX51" s="673"/>
      <c r="PY51" s="673"/>
      <c r="PZ51" s="673"/>
      <c r="QA51" s="673"/>
      <c r="QB51" s="673"/>
      <c r="QC51" s="673"/>
      <c r="QD51" s="673"/>
      <c r="QE51" s="673"/>
      <c r="QF51" s="673"/>
      <c r="QG51" s="673"/>
      <c r="QH51" s="673"/>
      <c r="QI51" s="673"/>
      <c r="QJ51" s="673"/>
      <c r="QK51" s="673"/>
    </row>
    <row r="52" spans="1:453" s="1301" customFormat="1" ht="18.75">
      <c r="B52" s="2109" t="str">
        <f ca="1">TEXT(HYPERLINK("#"&amp;CELL("address",'Equipment Results Matrix'!A871),'Equipment Results Matrix'!A871),"0,000")</f>
        <v>Non-Residential Water Heating</v>
      </c>
      <c r="C52" s="2109"/>
      <c r="D52" s="2109"/>
      <c r="E52" s="2109"/>
      <c r="F52" s="2109"/>
      <c r="G52" s="1302"/>
      <c r="H52" s="1302"/>
      <c r="I52" s="1302"/>
      <c r="J52" s="1525"/>
      <c r="K52" s="1525"/>
      <c r="L52" s="2107"/>
      <c r="M52" s="2107"/>
      <c r="N52" s="2107"/>
      <c r="O52" s="1303"/>
      <c r="P52" s="1303"/>
      <c r="Q52" s="1303"/>
      <c r="R52" s="1303"/>
      <c r="S52" s="1303"/>
      <c r="T52" s="1303"/>
      <c r="U52" s="1303"/>
      <c r="V52" s="1303"/>
      <c r="W52" s="1303"/>
      <c r="X52" s="1303"/>
      <c r="Y52" s="1303"/>
      <c r="Z52" s="1303"/>
      <c r="AA52" s="1303"/>
      <c r="AB52" s="1303"/>
      <c r="AC52" s="1303"/>
      <c r="AD52" s="1303"/>
      <c r="AE52" s="1303"/>
      <c r="AF52" s="1303"/>
      <c r="AG52" s="1303"/>
      <c r="AH52" s="1303"/>
      <c r="AI52" s="1303"/>
      <c r="AJ52" s="1303"/>
      <c r="AK52" s="1303"/>
      <c r="AL52" s="1303"/>
      <c r="AM52" s="1303"/>
      <c r="AN52" s="1303"/>
      <c r="AO52" s="1303"/>
      <c r="AP52" s="1303"/>
      <c r="AQ52" s="1303"/>
      <c r="AR52" s="1303"/>
      <c r="AS52" s="1303"/>
      <c r="AT52" s="1303"/>
      <c r="AU52" s="1303"/>
      <c r="AV52" s="1303"/>
      <c r="AW52" s="1303"/>
      <c r="AX52" s="1303"/>
      <c r="AY52" s="1303"/>
      <c r="AZ52" s="1303"/>
      <c r="BA52" s="1303"/>
      <c r="BB52" s="1303"/>
      <c r="BC52" s="1303"/>
      <c r="BD52" s="1303"/>
      <c r="BE52" s="1303"/>
      <c r="BF52" s="1303"/>
      <c r="BG52" s="1303"/>
      <c r="BH52" s="1303"/>
      <c r="BI52" s="1303"/>
      <c r="BJ52" s="1303"/>
      <c r="BK52" s="1303"/>
      <c r="BL52" s="1303"/>
      <c r="BM52" s="1303"/>
      <c r="BN52" s="1303"/>
      <c r="BO52" s="1303"/>
      <c r="BP52" s="1303"/>
      <c r="BQ52" s="1303"/>
      <c r="BR52" s="1303"/>
      <c r="BS52" s="1303"/>
      <c r="BT52" s="1303"/>
      <c r="BU52" s="1303"/>
      <c r="BV52" s="1303"/>
      <c r="BW52" s="1303"/>
      <c r="BX52" s="1303"/>
      <c r="BY52" s="1303"/>
      <c r="BZ52" s="1303"/>
      <c r="CA52" s="1303"/>
      <c r="CB52" s="1303"/>
      <c r="CC52" s="1303"/>
      <c r="CD52" s="1303"/>
      <c r="CE52" s="1303"/>
      <c r="CF52" s="1303"/>
      <c r="CG52" s="1303"/>
      <c r="CH52" s="1303"/>
      <c r="CI52" s="1303"/>
      <c r="CJ52" s="1303"/>
      <c r="CK52" s="1303"/>
      <c r="CL52" s="1303"/>
      <c r="CM52" s="1303"/>
      <c r="CN52" s="1303"/>
      <c r="CO52" s="1303"/>
      <c r="CP52" s="1303"/>
      <c r="CQ52" s="1303"/>
      <c r="CR52" s="1303"/>
      <c r="CS52" s="1303"/>
      <c r="CT52" s="1303"/>
      <c r="CU52" s="1303"/>
      <c r="CV52" s="1303"/>
      <c r="CW52" s="1303"/>
      <c r="CX52" s="1303"/>
      <c r="CY52" s="1303"/>
      <c r="CZ52" s="1303"/>
      <c r="DA52" s="1303"/>
      <c r="DB52" s="1303"/>
      <c r="DC52" s="1303"/>
      <c r="DD52" s="1303"/>
      <c r="DE52" s="1303"/>
      <c r="DF52" s="1303"/>
      <c r="DG52" s="1303"/>
      <c r="DH52" s="1303"/>
      <c r="DI52" s="1303"/>
      <c r="DJ52" s="1303"/>
      <c r="DK52" s="1303"/>
      <c r="DL52" s="1303"/>
      <c r="DM52" s="1303"/>
      <c r="DN52" s="1303"/>
      <c r="DO52" s="1303"/>
      <c r="DP52" s="1303"/>
      <c r="DQ52" s="1303"/>
      <c r="DR52" s="1303"/>
      <c r="DS52" s="1303"/>
      <c r="DT52" s="1303"/>
      <c r="DU52" s="1303"/>
      <c r="DV52" s="1303"/>
      <c r="DW52" s="1303"/>
      <c r="DX52" s="1303"/>
      <c r="DY52" s="1303"/>
      <c r="DZ52" s="1303"/>
      <c r="EA52" s="1303"/>
      <c r="EB52" s="1303"/>
      <c r="EC52" s="1303"/>
      <c r="ED52" s="1303"/>
      <c r="EE52" s="1303"/>
      <c r="EF52" s="1303"/>
      <c r="EG52" s="1303"/>
      <c r="EH52" s="1303"/>
      <c r="EI52" s="1303"/>
      <c r="EJ52" s="1303"/>
      <c r="EK52" s="1303"/>
      <c r="EL52" s="1303"/>
      <c r="EM52" s="1303"/>
      <c r="EN52" s="1303"/>
      <c r="EO52" s="1303"/>
      <c r="EP52" s="1303"/>
      <c r="EQ52" s="1303"/>
      <c r="ER52" s="1303"/>
      <c r="ES52" s="1303"/>
      <c r="ET52" s="1303"/>
      <c r="EU52" s="1303"/>
      <c r="EV52" s="1303"/>
      <c r="EW52" s="1303"/>
      <c r="EX52" s="1303"/>
      <c r="EY52" s="1303"/>
      <c r="EZ52" s="1303"/>
      <c r="FA52" s="1303"/>
      <c r="FB52" s="1303"/>
      <c r="FC52" s="1303"/>
      <c r="FD52" s="1303"/>
      <c r="FE52" s="1303"/>
      <c r="FF52" s="1303"/>
      <c r="FG52" s="1303"/>
      <c r="FH52" s="1303"/>
      <c r="FI52" s="1303"/>
      <c r="FJ52" s="1303"/>
      <c r="FK52" s="1303"/>
      <c r="FL52" s="1303"/>
      <c r="FM52" s="1303"/>
      <c r="FN52" s="1303"/>
      <c r="FO52" s="1303"/>
      <c r="FP52" s="1303"/>
      <c r="FQ52" s="1303"/>
      <c r="FR52" s="1303"/>
      <c r="FS52" s="1303"/>
      <c r="FT52" s="1303"/>
      <c r="FU52" s="1303"/>
      <c r="FV52" s="1303"/>
      <c r="FW52" s="1303"/>
      <c r="FX52" s="1303"/>
      <c r="FY52" s="1303"/>
      <c r="FZ52" s="1303"/>
      <c r="GA52" s="1303"/>
      <c r="GB52" s="1303"/>
      <c r="GC52" s="1303"/>
      <c r="GD52" s="1303"/>
      <c r="GE52" s="1303"/>
      <c r="GF52" s="1303"/>
      <c r="GG52" s="1303"/>
      <c r="GH52" s="1303"/>
      <c r="GI52" s="1303"/>
      <c r="GJ52" s="1303"/>
      <c r="GK52" s="1303"/>
      <c r="GL52" s="1303"/>
      <c r="GM52" s="1303"/>
      <c r="GN52" s="1303"/>
      <c r="GO52" s="1303"/>
      <c r="GP52" s="1303"/>
      <c r="GQ52" s="1303"/>
      <c r="GR52" s="1303"/>
      <c r="GS52" s="1303"/>
      <c r="GT52" s="1303"/>
      <c r="GU52" s="1303"/>
      <c r="GV52" s="1303"/>
      <c r="GW52" s="1303"/>
      <c r="GX52" s="1303"/>
      <c r="GY52" s="1303"/>
      <c r="GZ52" s="1303"/>
      <c r="HA52" s="1303"/>
      <c r="HB52" s="1303"/>
      <c r="HC52" s="1303"/>
      <c r="HD52" s="1303"/>
      <c r="HE52" s="1303"/>
      <c r="HF52" s="1303"/>
      <c r="HG52" s="1303"/>
      <c r="HH52" s="1303"/>
      <c r="HI52" s="1303"/>
      <c r="HJ52" s="1303"/>
      <c r="HK52" s="1303"/>
      <c r="HL52" s="1303"/>
      <c r="HM52" s="1303"/>
      <c r="HN52" s="1303"/>
      <c r="HO52" s="1303"/>
      <c r="HP52" s="1303"/>
      <c r="HQ52" s="1303"/>
      <c r="HR52" s="1303"/>
      <c r="HS52" s="1303"/>
      <c r="HT52" s="1303"/>
      <c r="HU52" s="1303"/>
      <c r="HV52" s="1303"/>
      <c r="HW52" s="1303"/>
      <c r="HX52" s="1303"/>
      <c r="HY52" s="1303"/>
      <c r="HZ52" s="1303"/>
      <c r="IA52" s="1303"/>
      <c r="IB52" s="1303"/>
      <c r="IC52" s="1303"/>
      <c r="ID52" s="1303"/>
      <c r="IE52" s="1303"/>
      <c r="IF52" s="1303"/>
      <c r="IG52" s="1303"/>
      <c r="IH52" s="1303"/>
      <c r="II52" s="1303"/>
      <c r="IJ52" s="1303"/>
      <c r="IK52" s="1303"/>
      <c r="IL52" s="1303"/>
      <c r="IM52" s="1303"/>
      <c r="IN52" s="1303"/>
      <c r="IO52" s="1303"/>
      <c r="IP52" s="1303"/>
      <c r="IQ52" s="1303"/>
      <c r="IR52" s="1303"/>
      <c r="IS52" s="1303"/>
      <c r="IT52" s="1303"/>
      <c r="IU52" s="1303"/>
      <c r="IV52" s="1303"/>
      <c r="IW52" s="1303"/>
      <c r="IX52" s="1303"/>
      <c r="IY52" s="1303"/>
      <c r="IZ52" s="1303"/>
      <c r="JA52" s="1303"/>
      <c r="JB52" s="1303"/>
      <c r="JC52" s="1303"/>
      <c r="JD52" s="1303"/>
      <c r="JE52" s="1303"/>
      <c r="JF52" s="1303"/>
      <c r="JG52" s="1303"/>
      <c r="JH52" s="1303"/>
      <c r="JI52" s="1303"/>
      <c r="JJ52" s="1303"/>
      <c r="JK52" s="1303"/>
      <c r="JL52" s="1303"/>
      <c r="JM52" s="1303"/>
      <c r="JN52" s="1303"/>
      <c r="JO52" s="1303"/>
      <c r="JP52" s="1303"/>
      <c r="JQ52" s="1303"/>
      <c r="JR52" s="1303"/>
      <c r="JS52" s="1303"/>
      <c r="JT52" s="1303"/>
      <c r="JU52" s="1303"/>
      <c r="JV52" s="1303"/>
      <c r="JW52" s="1303"/>
      <c r="JX52" s="1303"/>
      <c r="JY52" s="1303"/>
      <c r="JZ52" s="1303"/>
      <c r="KA52" s="1303"/>
      <c r="KB52" s="1303"/>
      <c r="KC52" s="1303"/>
      <c r="KD52" s="1303"/>
      <c r="KE52" s="1303"/>
      <c r="KF52" s="1303"/>
      <c r="KG52" s="1303"/>
      <c r="KH52" s="1303"/>
      <c r="KI52" s="1303"/>
      <c r="KJ52" s="1303"/>
      <c r="KK52" s="1303"/>
      <c r="KL52" s="1303"/>
      <c r="KM52" s="1303"/>
      <c r="KN52" s="1303"/>
      <c r="KO52" s="1303"/>
      <c r="KP52" s="1303"/>
      <c r="KQ52" s="1303"/>
      <c r="KR52" s="1303"/>
      <c r="KS52" s="1303"/>
      <c r="KT52" s="1303"/>
      <c r="KU52" s="1303"/>
      <c r="KV52" s="1303"/>
      <c r="KW52" s="1303"/>
      <c r="KX52" s="1303"/>
      <c r="KY52" s="1303"/>
      <c r="KZ52" s="1303"/>
      <c r="LA52" s="1303"/>
      <c r="LB52" s="1303"/>
      <c r="LC52" s="1303"/>
      <c r="LD52" s="1303"/>
      <c r="LE52" s="1303"/>
      <c r="LF52" s="1303"/>
      <c r="LG52" s="1303"/>
      <c r="LH52" s="1303"/>
      <c r="LI52" s="1303"/>
      <c r="LJ52" s="1303"/>
      <c r="LK52" s="1303"/>
      <c r="LL52" s="1303"/>
      <c r="LM52" s="1303"/>
      <c r="LN52" s="1303"/>
      <c r="LO52" s="1303"/>
      <c r="LP52" s="1303"/>
      <c r="LQ52" s="1303"/>
      <c r="LR52" s="1303"/>
      <c r="LS52" s="1303"/>
      <c r="LT52" s="1303"/>
      <c r="LU52" s="1303"/>
      <c r="LV52" s="1303"/>
      <c r="LW52" s="1303"/>
      <c r="LX52" s="1303"/>
      <c r="LY52" s="1303"/>
      <c r="LZ52" s="1303"/>
      <c r="MA52" s="1303"/>
      <c r="MB52" s="1303"/>
      <c r="MC52" s="1303"/>
      <c r="MD52" s="1303"/>
      <c r="ME52" s="1303"/>
      <c r="MF52" s="1303"/>
      <c r="MG52" s="1303"/>
      <c r="MH52" s="1303"/>
      <c r="MI52" s="1303"/>
      <c r="MJ52" s="1303"/>
      <c r="MK52" s="1303"/>
      <c r="ML52" s="1303"/>
      <c r="MM52" s="1303"/>
      <c r="MN52" s="1303"/>
      <c r="MO52" s="1303"/>
      <c r="MP52" s="1303"/>
      <c r="MQ52" s="1303"/>
      <c r="MR52" s="1303"/>
      <c r="MS52" s="1303"/>
      <c r="MT52" s="1303"/>
      <c r="MU52" s="1303"/>
      <c r="MV52" s="1303"/>
      <c r="MW52" s="1303"/>
      <c r="MX52" s="1303"/>
      <c r="MY52" s="1303"/>
      <c r="MZ52" s="1303"/>
      <c r="NA52" s="1303"/>
      <c r="NB52" s="1303"/>
      <c r="NC52" s="1303"/>
      <c r="ND52" s="1303"/>
      <c r="NE52" s="1303"/>
      <c r="NF52" s="1303"/>
      <c r="NG52" s="1303"/>
      <c r="NH52" s="1303"/>
      <c r="NI52" s="1303"/>
      <c r="NJ52" s="1303"/>
      <c r="NK52" s="1303"/>
      <c r="NL52" s="1303"/>
      <c r="NM52" s="1303"/>
      <c r="NN52" s="1303"/>
      <c r="NO52" s="1303"/>
      <c r="NP52" s="1303"/>
      <c r="NQ52" s="1303"/>
      <c r="NR52" s="1303"/>
      <c r="NS52" s="1303"/>
      <c r="NT52" s="1303"/>
      <c r="NU52" s="1303"/>
      <c r="NV52" s="1303"/>
      <c r="NW52" s="1303"/>
      <c r="NX52" s="1303"/>
      <c r="NY52" s="1303"/>
      <c r="NZ52" s="1303"/>
      <c r="OA52" s="1303"/>
      <c r="OB52" s="1303"/>
      <c r="OC52" s="1303"/>
      <c r="OD52" s="1303"/>
      <c r="OE52" s="1303"/>
      <c r="OF52" s="1303"/>
      <c r="OG52" s="1303"/>
      <c r="OH52" s="1303"/>
      <c r="OI52" s="1303"/>
      <c r="OJ52" s="1303"/>
      <c r="OK52" s="1303"/>
      <c r="OL52" s="1303"/>
      <c r="OM52" s="1303"/>
      <c r="ON52" s="1303"/>
      <c r="OO52" s="1303"/>
      <c r="OP52" s="1303"/>
      <c r="OQ52" s="1303"/>
      <c r="OR52" s="1303"/>
      <c r="OS52" s="1303"/>
      <c r="OT52" s="1303"/>
      <c r="OU52" s="1303"/>
      <c r="OV52" s="1303"/>
      <c r="OW52" s="1303"/>
      <c r="OX52" s="1303"/>
      <c r="OY52" s="1303"/>
      <c r="OZ52" s="1303"/>
      <c r="PA52" s="1303"/>
      <c r="PB52" s="1303"/>
      <c r="PC52" s="1303"/>
      <c r="PD52" s="1303"/>
      <c r="PE52" s="1303"/>
      <c r="PF52" s="1303"/>
      <c r="PG52" s="1303"/>
      <c r="PH52" s="1303"/>
      <c r="PI52" s="1303"/>
      <c r="PJ52" s="1303"/>
      <c r="PK52" s="1303"/>
      <c r="PL52" s="1303"/>
      <c r="PM52" s="1303"/>
      <c r="PN52" s="1303"/>
      <c r="PO52" s="1303"/>
      <c r="PP52" s="1303"/>
      <c r="PQ52" s="1303"/>
      <c r="PR52" s="1303"/>
      <c r="PS52" s="1303"/>
      <c r="PT52" s="1303"/>
      <c r="PU52" s="1303"/>
      <c r="PV52" s="1303"/>
      <c r="PW52" s="1303"/>
      <c r="PX52" s="1303"/>
      <c r="PY52" s="1303"/>
      <c r="PZ52" s="1303"/>
      <c r="QA52" s="1303"/>
      <c r="QB52" s="1303"/>
      <c r="QC52" s="1303"/>
      <c r="QD52" s="1303"/>
      <c r="QE52" s="1303"/>
      <c r="QF52" s="1303"/>
      <c r="QG52" s="1303"/>
      <c r="QH52" s="1303"/>
      <c r="QI52" s="1303"/>
      <c r="QJ52" s="1303"/>
      <c r="QK52" s="1303"/>
    </row>
    <row r="53" spans="1:453" s="558" customFormat="1">
      <c r="A53" s="680"/>
      <c r="B53" s="680"/>
      <c r="C53" s="2107" t="str">
        <f ca="1">TEXT(HYPERLINK("#"&amp;CELL("address",'Equipment Results Matrix'!A872),'Equipment Results Matrix'!A872),"0,000")</f>
        <v>Large Storage Gas WH 
(&gt; 75,000 BtuH and TE rated)</v>
      </c>
      <c r="D53" s="2107"/>
      <c r="E53" s="2107"/>
      <c r="F53" s="2107"/>
      <c r="G53" s="2107"/>
      <c r="H53" s="2107"/>
      <c r="I53" s="680"/>
      <c r="J53" s="1525" t="str">
        <f ca="1">TEXT(HYPERLINK("#"&amp;CELL("address",'Labor Results Matrix'!A368),"Labor"),"0,000")</f>
        <v>Labor</v>
      </c>
      <c r="K53" s="1525"/>
      <c r="L53" s="2107" t="str">
        <f ca="1">TEXT(HYPERLINK("#"&amp;CELL("address",'Equipment + Labor'!A422),"Total installed cost"),"0,000")</f>
        <v>Total installed cost</v>
      </c>
      <c r="M53" s="2107"/>
      <c r="N53" s="2107"/>
      <c r="O53" s="673"/>
      <c r="P53" s="673"/>
      <c r="Q53" s="673"/>
      <c r="R53" s="673"/>
      <c r="S53" s="673"/>
      <c r="T53" s="673"/>
      <c r="U53" s="673"/>
      <c r="V53" s="673"/>
      <c r="W53" s="673"/>
      <c r="X53" s="673"/>
      <c r="Y53" s="673"/>
      <c r="Z53" s="673"/>
      <c r="AA53" s="673"/>
      <c r="AB53" s="673"/>
      <c r="AC53" s="673"/>
      <c r="AD53" s="673"/>
      <c r="AE53" s="673"/>
      <c r="AF53" s="673"/>
      <c r="AG53" s="673"/>
      <c r="AH53" s="673"/>
      <c r="AI53" s="673"/>
      <c r="AJ53" s="673"/>
      <c r="AK53" s="673"/>
      <c r="AL53" s="673"/>
      <c r="AM53" s="673"/>
      <c r="AN53" s="673"/>
      <c r="AO53" s="673"/>
      <c r="AP53" s="673"/>
      <c r="AQ53" s="673"/>
      <c r="AR53" s="673"/>
      <c r="AS53" s="673"/>
      <c r="AT53" s="673"/>
      <c r="AU53" s="673"/>
      <c r="AV53" s="673"/>
      <c r="AW53" s="673"/>
      <c r="AX53" s="673"/>
      <c r="AY53" s="673"/>
      <c r="AZ53" s="673"/>
      <c r="BA53" s="673"/>
      <c r="BB53" s="673"/>
      <c r="BC53" s="673"/>
      <c r="BD53" s="673"/>
      <c r="BE53" s="673"/>
      <c r="BF53" s="673"/>
      <c r="BG53" s="673"/>
      <c r="BH53" s="673"/>
      <c r="BI53" s="673"/>
      <c r="BJ53" s="673"/>
      <c r="BK53" s="673"/>
      <c r="BL53" s="673"/>
      <c r="BM53" s="673"/>
      <c r="BN53" s="673"/>
      <c r="BO53" s="673"/>
      <c r="BP53" s="673"/>
      <c r="BQ53" s="673"/>
      <c r="BR53" s="673"/>
      <c r="BS53" s="673"/>
      <c r="BT53" s="673"/>
      <c r="BU53" s="673"/>
      <c r="BV53" s="673"/>
      <c r="BW53" s="673"/>
      <c r="BX53" s="673"/>
      <c r="BY53" s="673"/>
      <c r="BZ53" s="673"/>
      <c r="CA53" s="673"/>
      <c r="CB53" s="673"/>
      <c r="CC53" s="673"/>
      <c r="CD53" s="673"/>
      <c r="CE53" s="673"/>
      <c r="CF53" s="673"/>
      <c r="CG53" s="673"/>
      <c r="CH53" s="673"/>
      <c r="CI53" s="673"/>
      <c r="CJ53" s="673"/>
      <c r="CK53" s="673"/>
      <c r="CL53" s="673"/>
      <c r="CM53" s="673"/>
      <c r="CN53" s="673"/>
      <c r="CO53" s="673"/>
      <c r="CP53" s="673"/>
      <c r="CQ53" s="673"/>
      <c r="CR53" s="673"/>
      <c r="CS53" s="673"/>
      <c r="CT53" s="673"/>
      <c r="CU53" s="673"/>
      <c r="CV53" s="673"/>
      <c r="CW53" s="673"/>
      <c r="CX53" s="673"/>
      <c r="CY53" s="673"/>
      <c r="CZ53" s="673"/>
      <c r="DA53" s="673"/>
      <c r="DB53" s="673"/>
      <c r="DC53" s="673"/>
      <c r="DD53" s="673"/>
      <c r="DE53" s="673"/>
      <c r="DF53" s="673"/>
      <c r="DG53" s="673"/>
      <c r="DH53" s="673"/>
      <c r="DI53" s="673"/>
      <c r="DJ53" s="673"/>
      <c r="DK53" s="673"/>
      <c r="DL53" s="673"/>
      <c r="DM53" s="673"/>
      <c r="DN53" s="673"/>
      <c r="DO53" s="673"/>
      <c r="DP53" s="673"/>
      <c r="DQ53" s="673"/>
      <c r="DR53" s="673"/>
      <c r="DS53" s="673"/>
      <c r="DT53" s="673"/>
      <c r="DU53" s="673"/>
      <c r="DV53" s="673"/>
      <c r="DW53" s="673"/>
      <c r="DX53" s="673"/>
      <c r="DY53" s="673"/>
      <c r="DZ53" s="673"/>
      <c r="EA53" s="673"/>
      <c r="EB53" s="673"/>
      <c r="EC53" s="673"/>
      <c r="ED53" s="673"/>
      <c r="EE53" s="673"/>
      <c r="EF53" s="673"/>
      <c r="EG53" s="673"/>
      <c r="EH53" s="673"/>
      <c r="EI53" s="673"/>
      <c r="EJ53" s="673"/>
      <c r="EK53" s="673"/>
      <c r="EL53" s="673"/>
      <c r="EM53" s="673"/>
      <c r="EN53" s="673"/>
      <c r="EO53" s="673"/>
      <c r="EP53" s="673"/>
      <c r="EQ53" s="673"/>
      <c r="ER53" s="673"/>
      <c r="ES53" s="673"/>
      <c r="ET53" s="673"/>
      <c r="EU53" s="673"/>
      <c r="EV53" s="673"/>
      <c r="EW53" s="673"/>
      <c r="EX53" s="673"/>
      <c r="EY53" s="673"/>
      <c r="EZ53" s="673"/>
      <c r="FA53" s="673"/>
      <c r="FB53" s="673"/>
      <c r="FC53" s="673"/>
      <c r="FD53" s="673"/>
      <c r="FE53" s="673"/>
      <c r="FF53" s="673"/>
      <c r="FG53" s="673"/>
      <c r="FH53" s="673"/>
      <c r="FI53" s="673"/>
      <c r="FJ53" s="673"/>
      <c r="FK53" s="673"/>
      <c r="FL53" s="673"/>
      <c r="FM53" s="673"/>
      <c r="FN53" s="673"/>
      <c r="FO53" s="673"/>
      <c r="FP53" s="673"/>
      <c r="FQ53" s="673"/>
      <c r="FR53" s="673"/>
      <c r="FS53" s="673"/>
      <c r="FT53" s="673"/>
      <c r="FU53" s="673"/>
      <c r="FV53" s="673"/>
      <c r="FW53" s="673"/>
      <c r="FX53" s="673"/>
      <c r="FY53" s="673"/>
      <c r="FZ53" s="673"/>
      <c r="GA53" s="673"/>
      <c r="GB53" s="673"/>
      <c r="GC53" s="673"/>
      <c r="GD53" s="673"/>
      <c r="GE53" s="673"/>
      <c r="GF53" s="673"/>
      <c r="GG53" s="673"/>
      <c r="GH53" s="673"/>
      <c r="GI53" s="673"/>
      <c r="GJ53" s="673"/>
      <c r="GK53" s="673"/>
      <c r="GL53" s="673"/>
      <c r="GM53" s="673"/>
      <c r="GN53" s="673"/>
      <c r="GO53" s="673"/>
      <c r="GP53" s="673"/>
      <c r="GQ53" s="673"/>
      <c r="GR53" s="673"/>
      <c r="GS53" s="673"/>
      <c r="GT53" s="673"/>
      <c r="GU53" s="673"/>
      <c r="GV53" s="673"/>
      <c r="GW53" s="673"/>
      <c r="GX53" s="673"/>
      <c r="GY53" s="673"/>
      <c r="GZ53" s="673"/>
      <c r="HA53" s="673"/>
      <c r="HB53" s="673"/>
      <c r="HC53" s="673"/>
      <c r="HD53" s="673"/>
      <c r="HE53" s="673"/>
      <c r="HF53" s="673"/>
      <c r="HG53" s="673"/>
      <c r="HH53" s="673"/>
      <c r="HI53" s="673"/>
      <c r="HJ53" s="673"/>
      <c r="HK53" s="673"/>
      <c r="HL53" s="673"/>
      <c r="HM53" s="673"/>
      <c r="HN53" s="673"/>
      <c r="HO53" s="673"/>
      <c r="HP53" s="673"/>
      <c r="HQ53" s="673"/>
      <c r="HR53" s="673"/>
      <c r="HS53" s="673"/>
      <c r="HT53" s="673"/>
      <c r="HU53" s="673"/>
      <c r="HV53" s="673"/>
      <c r="HW53" s="673"/>
      <c r="HX53" s="673"/>
      <c r="HY53" s="673"/>
      <c r="HZ53" s="673"/>
      <c r="IA53" s="673"/>
      <c r="IB53" s="673"/>
      <c r="IC53" s="673"/>
      <c r="ID53" s="673"/>
      <c r="IE53" s="673"/>
      <c r="IF53" s="673"/>
      <c r="IG53" s="673"/>
      <c r="IH53" s="673"/>
      <c r="II53" s="673"/>
      <c r="IJ53" s="673"/>
      <c r="IK53" s="673"/>
      <c r="IL53" s="673"/>
      <c r="IM53" s="673"/>
      <c r="IN53" s="673"/>
      <c r="IO53" s="673"/>
      <c r="IP53" s="673"/>
      <c r="IQ53" s="673"/>
      <c r="IR53" s="673"/>
      <c r="IS53" s="673"/>
      <c r="IT53" s="673"/>
      <c r="IU53" s="673"/>
      <c r="IV53" s="673"/>
      <c r="IW53" s="673"/>
      <c r="IX53" s="673"/>
      <c r="IY53" s="673"/>
      <c r="IZ53" s="673"/>
      <c r="JA53" s="673"/>
      <c r="JB53" s="673"/>
      <c r="JC53" s="673"/>
      <c r="JD53" s="673"/>
      <c r="JE53" s="673"/>
      <c r="JF53" s="673"/>
      <c r="JG53" s="673"/>
      <c r="JH53" s="673"/>
      <c r="JI53" s="673"/>
      <c r="JJ53" s="673"/>
      <c r="JK53" s="673"/>
      <c r="JL53" s="673"/>
      <c r="JM53" s="673"/>
      <c r="JN53" s="673"/>
      <c r="JO53" s="673"/>
      <c r="JP53" s="673"/>
      <c r="JQ53" s="673"/>
      <c r="JR53" s="673"/>
      <c r="JS53" s="673"/>
      <c r="JT53" s="673"/>
      <c r="JU53" s="673"/>
      <c r="JV53" s="673"/>
      <c r="JW53" s="673"/>
      <c r="JX53" s="673"/>
      <c r="JY53" s="673"/>
      <c r="JZ53" s="673"/>
      <c r="KA53" s="673"/>
      <c r="KB53" s="673"/>
      <c r="KC53" s="673"/>
      <c r="KD53" s="673"/>
      <c r="KE53" s="673"/>
      <c r="KF53" s="673"/>
      <c r="KG53" s="673"/>
      <c r="KH53" s="673"/>
      <c r="KI53" s="673"/>
      <c r="KJ53" s="673"/>
      <c r="KK53" s="673"/>
      <c r="KL53" s="673"/>
      <c r="KM53" s="673"/>
      <c r="KN53" s="673"/>
      <c r="KO53" s="673"/>
      <c r="KP53" s="673"/>
      <c r="KQ53" s="673"/>
      <c r="KR53" s="673"/>
      <c r="KS53" s="673"/>
      <c r="KT53" s="673"/>
      <c r="KU53" s="673"/>
      <c r="KV53" s="673"/>
      <c r="KW53" s="673"/>
      <c r="KX53" s="673"/>
      <c r="KY53" s="673"/>
      <c r="KZ53" s="673"/>
      <c r="LA53" s="673"/>
      <c r="LB53" s="673"/>
      <c r="LC53" s="673"/>
      <c r="LD53" s="673"/>
      <c r="LE53" s="673"/>
      <c r="LF53" s="673"/>
      <c r="LG53" s="673"/>
      <c r="LH53" s="673"/>
      <c r="LI53" s="673"/>
      <c r="LJ53" s="673"/>
      <c r="LK53" s="673"/>
      <c r="LL53" s="673"/>
      <c r="LM53" s="673"/>
      <c r="LN53" s="673"/>
      <c r="LO53" s="673"/>
      <c r="LP53" s="673"/>
      <c r="LQ53" s="673"/>
      <c r="LR53" s="673"/>
      <c r="LS53" s="673"/>
      <c r="LT53" s="673"/>
      <c r="LU53" s="673"/>
      <c r="LV53" s="673"/>
      <c r="LW53" s="673"/>
      <c r="LX53" s="673"/>
      <c r="LY53" s="673"/>
      <c r="LZ53" s="673"/>
      <c r="MA53" s="673"/>
      <c r="MB53" s="673"/>
      <c r="MC53" s="673"/>
      <c r="MD53" s="673"/>
      <c r="ME53" s="673"/>
      <c r="MF53" s="673"/>
      <c r="MG53" s="673"/>
      <c r="MH53" s="673"/>
      <c r="MI53" s="673"/>
      <c r="MJ53" s="673"/>
      <c r="MK53" s="673"/>
      <c r="ML53" s="673"/>
      <c r="MM53" s="673"/>
      <c r="MN53" s="673"/>
      <c r="MO53" s="673"/>
      <c r="MP53" s="673"/>
      <c r="MQ53" s="673"/>
      <c r="MR53" s="673"/>
      <c r="MS53" s="673"/>
      <c r="MT53" s="673"/>
      <c r="MU53" s="673"/>
      <c r="MV53" s="673"/>
      <c r="MW53" s="673"/>
      <c r="MX53" s="673"/>
      <c r="MY53" s="673"/>
      <c r="MZ53" s="673"/>
      <c r="NA53" s="673"/>
      <c r="NB53" s="673"/>
      <c r="NC53" s="673"/>
      <c r="ND53" s="673"/>
      <c r="NE53" s="673"/>
      <c r="NF53" s="673"/>
      <c r="NG53" s="673"/>
      <c r="NH53" s="673"/>
      <c r="NI53" s="673"/>
      <c r="NJ53" s="673"/>
      <c r="NK53" s="673"/>
      <c r="NL53" s="673"/>
      <c r="NM53" s="673"/>
      <c r="NN53" s="673"/>
      <c r="NO53" s="673"/>
      <c r="NP53" s="673"/>
      <c r="NQ53" s="673"/>
      <c r="NR53" s="673"/>
      <c r="NS53" s="673"/>
      <c r="NT53" s="673"/>
      <c r="NU53" s="673"/>
      <c r="NV53" s="673"/>
      <c r="NW53" s="673"/>
      <c r="NX53" s="673"/>
      <c r="NY53" s="673"/>
      <c r="NZ53" s="673"/>
      <c r="OA53" s="673"/>
      <c r="OB53" s="673"/>
      <c r="OC53" s="673"/>
      <c r="OD53" s="673"/>
      <c r="OE53" s="673"/>
      <c r="OF53" s="673"/>
      <c r="OG53" s="673"/>
      <c r="OH53" s="673"/>
      <c r="OI53" s="673"/>
      <c r="OJ53" s="673"/>
      <c r="OK53" s="673"/>
      <c r="OL53" s="673"/>
      <c r="OM53" s="673"/>
      <c r="ON53" s="673"/>
      <c r="OO53" s="673"/>
      <c r="OP53" s="673"/>
      <c r="OQ53" s="673"/>
      <c r="OR53" s="673"/>
      <c r="OS53" s="673"/>
      <c r="OT53" s="673"/>
      <c r="OU53" s="673"/>
      <c r="OV53" s="673"/>
      <c r="OW53" s="673"/>
      <c r="OX53" s="673"/>
      <c r="OY53" s="673"/>
      <c r="OZ53" s="673"/>
      <c r="PA53" s="673"/>
      <c r="PB53" s="673"/>
      <c r="PC53" s="673"/>
      <c r="PD53" s="673"/>
      <c r="PE53" s="673"/>
      <c r="PF53" s="673"/>
      <c r="PG53" s="673"/>
      <c r="PH53" s="673"/>
      <c r="PI53" s="673"/>
      <c r="PJ53" s="673"/>
      <c r="PK53" s="673"/>
      <c r="PL53" s="673"/>
      <c r="PM53" s="673"/>
      <c r="PN53" s="673"/>
      <c r="PO53" s="673"/>
      <c r="PP53" s="673"/>
      <c r="PQ53" s="673"/>
      <c r="PR53" s="673"/>
      <c r="PS53" s="673"/>
      <c r="PT53" s="673"/>
      <c r="PU53" s="673"/>
      <c r="PV53" s="673"/>
      <c r="PW53" s="673"/>
      <c r="PX53" s="673"/>
      <c r="PY53" s="673"/>
      <c r="PZ53" s="673"/>
      <c r="QA53" s="673"/>
      <c r="QB53" s="673"/>
      <c r="QC53" s="673"/>
      <c r="QD53" s="673"/>
      <c r="QE53" s="673"/>
      <c r="QF53" s="673"/>
      <c r="QG53" s="673"/>
      <c r="QH53" s="673"/>
      <c r="QI53" s="673"/>
      <c r="QJ53" s="673"/>
      <c r="QK53" s="673"/>
    </row>
    <row r="54" spans="1:453" s="558" customFormat="1">
      <c r="A54" s="680"/>
      <c r="B54" s="680"/>
      <c r="C54" s="2107" t="str">
        <f ca="1">TEXT(HYPERLINK("#"&amp;CELL("address",'Equipment Results Matrix'!A888),'Equipment Results Matrix'!A888),"0,000")</f>
        <v>SHW Boilers 
(&lt; 300 kBtuh, non-condensing)</v>
      </c>
      <c r="D54" s="2107"/>
      <c r="E54" s="2107"/>
      <c r="F54" s="2107"/>
      <c r="G54" s="2107"/>
      <c r="H54" s="2107"/>
      <c r="I54" s="680"/>
      <c r="J54" s="1525" t="str">
        <f ca="1">TEXT(HYPERLINK("#"&amp;CELL("address",'Labor Results Matrix'!A384),"Labor"),"0,000")</f>
        <v>Labor</v>
      </c>
      <c r="K54" s="1525"/>
      <c r="L54" s="2107" t="str">
        <f ca="1">TEXT(HYPERLINK("#"&amp;CELL("address",'Equipment + Labor'!A428),"Total installed cost"),"0,000")</f>
        <v>Total installed cost</v>
      </c>
      <c r="M54" s="2107"/>
      <c r="N54" s="2107"/>
      <c r="O54" s="673"/>
      <c r="P54" s="673"/>
      <c r="Q54" s="673"/>
      <c r="R54" s="673"/>
      <c r="S54" s="673"/>
      <c r="T54" s="673"/>
      <c r="U54" s="673"/>
      <c r="V54" s="673"/>
      <c r="W54" s="673"/>
      <c r="X54" s="673"/>
      <c r="Y54" s="673"/>
      <c r="Z54" s="673"/>
      <c r="AA54" s="673"/>
      <c r="AB54" s="673"/>
      <c r="AC54" s="673"/>
      <c r="AD54" s="673"/>
      <c r="AE54" s="673"/>
      <c r="AF54" s="673"/>
      <c r="AG54" s="673"/>
      <c r="AH54" s="673"/>
      <c r="AI54" s="673"/>
      <c r="AJ54" s="673"/>
      <c r="AK54" s="673"/>
      <c r="AL54" s="673"/>
      <c r="AM54" s="673"/>
      <c r="AN54" s="673"/>
      <c r="AO54" s="673"/>
      <c r="AP54" s="673"/>
      <c r="AQ54" s="673"/>
      <c r="AR54" s="673"/>
      <c r="AS54" s="673"/>
      <c r="AT54" s="673"/>
      <c r="AU54" s="673"/>
      <c r="AV54" s="673"/>
      <c r="AW54" s="673"/>
      <c r="AX54" s="673"/>
      <c r="AY54" s="673"/>
      <c r="AZ54" s="673"/>
      <c r="BA54" s="673"/>
      <c r="BB54" s="673"/>
      <c r="BC54" s="673"/>
      <c r="BD54" s="673"/>
      <c r="BE54" s="673"/>
      <c r="BF54" s="673"/>
      <c r="BG54" s="673"/>
      <c r="BH54" s="673"/>
      <c r="BI54" s="673"/>
      <c r="BJ54" s="673"/>
      <c r="BK54" s="673"/>
      <c r="BL54" s="673"/>
      <c r="BM54" s="673"/>
      <c r="BN54" s="673"/>
      <c r="BO54" s="673"/>
      <c r="BP54" s="673"/>
      <c r="BQ54" s="673"/>
      <c r="BR54" s="673"/>
      <c r="BS54" s="673"/>
      <c r="BT54" s="673"/>
      <c r="BU54" s="673"/>
      <c r="BV54" s="673"/>
      <c r="BW54" s="673"/>
      <c r="BX54" s="673"/>
      <c r="BY54" s="673"/>
      <c r="BZ54" s="673"/>
      <c r="CA54" s="673"/>
      <c r="CB54" s="673"/>
      <c r="CC54" s="673"/>
      <c r="CD54" s="673"/>
      <c r="CE54" s="673"/>
      <c r="CF54" s="673"/>
      <c r="CG54" s="673"/>
      <c r="CH54" s="673"/>
      <c r="CI54" s="673"/>
      <c r="CJ54" s="673"/>
      <c r="CK54" s="673"/>
      <c r="CL54" s="673"/>
      <c r="CM54" s="673"/>
      <c r="CN54" s="673"/>
      <c r="CO54" s="673"/>
      <c r="CP54" s="673"/>
      <c r="CQ54" s="673"/>
      <c r="CR54" s="673"/>
      <c r="CS54" s="673"/>
      <c r="CT54" s="673"/>
      <c r="CU54" s="673"/>
      <c r="CV54" s="673"/>
      <c r="CW54" s="673"/>
      <c r="CX54" s="673"/>
      <c r="CY54" s="673"/>
      <c r="CZ54" s="673"/>
      <c r="DA54" s="673"/>
      <c r="DB54" s="673"/>
      <c r="DC54" s="673"/>
      <c r="DD54" s="673"/>
      <c r="DE54" s="673"/>
      <c r="DF54" s="673"/>
      <c r="DG54" s="673"/>
      <c r="DH54" s="673"/>
      <c r="DI54" s="673"/>
      <c r="DJ54" s="673"/>
      <c r="DK54" s="673"/>
      <c r="DL54" s="673"/>
      <c r="DM54" s="673"/>
      <c r="DN54" s="673"/>
      <c r="DO54" s="673"/>
      <c r="DP54" s="673"/>
      <c r="DQ54" s="673"/>
      <c r="DR54" s="673"/>
      <c r="DS54" s="673"/>
      <c r="DT54" s="673"/>
      <c r="DU54" s="673"/>
      <c r="DV54" s="673"/>
      <c r="DW54" s="673"/>
      <c r="DX54" s="673"/>
      <c r="DY54" s="673"/>
      <c r="DZ54" s="673"/>
      <c r="EA54" s="673"/>
      <c r="EB54" s="673"/>
      <c r="EC54" s="673"/>
      <c r="ED54" s="673"/>
      <c r="EE54" s="673"/>
      <c r="EF54" s="673"/>
      <c r="EG54" s="673"/>
      <c r="EH54" s="673"/>
      <c r="EI54" s="673"/>
      <c r="EJ54" s="673"/>
      <c r="EK54" s="673"/>
      <c r="EL54" s="673"/>
      <c r="EM54" s="673"/>
      <c r="EN54" s="673"/>
      <c r="EO54" s="673"/>
      <c r="EP54" s="673"/>
      <c r="EQ54" s="673"/>
      <c r="ER54" s="673"/>
      <c r="ES54" s="673"/>
      <c r="ET54" s="673"/>
      <c r="EU54" s="673"/>
      <c r="EV54" s="673"/>
      <c r="EW54" s="673"/>
      <c r="EX54" s="673"/>
      <c r="EY54" s="673"/>
      <c r="EZ54" s="673"/>
      <c r="FA54" s="673"/>
      <c r="FB54" s="673"/>
      <c r="FC54" s="673"/>
      <c r="FD54" s="673"/>
      <c r="FE54" s="673"/>
      <c r="FF54" s="673"/>
      <c r="FG54" s="673"/>
      <c r="FH54" s="673"/>
      <c r="FI54" s="673"/>
      <c r="FJ54" s="673"/>
      <c r="FK54" s="673"/>
      <c r="FL54" s="673"/>
      <c r="FM54" s="673"/>
      <c r="FN54" s="673"/>
      <c r="FO54" s="673"/>
      <c r="FP54" s="673"/>
      <c r="FQ54" s="673"/>
      <c r="FR54" s="673"/>
      <c r="FS54" s="673"/>
      <c r="FT54" s="673"/>
      <c r="FU54" s="673"/>
      <c r="FV54" s="673"/>
      <c r="FW54" s="673"/>
      <c r="FX54" s="673"/>
      <c r="FY54" s="673"/>
      <c r="FZ54" s="673"/>
      <c r="GA54" s="673"/>
      <c r="GB54" s="673"/>
      <c r="GC54" s="673"/>
      <c r="GD54" s="673"/>
      <c r="GE54" s="673"/>
      <c r="GF54" s="673"/>
      <c r="GG54" s="673"/>
      <c r="GH54" s="673"/>
      <c r="GI54" s="673"/>
      <c r="GJ54" s="673"/>
      <c r="GK54" s="673"/>
      <c r="GL54" s="673"/>
      <c r="GM54" s="673"/>
      <c r="GN54" s="673"/>
      <c r="GO54" s="673"/>
      <c r="GP54" s="673"/>
      <c r="GQ54" s="673"/>
      <c r="GR54" s="673"/>
      <c r="GS54" s="673"/>
      <c r="GT54" s="673"/>
      <c r="GU54" s="673"/>
      <c r="GV54" s="673"/>
      <c r="GW54" s="673"/>
      <c r="GX54" s="673"/>
      <c r="GY54" s="673"/>
      <c r="GZ54" s="673"/>
      <c r="HA54" s="673"/>
      <c r="HB54" s="673"/>
      <c r="HC54" s="673"/>
      <c r="HD54" s="673"/>
      <c r="HE54" s="673"/>
      <c r="HF54" s="673"/>
      <c r="HG54" s="673"/>
      <c r="HH54" s="673"/>
      <c r="HI54" s="673"/>
      <c r="HJ54" s="673"/>
      <c r="HK54" s="673"/>
      <c r="HL54" s="673"/>
      <c r="HM54" s="673"/>
      <c r="HN54" s="673"/>
      <c r="HO54" s="673"/>
      <c r="HP54" s="673"/>
      <c r="HQ54" s="673"/>
      <c r="HR54" s="673"/>
      <c r="HS54" s="673"/>
      <c r="HT54" s="673"/>
      <c r="HU54" s="673"/>
      <c r="HV54" s="673"/>
      <c r="HW54" s="673"/>
      <c r="HX54" s="673"/>
      <c r="HY54" s="673"/>
      <c r="HZ54" s="673"/>
      <c r="IA54" s="673"/>
      <c r="IB54" s="673"/>
      <c r="IC54" s="673"/>
      <c r="ID54" s="673"/>
      <c r="IE54" s="673"/>
      <c r="IF54" s="673"/>
      <c r="IG54" s="673"/>
      <c r="IH54" s="673"/>
      <c r="II54" s="673"/>
      <c r="IJ54" s="673"/>
      <c r="IK54" s="673"/>
      <c r="IL54" s="673"/>
      <c r="IM54" s="673"/>
      <c r="IN54" s="673"/>
      <c r="IO54" s="673"/>
      <c r="IP54" s="673"/>
      <c r="IQ54" s="673"/>
      <c r="IR54" s="673"/>
      <c r="IS54" s="673"/>
      <c r="IT54" s="673"/>
      <c r="IU54" s="673"/>
      <c r="IV54" s="673"/>
      <c r="IW54" s="673"/>
      <c r="IX54" s="673"/>
      <c r="IY54" s="673"/>
      <c r="IZ54" s="673"/>
      <c r="JA54" s="673"/>
      <c r="JB54" s="673"/>
      <c r="JC54" s="673"/>
      <c r="JD54" s="673"/>
      <c r="JE54" s="673"/>
      <c r="JF54" s="673"/>
      <c r="JG54" s="673"/>
      <c r="JH54" s="673"/>
      <c r="JI54" s="673"/>
      <c r="JJ54" s="673"/>
      <c r="JK54" s="673"/>
      <c r="JL54" s="673"/>
      <c r="JM54" s="673"/>
      <c r="JN54" s="673"/>
      <c r="JO54" s="673"/>
      <c r="JP54" s="673"/>
      <c r="JQ54" s="673"/>
      <c r="JR54" s="673"/>
      <c r="JS54" s="673"/>
      <c r="JT54" s="673"/>
      <c r="JU54" s="673"/>
      <c r="JV54" s="673"/>
      <c r="JW54" s="673"/>
      <c r="JX54" s="673"/>
      <c r="JY54" s="673"/>
      <c r="JZ54" s="673"/>
      <c r="KA54" s="673"/>
      <c r="KB54" s="673"/>
      <c r="KC54" s="673"/>
      <c r="KD54" s="673"/>
      <c r="KE54" s="673"/>
      <c r="KF54" s="673"/>
      <c r="KG54" s="673"/>
      <c r="KH54" s="673"/>
      <c r="KI54" s="673"/>
      <c r="KJ54" s="673"/>
      <c r="KK54" s="673"/>
      <c r="KL54" s="673"/>
      <c r="KM54" s="673"/>
      <c r="KN54" s="673"/>
      <c r="KO54" s="673"/>
      <c r="KP54" s="673"/>
      <c r="KQ54" s="673"/>
      <c r="KR54" s="673"/>
      <c r="KS54" s="673"/>
      <c r="KT54" s="673"/>
      <c r="KU54" s="673"/>
      <c r="KV54" s="673"/>
      <c r="KW54" s="673"/>
      <c r="KX54" s="673"/>
      <c r="KY54" s="673"/>
      <c r="KZ54" s="673"/>
      <c r="LA54" s="673"/>
      <c r="LB54" s="673"/>
      <c r="LC54" s="673"/>
      <c r="LD54" s="673"/>
      <c r="LE54" s="673"/>
      <c r="LF54" s="673"/>
      <c r="LG54" s="673"/>
      <c r="LH54" s="673"/>
      <c r="LI54" s="673"/>
      <c r="LJ54" s="673"/>
      <c r="LK54" s="673"/>
      <c r="LL54" s="673"/>
      <c r="LM54" s="673"/>
      <c r="LN54" s="673"/>
      <c r="LO54" s="673"/>
      <c r="LP54" s="673"/>
      <c r="LQ54" s="673"/>
      <c r="LR54" s="673"/>
      <c r="LS54" s="673"/>
      <c r="LT54" s="673"/>
      <c r="LU54" s="673"/>
      <c r="LV54" s="673"/>
      <c r="LW54" s="673"/>
      <c r="LX54" s="673"/>
      <c r="LY54" s="673"/>
      <c r="LZ54" s="673"/>
      <c r="MA54" s="673"/>
      <c r="MB54" s="673"/>
      <c r="MC54" s="673"/>
      <c r="MD54" s="673"/>
      <c r="ME54" s="673"/>
      <c r="MF54" s="673"/>
      <c r="MG54" s="673"/>
      <c r="MH54" s="673"/>
      <c r="MI54" s="673"/>
      <c r="MJ54" s="673"/>
      <c r="MK54" s="673"/>
      <c r="ML54" s="673"/>
      <c r="MM54" s="673"/>
      <c r="MN54" s="673"/>
      <c r="MO54" s="673"/>
      <c r="MP54" s="673"/>
      <c r="MQ54" s="673"/>
      <c r="MR54" s="673"/>
      <c r="MS54" s="673"/>
      <c r="MT54" s="673"/>
      <c r="MU54" s="673"/>
      <c r="MV54" s="673"/>
      <c r="MW54" s="673"/>
      <c r="MX54" s="673"/>
      <c r="MY54" s="673"/>
      <c r="MZ54" s="673"/>
      <c r="NA54" s="673"/>
      <c r="NB54" s="673"/>
      <c r="NC54" s="673"/>
      <c r="ND54" s="673"/>
      <c r="NE54" s="673"/>
      <c r="NF54" s="673"/>
      <c r="NG54" s="673"/>
      <c r="NH54" s="673"/>
      <c r="NI54" s="673"/>
      <c r="NJ54" s="673"/>
      <c r="NK54" s="673"/>
      <c r="NL54" s="673"/>
      <c r="NM54" s="673"/>
      <c r="NN54" s="673"/>
      <c r="NO54" s="673"/>
      <c r="NP54" s="673"/>
      <c r="NQ54" s="673"/>
      <c r="NR54" s="673"/>
      <c r="NS54" s="673"/>
      <c r="NT54" s="673"/>
      <c r="NU54" s="673"/>
      <c r="NV54" s="673"/>
      <c r="NW54" s="673"/>
      <c r="NX54" s="673"/>
      <c r="NY54" s="673"/>
      <c r="NZ54" s="673"/>
      <c r="OA54" s="673"/>
      <c r="OB54" s="673"/>
      <c r="OC54" s="673"/>
      <c r="OD54" s="673"/>
      <c r="OE54" s="673"/>
      <c r="OF54" s="673"/>
      <c r="OG54" s="673"/>
      <c r="OH54" s="673"/>
      <c r="OI54" s="673"/>
      <c r="OJ54" s="673"/>
      <c r="OK54" s="673"/>
      <c r="OL54" s="673"/>
      <c r="OM54" s="673"/>
      <c r="ON54" s="673"/>
      <c r="OO54" s="673"/>
      <c r="OP54" s="673"/>
      <c r="OQ54" s="673"/>
      <c r="OR54" s="673"/>
      <c r="OS54" s="673"/>
      <c r="OT54" s="673"/>
      <c r="OU54" s="673"/>
      <c r="OV54" s="673"/>
      <c r="OW54" s="673"/>
      <c r="OX54" s="673"/>
      <c r="OY54" s="673"/>
      <c r="OZ54" s="673"/>
      <c r="PA54" s="673"/>
      <c r="PB54" s="673"/>
      <c r="PC54" s="673"/>
      <c r="PD54" s="673"/>
      <c r="PE54" s="673"/>
      <c r="PF54" s="673"/>
      <c r="PG54" s="673"/>
      <c r="PH54" s="673"/>
      <c r="PI54" s="673"/>
      <c r="PJ54" s="673"/>
      <c r="PK54" s="673"/>
      <c r="PL54" s="673"/>
      <c r="PM54" s="673"/>
      <c r="PN54" s="673"/>
      <c r="PO54" s="673"/>
      <c r="PP54" s="673"/>
      <c r="PQ54" s="673"/>
      <c r="PR54" s="673"/>
      <c r="PS54" s="673"/>
      <c r="PT54" s="673"/>
      <c r="PU54" s="673"/>
      <c r="PV54" s="673"/>
      <c r="PW54" s="673"/>
      <c r="PX54" s="673"/>
      <c r="PY54" s="673"/>
      <c r="PZ54" s="673"/>
      <c r="QA54" s="673"/>
      <c r="QB54" s="673"/>
      <c r="QC54" s="673"/>
      <c r="QD54" s="673"/>
      <c r="QE54" s="673"/>
      <c r="QF54" s="673"/>
      <c r="QG54" s="673"/>
      <c r="QH54" s="673"/>
      <c r="QI54" s="673"/>
      <c r="QJ54" s="673"/>
      <c r="QK54" s="673"/>
    </row>
    <row r="55" spans="1:453" s="558" customFormat="1">
      <c r="A55" s="680"/>
      <c r="B55" s="680"/>
      <c r="C55" s="2107" t="str">
        <f ca="1">TEXT(HYPERLINK("#"&amp;CELL("address",'Equipment Results Matrix'!A899),'Equipment Results Matrix'!A899),"0,000")</f>
        <v>SHW Boilers 
(&gt; 300 kBtuh, non-condensing)</v>
      </c>
      <c r="D55" s="2107"/>
      <c r="E55" s="2107"/>
      <c r="F55" s="2107"/>
      <c r="G55" s="2107"/>
      <c r="H55" s="2107"/>
      <c r="I55" s="680"/>
      <c r="J55" s="1525" t="str">
        <f ca="1">TEXT(HYPERLINK("#"&amp;CELL("address",'Labor Results Matrix'!A395),"Labor"),"0,000")</f>
        <v>Labor</v>
      </c>
      <c r="K55" s="1525"/>
      <c r="L55" s="2107" t="str">
        <f ca="1">TEXT(HYPERLINK("#"&amp;CELL("address",'Equipment + Labor'!A432),"Total installed cost"),"0,000")</f>
        <v>Total installed cost</v>
      </c>
      <c r="M55" s="2107"/>
      <c r="N55" s="2107"/>
      <c r="O55" s="673"/>
      <c r="P55" s="673"/>
      <c r="Q55" s="673"/>
      <c r="R55" s="673"/>
      <c r="S55" s="673"/>
      <c r="T55" s="673"/>
      <c r="U55" s="673"/>
      <c r="V55" s="673"/>
      <c r="W55" s="673"/>
      <c r="X55" s="673"/>
      <c r="Y55" s="673"/>
      <c r="Z55" s="673"/>
      <c r="AA55" s="673"/>
      <c r="AB55" s="673"/>
      <c r="AC55" s="673"/>
      <c r="AD55" s="673"/>
      <c r="AE55" s="673"/>
      <c r="AF55" s="673"/>
      <c r="AG55" s="673"/>
      <c r="AH55" s="673"/>
      <c r="AI55" s="673"/>
      <c r="AJ55" s="673"/>
      <c r="AK55" s="673"/>
      <c r="AL55" s="673"/>
      <c r="AM55" s="673"/>
      <c r="AN55" s="673"/>
      <c r="AO55" s="673"/>
      <c r="AP55" s="673"/>
      <c r="AQ55" s="673"/>
      <c r="AR55" s="673"/>
      <c r="AS55" s="673"/>
      <c r="AT55" s="673"/>
      <c r="AU55" s="673"/>
      <c r="AV55" s="673"/>
      <c r="AW55" s="673"/>
      <c r="AX55" s="673"/>
      <c r="AY55" s="673"/>
      <c r="AZ55" s="673"/>
      <c r="BA55" s="673"/>
      <c r="BB55" s="673"/>
      <c r="BC55" s="673"/>
      <c r="BD55" s="673"/>
      <c r="BE55" s="673"/>
      <c r="BF55" s="673"/>
      <c r="BG55" s="673"/>
      <c r="BH55" s="673"/>
      <c r="BI55" s="673"/>
      <c r="BJ55" s="673"/>
      <c r="BK55" s="673"/>
      <c r="BL55" s="673"/>
      <c r="BM55" s="673"/>
      <c r="BN55" s="673"/>
      <c r="BO55" s="673"/>
      <c r="BP55" s="673"/>
      <c r="BQ55" s="673"/>
      <c r="BR55" s="673"/>
      <c r="BS55" s="673"/>
      <c r="BT55" s="673"/>
      <c r="BU55" s="673"/>
      <c r="BV55" s="673"/>
      <c r="BW55" s="673"/>
      <c r="BX55" s="673"/>
      <c r="BY55" s="673"/>
      <c r="BZ55" s="673"/>
      <c r="CA55" s="673"/>
      <c r="CB55" s="673"/>
      <c r="CC55" s="673"/>
      <c r="CD55" s="673"/>
      <c r="CE55" s="673"/>
      <c r="CF55" s="673"/>
      <c r="CG55" s="673"/>
      <c r="CH55" s="673"/>
      <c r="CI55" s="673"/>
      <c r="CJ55" s="673"/>
      <c r="CK55" s="673"/>
      <c r="CL55" s="673"/>
      <c r="CM55" s="673"/>
      <c r="CN55" s="673"/>
      <c r="CO55" s="673"/>
      <c r="CP55" s="673"/>
      <c r="CQ55" s="673"/>
      <c r="CR55" s="673"/>
      <c r="CS55" s="673"/>
      <c r="CT55" s="673"/>
      <c r="CU55" s="673"/>
      <c r="CV55" s="673"/>
      <c r="CW55" s="673"/>
      <c r="CX55" s="673"/>
      <c r="CY55" s="673"/>
      <c r="CZ55" s="673"/>
      <c r="DA55" s="673"/>
      <c r="DB55" s="673"/>
      <c r="DC55" s="673"/>
      <c r="DD55" s="673"/>
      <c r="DE55" s="673"/>
      <c r="DF55" s="673"/>
      <c r="DG55" s="673"/>
      <c r="DH55" s="673"/>
      <c r="DI55" s="673"/>
      <c r="DJ55" s="673"/>
      <c r="DK55" s="673"/>
      <c r="DL55" s="673"/>
      <c r="DM55" s="673"/>
      <c r="DN55" s="673"/>
      <c r="DO55" s="673"/>
      <c r="DP55" s="673"/>
      <c r="DQ55" s="673"/>
      <c r="DR55" s="673"/>
      <c r="DS55" s="673"/>
      <c r="DT55" s="673"/>
      <c r="DU55" s="673"/>
      <c r="DV55" s="673"/>
      <c r="DW55" s="673"/>
      <c r="DX55" s="673"/>
      <c r="DY55" s="673"/>
      <c r="DZ55" s="673"/>
      <c r="EA55" s="673"/>
      <c r="EB55" s="673"/>
      <c r="EC55" s="673"/>
      <c r="ED55" s="673"/>
      <c r="EE55" s="673"/>
      <c r="EF55" s="673"/>
      <c r="EG55" s="673"/>
      <c r="EH55" s="673"/>
      <c r="EI55" s="673"/>
      <c r="EJ55" s="673"/>
      <c r="EK55" s="673"/>
      <c r="EL55" s="673"/>
      <c r="EM55" s="673"/>
      <c r="EN55" s="673"/>
      <c r="EO55" s="673"/>
      <c r="EP55" s="673"/>
      <c r="EQ55" s="673"/>
      <c r="ER55" s="673"/>
      <c r="ES55" s="673"/>
      <c r="ET55" s="673"/>
      <c r="EU55" s="673"/>
      <c r="EV55" s="673"/>
      <c r="EW55" s="673"/>
      <c r="EX55" s="673"/>
      <c r="EY55" s="673"/>
      <c r="EZ55" s="673"/>
      <c r="FA55" s="673"/>
      <c r="FB55" s="673"/>
      <c r="FC55" s="673"/>
      <c r="FD55" s="673"/>
      <c r="FE55" s="673"/>
      <c r="FF55" s="673"/>
      <c r="FG55" s="673"/>
      <c r="FH55" s="673"/>
      <c r="FI55" s="673"/>
      <c r="FJ55" s="673"/>
      <c r="FK55" s="673"/>
      <c r="FL55" s="673"/>
      <c r="FM55" s="673"/>
      <c r="FN55" s="673"/>
      <c r="FO55" s="673"/>
      <c r="FP55" s="673"/>
      <c r="FQ55" s="673"/>
      <c r="FR55" s="673"/>
      <c r="FS55" s="673"/>
      <c r="FT55" s="673"/>
      <c r="FU55" s="673"/>
      <c r="FV55" s="673"/>
      <c r="FW55" s="673"/>
      <c r="FX55" s="673"/>
      <c r="FY55" s="673"/>
      <c r="FZ55" s="673"/>
      <c r="GA55" s="673"/>
      <c r="GB55" s="673"/>
      <c r="GC55" s="673"/>
      <c r="GD55" s="673"/>
      <c r="GE55" s="673"/>
      <c r="GF55" s="673"/>
      <c r="GG55" s="673"/>
      <c r="GH55" s="673"/>
      <c r="GI55" s="673"/>
      <c r="GJ55" s="673"/>
      <c r="GK55" s="673"/>
      <c r="GL55" s="673"/>
      <c r="GM55" s="673"/>
      <c r="GN55" s="673"/>
      <c r="GO55" s="673"/>
      <c r="GP55" s="673"/>
      <c r="GQ55" s="673"/>
      <c r="GR55" s="673"/>
      <c r="GS55" s="673"/>
      <c r="GT55" s="673"/>
      <c r="GU55" s="673"/>
      <c r="GV55" s="673"/>
      <c r="GW55" s="673"/>
      <c r="GX55" s="673"/>
      <c r="GY55" s="673"/>
      <c r="GZ55" s="673"/>
      <c r="HA55" s="673"/>
      <c r="HB55" s="673"/>
      <c r="HC55" s="673"/>
      <c r="HD55" s="673"/>
      <c r="HE55" s="673"/>
      <c r="HF55" s="673"/>
      <c r="HG55" s="673"/>
      <c r="HH55" s="673"/>
      <c r="HI55" s="673"/>
      <c r="HJ55" s="673"/>
      <c r="HK55" s="673"/>
      <c r="HL55" s="673"/>
      <c r="HM55" s="673"/>
      <c r="HN55" s="673"/>
      <c r="HO55" s="673"/>
      <c r="HP55" s="673"/>
      <c r="HQ55" s="673"/>
      <c r="HR55" s="673"/>
      <c r="HS55" s="673"/>
      <c r="HT55" s="673"/>
      <c r="HU55" s="673"/>
      <c r="HV55" s="673"/>
      <c r="HW55" s="673"/>
      <c r="HX55" s="673"/>
      <c r="HY55" s="673"/>
      <c r="HZ55" s="673"/>
      <c r="IA55" s="673"/>
      <c r="IB55" s="673"/>
      <c r="IC55" s="673"/>
      <c r="ID55" s="673"/>
      <c r="IE55" s="673"/>
      <c r="IF55" s="673"/>
      <c r="IG55" s="673"/>
      <c r="IH55" s="673"/>
      <c r="II55" s="673"/>
      <c r="IJ55" s="673"/>
      <c r="IK55" s="673"/>
      <c r="IL55" s="673"/>
      <c r="IM55" s="673"/>
      <c r="IN55" s="673"/>
      <c r="IO55" s="673"/>
      <c r="IP55" s="673"/>
      <c r="IQ55" s="673"/>
      <c r="IR55" s="673"/>
      <c r="IS55" s="673"/>
      <c r="IT55" s="673"/>
      <c r="IU55" s="673"/>
      <c r="IV55" s="673"/>
      <c r="IW55" s="673"/>
      <c r="IX55" s="673"/>
      <c r="IY55" s="673"/>
      <c r="IZ55" s="673"/>
      <c r="JA55" s="673"/>
      <c r="JB55" s="673"/>
      <c r="JC55" s="673"/>
      <c r="JD55" s="673"/>
      <c r="JE55" s="673"/>
      <c r="JF55" s="673"/>
      <c r="JG55" s="673"/>
      <c r="JH55" s="673"/>
      <c r="JI55" s="673"/>
      <c r="JJ55" s="673"/>
      <c r="JK55" s="673"/>
      <c r="JL55" s="673"/>
      <c r="JM55" s="673"/>
      <c r="JN55" s="673"/>
      <c r="JO55" s="673"/>
      <c r="JP55" s="673"/>
      <c r="JQ55" s="673"/>
      <c r="JR55" s="673"/>
      <c r="JS55" s="673"/>
      <c r="JT55" s="673"/>
      <c r="JU55" s="673"/>
      <c r="JV55" s="673"/>
      <c r="JW55" s="673"/>
      <c r="JX55" s="673"/>
      <c r="JY55" s="673"/>
      <c r="JZ55" s="673"/>
      <c r="KA55" s="673"/>
      <c r="KB55" s="673"/>
      <c r="KC55" s="673"/>
      <c r="KD55" s="673"/>
      <c r="KE55" s="673"/>
      <c r="KF55" s="673"/>
      <c r="KG55" s="673"/>
      <c r="KH55" s="673"/>
      <c r="KI55" s="673"/>
      <c r="KJ55" s="673"/>
      <c r="KK55" s="673"/>
      <c r="KL55" s="673"/>
      <c r="KM55" s="673"/>
      <c r="KN55" s="673"/>
      <c r="KO55" s="673"/>
      <c r="KP55" s="673"/>
      <c r="KQ55" s="673"/>
      <c r="KR55" s="673"/>
      <c r="KS55" s="673"/>
      <c r="KT55" s="673"/>
      <c r="KU55" s="673"/>
      <c r="KV55" s="673"/>
      <c r="KW55" s="673"/>
      <c r="KX55" s="673"/>
      <c r="KY55" s="673"/>
      <c r="KZ55" s="673"/>
      <c r="LA55" s="673"/>
      <c r="LB55" s="673"/>
      <c r="LC55" s="673"/>
      <c r="LD55" s="673"/>
      <c r="LE55" s="673"/>
      <c r="LF55" s="673"/>
      <c r="LG55" s="673"/>
      <c r="LH55" s="673"/>
      <c r="LI55" s="673"/>
      <c r="LJ55" s="673"/>
      <c r="LK55" s="673"/>
      <c r="LL55" s="673"/>
      <c r="LM55" s="673"/>
      <c r="LN55" s="673"/>
      <c r="LO55" s="673"/>
      <c r="LP55" s="673"/>
      <c r="LQ55" s="673"/>
      <c r="LR55" s="673"/>
      <c r="LS55" s="673"/>
      <c r="LT55" s="673"/>
      <c r="LU55" s="673"/>
      <c r="LV55" s="673"/>
      <c r="LW55" s="673"/>
      <c r="LX55" s="673"/>
      <c r="LY55" s="673"/>
      <c r="LZ55" s="673"/>
      <c r="MA55" s="673"/>
      <c r="MB55" s="673"/>
      <c r="MC55" s="673"/>
      <c r="MD55" s="673"/>
      <c r="ME55" s="673"/>
      <c r="MF55" s="673"/>
      <c r="MG55" s="673"/>
      <c r="MH55" s="673"/>
      <c r="MI55" s="673"/>
      <c r="MJ55" s="673"/>
      <c r="MK55" s="673"/>
      <c r="ML55" s="673"/>
      <c r="MM55" s="673"/>
      <c r="MN55" s="673"/>
      <c r="MO55" s="673"/>
      <c r="MP55" s="673"/>
      <c r="MQ55" s="673"/>
      <c r="MR55" s="673"/>
      <c r="MS55" s="673"/>
      <c r="MT55" s="673"/>
      <c r="MU55" s="673"/>
      <c r="MV55" s="673"/>
      <c r="MW55" s="673"/>
      <c r="MX55" s="673"/>
      <c r="MY55" s="673"/>
      <c r="MZ55" s="673"/>
      <c r="NA55" s="673"/>
      <c r="NB55" s="673"/>
      <c r="NC55" s="673"/>
      <c r="ND55" s="673"/>
      <c r="NE55" s="673"/>
      <c r="NF55" s="673"/>
      <c r="NG55" s="673"/>
      <c r="NH55" s="673"/>
      <c r="NI55" s="673"/>
      <c r="NJ55" s="673"/>
      <c r="NK55" s="673"/>
      <c r="NL55" s="673"/>
      <c r="NM55" s="673"/>
      <c r="NN55" s="673"/>
      <c r="NO55" s="673"/>
      <c r="NP55" s="673"/>
      <c r="NQ55" s="673"/>
      <c r="NR55" s="673"/>
      <c r="NS55" s="673"/>
      <c r="NT55" s="673"/>
      <c r="NU55" s="673"/>
      <c r="NV55" s="673"/>
      <c r="NW55" s="673"/>
      <c r="NX55" s="673"/>
      <c r="NY55" s="673"/>
      <c r="NZ55" s="673"/>
      <c r="OA55" s="673"/>
      <c r="OB55" s="673"/>
      <c r="OC55" s="673"/>
      <c r="OD55" s="673"/>
      <c r="OE55" s="673"/>
      <c r="OF55" s="673"/>
      <c r="OG55" s="673"/>
      <c r="OH55" s="673"/>
      <c r="OI55" s="673"/>
      <c r="OJ55" s="673"/>
      <c r="OK55" s="673"/>
      <c r="OL55" s="673"/>
      <c r="OM55" s="673"/>
      <c r="ON55" s="673"/>
      <c r="OO55" s="673"/>
      <c r="OP55" s="673"/>
      <c r="OQ55" s="673"/>
      <c r="OR55" s="673"/>
      <c r="OS55" s="673"/>
      <c r="OT55" s="673"/>
      <c r="OU55" s="673"/>
      <c r="OV55" s="673"/>
      <c r="OW55" s="673"/>
      <c r="OX55" s="673"/>
      <c r="OY55" s="673"/>
      <c r="OZ55" s="673"/>
      <c r="PA55" s="673"/>
      <c r="PB55" s="673"/>
      <c r="PC55" s="673"/>
      <c r="PD55" s="673"/>
      <c r="PE55" s="673"/>
      <c r="PF55" s="673"/>
      <c r="PG55" s="673"/>
      <c r="PH55" s="673"/>
      <c r="PI55" s="673"/>
      <c r="PJ55" s="673"/>
      <c r="PK55" s="673"/>
      <c r="PL55" s="673"/>
      <c r="PM55" s="673"/>
      <c r="PN55" s="673"/>
      <c r="PO55" s="673"/>
      <c r="PP55" s="673"/>
      <c r="PQ55" s="673"/>
      <c r="PR55" s="673"/>
      <c r="PS55" s="673"/>
      <c r="PT55" s="673"/>
      <c r="PU55" s="673"/>
      <c r="PV55" s="673"/>
      <c r="PW55" s="673"/>
      <c r="PX55" s="673"/>
      <c r="PY55" s="673"/>
      <c r="PZ55" s="673"/>
      <c r="QA55" s="673"/>
      <c r="QB55" s="673"/>
      <c r="QC55" s="673"/>
      <c r="QD55" s="673"/>
      <c r="QE55" s="673"/>
      <c r="QF55" s="673"/>
      <c r="QG55" s="673"/>
      <c r="QH55" s="673"/>
      <c r="QI55" s="673"/>
      <c r="QJ55" s="673"/>
      <c r="QK55" s="673"/>
    </row>
    <row r="56" spans="1:453" s="558" customFormat="1">
      <c r="A56" s="680"/>
      <c r="B56" s="680"/>
      <c r="C56" s="2107" t="str">
        <f ca="1">TEXT(HYPERLINK("#"&amp;CELL("address",'Equipment Results Matrix'!A912),'Equipment Results Matrix'!A912),"0,000")</f>
        <v>SHW Boilers 
(condensing)</v>
      </c>
      <c r="D56" s="2107"/>
      <c r="E56" s="2107"/>
      <c r="F56" s="2107"/>
      <c r="G56" s="2107"/>
      <c r="H56" s="2107"/>
      <c r="I56" s="680"/>
      <c r="J56" s="1525" t="str">
        <f ca="1">TEXT(HYPERLINK("#"&amp;CELL("address",'Labor Results Matrix'!A414),"Labor"),"0,000")</f>
        <v>Labor</v>
      </c>
      <c r="K56" s="1525"/>
      <c r="L56" s="2107" t="str">
        <f ca="1">TEXT(HYPERLINK("#"&amp;CELL("address",'Equipment + Labor'!A439),"Total installed cost"),"0,000")</f>
        <v>Total installed cost</v>
      </c>
      <c r="M56" s="2107"/>
      <c r="N56" s="2107"/>
      <c r="O56" s="673"/>
      <c r="P56" s="673"/>
      <c r="Q56" s="673"/>
      <c r="R56" s="673"/>
      <c r="S56" s="673"/>
      <c r="T56" s="673"/>
      <c r="U56" s="673"/>
      <c r="V56" s="673"/>
      <c r="W56" s="673"/>
      <c r="X56" s="673"/>
      <c r="Y56" s="673"/>
      <c r="Z56" s="673"/>
      <c r="AA56" s="673"/>
      <c r="AB56" s="673"/>
      <c r="AC56" s="673"/>
      <c r="AD56" s="673"/>
      <c r="AE56" s="673"/>
      <c r="AF56" s="673"/>
      <c r="AG56" s="673"/>
      <c r="AH56" s="673"/>
      <c r="AI56" s="673"/>
      <c r="AJ56" s="673"/>
      <c r="AK56" s="673"/>
      <c r="AL56" s="673"/>
      <c r="AM56" s="673"/>
      <c r="AN56" s="673"/>
      <c r="AO56" s="673"/>
      <c r="AP56" s="673"/>
      <c r="AQ56" s="673"/>
      <c r="AR56" s="673"/>
      <c r="AS56" s="673"/>
      <c r="AT56" s="673"/>
      <c r="AU56" s="673"/>
      <c r="AV56" s="673"/>
      <c r="AW56" s="673"/>
      <c r="AX56" s="673"/>
      <c r="AY56" s="673"/>
      <c r="AZ56" s="673"/>
      <c r="BA56" s="673"/>
      <c r="BB56" s="673"/>
      <c r="BC56" s="673"/>
      <c r="BD56" s="673"/>
      <c r="BE56" s="673"/>
      <c r="BF56" s="673"/>
      <c r="BG56" s="673"/>
      <c r="BH56" s="673"/>
      <c r="BI56" s="673"/>
      <c r="BJ56" s="673"/>
      <c r="BK56" s="673"/>
      <c r="BL56" s="673"/>
      <c r="BM56" s="673"/>
      <c r="BN56" s="673"/>
      <c r="BO56" s="673"/>
      <c r="BP56" s="673"/>
      <c r="BQ56" s="673"/>
      <c r="BR56" s="673"/>
      <c r="BS56" s="673"/>
      <c r="BT56" s="673"/>
      <c r="BU56" s="673"/>
      <c r="BV56" s="673"/>
      <c r="BW56" s="673"/>
      <c r="BX56" s="673"/>
      <c r="BY56" s="673"/>
      <c r="BZ56" s="673"/>
      <c r="CA56" s="673"/>
      <c r="CB56" s="673"/>
      <c r="CC56" s="673"/>
      <c r="CD56" s="673"/>
      <c r="CE56" s="673"/>
      <c r="CF56" s="673"/>
      <c r="CG56" s="673"/>
      <c r="CH56" s="673"/>
      <c r="CI56" s="673"/>
      <c r="CJ56" s="673"/>
      <c r="CK56" s="673"/>
      <c r="CL56" s="673"/>
      <c r="CM56" s="673"/>
      <c r="CN56" s="673"/>
      <c r="CO56" s="673"/>
      <c r="CP56" s="673"/>
      <c r="CQ56" s="673"/>
      <c r="CR56" s="673"/>
      <c r="CS56" s="673"/>
      <c r="CT56" s="673"/>
      <c r="CU56" s="673"/>
      <c r="CV56" s="673"/>
      <c r="CW56" s="673"/>
      <c r="CX56" s="673"/>
      <c r="CY56" s="673"/>
      <c r="CZ56" s="673"/>
      <c r="DA56" s="673"/>
      <c r="DB56" s="673"/>
      <c r="DC56" s="673"/>
      <c r="DD56" s="673"/>
      <c r="DE56" s="673"/>
      <c r="DF56" s="673"/>
      <c r="DG56" s="673"/>
      <c r="DH56" s="673"/>
      <c r="DI56" s="673"/>
      <c r="DJ56" s="673"/>
      <c r="DK56" s="673"/>
      <c r="DL56" s="673"/>
      <c r="DM56" s="673"/>
      <c r="DN56" s="673"/>
      <c r="DO56" s="673"/>
      <c r="DP56" s="673"/>
      <c r="DQ56" s="673"/>
      <c r="DR56" s="673"/>
      <c r="DS56" s="673"/>
      <c r="DT56" s="673"/>
      <c r="DU56" s="673"/>
      <c r="DV56" s="673"/>
      <c r="DW56" s="673"/>
      <c r="DX56" s="673"/>
      <c r="DY56" s="673"/>
      <c r="DZ56" s="673"/>
      <c r="EA56" s="673"/>
      <c r="EB56" s="673"/>
      <c r="EC56" s="673"/>
      <c r="ED56" s="673"/>
      <c r="EE56" s="673"/>
      <c r="EF56" s="673"/>
      <c r="EG56" s="673"/>
      <c r="EH56" s="673"/>
      <c r="EI56" s="673"/>
      <c r="EJ56" s="673"/>
      <c r="EK56" s="673"/>
      <c r="EL56" s="673"/>
      <c r="EM56" s="673"/>
      <c r="EN56" s="673"/>
      <c r="EO56" s="673"/>
      <c r="EP56" s="673"/>
      <c r="EQ56" s="673"/>
      <c r="ER56" s="673"/>
      <c r="ES56" s="673"/>
      <c r="ET56" s="673"/>
      <c r="EU56" s="673"/>
      <c r="EV56" s="673"/>
      <c r="EW56" s="673"/>
      <c r="EX56" s="673"/>
      <c r="EY56" s="673"/>
      <c r="EZ56" s="673"/>
      <c r="FA56" s="673"/>
      <c r="FB56" s="673"/>
      <c r="FC56" s="673"/>
      <c r="FD56" s="673"/>
      <c r="FE56" s="673"/>
      <c r="FF56" s="673"/>
      <c r="FG56" s="673"/>
      <c r="FH56" s="673"/>
      <c r="FI56" s="673"/>
      <c r="FJ56" s="673"/>
      <c r="FK56" s="673"/>
      <c r="FL56" s="673"/>
      <c r="FM56" s="673"/>
      <c r="FN56" s="673"/>
      <c r="FO56" s="673"/>
      <c r="FP56" s="673"/>
      <c r="FQ56" s="673"/>
      <c r="FR56" s="673"/>
      <c r="FS56" s="673"/>
      <c r="FT56" s="673"/>
      <c r="FU56" s="673"/>
      <c r="FV56" s="673"/>
      <c r="FW56" s="673"/>
      <c r="FX56" s="673"/>
      <c r="FY56" s="673"/>
      <c r="FZ56" s="673"/>
      <c r="GA56" s="673"/>
      <c r="GB56" s="673"/>
      <c r="GC56" s="673"/>
      <c r="GD56" s="673"/>
      <c r="GE56" s="673"/>
      <c r="GF56" s="673"/>
      <c r="GG56" s="673"/>
      <c r="GH56" s="673"/>
      <c r="GI56" s="673"/>
      <c r="GJ56" s="673"/>
      <c r="GK56" s="673"/>
      <c r="GL56" s="673"/>
      <c r="GM56" s="673"/>
      <c r="GN56" s="673"/>
      <c r="GO56" s="673"/>
      <c r="GP56" s="673"/>
      <c r="GQ56" s="673"/>
      <c r="GR56" s="673"/>
      <c r="GS56" s="673"/>
      <c r="GT56" s="673"/>
      <c r="GU56" s="673"/>
      <c r="GV56" s="673"/>
      <c r="GW56" s="673"/>
      <c r="GX56" s="673"/>
      <c r="GY56" s="673"/>
      <c r="GZ56" s="673"/>
      <c r="HA56" s="673"/>
      <c r="HB56" s="673"/>
      <c r="HC56" s="673"/>
      <c r="HD56" s="673"/>
      <c r="HE56" s="673"/>
      <c r="HF56" s="673"/>
      <c r="HG56" s="673"/>
      <c r="HH56" s="673"/>
      <c r="HI56" s="673"/>
      <c r="HJ56" s="673"/>
      <c r="HK56" s="673"/>
      <c r="HL56" s="673"/>
      <c r="HM56" s="673"/>
      <c r="HN56" s="673"/>
      <c r="HO56" s="673"/>
      <c r="HP56" s="673"/>
      <c r="HQ56" s="673"/>
      <c r="HR56" s="673"/>
      <c r="HS56" s="673"/>
      <c r="HT56" s="673"/>
      <c r="HU56" s="673"/>
      <c r="HV56" s="673"/>
      <c r="HW56" s="673"/>
      <c r="HX56" s="673"/>
      <c r="HY56" s="673"/>
      <c r="HZ56" s="673"/>
      <c r="IA56" s="673"/>
      <c r="IB56" s="673"/>
      <c r="IC56" s="673"/>
      <c r="ID56" s="673"/>
      <c r="IE56" s="673"/>
      <c r="IF56" s="673"/>
      <c r="IG56" s="673"/>
      <c r="IH56" s="673"/>
      <c r="II56" s="673"/>
      <c r="IJ56" s="673"/>
      <c r="IK56" s="673"/>
      <c r="IL56" s="673"/>
      <c r="IM56" s="673"/>
      <c r="IN56" s="673"/>
      <c r="IO56" s="673"/>
      <c r="IP56" s="673"/>
      <c r="IQ56" s="673"/>
      <c r="IR56" s="673"/>
      <c r="IS56" s="673"/>
      <c r="IT56" s="673"/>
      <c r="IU56" s="673"/>
      <c r="IV56" s="673"/>
      <c r="IW56" s="673"/>
      <c r="IX56" s="673"/>
      <c r="IY56" s="673"/>
      <c r="IZ56" s="673"/>
      <c r="JA56" s="673"/>
      <c r="JB56" s="673"/>
      <c r="JC56" s="673"/>
      <c r="JD56" s="673"/>
      <c r="JE56" s="673"/>
      <c r="JF56" s="673"/>
      <c r="JG56" s="673"/>
      <c r="JH56" s="673"/>
      <c r="JI56" s="673"/>
      <c r="JJ56" s="673"/>
      <c r="JK56" s="673"/>
      <c r="JL56" s="673"/>
      <c r="JM56" s="673"/>
      <c r="JN56" s="673"/>
      <c r="JO56" s="673"/>
      <c r="JP56" s="673"/>
      <c r="JQ56" s="673"/>
      <c r="JR56" s="673"/>
      <c r="JS56" s="673"/>
      <c r="JT56" s="673"/>
      <c r="JU56" s="673"/>
      <c r="JV56" s="673"/>
      <c r="JW56" s="673"/>
      <c r="JX56" s="673"/>
      <c r="JY56" s="673"/>
      <c r="JZ56" s="673"/>
      <c r="KA56" s="673"/>
      <c r="KB56" s="673"/>
      <c r="KC56" s="673"/>
      <c r="KD56" s="673"/>
      <c r="KE56" s="673"/>
      <c r="KF56" s="673"/>
      <c r="KG56" s="673"/>
      <c r="KH56" s="673"/>
      <c r="KI56" s="673"/>
      <c r="KJ56" s="673"/>
      <c r="KK56" s="673"/>
      <c r="KL56" s="673"/>
      <c r="KM56" s="673"/>
      <c r="KN56" s="673"/>
      <c r="KO56" s="673"/>
      <c r="KP56" s="673"/>
      <c r="KQ56" s="673"/>
      <c r="KR56" s="673"/>
      <c r="KS56" s="673"/>
      <c r="KT56" s="673"/>
      <c r="KU56" s="673"/>
      <c r="KV56" s="673"/>
      <c r="KW56" s="673"/>
      <c r="KX56" s="673"/>
      <c r="KY56" s="673"/>
      <c r="KZ56" s="673"/>
      <c r="LA56" s="673"/>
      <c r="LB56" s="673"/>
      <c r="LC56" s="673"/>
      <c r="LD56" s="673"/>
      <c r="LE56" s="673"/>
      <c r="LF56" s="673"/>
      <c r="LG56" s="673"/>
      <c r="LH56" s="673"/>
      <c r="LI56" s="673"/>
      <c r="LJ56" s="673"/>
      <c r="LK56" s="673"/>
      <c r="LL56" s="673"/>
      <c r="LM56" s="673"/>
      <c r="LN56" s="673"/>
      <c r="LO56" s="673"/>
      <c r="LP56" s="673"/>
      <c r="LQ56" s="673"/>
      <c r="LR56" s="673"/>
      <c r="LS56" s="673"/>
      <c r="LT56" s="673"/>
      <c r="LU56" s="673"/>
      <c r="LV56" s="673"/>
      <c r="LW56" s="673"/>
      <c r="LX56" s="673"/>
      <c r="LY56" s="673"/>
      <c r="LZ56" s="673"/>
      <c r="MA56" s="673"/>
      <c r="MB56" s="673"/>
      <c r="MC56" s="673"/>
      <c r="MD56" s="673"/>
      <c r="ME56" s="673"/>
      <c r="MF56" s="673"/>
      <c r="MG56" s="673"/>
      <c r="MH56" s="673"/>
      <c r="MI56" s="673"/>
      <c r="MJ56" s="673"/>
      <c r="MK56" s="673"/>
      <c r="ML56" s="673"/>
      <c r="MM56" s="673"/>
      <c r="MN56" s="673"/>
      <c r="MO56" s="673"/>
      <c r="MP56" s="673"/>
      <c r="MQ56" s="673"/>
      <c r="MR56" s="673"/>
      <c r="MS56" s="673"/>
      <c r="MT56" s="673"/>
      <c r="MU56" s="673"/>
      <c r="MV56" s="673"/>
      <c r="MW56" s="673"/>
      <c r="MX56" s="673"/>
      <c r="MY56" s="673"/>
      <c r="MZ56" s="673"/>
      <c r="NA56" s="673"/>
      <c r="NB56" s="673"/>
      <c r="NC56" s="673"/>
      <c r="ND56" s="673"/>
      <c r="NE56" s="673"/>
      <c r="NF56" s="673"/>
      <c r="NG56" s="673"/>
      <c r="NH56" s="673"/>
      <c r="NI56" s="673"/>
      <c r="NJ56" s="673"/>
      <c r="NK56" s="673"/>
      <c r="NL56" s="673"/>
      <c r="NM56" s="673"/>
      <c r="NN56" s="673"/>
      <c r="NO56" s="673"/>
      <c r="NP56" s="673"/>
      <c r="NQ56" s="673"/>
      <c r="NR56" s="673"/>
      <c r="NS56" s="673"/>
      <c r="NT56" s="673"/>
      <c r="NU56" s="673"/>
      <c r="NV56" s="673"/>
      <c r="NW56" s="673"/>
      <c r="NX56" s="673"/>
      <c r="NY56" s="673"/>
      <c r="NZ56" s="673"/>
      <c r="OA56" s="673"/>
      <c r="OB56" s="673"/>
      <c r="OC56" s="673"/>
      <c r="OD56" s="673"/>
      <c r="OE56" s="673"/>
      <c r="OF56" s="673"/>
      <c r="OG56" s="673"/>
      <c r="OH56" s="673"/>
      <c r="OI56" s="673"/>
      <c r="OJ56" s="673"/>
      <c r="OK56" s="673"/>
      <c r="OL56" s="673"/>
      <c r="OM56" s="673"/>
      <c r="ON56" s="673"/>
      <c r="OO56" s="673"/>
      <c r="OP56" s="673"/>
      <c r="OQ56" s="673"/>
      <c r="OR56" s="673"/>
      <c r="OS56" s="673"/>
      <c r="OT56" s="673"/>
      <c r="OU56" s="673"/>
      <c r="OV56" s="673"/>
      <c r="OW56" s="673"/>
      <c r="OX56" s="673"/>
      <c r="OY56" s="673"/>
      <c r="OZ56" s="673"/>
      <c r="PA56" s="673"/>
      <c r="PB56" s="673"/>
      <c r="PC56" s="673"/>
      <c r="PD56" s="673"/>
      <c r="PE56" s="673"/>
      <c r="PF56" s="673"/>
      <c r="PG56" s="673"/>
      <c r="PH56" s="673"/>
      <c r="PI56" s="673"/>
      <c r="PJ56" s="673"/>
      <c r="PK56" s="673"/>
      <c r="PL56" s="673"/>
      <c r="PM56" s="673"/>
      <c r="PN56" s="673"/>
      <c r="PO56" s="673"/>
      <c r="PP56" s="673"/>
      <c r="PQ56" s="673"/>
      <c r="PR56" s="673"/>
      <c r="PS56" s="673"/>
      <c r="PT56" s="673"/>
      <c r="PU56" s="673"/>
      <c r="PV56" s="673"/>
      <c r="PW56" s="673"/>
      <c r="PX56" s="673"/>
      <c r="PY56" s="673"/>
      <c r="PZ56" s="673"/>
      <c r="QA56" s="673"/>
      <c r="QB56" s="673"/>
      <c r="QC56" s="673"/>
      <c r="QD56" s="673"/>
      <c r="QE56" s="673"/>
      <c r="QF56" s="673"/>
      <c r="QG56" s="673"/>
      <c r="QH56" s="673"/>
      <c r="QI56" s="673"/>
      <c r="QJ56" s="673"/>
      <c r="QK56" s="673"/>
    </row>
    <row r="57" spans="1:453" s="1301" customFormat="1" ht="18.75">
      <c r="B57" s="2109" t="str">
        <f ca="1">TEXT(HYPERLINK("#"&amp;CELL("address",'Equipment Results Matrix'!A922),'Equipment Results Matrix'!A922),"0,000")</f>
        <v>Residential Building Shell</v>
      </c>
      <c r="C57" s="2109"/>
      <c r="D57" s="2109"/>
      <c r="E57" s="2109"/>
      <c r="F57" s="1302"/>
      <c r="G57" s="1302"/>
      <c r="H57" s="1302"/>
      <c r="I57" s="1302"/>
      <c r="J57" s="1302"/>
      <c r="K57" s="1302"/>
      <c r="L57" s="2111"/>
      <c r="M57" s="2111"/>
      <c r="N57" s="2111"/>
      <c r="O57" s="1303"/>
      <c r="P57" s="1303"/>
      <c r="Q57" s="1303"/>
      <c r="R57" s="1303"/>
      <c r="S57" s="1303"/>
      <c r="T57" s="1303"/>
      <c r="U57" s="1303"/>
      <c r="V57" s="1303"/>
      <c r="W57" s="1303"/>
      <c r="X57" s="1303"/>
      <c r="Y57" s="1303"/>
      <c r="Z57" s="1303"/>
      <c r="AA57" s="1303"/>
      <c r="AB57" s="1303"/>
      <c r="AC57" s="1303"/>
      <c r="AD57" s="1303"/>
      <c r="AE57" s="1303"/>
      <c r="AF57" s="1303"/>
      <c r="AG57" s="1303"/>
      <c r="AH57" s="1303"/>
      <c r="AI57" s="1303"/>
      <c r="AJ57" s="1303"/>
      <c r="AK57" s="1303"/>
      <c r="AL57" s="1303"/>
      <c r="AM57" s="1303"/>
      <c r="AN57" s="1303"/>
      <c r="AO57" s="1303"/>
      <c r="AP57" s="1303"/>
      <c r="AQ57" s="1303"/>
      <c r="AR57" s="1303"/>
      <c r="AS57" s="1303"/>
      <c r="AT57" s="1303"/>
      <c r="AU57" s="1303"/>
      <c r="AV57" s="1303"/>
      <c r="AW57" s="1303"/>
      <c r="AX57" s="1303"/>
      <c r="AY57" s="1303"/>
      <c r="AZ57" s="1303"/>
      <c r="BA57" s="1303"/>
      <c r="BB57" s="1303"/>
      <c r="BC57" s="1303"/>
      <c r="BD57" s="1303"/>
      <c r="BE57" s="1303"/>
      <c r="BF57" s="1303"/>
      <c r="BG57" s="1303"/>
      <c r="BH57" s="1303"/>
      <c r="BI57" s="1303"/>
      <c r="BJ57" s="1303"/>
      <c r="BK57" s="1303"/>
      <c r="BL57" s="1303"/>
      <c r="BM57" s="1303"/>
      <c r="BN57" s="1303"/>
      <c r="BO57" s="1303"/>
      <c r="BP57" s="1303"/>
      <c r="BQ57" s="1303"/>
      <c r="BR57" s="1303"/>
      <c r="BS57" s="1303"/>
      <c r="BT57" s="1303"/>
      <c r="BU57" s="1303"/>
      <c r="BV57" s="1303"/>
      <c r="BW57" s="1303"/>
      <c r="BX57" s="1303"/>
      <c r="BY57" s="1303"/>
      <c r="BZ57" s="1303"/>
      <c r="CA57" s="1303"/>
      <c r="CB57" s="1303"/>
      <c r="CC57" s="1303"/>
      <c r="CD57" s="1303"/>
      <c r="CE57" s="1303"/>
      <c r="CF57" s="1303"/>
      <c r="CG57" s="1303"/>
      <c r="CH57" s="1303"/>
      <c r="CI57" s="1303"/>
      <c r="CJ57" s="1303"/>
      <c r="CK57" s="1303"/>
      <c r="CL57" s="1303"/>
      <c r="CM57" s="1303"/>
      <c r="CN57" s="1303"/>
      <c r="CO57" s="1303"/>
      <c r="CP57" s="1303"/>
      <c r="CQ57" s="1303"/>
      <c r="CR57" s="1303"/>
      <c r="CS57" s="1303"/>
      <c r="CT57" s="1303"/>
      <c r="CU57" s="1303"/>
      <c r="CV57" s="1303"/>
      <c r="CW57" s="1303"/>
      <c r="CX57" s="1303"/>
      <c r="CY57" s="1303"/>
      <c r="CZ57" s="1303"/>
      <c r="DA57" s="1303"/>
      <c r="DB57" s="1303"/>
      <c r="DC57" s="1303"/>
      <c r="DD57" s="1303"/>
      <c r="DE57" s="1303"/>
      <c r="DF57" s="1303"/>
      <c r="DG57" s="1303"/>
      <c r="DH57" s="1303"/>
      <c r="DI57" s="1303"/>
      <c r="DJ57" s="1303"/>
      <c r="DK57" s="1303"/>
      <c r="DL57" s="1303"/>
      <c r="DM57" s="1303"/>
      <c r="DN57" s="1303"/>
      <c r="DO57" s="1303"/>
      <c r="DP57" s="1303"/>
      <c r="DQ57" s="1303"/>
      <c r="DR57" s="1303"/>
      <c r="DS57" s="1303"/>
      <c r="DT57" s="1303"/>
      <c r="DU57" s="1303"/>
      <c r="DV57" s="1303"/>
      <c r="DW57" s="1303"/>
      <c r="DX57" s="1303"/>
      <c r="DY57" s="1303"/>
      <c r="DZ57" s="1303"/>
      <c r="EA57" s="1303"/>
      <c r="EB57" s="1303"/>
      <c r="EC57" s="1303"/>
      <c r="ED57" s="1303"/>
      <c r="EE57" s="1303"/>
      <c r="EF57" s="1303"/>
      <c r="EG57" s="1303"/>
      <c r="EH57" s="1303"/>
      <c r="EI57" s="1303"/>
      <c r="EJ57" s="1303"/>
      <c r="EK57" s="1303"/>
      <c r="EL57" s="1303"/>
      <c r="EM57" s="1303"/>
      <c r="EN57" s="1303"/>
      <c r="EO57" s="1303"/>
      <c r="EP57" s="1303"/>
      <c r="EQ57" s="1303"/>
      <c r="ER57" s="1303"/>
      <c r="ES57" s="1303"/>
      <c r="ET57" s="1303"/>
      <c r="EU57" s="1303"/>
      <c r="EV57" s="1303"/>
      <c r="EW57" s="1303"/>
      <c r="EX57" s="1303"/>
      <c r="EY57" s="1303"/>
      <c r="EZ57" s="1303"/>
      <c r="FA57" s="1303"/>
      <c r="FB57" s="1303"/>
      <c r="FC57" s="1303"/>
      <c r="FD57" s="1303"/>
      <c r="FE57" s="1303"/>
      <c r="FF57" s="1303"/>
      <c r="FG57" s="1303"/>
      <c r="FH57" s="1303"/>
      <c r="FI57" s="1303"/>
      <c r="FJ57" s="1303"/>
      <c r="FK57" s="1303"/>
      <c r="FL57" s="1303"/>
      <c r="FM57" s="1303"/>
      <c r="FN57" s="1303"/>
      <c r="FO57" s="1303"/>
      <c r="FP57" s="1303"/>
      <c r="FQ57" s="1303"/>
      <c r="FR57" s="1303"/>
      <c r="FS57" s="1303"/>
      <c r="FT57" s="1303"/>
      <c r="FU57" s="1303"/>
      <c r="FV57" s="1303"/>
      <c r="FW57" s="1303"/>
      <c r="FX57" s="1303"/>
      <c r="FY57" s="1303"/>
      <c r="FZ57" s="1303"/>
      <c r="GA57" s="1303"/>
      <c r="GB57" s="1303"/>
      <c r="GC57" s="1303"/>
      <c r="GD57" s="1303"/>
      <c r="GE57" s="1303"/>
      <c r="GF57" s="1303"/>
      <c r="GG57" s="1303"/>
      <c r="GH57" s="1303"/>
      <c r="GI57" s="1303"/>
      <c r="GJ57" s="1303"/>
      <c r="GK57" s="1303"/>
      <c r="GL57" s="1303"/>
      <c r="GM57" s="1303"/>
      <c r="GN57" s="1303"/>
      <c r="GO57" s="1303"/>
      <c r="GP57" s="1303"/>
      <c r="GQ57" s="1303"/>
      <c r="GR57" s="1303"/>
      <c r="GS57" s="1303"/>
      <c r="GT57" s="1303"/>
      <c r="GU57" s="1303"/>
      <c r="GV57" s="1303"/>
      <c r="GW57" s="1303"/>
      <c r="GX57" s="1303"/>
      <c r="GY57" s="1303"/>
      <c r="GZ57" s="1303"/>
      <c r="HA57" s="1303"/>
      <c r="HB57" s="1303"/>
      <c r="HC57" s="1303"/>
      <c r="HD57" s="1303"/>
      <c r="HE57" s="1303"/>
      <c r="HF57" s="1303"/>
      <c r="HG57" s="1303"/>
      <c r="HH57" s="1303"/>
      <c r="HI57" s="1303"/>
      <c r="HJ57" s="1303"/>
      <c r="HK57" s="1303"/>
      <c r="HL57" s="1303"/>
      <c r="HM57" s="1303"/>
      <c r="HN57" s="1303"/>
      <c r="HO57" s="1303"/>
      <c r="HP57" s="1303"/>
      <c r="HQ57" s="1303"/>
      <c r="HR57" s="1303"/>
      <c r="HS57" s="1303"/>
      <c r="HT57" s="1303"/>
      <c r="HU57" s="1303"/>
      <c r="HV57" s="1303"/>
      <c r="HW57" s="1303"/>
      <c r="HX57" s="1303"/>
      <c r="HY57" s="1303"/>
      <c r="HZ57" s="1303"/>
      <c r="IA57" s="1303"/>
      <c r="IB57" s="1303"/>
      <c r="IC57" s="1303"/>
      <c r="ID57" s="1303"/>
      <c r="IE57" s="1303"/>
      <c r="IF57" s="1303"/>
      <c r="IG57" s="1303"/>
      <c r="IH57" s="1303"/>
      <c r="II57" s="1303"/>
      <c r="IJ57" s="1303"/>
      <c r="IK57" s="1303"/>
      <c r="IL57" s="1303"/>
      <c r="IM57" s="1303"/>
      <c r="IN57" s="1303"/>
      <c r="IO57" s="1303"/>
      <c r="IP57" s="1303"/>
      <c r="IQ57" s="1303"/>
      <c r="IR57" s="1303"/>
      <c r="IS57" s="1303"/>
      <c r="IT57" s="1303"/>
      <c r="IU57" s="1303"/>
      <c r="IV57" s="1303"/>
      <c r="IW57" s="1303"/>
      <c r="IX57" s="1303"/>
      <c r="IY57" s="1303"/>
      <c r="IZ57" s="1303"/>
      <c r="JA57" s="1303"/>
      <c r="JB57" s="1303"/>
      <c r="JC57" s="1303"/>
      <c r="JD57" s="1303"/>
      <c r="JE57" s="1303"/>
      <c r="JF57" s="1303"/>
      <c r="JG57" s="1303"/>
      <c r="JH57" s="1303"/>
      <c r="JI57" s="1303"/>
      <c r="JJ57" s="1303"/>
      <c r="JK57" s="1303"/>
      <c r="JL57" s="1303"/>
      <c r="JM57" s="1303"/>
      <c r="JN57" s="1303"/>
      <c r="JO57" s="1303"/>
      <c r="JP57" s="1303"/>
      <c r="JQ57" s="1303"/>
      <c r="JR57" s="1303"/>
      <c r="JS57" s="1303"/>
      <c r="JT57" s="1303"/>
      <c r="JU57" s="1303"/>
      <c r="JV57" s="1303"/>
      <c r="JW57" s="1303"/>
      <c r="JX57" s="1303"/>
      <c r="JY57" s="1303"/>
      <c r="JZ57" s="1303"/>
      <c r="KA57" s="1303"/>
      <c r="KB57" s="1303"/>
      <c r="KC57" s="1303"/>
      <c r="KD57" s="1303"/>
      <c r="KE57" s="1303"/>
      <c r="KF57" s="1303"/>
      <c r="KG57" s="1303"/>
      <c r="KH57" s="1303"/>
      <c r="KI57" s="1303"/>
      <c r="KJ57" s="1303"/>
      <c r="KK57" s="1303"/>
      <c r="KL57" s="1303"/>
      <c r="KM57" s="1303"/>
      <c r="KN57" s="1303"/>
      <c r="KO57" s="1303"/>
      <c r="KP57" s="1303"/>
      <c r="KQ57" s="1303"/>
      <c r="KR57" s="1303"/>
      <c r="KS57" s="1303"/>
      <c r="KT57" s="1303"/>
      <c r="KU57" s="1303"/>
      <c r="KV57" s="1303"/>
      <c r="KW57" s="1303"/>
      <c r="KX57" s="1303"/>
      <c r="KY57" s="1303"/>
      <c r="KZ57" s="1303"/>
      <c r="LA57" s="1303"/>
      <c r="LB57" s="1303"/>
      <c r="LC57" s="1303"/>
      <c r="LD57" s="1303"/>
      <c r="LE57" s="1303"/>
      <c r="LF57" s="1303"/>
      <c r="LG57" s="1303"/>
      <c r="LH57" s="1303"/>
      <c r="LI57" s="1303"/>
      <c r="LJ57" s="1303"/>
      <c r="LK57" s="1303"/>
      <c r="LL57" s="1303"/>
      <c r="LM57" s="1303"/>
      <c r="LN57" s="1303"/>
      <c r="LO57" s="1303"/>
      <c r="LP57" s="1303"/>
      <c r="LQ57" s="1303"/>
      <c r="LR57" s="1303"/>
      <c r="LS57" s="1303"/>
      <c r="LT57" s="1303"/>
      <c r="LU57" s="1303"/>
      <c r="LV57" s="1303"/>
      <c r="LW57" s="1303"/>
      <c r="LX57" s="1303"/>
      <c r="LY57" s="1303"/>
      <c r="LZ57" s="1303"/>
      <c r="MA57" s="1303"/>
      <c r="MB57" s="1303"/>
      <c r="MC57" s="1303"/>
      <c r="MD57" s="1303"/>
      <c r="ME57" s="1303"/>
      <c r="MF57" s="1303"/>
      <c r="MG57" s="1303"/>
      <c r="MH57" s="1303"/>
      <c r="MI57" s="1303"/>
      <c r="MJ57" s="1303"/>
      <c r="MK57" s="1303"/>
      <c r="ML57" s="1303"/>
      <c r="MM57" s="1303"/>
      <c r="MN57" s="1303"/>
      <c r="MO57" s="1303"/>
      <c r="MP57" s="1303"/>
      <c r="MQ57" s="1303"/>
      <c r="MR57" s="1303"/>
      <c r="MS57" s="1303"/>
      <c r="MT57" s="1303"/>
      <c r="MU57" s="1303"/>
      <c r="MV57" s="1303"/>
      <c r="MW57" s="1303"/>
      <c r="MX57" s="1303"/>
      <c r="MY57" s="1303"/>
      <c r="MZ57" s="1303"/>
      <c r="NA57" s="1303"/>
      <c r="NB57" s="1303"/>
      <c r="NC57" s="1303"/>
      <c r="ND57" s="1303"/>
      <c r="NE57" s="1303"/>
      <c r="NF57" s="1303"/>
      <c r="NG57" s="1303"/>
      <c r="NH57" s="1303"/>
      <c r="NI57" s="1303"/>
      <c r="NJ57" s="1303"/>
      <c r="NK57" s="1303"/>
      <c r="NL57" s="1303"/>
      <c r="NM57" s="1303"/>
      <c r="NN57" s="1303"/>
      <c r="NO57" s="1303"/>
      <c r="NP57" s="1303"/>
      <c r="NQ57" s="1303"/>
      <c r="NR57" s="1303"/>
      <c r="NS57" s="1303"/>
      <c r="NT57" s="1303"/>
      <c r="NU57" s="1303"/>
      <c r="NV57" s="1303"/>
      <c r="NW57" s="1303"/>
      <c r="NX57" s="1303"/>
      <c r="NY57" s="1303"/>
      <c r="NZ57" s="1303"/>
      <c r="OA57" s="1303"/>
      <c r="OB57" s="1303"/>
      <c r="OC57" s="1303"/>
      <c r="OD57" s="1303"/>
      <c r="OE57" s="1303"/>
      <c r="OF57" s="1303"/>
      <c r="OG57" s="1303"/>
      <c r="OH57" s="1303"/>
      <c r="OI57" s="1303"/>
      <c r="OJ57" s="1303"/>
      <c r="OK57" s="1303"/>
      <c r="OL57" s="1303"/>
      <c r="OM57" s="1303"/>
      <c r="ON57" s="1303"/>
      <c r="OO57" s="1303"/>
      <c r="OP57" s="1303"/>
      <c r="OQ57" s="1303"/>
      <c r="OR57" s="1303"/>
      <c r="OS57" s="1303"/>
      <c r="OT57" s="1303"/>
      <c r="OU57" s="1303"/>
      <c r="OV57" s="1303"/>
      <c r="OW57" s="1303"/>
      <c r="OX57" s="1303"/>
      <c r="OY57" s="1303"/>
      <c r="OZ57" s="1303"/>
      <c r="PA57" s="1303"/>
      <c r="PB57" s="1303"/>
      <c r="PC57" s="1303"/>
      <c r="PD57" s="1303"/>
      <c r="PE57" s="1303"/>
      <c r="PF57" s="1303"/>
      <c r="PG57" s="1303"/>
      <c r="PH57" s="1303"/>
      <c r="PI57" s="1303"/>
      <c r="PJ57" s="1303"/>
      <c r="PK57" s="1303"/>
      <c r="PL57" s="1303"/>
      <c r="PM57" s="1303"/>
      <c r="PN57" s="1303"/>
      <c r="PO57" s="1303"/>
      <c r="PP57" s="1303"/>
      <c r="PQ57" s="1303"/>
      <c r="PR57" s="1303"/>
      <c r="PS57" s="1303"/>
      <c r="PT57" s="1303"/>
      <c r="PU57" s="1303"/>
      <c r="PV57" s="1303"/>
      <c r="PW57" s="1303"/>
      <c r="PX57" s="1303"/>
      <c r="PY57" s="1303"/>
      <c r="PZ57" s="1303"/>
      <c r="QA57" s="1303"/>
      <c r="QB57" s="1303"/>
      <c r="QC57" s="1303"/>
      <c r="QD57" s="1303"/>
      <c r="QE57" s="1303"/>
      <c r="QF57" s="1303"/>
      <c r="QG57" s="1303"/>
      <c r="QH57" s="1303"/>
      <c r="QI57" s="1303"/>
      <c r="QJ57" s="1303"/>
      <c r="QK57" s="1303"/>
    </row>
    <row r="58" spans="1:453" s="558" customFormat="1" ht="15" customHeight="1">
      <c r="A58" s="680"/>
      <c r="B58" s="680"/>
      <c r="C58" s="2107" t="str">
        <f ca="1">TEXT(HYPERLINK("#"&amp;CELL("address",'Equipment Results Matrix'!A923),'Equipment Results Matrix'!A923),"0,000")</f>
        <v>Batt Insulation</v>
      </c>
      <c r="D58" s="2107"/>
      <c r="E58" s="2107"/>
      <c r="F58" s="1305"/>
      <c r="G58" s="1305"/>
      <c r="H58" s="1305"/>
      <c r="I58" s="680"/>
      <c r="J58" s="1525" t="str">
        <f ca="1">TEXT(HYPERLINK("#"&amp;CELL("address",'Labor Results Matrix'!A431),"Labor"),"0,000")</f>
        <v>Labor</v>
      </c>
      <c r="K58" s="1525"/>
      <c r="L58" s="2107" t="str">
        <f ca="1">TEXT(HYPERLINK("#"&amp;CELL("address",'Equipment + Labor'!A848),"Total installed cost"),"0,000")</f>
        <v>Total installed cost</v>
      </c>
      <c r="M58" s="2107"/>
      <c r="N58" s="2107"/>
      <c r="O58" s="673"/>
      <c r="P58" s="673"/>
      <c r="Q58" s="673"/>
      <c r="R58" s="673"/>
      <c r="S58" s="673"/>
      <c r="T58" s="673"/>
      <c r="U58" s="673"/>
      <c r="V58" s="673"/>
      <c r="W58" s="673"/>
      <c r="X58" s="673"/>
      <c r="Y58" s="673"/>
      <c r="Z58" s="673"/>
      <c r="AA58" s="673"/>
      <c r="AB58" s="673"/>
      <c r="AC58" s="673"/>
      <c r="AD58" s="673"/>
      <c r="AE58" s="673"/>
      <c r="AF58" s="673"/>
      <c r="AG58" s="673"/>
      <c r="AH58" s="673"/>
      <c r="AI58" s="673"/>
      <c r="AJ58" s="673"/>
      <c r="AK58" s="673"/>
      <c r="AL58" s="673"/>
      <c r="AM58" s="673"/>
      <c r="AN58" s="673"/>
      <c r="AO58" s="673"/>
      <c r="AP58" s="673"/>
      <c r="AQ58" s="673"/>
      <c r="AR58" s="673"/>
      <c r="AS58" s="673"/>
      <c r="AT58" s="673"/>
      <c r="AU58" s="673"/>
      <c r="AV58" s="673"/>
      <c r="AW58" s="673"/>
      <c r="AX58" s="673"/>
      <c r="AY58" s="673"/>
      <c r="AZ58" s="673"/>
      <c r="BA58" s="673"/>
      <c r="BB58" s="673"/>
      <c r="BC58" s="673"/>
      <c r="BD58" s="673"/>
      <c r="BE58" s="673"/>
      <c r="BF58" s="673"/>
      <c r="BG58" s="673"/>
      <c r="BH58" s="673"/>
      <c r="BI58" s="673"/>
      <c r="BJ58" s="673"/>
      <c r="BK58" s="673"/>
      <c r="BL58" s="673"/>
      <c r="BM58" s="673"/>
      <c r="BN58" s="673"/>
      <c r="BO58" s="673"/>
      <c r="BP58" s="673"/>
      <c r="BQ58" s="673"/>
      <c r="BR58" s="673"/>
      <c r="BS58" s="673"/>
      <c r="BT58" s="673"/>
      <c r="BU58" s="673"/>
      <c r="BV58" s="673"/>
      <c r="BW58" s="673"/>
      <c r="BX58" s="673"/>
      <c r="BY58" s="673"/>
      <c r="BZ58" s="673"/>
      <c r="CA58" s="673"/>
      <c r="CB58" s="673"/>
      <c r="CC58" s="673"/>
      <c r="CD58" s="673"/>
      <c r="CE58" s="673"/>
      <c r="CF58" s="673"/>
      <c r="CG58" s="673"/>
      <c r="CH58" s="673"/>
      <c r="CI58" s="673"/>
      <c r="CJ58" s="673"/>
      <c r="CK58" s="673"/>
      <c r="CL58" s="673"/>
      <c r="CM58" s="673"/>
      <c r="CN58" s="673"/>
      <c r="CO58" s="673"/>
      <c r="CP58" s="673"/>
      <c r="CQ58" s="673"/>
      <c r="CR58" s="673"/>
      <c r="CS58" s="673"/>
      <c r="CT58" s="673"/>
      <c r="CU58" s="673"/>
      <c r="CV58" s="673"/>
      <c r="CW58" s="673"/>
      <c r="CX58" s="673"/>
      <c r="CY58" s="673"/>
      <c r="CZ58" s="673"/>
      <c r="DA58" s="673"/>
      <c r="DB58" s="673"/>
      <c r="DC58" s="673"/>
      <c r="DD58" s="673"/>
      <c r="DE58" s="673"/>
      <c r="DF58" s="673"/>
      <c r="DG58" s="673"/>
      <c r="DH58" s="673"/>
      <c r="DI58" s="673"/>
      <c r="DJ58" s="673"/>
      <c r="DK58" s="673"/>
      <c r="DL58" s="673"/>
      <c r="DM58" s="673"/>
      <c r="DN58" s="673"/>
      <c r="DO58" s="673"/>
      <c r="DP58" s="673"/>
      <c r="DQ58" s="673"/>
      <c r="DR58" s="673"/>
      <c r="DS58" s="673"/>
      <c r="DT58" s="673"/>
      <c r="DU58" s="673"/>
      <c r="DV58" s="673"/>
      <c r="DW58" s="673"/>
      <c r="DX58" s="673"/>
      <c r="DY58" s="673"/>
      <c r="DZ58" s="673"/>
      <c r="EA58" s="673"/>
      <c r="EB58" s="673"/>
      <c r="EC58" s="673"/>
      <c r="ED58" s="673"/>
      <c r="EE58" s="673"/>
      <c r="EF58" s="673"/>
      <c r="EG58" s="673"/>
      <c r="EH58" s="673"/>
      <c r="EI58" s="673"/>
      <c r="EJ58" s="673"/>
      <c r="EK58" s="673"/>
      <c r="EL58" s="673"/>
      <c r="EM58" s="673"/>
      <c r="EN58" s="673"/>
      <c r="EO58" s="673"/>
      <c r="EP58" s="673"/>
      <c r="EQ58" s="673"/>
      <c r="ER58" s="673"/>
      <c r="ES58" s="673"/>
      <c r="ET58" s="673"/>
      <c r="EU58" s="673"/>
      <c r="EV58" s="673"/>
      <c r="EW58" s="673"/>
      <c r="EX58" s="673"/>
      <c r="EY58" s="673"/>
      <c r="EZ58" s="673"/>
      <c r="FA58" s="673"/>
      <c r="FB58" s="673"/>
      <c r="FC58" s="673"/>
      <c r="FD58" s="673"/>
      <c r="FE58" s="673"/>
      <c r="FF58" s="673"/>
      <c r="FG58" s="673"/>
      <c r="FH58" s="673"/>
      <c r="FI58" s="673"/>
      <c r="FJ58" s="673"/>
      <c r="FK58" s="673"/>
      <c r="FL58" s="673"/>
      <c r="FM58" s="673"/>
      <c r="FN58" s="673"/>
      <c r="FO58" s="673"/>
      <c r="FP58" s="673"/>
      <c r="FQ58" s="673"/>
      <c r="FR58" s="673"/>
      <c r="FS58" s="673"/>
      <c r="FT58" s="673"/>
      <c r="FU58" s="673"/>
      <c r="FV58" s="673"/>
      <c r="FW58" s="673"/>
      <c r="FX58" s="673"/>
      <c r="FY58" s="673"/>
      <c r="FZ58" s="673"/>
      <c r="GA58" s="673"/>
      <c r="GB58" s="673"/>
      <c r="GC58" s="673"/>
      <c r="GD58" s="673"/>
      <c r="GE58" s="673"/>
      <c r="GF58" s="673"/>
      <c r="GG58" s="673"/>
      <c r="GH58" s="673"/>
      <c r="GI58" s="673"/>
      <c r="GJ58" s="673"/>
      <c r="GK58" s="673"/>
      <c r="GL58" s="673"/>
      <c r="GM58" s="673"/>
      <c r="GN58" s="673"/>
      <c r="GO58" s="673"/>
      <c r="GP58" s="673"/>
      <c r="GQ58" s="673"/>
      <c r="GR58" s="673"/>
      <c r="GS58" s="673"/>
      <c r="GT58" s="673"/>
      <c r="GU58" s="673"/>
      <c r="GV58" s="673"/>
      <c r="GW58" s="673"/>
      <c r="GX58" s="673"/>
      <c r="GY58" s="673"/>
      <c r="GZ58" s="673"/>
      <c r="HA58" s="673"/>
      <c r="HB58" s="673"/>
      <c r="HC58" s="673"/>
      <c r="HD58" s="673"/>
      <c r="HE58" s="673"/>
      <c r="HF58" s="673"/>
      <c r="HG58" s="673"/>
      <c r="HH58" s="673"/>
      <c r="HI58" s="673"/>
      <c r="HJ58" s="673"/>
      <c r="HK58" s="673"/>
      <c r="HL58" s="673"/>
      <c r="HM58" s="673"/>
      <c r="HN58" s="673"/>
      <c r="HO58" s="673"/>
      <c r="HP58" s="673"/>
      <c r="HQ58" s="673"/>
      <c r="HR58" s="673"/>
      <c r="HS58" s="673"/>
      <c r="HT58" s="673"/>
      <c r="HU58" s="673"/>
      <c r="HV58" s="673"/>
      <c r="HW58" s="673"/>
      <c r="HX58" s="673"/>
      <c r="HY58" s="673"/>
      <c r="HZ58" s="673"/>
      <c r="IA58" s="673"/>
      <c r="IB58" s="673"/>
      <c r="IC58" s="673"/>
      <c r="ID58" s="673"/>
      <c r="IE58" s="673"/>
      <c r="IF58" s="673"/>
      <c r="IG58" s="673"/>
      <c r="IH58" s="673"/>
      <c r="II58" s="673"/>
      <c r="IJ58" s="673"/>
      <c r="IK58" s="673"/>
      <c r="IL58" s="673"/>
      <c r="IM58" s="673"/>
      <c r="IN58" s="673"/>
      <c r="IO58" s="673"/>
      <c r="IP58" s="673"/>
      <c r="IQ58" s="673"/>
      <c r="IR58" s="673"/>
      <c r="IS58" s="673"/>
      <c r="IT58" s="673"/>
      <c r="IU58" s="673"/>
      <c r="IV58" s="673"/>
      <c r="IW58" s="673"/>
      <c r="IX58" s="673"/>
      <c r="IY58" s="673"/>
      <c r="IZ58" s="673"/>
      <c r="JA58" s="673"/>
      <c r="JB58" s="673"/>
      <c r="JC58" s="673"/>
      <c r="JD58" s="673"/>
      <c r="JE58" s="673"/>
      <c r="JF58" s="673"/>
      <c r="JG58" s="673"/>
      <c r="JH58" s="673"/>
      <c r="JI58" s="673"/>
      <c r="JJ58" s="673"/>
      <c r="JK58" s="673"/>
      <c r="JL58" s="673"/>
      <c r="JM58" s="673"/>
      <c r="JN58" s="673"/>
      <c r="JO58" s="673"/>
      <c r="JP58" s="673"/>
      <c r="JQ58" s="673"/>
      <c r="JR58" s="673"/>
      <c r="JS58" s="673"/>
      <c r="JT58" s="673"/>
      <c r="JU58" s="673"/>
      <c r="JV58" s="673"/>
      <c r="JW58" s="673"/>
      <c r="JX58" s="673"/>
      <c r="JY58" s="673"/>
      <c r="JZ58" s="673"/>
      <c r="KA58" s="673"/>
      <c r="KB58" s="673"/>
      <c r="KC58" s="673"/>
      <c r="KD58" s="673"/>
      <c r="KE58" s="673"/>
      <c r="KF58" s="673"/>
      <c r="KG58" s="673"/>
      <c r="KH58" s="673"/>
      <c r="KI58" s="673"/>
      <c r="KJ58" s="673"/>
      <c r="KK58" s="673"/>
      <c r="KL58" s="673"/>
      <c r="KM58" s="673"/>
      <c r="KN58" s="673"/>
      <c r="KO58" s="673"/>
      <c r="KP58" s="673"/>
      <c r="KQ58" s="673"/>
      <c r="KR58" s="673"/>
      <c r="KS58" s="673"/>
      <c r="KT58" s="673"/>
      <c r="KU58" s="673"/>
      <c r="KV58" s="673"/>
      <c r="KW58" s="673"/>
      <c r="KX58" s="673"/>
      <c r="KY58" s="673"/>
      <c r="KZ58" s="673"/>
      <c r="LA58" s="673"/>
      <c r="LB58" s="673"/>
      <c r="LC58" s="673"/>
      <c r="LD58" s="673"/>
      <c r="LE58" s="673"/>
      <c r="LF58" s="673"/>
      <c r="LG58" s="673"/>
      <c r="LH58" s="673"/>
      <c r="LI58" s="673"/>
      <c r="LJ58" s="673"/>
      <c r="LK58" s="673"/>
      <c r="LL58" s="673"/>
      <c r="LM58" s="673"/>
      <c r="LN58" s="673"/>
      <c r="LO58" s="673"/>
      <c r="LP58" s="673"/>
      <c r="LQ58" s="673"/>
      <c r="LR58" s="673"/>
      <c r="LS58" s="673"/>
      <c r="LT58" s="673"/>
      <c r="LU58" s="673"/>
      <c r="LV58" s="673"/>
      <c r="LW58" s="673"/>
      <c r="LX58" s="673"/>
      <c r="LY58" s="673"/>
      <c r="LZ58" s="673"/>
      <c r="MA58" s="673"/>
      <c r="MB58" s="673"/>
      <c r="MC58" s="673"/>
      <c r="MD58" s="673"/>
      <c r="ME58" s="673"/>
      <c r="MF58" s="673"/>
      <c r="MG58" s="673"/>
      <c r="MH58" s="673"/>
      <c r="MI58" s="673"/>
      <c r="MJ58" s="673"/>
      <c r="MK58" s="673"/>
      <c r="ML58" s="673"/>
      <c r="MM58" s="673"/>
      <c r="MN58" s="673"/>
      <c r="MO58" s="673"/>
      <c r="MP58" s="673"/>
      <c r="MQ58" s="673"/>
      <c r="MR58" s="673"/>
      <c r="MS58" s="673"/>
      <c r="MT58" s="673"/>
      <c r="MU58" s="673"/>
      <c r="MV58" s="673"/>
      <c r="MW58" s="673"/>
      <c r="MX58" s="673"/>
      <c r="MY58" s="673"/>
      <c r="MZ58" s="673"/>
      <c r="NA58" s="673"/>
      <c r="NB58" s="673"/>
      <c r="NC58" s="673"/>
      <c r="ND58" s="673"/>
      <c r="NE58" s="673"/>
      <c r="NF58" s="673"/>
      <c r="NG58" s="673"/>
      <c r="NH58" s="673"/>
      <c r="NI58" s="673"/>
      <c r="NJ58" s="673"/>
      <c r="NK58" s="673"/>
      <c r="NL58" s="673"/>
      <c r="NM58" s="673"/>
      <c r="NN58" s="673"/>
      <c r="NO58" s="673"/>
      <c r="NP58" s="673"/>
      <c r="NQ58" s="673"/>
      <c r="NR58" s="673"/>
      <c r="NS58" s="673"/>
      <c r="NT58" s="673"/>
      <c r="NU58" s="673"/>
      <c r="NV58" s="673"/>
      <c r="NW58" s="673"/>
      <c r="NX58" s="673"/>
      <c r="NY58" s="673"/>
      <c r="NZ58" s="673"/>
      <c r="OA58" s="673"/>
      <c r="OB58" s="673"/>
      <c r="OC58" s="673"/>
      <c r="OD58" s="673"/>
      <c r="OE58" s="673"/>
      <c r="OF58" s="673"/>
      <c r="OG58" s="673"/>
      <c r="OH58" s="673"/>
      <c r="OI58" s="673"/>
      <c r="OJ58" s="673"/>
      <c r="OK58" s="673"/>
      <c r="OL58" s="673"/>
      <c r="OM58" s="673"/>
      <c r="ON58" s="673"/>
      <c r="OO58" s="673"/>
      <c r="OP58" s="673"/>
      <c r="OQ58" s="673"/>
      <c r="OR58" s="673"/>
      <c r="OS58" s="673"/>
      <c r="OT58" s="673"/>
      <c r="OU58" s="673"/>
      <c r="OV58" s="673"/>
      <c r="OW58" s="673"/>
      <c r="OX58" s="673"/>
      <c r="OY58" s="673"/>
      <c r="OZ58" s="673"/>
      <c r="PA58" s="673"/>
      <c r="PB58" s="673"/>
      <c r="PC58" s="673"/>
      <c r="PD58" s="673"/>
      <c r="PE58" s="673"/>
      <c r="PF58" s="673"/>
      <c r="PG58" s="673"/>
      <c r="PH58" s="673"/>
      <c r="PI58" s="673"/>
      <c r="PJ58" s="673"/>
      <c r="PK58" s="673"/>
      <c r="PL58" s="673"/>
      <c r="PM58" s="673"/>
      <c r="PN58" s="673"/>
      <c r="PO58" s="673"/>
      <c r="PP58" s="673"/>
      <c r="PQ58" s="673"/>
      <c r="PR58" s="673"/>
      <c r="PS58" s="673"/>
      <c r="PT58" s="673"/>
      <c r="PU58" s="673"/>
      <c r="PV58" s="673"/>
      <c r="PW58" s="673"/>
      <c r="PX58" s="673"/>
      <c r="PY58" s="673"/>
      <c r="PZ58" s="673"/>
      <c r="QA58" s="673"/>
      <c r="QB58" s="673"/>
      <c r="QC58" s="673"/>
      <c r="QD58" s="673"/>
      <c r="QE58" s="673"/>
      <c r="QF58" s="673"/>
      <c r="QG58" s="673"/>
      <c r="QH58" s="673"/>
      <c r="QI58" s="673"/>
      <c r="QJ58" s="673"/>
      <c r="QK58" s="673"/>
    </row>
    <row r="59" spans="1:453" s="1301" customFormat="1" ht="18.75">
      <c r="B59" s="2109" t="str">
        <f ca="1">TEXT(HYPERLINK("#"&amp;CELL("address",'Equipment Results Matrix'!A939),'Equipment Results Matrix'!A939),"0,000")</f>
        <v>Non-Residential Building Shell</v>
      </c>
      <c r="C59" s="2109"/>
      <c r="D59" s="2109"/>
      <c r="E59" s="2109"/>
      <c r="F59" s="1302"/>
      <c r="G59" s="1302"/>
      <c r="H59" s="1302"/>
      <c r="I59" s="1302"/>
      <c r="J59" s="1302"/>
      <c r="K59" s="1302"/>
      <c r="L59" s="2111"/>
      <c r="M59" s="2111"/>
      <c r="N59" s="2111"/>
      <c r="O59" s="1303"/>
      <c r="P59" s="1303"/>
      <c r="Q59" s="1303"/>
      <c r="R59" s="1303"/>
      <c r="S59" s="1303"/>
      <c r="T59" s="1303"/>
      <c r="U59" s="1303"/>
      <c r="V59" s="1303"/>
      <c r="W59" s="1303"/>
      <c r="X59" s="1303"/>
      <c r="Y59" s="1303"/>
      <c r="Z59" s="1303"/>
      <c r="AA59" s="1303"/>
      <c r="AB59" s="1303"/>
      <c r="AC59" s="1303"/>
      <c r="AD59" s="1303"/>
      <c r="AE59" s="1303"/>
      <c r="AF59" s="1303"/>
      <c r="AG59" s="1303"/>
      <c r="AH59" s="1303"/>
      <c r="AI59" s="1303"/>
      <c r="AJ59" s="1303"/>
      <c r="AK59" s="1303"/>
      <c r="AL59" s="1303"/>
      <c r="AM59" s="1303"/>
      <c r="AN59" s="1303"/>
      <c r="AO59" s="1303"/>
      <c r="AP59" s="1303"/>
      <c r="AQ59" s="1303"/>
      <c r="AR59" s="1303"/>
      <c r="AS59" s="1303"/>
      <c r="AT59" s="1303"/>
      <c r="AU59" s="1303"/>
      <c r="AV59" s="1303"/>
      <c r="AW59" s="1303"/>
      <c r="AX59" s="1303"/>
      <c r="AY59" s="1303"/>
      <c r="AZ59" s="1303"/>
      <c r="BA59" s="1303"/>
      <c r="BB59" s="1303"/>
      <c r="BC59" s="1303"/>
      <c r="BD59" s="1303"/>
      <c r="BE59" s="1303"/>
      <c r="BF59" s="1303"/>
      <c r="BG59" s="1303"/>
      <c r="BH59" s="1303"/>
      <c r="BI59" s="1303"/>
      <c r="BJ59" s="1303"/>
      <c r="BK59" s="1303"/>
      <c r="BL59" s="1303"/>
      <c r="BM59" s="1303"/>
      <c r="BN59" s="1303"/>
      <c r="BO59" s="1303"/>
      <c r="BP59" s="1303"/>
      <c r="BQ59" s="1303"/>
      <c r="BR59" s="1303"/>
      <c r="BS59" s="1303"/>
      <c r="BT59" s="1303"/>
      <c r="BU59" s="1303"/>
      <c r="BV59" s="1303"/>
      <c r="BW59" s="1303"/>
      <c r="BX59" s="1303"/>
      <c r="BY59" s="1303"/>
      <c r="BZ59" s="1303"/>
      <c r="CA59" s="1303"/>
      <c r="CB59" s="1303"/>
      <c r="CC59" s="1303"/>
      <c r="CD59" s="1303"/>
      <c r="CE59" s="1303"/>
      <c r="CF59" s="1303"/>
      <c r="CG59" s="1303"/>
      <c r="CH59" s="1303"/>
      <c r="CI59" s="1303"/>
      <c r="CJ59" s="1303"/>
      <c r="CK59" s="1303"/>
      <c r="CL59" s="1303"/>
      <c r="CM59" s="1303"/>
      <c r="CN59" s="1303"/>
      <c r="CO59" s="1303"/>
      <c r="CP59" s="1303"/>
      <c r="CQ59" s="1303"/>
      <c r="CR59" s="1303"/>
      <c r="CS59" s="1303"/>
      <c r="CT59" s="1303"/>
      <c r="CU59" s="1303"/>
      <c r="CV59" s="1303"/>
      <c r="CW59" s="1303"/>
      <c r="CX59" s="1303"/>
      <c r="CY59" s="1303"/>
      <c r="CZ59" s="1303"/>
      <c r="DA59" s="1303"/>
      <c r="DB59" s="1303"/>
      <c r="DC59" s="1303"/>
      <c r="DD59" s="1303"/>
      <c r="DE59" s="1303"/>
      <c r="DF59" s="1303"/>
      <c r="DG59" s="1303"/>
      <c r="DH59" s="1303"/>
      <c r="DI59" s="1303"/>
      <c r="DJ59" s="1303"/>
      <c r="DK59" s="1303"/>
      <c r="DL59" s="1303"/>
      <c r="DM59" s="1303"/>
      <c r="DN59" s="1303"/>
      <c r="DO59" s="1303"/>
      <c r="DP59" s="1303"/>
      <c r="DQ59" s="1303"/>
      <c r="DR59" s="1303"/>
      <c r="DS59" s="1303"/>
      <c r="DT59" s="1303"/>
      <c r="DU59" s="1303"/>
      <c r="DV59" s="1303"/>
      <c r="DW59" s="1303"/>
      <c r="DX59" s="1303"/>
      <c r="DY59" s="1303"/>
      <c r="DZ59" s="1303"/>
      <c r="EA59" s="1303"/>
      <c r="EB59" s="1303"/>
      <c r="EC59" s="1303"/>
      <c r="ED59" s="1303"/>
      <c r="EE59" s="1303"/>
      <c r="EF59" s="1303"/>
      <c r="EG59" s="1303"/>
      <c r="EH59" s="1303"/>
      <c r="EI59" s="1303"/>
      <c r="EJ59" s="1303"/>
      <c r="EK59" s="1303"/>
      <c r="EL59" s="1303"/>
      <c r="EM59" s="1303"/>
      <c r="EN59" s="1303"/>
      <c r="EO59" s="1303"/>
      <c r="EP59" s="1303"/>
      <c r="EQ59" s="1303"/>
      <c r="ER59" s="1303"/>
      <c r="ES59" s="1303"/>
      <c r="ET59" s="1303"/>
      <c r="EU59" s="1303"/>
      <c r="EV59" s="1303"/>
      <c r="EW59" s="1303"/>
      <c r="EX59" s="1303"/>
      <c r="EY59" s="1303"/>
      <c r="EZ59" s="1303"/>
      <c r="FA59" s="1303"/>
      <c r="FB59" s="1303"/>
      <c r="FC59" s="1303"/>
      <c r="FD59" s="1303"/>
      <c r="FE59" s="1303"/>
      <c r="FF59" s="1303"/>
      <c r="FG59" s="1303"/>
      <c r="FH59" s="1303"/>
      <c r="FI59" s="1303"/>
      <c r="FJ59" s="1303"/>
      <c r="FK59" s="1303"/>
      <c r="FL59" s="1303"/>
      <c r="FM59" s="1303"/>
      <c r="FN59" s="1303"/>
      <c r="FO59" s="1303"/>
      <c r="FP59" s="1303"/>
      <c r="FQ59" s="1303"/>
      <c r="FR59" s="1303"/>
      <c r="FS59" s="1303"/>
      <c r="FT59" s="1303"/>
      <c r="FU59" s="1303"/>
      <c r="FV59" s="1303"/>
      <c r="FW59" s="1303"/>
      <c r="FX59" s="1303"/>
      <c r="FY59" s="1303"/>
      <c r="FZ59" s="1303"/>
      <c r="GA59" s="1303"/>
      <c r="GB59" s="1303"/>
      <c r="GC59" s="1303"/>
      <c r="GD59" s="1303"/>
      <c r="GE59" s="1303"/>
      <c r="GF59" s="1303"/>
      <c r="GG59" s="1303"/>
      <c r="GH59" s="1303"/>
      <c r="GI59" s="1303"/>
      <c r="GJ59" s="1303"/>
      <c r="GK59" s="1303"/>
      <c r="GL59" s="1303"/>
      <c r="GM59" s="1303"/>
      <c r="GN59" s="1303"/>
      <c r="GO59" s="1303"/>
      <c r="GP59" s="1303"/>
      <c r="GQ59" s="1303"/>
      <c r="GR59" s="1303"/>
      <c r="GS59" s="1303"/>
      <c r="GT59" s="1303"/>
      <c r="GU59" s="1303"/>
      <c r="GV59" s="1303"/>
      <c r="GW59" s="1303"/>
      <c r="GX59" s="1303"/>
      <c r="GY59" s="1303"/>
      <c r="GZ59" s="1303"/>
      <c r="HA59" s="1303"/>
      <c r="HB59" s="1303"/>
      <c r="HC59" s="1303"/>
      <c r="HD59" s="1303"/>
      <c r="HE59" s="1303"/>
      <c r="HF59" s="1303"/>
      <c r="HG59" s="1303"/>
      <c r="HH59" s="1303"/>
      <c r="HI59" s="1303"/>
      <c r="HJ59" s="1303"/>
      <c r="HK59" s="1303"/>
      <c r="HL59" s="1303"/>
      <c r="HM59" s="1303"/>
      <c r="HN59" s="1303"/>
      <c r="HO59" s="1303"/>
      <c r="HP59" s="1303"/>
      <c r="HQ59" s="1303"/>
      <c r="HR59" s="1303"/>
      <c r="HS59" s="1303"/>
      <c r="HT59" s="1303"/>
      <c r="HU59" s="1303"/>
      <c r="HV59" s="1303"/>
      <c r="HW59" s="1303"/>
      <c r="HX59" s="1303"/>
      <c r="HY59" s="1303"/>
      <c r="HZ59" s="1303"/>
      <c r="IA59" s="1303"/>
      <c r="IB59" s="1303"/>
      <c r="IC59" s="1303"/>
      <c r="ID59" s="1303"/>
      <c r="IE59" s="1303"/>
      <c r="IF59" s="1303"/>
      <c r="IG59" s="1303"/>
      <c r="IH59" s="1303"/>
      <c r="II59" s="1303"/>
      <c r="IJ59" s="1303"/>
      <c r="IK59" s="1303"/>
      <c r="IL59" s="1303"/>
      <c r="IM59" s="1303"/>
      <c r="IN59" s="1303"/>
      <c r="IO59" s="1303"/>
      <c r="IP59" s="1303"/>
      <c r="IQ59" s="1303"/>
      <c r="IR59" s="1303"/>
      <c r="IS59" s="1303"/>
      <c r="IT59" s="1303"/>
      <c r="IU59" s="1303"/>
      <c r="IV59" s="1303"/>
      <c r="IW59" s="1303"/>
      <c r="IX59" s="1303"/>
      <c r="IY59" s="1303"/>
      <c r="IZ59" s="1303"/>
      <c r="JA59" s="1303"/>
      <c r="JB59" s="1303"/>
      <c r="JC59" s="1303"/>
      <c r="JD59" s="1303"/>
      <c r="JE59" s="1303"/>
      <c r="JF59" s="1303"/>
      <c r="JG59" s="1303"/>
      <c r="JH59" s="1303"/>
      <c r="JI59" s="1303"/>
      <c r="JJ59" s="1303"/>
      <c r="JK59" s="1303"/>
      <c r="JL59" s="1303"/>
      <c r="JM59" s="1303"/>
      <c r="JN59" s="1303"/>
      <c r="JO59" s="1303"/>
      <c r="JP59" s="1303"/>
      <c r="JQ59" s="1303"/>
      <c r="JR59" s="1303"/>
      <c r="JS59" s="1303"/>
      <c r="JT59" s="1303"/>
      <c r="JU59" s="1303"/>
      <c r="JV59" s="1303"/>
      <c r="JW59" s="1303"/>
      <c r="JX59" s="1303"/>
      <c r="JY59" s="1303"/>
      <c r="JZ59" s="1303"/>
      <c r="KA59" s="1303"/>
      <c r="KB59" s="1303"/>
      <c r="KC59" s="1303"/>
      <c r="KD59" s="1303"/>
      <c r="KE59" s="1303"/>
      <c r="KF59" s="1303"/>
      <c r="KG59" s="1303"/>
      <c r="KH59" s="1303"/>
      <c r="KI59" s="1303"/>
      <c r="KJ59" s="1303"/>
      <c r="KK59" s="1303"/>
      <c r="KL59" s="1303"/>
      <c r="KM59" s="1303"/>
      <c r="KN59" s="1303"/>
      <c r="KO59" s="1303"/>
      <c r="KP59" s="1303"/>
      <c r="KQ59" s="1303"/>
      <c r="KR59" s="1303"/>
      <c r="KS59" s="1303"/>
      <c r="KT59" s="1303"/>
      <c r="KU59" s="1303"/>
      <c r="KV59" s="1303"/>
      <c r="KW59" s="1303"/>
      <c r="KX59" s="1303"/>
      <c r="KY59" s="1303"/>
      <c r="KZ59" s="1303"/>
      <c r="LA59" s="1303"/>
      <c r="LB59" s="1303"/>
      <c r="LC59" s="1303"/>
      <c r="LD59" s="1303"/>
      <c r="LE59" s="1303"/>
      <c r="LF59" s="1303"/>
      <c r="LG59" s="1303"/>
      <c r="LH59" s="1303"/>
      <c r="LI59" s="1303"/>
      <c r="LJ59" s="1303"/>
      <c r="LK59" s="1303"/>
      <c r="LL59" s="1303"/>
      <c r="LM59" s="1303"/>
      <c r="LN59" s="1303"/>
      <c r="LO59" s="1303"/>
      <c r="LP59" s="1303"/>
      <c r="LQ59" s="1303"/>
      <c r="LR59" s="1303"/>
      <c r="LS59" s="1303"/>
      <c r="LT59" s="1303"/>
      <c r="LU59" s="1303"/>
      <c r="LV59" s="1303"/>
      <c r="LW59" s="1303"/>
      <c r="LX59" s="1303"/>
      <c r="LY59" s="1303"/>
      <c r="LZ59" s="1303"/>
      <c r="MA59" s="1303"/>
      <c r="MB59" s="1303"/>
      <c r="MC59" s="1303"/>
      <c r="MD59" s="1303"/>
      <c r="ME59" s="1303"/>
      <c r="MF59" s="1303"/>
      <c r="MG59" s="1303"/>
      <c r="MH59" s="1303"/>
      <c r="MI59" s="1303"/>
      <c r="MJ59" s="1303"/>
      <c r="MK59" s="1303"/>
      <c r="ML59" s="1303"/>
      <c r="MM59" s="1303"/>
      <c r="MN59" s="1303"/>
      <c r="MO59" s="1303"/>
      <c r="MP59" s="1303"/>
      <c r="MQ59" s="1303"/>
      <c r="MR59" s="1303"/>
      <c r="MS59" s="1303"/>
      <c r="MT59" s="1303"/>
      <c r="MU59" s="1303"/>
      <c r="MV59" s="1303"/>
      <c r="MW59" s="1303"/>
      <c r="MX59" s="1303"/>
      <c r="MY59" s="1303"/>
      <c r="MZ59" s="1303"/>
      <c r="NA59" s="1303"/>
      <c r="NB59" s="1303"/>
      <c r="NC59" s="1303"/>
      <c r="ND59" s="1303"/>
      <c r="NE59" s="1303"/>
      <c r="NF59" s="1303"/>
      <c r="NG59" s="1303"/>
      <c r="NH59" s="1303"/>
      <c r="NI59" s="1303"/>
      <c r="NJ59" s="1303"/>
      <c r="NK59" s="1303"/>
      <c r="NL59" s="1303"/>
      <c r="NM59" s="1303"/>
      <c r="NN59" s="1303"/>
      <c r="NO59" s="1303"/>
      <c r="NP59" s="1303"/>
      <c r="NQ59" s="1303"/>
      <c r="NR59" s="1303"/>
      <c r="NS59" s="1303"/>
      <c r="NT59" s="1303"/>
      <c r="NU59" s="1303"/>
      <c r="NV59" s="1303"/>
      <c r="NW59" s="1303"/>
      <c r="NX59" s="1303"/>
      <c r="NY59" s="1303"/>
      <c r="NZ59" s="1303"/>
      <c r="OA59" s="1303"/>
      <c r="OB59" s="1303"/>
      <c r="OC59" s="1303"/>
      <c r="OD59" s="1303"/>
      <c r="OE59" s="1303"/>
      <c r="OF59" s="1303"/>
      <c r="OG59" s="1303"/>
      <c r="OH59" s="1303"/>
      <c r="OI59" s="1303"/>
      <c r="OJ59" s="1303"/>
      <c r="OK59" s="1303"/>
      <c r="OL59" s="1303"/>
      <c r="OM59" s="1303"/>
      <c r="ON59" s="1303"/>
      <c r="OO59" s="1303"/>
      <c r="OP59" s="1303"/>
      <c r="OQ59" s="1303"/>
      <c r="OR59" s="1303"/>
      <c r="OS59" s="1303"/>
      <c r="OT59" s="1303"/>
      <c r="OU59" s="1303"/>
      <c r="OV59" s="1303"/>
      <c r="OW59" s="1303"/>
      <c r="OX59" s="1303"/>
      <c r="OY59" s="1303"/>
      <c r="OZ59" s="1303"/>
      <c r="PA59" s="1303"/>
      <c r="PB59" s="1303"/>
      <c r="PC59" s="1303"/>
      <c r="PD59" s="1303"/>
      <c r="PE59" s="1303"/>
      <c r="PF59" s="1303"/>
      <c r="PG59" s="1303"/>
      <c r="PH59" s="1303"/>
      <c r="PI59" s="1303"/>
      <c r="PJ59" s="1303"/>
      <c r="PK59" s="1303"/>
      <c r="PL59" s="1303"/>
      <c r="PM59" s="1303"/>
      <c r="PN59" s="1303"/>
      <c r="PO59" s="1303"/>
      <c r="PP59" s="1303"/>
      <c r="PQ59" s="1303"/>
      <c r="PR59" s="1303"/>
      <c r="PS59" s="1303"/>
      <c r="PT59" s="1303"/>
      <c r="PU59" s="1303"/>
      <c r="PV59" s="1303"/>
      <c r="PW59" s="1303"/>
      <c r="PX59" s="1303"/>
      <c r="PY59" s="1303"/>
      <c r="PZ59" s="1303"/>
      <c r="QA59" s="1303"/>
      <c r="QB59" s="1303"/>
      <c r="QC59" s="1303"/>
      <c r="QD59" s="1303"/>
      <c r="QE59" s="1303"/>
      <c r="QF59" s="1303"/>
      <c r="QG59" s="1303"/>
      <c r="QH59" s="1303"/>
      <c r="QI59" s="1303"/>
      <c r="QJ59" s="1303"/>
      <c r="QK59" s="1303"/>
    </row>
    <row r="60" spans="1:453" s="558" customFormat="1">
      <c r="A60" s="680"/>
      <c r="B60" s="680"/>
      <c r="C60" s="2107" t="str">
        <f ca="1">TEXT(HYPERLINK("#"&amp;CELL("address",'Equipment Results Matrix'!A940),'Equipment Results Matrix'!A940),"0,000")</f>
        <v>Thermal Curtain</v>
      </c>
      <c r="D60" s="2107"/>
      <c r="E60" s="2107"/>
      <c r="F60" s="1305"/>
      <c r="G60" s="1305"/>
      <c r="H60" s="1304"/>
      <c r="I60" s="680"/>
      <c r="J60" s="1525" t="str">
        <f ca="1">TEXT(HYPERLINK("#"&amp;CELL("address",'Labor Results Matrix'!A448),"Labor"),"0,000")</f>
        <v>Labor</v>
      </c>
      <c r="K60" s="1525"/>
      <c r="L60" s="2107" t="str">
        <f ca="1">TEXT(HYPERLINK("#"&amp;CELL("address",'Equipment + Labor'!A865),"Total installed cost"),"0,000")</f>
        <v>Total installed cost</v>
      </c>
      <c r="M60" s="2107"/>
      <c r="N60" s="2107"/>
      <c r="O60" s="673"/>
      <c r="P60" s="673"/>
      <c r="Q60" s="673"/>
      <c r="R60" s="673"/>
      <c r="S60" s="673"/>
      <c r="T60" s="673"/>
      <c r="U60" s="673"/>
      <c r="V60" s="673"/>
      <c r="W60" s="673"/>
      <c r="X60" s="673"/>
      <c r="Y60" s="673"/>
      <c r="Z60" s="673"/>
      <c r="AA60" s="673"/>
      <c r="AB60" s="673"/>
      <c r="AC60" s="673"/>
      <c r="AD60" s="673"/>
      <c r="AE60" s="673"/>
      <c r="AF60" s="673"/>
      <c r="AG60" s="673"/>
      <c r="AH60" s="673"/>
      <c r="AI60" s="673"/>
      <c r="AJ60" s="673"/>
      <c r="AK60" s="673"/>
      <c r="AL60" s="673"/>
      <c r="AM60" s="673"/>
      <c r="AN60" s="673"/>
      <c r="AO60" s="673"/>
      <c r="AP60" s="673"/>
      <c r="AQ60" s="673"/>
      <c r="AR60" s="673"/>
      <c r="AS60" s="673"/>
      <c r="AT60" s="673"/>
      <c r="AU60" s="673"/>
      <c r="AV60" s="673"/>
      <c r="AW60" s="673"/>
      <c r="AX60" s="673"/>
      <c r="AY60" s="673"/>
      <c r="AZ60" s="673"/>
      <c r="BA60" s="673"/>
      <c r="BB60" s="673"/>
      <c r="BC60" s="673"/>
      <c r="BD60" s="673"/>
      <c r="BE60" s="673"/>
      <c r="BF60" s="673"/>
      <c r="BG60" s="673"/>
      <c r="BH60" s="673"/>
      <c r="BI60" s="673"/>
      <c r="BJ60" s="673"/>
      <c r="BK60" s="673"/>
      <c r="BL60" s="673"/>
      <c r="BM60" s="673"/>
      <c r="BN60" s="673"/>
      <c r="BO60" s="673"/>
      <c r="BP60" s="673"/>
      <c r="BQ60" s="673"/>
      <c r="BR60" s="673"/>
      <c r="BS60" s="673"/>
      <c r="BT60" s="673"/>
      <c r="BU60" s="673"/>
      <c r="BV60" s="673"/>
      <c r="BW60" s="673"/>
      <c r="BX60" s="673"/>
      <c r="BY60" s="673"/>
      <c r="BZ60" s="673"/>
      <c r="CA60" s="673"/>
      <c r="CB60" s="673"/>
      <c r="CC60" s="673"/>
      <c r="CD60" s="673"/>
      <c r="CE60" s="673"/>
      <c r="CF60" s="673"/>
      <c r="CG60" s="673"/>
      <c r="CH60" s="673"/>
      <c r="CI60" s="673"/>
      <c r="CJ60" s="673"/>
      <c r="CK60" s="673"/>
      <c r="CL60" s="673"/>
      <c r="CM60" s="673"/>
      <c r="CN60" s="673"/>
      <c r="CO60" s="673"/>
      <c r="CP60" s="673"/>
      <c r="CQ60" s="673"/>
      <c r="CR60" s="673"/>
      <c r="CS60" s="673"/>
      <c r="CT60" s="673"/>
      <c r="CU60" s="673"/>
      <c r="CV60" s="673"/>
      <c r="CW60" s="673"/>
      <c r="CX60" s="673"/>
      <c r="CY60" s="673"/>
      <c r="CZ60" s="673"/>
      <c r="DA60" s="673"/>
      <c r="DB60" s="673"/>
      <c r="DC60" s="673"/>
      <c r="DD60" s="673"/>
      <c r="DE60" s="673"/>
      <c r="DF60" s="673"/>
      <c r="DG60" s="673"/>
      <c r="DH60" s="673"/>
      <c r="DI60" s="673"/>
      <c r="DJ60" s="673"/>
      <c r="DK60" s="673"/>
      <c r="DL60" s="673"/>
      <c r="DM60" s="673"/>
      <c r="DN60" s="673"/>
      <c r="DO60" s="673"/>
      <c r="DP60" s="673"/>
      <c r="DQ60" s="673"/>
      <c r="DR60" s="673"/>
      <c r="DS60" s="673"/>
      <c r="DT60" s="673"/>
      <c r="DU60" s="673"/>
      <c r="DV60" s="673"/>
      <c r="DW60" s="673"/>
      <c r="DX60" s="673"/>
      <c r="DY60" s="673"/>
      <c r="DZ60" s="673"/>
      <c r="EA60" s="673"/>
      <c r="EB60" s="673"/>
      <c r="EC60" s="673"/>
      <c r="ED60" s="673"/>
      <c r="EE60" s="673"/>
      <c r="EF60" s="673"/>
      <c r="EG60" s="673"/>
      <c r="EH60" s="673"/>
      <c r="EI60" s="673"/>
      <c r="EJ60" s="673"/>
      <c r="EK60" s="673"/>
      <c r="EL60" s="673"/>
      <c r="EM60" s="673"/>
      <c r="EN60" s="673"/>
      <c r="EO60" s="673"/>
      <c r="EP60" s="673"/>
      <c r="EQ60" s="673"/>
      <c r="ER60" s="673"/>
      <c r="ES60" s="673"/>
      <c r="ET60" s="673"/>
      <c r="EU60" s="673"/>
      <c r="EV60" s="673"/>
      <c r="EW60" s="673"/>
      <c r="EX60" s="673"/>
      <c r="EY60" s="673"/>
      <c r="EZ60" s="673"/>
      <c r="FA60" s="673"/>
      <c r="FB60" s="673"/>
      <c r="FC60" s="673"/>
      <c r="FD60" s="673"/>
      <c r="FE60" s="673"/>
      <c r="FF60" s="673"/>
      <c r="FG60" s="673"/>
      <c r="FH60" s="673"/>
      <c r="FI60" s="673"/>
      <c r="FJ60" s="673"/>
      <c r="FK60" s="673"/>
      <c r="FL60" s="673"/>
      <c r="FM60" s="673"/>
      <c r="FN60" s="673"/>
      <c r="FO60" s="673"/>
      <c r="FP60" s="673"/>
      <c r="FQ60" s="673"/>
      <c r="FR60" s="673"/>
      <c r="FS60" s="673"/>
      <c r="FT60" s="673"/>
      <c r="FU60" s="673"/>
      <c r="FV60" s="673"/>
      <c r="FW60" s="673"/>
      <c r="FX60" s="673"/>
      <c r="FY60" s="673"/>
      <c r="FZ60" s="673"/>
      <c r="GA60" s="673"/>
      <c r="GB60" s="673"/>
      <c r="GC60" s="673"/>
      <c r="GD60" s="673"/>
      <c r="GE60" s="673"/>
      <c r="GF60" s="673"/>
      <c r="GG60" s="673"/>
      <c r="GH60" s="673"/>
      <c r="GI60" s="673"/>
      <c r="GJ60" s="673"/>
      <c r="GK60" s="673"/>
      <c r="GL60" s="673"/>
      <c r="GM60" s="673"/>
      <c r="GN60" s="673"/>
      <c r="GO60" s="673"/>
      <c r="GP60" s="673"/>
      <c r="GQ60" s="673"/>
      <c r="GR60" s="673"/>
      <c r="GS60" s="673"/>
      <c r="GT60" s="673"/>
      <c r="GU60" s="673"/>
      <c r="GV60" s="673"/>
      <c r="GW60" s="673"/>
      <c r="GX60" s="673"/>
      <c r="GY60" s="673"/>
      <c r="GZ60" s="673"/>
      <c r="HA60" s="673"/>
      <c r="HB60" s="673"/>
      <c r="HC60" s="673"/>
      <c r="HD60" s="673"/>
      <c r="HE60" s="673"/>
      <c r="HF60" s="673"/>
      <c r="HG60" s="673"/>
      <c r="HH60" s="673"/>
      <c r="HI60" s="673"/>
      <c r="HJ60" s="673"/>
      <c r="HK60" s="673"/>
      <c r="HL60" s="673"/>
      <c r="HM60" s="673"/>
      <c r="HN60" s="673"/>
      <c r="HO60" s="673"/>
      <c r="HP60" s="673"/>
      <c r="HQ60" s="673"/>
      <c r="HR60" s="673"/>
      <c r="HS60" s="673"/>
      <c r="HT60" s="673"/>
      <c r="HU60" s="673"/>
      <c r="HV60" s="673"/>
      <c r="HW60" s="673"/>
      <c r="HX60" s="673"/>
      <c r="HY60" s="673"/>
      <c r="HZ60" s="673"/>
      <c r="IA60" s="673"/>
      <c r="IB60" s="673"/>
      <c r="IC60" s="673"/>
      <c r="ID60" s="673"/>
      <c r="IE60" s="673"/>
      <c r="IF60" s="673"/>
      <c r="IG60" s="673"/>
      <c r="IH60" s="673"/>
      <c r="II60" s="673"/>
      <c r="IJ60" s="673"/>
      <c r="IK60" s="673"/>
      <c r="IL60" s="673"/>
      <c r="IM60" s="673"/>
      <c r="IN60" s="673"/>
      <c r="IO60" s="673"/>
      <c r="IP60" s="673"/>
      <c r="IQ60" s="673"/>
      <c r="IR60" s="673"/>
      <c r="IS60" s="673"/>
      <c r="IT60" s="673"/>
      <c r="IU60" s="673"/>
      <c r="IV60" s="673"/>
      <c r="IW60" s="673"/>
      <c r="IX60" s="673"/>
      <c r="IY60" s="673"/>
      <c r="IZ60" s="673"/>
      <c r="JA60" s="673"/>
      <c r="JB60" s="673"/>
      <c r="JC60" s="673"/>
      <c r="JD60" s="673"/>
      <c r="JE60" s="673"/>
      <c r="JF60" s="673"/>
      <c r="JG60" s="673"/>
      <c r="JH60" s="673"/>
      <c r="JI60" s="673"/>
      <c r="JJ60" s="673"/>
      <c r="JK60" s="673"/>
      <c r="JL60" s="673"/>
      <c r="JM60" s="673"/>
      <c r="JN60" s="673"/>
      <c r="JO60" s="673"/>
      <c r="JP60" s="673"/>
      <c r="JQ60" s="673"/>
      <c r="JR60" s="673"/>
      <c r="JS60" s="673"/>
      <c r="JT60" s="673"/>
      <c r="JU60" s="673"/>
      <c r="JV60" s="673"/>
      <c r="JW60" s="673"/>
      <c r="JX60" s="673"/>
      <c r="JY60" s="673"/>
      <c r="JZ60" s="673"/>
      <c r="KA60" s="673"/>
      <c r="KB60" s="673"/>
      <c r="KC60" s="673"/>
      <c r="KD60" s="673"/>
      <c r="KE60" s="673"/>
      <c r="KF60" s="673"/>
      <c r="KG60" s="673"/>
      <c r="KH60" s="673"/>
      <c r="KI60" s="673"/>
      <c r="KJ60" s="673"/>
      <c r="KK60" s="673"/>
      <c r="KL60" s="673"/>
      <c r="KM60" s="673"/>
      <c r="KN60" s="673"/>
      <c r="KO60" s="673"/>
      <c r="KP60" s="673"/>
      <c r="KQ60" s="673"/>
      <c r="KR60" s="673"/>
      <c r="KS60" s="673"/>
      <c r="KT60" s="673"/>
      <c r="KU60" s="673"/>
      <c r="KV60" s="673"/>
      <c r="KW60" s="673"/>
      <c r="KX60" s="673"/>
      <c r="KY60" s="673"/>
      <c r="KZ60" s="673"/>
      <c r="LA60" s="673"/>
      <c r="LB60" s="673"/>
      <c r="LC60" s="673"/>
      <c r="LD60" s="673"/>
      <c r="LE60" s="673"/>
      <c r="LF60" s="673"/>
      <c r="LG60" s="673"/>
      <c r="LH60" s="673"/>
      <c r="LI60" s="673"/>
      <c r="LJ60" s="673"/>
      <c r="LK60" s="673"/>
      <c r="LL60" s="673"/>
      <c r="LM60" s="673"/>
      <c r="LN60" s="673"/>
      <c r="LO60" s="673"/>
      <c r="LP60" s="673"/>
      <c r="LQ60" s="673"/>
      <c r="LR60" s="673"/>
      <c r="LS60" s="673"/>
      <c r="LT60" s="673"/>
      <c r="LU60" s="673"/>
      <c r="LV60" s="673"/>
      <c r="LW60" s="673"/>
      <c r="LX60" s="673"/>
      <c r="LY60" s="673"/>
      <c r="LZ60" s="673"/>
      <c r="MA60" s="673"/>
      <c r="MB60" s="673"/>
      <c r="MC60" s="673"/>
      <c r="MD60" s="673"/>
      <c r="ME60" s="673"/>
      <c r="MF60" s="673"/>
      <c r="MG60" s="673"/>
      <c r="MH60" s="673"/>
      <c r="MI60" s="673"/>
      <c r="MJ60" s="673"/>
      <c r="MK60" s="673"/>
      <c r="ML60" s="673"/>
      <c r="MM60" s="673"/>
      <c r="MN60" s="673"/>
      <c r="MO60" s="673"/>
      <c r="MP60" s="673"/>
      <c r="MQ60" s="673"/>
      <c r="MR60" s="673"/>
      <c r="MS60" s="673"/>
      <c r="MT60" s="673"/>
      <c r="MU60" s="673"/>
      <c r="MV60" s="673"/>
      <c r="MW60" s="673"/>
      <c r="MX60" s="673"/>
      <c r="MY60" s="673"/>
      <c r="MZ60" s="673"/>
      <c r="NA60" s="673"/>
      <c r="NB60" s="673"/>
      <c r="NC60" s="673"/>
      <c r="ND60" s="673"/>
      <c r="NE60" s="673"/>
      <c r="NF60" s="673"/>
      <c r="NG60" s="673"/>
      <c r="NH60" s="673"/>
      <c r="NI60" s="673"/>
      <c r="NJ60" s="673"/>
      <c r="NK60" s="673"/>
      <c r="NL60" s="673"/>
      <c r="NM60" s="673"/>
      <c r="NN60" s="673"/>
      <c r="NO60" s="673"/>
      <c r="NP60" s="673"/>
      <c r="NQ60" s="673"/>
      <c r="NR60" s="673"/>
      <c r="NS60" s="673"/>
      <c r="NT60" s="673"/>
      <c r="NU60" s="673"/>
      <c r="NV60" s="673"/>
      <c r="NW60" s="673"/>
      <c r="NX60" s="673"/>
      <c r="NY60" s="673"/>
      <c r="NZ60" s="673"/>
      <c r="OA60" s="673"/>
      <c r="OB60" s="673"/>
      <c r="OC60" s="673"/>
      <c r="OD60" s="673"/>
      <c r="OE60" s="673"/>
      <c r="OF60" s="673"/>
      <c r="OG60" s="673"/>
      <c r="OH60" s="673"/>
      <c r="OI60" s="673"/>
      <c r="OJ60" s="673"/>
      <c r="OK60" s="673"/>
      <c r="OL60" s="673"/>
      <c r="OM60" s="673"/>
      <c r="ON60" s="673"/>
      <c r="OO60" s="673"/>
      <c r="OP60" s="673"/>
      <c r="OQ60" s="673"/>
      <c r="OR60" s="673"/>
      <c r="OS60" s="673"/>
      <c r="OT60" s="673"/>
      <c r="OU60" s="673"/>
      <c r="OV60" s="673"/>
      <c r="OW60" s="673"/>
      <c r="OX60" s="673"/>
      <c r="OY60" s="673"/>
      <c r="OZ60" s="673"/>
      <c r="PA60" s="673"/>
      <c r="PB60" s="673"/>
      <c r="PC60" s="673"/>
      <c r="PD60" s="673"/>
      <c r="PE60" s="673"/>
      <c r="PF60" s="673"/>
      <c r="PG60" s="673"/>
      <c r="PH60" s="673"/>
      <c r="PI60" s="673"/>
      <c r="PJ60" s="673"/>
      <c r="PK60" s="673"/>
      <c r="PL60" s="673"/>
      <c r="PM60" s="673"/>
      <c r="PN60" s="673"/>
      <c r="PO60" s="673"/>
      <c r="PP60" s="673"/>
      <c r="PQ60" s="673"/>
      <c r="PR60" s="673"/>
      <c r="PS60" s="673"/>
      <c r="PT60" s="673"/>
      <c r="PU60" s="673"/>
      <c r="PV60" s="673"/>
      <c r="PW60" s="673"/>
      <c r="PX60" s="673"/>
      <c r="PY60" s="673"/>
      <c r="PZ60" s="673"/>
      <c r="QA60" s="673"/>
      <c r="QB60" s="673"/>
      <c r="QC60" s="673"/>
      <c r="QD60" s="673"/>
      <c r="QE60" s="673"/>
      <c r="QF60" s="673"/>
      <c r="QG60" s="673"/>
      <c r="QH60" s="673"/>
      <c r="QI60" s="673"/>
      <c r="QJ60" s="673"/>
      <c r="QK60" s="673"/>
    </row>
    <row r="61" spans="1:453" s="558" customFormat="1">
      <c r="A61" s="680"/>
      <c r="B61" s="680"/>
      <c r="C61" s="2107" t="str">
        <f ca="1">TEXT(HYPERLINK("#"&amp;CELL("address",'Equipment Results Matrix'!A951),'Equipment Results Matrix'!A951),"0,000")</f>
        <v>Reflective Film</v>
      </c>
      <c r="D61" s="2107"/>
      <c r="E61" s="2107"/>
      <c r="F61" s="1305"/>
      <c r="G61" s="1305"/>
      <c r="H61" s="1304"/>
      <c r="I61" s="680"/>
      <c r="J61" s="1525" t="str">
        <f ca="1">TEXT(HYPERLINK("#"&amp;CELL("address",'Labor Results Matrix'!A459),"Labor"),"0,000")</f>
        <v>Labor</v>
      </c>
      <c r="K61" s="1525"/>
      <c r="L61" s="2107" t="str">
        <f ca="1">TEXT(HYPERLINK("#"&amp;CELL("address",'Equipment + Labor'!A869),"Total installed cost"),"0,000")</f>
        <v>Total installed cost</v>
      </c>
      <c r="M61" s="2107"/>
      <c r="N61" s="2107"/>
      <c r="O61" s="673"/>
      <c r="P61" s="673"/>
      <c r="Q61" s="673"/>
      <c r="R61" s="673"/>
      <c r="S61" s="673"/>
      <c r="T61" s="673"/>
      <c r="U61" s="673"/>
      <c r="V61" s="673"/>
      <c r="W61" s="673"/>
      <c r="X61" s="673"/>
      <c r="Y61" s="673"/>
      <c r="Z61" s="673"/>
      <c r="AA61" s="673"/>
      <c r="AB61" s="673"/>
      <c r="AC61" s="673"/>
      <c r="AD61" s="673"/>
      <c r="AE61" s="673"/>
      <c r="AF61" s="673"/>
      <c r="AG61" s="673"/>
      <c r="AH61" s="673"/>
      <c r="AI61" s="673"/>
      <c r="AJ61" s="673"/>
      <c r="AK61" s="673"/>
      <c r="AL61" s="673"/>
      <c r="AM61" s="673"/>
      <c r="AN61" s="673"/>
      <c r="AO61" s="673"/>
      <c r="AP61" s="673"/>
      <c r="AQ61" s="673"/>
      <c r="AR61" s="673"/>
      <c r="AS61" s="673"/>
      <c r="AT61" s="673"/>
      <c r="AU61" s="673"/>
      <c r="AV61" s="673"/>
      <c r="AW61" s="673"/>
      <c r="AX61" s="673"/>
      <c r="AY61" s="673"/>
      <c r="AZ61" s="673"/>
      <c r="BA61" s="673"/>
      <c r="BB61" s="673"/>
      <c r="BC61" s="673"/>
      <c r="BD61" s="673"/>
      <c r="BE61" s="673"/>
      <c r="BF61" s="673"/>
      <c r="BG61" s="673"/>
      <c r="BH61" s="673"/>
      <c r="BI61" s="673"/>
      <c r="BJ61" s="673"/>
      <c r="BK61" s="673"/>
      <c r="BL61" s="673"/>
      <c r="BM61" s="673"/>
      <c r="BN61" s="673"/>
      <c r="BO61" s="673"/>
      <c r="BP61" s="673"/>
      <c r="BQ61" s="673"/>
      <c r="BR61" s="673"/>
      <c r="BS61" s="673"/>
      <c r="BT61" s="673"/>
      <c r="BU61" s="673"/>
      <c r="BV61" s="673"/>
      <c r="BW61" s="673"/>
      <c r="BX61" s="673"/>
      <c r="BY61" s="673"/>
      <c r="BZ61" s="673"/>
      <c r="CA61" s="673"/>
      <c r="CB61" s="673"/>
      <c r="CC61" s="673"/>
      <c r="CD61" s="673"/>
      <c r="CE61" s="673"/>
      <c r="CF61" s="673"/>
      <c r="CG61" s="673"/>
      <c r="CH61" s="673"/>
      <c r="CI61" s="673"/>
      <c r="CJ61" s="673"/>
      <c r="CK61" s="673"/>
      <c r="CL61" s="673"/>
      <c r="CM61" s="673"/>
      <c r="CN61" s="673"/>
      <c r="CO61" s="673"/>
      <c r="CP61" s="673"/>
      <c r="CQ61" s="673"/>
      <c r="CR61" s="673"/>
      <c r="CS61" s="673"/>
      <c r="CT61" s="673"/>
      <c r="CU61" s="673"/>
      <c r="CV61" s="673"/>
      <c r="CW61" s="673"/>
      <c r="CX61" s="673"/>
      <c r="CY61" s="673"/>
      <c r="CZ61" s="673"/>
      <c r="DA61" s="673"/>
      <c r="DB61" s="673"/>
      <c r="DC61" s="673"/>
      <c r="DD61" s="673"/>
      <c r="DE61" s="673"/>
      <c r="DF61" s="673"/>
      <c r="DG61" s="673"/>
      <c r="DH61" s="673"/>
      <c r="DI61" s="673"/>
      <c r="DJ61" s="673"/>
      <c r="DK61" s="673"/>
      <c r="DL61" s="673"/>
      <c r="DM61" s="673"/>
      <c r="DN61" s="673"/>
      <c r="DO61" s="673"/>
      <c r="DP61" s="673"/>
      <c r="DQ61" s="673"/>
      <c r="DR61" s="673"/>
      <c r="DS61" s="673"/>
      <c r="DT61" s="673"/>
      <c r="DU61" s="673"/>
      <c r="DV61" s="673"/>
      <c r="DW61" s="673"/>
      <c r="DX61" s="673"/>
      <c r="DY61" s="673"/>
      <c r="DZ61" s="673"/>
      <c r="EA61" s="673"/>
      <c r="EB61" s="673"/>
      <c r="EC61" s="673"/>
      <c r="ED61" s="673"/>
      <c r="EE61" s="673"/>
      <c r="EF61" s="673"/>
      <c r="EG61" s="673"/>
      <c r="EH61" s="673"/>
      <c r="EI61" s="673"/>
      <c r="EJ61" s="673"/>
      <c r="EK61" s="673"/>
      <c r="EL61" s="673"/>
      <c r="EM61" s="673"/>
      <c r="EN61" s="673"/>
      <c r="EO61" s="673"/>
      <c r="EP61" s="673"/>
      <c r="EQ61" s="673"/>
      <c r="ER61" s="673"/>
      <c r="ES61" s="673"/>
      <c r="ET61" s="673"/>
      <c r="EU61" s="673"/>
      <c r="EV61" s="673"/>
      <c r="EW61" s="673"/>
      <c r="EX61" s="673"/>
      <c r="EY61" s="673"/>
      <c r="EZ61" s="673"/>
      <c r="FA61" s="673"/>
      <c r="FB61" s="673"/>
      <c r="FC61" s="673"/>
      <c r="FD61" s="673"/>
      <c r="FE61" s="673"/>
      <c r="FF61" s="673"/>
      <c r="FG61" s="673"/>
      <c r="FH61" s="673"/>
      <c r="FI61" s="673"/>
      <c r="FJ61" s="673"/>
      <c r="FK61" s="673"/>
      <c r="FL61" s="673"/>
      <c r="FM61" s="673"/>
      <c r="FN61" s="673"/>
      <c r="FO61" s="673"/>
      <c r="FP61" s="673"/>
      <c r="FQ61" s="673"/>
      <c r="FR61" s="673"/>
      <c r="FS61" s="673"/>
      <c r="FT61" s="673"/>
      <c r="FU61" s="673"/>
      <c r="FV61" s="673"/>
      <c r="FW61" s="673"/>
      <c r="FX61" s="673"/>
      <c r="FY61" s="673"/>
      <c r="FZ61" s="673"/>
      <c r="GA61" s="673"/>
      <c r="GB61" s="673"/>
      <c r="GC61" s="673"/>
      <c r="GD61" s="673"/>
      <c r="GE61" s="673"/>
      <c r="GF61" s="673"/>
      <c r="GG61" s="673"/>
      <c r="GH61" s="673"/>
      <c r="GI61" s="673"/>
      <c r="GJ61" s="673"/>
      <c r="GK61" s="673"/>
      <c r="GL61" s="673"/>
      <c r="GM61" s="673"/>
      <c r="GN61" s="673"/>
      <c r="GO61" s="673"/>
      <c r="GP61" s="673"/>
      <c r="GQ61" s="673"/>
      <c r="GR61" s="673"/>
      <c r="GS61" s="673"/>
      <c r="GT61" s="673"/>
      <c r="GU61" s="673"/>
      <c r="GV61" s="673"/>
      <c r="GW61" s="673"/>
      <c r="GX61" s="673"/>
      <c r="GY61" s="673"/>
      <c r="GZ61" s="673"/>
      <c r="HA61" s="673"/>
      <c r="HB61" s="673"/>
      <c r="HC61" s="673"/>
      <c r="HD61" s="673"/>
      <c r="HE61" s="673"/>
      <c r="HF61" s="673"/>
      <c r="HG61" s="673"/>
      <c r="HH61" s="673"/>
      <c r="HI61" s="673"/>
      <c r="HJ61" s="673"/>
      <c r="HK61" s="673"/>
      <c r="HL61" s="673"/>
      <c r="HM61" s="673"/>
      <c r="HN61" s="673"/>
      <c r="HO61" s="673"/>
      <c r="HP61" s="673"/>
      <c r="HQ61" s="673"/>
      <c r="HR61" s="673"/>
      <c r="HS61" s="673"/>
      <c r="HT61" s="673"/>
      <c r="HU61" s="673"/>
      <c r="HV61" s="673"/>
      <c r="HW61" s="673"/>
      <c r="HX61" s="673"/>
      <c r="HY61" s="673"/>
      <c r="HZ61" s="673"/>
      <c r="IA61" s="673"/>
      <c r="IB61" s="673"/>
      <c r="IC61" s="673"/>
      <c r="ID61" s="673"/>
      <c r="IE61" s="673"/>
      <c r="IF61" s="673"/>
      <c r="IG61" s="673"/>
      <c r="IH61" s="673"/>
      <c r="II61" s="673"/>
      <c r="IJ61" s="673"/>
      <c r="IK61" s="673"/>
      <c r="IL61" s="673"/>
      <c r="IM61" s="673"/>
      <c r="IN61" s="673"/>
      <c r="IO61" s="673"/>
      <c r="IP61" s="673"/>
      <c r="IQ61" s="673"/>
      <c r="IR61" s="673"/>
      <c r="IS61" s="673"/>
      <c r="IT61" s="673"/>
      <c r="IU61" s="673"/>
      <c r="IV61" s="673"/>
      <c r="IW61" s="673"/>
      <c r="IX61" s="673"/>
      <c r="IY61" s="673"/>
      <c r="IZ61" s="673"/>
      <c r="JA61" s="673"/>
      <c r="JB61" s="673"/>
      <c r="JC61" s="673"/>
      <c r="JD61" s="673"/>
      <c r="JE61" s="673"/>
      <c r="JF61" s="673"/>
      <c r="JG61" s="673"/>
      <c r="JH61" s="673"/>
      <c r="JI61" s="673"/>
      <c r="JJ61" s="673"/>
      <c r="JK61" s="673"/>
      <c r="JL61" s="673"/>
      <c r="JM61" s="673"/>
      <c r="JN61" s="673"/>
      <c r="JO61" s="673"/>
      <c r="JP61" s="673"/>
      <c r="JQ61" s="673"/>
      <c r="JR61" s="673"/>
      <c r="JS61" s="673"/>
      <c r="JT61" s="673"/>
      <c r="JU61" s="673"/>
      <c r="JV61" s="673"/>
      <c r="JW61" s="673"/>
      <c r="JX61" s="673"/>
      <c r="JY61" s="673"/>
      <c r="JZ61" s="673"/>
      <c r="KA61" s="673"/>
      <c r="KB61" s="673"/>
      <c r="KC61" s="673"/>
      <c r="KD61" s="673"/>
      <c r="KE61" s="673"/>
      <c r="KF61" s="673"/>
      <c r="KG61" s="673"/>
      <c r="KH61" s="673"/>
      <c r="KI61" s="673"/>
      <c r="KJ61" s="673"/>
      <c r="KK61" s="673"/>
      <c r="KL61" s="673"/>
      <c r="KM61" s="673"/>
      <c r="KN61" s="673"/>
      <c r="KO61" s="673"/>
      <c r="KP61" s="673"/>
      <c r="KQ61" s="673"/>
      <c r="KR61" s="673"/>
      <c r="KS61" s="673"/>
      <c r="KT61" s="673"/>
      <c r="KU61" s="673"/>
      <c r="KV61" s="673"/>
      <c r="KW61" s="673"/>
      <c r="KX61" s="673"/>
      <c r="KY61" s="673"/>
      <c r="KZ61" s="673"/>
      <c r="LA61" s="673"/>
      <c r="LB61" s="673"/>
      <c r="LC61" s="673"/>
      <c r="LD61" s="673"/>
      <c r="LE61" s="673"/>
      <c r="LF61" s="673"/>
      <c r="LG61" s="673"/>
      <c r="LH61" s="673"/>
      <c r="LI61" s="673"/>
      <c r="LJ61" s="673"/>
      <c r="LK61" s="673"/>
      <c r="LL61" s="673"/>
      <c r="LM61" s="673"/>
      <c r="LN61" s="673"/>
      <c r="LO61" s="673"/>
      <c r="LP61" s="673"/>
      <c r="LQ61" s="673"/>
      <c r="LR61" s="673"/>
      <c r="LS61" s="673"/>
      <c r="LT61" s="673"/>
      <c r="LU61" s="673"/>
      <c r="LV61" s="673"/>
      <c r="LW61" s="673"/>
      <c r="LX61" s="673"/>
      <c r="LY61" s="673"/>
      <c r="LZ61" s="673"/>
      <c r="MA61" s="673"/>
      <c r="MB61" s="673"/>
      <c r="MC61" s="673"/>
      <c r="MD61" s="673"/>
      <c r="ME61" s="673"/>
      <c r="MF61" s="673"/>
      <c r="MG61" s="673"/>
      <c r="MH61" s="673"/>
      <c r="MI61" s="673"/>
      <c r="MJ61" s="673"/>
      <c r="MK61" s="673"/>
      <c r="ML61" s="673"/>
      <c r="MM61" s="673"/>
      <c r="MN61" s="673"/>
      <c r="MO61" s="673"/>
      <c r="MP61" s="673"/>
      <c r="MQ61" s="673"/>
      <c r="MR61" s="673"/>
      <c r="MS61" s="673"/>
      <c r="MT61" s="673"/>
      <c r="MU61" s="673"/>
      <c r="MV61" s="673"/>
      <c r="MW61" s="673"/>
      <c r="MX61" s="673"/>
      <c r="MY61" s="673"/>
      <c r="MZ61" s="673"/>
      <c r="NA61" s="673"/>
      <c r="NB61" s="673"/>
      <c r="NC61" s="673"/>
      <c r="ND61" s="673"/>
      <c r="NE61" s="673"/>
      <c r="NF61" s="673"/>
      <c r="NG61" s="673"/>
      <c r="NH61" s="673"/>
      <c r="NI61" s="673"/>
      <c r="NJ61" s="673"/>
      <c r="NK61" s="673"/>
      <c r="NL61" s="673"/>
      <c r="NM61" s="673"/>
      <c r="NN61" s="673"/>
      <c r="NO61" s="673"/>
      <c r="NP61" s="673"/>
      <c r="NQ61" s="673"/>
      <c r="NR61" s="673"/>
      <c r="NS61" s="673"/>
      <c r="NT61" s="673"/>
      <c r="NU61" s="673"/>
      <c r="NV61" s="673"/>
      <c r="NW61" s="673"/>
      <c r="NX61" s="673"/>
      <c r="NY61" s="673"/>
      <c r="NZ61" s="673"/>
      <c r="OA61" s="673"/>
      <c r="OB61" s="673"/>
      <c r="OC61" s="673"/>
      <c r="OD61" s="673"/>
      <c r="OE61" s="673"/>
      <c r="OF61" s="673"/>
      <c r="OG61" s="673"/>
      <c r="OH61" s="673"/>
      <c r="OI61" s="673"/>
      <c r="OJ61" s="673"/>
      <c r="OK61" s="673"/>
      <c r="OL61" s="673"/>
      <c r="OM61" s="673"/>
      <c r="ON61" s="673"/>
      <c r="OO61" s="673"/>
      <c r="OP61" s="673"/>
      <c r="OQ61" s="673"/>
      <c r="OR61" s="673"/>
      <c r="OS61" s="673"/>
      <c r="OT61" s="673"/>
      <c r="OU61" s="673"/>
      <c r="OV61" s="673"/>
      <c r="OW61" s="673"/>
      <c r="OX61" s="673"/>
      <c r="OY61" s="673"/>
      <c r="OZ61" s="673"/>
      <c r="PA61" s="673"/>
      <c r="PB61" s="673"/>
      <c r="PC61" s="673"/>
      <c r="PD61" s="673"/>
      <c r="PE61" s="673"/>
      <c r="PF61" s="673"/>
      <c r="PG61" s="673"/>
      <c r="PH61" s="673"/>
      <c r="PI61" s="673"/>
      <c r="PJ61" s="673"/>
      <c r="PK61" s="673"/>
      <c r="PL61" s="673"/>
      <c r="PM61" s="673"/>
      <c r="PN61" s="673"/>
      <c r="PO61" s="673"/>
      <c r="PP61" s="673"/>
      <c r="PQ61" s="673"/>
      <c r="PR61" s="673"/>
      <c r="PS61" s="673"/>
      <c r="PT61" s="673"/>
      <c r="PU61" s="673"/>
      <c r="PV61" s="673"/>
      <c r="PW61" s="673"/>
      <c r="PX61" s="673"/>
      <c r="PY61" s="673"/>
      <c r="PZ61" s="673"/>
      <c r="QA61" s="673"/>
      <c r="QB61" s="673"/>
      <c r="QC61" s="673"/>
      <c r="QD61" s="673"/>
      <c r="QE61" s="673"/>
      <c r="QF61" s="673"/>
      <c r="QG61" s="673"/>
      <c r="QH61" s="673"/>
      <c r="QI61" s="673"/>
      <c r="QJ61" s="673"/>
      <c r="QK61" s="673"/>
    </row>
    <row r="62" spans="1:453" s="1301" customFormat="1" ht="18.75">
      <c r="B62" s="2109" t="str">
        <f ca="1">TEXT(HYPERLINK("#"&amp;CELL("address",'Equipment Results Matrix'!A961),'Equipment Results Matrix'!A961),"0,000")</f>
        <v>Lighting - Lamps</v>
      </c>
      <c r="C62" s="2109"/>
      <c r="D62" s="2109"/>
      <c r="E62" s="1306"/>
      <c r="F62" s="1307"/>
      <c r="G62" s="1302"/>
      <c r="H62" s="1302"/>
      <c r="I62" s="1302"/>
      <c r="J62" s="1302"/>
      <c r="K62" s="1302"/>
      <c r="L62" s="2111"/>
      <c r="M62" s="2111"/>
      <c r="N62" s="2111"/>
      <c r="O62" s="1303"/>
      <c r="P62" s="1303"/>
      <c r="Q62" s="1303"/>
      <c r="R62" s="1303"/>
      <c r="S62" s="1303"/>
      <c r="T62" s="1303"/>
      <c r="U62" s="1303"/>
      <c r="V62" s="1303"/>
      <c r="W62" s="1303"/>
      <c r="X62" s="1303"/>
      <c r="Y62" s="1303"/>
      <c r="Z62" s="1303"/>
      <c r="AA62" s="1303"/>
      <c r="AB62" s="1303"/>
      <c r="AC62" s="1303"/>
      <c r="AD62" s="1303"/>
      <c r="AE62" s="1303"/>
      <c r="AF62" s="1303"/>
      <c r="AG62" s="1303"/>
      <c r="AH62" s="1303"/>
      <c r="AI62" s="1303"/>
      <c r="AJ62" s="1303"/>
      <c r="AK62" s="1303"/>
      <c r="AL62" s="1303"/>
      <c r="AM62" s="1303"/>
      <c r="AN62" s="1303"/>
      <c r="AO62" s="1303"/>
      <c r="AP62" s="1303"/>
      <c r="AQ62" s="1303"/>
      <c r="AR62" s="1303"/>
      <c r="AS62" s="1303"/>
      <c r="AT62" s="1303"/>
      <c r="AU62" s="1303"/>
      <c r="AV62" s="1303"/>
      <c r="AW62" s="1303"/>
      <c r="AX62" s="1303"/>
      <c r="AY62" s="1303"/>
      <c r="AZ62" s="1303"/>
      <c r="BA62" s="1303"/>
      <c r="BB62" s="1303"/>
      <c r="BC62" s="1303"/>
      <c r="BD62" s="1303"/>
      <c r="BE62" s="1303"/>
      <c r="BF62" s="1303"/>
      <c r="BG62" s="1303"/>
      <c r="BH62" s="1303"/>
      <c r="BI62" s="1303"/>
      <c r="BJ62" s="1303"/>
      <c r="BK62" s="1303"/>
      <c r="BL62" s="1303"/>
      <c r="BM62" s="1303"/>
      <c r="BN62" s="1303"/>
      <c r="BO62" s="1303"/>
      <c r="BP62" s="1303"/>
      <c r="BQ62" s="1303"/>
      <c r="BR62" s="1303"/>
      <c r="BS62" s="1303"/>
      <c r="BT62" s="1303"/>
      <c r="BU62" s="1303"/>
      <c r="BV62" s="1303"/>
      <c r="BW62" s="1303"/>
      <c r="BX62" s="1303"/>
      <c r="BY62" s="1303"/>
      <c r="BZ62" s="1303"/>
      <c r="CA62" s="1303"/>
      <c r="CB62" s="1303"/>
      <c r="CC62" s="1303"/>
      <c r="CD62" s="1303"/>
      <c r="CE62" s="1303"/>
      <c r="CF62" s="1303"/>
      <c r="CG62" s="1303"/>
      <c r="CH62" s="1303"/>
      <c r="CI62" s="1303"/>
      <c r="CJ62" s="1303"/>
      <c r="CK62" s="1303"/>
      <c r="CL62" s="1303"/>
      <c r="CM62" s="1303"/>
      <c r="CN62" s="1303"/>
      <c r="CO62" s="1303"/>
      <c r="CP62" s="1303"/>
      <c r="CQ62" s="1303"/>
      <c r="CR62" s="1303"/>
      <c r="CS62" s="1303"/>
      <c r="CT62" s="1303"/>
      <c r="CU62" s="1303"/>
      <c r="CV62" s="1303"/>
      <c r="CW62" s="1303"/>
      <c r="CX62" s="1303"/>
      <c r="CY62" s="1303"/>
      <c r="CZ62" s="1303"/>
      <c r="DA62" s="1303"/>
      <c r="DB62" s="1303"/>
      <c r="DC62" s="1303"/>
      <c r="DD62" s="1303"/>
      <c r="DE62" s="1303"/>
      <c r="DF62" s="1303"/>
      <c r="DG62" s="1303"/>
      <c r="DH62" s="1303"/>
      <c r="DI62" s="1303"/>
      <c r="DJ62" s="1303"/>
      <c r="DK62" s="1303"/>
      <c r="DL62" s="1303"/>
      <c r="DM62" s="1303"/>
      <c r="DN62" s="1303"/>
      <c r="DO62" s="1303"/>
      <c r="DP62" s="1303"/>
      <c r="DQ62" s="1303"/>
      <c r="DR62" s="1303"/>
      <c r="DS62" s="1303"/>
      <c r="DT62" s="1303"/>
      <c r="DU62" s="1303"/>
      <c r="DV62" s="1303"/>
      <c r="DW62" s="1303"/>
      <c r="DX62" s="1303"/>
      <c r="DY62" s="1303"/>
      <c r="DZ62" s="1303"/>
      <c r="EA62" s="1303"/>
      <c r="EB62" s="1303"/>
      <c r="EC62" s="1303"/>
      <c r="ED62" s="1303"/>
      <c r="EE62" s="1303"/>
      <c r="EF62" s="1303"/>
      <c r="EG62" s="1303"/>
      <c r="EH62" s="1303"/>
      <c r="EI62" s="1303"/>
      <c r="EJ62" s="1303"/>
      <c r="EK62" s="1303"/>
      <c r="EL62" s="1303"/>
      <c r="EM62" s="1303"/>
      <c r="EN62" s="1303"/>
      <c r="EO62" s="1303"/>
      <c r="EP62" s="1303"/>
      <c r="EQ62" s="1303"/>
      <c r="ER62" s="1303"/>
      <c r="ES62" s="1303"/>
      <c r="ET62" s="1303"/>
      <c r="EU62" s="1303"/>
      <c r="EV62" s="1303"/>
      <c r="EW62" s="1303"/>
      <c r="EX62" s="1303"/>
      <c r="EY62" s="1303"/>
      <c r="EZ62" s="1303"/>
      <c r="FA62" s="1303"/>
      <c r="FB62" s="1303"/>
      <c r="FC62" s="1303"/>
      <c r="FD62" s="1303"/>
      <c r="FE62" s="1303"/>
      <c r="FF62" s="1303"/>
      <c r="FG62" s="1303"/>
      <c r="FH62" s="1303"/>
      <c r="FI62" s="1303"/>
      <c r="FJ62" s="1303"/>
      <c r="FK62" s="1303"/>
      <c r="FL62" s="1303"/>
      <c r="FM62" s="1303"/>
      <c r="FN62" s="1303"/>
      <c r="FO62" s="1303"/>
      <c r="FP62" s="1303"/>
      <c r="FQ62" s="1303"/>
      <c r="FR62" s="1303"/>
      <c r="FS62" s="1303"/>
      <c r="FT62" s="1303"/>
      <c r="FU62" s="1303"/>
      <c r="FV62" s="1303"/>
      <c r="FW62" s="1303"/>
      <c r="FX62" s="1303"/>
      <c r="FY62" s="1303"/>
      <c r="FZ62" s="1303"/>
      <c r="GA62" s="1303"/>
      <c r="GB62" s="1303"/>
      <c r="GC62" s="1303"/>
      <c r="GD62" s="1303"/>
      <c r="GE62" s="1303"/>
      <c r="GF62" s="1303"/>
      <c r="GG62" s="1303"/>
      <c r="GH62" s="1303"/>
      <c r="GI62" s="1303"/>
      <c r="GJ62" s="1303"/>
      <c r="GK62" s="1303"/>
      <c r="GL62" s="1303"/>
      <c r="GM62" s="1303"/>
      <c r="GN62" s="1303"/>
      <c r="GO62" s="1303"/>
      <c r="GP62" s="1303"/>
      <c r="GQ62" s="1303"/>
      <c r="GR62" s="1303"/>
      <c r="GS62" s="1303"/>
      <c r="GT62" s="1303"/>
      <c r="GU62" s="1303"/>
      <c r="GV62" s="1303"/>
      <c r="GW62" s="1303"/>
      <c r="GX62" s="1303"/>
      <c r="GY62" s="1303"/>
      <c r="GZ62" s="1303"/>
      <c r="HA62" s="1303"/>
      <c r="HB62" s="1303"/>
      <c r="HC62" s="1303"/>
      <c r="HD62" s="1303"/>
      <c r="HE62" s="1303"/>
      <c r="HF62" s="1303"/>
      <c r="HG62" s="1303"/>
      <c r="HH62" s="1303"/>
      <c r="HI62" s="1303"/>
      <c r="HJ62" s="1303"/>
      <c r="HK62" s="1303"/>
      <c r="HL62" s="1303"/>
      <c r="HM62" s="1303"/>
      <c r="HN62" s="1303"/>
      <c r="HO62" s="1303"/>
      <c r="HP62" s="1303"/>
      <c r="HQ62" s="1303"/>
      <c r="HR62" s="1303"/>
      <c r="HS62" s="1303"/>
      <c r="HT62" s="1303"/>
      <c r="HU62" s="1303"/>
      <c r="HV62" s="1303"/>
      <c r="HW62" s="1303"/>
      <c r="HX62" s="1303"/>
      <c r="HY62" s="1303"/>
      <c r="HZ62" s="1303"/>
      <c r="IA62" s="1303"/>
      <c r="IB62" s="1303"/>
      <c r="IC62" s="1303"/>
      <c r="ID62" s="1303"/>
      <c r="IE62" s="1303"/>
      <c r="IF62" s="1303"/>
      <c r="IG62" s="1303"/>
      <c r="IH62" s="1303"/>
      <c r="II62" s="1303"/>
      <c r="IJ62" s="1303"/>
      <c r="IK62" s="1303"/>
      <c r="IL62" s="1303"/>
      <c r="IM62" s="1303"/>
      <c r="IN62" s="1303"/>
      <c r="IO62" s="1303"/>
      <c r="IP62" s="1303"/>
      <c r="IQ62" s="1303"/>
      <c r="IR62" s="1303"/>
      <c r="IS62" s="1303"/>
      <c r="IT62" s="1303"/>
      <c r="IU62" s="1303"/>
      <c r="IV62" s="1303"/>
      <c r="IW62" s="1303"/>
      <c r="IX62" s="1303"/>
      <c r="IY62" s="1303"/>
      <c r="IZ62" s="1303"/>
      <c r="JA62" s="1303"/>
      <c r="JB62" s="1303"/>
      <c r="JC62" s="1303"/>
      <c r="JD62" s="1303"/>
      <c r="JE62" s="1303"/>
      <c r="JF62" s="1303"/>
      <c r="JG62" s="1303"/>
      <c r="JH62" s="1303"/>
      <c r="JI62" s="1303"/>
      <c r="JJ62" s="1303"/>
      <c r="JK62" s="1303"/>
      <c r="JL62" s="1303"/>
      <c r="JM62" s="1303"/>
      <c r="JN62" s="1303"/>
      <c r="JO62" s="1303"/>
      <c r="JP62" s="1303"/>
      <c r="JQ62" s="1303"/>
      <c r="JR62" s="1303"/>
      <c r="JS62" s="1303"/>
      <c r="JT62" s="1303"/>
      <c r="JU62" s="1303"/>
      <c r="JV62" s="1303"/>
      <c r="JW62" s="1303"/>
      <c r="JX62" s="1303"/>
      <c r="JY62" s="1303"/>
      <c r="JZ62" s="1303"/>
      <c r="KA62" s="1303"/>
      <c r="KB62" s="1303"/>
      <c r="KC62" s="1303"/>
      <c r="KD62" s="1303"/>
      <c r="KE62" s="1303"/>
      <c r="KF62" s="1303"/>
      <c r="KG62" s="1303"/>
      <c r="KH62" s="1303"/>
      <c r="KI62" s="1303"/>
      <c r="KJ62" s="1303"/>
      <c r="KK62" s="1303"/>
      <c r="KL62" s="1303"/>
      <c r="KM62" s="1303"/>
      <c r="KN62" s="1303"/>
      <c r="KO62" s="1303"/>
      <c r="KP62" s="1303"/>
      <c r="KQ62" s="1303"/>
      <c r="KR62" s="1303"/>
      <c r="KS62" s="1303"/>
      <c r="KT62" s="1303"/>
      <c r="KU62" s="1303"/>
      <c r="KV62" s="1303"/>
      <c r="KW62" s="1303"/>
      <c r="KX62" s="1303"/>
      <c r="KY62" s="1303"/>
      <c r="KZ62" s="1303"/>
      <c r="LA62" s="1303"/>
      <c r="LB62" s="1303"/>
      <c r="LC62" s="1303"/>
      <c r="LD62" s="1303"/>
      <c r="LE62" s="1303"/>
      <c r="LF62" s="1303"/>
      <c r="LG62" s="1303"/>
      <c r="LH62" s="1303"/>
      <c r="LI62" s="1303"/>
      <c r="LJ62" s="1303"/>
      <c r="LK62" s="1303"/>
      <c r="LL62" s="1303"/>
      <c r="LM62" s="1303"/>
      <c r="LN62" s="1303"/>
      <c r="LO62" s="1303"/>
      <c r="LP62" s="1303"/>
      <c r="LQ62" s="1303"/>
      <c r="LR62" s="1303"/>
      <c r="LS62" s="1303"/>
      <c r="LT62" s="1303"/>
      <c r="LU62" s="1303"/>
      <c r="LV62" s="1303"/>
      <c r="LW62" s="1303"/>
      <c r="LX62" s="1303"/>
      <c r="LY62" s="1303"/>
      <c r="LZ62" s="1303"/>
      <c r="MA62" s="1303"/>
      <c r="MB62" s="1303"/>
      <c r="MC62" s="1303"/>
      <c r="MD62" s="1303"/>
      <c r="ME62" s="1303"/>
      <c r="MF62" s="1303"/>
      <c r="MG62" s="1303"/>
      <c r="MH62" s="1303"/>
      <c r="MI62" s="1303"/>
      <c r="MJ62" s="1303"/>
      <c r="MK62" s="1303"/>
      <c r="ML62" s="1303"/>
      <c r="MM62" s="1303"/>
      <c r="MN62" s="1303"/>
      <c r="MO62" s="1303"/>
      <c r="MP62" s="1303"/>
      <c r="MQ62" s="1303"/>
      <c r="MR62" s="1303"/>
      <c r="MS62" s="1303"/>
      <c r="MT62" s="1303"/>
      <c r="MU62" s="1303"/>
      <c r="MV62" s="1303"/>
      <c r="MW62" s="1303"/>
      <c r="MX62" s="1303"/>
      <c r="MY62" s="1303"/>
      <c r="MZ62" s="1303"/>
      <c r="NA62" s="1303"/>
      <c r="NB62" s="1303"/>
      <c r="NC62" s="1303"/>
      <c r="ND62" s="1303"/>
      <c r="NE62" s="1303"/>
      <c r="NF62" s="1303"/>
      <c r="NG62" s="1303"/>
      <c r="NH62" s="1303"/>
      <c r="NI62" s="1303"/>
      <c r="NJ62" s="1303"/>
      <c r="NK62" s="1303"/>
      <c r="NL62" s="1303"/>
      <c r="NM62" s="1303"/>
      <c r="NN62" s="1303"/>
      <c r="NO62" s="1303"/>
      <c r="NP62" s="1303"/>
      <c r="NQ62" s="1303"/>
      <c r="NR62" s="1303"/>
      <c r="NS62" s="1303"/>
      <c r="NT62" s="1303"/>
      <c r="NU62" s="1303"/>
      <c r="NV62" s="1303"/>
      <c r="NW62" s="1303"/>
      <c r="NX62" s="1303"/>
      <c r="NY62" s="1303"/>
      <c r="NZ62" s="1303"/>
      <c r="OA62" s="1303"/>
      <c r="OB62" s="1303"/>
      <c r="OC62" s="1303"/>
      <c r="OD62" s="1303"/>
      <c r="OE62" s="1303"/>
      <c r="OF62" s="1303"/>
      <c r="OG62" s="1303"/>
      <c r="OH62" s="1303"/>
      <c r="OI62" s="1303"/>
      <c r="OJ62" s="1303"/>
      <c r="OK62" s="1303"/>
      <c r="OL62" s="1303"/>
      <c r="OM62" s="1303"/>
      <c r="ON62" s="1303"/>
      <c r="OO62" s="1303"/>
      <c r="OP62" s="1303"/>
      <c r="OQ62" s="1303"/>
      <c r="OR62" s="1303"/>
      <c r="OS62" s="1303"/>
      <c r="OT62" s="1303"/>
      <c r="OU62" s="1303"/>
      <c r="OV62" s="1303"/>
      <c r="OW62" s="1303"/>
      <c r="OX62" s="1303"/>
      <c r="OY62" s="1303"/>
      <c r="OZ62" s="1303"/>
      <c r="PA62" s="1303"/>
      <c r="PB62" s="1303"/>
      <c r="PC62" s="1303"/>
      <c r="PD62" s="1303"/>
      <c r="PE62" s="1303"/>
      <c r="PF62" s="1303"/>
      <c r="PG62" s="1303"/>
      <c r="PH62" s="1303"/>
      <c r="PI62" s="1303"/>
      <c r="PJ62" s="1303"/>
      <c r="PK62" s="1303"/>
      <c r="PL62" s="1303"/>
      <c r="PM62" s="1303"/>
      <c r="PN62" s="1303"/>
      <c r="PO62" s="1303"/>
      <c r="PP62" s="1303"/>
      <c r="PQ62" s="1303"/>
      <c r="PR62" s="1303"/>
      <c r="PS62" s="1303"/>
      <c r="PT62" s="1303"/>
      <c r="PU62" s="1303"/>
      <c r="PV62" s="1303"/>
      <c r="PW62" s="1303"/>
      <c r="PX62" s="1303"/>
      <c r="PY62" s="1303"/>
      <c r="PZ62" s="1303"/>
      <c r="QA62" s="1303"/>
      <c r="QB62" s="1303"/>
      <c r="QC62" s="1303"/>
      <c r="QD62" s="1303"/>
      <c r="QE62" s="1303"/>
      <c r="QF62" s="1303"/>
      <c r="QG62" s="1303"/>
      <c r="QH62" s="1303"/>
      <c r="QI62" s="1303"/>
      <c r="QJ62" s="1303"/>
      <c r="QK62" s="1303"/>
    </row>
    <row r="63" spans="1:453" s="558" customFormat="1">
      <c r="A63" s="680"/>
      <c r="B63" s="680"/>
      <c r="C63" s="2107" t="str">
        <f ca="1">TEXT(HYPERLINK("#"&amp;CELL("address",'Equipment Results Matrix'!A962),'Equipment Results Matrix'!A962),"0,000")</f>
        <v>Incandescent A-Lamp</v>
      </c>
      <c r="D63" s="2107"/>
      <c r="E63" s="2107"/>
      <c r="F63" s="2107"/>
      <c r="G63" s="1305"/>
      <c r="H63" s="680"/>
      <c r="I63" s="680"/>
      <c r="J63" s="1525" t="str">
        <f ca="1">TEXT(HYPERLINK("#"&amp;CELL("address",'Labor Results Matrix'!A470),"Labor"),"0,000")</f>
        <v>Labor</v>
      </c>
      <c r="K63" s="1525"/>
      <c r="L63" s="2107" t="str">
        <f ca="1">TEXT(HYPERLINK("#"&amp;CELL("address",'Equipment + Labor'!A444),"Total installed cost"),"0,000")</f>
        <v>Total installed cost</v>
      </c>
      <c r="M63" s="2107"/>
      <c r="N63" s="2107"/>
      <c r="O63" s="673"/>
      <c r="P63" s="673"/>
      <c r="Q63" s="673"/>
      <c r="R63" s="673"/>
      <c r="S63" s="673"/>
      <c r="T63" s="673"/>
      <c r="U63" s="673"/>
      <c r="V63" s="673"/>
      <c r="W63" s="673"/>
      <c r="X63" s="673"/>
      <c r="Y63" s="673"/>
      <c r="Z63" s="673"/>
      <c r="AA63" s="673"/>
      <c r="AB63" s="673"/>
      <c r="AC63" s="673"/>
      <c r="AD63" s="673"/>
      <c r="AE63" s="673"/>
      <c r="AF63" s="673"/>
      <c r="AG63" s="673"/>
      <c r="AH63" s="673"/>
      <c r="AI63" s="673"/>
      <c r="AJ63" s="673"/>
      <c r="AK63" s="673"/>
      <c r="AL63" s="673"/>
      <c r="AM63" s="673"/>
      <c r="AN63" s="673"/>
      <c r="AO63" s="673"/>
      <c r="AP63" s="673"/>
      <c r="AQ63" s="673"/>
      <c r="AR63" s="673"/>
      <c r="AS63" s="673"/>
      <c r="AT63" s="673"/>
      <c r="AU63" s="673"/>
      <c r="AV63" s="673"/>
      <c r="AW63" s="673"/>
      <c r="AX63" s="673"/>
      <c r="AY63" s="673"/>
      <c r="AZ63" s="673"/>
      <c r="BA63" s="673"/>
      <c r="BB63" s="673"/>
      <c r="BC63" s="673"/>
      <c r="BD63" s="673"/>
      <c r="BE63" s="673"/>
      <c r="BF63" s="673"/>
      <c r="BG63" s="673"/>
      <c r="BH63" s="673"/>
      <c r="BI63" s="673"/>
      <c r="BJ63" s="673"/>
      <c r="BK63" s="673"/>
      <c r="BL63" s="673"/>
      <c r="BM63" s="673"/>
      <c r="BN63" s="673"/>
      <c r="BO63" s="673"/>
      <c r="BP63" s="673"/>
      <c r="BQ63" s="673"/>
      <c r="BR63" s="673"/>
      <c r="BS63" s="673"/>
      <c r="BT63" s="673"/>
      <c r="BU63" s="673"/>
      <c r="BV63" s="673"/>
      <c r="BW63" s="673"/>
      <c r="BX63" s="673"/>
      <c r="BY63" s="673"/>
      <c r="BZ63" s="673"/>
      <c r="CA63" s="673"/>
      <c r="CB63" s="673"/>
      <c r="CC63" s="673"/>
      <c r="CD63" s="673"/>
      <c r="CE63" s="673"/>
      <c r="CF63" s="673"/>
      <c r="CG63" s="673"/>
      <c r="CH63" s="673"/>
      <c r="CI63" s="673"/>
      <c r="CJ63" s="673"/>
      <c r="CK63" s="673"/>
      <c r="CL63" s="673"/>
      <c r="CM63" s="673"/>
      <c r="CN63" s="673"/>
      <c r="CO63" s="673"/>
      <c r="CP63" s="673"/>
      <c r="CQ63" s="673"/>
      <c r="CR63" s="673"/>
      <c r="CS63" s="673"/>
      <c r="CT63" s="673"/>
      <c r="CU63" s="673"/>
      <c r="CV63" s="673"/>
      <c r="CW63" s="673"/>
      <c r="CX63" s="673"/>
      <c r="CY63" s="673"/>
      <c r="CZ63" s="673"/>
      <c r="DA63" s="673"/>
      <c r="DB63" s="673"/>
      <c r="DC63" s="673"/>
      <c r="DD63" s="673"/>
      <c r="DE63" s="673"/>
      <c r="DF63" s="673"/>
      <c r="DG63" s="673"/>
      <c r="DH63" s="673"/>
      <c r="DI63" s="673"/>
      <c r="DJ63" s="673"/>
      <c r="DK63" s="673"/>
      <c r="DL63" s="673"/>
      <c r="DM63" s="673"/>
      <c r="DN63" s="673"/>
      <c r="DO63" s="673"/>
      <c r="DP63" s="673"/>
      <c r="DQ63" s="673"/>
      <c r="DR63" s="673"/>
      <c r="DS63" s="673"/>
      <c r="DT63" s="673"/>
      <c r="DU63" s="673"/>
      <c r="DV63" s="673"/>
      <c r="DW63" s="673"/>
      <c r="DX63" s="673"/>
      <c r="DY63" s="673"/>
      <c r="DZ63" s="673"/>
      <c r="EA63" s="673"/>
      <c r="EB63" s="673"/>
      <c r="EC63" s="673"/>
      <c r="ED63" s="673"/>
      <c r="EE63" s="673"/>
      <c r="EF63" s="673"/>
      <c r="EG63" s="673"/>
      <c r="EH63" s="673"/>
      <c r="EI63" s="673"/>
      <c r="EJ63" s="673"/>
      <c r="EK63" s="673"/>
      <c r="EL63" s="673"/>
      <c r="EM63" s="673"/>
      <c r="EN63" s="673"/>
      <c r="EO63" s="673"/>
      <c r="EP63" s="673"/>
      <c r="EQ63" s="673"/>
      <c r="ER63" s="673"/>
      <c r="ES63" s="673"/>
      <c r="ET63" s="673"/>
      <c r="EU63" s="673"/>
      <c r="EV63" s="673"/>
      <c r="EW63" s="673"/>
      <c r="EX63" s="673"/>
      <c r="EY63" s="673"/>
      <c r="EZ63" s="673"/>
      <c r="FA63" s="673"/>
      <c r="FB63" s="673"/>
      <c r="FC63" s="673"/>
      <c r="FD63" s="673"/>
      <c r="FE63" s="673"/>
      <c r="FF63" s="673"/>
      <c r="FG63" s="673"/>
      <c r="FH63" s="673"/>
      <c r="FI63" s="673"/>
      <c r="FJ63" s="673"/>
      <c r="FK63" s="673"/>
      <c r="FL63" s="673"/>
      <c r="FM63" s="673"/>
      <c r="FN63" s="673"/>
      <c r="FO63" s="673"/>
      <c r="FP63" s="673"/>
      <c r="FQ63" s="673"/>
      <c r="FR63" s="673"/>
      <c r="FS63" s="673"/>
      <c r="FT63" s="673"/>
      <c r="FU63" s="673"/>
      <c r="FV63" s="673"/>
      <c r="FW63" s="673"/>
      <c r="FX63" s="673"/>
      <c r="FY63" s="673"/>
      <c r="FZ63" s="673"/>
      <c r="GA63" s="673"/>
      <c r="GB63" s="673"/>
      <c r="GC63" s="673"/>
      <c r="GD63" s="673"/>
      <c r="GE63" s="673"/>
      <c r="GF63" s="673"/>
      <c r="GG63" s="673"/>
      <c r="GH63" s="673"/>
      <c r="GI63" s="673"/>
      <c r="GJ63" s="673"/>
      <c r="GK63" s="673"/>
      <c r="GL63" s="673"/>
      <c r="GM63" s="673"/>
      <c r="GN63" s="673"/>
      <c r="GO63" s="673"/>
      <c r="GP63" s="673"/>
      <c r="GQ63" s="673"/>
      <c r="GR63" s="673"/>
      <c r="GS63" s="673"/>
      <c r="GT63" s="673"/>
      <c r="GU63" s="673"/>
      <c r="GV63" s="673"/>
      <c r="GW63" s="673"/>
      <c r="GX63" s="673"/>
      <c r="GY63" s="673"/>
      <c r="GZ63" s="673"/>
      <c r="HA63" s="673"/>
      <c r="HB63" s="673"/>
      <c r="HC63" s="673"/>
      <c r="HD63" s="673"/>
      <c r="HE63" s="673"/>
      <c r="HF63" s="673"/>
      <c r="HG63" s="673"/>
      <c r="HH63" s="673"/>
      <c r="HI63" s="673"/>
      <c r="HJ63" s="673"/>
      <c r="HK63" s="673"/>
      <c r="HL63" s="673"/>
      <c r="HM63" s="673"/>
      <c r="HN63" s="673"/>
      <c r="HO63" s="673"/>
      <c r="HP63" s="673"/>
      <c r="HQ63" s="673"/>
      <c r="HR63" s="673"/>
      <c r="HS63" s="673"/>
      <c r="HT63" s="673"/>
      <c r="HU63" s="673"/>
      <c r="HV63" s="673"/>
      <c r="HW63" s="673"/>
      <c r="HX63" s="673"/>
      <c r="HY63" s="673"/>
      <c r="HZ63" s="673"/>
      <c r="IA63" s="673"/>
      <c r="IB63" s="673"/>
      <c r="IC63" s="673"/>
      <c r="ID63" s="673"/>
      <c r="IE63" s="673"/>
      <c r="IF63" s="673"/>
      <c r="IG63" s="673"/>
      <c r="IH63" s="673"/>
      <c r="II63" s="673"/>
      <c r="IJ63" s="673"/>
      <c r="IK63" s="673"/>
      <c r="IL63" s="673"/>
      <c r="IM63" s="673"/>
      <c r="IN63" s="673"/>
      <c r="IO63" s="673"/>
      <c r="IP63" s="673"/>
      <c r="IQ63" s="673"/>
      <c r="IR63" s="673"/>
      <c r="IS63" s="673"/>
      <c r="IT63" s="673"/>
      <c r="IU63" s="673"/>
      <c r="IV63" s="673"/>
      <c r="IW63" s="673"/>
      <c r="IX63" s="673"/>
      <c r="IY63" s="673"/>
      <c r="IZ63" s="673"/>
      <c r="JA63" s="673"/>
      <c r="JB63" s="673"/>
      <c r="JC63" s="673"/>
      <c r="JD63" s="673"/>
      <c r="JE63" s="673"/>
      <c r="JF63" s="673"/>
      <c r="JG63" s="673"/>
      <c r="JH63" s="673"/>
      <c r="JI63" s="673"/>
      <c r="JJ63" s="673"/>
      <c r="JK63" s="673"/>
      <c r="JL63" s="673"/>
      <c r="JM63" s="673"/>
      <c r="JN63" s="673"/>
      <c r="JO63" s="673"/>
      <c r="JP63" s="673"/>
      <c r="JQ63" s="673"/>
      <c r="JR63" s="673"/>
      <c r="JS63" s="673"/>
      <c r="JT63" s="673"/>
      <c r="JU63" s="673"/>
      <c r="JV63" s="673"/>
      <c r="JW63" s="673"/>
      <c r="JX63" s="673"/>
      <c r="JY63" s="673"/>
      <c r="JZ63" s="673"/>
      <c r="KA63" s="673"/>
      <c r="KB63" s="673"/>
      <c r="KC63" s="673"/>
      <c r="KD63" s="673"/>
      <c r="KE63" s="673"/>
      <c r="KF63" s="673"/>
      <c r="KG63" s="673"/>
      <c r="KH63" s="673"/>
      <c r="KI63" s="673"/>
      <c r="KJ63" s="673"/>
      <c r="KK63" s="673"/>
      <c r="KL63" s="673"/>
      <c r="KM63" s="673"/>
      <c r="KN63" s="673"/>
      <c r="KO63" s="673"/>
      <c r="KP63" s="673"/>
      <c r="KQ63" s="673"/>
      <c r="KR63" s="673"/>
      <c r="KS63" s="673"/>
      <c r="KT63" s="673"/>
      <c r="KU63" s="673"/>
      <c r="KV63" s="673"/>
      <c r="KW63" s="673"/>
      <c r="KX63" s="673"/>
      <c r="KY63" s="673"/>
      <c r="KZ63" s="673"/>
      <c r="LA63" s="673"/>
      <c r="LB63" s="673"/>
      <c r="LC63" s="673"/>
      <c r="LD63" s="673"/>
      <c r="LE63" s="673"/>
      <c r="LF63" s="673"/>
      <c r="LG63" s="673"/>
      <c r="LH63" s="673"/>
      <c r="LI63" s="673"/>
      <c r="LJ63" s="673"/>
      <c r="LK63" s="673"/>
      <c r="LL63" s="673"/>
      <c r="LM63" s="673"/>
      <c r="LN63" s="673"/>
      <c r="LO63" s="673"/>
      <c r="LP63" s="673"/>
      <c r="LQ63" s="673"/>
      <c r="LR63" s="673"/>
      <c r="LS63" s="673"/>
      <c r="LT63" s="673"/>
      <c r="LU63" s="673"/>
      <c r="LV63" s="673"/>
      <c r="LW63" s="673"/>
      <c r="LX63" s="673"/>
      <c r="LY63" s="673"/>
      <c r="LZ63" s="673"/>
      <c r="MA63" s="673"/>
      <c r="MB63" s="673"/>
      <c r="MC63" s="673"/>
      <c r="MD63" s="673"/>
      <c r="ME63" s="673"/>
      <c r="MF63" s="673"/>
      <c r="MG63" s="673"/>
      <c r="MH63" s="673"/>
      <c r="MI63" s="673"/>
      <c r="MJ63" s="673"/>
      <c r="MK63" s="673"/>
      <c r="ML63" s="673"/>
      <c r="MM63" s="673"/>
      <c r="MN63" s="673"/>
      <c r="MO63" s="673"/>
      <c r="MP63" s="673"/>
      <c r="MQ63" s="673"/>
      <c r="MR63" s="673"/>
      <c r="MS63" s="673"/>
      <c r="MT63" s="673"/>
      <c r="MU63" s="673"/>
      <c r="MV63" s="673"/>
      <c r="MW63" s="673"/>
      <c r="MX63" s="673"/>
      <c r="MY63" s="673"/>
      <c r="MZ63" s="673"/>
      <c r="NA63" s="673"/>
      <c r="NB63" s="673"/>
      <c r="NC63" s="673"/>
      <c r="ND63" s="673"/>
      <c r="NE63" s="673"/>
      <c r="NF63" s="673"/>
      <c r="NG63" s="673"/>
      <c r="NH63" s="673"/>
      <c r="NI63" s="673"/>
      <c r="NJ63" s="673"/>
      <c r="NK63" s="673"/>
      <c r="NL63" s="673"/>
      <c r="NM63" s="673"/>
      <c r="NN63" s="673"/>
      <c r="NO63" s="673"/>
      <c r="NP63" s="673"/>
      <c r="NQ63" s="673"/>
      <c r="NR63" s="673"/>
      <c r="NS63" s="673"/>
      <c r="NT63" s="673"/>
      <c r="NU63" s="673"/>
      <c r="NV63" s="673"/>
      <c r="NW63" s="673"/>
      <c r="NX63" s="673"/>
      <c r="NY63" s="673"/>
      <c r="NZ63" s="673"/>
      <c r="OA63" s="673"/>
      <c r="OB63" s="673"/>
      <c r="OC63" s="673"/>
      <c r="OD63" s="673"/>
      <c r="OE63" s="673"/>
      <c r="OF63" s="673"/>
      <c r="OG63" s="673"/>
      <c r="OH63" s="673"/>
      <c r="OI63" s="673"/>
      <c r="OJ63" s="673"/>
      <c r="OK63" s="673"/>
      <c r="OL63" s="673"/>
      <c r="OM63" s="673"/>
      <c r="ON63" s="673"/>
      <c r="OO63" s="673"/>
      <c r="OP63" s="673"/>
      <c r="OQ63" s="673"/>
      <c r="OR63" s="673"/>
      <c r="OS63" s="673"/>
      <c r="OT63" s="673"/>
      <c r="OU63" s="673"/>
      <c r="OV63" s="673"/>
      <c r="OW63" s="673"/>
      <c r="OX63" s="673"/>
      <c r="OY63" s="673"/>
      <c r="OZ63" s="673"/>
      <c r="PA63" s="673"/>
      <c r="PB63" s="673"/>
      <c r="PC63" s="673"/>
      <c r="PD63" s="673"/>
      <c r="PE63" s="673"/>
      <c r="PF63" s="673"/>
      <c r="PG63" s="673"/>
      <c r="PH63" s="673"/>
      <c r="PI63" s="673"/>
      <c r="PJ63" s="673"/>
      <c r="PK63" s="673"/>
      <c r="PL63" s="673"/>
      <c r="PM63" s="673"/>
      <c r="PN63" s="673"/>
      <c r="PO63" s="673"/>
      <c r="PP63" s="673"/>
      <c r="PQ63" s="673"/>
      <c r="PR63" s="673"/>
      <c r="PS63" s="673"/>
      <c r="PT63" s="673"/>
      <c r="PU63" s="673"/>
      <c r="PV63" s="673"/>
      <c r="PW63" s="673"/>
      <c r="PX63" s="673"/>
      <c r="PY63" s="673"/>
      <c r="PZ63" s="673"/>
      <c r="QA63" s="673"/>
      <c r="QB63" s="673"/>
      <c r="QC63" s="673"/>
      <c r="QD63" s="673"/>
      <c r="QE63" s="673"/>
      <c r="QF63" s="673"/>
      <c r="QG63" s="673"/>
      <c r="QH63" s="673"/>
      <c r="QI63" s="673"/>
      <c r="QJ63" s="673"/>
      <c r="QK63" s="673"/>
    </row>
    <row r="64" spans="1:453" s="558" customFormat="1">
      <c r="A64" s="680"/>
      <c r="B64" s="680"/>
      <c r="C64" s="2107" t="str">
        <f ca="1">TEXT(HYPERLINK("#"&amp;CELL("address",'Equipment Results Matrix'!A982),'Equipment Results Matrix'!A982),"0,000")</f>
        <v>Incandescent Reflector</v>
      </c>
      <c r="D64" s="2107"/>
      <c r="E64" s="2107"/>
      <c r="F64" s="2107"/>
      <c r="G64" s="1305"/>
      <c r="H64" s="680"/>
      <c r="I64" s="680"/>
      <c r="J64" s="1525" t="str">
        <f ca="1">TEXT(HYPERLINK("#"&amp;CELL("address",'Labor Results Matrix'!A490),"Labor"),"0,000")</f>
        <v>Labor</v>
      </c>
      <c r="K64" s="1525"/>
      <c r="L64" s="2107" t="str">
        <f ca="1">TEXT(HYPERLINK("#"&amp;CELL("address",'Equipment + Labor'!A533),"Total installed cost"),"0,000")</f>
        <v>Total installed cost</v>
      </c>
      <c r="M64" s="2107"/>
      <c r="N64" s="2107"/>
      <c r="O64" s="673"/>
      <c r="P64" s="673"/>
      <c r="Q64" s="673"/>
      <c r="R64" s="673"/>
      <c r="S64" s="673"/>
      <c r="T64" s="673"/>
      <c r="U64" s="673"/>
      <c r="V64" s="673"/>
      <c r="W64" s="673"/>
      <c r="X64" s="673"/>
      <c r="Y64" s="673"/>
      <c r="Z64" s="673"/>
      <c r="AA64" s="673"/>
      <c r="AB64" s="673"/>
      <c r="AC64" s="673"/>
      <c r="AD64" s="673"/>
      <c r="AE64" s="673"/>
      <c r="AF64" s="673"/>
      <c r="AG64" s="673"/>
      <c r="AH64" s="673"/>
      <c r="AI64" s="673"/>
      <c r="AJ64" s="673"/>
      <c r="AK64" s="673"/>
      <c r="AL64" s="673"/>
      <c r="AM64" s="673"/>
      <c r="AN64" s="673"/>
      <c r="AO64" s="673"/>
      <c r="AP64" s="673"/>
      <c r="AQ64" s="673"/>
      <c r="AR64" s="673"/>
      <c r="AS64" s="673"/>
      <c r="AT64" s="673"/>
      <c r="AU64" s="673"/>
      <c r="AV64" s="673"/>
      <c r="AW64" s="673"/>
      <c r="AX64" s="673"/>
      <c r="AY64" s="673"/>
      <c r="AZ64" s="673"/>
      <c r="BA64" s="673"/>
      <c r="BB64" s="673"/>
      <c r="BC64" s="673"/>
      <c r="BD64" s="673"/>
      <c r="BE64" s="673"/>
      <c r="BF64" s="673"/>
      <c r="BG64" s="673"/>
      <c r="BH64" s="673"/>
      <c r="BI64" s="673"/>
      <c r="BJ64" s="673"/>
      <c r="BK64" s="673"/>
      <c r="BL64" s="673"/>
      <c r="BM64" s="673"/>
      <c r="BN64" s="673"/>
      <c r="BO64" s="673"/>
      <c r="BP64" s="673"/>
      <c r="BQ64" s="673"/>
      <c r="BR64" s="673"/>
      <c r="BS64" s="673"/>
      <c r="BT64" s="673"/>
      <c r="BU64" s="673"/>
      <c r="BV64" s="673"/>
      <c r="BW64" s="673"/>
      <c r="BX64" s="673"/>
      <c r="BY64" s="673"/>
      <c r="BZ64" s="673"/>
      <c r="CA64" s="673"/>
      <c r="CB64" s="673"/>
      <c r="CC64" s="673"/>
      <c r="CD64" s="673"/>
      <c r="CE64" s="673"/>
      <c r="CF64" s="673"/>
      <c r="CG64" s="673"/>
      <c r="CH64" s="673"/>
      <c r="CI64" s="673"/>
      <c r="CJ64" s="673"/>
      <c r="CK64" s="673"/>
      <c r="CL64" s="673"/>
      <c r="CM64" s="673"/>
      <c r="CN64" s="673"/>
      <c r="CO64" s="673"/>
      <c r="CP64" s="673"/>
      <c r="CQ64" s="673"/>
      <c r="CR64" s="673"/>
      <c r="CS64" s="673"/>
      <c r="CT64" s="673"/>
      <c r="CU64" s="673"/>
      <c r="CV64" s="673"/>
      <c r="CW64" s="673"/>
      <c r="CX64" s="673"/>
      <c r="CY64" s="673"/>
      <c r="CZ64" s="673"/>
      <c r="DA64" s="673"/>
      <c r="DB64" s="673"/>
      <c r="DC64" s="673"/>
      <c r="DD64" s="673"/>
      <c r="DE64" s="673"/>
      <c r="DF64" s="673"/>
      <c r="DG64" s="673"/>
      <c r="DH64" s="673"/>
      <c r="DI64" s="673"/>
      <c r="DJ64" s="673"/>
      <c r="DK64" s="673"/>
      <c r="DL64" s="673"/>
      <c r="DM64" s="673"/>
      <c r="DN64" s="673"/>
      <c r="DO64" s="673"/>
      <c r="DP64" s="673"/>
      <c r="DQ64" s="673"/>
      <c r="DR64" s="673"/>
      <c r="DS64" s="673"/>
      <c r="DT64" s="673"/>
      <c r="DU64" s="673"/>
      <c r="DV64" s="673"/>
      <c r="DW64" s="673"/>
      <c r="DX64" s="673"/>
      <c r="DY64" s="673"/>
      <c r="DZ64" s="673"/>
      <c r="EA64" s="673"/>
      <c r="EB64" s="673"/>
      <c r="EC64" s="673"/>
      <c r="ED64" s="673"/>
      <c r="EE64" s="673"/>
      <c r="EF64" s="673"/>
      <c r="EG64" s="673"/>
      <c r="EH64" s="673"/>
      <c r="EI64" s="673"/>
      <c r="EJ64" s="673"/>
      <c r="EK64" s="673"/>
      <c r="EL64" s="673"/>
      <c r="EM64" s="673"/>
      <c r="EN64" s="673"/>
      <c r="EO64" s="673"/>
      <c r="EP64" s="673"/>
      <c r="EQ64" s="673"/>
      <c r="ER64" s="673"/>
      <c r="ES64" s="673"/>
      <c r="ET64" s="673"/>
      <c r="EU64" s="673"/>
      <c r="EV64" s="673"/>
      <c r="EW64" s="673"/>
      <c r="EX64" s="673"/>
      <c r="EY64" s="673"/>
      <c r="EZ64" s="673"/>
      <c r="FA64" s="673"/>
      <c r="FB64" s="673"/>
      <c r="FC64" s="673"/>
      <c r="FD64" s="673"/>
      <c r="FE64" s="673"/>
      <c r="FF64" s="673"/>
      <c r="FG64" s="673"/>
      <c r="FH64" s="673"/>
      <c r="FI64" s="673"/>
      <c r="FJ64" s="673"/>
      <c r="FK64" s="673"/>
      <c r="FL64" s="673"/>
      <c r="FM64" s="673"/>
      <c r="FN64" s="673"/>
      <c r="FO64" s="673"/>
      <c r="FP64" s="673"/>
      <c r="FQ64" s="673"/>
      <c r="FR64" s="673"/>
      <c r="FS64" s="673"/>
      <c r="FT64" s="673"/>
      <c r="FU64" s="673"/>
      <c r="FV64" s="673"/>
      <c r="FW64" s="673"/>
      <c r="FX64" s="673"/>
      <c r="FY64" s="673"/>
      <c r="FZ64" s="673"/>
      <c r="GA64" s="673"/>
      <c r="GB64" s="673"/>
      <c r="GC64" s="673"/>
      <c r="GD64" s="673"/>
      <c r="GE64" s="673"/>
      <c r="GF64" s="673"/>
      <c r="GG64" s="673"/>
      <c r="GH64" s="673"/>
      <c r="GI64" s="673"/>
      <c r="GJ64" s="673"/>
      <c r="GK64" s="673"/>
      <c r="GL64" s="673"/>
      <c r="GM64" s="673"/>
      <c r="GN64" s="673"/>
      <c r="GO64" s="673"/>
      <c r="GP64" s="673"/>
      <c r="GQ64" s="673"/>
      <c r="GR64" s="673"/>
      <c r="GS64" s="673"/>
      <c r="GT64" s="673"/>
      <c r="GU64" s="673"/>
      <c r="GV64" s="673"/>
      <c r="GW64" s="673"/>
      <c r="GX64" s="673"/>
      <c r="GY64" s="673"/>
      <c r="GZ64" s="673"/>
      <c r="HA64" s="673"/>
      <c r="HB64" s="673"/>
      <c r="HC64" s="673"/>
      <c r="HD64" s="673"/>
      <c r="HE64" s="673"/>
      <c r="HF64" s="673"/>
      <c r="HG64" s="673"/>
      <c r="HH64" s="673"/>
      <c r="HI64" s="673"/>
      <c r="HJ64" s="673"/>
      <c r="HK64" s="673"/>
      <c r="HL64" s="673"/>
      <c r="HM64" s="673"/>
      <c r="HN64" s="673"/>
      <c r="HO64" s="673"/>
      <c r="HP64" s="673"/>
      <c r="HQ64" s="673"/>
      <c r="HR64" s="673"/>
      <c r="HS64" s="673"/>
      <c r="HT64" s="673"/>
      <c r="HU64" s="673"/>
      <c r="HV64" s="673"/>
      <c r="HW64" s="673"/>
      <c r="HX64" s="673"/>
      <c r="HY64" s="673"/>
      <c r="HZ64" s="673"/>
      <c r="IA64" s="673"/>
      <c r="IB64" s="673"/>
      <c r="IC64" s="673"/>
      <c r="ID64" s="673"/>
      <c r="IE64" s="673"/>
      <c r="IF64" s="673"/>
      <c r="IG64" s="673"/>
      <c r="IH64" s="673"/>
      <c r="II64" s="673"/>
      <c r="IJ64" s="673"/>
      <c r="IK64" s="673"/>
      <c r="IL64" s="673"/>
      <c r="IM64" s="673"/>
      <c r="IN64" s="673"/>
      <c r="IO64" s="673"/>
      <c r="IP64" s="673"/>
      <c r="IQ64" s="673"/>
      <c r="IR64" s="673"/>
      <c r="IS64" s="673"/>
      <c r="IT64" s="673"/>
      <c r="IU64" s="673"/>
      <c r="IV64" s="673"/>
      <c r="IW64" s="673"/>
      <c r="IX64" s="673"/>
      <c r="IY64" s="673"/>
      <c r="IZ64" s="673"/>
      <c r="JA64" s="673"/>
      <c r="JB64" s="673"/>
      <c r="JC64" s="673"/>
      <c r="JD64" s="673"/>
      <c r="JE64" s="673"/>
      <c r="JF64" s="673"/>
      <c r="JG64" s="673"/>
      <c r="JH64" s="673"/>
      <c r="JI64" s="673"/>
      <c r="JJ64" s="673"/>
      <c r="JK64" s="673"/>
      <c r="JL64" s="673"/>
      <c r="JM64" s="673"/>
      <c r="JN64" s="673"/>
      <c r="JO64" s="673"/>
      <c r="JP64" s="673"/>
      <c r="JQ64" s="673"/>
      <c r="JR64" s="673"/>
      <c r="JS64" s="673"/>
      <c r="JT64" s="673"/>
      <c r="JU64" s="673"/>
      <c r="JV64" s="673"/>
      <c r="JW64" s="673"/>
      <c r="JX64" s="673"/>
      <c r="JY64" s="673"/>
      <c r="JZ64" s="673"/>
      <c r="KA64" s="673"/>
      <c r="KB64" s="673"/>
      <c r="KC64" s="673"/>
      <c r="KD64" s="673"/>
      <c r="KE64" s="673"/>
      <c r="KF64" s="673"/>
      <c r="KG64" s="673"/>
      <c r="KH64" s="673"/>
      <c r="KI64" s="673"/>
      <c r="KJ64" s="673"/>
      <c r="KK64" s="673"/>
      <c r="KL64" s="673"/>
      <c r="KM64" s="673"/>
      <c r="KN64" s="673"/>
      <c r="KO64" s="673"/>
      <c r="KP64" s="673"/>
      <c r="KQ64" s="673"/>
      <c r="KR64" s="673"/>
      <c r="KS64" s="673"/>
      <c r="KT64" s="673"/>
      <c r="KU64" s="673"/>
      <c r="KV64" s="673"/>
      <c r="KW64" s="673"/>
      <c r="KX64" s="673"/>
      <c r="KY64" s="673"/>
      <c r="KZ64" s="673"/>
      <c r="LA64" s="673"/>
      <c r="LB64" s="673"/>
      <c r="LC64" s="673"/>
      <c r="LD64" s="673"/>
      <c r="LE64" s="673"/>
      <c r="LF64" s="673"/>
      <c r="LG64" s="673"/>
      <c r="LH64" s="673"/>
      <c r="LI64" s="673"/>
      <c r="LJ64" s="673"/>
      <c r="LK64" s="673"/>
      <c r="LL64" s="673"/>
      <c r="LM64" s="673"/>
      <c r="LN64" s="673"/>
      <c r="LO64" s="673"/>
      <c r="LP64" s="673"/>
      <c r="LQ64" s="673"/>
      <c r="LR64" s="673"/>
      <c r="LS64" s="673"/>
      <c r="LT64" s="673"/>
      <c r="LU64" s="673"/>
      <c r="LV64" s="673"/>
      <c r="LW64" s="673"/>
      <c r="LX64" s="673"/>
      <c r="LY64" s="673"/>
      <c r="LZ64" s="673"/>
      <c r="MA64" s="673"/>
      <c r="MB64" s="673"/>
      <c r="MC64" s="673"/>
      <c r="MD64" s="673"/>
      <c r="ME64" s="673"/>
      <c r="MF64" s="673"/>
      <c r="MG64" s="673"/>
      <c r="MH64" s="673"/>
      <c r="MI64" s="673"/>
      <c r="MJ64" s="673"/>
      <c r="MK64" s="673"/>
      <c r="ML64" s="673"/>
      <c r="MM64" s="673"/>
      <c r="MN64" s="673"/>
      <c r="MO64" s="673"/>
      <c r="MP64" s="673"/>
      <c r="MQ64" s="673"/>
      <c r="MR64" s="673"/>
      <c r="MS64" s="673"/>
      <c r="MT64" s="673"/>
      <c r="MU64" s="673"/>
      <c r="MV64" s="673"/>
      <c r="MW64" s="673"/>
      <c r="MX64" s="673"/>
      <c r="MY64" s="673"/>
      <c r="MZ64" s="673"/>
      <c r="NA64" s="673"/>
      <c r="NB64" s="673"/>
      <c r="NC64" s="673"/>
      <c r="ND64" s="673"/>
      <c r="NE64" s="673"/>
      <c r="NF64" s="673"/>
      <c r="NG64" s="673"/>
      <c r="NH64" s="673"/>
      <c r="NI64" s="673"/>
      <c r="NJ64" s="673"/>
      <c r="NK64" s="673"/>
      <c r="NL64" s="673"/>
      <c r="NM64" s="673"/>
      <c r="NN64" s="673"/>
      <c r="NO64" s="673"/>
      <c r="NP64" s="673"/>
      <c r="NQ64" s="673"/>
      <c r="NR64" s="673"/>
      <c r="NS64" s="673"/>
      <c r="NT64" s="673"/>
      <c r="NU64" s="673"/>
      <c r="NV64" s="673"/>
      <c r="NW64" s="673"/>
      <c r="NX64" s="673"/>
      <c r="NY64" s="673"/>
      <c r="NZ64" s="673"/>
      <c r="OA64" s="673"/>
      <c r="OB64" s="673"/>
      <c r="OC64" s="673"/>
      <c r="OD64" s="673"/>
      <c r="OE64" s="673"/>
      <c r="OF64" s="673"/>
      <c r="OG64" s="673"/>
      <c r="OH64" s="673"/>
      <c r="OI64" s="673"/>
      <c r="OJ64" s="673"/>
      <c r="OK64" s="673"/>
      <c r="OL64" s="673"/>
      <c r="OM64" s="673"/>
      <c r="ON64" s="673"/>
      <c r="OO64" s="673"/>
      <c r="OP64" s="673"/>
      <c r="OQ64" s="673"/>
      <c r="OR64" s="673"/>
      <c r="OS64" s="673"/>
      <c r="OT64" s="673"/>
      <c r="OU64" s="673"/>
      <c r="OV64" s="673"/>
      <c r="OW64" s="673"/>
      <c r="OX64" s="673"/>
      <c r="OY64" s="673"/>
      <c r="OZ64" s="673"/>
      <c r="PA64" s="673"/>
      <c r="PB64" s="673"/>
      <c r="PC64" s="673"/>
      <c r="PD64" s="673"/>
      <c r="PE64" s="673"/>
      <c r="PF64" s="673"/>
      <c r="PG64" s="673"/>
      <c r="PH64" s="673"/>
      <c r="PI64" s="673"/>
      <c r="PJ64" s="673"/>
      <c r="PK64" s="673"/>
      <c r="PL64" s="673"/>
      <c r="PM64" s="673"/>
      <c r="PN64" s="673"/>
      <c r="PO64" s="673"/>
      <c r="PP64" s="673"/>
      <c r="PQ64" s="673"/>
      <c r="PR64" s="673"/>
      <c r="PS64" s="673"/>
      <c r="PT64" s="673"/>
      <c r="PU64" s="673"/>
      <c r="PV64" s="673"/>
      <c r="PW64" s="673"/>
      <c r="PX64" s="673"/>
      <c r="PY64" s="673"/>
      <c r="PZ64" s="673"/>
      <c r="QA64" s="673"/>
      <c r="QB64" s="673"/>
      <c r="QC64" s="673"/>
      <c r="QD64" s="673"/>
      <c r="QE64" s="673"/>
      <c r="QF64" s="673"/>
      <c r="QG64" s="673"/>
      <c r="QH64" s="673"/>
      <c r="QI64" s="673"/>
      <c r="QJ64" s="673"/>
      <c r="QK64" s="673"/>
    </row>
    <row r="65" spans="1:453" s="1301" customFormat="1" ht="18.75">
      <c r="B65" s="680"/>
      <c r="C65" s="2107" t="str">
        <f ca="1">TEXT(HYPERLINK("#"&amp;CELL("address",'Equipment Results Matrix'!A997),'Equipment Results Matrix'!A997),"0,000")</f>
        <v>Incandescent Globe</v>
      </c>
      <c r="D65" s="2107"/>
      <c r="E65" s="2107"/>
      <c r="F65" s="2107"/>
      <c r="G65" s="1305"/>
      <c r="H65" s="680"/>
      <c r="I65" s="1302"/>
      <c r="J65" s="1525" t="str">
        <f ca="1">TEXT(HYPERLINK("#"&amp;CELL("address",'Labor Results Matrix'!A505),"Labor"),"0,000")</f>
        <v>Labor</v>
      </c>
      <c r="K65" s="1525"/>
      <c r="L65" s="2107" t="str">
        <f ca="1">TEXT(HYPERLINK("#"&amp;CELL("address",'Equipment + Labor'!A578),"Total installed cost"),"0,000")</f>
        <v>Total installed cost</v>
      </c>
      <c r="M65" s="2107"/>
      <c r="N65" s="2107"/>
      <c r="O65" s="1303"/>
      <c r="P65" s="1303"/>
      <c r="Q65" s="1303"/>
      <c r="R65" s="1303"/>
      <c r="S65" s="1303"/>
      <c r="T65" s="1303"/>
      <c r="U65" s="1303"/>
      <c r="V65" s="1303"/>
      <c r="W65" s="1303"/>
      <c r="X65" s="1303"/>
      <c r="Y65" s="1303"/>
      <c r="Z65" s="1303"/>
      <c r="AA65" s="1303"/>
      <c r="AB65" s="1303"/>
      <c r="AC65" s="1303"/>
      <c r="AD65" s="1303"/>
      <c r="AE65" s="1303"/>
      <c r="AF65" s="1303"/>
      <c r="AG65" s="1303"/>
      <c r="AH65" s="1303"/>
      <c r="AI65" s="1303"/>
      <c r="AJ65" s="1303"/>
      <c r="AK65" s="1303"/>
      <c r="AL65" s="1303"/>
      <c r="AM65" s="1303"/>
      <c r="AN65" s="1303"/>
      <c r="AO65" s="1303"/>
      <c r="AP65" s="1303"/>
      <c r="AQ65" s="1303"/>
      <c r="AR65" s="1303"/>
      <c r="AS65" s="1303"/>
      <c r="AT65" s="1303"/>
      <c r="AU65" s="1303"/>
      <c r="AV65" s="1303"/>
      <c r="AW65" s="1303"/>
      <c r="AX65" s="1303"/>
      <c r="AY65" s="1303"/>
      <c r="AZ65" s="1303"/>
      <c r="BA65" s="1303"/>
      <c r="BB65" s="1303"/>
      <c r="BC65" s="1303"/>
      <c r="BD65" s="1303"/>
      <c r="BE65" s="1303"/>
      <c r="BF65" s="1303"/>
      <c r="BG65" s="1303"/>
      <c r="BH65" s="1303"/>
      <c r="BI65" s="1303"/>
      <c r="BJ65" s="1303"/>
      <c r="BK65" s="1303"/>
      <c r="BL65" s="1303"/>
      <c r="BM65" s="1303"/>
      <c r="BN65" s="1303"/>
      <c r="BO65" s="1303"/>
      <c r="BP65" s="1303"/>
      <c r="BQ65" s="1303"/>
      <c r="BR65" s="1303"/>
      <c r="BS65" s="1303"/>
      <c r="BT65" s="1303"/>
      <c r="BU65" s="1303"/>
      <c r="BV65" s="1303"/>
      <c r="BW65" s="1303"/>
      <c r="BX65" s="1303"/>
      <c r="BY65" s="1303"/>
      <c r="BZ65" s="1303"/>
      <c r="CA65" s="1303"/>
      <c r="CB65" s="1303"/>
      <c r="CC65" s="1303"/>
      <c r="CD65" s="1303"/>
      <c r="CE65" s="1303"/>
      <c r="CF65" s="1303"/>
      <c r="CG65" s="1303"/>
      <c r="CH65" s="1303"/>
      <c r="CI65" s="1303"/>
      <c r="CJ65" s="1303"/>
      <c r="CK65" s="1303"/>
      <c r="CL65" s="1303"/>
      <c r="CM65" s="1303"/>
      <c r="CN65" s="1303"/>
      <c r="CO65" s="1303"/>
      <c r="CP65" s="1303"/>
      <c r="CQ65" s="1303"/>
      <c r="CR65" s="1303"/>
      <c r="CS65" s="1303"/>
      <c r="CT65" s="1303"/>
      <c r="CU65" s="1303"/>
      <c r="CV65" s="1303"/>
      <c r="CW65" s="1303"/>
      <c r="CX65" s="1303"/>
      <c r="CY65" s="1303"/>
      <c r="CZ65" s="1303"/>
      <c r="DA65" s="1303"/>
      <c r="DB65" s="1303"/>
      <c r="DC65" s="1303"/>
      <c r="DD65" s="1303"/>
      <c r="DE65" s="1303"/>
      <c r="DF65" s="1303"/>
      <c r="DG65" s="1303"/>
      <c r="DH65" s="1303"/>
      <c r="DI65" s="1303"/>
      <c r="DJ65" s="1303"/>
      <c r="DK65" s="1303"/>
      <c r="DL65" s="1303"/>
      <c r="DM65" s="1303"/>
      <c r="DN65" s="1303"/>
      <c r="DO65" s="1303"/>
      <c r="DP65" s="1303"/>
      <c r="DQ65" s="1303"/>
      <c r="DR65" s="1303"/>
      <c r="DS65" s="1303"/>
      <c r="DT65" s="1303"/>
      <c r="DU65" s="1303"/>
      <c r="DV65" s="1303"/>
      <c r="DW65" s="1303"/>
      <c r="DX65" s="1303"/>
      <c r="DY65" s="1303"/>
      <c r="DZ65" s="1303"/>
      <c r="EA65" s="1303"/>
      <c r="EB65" s="1303"/>
      <c r="EC65" s="1303"/>
      <c r="ED65" s="1303"/>
      <c r="EE65" s="1303"/>
      <c r="EF65" s="1303"/>
      <c r="EG65" s="1303"/>
      <c r="EH65" s="1303"/>
      <c r="EI65" s="1303"/>
      <c r="EJ65" s="1303"/>
      <c r="EK65" s="1303"/>
      <c r="EL65" s="1303"/>
      <c r="EM65" s="1303"/>
      <c r="EN65" s="1303"/>
      <c r="EO65" s="1303"/>
      <c r="EP65" s="1303"/>
      <c r="EQ65" s="1303"/>
      <c r="ER65" s="1303"/>
      <c r="ES65" s="1303"/>
      <c r="ET65" s="1303"/>
      <c r="EU65" s="1303"/>
      <c r="EV65" s="1303"/>
      <c r="EW65" s="1303"/>
      <c r="EX65" s="1303"/>
      <c r="EY65" s="1303"/>
      <c r="EZ65" s="1303"/>
      <c r="FA65" s="1303"/>
      <c r="FB65" s="1303"/>
      <c r="FC65" s="1303"/>
      <c r="FD65" s="1303"/>
      <c r="FE65" s="1303"/>
      <c r="FF65" s="1303"/>
      <c r="FG65" s="1303"/>
      <c r="FH65" s="1303"/>
      <c r="FI65" s="1303"/>
      <c r="FJ65" s="1303"/>
      <c r="FK65" s="1303"/>
      <c r="FL65" s="1303"/>
      <c r="FM65" s="1303"/>
      <c r="FN65" s="1303"/>
      <c r="FO65" s="1303"/>
      <c r="FP65" s="1303"/>
      <c r="FQ65" s="1303"/>
      <c r="FR65" s="1303"/>
      <c r="FS65" s="1303"/>
      <c r="FT65" s="1303"/>
      <c r="FU65" s="1303"/>
      <c r="FV65" s="1303"/>
      <c r="FW65" s="1303"/>
      <c r="FX65" s="1303"/>
      <c r="FY65" s="1303"/>
      <c r="FZ65" s="1303"/>
      <c r="GA65" s="1303"/>
      <c r="GB65" s="1303"/>
      <c r="GC65" s="1303"/>
      <c r="GD65" s="1303"/>
      <c r="GE65" s="1303"/>
      <c r="GF65" s="1303"/>
      <c r="GG65" s="1303"/>
      <c r="GH65" s="1303"/>
      <c r="GI65" s="1303"/>
      <c r="GJ65" s="1303"/>
      <c r="GK65" s="1303"/>
      <c r="GL65" s="1303"/>
      <c r="GM65" s="1303"/>
      <c r="GN65" s="1303"/>
      <c r="GO65" s="1303"/>
      <c r="GP65" s="1303"/>
      <c r="GQ65" s="1303"/>
      <c r="GR65" s="1303"/>
      <c r="GS65" s="1303"/>
      <c r="GT65" s="1303"/>
      <c r="GU65" s="1303"/>
      <c r="GV65" s="1303"/>
      <c r="GW65" s="1303"/>
      <c r="GX65" s="1303"/>
      <c r="GY65" s="1303"/>
      <c r="GZ65" s="1303"/>
      <c r="HA65" s="1303"/>
      <c r="HB65" s="1303"/>
      <c r="HC65" s="1303"/>
      <c r="HD65" s="1303"/>
      <c r="HE65" s="1303"/>
      <c r="HF65" s="1303"/>
      <c r="HG65" s="1303"/>
      <c r="HH65" s="1303"/>
      <c r="HI65" s="1303"/>
      <c r="HJ65" s="1303"/>
      <c r="HK65" s="1303"/>
      <c r="HL65" s="1303"/>
      <c r="HM65" s="1303"/>
      <c r="HN65" s="1303"/>
      <c r="HO65" s="1303"/>
      <c r="HP65" s="1303"/>
      <c r="HQ65" s="1303"/>
      <c r="HR65" s="1303"/>
      <c r="HS65" s="1303"/>
      <c r="HT65" s="1303"/>
      <c r="HU65" s="1303"/>
      <c r="HV65" s="1303"/>
      <c r="HW65" s="1303"/>
      <c r="HX65" s="1303"/>
      <c r="HY65" s="1303"/>
      <c r="HZ65" s="1303"/>
      <c r="IA65" s="1303"/>
      <c r="IB65" s="1303"/>
      <c r="IC65" s="1303"/>
      <c r="ID65" s="1303"/>
      <c r="IE65" s="1303"/>
      <c r="IF65" s="1303"/>
      <c r="IG65" s="1303"/>
      <c r="IH65" s="1303"/>
      <c r="II65" s="1303"/>
      <c r="IJ65" s="1303"/>
      <c r="IK65" s="1303"/>
      <c r="IL65" s="1303"/>
      <c r="IM65" s="1303"/>
      <c r="IN65" s="1303"/>
      <c r="IO65" s="1303"/>
      <c r="IP65" s="1303"/>
      <c r="IQ65" s="1303"/>
      <c r="IR65" s="1303"/>
      <c r="IS65" s="1303"/>
      <c r="IT65" s="1303"/>
      <c r="IU65" s="1303"/>
      <c r="IV65" s="1303"/>
      <c r="IW65" s="1303"/>
      <c r="IX65" s="1303"/>
      <c r="IY65" s="1303"/>
      <c r="IZ65" s="1303"/>
      <c r="JA65" s="1303"/>
      <c r="JB65" s="1303"/>
      <c r="JC65" s="1303"/>
      <c r="JD65" s="1303"/>
      <c r="JE65" s="1303"/>
      <c r="JF65" s="1303"/>
      <c r="JG65" s="1303"/>
      <c r="JH65" s="1303"/>
      <c r="JI65" s="1303"/>
      <c r="JJ65" s="1303"/>
      <c r="JK65" s="1303"/>
      <c r="JL65" s="1303"/>
      <c r="JM65" s="1303"/>
      <c r="JN65" s="1303"/>
      <c r="JO65" s="1303"/>
      <c r="JP65" s="1303"/>
      <c r="JQ65" s="1303"/>
      <c r="JR65" s="1303"/>
      <c r="JS65" s="1303"/>
      <c r="JT65" s="1303"/>
      <c r="JU65" s="1303"/>
      <c r="JV65" s="1303"/>
      <c r="JW65" s="1303"/>
      <c r="JX65" s="1303"/>
      <c r="JY65" s="1303"/>
      <c r="JZ65" s="1303"/>
      <c r="KA65" s="1303"/>
      <c r="KB65" s="1303"/>
      <c r="KC65" s="1303"/>
      <c r="KD65" s="1303"/>
      <c r="KE65" s="1303"/>
      <c r="KF65" s="1303"/>
      <c r="KG65" s="1303"/>
      <c r="KH65" s="1303"/>
      <c r="KI65" s="1303"/>
      <c r="KJ65" s="1303"/>
      <c r="KK65" s="1303"/>
      <c r="KL65" s="1303"/>
      <c r="KM65" s="1303"/>
      <c r="KN65" s="1303"/>
      <c r="KO65" s="1303"/>
      <c r="KP65" s="1303"/>
      <c r="KQ65" s="1303"/>
      <c r="KR65" s="1303"/>
      <c r="KS65" s="1303"/>
      <c r="KT65" s="1303"/>
      <c r="KU65" s="1303"/>
      <c r="KV65" s="1303"/>
      <c r="KW65" s="1303"/>
      <c r="KX65" s="1303"/>
      <c r="KY65" s="1303"/>
      <c r="KZ65" s="1303"/>
      <c r="LA65" s="1303"/>
      <c r="LB65" s="1303"/>
      <c r="LC65" s="1303"/>
      <c r="LD65" s="1303"/>
      <c r="LE65" s="1303"/>
      <c r="LF65" s="1303"/>
      <c r="LG65" s="1303"/>
      <c r="LH65" s="1303"/>
      <c r="LI65" s="1303"/>
      <c r="LJ65" s="1303"/>
      <c r="LK65" s="1303"/>
      <c r="LL65" s="1303"/>
      <c r="LM65" s="1303"/>
      <c r="LN65" s="1303"/>
      <c r="LO65" s="1303"/>
      <c r="LP65" s="1303"/>
      <c r="LQ65" s="1303"/>
      <c r="LR65" s="1303"/>
      <c r="LS65" s="1303"/>
      <c r="LT65" s="1303"/>
      <c r="LU65" s="1303"/>
      <c r="LV65" s="1303"/>
      <c r="LW65" s="1303"/>
      <c r="LX65" s="1303"/>
      <c r="LY65" s="1303"/>
      <c r="LZ65" s="1303"/>
      <c r="MA65" s="1303"/>
      <c r="MB65" s="1303"/>
      <c r="MC65" s="1303"/>
      <c r="MD65" s="1303"/>
      <c r="ME65" s="1303"/>
      <c r="MF65" s="1303"/>
      <c r="MG65" s="1303"/>
      <c r="MH65" s="1303"/>
      <c r="MI65" s="1303"/>
      <c r="MJ65" s="1303"/>
      <c r="MK65" s="1303"/>
      <c r="ML65" s="1303"/>
      <c r="MM65" s="1303"/>
      <c r="MN65" s="1303"/>
      <c r="MO65" s="1303"/>
      <c r="MP65" s="1303"/>
      <c r="MQ65" s="1303"/>
      <c r="MR65" s="1303"/>
      <c r="MS65" s="1303"/>
      <c r="MT65" s="1303"/>
      <c r="MU65" s="1303"/>
      <c r="MV65" s="1303"/>
      <c r="MW65" s="1303"/>
      <c r="MX65" s="1303"/>
      <c r="MY65" s="1303"/>
      <c r="MZ65" s="1303"/>
      <c r="NA65" s="1303"/>
      <c r="NB65" s="1303"/>
      <c r="NC65" s="1303"/>
      <c r="ND65" s="1303"/>
      <c r="NE65" s="1303"/>
      <c r="NF65" s="1303"/>
      <c r="NG65" s="1303"/>
      <c r="NH65" s="1303"/>
      <c r="NI65" s="1303"/>
      <c r="NJ65" s="1303"/>
      <c r="NK65" s="1303"/>
      <c r="NL65" s="1303"/>
      <c r="NM65" s="1303"/>
      <c r="NN65" s="1303"/>
      <c r="NO65" s="1303"/>
      <c r="NP65" s="1303"/>
      <c r="NQ65" s="1303"/>
      <c r="NR65" s="1303"/>
      <c r="NS65" s="1303"/>
      <c r="NT65" s="1303"/>
      <c r="NU65" s="1303"/>
      <c r="NV65" s="1303"/>
      <c r="NW65" s="1303"/>
      <c r="NX65" s="1303"/>
      <c r="NY65" s="1303"/>
      <c r="NZ65" s="1303"/>
      <c r="OA65" s="1303"/>
      <c r="OB65" s="1303"/>
      <c r="OC65" s="1303"/>
      <c r="OD65" s="1303"/>
      <c r="OE65" s="1303"/>
      <c r="OF65" s="1303"/>
      <c r="OG65" s="1303"/>
      <c r="OH65" s="1303"/>
      <c r="OI65" s="1303"/>
      <c r="OJ65" s="1303"/>
      <c r="OK65" s="1303"/>
      <c r="OL65" s="1303"/>
      <c r="OM65" s="1303"/>
      <c r="ON65" s="1303"/>
      <c r="OO65" s="1303"/>
      <c r="OP65" s="1303"/>
      <c r="OQ65" s="1303"/>
      <c r="OR65" s="1303"/>
      <c r="OS65" s="1303"/>
      <c r="OT65" s="1303"/>
      <c r="OU65" s="1303"/>
      <c r="OV65" s="1303"/>
      <c r="OW65" s="1303"/>
      <c r="OX65" s="1303"/>
      <c r="OY65" s="1303"/>
      <c r="OZ65" s="1303"/>
      <c r="PA65" s="1303"/>
      <c r="PB65" s="1303"/>
      <c r="PC65" s="1303"/>
      <c r="PD65" s="1303"/>
      <c r="PE65" s="1303"/>
      <c r="PF65" s="1303"/>
      <c r="PG65" s="1303"/>
      <c r="PH65" s="1303"/>
      <c r="PI65" s="1303"/>
      <c r="PJ65" s="1303"/>
      <c r="PK65" s="1303"/>
      <c r="PL65" s="1303"/>
      <c r="PM65" s="1303"/>
      <c r="PN65" s="1303"/>
      <c r="PO65" s="1303"/>
      <c r="PP65" s="1303"/>
      <c r="PQ65" s="1303"/>
      <c r="PR65" s="1303"/>
      <c r="PS65" s="1303"/>
      <c r="PT65" s="1303"/>
      <c r="PU65" s="1303"/>
      <c r="PV65" s="1303"/>
      <c r="PW65" s="1303"/>
      <c r="PX65" s="1303"/>
      <c r="PY65" s="1303"/>
      <c r="PZ65" s="1303"/>
      <c r="QA65" s="1303"/>
      <c r="QB65" s="1303"/>
      <c r="QC65" s="1303"/>
      <c r="QD65" s="1303"/>
      <c r="QE65" s="1303"/>
      <c r="QF65" s="1303"/>
      <c r="QG65" s="1303"/>
      <c r="QH65" s="1303"/>
      <c r="QI65" s="1303"/>
      <c r="QJ65" s="1303"/>
      <c r="QK65" s="1303"/>
    </row>
    <row r="66" spans="1:453" s="558" customFormat="1">
      <c r="A66" s="680"/>
      <c r="B66" s="680"/>
      <c r="C66" s="2107" t="str">
        <f ca="1">TEXT(HYPERLINK("#"&amp;CELL("address",'Equipment Results Matrix'!A1013),'Equipment Results Matrix'!A1013),"0,000")</f>
        <v>Incandescent Torpedo</v>
      </c>
      <c r="D66" s="2107"/>
      <c r="E66" s="2107"/>
      <c r="F66" s="2107"/>
      <c r="G66" s="1305"/>
      <c r="H66" s="680"/>
      <c r="I66" s="680"/>
      <c r="J66" s="1525" t="str">
        <f ca="1">TEXT(HYPERLINK("#"&amp;CELL("address",'Labor Results Matrix'!A521),"Labor"),"0,000")</f>
        <v>Labor</v>
      </c>
      <c r="K66" s="1525"/>
      <c r="L66" s="2107" t="str">
        <f ca="1">TEXT(HYPERLINK("#"&amp;CELL("address",'Equipment + Labor'!A583),"Total installed cost"),"0,000")</f>
        <v>Total installed cost</v>
      </c>
      <c r="M66" s="2107"/>
      <c r="N66" s="2107"/>
      <c r="O66" s="673"/>
      <c r="P66" s="673"/>
      <c r="Q66" s="673"/>
      <c r="R66" s="673"/>
      <c r="S66" s="673"/>
      <c r="T66" s="673"/>
      <c r="U66" s="673"/>
      <c r="V66" s="673"/>
      <c r="W66" s="673"/>
      <c r="X66" s="673"/>
      <c r="Y66" s="673"/>
      <c r="Z66" s="673"/>
      <c r="AA66" s="673"/>
      <c r="AB66" s="673"/>
      <c r="AC66" s="673"/>
      <c r="AD66" s="673"/>
      <c r="AE66" s="673"/>
      <c r="AF66" s="673"/>
      <c r="AG66" s="673"/>
      <c r="AH66" s="673"/>
      <c r="AI66" s="673"/>
      <c r="AJ66" s="673"/>
      <c r="AK66" s="673"/>
      <c r="AL66" s="673"/>
      <c r="AM66" s="673"/>
      <c r="AN66" s="673"/>
      <c r="AO66" s="673"/>
      <c r="AP66" s="673"/>
      <c r="AQ66" s="673"/>
      <c r="AR66" s="673"/>
      <c r="AS66" s="673"/>
      <c r="AT66" s="673"/>
      <c r="AU66" s="673"/>
      <c r="AV66" s="673"/>
      <c r="AW66" s="673"/>
      <c r="AX66" s="673"/>
      <c r="AY66" s="673"/>
      <c r="AZ66" s="673"/>
      <c r="BA66" s="673"/>
      <c r="BB66" s="673"/>
      <c r="BC66" s="673"/>
      <c r="BD66" s="673"/>
      <c r="BE66" s="673"/>
      <c r="BF66" s="673"/>
      <c r="BG66" s="673"/>
      <c r="BH66" s="673"/>
      <c r="BI66" s="673"/>
      <c r="BJ66" s="673"/>
      <c r="BK66" s="673"/>
      <c r="BL66" s="673"/>
      <c r="BM66" s="673"/>
      <c r="BN66" s="673"/>
      <c r="BO66" s="673"/>
      <c r="BP66" s="673"/>
      <c r="BQ66" s="673"/>
      <c r="BR66" s="673"/>
      <c r="BS66" s="673"/>
      <c r="BT66" s="673"/>
      <c r="BU66" s="673"/>
      <c r="BV66" s="673"/>
      <c r="BW66" s="673"/>
      <c r="BX66" s="673"/>
      <c r="BY66" s="673"/>
      <c r="BZ66" s="673"/>
      <c r="CA66" s="673"/>
      <c r="CB66" s="673"/>
      <c r="CC66" s="673"/>
      <c r="CD66" s="673"/>
      <c r="CE66" s="673"/>
      <c r="CF66" s="673"/>
      <c r="CG66" s="673"/>
      <c r="CH66" s="673"/>
      <c r="CI66" s="673"/>
      <c r="CJ66" s="673"/>
      <c r="CK66" s="673"/>
      <c r="CL66" s="673"/>
      <c r="CM66" s="673"/>
      <c r="CN66" s="673"/>
      <c r="CO66" s="673"/>
      <c r="CP66" s="673"/>
      <c r="CQ66" s="673"/>
      <c r="CR66" s="673"/>
      <c r="CS66" s="673"/>
      <c r="CT66" s="673"/>
      <c r="CU66" s="673"/>
      <c r="CV66" s="673"/>
      <c r="CW66" s="673"/>
      <c r="CX66" s="673"/>
      <c r="CY66" s="673"/>
      <c r="CZ66" s="673"/>
      <c r="DA66" s="673"/>
      <c r="DB66" s="673"/>
      <c r="DC66" s="673"/>
      <c r="DD66" s="673"/>
      <c r="DE66" s="673"/>
      <c r="DF66" s="673"/>
      <c r="DG66" s="673"/>
      <c r="DH66" s="673"/>
      <c r="DI66" s="673"/>
      <c r="DJ66" s="673"/>
      <c r="DK66" s="673"/>
      <c r="DL66" s="673"/>
      <c r="DM66" s="673"/>
      <c r="DN66" s="673"/>
      <c r="DO66" s="673"/>
      <c r="DP66" s="673"/>
      <c r="DQ66" s="673"/>
      <c r="DR66" s="673"/>
      <c r="DS66" s="673"/>
      <c r="DT66" s="673"/>
      <c r="DU66" s="673"/>
      <c r="DV66" s="673"/>
      <c r="DW66" s="673"/>
      <c r="DX66" s="673"/>
      <c r="DY66" s="673"/>
      <c r="DZ66" s="673"/>
      <c r="EA66" s="673"/>
      <c r="EB66" s="673"/>
      <c r="EC66" s="673"/>
      <c r="ED66" s="673"/>
      <c r="EE66" s="673"/>
      <c r="EF66" s="673"/>
      <c r="EG66" s="673"/>
      <c r="EH66" s="673"/>
      <c r="EI66" s="673"/>
      <c r="EJ66" s="673"/>
      <c r="EK66" s="673"/>
      <c r="EL66" s="673"/>
      <c r="EM66" s="673"/>
      <c r="EN66" s="673"/>
      <c r="EO66" s="673"/>
      <c r="EP66" s="673"/>
      <c r="EQ66" s="673"/>
      <c r="ER66" s="673"/>
      <c r="ES66" s="673"/>
      <c r="ET66" s="673"/>
      <c r="EU66" s="673"/>
      <c r="EV66" s="673"/>
      <c r="EW66" s="673"/>
      <c r="EX66" s="673"/>
      <c r="EY66" s="673"/>
      <c r="EZ66" s="673"/>
      <c r="FA66" s="673"/>
      <c r="FB66" s="673"/>
      <c r="FC66" s="673"/>
      <c r="FD66" s="673"/>
      <c r="FE66" s="673"/>
      <c r="FF66" s="673"/>
      <c r="FG66" s="673"/>
      <c r="FH66" s="673"/>
      <c r="FI66" s="673"/>
      <c r="FJ66" s="673"/>
      <c r="FK66" s="673"/>
      <c r="FL66" s="673"/>
      <c r="FM66" s="673"/>
      <c r="FN66" s="673"/>
      <c r="FO66" s="673"/>
      <c r="FP66" s="673"/>
      <c r="FQ66" s="673"/>
      <c r="FR66" s="673"/>
      <c r="FS66" s="673"/>
      <c r="FT66" s="673"/>
      <c r="FU66" s="673"/>
      <c r="FV66" s="673"/>
      <c r="FW66" s="673"/>
      <c r="FX66" s="673"/>
      <c r="FY66" s="673"/>
      <c r="FZ66" s="673"/>
      <c r="GA66" s="673"/>
      <c r="GB66" s="673"/>
      <c r="GC66" s="673"/>
      <c r="GD66" s="673"/>
      <c r="GE66" s="673"/>
      <c r="GF66" s="673"/>
      <c r="GG66" s="673"/>
      <c r="GH66" s="673"/>
      <c r="GI66" s="673"/>
      <c r="GJ66" s="673"/>
      <c r="GK66" s="673"/>
      <c r="GL66" s="673"/>
      <c r="GM66" s="673"/>
      <c r="GN66" s="673"/>
      <c r="GO66" s="673"/>
      <c r="GP66" s="673"/>
      <c r="GQ66" s="673"/>
      <c r="GR66" s="673"/>
      <c r="GS66" s="673"/>
      <c r="GT66" s="673"/>
      <c r="GU66" s="673"/>
      <c r="GV66" s="673"/>
      <c r="GW66" s="673"/>
      <c r="GX66" s="673"/>
      <c r="GY66" s="673"/>
      <c r="GZ66" s="673"/>
      <c r="HA66" s="673"/>
      <c r="HB66" s="673"/>
      <c r="HC66" s="673"/>
      <c r="HD66" s="673"/>
      <c r="HE66" s="673"/>
      <c r="HF66" s="673"/>
      <c r="HG66" s="673"/>
      <c r="HH66" s="673"/>
      <c r="HI66" s="673"/>
      <c r="HJ66" s="673"/>
      <c r="HK66" s="673"/>
      <c r="HL66" s="673"/>
      <c r="HM66" s="673"/>
      <c r="HN66" s="673"/>
      <c r="HO66" s="673"/>
      <c r="HP66" s="673"/>
      <c r="HQ66" s="673"/>
      <c r="HR66" s="673"/>
      <c r="HS66" s="673"/>
      <c r="HT66" s="673"/>
      <c r="HU66" s="673"/>
      <c r="HV66" s="673"/>
      <c r="HW66" s="673"/>
      <c r="HX66" s="673"/>
      <c r="HY66" s="673"/>
      <c r="HZ66" s="673"/>
      <c r="IA66" s="673"/>
      <c r="IB66" s="673"/>
      <c r="IC66" s="673"/>
      <c r="ID66" s="673"/>
      <c r="IE66" s="673"/>
      <c r="IF66" s="673"/>
      <c r="IG66" s="673"/>
      <c r="IH66" s="673"/>
      <c r="II66" s="673"/>
      <c r="IJ66" s="673"/>
      <c r="IK66" s="673"/>
      <c r="IL66" s="673"/>
      <c r="IM66" s="673"/>
      <c r="IN66" s="673"/>
      <c r="IO66" s="673"/>
      <c r="IP66" s="673"/>
      <c r="IQ66" s="673"/>
      <c r="IR66" s="673"/>
      <c r="IS66" s="673"/>
      <c r="IT66" s="673"/>
      <c r="IU66" s="673"/>
      <c r="IV66" s="673"/>
      <c r="IW66" s="673"/>
      <c r="IX66" s="673"/>
      <c r="IY66" s="673"/>
      <c r="IZ66" s="673"/>
      <c r="JA66" s="673"/>
      <c r="JB66" s="673"/>
      <c r="JC66" s="673"/>
      <c r="JD66" s="673"/>
      <c r="JE66" s="673"/>
      <c r="JF66" s="673"/>
      <c r="JG66" s="673"/>
      <c r="JH66" s="673"/>
      <c r="JI66" s="673"/>
      <c r="JJ66" s="673"/>
      <c r="JK66" s="673"/>
      <c r="JL66" s="673"/>
      <c r="JM66" s="673"/>
      <c r="JN66" s="673"/>
      <c r="JO66" s="673"/>
      <c r="JP66" s="673"/>
      <c r="JQ66" s="673"/>
      <c r="JR66" s="673"/>
      <c r="JS66" s="673"/>
      <c r="JT66" s="673"/>
      <c r="JU66" s="673"/>
      <c r="JV66" s="673"/>
      <c r="JW66" s="673"/>
      <c r="JX66" s="673"/>
      <c r="JY66" s="673"/>
      <c r="JZ66" s="673"/>
      <c r="KA66" s="673"/>
      <c r="KB66" s="673"/>
      <c r="KC66" s="673"/>
      <c r="KD66" s="673"/>
      <c r="KE66" s="673"/>
      <c r="KF66" s="673"/>
      <c r="KG66" s="673"/>
      <c r="KH66" s="673"/>
      <c r="KI66" s="673"/>
      <c r="KJ66" s="673"/>
      <c r="KK66" s="673"/>
      <c r="KL66" s="673"/>
      <c r="KM66" s="673"/>
      <c r="KN66" s="673"/>
      <c r="KO66" s="673"/>
      <c r="KP66" s="673"/>
      <c r="KQ66" s="673"/>
      <c r="KR66" s="673"/>
      <c r="KS66" s="673"/>
      <c r="KT66" s="673"/>
      <c r="KU66" s="673"/>
      <c r="KV66" s="673"/>
      <c r="KW66" s="673"/>
      <c r="KX66" s="673"/>
      <c r="KY66" s="673"/>
      <c r="KZ66" s="673"/>
      <c r="LA66" s="673"/>
      <c r="LB66" s="673"/>
      <c r="LC66" s="673"/>
      <c r="LD66" s="673"/>
      <c r="LE66" s="673"/>
      <c r="LF66" s="673"/>
      <c r="LG66" s="673"/>
      <c r="LH66" s="673"/>
      <c r="LI66" s="673"/>
      <c r="LJ66" s="673"/>
      <c r="LK66" s="673"/>
      <c r="LL66" s="673"/>
      <c r="LM66" s="673"/>
      <c r="LN66" s="673"/>
      <c r="LO66" s="673"/>
      <c r="LP66" s="673"/>
      <c r="LQ66" s="673"/>
      <c r="LR66" s="673"/>
      <c r="LS66" s="673"/>
      <c r="LT66" s="673"/>
      <c r="LU66" s="673"/>
      <c r="LV66" s="673"/>
      <c r="LW66" s="673"/>
      <c r="LX66" s="673"/>
      <c r="LY66" s="673"/>
      <c r="LZ66" s="673"/>
      <c r="MA66" s="673"/>
      <c r="MB66" s="673"/>
      <c r="MC66" s="673"/>
      <c r="MD66" s="673"/>
      <c r="ME66" s="673"/>
      <c r="MF66" s="673"/>
      <c r="MG66" s="673"/>
      <c r="MH66" s="673"/>
      <c r="MI66" s="673"/>
      <c r="MJ66" s="673"/>
      <c r="MK66" s="673"/>
      <c r="ML66" s="673"/>
      <c r="MM66" s="673"/>
      <c r="MN66" s="673"/>
      <c r="MO66" s="673"/>
      <c r="MP66" s="673"/>
      <c r="MQ66" s="673"/>
      <c r="MR66" s="673"/>
      <c r="MS66" s="673"/>
      <c r="MT66" s="673"/>
      <c r="MU66" s="673"/>
      <c r="MV66" s="673"/>
      <c r="MW66" s="673"/>
      <c r="MX66" s="673"/>
      <c r="MY66" s="673"/>
      <c r="MZ66" s="673"/>
      <c r="NA66" s="673"/>
      <c r="NB66" s="673"/>
      <c r="NC66" s="673"/>
      <c r="ND66" s="673"/>
      <c r="NE66" s="673"/>
      <c r="NF66" s="673"/>
      <c r="NG66" s="673"/>
      <c r="NH66" s="673"/>
      <c r="NI66" s="673"/>
      <c r="NJ66" s="673"/>
      <c r="NK66" s="673"/>
      <c r="NL66" s="673"/>
      <c r="NM66" s="673"/>
      <c r="NN66" s="673"/>
      <c r="NO66" s="673"/>
      <c r="NP66" s="673"/>
      <c r="NQ66" s="673"/>
      <c r="NR66" s="673"/>
      <c r="NS66" s="673"/>
      <c r="NT66" s="673"/>
      <c r="NU66" s="673"/>
      <c r="NV66" s="673"/>
      <c r="NW66" s="673"/>
      <c r="NX66" s="673"/>
      <c r="NY66" s="673"/>
      <c r="NZ66" s="673"/>
      <c r="OA66" s="673"/>
      <c r="OB66" s="673"/>
      <c r="OC66" s="673"/>
      <c r="OD66" s="673"/>
      <c r="OE66" s="673"/>
      <c r="OF66" s="673"/>
      <c r="OG66" s="673"/>
      <c r="OH66" s="673"/>
      <c r="OI66" s="673"/>
      <c r="OJ66" s="673"/>
      <c r="OK66" s="673"/>
      <c r="OL66" s="673"/>
      <c r="OM66" s="673"/>
      <c r="ON66" s="673"/>
      <c r="OO66" s="673"/>
      <c r="OP66" s="673"/>
      <c r="OQ66" s="673"/>
      <c r="OR66" s="673"/>
      <c r="OS66" s="673"/>
      <c r="OT66" s="673"/>
      <c r="OU66" s="673"/>
      <c r="OV66" s="673"/>
      <c r="OW66" s="673"/>
      <c r="OX66" s="673"/>
      <c r="OY66" s="673"/>
      <c r="OZ66" s="673"/>
      <c r="PA66" s="673"/>
      <c r="PB66" s="673"/>
      <c r="PC66" s="673"/>
      <c r="PD66" s="673"/>
      <c r="PE66" s="673"/>
      <c r="PF66" s="673"/>
      <c r="PG66" s="673"/>
      <c r="PH66" s="673"/>
      <c r="PI66" s="673"/>
      <c r="PJ66" s="673"/>
      <c r="PK66" s="673"/>
      <c r="PL66" s="673"/>
      <c r="PM66" s="673"/>
      <c r="PN66" s="673"/>
      <c r="PO66" s="673"/>
      <c r="PP66" s="673"/>
      <c r="PQ66" s="673"/>
      <c r="PR66" s="673"/>
      <c r="PS66" s="673"/>
      <c r="PT66" s="673"/>
      <c r="PU66" s="673"/>
      <c r="PV66" s="673"/>
      <c r="PW66" s="673"/>
      <c r="PX66" s="673"/>
      <c r="PY66" s="673"/>
      <c r="PZ66" s="673"/>
      <c r="QA66" s="673"/>
      <c r="QB66" s="673"/>
      <c r="QC66" s="673"/>
      <c r="QD66" s="673"/>
      <c r="QE66" s="673"/>
      <c r="QF66" s="673"/>
      <c r="QG66" s="673"/>
      <c r="QH66" s="673"/>
      <c r="QI66" s="673"/>
      <c r="QJ66" s="673"/>
      <c r="QK66" s="673"/>
    </row>
    <row r="67" spans="1:453" s="558" customFormat="1">
      <c r="A67" s="680"/>
      <c r="B67" s="680"/>
      <c r="C67" s="2107" t="str">
        <f ca="1">TEXT(HYPERLINK("#"&amp;CELL("address",'Equipment Results Matrix'!A1024),'Equipment Results Matrix'!A1024),"0,000")</f>
        <v>CFL A-Lamps and Twisters</v>
      </c>
      <c r="D67" s="2107"/>
      <c r="E67" s="2107"/>
      <c r="F67" s="2107"/>
      <c r="G67" s="1305"/>
      <c r="H67" s="680"/>
      <c r="I67" s="680"/>
      <c r="J67" s="1525" t="str">
        <f ca="1">TEXT(HYPERLINK("#"&amp;CELL("address",'Labor Results Matrix'!A532),"Labor"),"0,000")</f>
        <v>Labor</v>
      </c>
      <c r="K67" s="1525"/>
      <c r="L67" s="2107" t="str">
        <f ca="1">TEXT(HYPERLINK("#"&amp;CELL("address",'Equipment + Labor'!A444),"Total installed cost"),"0,000")</f>
        <v>Total installed cost</v>
      </c>
      <c r="M67" s="2107"/>
      <c r="N67" s="2107"/>
      <c r="O67" s="673"/>
      <c r="P67" s="673"/>
      <c r="Q67" s="673"/>
      <c r="R67" s="673"/>
      <c r="S67" s="673"/>
      <c r="T67" s="673"/>
      <c r="U67" s="673"/>
      <c r="V67" s="673"/>
      <c r="W67" s="673"/>
      <c r="X67" s="673"/>
      <c r="Y67" s="673"/>
      <c r="Z67" s="673"/>
      <c r="AA67" s="673"/>
      <c r="AB67" s="673"/>
      <c r="AC67" s="673"/>
      <c r="AD67" s="673"/>
      <c r="AE67" s="673"/>
      <c r="AF67" s="673"/>
      <c r="AG67" s="673"/>
      <c r="AH67" s="673"/>
      <c r="AI67" s="673"/>
      <c r="AJ67" s="673"/>
      <c r="AK67" s="673"/>
      <c r="AL67" s="673"/>
      <c r="AM67" s="673"/>
      <c r="AN67" s="673"/>
      <c r="AO67" s="673"/>
      <c r="AP67" s="673"/>
      <c r="AQ67" s="673"/>
      <c r="AR67" s="673"/>
      <c r="AS67" s="673"/>
      <c r="AT67" s="673"/>
      <c r="AU67" s="673"/>
      <c r="AV67" s="673"/>
      <c r="AW67" s="673"/>
      <c r="AX67" s="673"/>
      <c r="AY67" s="673"/>
      <c r="AZ67" s="673"/>
      <c r="BA67" s="673"/>
      <c r="BB67" s="673"/>
      <c r="BC67" s="673"/>
      <c r="BD67" s="673"/>
      <c r="BE67" s="673"/>
      <c r="BF67" s="673"/>
      <c r="BG67" s="673"/>
      <c r="BH67" s="673"/>
      <c r="BI67" s="673"/>
      <c r="BJ67" s="673"/>
      <c r="BK67" s="673"/>
      <c r="BL67" s="673"/>
      <c r="BM67" s="673"/>
      <c r="BN67" s="673"/>
      <c r="BO67" s="673"/>
      <c r="BP67" s="673"/>
      <c r="BQ67" s="673"/>
      <c r="BR67" s="673"/>
      <c r="BS67" s="673"/>
      <c r="BT67" s="673"/>
      <c r="BU67" s="673"/>
      <c r="BV67" s="673"/>
      <c r="BW67" s="673"/>
      <c r="BX67" s="673"/>
      <c r="BY67" s="673"/>
      <c r="BZ67" s="673"/>
      <c r="CA67" s="673"/>
      <c r="CB67" s="673"/>
      <c r="CC67" s="673"/>
      <c r="CD67" s="673"/>
      <c r="CE67" s="673"/>
      <c r="CF67" s="673"/>
      <c r="CG67" s="673"/>
      <c r="CH67" s="673"/>
      <c r="CI67" s="673"/>
      <c r="CJ67" s="673"/>
      <c r="CK67" s="673"/>
      <c r="CL67" s="673"/>
      <c r="CM67" s="673"/>
      <c r="CN67" s="673"/>
      <c r="CO67" s="673"/>
      <c r="CP67" s="673"/>
      <c r="CQ67" s="673"/>
      <c r="CR67" s="673"/>
      <c r="CS67" s="673"/>
      <c r="CT67" s="673"/>
      <c r="CU67" s="673"/>
      <c r="CV67" s="673"/>
      <c r="CW67" s="673"/>
      <c r="CX67" s="673"/>
      <c r="CY67" s="673"/>
      <c r="CZ67" s="673"/>
      <c r="DA67" s="673"/>
      <c r="DB67" s="673"/>
      <c r="DC67" s="673"/>
      <c r="DD67" s="673"/>
      <c r="DE67" s="673"/>
      <c r="DF67" s="673"/>
      <c r="DG67" s="673"/>
      <c r="DH67" s="673"/>
      <c r="DI67" s="673"/>
      <c r="DJ67" s="673"/>
      <c r="DK67" s="673"/>
      <c r="DL67" s="673"/>
      <c r="DM67" s="673"/>
      <c r="DN67" s="673"/>
      <c r="DO67" s="673"/>
      <c r="DP67" s="673"/>
      <c r="DQ67" s="673"/>
      <c r="DR67" s="673"/>
      <c r="DS67" s="673"/>
      <c r="DT67" s="673"/>
      <c r="DU67" s="673"/>
      <c r="DV67" s="673"/>
      <c r="DW67" s="673"/>
      <c r="DX67" s="673"/>
      <c r="DY67" s="673"/>
      <c r="DZ67" s="673"/>
      <c r="EA67" s="673"/>
      <c r="EB67" s="673"/>
      <c r="EC67" s="673"/>
      <c r="ED67" s="673"/>
      <c r="EE67" s="673"/>
      <c r="EF67" s="673"/>
      <c r="EG67" s="673"/>
      <c r="EH67" s="673"/>
      <c r="EI67" s="673"/>
      <c r="EJ67" s="673"/>
      <c r="EK67" s="673"/>
      <c r="EL67" s="673"/>
      <c r="EM67" s="673"/>
      <c r="EN67" s="673"/>
      <c r="EO67" s="673"/>
      <c r="EP67" s="673"/>
      <c r="EQ67" s="673"/>
      <c r="ER67" s="673"/>
      <c r="ES67" s="673"/>
      <c r="ET67" s="673"/>
      <c r="EU67" s="673"/>
      <c r="EV67" s="673"/>
      <c r="EW67" s="673"/>
      <c r="EX67" s="673"/>
      <c r="EY67" s="673"/>
      <c r="EZ67" s="673"/>
      <c r="FA67" s="673"/>
      <c r="FB67" s="673"/>
      <c r="FC67" s="673"/>
      <c r="FD67" s="673"/>
      <c r="FE67" s="673"/>
      <c r="FF67" s="673"/>
      <c r="FG67" s="673"/>
      <c r="FH67" s="673"/>
      <c r="FI67" s="673"/>
      <c r="FJ67" s="673"/>
      <c r="FK67" s="673"/>
      <c r="FL67" s="673"/>
      <c r="FM67" s="673"/>
      <c r="FN67" s="673"/>
      <c r="FO67" s="673"/>
      <c r="FP67" s="673"/>
      <c r="FQ67" s="673"/>
      <c r="FR67" s="673"/>
      <c r="FS67" s="673"/>
      <c r="FT67" s="673"/>
      <c r="FU67" s="673"/>
      <c r="FV67" s="673"/>
      <c r="FW67" s="673"/>
      <c r="FX67" s="673"/>
      <c r="FY67" s="673"/>
      <c r="FZ67" s="673"/>
      <c r="GA67" s="673"/>
      <c r="GB67" s="673"/>
      <c r="GC67" s="673"/>
      <c r="GD67" s="673"/>
      <c r="GE67" s="673"/>
      <c r="GF67" s="673"/>
      <c r="GG67" s="673"/>
      <c r="GH67" s="673"/>
      <c r="GI67" s="673"/>
      <c r="GJ67" s="673"/>
      <c r="GK67" s="673"/>
      <c r="GL67" s="673"/>
      <c r="GM67" s="673"/>
      <c r="GN67" s="673"/>
      <c r="GO67" s="673"/>
      <c r="GP67" s="673"/>
      <c r="GQ67" s="673"/>
      <c r="GR67" s="673"/>
      <c r="GS67" s="673"/>
      <c r="GT67" s="673"/>
      <c r="GU67" s="673"/>
      <c r="GV67" s="673"/>
      <c r="GW67" s="673"/>
      <c r="GX67" s="673"/>
      <c r="GY67" s="673"/>
      <c r="GZ67" s="673"/>
      <c r="HA67" s="673"/>
      <c r="HB67" s="673"/>
      <c r="HC67" s="673"/>
      <c r="HD67" s="673"/>
      <c r="HE67" s="673"/>
      <c r="HF67" s="673"/>
      <c r="HG67" s="673"/>
      <c r="HH67" s="673"/>
      <c r="HI67" s="673"/>
      <c r="HJ67" s="673"/>
      <c r="HK67" s="673"/>
      <c r="HL67" s="673"/>
      <c r="HM67" s="673"/>
      <c r="HN67" s="673"/>
      <c r="HO67" s="673"/>
      <c r="HP67" s="673"/>
      <c r="HQ67" s="673"/>
      <c r="HR67" s="673"/>
      <c r="HS67" s="673"/>
      <c r="HT67" s="673"/>
      <c r="HU67" s="673"/>
      <c r="HV67" s="673"/>
      <c r="HW67" s="673"/>
      <c r="HX67" s="673"/>
      <c r="HY67" s="673"/>
      <c r="HZ67" s="673"/>
      <c r="IA67" s="673"/>
      <c r="IB67" s="673"/>
      <c r="IC67" s="673"/>
      <c r="ID67" s="673"/>
      <c r="IE67" s="673"/>
      <c r="IF67" s="673"/>
      <c r="IG67" s="673"/>
      <c r="IH67" s="673"/>
      <c r="II67" s="673"/>
      <c r="IJ67" s="673"/>
      <c r="IK67" s="673"/>
      <c r="IL67" s="673"/>
      <c r="IM67" s="673"/>
      <c r="IN67" s="673"/>
      <c r="IO67" s="673"/>
      <c r="IP67" s="673"/>
      <c r="IQ67" s="673"/>
      <c r="IR67" s="673"/>
      <c r="IS67" s="673"/>
      <c r="IT67" s="673"/>
      <c r="IU67" s="673"/>
      <c r="IV67" s="673"/>
      <c r="IW67" s="673"/>
      <c r="IX67" s="673"/>
      <c r="IY67" s="673"/>
      <c r="IZ67" s="673"/>
      <c r="JA67" s="673"/>
      <c r="JB67" s="673"/>
      <c r="JC67" s="673"/>
      <c r="JD67" s="673"/>
      <c r="JE67" s="673"/>
      <c r="JF67" s="673"/>
      <c r="JG67" s="673"/>
      <c r="JH67" s="673"/>
      <c r="JI67" s="673"/>
      <c r="JJ67" s="673"/>
      <c r="JK67" s="673"/>
      <c r="JL67" s="673"/>
      <c r="JM67" s="673"/>
      <c r="JN67" s="673"/>
      <c r="JO67" s="673"/>
      <c r="JP67" s="673"/>
      <c r="JQ67" s="673"/>
      <c r="JR67" s="673"/>
      <c r="JS67" s="673"/>
      <c r="JT67" s="673"/>
      <c r="JU67" s="673"/>
      <c r="JV67" s="673"/>
      <c r="JW67" s="673"/>
      <c r="JX67" s="673"/>
      <c r="JY67" s="673"/>
      <c r="JZ67" s="673"/>
      <c r="KA67" s="673"/>
      <c r="KB67" s="673"/>
      <c r="KC67" s="673"/>
      <c r="KD67" s="673"/>
      <c r="KE67" s="673"/>
      <c r="KF67" s="673"/>
      <c r="KG67" s="673"/>
      <c r="KH67" s="673"/>
      <c r="KI67" s="673"/>
      <c r="KJ67" s="673"/>
      <c r="KK67" s="673"/>
      <c r="KL67" s="673"/>
      <c r="KM67" s="673"/>
      <c r="KN67" s="673"/>
      <c r="KO67" s="673"/>
      <c r="KP67" s="673"/>
      <c r="KQ67" s="673"/>
      <c r="KR67" s="673"/>
      <c r="KS67" s="673"/>
      <c r="KT67" s="673"/>
      <c r="KU67" s="673"/>
      <c r="KV67" s="673"/>
      <c r="KW67" s="673"/>
      <c r="KX67" s="673"/>
      <c r="KY67" s="673"/>
      <c r="KZ67" s="673"/>
      <c r="LA67" s="673"/>
      <c r="LB67" s="673"/>
      <c r="LC67" s="673"/>
      <c r="LD67" s="673"/>
      <c r="LE67" s="673"/>
      <c r="LF67" s="673"/>
      <c r="LG67" s="673"/>
      <c r="LH67" s="673"/>
      <c r="LI67" s="673"/>
      <c r="LJ67" s="673"/>
      <c r="LK67" s="673"/>
      <c r="LL67" s="673"/>
      <c r="LM67" s="673"/>
      <c r="LN67" s="673"/>
      <c r="LO67" s="673"/>
      <c r="LP67" s="673"/>
      <c r="LQ67" s="673"/>
      <c r="LR67" s="673"/>
      <c r="LS67" s="673"/>
      <c r="LT67" s="673"/>
      <c r="LU67" s="673"/>
      <c r="LV67" s="673"/>
      <c r="LW67" s="673"/>
      <c r="LX67" s="673"/>
      <c r="LY67" s="673"/>
      <c r="LZ67" s="673"/>
      <c r="MA67" s="673"/>
      <c r="MB67" s="673"/>
      <c r="MC67" s="673"/>
      <c r="MD67" s="673"/>
      <c r="ME67" s="673"/>
      <c r="MF67" s="673"/>
      <c r="MG67" s="673"/>
      <c r="MH67" s="673"/>
      <c r="MI67" s="673"/>
      <c r="MJ67" s="673"/>
      <c r="MK67" s="673"/>
      <c r="ML67" s="673"/>
      <c r="MM67" s="673"/>
      <c r="MN67" s="673"/>
      <c r="MO67" s="673"/>
      <c r="MP67" s="673"/>
      <c r="MQ67" s="673"/>
      <c r="MR67" s="673"/>
      <c r="MS67" s="673"/>
      <c r="MT67" s="673"/>
      <c r="MU67" s="673"/>
      <c r="MV67" s="673"/>
      <c r="MW67" s="673"/>
      <c r="MX67" s="673"/>
      <c r="MY67" s="673"/>
      <c r="MZ67" s="673"/>
      <c r="NA67" s="673"/>
      <c r="NB67" s="673"/>
      <c r="NC67" s="673"/>
      <c r="ND67" s="673"/>
      <c r="NE67" s="673"/>
      <c r="NF67" s="673"/>
      <c r="NG67" s="673"/>
      <c r="NH67" s="673"/>
      <c r="NI67" s="673"/>
      <c r="NJ67" s="673"/>
      <c r="NK67" s="673"/>
      <c r="NL67" s="673"/>
      <c r="NM67" s="673"/>
      <c r="NN67" s="673"/>
      <c r="NO67" s="673"/>
      <c r="NP67" s="673"/>
      <c r="NQ67" s="673"/>
      <c r="NR67" s="673"/>
      <c r="NS67" s="673"/>
      <c r="NT67" s="673"/>
      <c r="NU67" s="673"/>
      <c r="NV67" s="673"/>
      <c r="NW67" s="673"/>
      <c r="NX67" s="673"/>
      <c r="NY67" s="673"/>
      <c r="NZ67" s="673"/>
      <c r="OA67" s="673"/>
      <c r="OB67" s="673"/>
      <c r="OC67" s="673"/>
      <c r="OD67" s="673"/>
      <c r="OE67" s="673"/>
      <c r="OF67" s="673"/>
      <c r="OG67" s="673"/>
      <c r="OH67" s="673"/>
      <c r="OI67" s="673"/>
      <c r="OJ67" s="673"/>
      <c r="OK67" s="673"/>
      <c r="OL67" s="673"/>
      <c r="OM67" s="673"/>
      <c r="ON67" s="673"/>
      <c r="OO67" s="673"/>
      <c r="OP67" s="673"/>
      <c r="OQ67" s="673"/>
      <c r="OR67" s="673"/>
      <c r="OS67" s="673"/>
      <c r="OT67" s="673"/>
      <c r="OU67" s="673"/>
      <c r="OV67" s="673"/>
      <c r="OW67" s="673"/>
      <c r="OX67" s="673"/>
      <c r="OY67" s="673"/>
      <c r="OZ67" s="673"/>
      <c r="PA67" s="673"/>
      <c r="PB67" s="673"/>
      <c r="PC67" s="673"/>
      <c r="PD67" s="673"/>
      <c r="PE67" s="673"/>
      <c r="PF67" s="673"/>
      <c r="PG67" s="673"/>
      <c r="PH67" s="673"/>
      <c r="PI67" s="673"/>
      <c r="PJ67" s="673"/>
      <c r="PK67" s="673"/>
      <c r="PL67" s="673"/>
      <c r="PM67" s="673"/>
      <c r="PN67" s="673"/>
      <c r="PO67" s="673"/>
      <c r="PP67" s="673"/>
      <c r="PQ67" s="673"/>
      <c r="PR67" s="673"/>
      <c r="PS67" s="673"/>
      <c r="PT67" s="673"/>
      <c r="PU67" s="673"/>
      <c r="PV67" s="673"/>
      <c r="PW67" s="673"/>
      <c r="PX67" s="673"/>
      <c r="PY67" s="673"/>
      <c r="PZ67" s="673"/>
      <c r="QA67" s="673"/>
      <c r="QB67" s="673"/>
      <c r="QC67" s="673"/>
      <c r="QD67" s="673"/>
      <c r="QE67" s="673"/>
      <c r="QF67" s="673"/>
      <c r="QG67" s="673"/>
      <c r="QH67" s="673"/>
      <c r="QI67" s="673"/>
      <c r="QJ67" s="673"/>
      <c r="QK67" s="673"/>
    </row>
    <row r="68" spans="1:453" s="558" customFormat="1">
      <c r="A68" s="680"/>
      <c r="B68" s="680"/>
      <c r="C68" s="2107" t="str">
        <f ca="1">TEXT(HYPERLINK("#"&amp;CELL("address",'Equipment Results Matrix'!A1050),'Equipment Results Matrix'!A1050),"0,000")</f>
        <v>CFL Reflector</v>
      </c>
      <c r="D68" s="2107"/>
      <c r="E68" s="2107"/>
      <c r="F68" s="2107"/>
      <c r="G68" s="1305"/>
      <c r="H68" s="680"/>
      <c r="I68" s="680"/>
      <c r="J68" s="1525" t="str">
        <f ca="1">TEXT(HYPERLINK("#"&amp;CELL("address",'Labor Results Matrix'!A558),"Labor"),"0,000")</f>
        <v>Labor</v>
      </c>
      <c r="K68" s="1525"/>
      <c r="L68" s="2107" t="str">
        <f ca="1">TEXT(HYPERLINK("#"&amp;CELL("address",'Equipment + Labor'!A533),"Total installed cost"),"0,000")</f>
        <v>Total installed cost</v>
      </c>
      <c r="M68" s="2107"/>
      <c r="N68" s="2107"/>
      <c r="O68" s="673"/>
      <c r="P68" s="673"/>
      <c r="Q68" s="673"/>
      <c r="R68" s="673"/>
      <c r="S68" s="673"/>
      <c r="T68" s="673"/>
      <c r="U68" s="673"/>
      <c r="V68" s="673"/>
      <c r="W68" s="673"/>
      <c r="X68" s="673"/>
      <c r="Y68" s="673"/>
      <c r="Z68" s="673"/>
      <c r="AA68" s="673"/>
      <c r="AB68" s="673"/>
      <c r="AC68" s="673"/>
      <c r="AD68" s="673"/>
      <c r="AE68" s="673"/>
      <c r="AF68" s="673"/>
      <c r="AG68" s="673"/>
      <c r="AH68" s="673"/>
      <c r="AI68" s="673"/>
      <c r="AJ68" s="673"/>
      <c r="AK68" s="673"/>
      <c r="AL68" s="673"/>
      <c r="AM68" s="673"/>
      <c r="AN68" s="673"/>
      <c r="AO68" s="673"/>
      <c r="AP68" s="673"/>
      <c r="AQ68" s="673"/>
      <c r="AR68" s="673"/>
      <c r="AS68" s="673"/>
      <c r="AT68" s="673"/>
      <c r="AU68" s="673"/>
      <c r="AV68" s="673"/>
      <c r="AW68" s="673"/>
      <c r="AX68" s="673"/>
      <c r="AY68" s="673"/>
      <c r="AZ68" s="673"/>
      <c r="BA68" s="673"/>
      <c r="BB68" s="673"/>
      <c r="BC68" s="673"/>
      <c r="BD68" s="673"/>
      <c r="BE68" s="673"/>
      <c r="BF68" s="673"/>
      <c r="BG68" s="673"/>
      <c r="BH68" s="673"/>
      <c r="BI68" s="673"/>
      <c r="BJ68" s="673"/>
      <c r="BK68" s="673"/>
      <c r="BL68" s="673"/>
      <c r="BM68" s="673"/>
      <c r="BN68" s="673"/>
      <c r="BO68" s="673"/>
      <c r="BP68" s="673"/>
      <c r="BQ68" s="673"/>
      <c r="BR68" s="673"/>
      <c r="BS68" s="673"/>
      <c r="BT68" s="673"/>
      <c r="BU68" s="673"/>
      <c r="BV68" s="673"/>
      <c r="BW68" s="673"/>
      <c r="BX68" s="673"/>
      <c r="BY68" s="673"/>
      <c r="BZ68" s="673"/>
      <c r="CA68" s="673"/>
      <c r="CB68" s="673"/>
      <c r="CC68" s="673"/>
      <c r="CD68" s="673"/>
      <c r="CE68" s="673"/>
      <c r="CF68" s="673"/>
      <c r="CG68" s="673"/>
      <c r="CH68" s="673"/>
      <c r="CI68" s="673"/>
      <c r="CJ68" s="673"/>
      <c r="CK68" s="673"/>
      <c r="CL68" s="673"/>
      <c r="CM68" s="673"/>
      <c r="CN68" s="673"/>
      <c r="CO68" s="673"/>
      <c r="CP68" s="673"/>
      <c r="CQ68" s="673"/>
      <c r="CR68" s="673"/>
      <c r="CS68" s="673"/>
      <c r="CT68" s="673"/>
      <c r="CU68" s="673"/>
      <c r="CV68" s="673"/>
      <c r="CW68" s="673"/>
      <c r="CX68" s="673"/>
      <c r="CY68" s="673"/>
      <c r="CZ68" s="673"/>
      <c r="DA68" s="673"/>
      <c r="DB68" s="673"/>
      <c r="DC68" s="673"/>
      <c r="DD68" s="673"/>
      <c r="DE68" s="673"/>
      <c r="DF68" s="673"/>
      <c r="DG68" s="673"/>
      <c r="DH68" s="673"/>
      <c r="DI68" s="673"/>
      <c r="DJ68" s="673"/>
      <c r="DK68" s="673"/>
      <c r="DL68" s="673"/>
      <c r="DM68" s="673"/>
      <c r="DN68" s="673"/>
      <c r="DO68" s="673"/>
      <c r="DP68" s="673"/>
      <c r="DQ68" s="673"/>
      <c r="DR68" s="673"/>
      <c r="DS68" s="673"/>
      <c r="DT68" s="673"/>
      <c r="DU68" s="673"/>
      <c r="DV68" s="673"/>
      <c r="DW68" s="673"/>
      <c r="DX68" s="673"/>
      <c r="DY68" s="673"/>
      <c r="DZ68" s="673"/>
      <c r="EA68" s="673"/>
      <c r="EB68" s="673"/>
      <c r="EC68" s="673"/>
      <c r="ED68" s="673"/>
      <c r="EE68" s="673"/>
      <c r="EF68" s="673"/>
      <c r="EG68" s="673"/>
      <c r="EH68" s="673"/>
      <c r="EI68" s="673"/>
      <c r="EJ68" s="673"/>
      <c r="EK68" s="673"/>
      <c r="EL68" s="673"/>
      <c r="EM68" s="673"/>
      <c r="EN68" s="673"/>
      <c r="EO68" s="673"/>
      <c r="EP68" s="673"/>
      <c r="EQ68" s="673"/>
      <c r="ER68" s="673"/>
      <c r="ES68" s="673"/>
      <c r="ET68" s="673"/>
      <c r="EU68" s="673"/>
      <c r="EV68" s="673"/>
      <c r="EW68" s="673"/>
      <c r="EX68" s="673"/>
      <c r="EY68" s="673"/>
      <c r="EZ68" s="673"/>
      <c r="FA68" s="673"/>
      <c r="FB68" s="673"/>
      <c r="FC68" s="673"/>
      <c r="FD68" s="673"/>
      <c r="FE68" s="673"/>
      <c r="FF68" s="673"/>
      <c r="FG68" s="673"/>
      <c r="FH68" s="673"/>
      <c r="FI68" s="673"/>
      <c r="FJ68" s="673"/>
      <c r="FK68" s="673"/>
      <c r="FL68" s="673"/>
      <c r="FM68" s="673"/>
      <c r="FN68" s="673"/>
      <c r="FO68" s="673"/>
      <c r="FP68" s="673"/>
      <c r="FQ68" s="673"/>
      <c r="FR68" s="673"/>
      <c r="FS68" s="673"/>
      <c r="FT68" s="673"/>
      <c r="FU68" s="673"/>
      <c r="FV68" s="673"/>
      <c r="FW68" s="673"/>
      <c r="FX68" s="673"/>
      <c r="FY68" s="673"/>
      <c r="FZ68" s="673"/>
      <c r="GA68" s="673"/>
      <c r="GB68" s="673"/>
      <c r="GC68" s="673"/>
      <c r="GD68" s="673"/>
      <c r="GE68" s="673"/>
      <c r="GF68" s="673"/>
      <c r="GG68" s="673"/>
      <c r="GH68" s="673"/>
      <c r="GI68" s="673"/>
      <c r="GJ68" s="673"/>
      <c r="GK68" s="673"/>
      <c r="GL68" s="673"/>
      <c r="GM68" s="673"/>
      <c r="GN68" s="673"/>
      <c r="GO68" s="673"/>
      <c r="GP68" s="673"/>
      <c r="GQ68" s="673"/>
      <c r="GR68" s="673"/>
      <c r="GS68" s="673"/>
      <c r="GT68" s="673"/>
      <c r="GU68" s="673"/>
      <c r="GV68" s="673"/>
      <c r="GW68" s="673"/>
      <c r="GX68" s="673"/>
      <c r="GY68" s="673"/>
      <c r="GZ68" s="673"/>
      <c r="HA68" s="673"/>
      <c r="HB68" s="673"/>
      <c r="HC68" s="673"/>
      <c r="HD68" s="673"/>
      <c r="HE68" s="673"/>
      <c r="HF68" s="673"/>
      <c r="HG68" s="673"/>
      <c r="HH68" s="673"/>
      <c r="HI68" s="673"/>
      <c r="HJ68" s="673"/>
      <c r="HK68" s="673"/>
      <c r="HL68" s="673"/>
      <c r="HM68" s="673"/>
      <c r="HN68" s="673"/>
      <c r="HO68" s="673"/>
      <c r="HP68" s="673"/>
      <c r="HQ68" s="673"/>
      <c r="HR68" s="673"/>
      <c r="HS68" s="673"/>
      <c r="HT68" s="673"/>
      <c r="HU68" s="673"/>
      <c r="HV68" s="673"/>
      <c r="HW68" s="673"/>
      <c r="HX68" s="673"/>
      <c r="HY68" s="673"/>
      <c r="HZ68" s="673"/>
      <c r="IA68" s="673"/>
      <c r="IB68" s="673"/>
      <c r="IC68" s="673"/>
      <c r="ID68" s="673"/>
      <c r="IE68" s="673"/>
      <c r="IF68" s="673"/>
      <c r="IG68" s="673"/>
      <c r="IH68" s="673"/>
      <c r="II68" s="673"/>
      <c r="IJ68" s="673"/>
      <c r="IK68" s="673"/>
      <c r="IL68" s="673"/>
      <c r="IM68" s="673"/>
      <c r="IN68" s="673"/>
      <c r="IO68" s="673"/>
      <c r="IP68" s="673"/>
      <c r="IQ68" s="673"/>
      <c r="IR68" s="673"/>
      <c r="IS68" s="673"/>
      <c r="IT68" s="673"/>
      <c r="IU68" s="673"/>
      <c r="IV68" s="673"/>
      <c r="IW68" s="673"/>
      <c r="IX68" s="673"/>
      <c r="IY68" s="673"/>
      <c r="IZ68" s="673"/>
      <c r="JA68" s="673"/>
      <c r="JB68" s="673"/>
      <c r="JC68" s="673"/>
      <c r="JD68" s="673"/>
      <c r="JE68" s="673"/>
      <c r="JF68" s="673"/>
      <c r="JG68" s="673"/>
      <c r="JH68" s="673"/>
      <c r="JI68" s="673"/>
      <c r="JJ68" s="673"/>
      <c r="JK68" s="673"/>
      <c r="JL68" s="673"/>
      <c r="JM68" s="673"/>
      <c r="JN68" s="673"/>
      <c r="JO68" s="673"/>
      <c r="JP68" s="673"/>
      <c r="JQ68" s="673"/>
      <c r="JR68" s="673"/>
      <c r="JS68" s="673"/>
      <c r="JT68" s="673"/>
      <c r="JU68" s="673"/>
      <c r="JV68" s="673"/>
      <c r="JW68" s="673"/>
      <c r="JX68" s="673"/>
      <c r="JY68" s="673"/>
      <c r="JZ68" s="673"/>
      <c r="KA68" s="673"/>
      <c r="KB68" s="673"/>
      <c r="KC68" s="673"/>
      <c r="KD68" s="673"/>
      <c r="KE68" s="673"/>
      <c r="KF68" s="673"/>
      <c r="KG68" s="673"/>
      <c r="KH68" s="673"/>
      <c r="KI68" s="673"/>
      <c r="KJ68" s="673"/>
      <c r="KK68" s="673"/>
      <c r="KL68" s="673"/>
      <c r="KM68" s="673"/>
      <c r="KN68" s="673"/>
      <c r="KO68" s="673"/>
      <c r="KP68" s="673"/>
      <c r="KQ68" s="673"/>
      <c r="KR68" s="673"/>
      <c r="KS68" s="673"/>
      <c r="KT68" s="673"/>
      <c r="KU68" s="673"/>
      <c r="KV68" s="673"/>
      <c r="KW68" s="673"/>
      <c r="KX68" s="673"/>
      <c r="KY68" s="673"/>
      <c r="KZ68" s="673"/>
      <c r="LA68" s="673"/>
      <c r="LB68" s="673"/>
      <c r="LC68" s="673"/>
      <c r="LD68" s="673"/>
      <c r="LE68" s="673"/>
      <c r="LF68" s="673"/>
      <c r="LG68" s="673"/>
      <c r="LH68" s="673"/>
      <c r="LI68" s="673"/>
      <c r="LJ68" s="673"/>
      <c r="LK68" s="673"/>
      <c r="LL68" s="673"/>
      <c r="LM68" s="673"/>
      <c r="LN68" s="673"/>
      <c r="LO68" s="673"/>
      <c r="LP68" s="673"/>
      <c r="LQ68" s="673"/>
      <c r="LR68" s="673"/>
      <c r="LS68" s="673"/>
      <c r="LT68" s="673"/>
      <c r="LU68" s="673"/>
      <c r="LV68" s="673"/>
      <c r="LW68" s="673"/>
      <c r="LX68" s="673"/>
      <c r="LY68" s="673"/>
      <c r="LZ68" s="673"/>
      <c r="MA68" s="673"/>
      <c r="MB68" s="673"/>
      <c r="MC68" s="673"/>
      <c r="MD68" s="673"/>
      <c r="ME68" s="673"/>
      <c r="MF68" s="673"/>
      <c r="MG68" s="673"/>
      <c r="MH68" s="673"/>
      <c r="MI68" s="673"/>
      <c r="MJ68" s="673"/>
      <c r="MK68" s="673"/>
      <c r="ML68" s="673"/>
      <c r="MM68" s="673"/>
      <c r="MN68" s="673"/>
      <c r="MO68" s="673"/>
      <c r="MP68" s="673"/>
      <c r="MQ68" s="673"/>
      <c r="MR68" s="673"/>
      <c r="MS68" s="673"/>
      <c r="MT68" s="673"/>
      <c r="MU68" s="673"/>
      <c r="MV68" s="673"/>
      <c r="MW68" s="673"/>
      <c r="MX68" s="673"/>
      <c r="MY68" s="673"/>
      <c r="MZ68" s="673"/>
      <c r="NA68" s="673"/>
      <c r="NB68" s="673"/>
      <c r="NC68" s="673"/>
      <c r="ND68" s="673"/>
      <c r="NE68" s="673"/>
      <c r="NF68" s="673"/>
      <c r="NG68" s="673"/>
      <c r="NH68" s="673"/>
      <c r="NI68" s="673"/>
      <c r="NJ68" s="673"/>
      <c r="NK68" s="673"/>
      <c r="NL68" s="673"/>
      <c r="NM68" s="673"/>
      <c r="NN68" s="673"/>
      <c r="NO68" s="673"/>
      <c r="NP68" s="673"/>
      <c r="NQ68" s="673"/>
      <c r="NR68" s="673"/>
      <c r="NS68" s="673"/>
      <c r="NT68" s="673"/>
      <c r="NU68" s="673"/>
      <c r="NV68" s="673"/>
      <c r="NW68" s="673"/>
      <c r="NX68" s="673"/>
      <c r="NY68" s="673"/>
      <c r="NZ68" s="673"/>
      <c r="OA68" s="673"/>
      <c r="OB68" s="673"/>
      <c r="OC68" s="673"/>
      <c r="OD68" s="673"/>
      <c r="OE68" s="673"/>
      <c r="OF68" s="673"/>
      <c r="OG68" s="673"/>
      <c r="OH68" s="673"/>
      <c r="OI68" s="673"/>
      <c r="OJ68" s="673"/>
      <c r="OK68" s="673"/>
      <c r="OL68" s="673"/>
      <c r="OM68" s="673"/>
      <c r="ON68" s="673"/>
      <c r="OO68" s="673"/>
      <c r="OP68" s="673"/>
      <c r="OQ68" s="673"/>
      <c r="OR68" s="673"/>
      <c r="OS68" s="673"/>
      <c r="OT68" s="673"/>
      <c r="OU68" s="673"/>
      <c r="OV68" s="673"/>
      <c r="OW68" s="673"/>
      <c r="OX68" s="673"/>
      <c r="OY68" s="673"/>
      <c r="OZ68" s="673"/>
      <c r="PA68" s="673"/>
      <c r="PB68" s="673"/>
      <c r="PC68" s="673"/>
      <c r="PD68" s="673"/>
      <c r="PE68" s="673"/>
      <c r="PF68" s="673"/>
      <c r="PG68" s="673"/>
      <c r="PH68" s="673"/>
      <c r="PI68" s="673"/>
      <c r="PJ68" s="673"/>
      <c r="PK68" s="673"/>
      <c r="PL68" s="673"/>
      <c r="PM68" s="673"/>
      <c r="PN68" s="673"/>
      <c r="PO68" s="673"/>
      <c r="PP68" s="673"/>
      <c r="PQ68" s="673"/>
      <c r="PR68" s="673"/>
      <c r="PS68" s="673"/>
      <c r="PT68" s="673"/>
      <c r="PU68" s="673"/>
      <c r="PV68" s="673"/>
      <c r="PW68" s="673"/>
      <c r="PX68" s="673"/>
      <c r="PY68" s="673"/>
      <c r="PZ68" s="673"/>
      <c r="QA68" s="673"/>
      <c r="QB68" s="673"/>
      <c r="QC68" s="673"/>
      <c r="QD68" s="673"/>
      <c r="QE68" s="673"/>
      <c r="QF68" s="673"/>
      <c r="QG68" s="673"/>
      <c r="QH68" s="673"/>
      <c r="QI68" s="673"/>
      <c r="QJ68" s="673"/>
      <c r="QK68" s="673"/>
    </row>
    <row r="69" spans="1:453" s="558" customFormat="1">
      <c r="A69" s="680"/>
      <c r="B69" s="680"/>
      <c r="C69" s="2107" t="str">
        <f ca="1">TEXT(HYPERLINK("#"&amp;CELL("address",'Equipment Results Matrix'!A1066),'Equipment Results Matrix'!A1066),"0,000")</f>
        <v>CFL Globe</v>
      </c>
      <c r="D69" s="2107"/>
      <c r="E69" s="2107"/>
      <c r="F69" s="2107"/>
      <c r="G69" s="1305"/>
      <c r="H69" s="680"/>
      <c r="I69" s="680"/>
      <c r="J69" s="1525" t="str">
        <f ca="1">TEXT(HYPERLINK("#"&amp;CELL("address",'Labor Results Matrix'!A574),"Labor"),"0,000")</f>
        <v>Labor</v>
      </c>
      <c r="K69" s="1525"/>
      <c r="L69" s="2107" t="str">
        <f ca="1">TEXT(HYPERLINK("#"&amp;CELL("address",'Equipment + Labor'!A578),"Total installed cost"),"0,000")</f>
        <v>Total installed cost</v>
      </c>
      <c r="M69" s="2107"/>
      <c r="N69" s="2107"/>
      <c r="O69" s="673"/>
      <c r="P69" s="673"/>
      <c r="Q69" s="673"/>
      <c r="R69" s="673"/>
      <c r="S69" s="673"/>
      <c r="T69" s="673"/>
      <c r="U69" s="673"/>
      <c r="V69" s="673"/>
      <c r="W69" s="673"/>
      <c r="X69" s="673"/>
      <c r="Y69" s="673"/>
      <c r="Z69" s="673"/>
      <c r="AA69" s="673"/>
      <c r="AB69" s="673"/>
      <c r="AC69" s="673"/>
      <c r="AD69" s="673"/>
      <c r="AE69" s="673"/>
      <c r="AF69" s="673"/>
      <c r="AG69" s="673"/>
      <c r="AH69" s="673"/>
      <c r="AI69" s="673"/>
      <c r="AJ69" s="673"/>
      <c r="AK69" s="673"/>
      <c r="AL69" s="673"/>
      <c r="AM69" s="673"/>
      <c r="AN69" s="673"/>
      <c r="AO69" s="673"/>
      <c r="AP69" s="673"/>
      <c r="AQ69" s="673"/>
      <c r="AR69" s="673"/>
      <c r="AS69" s="673"/>
      <c r="AT69" s="673"/>
      <c r="AU69" s="673"/>
      <c r="AV69" s="673"/>
      <c r="AW69" s="673"/>
      <c r="AX69" s="673"/>
      <c r="AY69" s="673"/>
      <c r="AZ69" s="673"/>
      <c r="BA69" s="673"/>
      <c r="BB69" s="673"/>
      <c r="BC69" s="673"/>
      <c r="BD69" s="673"/>
      <c r="BE69" s="673"/>
      <c r="BF69" s="673"/>
      <c r="BG69" s="673"/>
      <c r="BH69" s="673"/>
      <c r="BI69" s="673"/>
      <c r="BJ69" s="673"/>
      <c r="BK69" s="673"/>
      <c r="BL69" s="673"/>
      <c r="BM69" s="673"/>
      <c r="BN69" s="673"/>
      <c r="BO69" s="673"/>
      <c r="BP69" s="673"/>
      <c r="BQ69" s="673"/>
      <c r="BR69" s="673"/>
      <c r="BS69" s="673"/>
      <c r="BT69" s="673"/>
      <c r="BU69" s="673"/>
      <c r="BV69" s="673"/>
      <c r="BW69" s="673"/>
      <c r="BX69" s="673"/>
      <c r="BY69" s="673"/>
      <c r="BZ69" s="673"/>
      <c r="CA69" s="673"/>
      <c r="CB69" s="673"/>
      <c r="CC69" s="673"/>
      <c r="CD69" s="673"/>
      <c r="CE69" s="673"/>
      <c r="CF69" s="673"/>
      <c r="CG69" s="673"/>
      <c r="CH69" s="673"/>
      <c r="CI69" s="673"/>
      <c r="CJ69" s="673"/>
      <c r="CK69" s="673"/>
      <c r="CL69" s="673"/>
      <c r="CM69" s="673"/>
      <c r="CN69" s="673"/>
      <c r="CO69" s="673"/>
      <c r="CP69" s="673"/>
      <c r="CQ69" s="673"/>
      <c r="CR69" s="673"/>
      <c r="CS69" s="673"/>
      <c r="CT69" s="673"/>
      <c r="CU69" s="673"/>
      <c r="CV69" s="673"/>
      <c r="CW69" s="673"/>
      <c r="CX69" s="673"/>
      <c r="CY69" s="673"/>
      <c r="CZ69" s="673"/>
      <c r="DA69" s="673"/>
      <c r="DB69" s="673"/>
      <c r="DC69" s="673"/>
      <c r="DD69" s="673"/>
      <c r="DE69" s="673"/>
      <c r="DF69" s="673"/>
      <c r="DG69" s="673"/>
      <c r="DH69" s="673"/>
      <c r="DI69" s="673"/>
      <c r="DJ69" s="673"/>
      <c r="DK69" s="673"/>
      <c r="DL69" s="673"/>
      <c r="DM69" s="673"/>
      <c r="DN69" s="673"/>
      <c r="DO69" s="673"/>
      <c r="DP69" s="673"/>
      <c r="DQ69" s="673"/>
      <c r="DR69" s="673"/>
      <c r="DS69" s="673"/>
      <c r="DT69" s="673"/>
      <c r="DU69" s="673"/>
      <c r="DV69" s="673"/>
      <c r="DW69" s="673"/>
      <c r="DX69" s="673"/>
      <c r="DY69" s="673"/>
      <c r="DZ69" s="673"/>
      <c r="EA69" s="673"/>
      <c r="EB69" s="673"/>
      <c r="EC69" s="673"/>
      <c r="ED69" s="673"/>
      <c r="EE69" s="673"/>
      <c r="EF69" s="673"/>
      <c r="EG69" s="673"/>
      <c r="EH69" s="673"/>
      <c r="EI69" s="673"/>
      <c r="EJ69" s="673"/>
      <c r="EK69" s="673"/>
      <c r="EL69" s="673"/>
      <c r="EM69" s="673"/>
      <c r="EN69" s="673"/>
      <c r="EO69" s="673"/>
      <c r="EP69" s="673"/>
      <c r="EQ69" s="673"/>
      <c r="ER69" s="673"/>
      <c r="ES69" s="673"/>
      <c r="ET69" s="673"/>
      <c r="EU69" s="673"/>
      <c r="EV69" s="673"/>
      <c r="EW69" s="673"/>
      <c r="EX69" s="673"/>
      <c r="EY69" s="673"/>
      <c r="EZ69" s="673"/>
      <c r="FA69" s="673"/>
      <c r="FB69" s="673"/>
      <c r="FC69" s="673"/>
      <c r="FD69" s="673"/>
      <c r="FE69" s="673"/>
      <c r="FF69" s="673"/>
      <c r="FG69" s="673"/>
      <c r="FH69" s="673"/>
      <c r="FI69" s="673"/>
      <c r="FJ69" s="673"/>
      <c r="FK69" s="673"/>
      <c r="FL69" s="673"/>
      <c r="FM69" s="673"/>
      <c r="FN69" s="673"/>
      <c r="FO69" s="673"/>
      <c r="FP69" s="673"/>
      <c r="FQ69" s="673"/>
      <c r="FR69" s="673"/>
      <c r="FS69" s="673"/>
      <c r="FT69" s="673"/>
      <c r="FU69" s="673"/>
      <c r="FV69" s="673"/>
      <c r="FW69" s="673"/>
      <c r="FX69" s="673"/>
      <c r="FY69" s="673"/>
      <c r="FZ69" s="673"/>
      <c r="GA69" s="673"/>
      <c r="GB69" s="673"/>
      <c r="GC69" s="673"/>
      <c r="GD69" s="673"/>
      <c r="GE69" s="673"/>
      <c r="GF69" s="673"/>
      <c r="GG69" s="673"/>
      <c r="GH69" s="673"/>
      <c r="GI69" s="673"/>
      <c r="GJ69" s="673"/>
      <c r="GK69" s="673"/>
      <c r="GL69" s="673"/>
      <c r="GM69" s="673"/>
      <c r="GN69" s="673"/>
      <c r="GO69" s="673"/>
      <c r="GP69" s="673"/>
      <c r="GQ69" s="673"/>
      <c r="GR69" s="673"/>
      <c r="GS69" s="673"/>
      <c r="GT69" s="673"/>
      <c r="GU69" s="673"/>
      <c r="GV69" s="673"/>
      <c r="GW69" s="673"/>
      <c r="GX69" s="673"/>
      <c r="GY69" s="673"/>
      <c r="GZ69" s="673"/>
      <c r="HA69" s="673"/>
      <c r="HB69" s="673"/>
      <c r="HC69" s="673"/>
      <c r="HD69" s="673"/>
      <c r="HE69" s="673"/>
      <c r="HF69" s="673"/>
      <c r="HG69" s="673"/>
      <c r="HH69" s="673"/>
      <c r="HI69" s="673"/>
      <c r="HJ69" s="673"/>
      <c r="HK69" s="673"/>
      <c r="HL69" s="673"/>
      <c r="HM69" s="673"/>
      <c r="HN69" s="673"/>
      <c r="HO69" s="673"/>
      <c r="HP69" s="673"/>
      <c r="HQ69" s="673"/>
      <c r="HR69" s="673"/>
      <c r="HS69" s="673"/>
      <c r="HT69" s="673"/>
      <c r="HU69" s="673"/>
      <c r="HV69" s="673"/>
      <c r="HW69" s="673"/>
      <c r="HX69" s="673"/>
      <c r="HY69" s="673"/>
      <c r="HZ69" s="673"/>
      <c r="IA69" s="673"/>
      <c r="IB69" s="673"/>
      <c r="IC69" s="673"/>
      <c r="ID69" s="673"/>
      <c r="IE69" s="673"/>
      <c r="IF69" s="673"/>
      <c r="IG69" s="673"/>
      <c r="IH69" s="673"/>
      <c r="II69" s="673"/>
      <c r="IJ69" s="673"/>
      <c r="IK69" s="673"/>
      <c r="IL69" s="673"/>
      <c r="IM69" s="673"/>
      <c r="IN69" s="673"/>
      <c r="IO69" s="673"/>
      <c r="IP69" s="673"/>
      <c r="IQ69" s="673"/>
      <c r="IR69" s="673"/>
      <c r="IS69" s="673"/>
      <c r="IT69" s="673"/>
      <c r="IU69" s="673"/>
      <c r="IV69" s="673"/>
      <c r="IW69" s="673"/>
      <c r="IX69" s="673"/>
      <c r="IY69" s="673"/>
      <c r="IZ69" s="673"/>
      <c r="JA69" s="673"/>
      <c r="JB69" s="673"/>
      <c r="JC69" s="673"/>
      <c r="JD69" s="673"/>
      <c r="JE69" s="673"/>
      <c r="JF69" s="673"/>
      <c r="JG69" s="673"/>
      <c r="JH69" s="673"/>
      <c r="JI69" s="673"/>
      <c r="JJ69" s="673"/>
      <c r="JK69" s="673"/>
      <c r="JL69" s="673"/>
      <c r="JM69" s="673"/>
      <c r="JN69" s="673"/>
      <c r="JO69" s="673"/>
      <c r="JP69" s="673"/>
      <c r="JQ69" s="673"/>
      <c r="JR69" s="673"/>
      <c r="JS69" s="673"/>
      <c r="JT69" s="673"/>
      <c r="JU69" s="673"/>
      <c r="JV69" s="673"/>
      <c r="JW69" s="673"/>
      <c r="JX69" s="673"/>
      <c r="JY69" s="673"/>
      <c r="JZ69" s="673"/>
      <c r="KA69" s="673"/>
      <c r="KB69" s="673"/>
      <c r="KC69" s="673"/>
      <c r="KD69" s="673"/>
      <c r="KE69" s="673"/>
      <c r="KF69" s="673"/>
      <c r="KG69" s="673"/>
      <c r="KH69" s="673"/>
      <c r="KI69" s="673"/>
      <c r="KJ69" s="673"/>
      <c r="KK69" s="673"/>
      <c r="KL69" s="673"/>
      <c r="KM69" s="673"/>
      <c r="KN69" s="673"/>
      <c r="KO69" s="673"/>
      <c r="KP69" s="673"/>
      <c r="KQ69" s="673"/>
      <c r="KR69" s="673"/>
      <c r="KS69" s="673"/>
      <c r="KT69" s="673"/>
      <c r="KU69" s="673"/>
      <c r="KV69" s="673"/>
      <c r="KW69" s="673"/>
      <c r="KX69" s="673"/>
      <c r="KY69" s="673"/>
      <c r="KZ69" s="673"/>
      <c r="LA69" s="673"/>
      <c r="LB69" s="673"/>
      <c r="LC69" s="673"/>
      <c r="LD69" s="673"/>
      <c r="LE69" s="673"/>
      <c r="LF69" s="673"/>
      <c r="LG69" s="673"/>
      <c r="LH69" s="673"/>
      <c r="LI69" s="673"/>
      <c r="LJ69" s="673"/>
      <c r="LK69" s="673"/>
      <c r="LL69" s="673"/>
      <c r="LM69" s="673"/>
      <c r="LN69" s="673"/>
      <c r="LO69" s="673"/>
      <c r="LP69" s="673"/>
      <c r="LQ69" s="673"/>
      <c r="LR69" s="673"/>
      <c r="LS69" s="673"/>
      <c r="LT69" s="673"/>
      <c r="LU69" s="673"/>
      <c r="LV69" s="673"/>
      <c r="LW69" s="673"/>
      <c r="LX69" s="673"/>
      <c r="LY69" s="673"/>
      <c r="LZ69" s="673"/>
      <c r="MA69" s="673"/>
      <c r="MB69" s="673"/>
      <c r="MC69" s="673"/>
      <c r="MD69" s="673"/>
      <c r="ME69" s="673"/>
      <c r="MF69" s="673"/>
      <c r="MG69" s="673"/>
      <c r="MH69" s="673"/>
      <c r="MI69" s="673"/>
      <c r="MJ69" s="673"/>
      <c r="MK69" s="673"/>
      <c r="ML69" s="673"/>
      <c r="MM69" s="673"/>
      <c r="MN69" s="673"/>
      <c r="MO69" s="673"/>
      <c r="MP69" s="673"/>
      <c r="MQ69" s="673"/>
      <c r="MR69" s="673"/>
      <c r="MS69" s="673"/>
      <c r="MT69" s="673"/>
      <c r="MU69" s="673"/>
      <c r="MV69" s="673"/>
      <c r="MW69" s="673"/>
      <c r="MX69" s="673"/>
      <c r="MY69" s="673"/>
      <c r="MZ69" s="673"/>
      <c r="NA69" s="673"/>
      <c r="NB69" s="673"/>
      <c r="NC69" s="673"/>
      <c r="ND69" s="673"/>
      <c r="NE69" s="673"/>
      <c r="NF69" s="673"/>
      <c r="NG69" s="673"/>
      <c r="NH69" s="673"/>
      <c r="NI69" s="673"/>
      <c r="NJ69" s="673"/>
      <c r="NK69" s="673"/>
      <c r="NL69" s="673"/>
      <c r="NM69" s="673"/>
      <c r="NN69" s="673"/>
      <c r="NO69" s="673"/>
      <c r="NP69" s="673"/>
      <c r="NQ69" s="673"/>
      <c r="NR69" s="673"/>
      <c r="NS69" s="673"/>
      <c r="NT69" s="673"/>
      <c r="NU69" s="673"/>
      <c r="NV69" s="673"/>
      <c r="NW69" s="673"/>
      <c r="NX69" s="673"/>
      <c r="NY69" s="673"/>
      <c r="NZ69" s="673"/>
      <c r="OA69" s="673"/>
      <c r="OB69" s="673"/>
      <c r="OC69" s="673"/>
      <c r="OD69" s="673"/>
      <c r="OE69" s="673"/>
      <c r="OF69" s="673"/>
      <c r="OG69" s="673"/>
      <c r="OH69" s="673"/>
      <c r="OI69" s="673"/>
      <c r="OJ69" s="673"/>
      <c r="OK69" s="673"/>
      <c r="OL69" s="673"/>
      <c r="OM69" s="673"/>
      <c r="ON69" s="673"/>
      <c r="OO69" s="673"/>
      <c r="OP69" s="673"/>
      <c r="OQ69" s="673"/>
      <c r="OR69" s="673"/>
      <c r="OS69" s="673"/>
      <c r="OT69" s="673"/>
      <c r="OU69" s="673"/>
      <c r="OV69" s="673"/>
      <c r="OW69" s="673"/>
      <c r="OX69" s="673"/>
      <c r="OY69" s="673"/>
      <c r="OZ69" s="673"/>
      <c r="PA69" s="673"/>
      <c r="PB69" s="673"/>
      <c r="PC69" s="673"/>
      <c r="PD69" s="673"/>
      <c r="PE69" s="673"/>
      <c r="PF69" s="673"/>
      <c r="PG69" s="673"/>
      <c r="PH69" s="673"/>
      <c r="PI69" s="673"/>
      <c r="PJ69" s="673"/>
      <c r="PK69" s="673"/>
      <c r="PL69" s="673"/>
      <c r="PM69" s="673"/>
      <c r="PN69" s="673"/>
      <c r="PO69" s="673"/>
      <c r="PP69" s="673"/>
      <c r="PQ69" s="673"/>
      <c r="PR69" s="673"/>
      <c r="PS69" s="673"/>
      <c r="PT69" s="673"/>
      <c r="PU69" s="673"/>
      <c r="PV69" s="673"/>
      <c r="PW69" s="673"/>
      <c r="PX69" s="673"/>
      <c r="PY69" s="673"/>
      <c r="PZ69" s="673"/>
      <c r="QA69" s="673"/>
      <c r="QB69" s="673"/>
      <c r="QC69" s="673"/>
      <c r="QD69" s="673"/>
      <c r="QE69" s="673"/>
      <c r="QF69" s="673"/>
      <c r="QG69" s="673"/>
      <c r="QH69" s="673"/>
      <c r="QI69" s="673"/>
      <c r="QJ69" s="673"/>
      <c r="QK69" s="673"/>
    </row>
    <row r="70" spans="1:453" s="558" customFormat="1">
      <c r="A70" s="680"/>
      <c r="B70" s="680"/>
      <c r="C70" s="2107" t="str">
        <f ca="1">TEXT(HYPERLINK("#"&amp;CELL("address",'Equipment Results Matrix'!A1082),'Equipment Results Matrix'!A1082),"0,000")</f>
        <v>CFL Torpedo</v>
      </c>
      <c r="D70" s="2107"/>
      <c r="E70" s="2107"/>
      <c r="F70" s="2107"/>
      <c r="G70" s="1305"/>
      <c r="H70" s="680"/>
      <c r="I70" s="680"/>
      <c r="J70" s="1525" t="str">
        <f ca="1">TEXT(HYPERLINK("#"&amp;CELL("address",'Labor Results Matrix'!A590),"Labor"),"0,000")</f>
        <v>Labor</v>
      </c>
      <c r="K70" s="1525"/>
      <c r="L70" s="2107" t="str">
        <f ca="1">TEXT(HYPERLINK("#"&amp;CELL("address",'Equipment + Labor'!A583),"Total installed cost"),"0,000")</f>
        <v>Total installed cost</v>
      </c>
      <c r="M70" s="2107"/>
      <c r="N70" s="2107"/>
      <c r="O70" s="673"/>
      <c r="P70" s="673"/>
      <c r="Q70" s="673"/>
      <c r="R70" s="673"/>
      <c r="S70" s="673"/>
      <c r="T70" s="673"/>
      <c r="U70" s="673"/>
      <c r="V70" s="673"/>
      <c r="W70" s="673"/>
      <c r="X70" s="673"/>
      <c r="Y70" s="673"/>
      <c r="Z70" s="673"/>
      <c r="AA70" s="673"/>
      <c r="AB70" s="673"/>
      <c r="AC70" s="673"/>
      <c r="AD70" s="673"/>
      <c r="AE70" s="673"/>
      <c r="AF70" s="673"/>
      <c r="AG70" s="673"/>
      <c r="AH70" s="673"/>
      <c r="AI70" s="673"/>
      <c r="AJ70" s="673"/>
      <c r="AK70" s="673"/>
      <c r="AL70" s="673"/>
      <c r="AM70" s="673"/>
      <c r="AN70" s="673"/>
      <c r="AO70" s="673"/>
      <c r="AP70" s="673"/>
      <c r="AQ70" s="673"/>
      <c r="AR70" s="673"/>
      <c r="AS70" s="673"/>
      <c r="AT70" s="673"/>
      <c r="AU70" s="673"/>
      <c r="AV70" s="673"/>
      <c r="AW70" s="673"/>
      <c r="AX70" s="673"/>
      <c r="AY70" s="673"/>
      <c r="AZ70" s="673"/>
      <c r="BA70" s="673"/>
      <c r="BB70" s="673"/>
      <c r="BC70" s="673"/>
      <c r="BD70" s="673"/>
      <c r="BE70" s="673"/>
      <c r="BF70" s="673"/>
      <c r="BG70" s="673"/>
      <c r="BH70" s="673"/>
      <c r="BI70" s="673"/>
      <c r="BJ70" s="673"/>
      <c r="BK70" s="673"/>
      <c r="BL70" s="673"/>
      <c r="BM70" s="673"/>
      <c r="BN70" s="673"/>
      <c r="BO70" s="673"/>
      <c r="BP70" s="673"/>
      <c r="BQ70" s="673"/>
      <c r="BR70" s="673"/>
      <c r="BS70" s="673"/>
      <c r="BT70" s="673"/>
      <c r="BU70" s="673"/>
      <c r="BV70" s="673"/>
      <c r="BW70" s="673"/>
      <c r="BX70" s="673"/>
      <c r="BY70" s="673"/>
      <c r="BZ70" s="673"/>
      <c r="CA70" s="673"/>
      <c r="CB70" s="673"/>
      <c r="CC70" s="673"/>
      <c r="CD70" s="673"/>
      <c r="CE70" s="673"/>
      <c r="CF70" s="673"/>
      <c r="CG70" s="673"/>
      <c r="CH70" s="673"/>
      <c r="CI70" s="673"/>
      <c r="CJ70" s="673"/>
      <c r="CK70" s="673"/>
      <c r="CL70" s="673"/>
      <c r="CM70" s="673"/>
      <c r="CN70" s="673"/>
      <c r="CO70" s="673"/>
      <c r="CP70" s="673"/>
      <c r="CQ70" s="673"/>
      <c r="CR70" s="673"/>
      <c r="CS70" s="673"/>
      <c r="CT70" s="673"/>
      <c r="CU70" s="673"/>
      <c r="CV70" s="673"/>
      <c r="CW70" s="673"/>
      <c r="CX70" s="673"/>
      <c r="CY70" s="673"/>
      <c r="CZ70" s="673"/>
      <c r="DA70" s="673"/>
      <c r="DB70" s="673"/>
      <c r="DC70" s="673"/>
      <c r="DD70" s="673"/>
      <c r="DE70" s="673"/>
      <c r="DF70" s="673"/>
      <c r="DG70" s="673"/>
      <c r="DH70" s="673"/>
      <c r="DI70" s="673"/>
      <c r="DJ70" s="673"/>
      <c r="DK70" s="673"/>
      <c r="DL70" s="673"/>
      <c r="DM70" s="673"/>
      <c r="DN70" s="673"/>
      <c r="DO70" s="673"/>
      <c r="DP70" s="673"/>
      <c r="DQ70" s="673"/>
      <c r="DR70" s="673"/>
      <c r="DS70" s="673"/>
      <c r="DT70" s="673"/>
      <c r="DU70" s="673"/>
      <c r="DV70" s="673"/>
      <c r="DW70" s="673"/>
      <c r="DX70" s="673"/>
      <c r="DY70" s="673"/>
      <c r="DZ70" s="673"/>
      <c r="EA70" s="673"/>
      <c r="EB70" s="673"/>
      <c r="EC70" s="673"/>
      <c r="ED70" s="673"/>
      <c r="EE70" s="673"/>
      <c r="EF70" s="673"/>
      <c r="EG70" s="673"/>
      <c r="EH70" s="673"/>
      <c r="EI70" s="673"/>
      <c r="EJ70" s="673"/>
      <c r="EK70" s="673"/>
      <c r="EL70" s="673"/>
      <c r="EM70" s="673"/>
      <c r="EN70" s="673"/>
      <c r="EO70" s="673"/>
      <c r="EP70" s="673"/>
      <c r="EQ70" s="673"/>
      <c r="ER70" s="673"/>
      <c r="ES70" s="673"/>
      <c r="ET70" s="673"/>
      <c r="EU70" s="673"/>
      <c r="EV70" s="673"/>
      <c r="EW70" s="673"/>
      <c r="EX70" s="673"/>
      <c r="EY70" s="673"/>
      <c r="EZ70" s="673"/>
      <c r="FA70" s="673"/>
      <c r="FB70" s="673"/>
      <c r="FC70" s="673"/>
      <c r="FD70" s="673"/>
      <c r="FE70" s="673"/>
      <c r="FF70" s="673"/>
      <c r="FG70" s="673"/>
      <c r="FH70" s="673"/>
      <c r="FI70" s="673"/>
      <c r="FJ70" s="673"/>
      <c r="FK70" s="673"/>
      <c r="FL70" s="673"/>
      <c r="FM70" s="673"/>
      <c r="FN70" s="673"/>
      <c r="FO70" s="673"/>
      <c r="FP70" s="673"/>
      <c r="FQ70" s="673"/>
      <c r="FR70" s="673"/>
      <c r="FS70" s="673"/>
      <c r="FT70" s="673"/>
      <c r="FU70" s="673"/>
      <c r="FV70" s="673"/>
      <c r="FW70" s="673"/>
      <c r="FX70" s="673"/>
      <c r="FY70" s="673"/>
      <c r="FZ70" s="673"/>
      <c r="GA70" s="673"/>
      <c r="GB70" s="673"/>
      <c r="GC70" s="673"/>
      <c r="GD70" s="673"/>
      <c r="GE70" s="673"/>
      <c r="GF70" s="673"/>
      <c r="GG70" s="673"/>
      <c r="GH70" s="673"/>
      <c r="GI70" s="673"/>
      <c r="GJ70" s="673"/>
      <c r="GK70" s="673"/>
      <c r="GL70" s="673"/>
      <c r="GM70" s="673"/>
      <c r="GN70" s="673"/>
      <c r="GO70" s="673"/>
      <c r="GP70" s="673"/>
      <c r="GQ70" s="673"/>
      <c r="GR70" s="673"/>
      <c r="GS70" s="673"/>
      <c r="GT70" s="673"/>
      <c r="GU70" s="673"/>
      <c r="GV70" s="673"/>
      <c r="GW70" s="673"/>
      <c r="GX70" s="673"/>
      <c r="GY70" s="673"/>
      <c r="GZ70" s="673"/>
      <c r="HA70" s="673"/>
      <c r="HB70" s="673"/>
      <c r="HC70" s="673"/>
      <c r="HD70" s="673"/>
      <c r="HE70" s="673"/>
      <c r="HF70" s="673"/>
      <c r="HG70" s="673"/>
      <c r="HH70" s="673"/>
      <c r="HI70" s="673"/>
      <c r="HJ70" s="673"/>
      <c r="HK70" s="673"/>
      <c r="HL70" s="673"/>
      <c r="HM70" s="673"/>
      <c r="HN70" s="673"/>
      <c r="HO70" s="673"/>
      <c r="HP70" s="673"/>
      <c r="HQ70" s="673"/>
      <c r="HR70" s="673"/>
      <c r="HS70" s="673"/>
      <c r="HT70" s="673"/>
      <c r="HU70" s="673"/>
      <c r="HV70" s="673"/>
      <c r="HW70" s="673"/>
      <c r="HX70" s="673"/>
      <c r="HY70" s="673"/>
      <c r="HZ70" s="673"/>
      <c r="IA70" s="673"/>
      <c r="IB70" s="673"/>
      <c r="IC70" s="673"/>
      <c r="ID70" s="673"/>
      <c r="IE70" s="673"/>
      <c r="IF70" s="673"/>
      <c r="IG70" s="673"/>
      <c r="IH70" s="673"/>
      <c r="II70" s="673"/>
      <c r="IJ70" s="673"/>
      <c r="IK70" s="673"/>
      <c r="IL70" s="673"/>
      <c r="IM70" s="673"/>
      <c r="IN70" s="673"/>
      <c r="IO70" s="673"/>
      <c r="IP70" s="673"/>
      <c r="IQ70" s="673"/>
      <c r="IR70" s="673"/>
      <c r="IS70" s="673"/>
      <c r="IT70" s="673"/>
      <c r="IU70" s="673"/>
      <c r="IV70" s="673"/>
      <c r="IW70" s="673"/>
      <c r="IX70" s="673"/>
      <c r="IY70" s="673"/>
      <c r="IZ70" s="673"/>
      <c r="JA70" s="673"/>
      <c r="JB70" s="673"/>
      <c r="JC70" s="673"/>
      <c r="JD70" s="673"/>
      <c r="JE70" s="673"/>
      <c r="JF70" s="673"/>
      <c r="JG70" s="673"/>
      <c r="JH70" s="673"/>
      <c r="JI70" s="673"/>
      <c r="JJ70" s="673"/>
      <c r="JK70" s="673"/>
      <c r="JL70" s="673"/>
      <c r="JM70" s="673"/>
      <c r="JN70" s="673"/>
      <c r="JO70" s="673"/>
      <c r="JP70" s="673"/>
      <c r="JQ70" s="673"/>
      <c r="JR70" s="673"/>
      <c r="JS70" s="673"/>
      <c r="JT70" s="673"/>
      <c r="JU70" s="673"/>
      <c r="JV70" s="673"/>
      <c r="JW70" s="673"/>
      <c r="JX70" s="673"/>
      <c r="JY70" s="673"/>
      <c r="JZ70" s="673"/>
      <c r="KA70" s="673"/>
      <c r="KB70" s="673"/>
      <c r="KC70" s="673"/>
      <c r="KD70" s="673"/>
      <c r="KE70" s="673"/>
      <c r="KF70" s="673"/>
      <c r="KG70" s="673"/>
      <c r="KH70" s="673"/>
      <c r="KI70" s="673"/>
      <c r="KJ70" s="673"/>
      <c r="KK70" s="673"/>
      <c r="KL70" s="673"/>
      <c r="KM70" s="673"/>
      <c r="KN70" s="673"/>
      <c r="KO70" s="673"/>
      <c r="KP70" s="673"/>
      <c r="KQ70" s="673"/>
      <c r="KR70" s="673"/>
      <c r="KS70" s="673"/>
      <c r="KT70" s="673"/>
      <c r="KU70" s="673"/>
      <c r="KV70" s="673"/>
      <c r="KW70" s="673"/>
      <c r="KX70" s="673"/>
      <c r="KY70" s="673"/>
      <c r="KZ70" s="673"/>
      <c r="LA70" s="673"/>
      <c r="LB70" s="673"/>
      <c r="LC70" s="673"/>
      <c r="LD70" s="673"/>
      <c r="LE70" s="673"/>
      <c r="LF70" s="673"/>
      <c r="LG70" s="673"/>
      <c r="LH70" s="673"/>
      <c r="LI70" s="673"/>
      <c r="LJ70" s="673"/>
      <c r="LK70" s="673"/>
      <c r="LL70" s="673"/>
      <c r="LM70" s="673"/>
      <c r="LN70" s="673"/>
      <c r="LO70" s="673"/>
      <c r="LP70" s="673"/>
      <c r="LQ70" s="673"/>
      <c r="LR70" s="673"/>
      <c r="LS70" s="673"/>
      <c r="LT70" s="673"/>
      <c r="LU70" s="673"/>
      <c r="LV70" s="673"/>
      <c r="LW70" s="673"/>
      <c r="LX70" s="673"/>
      <c r="LY70" s="673"/>
      <c r="LZ70" s="673"/>
      <c r="MA70" s="673"/>
      <c r="MB70" s="673"/>
      <c r="MC70" s="673"/>
      <c r="MD70" s="673"/>
      <c r="ME70" s="673"/>
      <c r="MF70" s="673"/>
      <c r="MG70" s="673"/>
      <c r="MH70" s="673"/>
      <c r="MI70" s="673"/>
      <c r="MJ70" s="673"/>
      <c r="MK70" s="673"/>
      <c r="ML70" s="673"/>
      <c r="MM70" s="673"/>
      <c r="MN70" s="673"/>
      <c r="MO70" s="673"/>
      <c r="MP70" s="673"/>
      <c r="MQ70" s="673"/>
      <c r="MR70" s="673"/>
      <c r="MS70" s="673"/>
      <c r="MT70" s="673"/>
      <c r="MU70" s="673"/>
      <c r="MV70" s="673"/>
      <c r="MW70" s="673"/>
      <c r="MX70" s="673"/>
      <c r="MY70" s="673"/>
      <c r="MZ70" s="673"/>
      <c r="NA70" s="673"/>
      <c r="NB70" s="673"/>
      <c r="NC70" s="673"/>
      <c r="ND70" s="673"/>
      <c r="NE70" s="673"/>
      <c r="NF70" s="673"/>
      <c r="NG70" s="673"/>
      <c r="NH70" s="673"/>
      <c r="NI70" s="673"/>
      <c r="NJ70" s="673"/>
      <c r="NK70" s="673"/>
      <c r="NL70" s="673"/>
      <c r="NM70" s="673"/>
      <c r="NN70" s="673"/>
      <c r="NO70" s="673"/>
      <c r="NP70" s="673"/>
      <c r="NQ70" s="673"/>
      <c r="NR70" s="673"/>
      <c r="NS70" s="673"/>
      <c r="NT70" s="673"/>
      <c r="NU70" s="673"/>
      <c r="NV70" s="673"/>
      <c r="NW70" s="673"/>
      <c r="NX70" s="673"/>
      <c r="NY70" s="673"/>
      <c r="NZ70" s="673"/>
      <c r="OA70" s="673"/>
      <c r="OB70" s="673"/>
      <c r="OC70" s="673"/>
      <c r="OD70" s="673"/>
      <c r="OE70" s="673"/>
      <c r="OF70" s="673"/>
      <c r="OG70" s="673"/>
      <c r="OH70" s="673"/>
      <c r="OI70" s="673"/>
      <c r="OJ70" s="673"/>
      <c r="OK70" s="673"/>
      <c r="OL70" s="673"/>
      <c r="OM70" s="673"/>
      <c r="ON70" s="673"/>
      <c r="OO70" s="673"/>
      <c r="OP70" s="673"/>
      <c r="OQ70" s="673"/>
      <c r="OR70" s="673"/>
      <c r="OS70" s="673"/>
      <c r="OT70" s="673"/>
      <c r="OU70" s="673"/>
      <c r="OV70" s="673"/>
      <c r="OW70" s="673"/>
      <c r="OX70" s="673"/>
      <c r="OY70" s="673"/>
      <c r="OZ70" s="673"/>
      <c r="PA70" s="673"/>
      <c r="PB70" s="673"/>
      <c r="PC70" s="673"/>
      <c r="PD70" s="673"/>
      <c r="PE70" s="673"/>
      <c r="PF70" s="673"/>
      <c r="PG70" s="673"/>
      <c r="PH70" s="673"/>
      <c r="PI70" s="673"/>
      <c r="PJ70" s="673"/>
      <c r="PK70" s="673"/>
      <c r="PL70" s="673"/>
      <c r="PM70" s="673"/>
      <c r="PN70" s="673"/>
      <c r="PO70" s="673"/>
      <c r="PP70" s="673"/>
      <c r="PQ70" s="673"/>
      <c r="PR70" s="673"/>
      <c r="PS70" s="673"/>
      <c r="PT70" s="673"/>
      <c r="PU70" s="673"/>
      <c r="PV70" s="673"/>
      <c r="PW70" s="673"/>
      <c r="PX70" s="673"/>
      <c r="PY70" s="673"/>
      <c r="PZ70" s="673"/>
      <c r="QA70" s="673"/>
      <c r="QB70" s="673"/>
      <c r="QC70" s="673"/>
      <c r="QD70" s="673"/>
      <c r="QE70" s="673"/>
      <c r="QF70" s="673"/>
      <c r="QG70" s="673"/>
      <c r="QH70" s="673"/>
      <c r="QI70" s="673"/>
      <c r="QJ70" s="673"/>
      <c r="QK70" s="673"/>
    </row>
    <row r="71" spans="1:453" s="558" customFormat="1">
      <c r="A71" s="680"/>
      <c r="B71" s="680"/>
      <c r="C71" s="2107" t="str">
        <f ca="1">TEXT(HYPERLINK("#"&amp;CELL("address",'Equipment Results Matrix'!A1094),'Equipment Results Matrix'!A1094),"0,000")</f>
        <v>LED A-Lamp</v>
      </c>
      <c r="D71" s="2107"/>
      <c r="E71" s="2107"/>
      <c r="F71" s="2107"/>
      <c r="G71" s="1305"/>
      <c r="H71" s="680"/>
      <c r="I71" s="680"/>
      <c r="J71" s="1525" t="str">
        <f ca="1">TEXT(HYPERLINK("#"&amp;CELL("address",'Labor Results Matrix'!A602),"Labor"),"0,000")</f>
        <v>Labor</v>
      </c>
      <c r="K71" s="1525"/>
      <c r="L71" s="2107" t="str">
        <f ca="1">TEXT(HYPERLINK("#"&amp;CELL("address",'Equipment + Labor'!A587),"Total installed cost"),"0,000")</f>
        <v>Total installed cost</v>
      </c>
      <c r="M71" s="2107"/>
      <c r="N71" s="2107"/>
      <c r="O71" s="673"/>
      <c r="P71" s="673"/>
      <c r="Q71" s="673"/>
      <c r="R71" s="673"/>
      <c r="S71" s="673"/>
      <c r="T71" s="673"/>
      <c r="U71" s="673"/>
      <c r="V71" s="673"/>
      <c r="W71" s="673"/>
      <c r="X71" s="673"/>
      <c r="Y71" s="673"/>
      <c r="Z71" s="673"/>
      <c r="AA71" s="673"/>
      <c r="AB71" s="673"/>
      <c r="AC71" s="673"/>
      <c r="AD71" s="673"/>
      <c r="AE71" s="673"/>
      <c r="AF71" s="673"/>
      <c r="AG71" s="673"/>
      <c r="AH71" s="673"/>
      <c r="AI71" s="673"/>
      <c r="AJ71" s="673"/>
      <c r="AK71" s="673"/>
      <c r="AL71" s="673"/>
      <c r="AM71" s="673"/>
      <c r="AN71" s="673"/>
      <c r="AO71" s="673"/>
      <c r="AP71" s="673"/>
      <c r="AQ71" s="673"/>
      <c r="AR71" s="673"/>
      <c r="AS71" s="673"/>
      <c r="AT71" s="673"/>
      <c r="AU71" s="673"/>
      <c r="AV71" s="673"/>
      <c r="AW71" s="673"/>
      <c r="AX71" s="673"/>
      <c r="AY71" s="673"/>
      <c r="AZ71" s="673"/>
      <c r="BA71" s="673"/>
      <c r="BB71" s="673"/>
      <c r="BC71" s="673"/>
      <c r="BD71" s="673"/>
      <c r="BE71" s="673"/>
      <c r="BF71" s="673"/>
      <c r="BG71" s="673"/>
      <c r="BH71" s="673"/>
      <c r="BI71" s="673"/>
      <c r="BJ71" s="673"/>
      <c r="BK71" s="673"/>
      <c r="BL71" s="673"/>
      <c r="BM71" s="673"/>
      <c r="BN71" s="673"/>
      <c r="BO71" s="673"/>
      <c r="BP71" s="673"/>
      <c r="BQ71" s="673"/>
      <c r="BR71" s="673"/>
      <c r="BS71" s="673"/>
      <c r="BT71" s="673"/>
      <c r="BU71" s="673"/>
      <c r="BV71" s="673"/>
      <c r="BW71" s="673"/>
      <c r="BX71" s="673"/>
      <c r="BY71" s="673"/>
      <c r="BZ71" s="673"/>
      <c r="CA71" s="673"/>
      <c r="CB71" s="673"/>
      <c r="CC71" s="673"/>
      <c r="CD71" s="673"/>
      <c r="CE71" s="673"/>
      <c r="CF71" s="673"/>
      <c r="CG71" s="673"/>
      <c r="CH71" s="673"/>
      <c r="CI71" s="673"/>
      <c r="CJ71" s="673"/>
      <c r="CK71" s="673"/>
      <c r="CL71" s="673"/>
      <c r="CM71" s="673"/>
      <c r="CN71" s="673"/>
      <c r="CO71" s="673"/>
      <c r="CP71" s="673"/>
      <c r="CQ71" s="673"/>
      <c r="CR71" s="673"/>
      <c r="CS71" s="673"/>
      <c r="CT71" s="673"/>
      <c r="CU71" s="673"/>
      <c r="CV71" s="673"/>
      <c r="CW71" s="673"/>
      <c r="CX71" s="673"/>
      <c r="CY71" s="673"/>
      <c r="CZ71" s="673"/>
      <c r="DA71" s="673"/>
      <c r="DB71" s="673"/>
      <c r="DC71" s="673"/>
      <c r="DD71" s="673"/>
      <c r="DE71" s="673"/>
      <c r="DF71" s="673"/>
      <c r="DG71" s="673"/>
      <c r="DH71" s="673"/>
      <c r="DI71" s="673"/>
      <c r="DJ71" s="673"/>
      <c r="DK71" s="673"/>
      <c r="DL71" s="673"/>
      <c r="DM71" s="673"/>
      <c r="DN71" s="673"/>
      <c r="DO71" s="673"/>
      <c r="DP71" s="673"/>
      <c r="DQ71" s="673"/>
      <c r="DR71" s="673"/>
      <c r="DS71" s="673"/>
      <c r="DT71" s="673"/>
      <c r="DU71" s="673"/>
      <c r="DV71" s="673"/>
      <c r="DW71" s="673"/>
      <c r="DX71" s="673"/>
      <c r="DY71" s="673"/>
      <c r="DZ71" s="673"/>
      <c r="EA71" s="673"/>
      <c r="EB71" s="673"/>
      <c r="EC71" s="673"/>
      <c r="ED71" s="673"/>
      <c r="EE71" s="673"/>
      <c r="EF71" s="673"/>
      <c r="EG71" s="673"/>
      <c r="EH71" s="673"/>
      <c r="EI71" s="673"/>
      <c r="EJ71" s="673"/>
      <c r="EK71" s="673"/>
      <c r="EL71" s="673"/>
      <c r="EM71" s="673"/>
      <c r="EN71" s="673"/>
      <c r="EO71" s="673"/>
      <c r="EP71" s="673"/>
      <c r="EQ71" s="673"/>
      <c r="ER71" s="673"/>
      <c r="ES71" s="673"/>
      <c r="ET71" s="673"/>
      <c r="EU71" s="673"/>
      <c r="EV71" s="673"/>
      <c r="EW71" s="673"/>
      <c r="EX71" s="673"/>
      <c r="EY71" s="673"/>
      <c r="EZ71" s="673"/>
      <c r="FA71" s="673"/>
      <c r="FB71" s="673"/>
      <c r="FC71" s="673"/>
      <c r="FD71" s="673"/>
      <c r="FE71" s="673"/>
      <c r="FF71" s="673"/>
      <c r="FG71" s="673"/>
      <c r="FH71" s="673"/>
      <c r="FI71" s="673"/>
      <c r="FJ71" s="673"/>
      <c r="FK71" s="673"/>
      <c r="FL71" s="673"/>
      <c r="FM71" s="673"/>
      <c r="FN71" s="673"/>
      <c r="FO71" s="673"/>
      <c r="FP71" s="673"/>
      <c r="FQ71" s="673"/>
      <c r="FR71" s="673"/>
      <c r="FS71" s="673"/>
      <c r="FT71" s="673"/>
      <c r="FU71" s="673"/>
      <c r="FV71" s="673"/>
      <c r="FW71" s="673"/>
      <c r="FX71" s="673"/>
      <c r="FY71" s="673"/>
      <c r="FZ71" s="673"/>
      <c r="GA71" s="673"/>
      <c r="GB71" s="673"/>
      <c r="GC71" s="673"/>
      <c r="GD71" s="673"/>
      <c r="GE71" s="673"/>
      <c r="GF71" s="673"/>
      <c r="GG71" s="673"/>
      <c r="GH71" s="673"/>
      <c r="GI71" s="673"/>
      <c r="GJ71" s="673"/>
      <c r="GK71" s="673"/>
      <c r="GL71" s="673"/>
      <c r="GM71" s="673"/>
      <c r="GN71" s="673"/>
      <c r="GO71" s="673"/>
      <c r="GP71" s="673"/>
      <c r="GQ71" s="673"/>
      <c r="GR71" s="673"/>
      <c r="GS71" s="673"/>
      <c r="GT71" s="673"/>
      <c r="GU71" s="673"/>
      <c r="GV71" s="673"/>
      <c r="GW71" s="673"/>
      <c r="GX71" s="673"/>
      <c r="GY71" s="673"/>
      <c r="GZ71" s="673"/>
      <c r="HA71" s="673"/>
      <c r="HB71" s="673"/>
      <c r="HC71" s="673"/>
      <c r="HD71" s="673"/>
      <c r="HE71" s="673"/>
      <c r="HF71" s="673"/>
      <c r="HG71" s="673"/>
      <c r="HH71" s="673"/>
      <c r="HI71" s="673"/>
      <c r="HJ71" s="673"/>
      <c r="HK71" s="673"/>
      <c r="HL71" s="673"/>
      <c r="HM71" s="673"/>
      <c r="HN71" s="673"/>
      <c r="HO71" s="673"/>
      <c r="HP71" s="673"/>
      <c r="HQ71" s="673"/>
      <c r="HR71" s="673"/>
      <c r="HS71" s="673"/>
      <c r="HT71" s="673"/>
      <c r="HU71" s="673"/>
      <c r="HV71" s="673"/>
      <c r="HW71" s="673"/>
      <c r="HX71" s="673"/>
      <c r="HY71" s="673"/>
      <c r="HZ71" s="673"/>
      <c r="IA71" s="673"/>
      <c r="IB71" s="673"/>
      <c r="IC71" s="673"/>
      <c r="ID71" s="673"/>
      <c r="IE71" s="673"/>
      <c r="IF71" s="673"/>
      <c r="IG71" s="673"/>
      <c r="IH71" s="673"/>
      <c r="II71" s="673"/>
      <c r="IJ71" s="673"/>
      <c r="IK71" s="673"/>
      <c r="IL71" s="673"/>
      <c r="IM71" s="673"/>
      <c r="IN71" s="673"/>
      <c r="IO71" s="673"/>
      <c r="IP71" s="673"/>
      <c r="IQ71" s="673"/>
      <c r="IR71" s="673"/>
      <c r="IS71" s="673"/>
      <c r="IT71" s="673"/>
      <c r="IU71" s="673"/>
      <c r="IV71" s="673"/>
      <c r="IW71" s="673"/>
      <c r="IX71" s="673"/>
      <c r="IY71" s="673"/>
      <c r="IZ71" s="673"/>
      <c r="JA71" s="673"/>
      <c r="JB71" s="673"/>
      <c r="JC71" s="673"/>
      <c r="JD71" s="673"/>
      <c r="JE71" s="673"/>
      <c r="JF71" s="673"/>
      <c r="JG71" s="673"/>
      <c r="JH71" s="673"/>
      <c r="JI71" s="673"/>
      <c r="JJ71" s="673"/>
      <c r="JK71" s="673"/>
      <c r="JL71" s="673"/>
      <c r="JM71" s="673"/>
      <c r="JN71" s="673"/>
      <c r="JO71" s="673"/>
      <c r="JP71" s="673"/>
      <c r="JQ71" s="673"/>
      <c r="JR71" s="673"/>
      <c r="JS71" s="673"/>
      <c r="JT71" s="673"/>
      <c r="JU71" s="673"/>
      <c r="JV71" s="673"/>
      <c r="JW71" s="673"/>
      <c r="JX71" s="673"/>
      <c r="JY71" s="673"/>
      <c r="JZ71" s="673"/>
      <c r="KA71" s="673"/>
      <c r="KB71" s="673"/>
      <c r="KC71" s="673"/>
      <c r="KD71" s="673"/>
      <c r="KE71" s="673"/>
      <c r="KF71" s="673"/>
      <c r="KG71" s="673"/>
      <c r="KH71" s="673"/>
      <c r="KI71" s="673"/>
      <c r="KJ71" s="673"/>
      <c r="KK71" s="673"/>
      <c r="KL71" s="673"/>
      <c r="KM71" s="673"/>
      <c r="KN71" s="673"/>
      <c r="KO71" s="673"/>
      <c r="KP71" s="673"/>
      <c r="KQ71" s="673"/>
      <c r="KR71" s="673"/>
      <c r="KS71" s="673"/>
      <c r="KT71" s="673"/>
      <c r="KU71" s="673"/>
      <c r="KV71" s="673"/>
      <c r="KW71" s="673"/>
      <c r="KX71" s="673"/>
      <c r="KY71" s="673"/>
      <c r="KZ71" s="673"/>
      <c r="LA71" s="673"/>
      <c r="LB71" s="673"/>
      <c r="LC71" s="673"/>
      <c r="LD71" s="673"/>
      <c r="LE71" s="673"/>
      <c r="LF71" s="673"/>
      <c r="LG71" s="673"/>
      <c r="LH71" s="673"/>
      <c r="LI71" s="673"/>
      <c r="LJ71" s="673"/>
      <c r="LK71" s="673"/>
      <c r="LL71" s="673"/>
      <c r="LM71" s="673"/>
      <c r="LN71" s="673"/>
      <c r="LO71" s="673"/>
      <c r="LP71" s="673"/>
      <c r="LQ71" s="673"/>
      <c r="LR71" s="673"/>
      <c r="LS71" s="673"/>
      <c r="LT71" s="673"/>
      <c r="LU71" s="673"/>
      <c r="LV71" s="673"/>
      <c r="LW71" s="673"/>
      <c r="LX71" s="673"/>
      <c r="LY71" s="673"/>
      <c r="LZ71" s="673"/>
      <c r="MA71" s="673"/>
      <c r="MB71" s="673"/>
      <c r="MC71" s="673"/>
      <c r="MD71" s="673"/>
      <c r="ME71" s="673"/>
      <c r="MF71" s="673"/>
      <c r="MG71" s="673"/>
      <c r="MH71" s="673"/>
      <c r="MI71" s="673"/>
      <c r="MJ71" s="673"/>
      <c r="MK71" s="673"/>
      <c r="ML71" s="673"/>
      <c r="MM71" s="673"/>
      <c r="MN71" s="673"/>
      <c r="MO71" s="673"/>
      <c r="MP71" s="673"/>
      <c r="MQ71" s="673"/>
      <c r="MR71" s="673"/>
      <c r="MS71" s="673"/>
      <c r="MT71" s="673"/>
      <c r="MU71" s="673"/>
      <c r="MV71" s="673"/>
      <c r="MW71" s="673"/>
      <c r="MX71" s="673"/>
      <c r="MY71" s="673"/>
      <c r="MZ71" s="673"/>
      <c r="NA71" s="673"/>
      <c r="NB71" s="673"/>
      <c r="NC71" s="673"/>
      <c r="ND71" s="673"/>
      <c r="NE71" s="673"/>
      <c r="NF71" s="673"/>
      <c r="NG71" s="673"/>
      <c r="NH71" s="673"/>
      <c r="NI71" s="673"/>
      <c r="NJ71" s="673"/>
      <c r="NK71" s="673"/>
      <c r="NL71" s="673"/>
      <c r="NM71" s="673"/>
      <c r="NN71" s="673"/>
      <c r="NO71" s="673"/>
      <c r="NP71" s="673"/>
      <c r="NQ71" s="673"/>
      <c r="NR71" s="673"/>
      <c r="NS71" s="673"/>
      <c r="NT71" s="673"/>
      <c r="NU71" s="673"/>
      <c r="NV71" s="673"/>
      <c r="NW71" s="673"/>
      <c r="NX71" s="673"/>
      <c r="NY71" s="673"/>
      <c r="NZ71" s="673"/>
      <c r="OA71" s="673"/>
      <c r="OB71" s="673"/>
      <c r="OC71" s="673"/>
      <c r="OD71" s="673"/>
      <c r="OE71" s="673"/>
      <c r="OF71" s="673"/>
      <c r="OG71" s="673"/>
      <c r="OH71" s="673"/>
      <c r="OI71" s="673"/>
      <c r="OJ71" s="673"/>
      <c r="OK71" s="673"/>
      <c r="OL71" s="673"/>
      <c r="OM71" s="673"/>
      <c r="ON71" s="673"/>
      <c r="OO71" s="673"/>
      <c r="OP71" s="673"/>
      <c r="OQ71" s="673"/>
      <c r="OR71" s="673"/>
      <c r="OS71" s="673"/>
      <c r="OT71" s="673"/>
      <c r="OU71" s="673"/>
      <c r="OV71" s="673"/>
      <c r="OW71" s="673"/>
      <c r="OX71" s="673"/>
      <c r="OY71" s="673"/>
      <c r="OZ71" s="673"/>
      <c r="PA71" s="673"/>
      <c r="PB71" s="673"/>
      <c r="PC71" s="673"/>
      <c r="PD71" s="673"/>
      <c r="PE71" s="673"/>
      <c r="PF71" s="673"/>
      <c r="PG71" s="673"/>
      <c r="PH71" s="673"/>
      <c r="PI71" s="673"/>
      <c r="PJ71" s="673"/>
      <c r="PK71" s="673"/>
      <c r="PL71" s="673"/>
      <c r="PM71" s="673"/>
      <c r="PN71" s="673"/>
      <c r="PO71" s="673"/>
      <c r="PP71" s="673"/>
      <c r="PQ71" s="673"/>
      <c r="PR71" s="673"/>
      <c r="PS71" s="673"/>
      <c r="PT71" s="673"/>
      <c r="PU71" s="673"/>
      <c r="PV71" s="673"/>
      <c r="PW71" s="673"/>
      <c r="PX71" s="673"/>
      <c r="PY71" s="673"/>
      <c r="PZ71" s="673"/>
      <c r="QA71" s="673"/>
      <c r="QB71" s="673"/>
      <c r="QC71" s="673"/>
      <c r="QD71" s="673"/>
      <c r="QE71" s="673"/>
      <c r="QF71" s="673"/>
      <c r="QG71" s="673"/>
      <c r="QH71" s="673"/>
      <c r="QI71" s="673"/>
      <c r="QJ71" s="673"/>
      <c r="QK71" s="673"/>
    </row>
    <row r="72" spans="1:453" s="558" customFormat="1">
      <c r="A72" s="680"/>
      <c r="B72" s="680"/>
      <c r="C72" s="2107" t="str">
        <f ca="1">TEXT(HYPERLINK("#"&amp;CELL("address",'Equipment Results Matrix'!A1108),'Equipment Results Matrix'!A1108),"0,000")</f>
        <v>LED Reflector</v>
      </c>
      <c r="D72" s="2107"/>
      <c r="E72" s="2107"/>
      <c r="F72" s="2107"/>
      <c r="G72" s="1305"/>
      <c r="H72" s="680"/>
      <c r="I72" s="680"/>
      <c r="J72" s="1525" t="str">
        <f ca="1">TEXT(HYPERLINK("#"&amp;CELL("address",'Labor Results Matrix'!A616),"Labor"),"0,000")</f>
        <v>Labor</v>
      </c>
      <c r="K72" s="1525"/>
      <c r="L72" s="2107" t="str">
        <f ca="1">TEXT(HYPERLINK("#"&amp;CELL("address",'Equipment + Labor'!A596),"Total installed cost"),"0,000")</f>
        <v>Total installed cost</v>
      </c>
      <c r="M72" s="2107"/>
      <c r="N72" s="2107"/>
      <c r="O72" s="673"/>
      <c r="P72" s="673"/>
      <c r="Q72" s="673"/>
      <c r="R72" s="673"/>
      <c r="S72" s="673"/>
      <c r="T72" s="673"/>
      <c r="U72" s="673"/>
      <c r="V72" s="673"/>
      <c r="W72" s="673"/>
      <c r="X72" s="673"/>
      <c r="Y72" s="673"/>
      <c r="Z72" s="673"/>
      <c r="AA72" s="673"/>
      <c r="AB72" s="673"/>
      <c r="AC72" s="673"/>
      <c r="AD72" s="673"/>
      <c r="AE72" s="673"/>
      <c r="AF72" s="673"/>
      <c r="AG72" s="673"/>
      <c r="AH72" s="673"/>
      <c r="AI72" s="673"/>
      <c r="AJ72" s="673"/>
      <c r="AK72" s="673"/>
      <c r="AL72" s="673"/>
      <c r="AM72" s="673"/>
      <c r="AN72" s="673"/>
      <c r="AO72" s="673"/>
      <c r="AP72" s="673"/>
      <c r="AQ72" s="673"/>
      <c r="AR72" s="673"/>
      <c r="AS72" s="673"/>
      <c r="AT72" s="673"/>
      <c r="AU72" s="673"/>
      <c r="AV72" s="673"/>
      <c r="AW72" s="673"/>
      <c r="AX72" s="673"/>
      <c r="AY72" s="673"/>
      <c r="AZ72" s="673"/>
      <c r="BA72" s="673"/>
      <c r="BB72" s="673"/>
      <c r="BC72" s="673"/>
      <c r="BD72" s="673"/>
      <c r="BE72" s="673"/>
      <c r="BF72" s="673"/>
      <c r="BG72" s="673"/>
      <c r="BH72" s="673"/>
      <c r="BI72" s="673"/>
      <c r="BJ72" s="673"/>
      <c r="BK72" s="673"/>
      <c r="BL72" s="673"/>
      <c r="BM72" s="673"/>
      <c r="BN72" s="673"/>
      <c r="BO72" s="673"/>
      <c r="BP72" s="673"/>
      <c r="BQ72" s="673"/>
      <c r="BR72" s="673"/>
      <c r="BS72" s="673"/>
      <c r="BT72" s="673"/>
      <c r="BU72" s="673"/>
      <c r="BV72" s="673"/>
      <c r="BW72" s="673"/>
      <c r="BX72" s="673"/>
      <c r="BY72" s="673"/>
      <c r="BZ72" s="673"/>
      <c r="CA72" s="673"/>
      <c r="CB72" s="673"/>
      <c r="CC72" s="673"/>
      <c r="CD72" s="673"/>
      <c r="CE72" s="673"/>
      <c r="CF72" s="673"/>
      <c r="CG72" s="673"/>
      <c r="CH72" s="673"/>
      <c r="CI72" s="673"/>
      <c r="CJ72" s="673"/>
      <c r="CK72" s="673"/>
      <c r="CL72" s="673"/>
      <c r="CM72" s="673"/>
      <c r="CN72" s="673"/>
      <c r="CO72" s="673"/>
      <c r="CP72" s="673"/>
      <c r="CQ72" s="673"/>
      <c r="CR72" s="673"/>
      <c r="CS72" s="673"/>
      <c r="CT72" s="673"/>
      <c r="CU72" s="673"/>
      <c r="CV72" s="673"/>
      <c r="CW72" s="673"/>
      <c r="CX72" s="673"/>
      <c r="CY72" s="673"/>
      <c r="CZ72" s="673"/>
      <c r="DA72" s="673"/>
      <c r="DB72" s="673"/>
      <c r="DC72" s="673"/>
      <c r="DD72" s="673"/>
      <c r="DE72" s="673"/>
      <c r="DF72" s="673"/>
      <c r="DG72" s="673"/>
      <c r="DH72" s="673"/>
      <c r="DI72" s="673"/>
      <c r="DJ72" s="673"/>
      <c r="DK72" s="673"/>
      <c r="DL72" s="673"/>
      <c r="DM72" s="673"/>
      <c r="DN72" s="673"/>
      <c r="DO72" s="673"/>
      <c r="DP72" s="673"/>
      <c r="DQ72" s="673"/>
      <c r="DR72" s="673"/>
      <c r="DS72" s="673"/>
      <c r="DT72" s="673"/>
      <c r="DU72" s="673"/>
      <c r="DV72" s="673"/>
      <c r="DW72" s="673"/>
      <c r="DX72" s="673"/>
      <c r="DY72" s="673"/>
      <c r="DZ72" s="673"/>
      <c r="EA72" s="673"/>
      <c r="EB72" s="673"/>
      <c r="EC72" s="673"/>
      <c r="ED72" s="673"/>
      <c r="EE72" s="673"/>
      <c r="EF72" s="673"/>
      <c r="EG72" s="673"/>
      <c r="EH72" s="673"/>
      <c r="EI72" s="673"/>
      <c r="EJ72" s="673"/>
      <c r="EK72" s="673"/>
      <c r="EL72" s="673"/>
      <c r="EM72" s="673"/>
      <c r="EN72" s="673"/>
      <c r="EO72" s="673"/>
      <c r="EP72" s="673"/>
      <c r="EQ72" s="673"/>
      <c r="ER72" s="673"/>
      <c r="ES72" s="673"/>
      <c r="ET72" s="673"/>
      <c r="EU72" s="673"/>
      <c r="EV72" s="673"/>
      <c r="EW72" s="673"/>
      <c r="EX72" s="673"/>
      <c r="EY72" s="673"/>
      <c r="EZ72" s="673"/>
      <c r="FA72" s="673"/>
      <c r="FB72" s="673"/>
      <c r="FC72" s="673"/>
      <c r="FD72" s="673"/>
      <c r="FE72" s="673"/>
      <c r="FF72" s="673"/>
      <c r="FG72" s="673"/>
      <c r="FH72" s="673"/>
      <c r="FI72" s="673"/>
      <c r="FJ72" s="673"/>
      <c r="FK72" s="673"/>
      <c r="FL72" s="673"/>
      <c r="FM72" s="673"/>
      <c r="FN72" s="673"/>
      <c r="FO72" s="673"/>
      <c r="FP72" s="673"/>
      <c r="FQ72" s="673"/>
      <c r="FR72" s="673"/>
      <c r="FS72" s="673"/>
      <c r="FT72" s="673"/>
      <c r="FU72" s="673"/>
      <c r="FV72" s="673"/>
      <c r="FW72" s="673"/>
      <c r="FX72" s="673"/>
      <c r="FY72" s="673"/>
      <c r="FZ72" s="673"/>
      <c r="GA72" s="673"/>
      <c r="GB72" s="673"/>
      <c r="GC72" s="673"/>
      <c r="GD72" s="673"/>
      <c r="GE72" s="673"/>
      <c r="GF72" s="673"/>
      <c r="GG72" s="673"/>
      <c r="GH72" s="673"/>
      <c r="GI72" s="673"/>
      <c r="GJ72" s="673"/>
      <c r="GK72" s="673"/>
      <c r="GL72" s="673"/>
      <c r="GM72" s="673"/>
      <c r="GN72" s="673"/>
      <c r="GO72" s="673"/>
      <c r="GP72" s="673"/>
      <c r="GQ72" s="673"/>
      <c r="GR72" s="673"/>
      <c r="GS72" s="673"/>
      <c r="GT72" s="673"/>
      <c r="GU72" s="673"/>
      <c r="GV72" s="673"/>
      <c r="GW72" s="673"/>
      <c r="GX72" s="673"/>
      <c r="GY72" s="673"/>
      <c r="GZ72" s="673"/>
      <c r="HA72" s="673"/>
      <c r="HB72" s="673"/>
      <c r="HC72" s="673"/>
      <c r="HD72" s="673"/>
      <c r="HE72" s="673"/>
      <c r="HF72" s="673"/>
      <c r="HG72" s="673"/>
      <c r="HH72" s="673"/>
      <c r="HI72" s="673"/>
      <c r="HJ72" s="673"/>
      <c r="HK72" s="673"/>
      <c r="HL72" s="673"/>
      <c r="HM72" s="673"/>
      <c r="HN72" s="673"/>
      <c r="HO72" s="673"/>
      <c r="HP72" s="673"/>
      <c r="HQ72" s="673"/>
      <c r="HR72" s="673"/>
      <c r="HS72" s="673"/>
      <c r="HT72" s="673"/>
      <c r="HU72" s="673"/>
      <c r="HV72" s="673"/>
      <c r="HW72" s="673"/>
      <c r="HX72" s="673"/>
      <c r="HY72" s="673"/>
      <c r="HZ72" s="673"/>
      <c r="IA72" s="673"/>
      <c r="IB72" s="673"/>
      <c r="IC72" s="673"/>
      <c r="ID72" s="673"/>
      <c r="IE72" s="673"/>
      <c r="IF72" s="673"/>
      <c r="IG72" s="673"/>
      <c r="IH72" s="673"/>
      <c r="II72" s="673"/>
      <c r="IJ72" s="673"/>
      <c r="IK72" s="673"/>
      <c r="IL72" s="673"/>
      <c r="IM72" s="673"/>
      <c r="IN72" s="673"/>
      <c r="IO72" s="673"/>
      <c r="IP72" s="673"/>
      <c r="IQ72" s="673"/>
      <c r="IR72" s="673"/>
      <c r="IS72" s="673"/>
      <c r="IT72" s="673"/>
      <c r="IU72" s="673"/>
      <c r="IV72" s="673"/>
      <c r="IW72" s="673"/>
      <c r="IX72" s="673"/>
      <c r="IY72" s="673"/>
      <c r="IZ72" s="673"/>
      <c r="JA72" s="673"/>
      <c r="JB72" s="673"/>
      <c r="JC72" s="673"/>
      <c r="JD72" s="673"/>
      <c r="JE72" s="673"/>
      <c r="JF72" s="673"/>
      <c r="JG72" s="673"/>
      <c r="JH72" s="673"/>
      <c r="JI72" s="673"/>
      <c r="JJ72" s="673"/>
      <c r="JK72" s="673"/>
      <c r="JL72" s="673"/>
      <c r="JM72" s="673"/>
      <c r="JN72" s="673"/>
      <c r="JO72" s="673"/>
      <c r="JP72" s="673"/>
      <c r="JQ72" s="673"/>
      <c r="JR72" s="673"/>
      <c r="JS72" s="673"/>
      <c r="JT72" s="673"/>
      <c r="JU72" s="673"/>
      <c r="JV72" s="673"/>
      <c r="JW72" s="673"/>
      <c r="JX72" s="673"/>
      <c r="JY72" s="673"/>
      <c r="JZ72" s="673"/>
      <c r="KA72" s="673"/>
      <c r="KB72" s="673"/>
      <c r="KC72" s="673"/>
      <c r="KD72" s="673"/>
      <c r="KE72" s="673"/>
      <c r="KF72" s="673"/>
      <c r="KG72" s="673"/>
      <c r="KH72" s="673"/>
      <c r="KI72" s="673"/>
      <c r="KJ72" s="673"/>
      <c r="KK72" s="673"/>
      <c r="KL72" s="673"/>
      <c r="KM72" s="673"/>
      <c r="KN72" s="673"/>
      <c r="KO72" s="673"/>
      <c r="KP72" s="673"/>
      <c r="KQ72" s="673"/>
      <c r="KR72" s="673"/>
      <c r="KS72" s="673"/>
      <c r="KT72" s="673"/>
      <c r="KU72" s="673"/>
      <c r="KV72" s="673"/>
      <c r="KW72" s="673"/>
      <c r="KX72" s="673"/>
      <c r="KY72" s="673"/>
      <c r="KZ72" s="673"/>
      <c r="LA72" s="673"/>
      <c r="LB72" s="673"/>
      <c r="LC72" s="673"/>
      <c r="LD72" s="673"/>
      <c r="LE72" s="673"/>
      <c r="LF72" s="673"/>
      <c r="LG72" s="673"/>
      <c r="LH72" s="673"/>
      <c r="LI72" s="673"/>
      <c r="LJ72" s="673"/>
      <c r="LK72" s="673"/>
      <c r="LL72" s="673"/>
      <c r="LM72" s="673"/>
      <c r="LN72" s="673"/>
      <c r="LO72" s="673"/>
      <c r="LP72" s="673"/>
      <c r="LQ72" s="673"/>
      <c r="LR72" s="673"/>
      <c r="LS72" s="673"/>
      <c r="LT72" s="673"/>
      <c r="LU72" s="673"/>
      <c r="LV72" s="673"/>
      <c r="LW72" s="673"/>
      <c r="LX72" s="673"/>
      <c r="LY72" s="673"/>
      <c r="LZ72" s="673"/>
      <c r="MA72" s="673"/>
      <c r="MB72" s="673"/>
      <c r="MC72" s="673"/>
      <c r="MD72" s="673"/>
      <c r="ME72" s="673"/>
      <c r="MF72" s="673"/>
      <c r="MG72" s="673"/>
      <c r="MH72" s="673"/>
      <c r="MI72" s="673"/>
      <c r="MJ72" s="673"/>
      <c r="MK72" s="673"/>
      <c r="ML72" s="673"/>
      <c r="MM72" s="673"/>
      <c r="MN72" s="673"/>
      <c r="MO72" s="673"/>
      <c r="MP72" s="673"/>
      <c r="MQ72" s="673"/>
      <c r="MR72" s="673"/>
      <c r="MS72" s="673"/>
      <c r="MT72" s="673"/>
      <c r="MU72" s="673"/>
      <c r="MV72" s="673"/>
      <c r="MW72" s="673"/>
      <c r="MX72" s="673"/>
      <c r="MY72" s="673"/>
      <c r="MZ72" s="673"/>
      <c r="NA72" s="673"/>
      <c r="NB72" s="673"/>
      <c r="NC72" s="673"/>
      <c r="ND72" s="673"/>
      <c r="NE72" s="673"/>
      <c r="NF72" s="673"/>
      <c r="NG72" s="673"/>
      <c r="NH72" s="673"/>
      <c r="NI72" s="673"/>
      <c r="NJ72" s="673"/>
      <c r="NK72" s="673"/>
      <c r="NL72" s="673"/>
      <c r="NM72" s="673"/>
      <c r="NN72" s="673"/>
      <c r="NO72" s="673"/>
      <c r="NP72" s="673"/>
      <c r="NQ72" s="673"/>
      <c r="NR72" s="673"/>
      <c r="NS72" s="673"/>
      <c r="NT72" s="673"/>
      <c r="NU72" s="673"/>
      <c r="NV72" s="673"/>
      <c r="NW72" s="673"/>
      <c r="NX72" s="673"/>
      <c r="NY72" s="673"/>
      <c r="NZ72" s="673"/>
      <c r="OA72" s="673"/>
      <c r="OB72" s="673"/>
      <c r="OC72" s="673"/>
      <c r="OD72" s="673"/>
      <c r="OE72" s="673"/>
      <c r="OF72" s="673"/>
      <c r="OG72" s="673"/>
      <c r="OH72" s="673"/>
      <c r="OI72" s="673"/>
      <c r="OJ72" s="673"/>
      <c r="OK72" s="673"/>
      <c r="OL72" s="673"/>
      <c r="OM72" s="673"/>
      <c r="ON72" s="673"/>
      <c r="OO72" s="673"/>
      <c r="OP72" s="673"/>
      <c r="OQ72" s="673"/>
      <c r="OR72" s="673"/>
      <c r="OS72" s="673"/>
      <c r="OT72" s="673"/>
      <c r="OU72" s="673"/>
      <c r="OV72" s="673"/>
      <c r="OW72" s="673"/>
      <c r="OX72" s="673"/>
      <c r="OY72" s="673"/>
      <c r="OZ72" s="673"/>
      <c r="PA72" s="673"/>
      <c r="PB72" s="673"/>
      <c r="PC72" s="673"/>
      <c r="PD72" s="673"/>
      <c r="PE72" s="673"/>
      <c r="PF72" s="673"/>
      <c r="PG72" s="673"/>
      <c r="PH72" s="673"/>
      <c r="PI72" s="673"/>
      <c r="PJ72" s="673"/>
      <c r="PK72" s="673"/>
      <c r="PL72" s="673"/>
      <c r="PM72" s="673"/>
      <c r="PN72" s="673"/>
      <c r="PO72" s="673"/>
      <c r="PP72" s="673"/>
      <c r="PQ72" s="673"/>
      <c r="PR72" s="673"/>
      <c r="PS72" s="673"/>
      <c r="PT72" s="673"/>
      <c r="PU72" s="673"/>
      <c r="PV72" s="673"/>
      <c r="PW72" s="673"/>
      <c r="PX72" s="673"/>
      <c r="PY72" s="673"/>
      <c r="PZ72" s="673"/>
      <c r="QA72" s="673"/>
      <c r="QB72" s="673"/>
      <c r="QC72" s="673"/>
      <c r="QD72" s="673"/>
      <c r="QE72" s="673"/>
      <c r="QF72" s="673"/>
      <c r="QG72" s="673"/>
      <c r="QH72" s="673"/>
      <c r="QI72" s="673"/>
      <c r="QJ72" s="673"/>
      <c r="QK72" s="673"/>
    </row>
    <row r="73" spans="1:453" s="558" customFormat="1">
      <c r="A73" s="680"/>
      <c r="B73" s="680"/>
      <c r="C73" s="2107" t="str">
        <f ca="1">TEXT(HYPERLINK("#"&amp;CELL("address",'Equipment Results Matrix'!A1121),'Equipment Results Matrix'!A1121),"0,000")</f>
        <v>LED Globe</v>
      </c>
      <c r="D73" s="2107"/>
      <c r="E73" s="2107"/>
      <c r="F73" s="2107"/>
      <c r="G73" s="1305"/>
      <c r="H73" s="680"/>
      <c r="I73" s="680"/>
      <c r="J73" s="1525" t="str">
        <f ca="1">TEXT(HYPERLINK("#"&amp;CELL("address",'Labor Results Matrix'!A629),"Labor"),"0,000")</f>
        <v>Labor</v>
      </c>
      <c r="K73" s="1525"/>
      <c r="L73" s="2107" t="str">
        <f ca="1">TEXT(HYPERLINK("#"&amp;CELL("address",'Equipment + Labor'!A605),"Total installed cost"),"0,000")</f>
        <v>Total installed cost</v>
      </c>
      <c r="M73" s="2107"/>
      <c r="N73" s="2107"/>
      <c r="O73" s="673"/>
      <c r="P73" s="673"/>
      <c r="Q73" s="673"/>
      <c r="R73" s="673"/>
      <c r="S73" s="673"/>
      <c r="T73" s="673"/>
      <c r="U73" s="673"/>
      <c r="V73" s="673"/>
      <c r="W73" s="673"/>
      <c r="X73" s="673"/>
      <c r="Y73" s="673"/>
      <c r="Z73" s="673"/>
      <c r="AA73" s="673"/>
      <c r="AB73" s="673"/>
      <c r="AC73" s="673"/>
      <c r="AD73" s="673"/>
      <c r="AE73" s="673"/>
      <c r="AF73" s="673"/>
      <c r="AG73" s="673"/>
      <c r="AH73" s="673"/>
      <c r="AI73" s="673"/>
      <c r="AJ73" s="673"/>
      <c r="AK73" s="673"/>
      <c r="AL73" s="673"/>
      <c r="AM73" s="673"/>
      <c r="AN73" s="673"/>
      <c r="AO73" s="673"/>
      <c r="AP73" s="673"/>
      <c r="AQ73" s="673"/>
      <c r="AR73" s="673"/>
      <c r="AS73" s="673"/>
      <c r="AT73" s="673"/>
      <c r="AU73" s="673"/>
      <c r="AV73" s="673"/>
      <c r="AW73" s="673"/>
      <c r="AX73" s="673"/>
      <c r="AY73" s="673"/>
      <c r="AZ73" s="673"/>
      <c r="BA73" s="673"/>
      <c r="BB73" s="673"/>
      <c r="BC73" s="673"/>
      <c r="BD73" s="673"/>
      <c r="BE73" s="673"/>
      <c r="BF73" s="673"/>
      <c r="BG73" s="673"/>
      <c r="BH73" s="673"/>
      <c r="BI73" s="673"/>
      <c r="BJ73" s="673"/>
      <c r="BK73" s="673"/>
      <c r="BL73" s="673"/>
      <c r="BM73" s="673"/>
      <c r="BN73" s="673"/>
      <c r="BO73" s="673"/>
      <c r="BP73" s="673"/>
      <c r="BQ73" s="673"/>
      <c r="BR73" s="673"/>
      <c r="BS73" s="673"/>
      <c r="BT73" s="673"/>
      <c r="BU73" s="673"/>
      <c r="BV73" s="673"/>
      <c r="BW73" s="673"/>
      <c r="BX73" s="673"/>
      <c r="BY73" s="673"/>
      <c r="BZ73" s="673"/>
      <c r="CA73" s="673"/>
      <c r="CB73" s="673"/>
      <c r="CC73" s="673"/>
      <c r="CD73" s="673"/>
      <c r="CE73" s="673"/>
      <c r="CF73" s="673"/>
      <c r="CG73" s="673"/>
      <c r="CH73" s="673"/>
      <c r="CI73" s="673"/>
      <c r="CJ73" s="673"/>
      <c r="CK73" s="673"/>
      <c r="CL73" s="673"/>
      <c r="CM73" s="673"/>
      <c r="CN73" s="673"/>
      <c r="CO73" s="673"/>
      <c r="CP73" s="673"/>
      <c r="CQ73" s="673"/>
      <c r="CR73" s="673"/>
      <c r="CS73" s="673"/>
      <c r="CT73" s="673"/>
      <c r="CU73" s="673"/>
      <c r="CV73" s="673"/>
      <c r="CW73" s="673"/>
      <c r="CX73" s="673"/>
      <c r="CY73" s="673"/>
      <c r="CZ73" s="673"/>
      <c r="DA73" s="673"/>
      <c r="DB73" s="673"/>
      <c r="DC73" s="673"/>
      <c r="DD73" s="673"/>
      <c r="DE73" s="673"/>
      <c r="DF73" s="673"/>
      <c r="DG73" s="673"/>
      <c r="DH73" s="673"/>
      <c r="DI73" s="673"/>
      <c r="DJ73" s="673"/>
      <c r="DK73" s="673"/>
      <c r="DL73" s="673"/>
      <c r="DM73" s="673"/>
      <c r="DN73" s="673"/>
      <c r="DO73" s="673"/>
      <c r="DP73" s="673"/>
      <c r="DQ73" s="673"/>
      <c r="DR73" s="673"/>
      <c r="DS73" s="673"/>
      <c r="DT73" s="673"/>
      <c r="DU73" s="673"/>
      <c r="DV73" s="673"/>
      <c r="DW73" s="673"/>
      <c r="DX73" s="673"/>
      <c r="DY73" s="673"/>
      <c r="DZ73" s="673"/>
      <c r="EA73" s="673"/>
      <c r="EB73" s="673"/>
      <c r="EC73" s="673"/>
      <c r="ED73" s="673"/>
      <c r="EE73" s="673"/>
      <c r="EF73" s="673"/>
      <c r="EG73" s="673"/>
      <c r="EH73" s="673"/>
      <c r="EI73" s="673"/>
      <c r="EJ73" s="673"/>
      <c r="EK73" s="673"/>
      <c r="EL73" s="673"/>
      <c r="EM73" s="673"/>
      <c r="EN73" s="673"/>
      <c r="EO73" s="673"/>
      <c r="EP73" s="673"/>
      <c r="EQ73" s="673"/>
      <c r="ER73" s="673"/>
      <c r="ES73" s="673"/>
      <c r="ET73" s="673"/>
      <c r="EU73" s="673"/>
      <c r="EV73" s="673"/>
      <c r="EW73" s="673"/>
      <c r="EX73" s="673"/>
      <c r="EY73" s="673"/>
      <c r="EZ73" s="673"/>
      <c r="FA73" s="673"/>
      <c r="FB73" s="673"/>
      <c r="FC73" s="673"/>
      <c r="FD73" s="673"/>
      <c r="FE73" s="673"/>
      <c r="FF73" s="673"/>
      <c r="FG73" s="673"/>
      <c r="FH73" s="673"/>
      <c r="FI73" s="673"/>
      <c r="FJ73" s="673"/>
      <c r="FK73" s="673"/>
      <c r="FL73" s="673"/>
      <c r="FM73" s="673"/>
      <c r="FN73" s="673"/>
      <c r="FO73" s="673"/>
      <c r="FP73" s="673"/>
      <c r="FQ73" s="673"/>
      <c r="FR73" s="673"/>
      <c r="FS73" s="673"/>
      <c r="FT73" s="673"/>
      <c r="FU73" s="673"/>
      <c r="FV73" s="673"/>
      <c r="FW73" s="673"/>
      <c r="FX73" s="673"/>
      <c r="FY73" s="673"/>
      <c r="FZ73" s="673"/>
      <c r="GA73" s="673"/>
      <c r="GB73" s="673"/>
      <c r="GC73" s="673"/>
      <c r="GD73" s="673"/>
      <c r="GE73" s="673"/>
      <c r="GF73" s="673"/>
      <c r="GG73" s="673"/>
      <c r="GH73" s="673"/>
      <c r="GI73" s="673"/>
      <c r="GJ73" s="673"/>
      <c r="GK73" s="673"/>
      <c r="GL73" s="673"/>
      <c r="GM73" s="673"/>
      <c r="GN73" s="673"/>
      <c r="GO73" s="673"/>
      <c r="GP73" s="673"/>
      <c r="GQ73" s="673"/>
      <c r="GR73" s="673"/>
      <c r="GS73" s="673"/>
      <c r="GT73" s="673"/>
      <c r="GU73" s="673"/>
      <c r="GV73" s="673"/>
      <c r="GW73" s="673"/>
      <c r="GX73" s="673"/>
      <c r="GY73" s="673"/>
      <c r="GZ73" s="673"/>
      <c r="HA73" s="673"/>
      <c r="HB73" s="673"/>
      <c r="HC73" s="673"/>
      <c r="HD73" s="673"/>
      <c r="HE73" s="673"/>
      <c r="HF73" s="673"/>
      <c r="HG73" s="673"/>
      <c r="HH73" s="673"/>
      <c r="HI73" s="673"/>
      <c r="HJ73" s="673"/>
      <c r="HK73" s="673"/>
      <c r="HL73" s="673"/>
      <c r="HM73" s="673"/>
      <c r="HN73" s="673"/>
      <c r="HO73" s="673"/>
      <c r="HP73" s="673"/>
      <c r="HQ73" s="673"/>
      <c r="HR73" s="673"/>
      <c r="HS73" s="673"/>
      <c r="HT73" s="673"/>
      <c r="HU73" s="673"/>
      <c r="HV73" s="673"/>
      <c r="HW73" s="673"/>
      <c r="HX73" s="673"/>
      <c r="HY73" s="673"/>
      <c r="HZ73" s="673"/>
      <c r="IA73" s="673"/>
      <c r="IB73" s="673"/>
      <c r="IC73" s="673"/>
      <c r="ID73" s="673"/>
      <c r="IE73" s="673"/>
      <c r="IF73" s="673"/>
      <c r="IG73" s="673"/>
      <c r="IH73" s="673"/>
      <c r="II73" s="673"/>
      <c r="IJ73" s="673"/>
      <c r="IK73" s="673"/>
      <c r="IL73" s="673"/>
      <c r="IM73" s="673"/>
      <c r="IN73" s="673"/>
      <c r="IO73" s="673"/>
      <c r="IP73" s="673"/>
      <c r="IQ73" s="673"/>
      <c r="IR73" s="673"/>
      <c r="IS73" s="673"/>
      <c r="IT73" s="673"/>
      <c r="IU73" s="673"/>
      <c r="IV73" s="673"/>
      <c r="IW73" s="673"/>
      <c r="IX73" s="673"/>
      <c r="IY73" s="673"/>
      <c r="IZ73" s="673"/>
      <c r="JA73" s="673"/>
      <c r="JB73" s="673"/>
      <c r="JC73" s="673"/>
      <c r="JD73" s="673"/>
      <c r="JE73" s="673"/>
      <c r="JF73" s="673"/>
      <c r="JG73" s="673"/>
      <c r="JH73" s="673"/>
      <c r="JI73" s="673"/>
      <c r="JJ73" s="673"/>
      <c r="JK73" s="673"/>
      <c r="JL73" s="673"/>
      <c r="JM73" s="673"/>
      <c r="JN73" s="673"/>
      <c r="JO73" s="673"/>
      <c r="JP73" s="673"/>
      <c r="JQ73" s="673"/>
      <c r="JR73" s="673"/>
      <c r="JS73" s="673"/>
      <c r="JT73" s="673"/>
      <c r="JU73" s="673"/>
      <c r="JV73" s="673"/>
      <c r="JW73" s="673"/>
      <c r="JX73" s="673"/>
      <c r="JY73" s="673"/>
      <c r="JZ73" s="673"/>
      <c r="KA73" s="673"/>
      <c r="KB73" s="673"/>
      <c r="KC73" s="673"/>
      <c r="KD73" s="673"/>
      <c r="KE73" s="673"/>
      <c r="KF73" s="673"/>
      <c r="KG73" s="673"/>
      <c r="KH73" s="673"/>
      <c r="KI73" s="673"/>
      <c r="KJ73" s="673"/>
      <c r="KK73" s="673"/>
      <c r="KL73" s="673"/>
      <c r="KM73" s="673"/>
      <c r="KN73" s="673"/>
      <c r="KO73" s="673"/>
      <c r="KP73" s="673"/>
      <c r="KQ73" s="673"/>
      <c r="KR73" s="673"/>
      <c r="KS73" s="673"/>
      <c r="KT73" s="673"/>
      <c r="KU73" s="673"/>
      <c r="KV73" s="673"/>
      <c r="KW73" s="673"/>
      <c r="KX73" s="673"/>
      <c r="KY73" s="673"/>
      <c r="KZ73" s="673"/>
      <c r="LA73" s="673"/>
      <c r="LB73" s="673"/>
      <c r="LC73" s="673"/>
      <c r="LD73" s="673"/>
      <c r="LE73" s="673"/>
      <c r="LF73" s="673"/>
      <c r="LG73" s="673"/>
      <c r="LH73" s="673"/>
      <c r="LI73" s="673"/>
      <c r="LJ73" s="673"/>
      <c r="LK73" s="673"/>
      <c r="LL73" s="673"/>
      <c r="LM73" s="673"/>
      <c r="LN73" s="673"/>
      <c r="LO73" s="673"/>
      <c r="LP73" s="673"/>
      <c r="LQ73" s="673"/>
      <c r="LR73" s="673"/>
      <c r="LS73" s="673"/>
      <c r="LT73" s="673"/>
      <c r="LU73" s="673"/>
      <c r="LV73" s="673"/>
      <c r="LW73" s="673"/>
      <c r="LX73" s="673"/>
      <c r="LY73" s="673"/>
      <c r="LZ73" s="673"/>
      <c r="MA73" s="673"/>
      <c r="MB73" s="673"/>
      <c r="MC73" s="673"/>
      <c r="MD73" s="673"/>
      <c r="ME73" s="673"/>
      <c r="MF73" s="673"/>
      <c r="MG73" s="673"/>
      <c r="MH73" s="673"/>
      <c r="MI73" s="673"/>
      <c r="MJ73" s="673"/>
      <c r="MK73" s="673"/>
      <c r="ML73" s="673"/>
      <c r="MM73" s="673"/>
      <c r="MN73" s="673"/>
      <c r="MO73" s="673"/>
      <c r="MP73" s="673"/>
      <c r="MQ73" s="673"/>
      <c r="MR73" s="673"/>
      <c r="MS73" s="673"/>
      <c r="MT73" s="673"/>
      <c r="MU73" s="673"/>
      <c r="MV73" s="673"/>
      <c r="MW73" s="673"/>
      <c r="MX73" s="673"/>
      <c r="MY73" s="673"/>
      <c r="MZ73" s="673"/>
      <c r="NA73" s="673"/>
      <c r="NB73" s="673"/>
      <c r="NC73" s="673"/>
      <c r="ND73" s="673"/>
      <c r="NE73" s="673"/>
      <c r="NF73" s="673"/>
      <c r="NG73" s="673"/>
      <c r="NH73" s="673"/>
      <c r="NI73" s="673"/>
      <c r="NJ73" s="673"/>
      <c r="NK73" s="673"/>
      <c r="NL73" s="673"/>
      <c r="NM73" s="673"/>
      <c r="NN73" s="673"/>
      <c r="NO73" s="673"/>
      <c r="NP73" s="673"/>
      <c r="NQ73" s="673"/>
      <c r="NR73" s="673"/>
      <c r="NS73" s="673"/>
      <c r="NT73" s="673"/>
      <c r="NU73" s="673"/>
      <c r="NV73" s="673"/>
      <c r="NW73" s="673"/>
      <c r="NX73" s="673"/>
      <c r="NY73" s="673"/>
      <c r="NZ73" s="673"/>
      <c r="OA73" s="673"/>
      <c r="OB73" s="673"/>
      <c r="OC73" s="673"/>
      <c r="OD73" s="673"/>
      <c r="OE73" s="673"/>
      <c r="OF73" s="673"/>
      <c r="OG73" s="673"/>
      <c r="OH73" s="673"/>
      <c r="OI73" s="673"/>
      <c r="OJ73" s="673"/>
      <c r="OK73" s="673"/>
      <c r="OL73" s="673"/>
      <c r="OM73" s="673"/>
      <c r="ON73" s="673"/>
      <c r="OO73" s="673"/>
      <c r="OP73" s="673"/>
      <c r="OQ73" s="673"/>
      <c r="OR73" s="673"/>
      <c r="OS73" s="673"/>
      <c r="OT73" s="673"/>
      <c r="OU73" s="673"/>
      <c r="OV73" s="673"/>
      <c r="OW73" s="673"/>
      <c r="OX73" s="673"/>
      <c r="OY73" s="673"/>
      <c r="OZ73" s="673"/>
      <c r="PA73" s="673"/>
      <c r="PB73" s="673"/>
      <c r="PC73" s="673"/>
      <c r="PD73" s="673"/>
      <c r="PE73" s="673"/>
      <c r="PF73" s="673"/>
      <c r="PG73" s="673"/>
      <c r="PH73" s="673"/>
      <c r="PI73" s="673"/>
      <c r="PJ73" s="673"/>
      <c r="PK73" s="673"/>
      <c r="PL73" s="673"/>
      <c r="PM73" s="673"/>
      <c r="PN73" s="673"/>
      <c r="PO73" s="673"/>
      <c r="PP73" s="673"/>
      <c r="PQ73" s="673"/>
      <c r="PR73" s="673"/>
      <c r="PS73" s="673"/>
      <c r="PT73" s="673"/>
      <c r="PU73" s="673"/>
      <c r="PV73" s="673"/>
      <c r="PW73" s="673"/>
      <c r="PX73" s="673"/>
      <c r="PY73" s="673"/>
      <c r="PZ73" s="673"/>
      <c r="QA73" s="673"/>
      <c r="QB73" s="673"/>
      <c r="QC73" s="673"/>
      <c r="QD73" s="673"/>
      <c r="QE73" s="673"/>
      <c r="QF73" s="673"/>
      <c r="QG73" s="673"/>
      <c r="QH73" s="673"/>
      <c r="QI73" s="673"/>
      <c r="QJ73" s="673"/>
      <c r="QK73" s="673"/>
    </row>
    <row r="74" spans="1:453" s="558" customFormat="1">
      <c r="A74" s="680"/>
      <c r="B74" s="680"/>
      <c r="C74" s="2107" t="str">
        <f ca="1">TEXT(HYPERLINK("#"&amp;CELL("address",'Equipment Results Matrix'!A1132),'Equipment Results Matrix'!A1132),"0,000")</f>
        <v>LED Torpedo</v>
      </c>
      <c r="D74" s="2107"/>
      <c r="E74" s="2107"/>
      <c r="F74" s="2107"/>
      <c r="G74" s="1305"/>
      <c r="H74" s="680"/>
      <c r="I74" s="680"/>
      <c r="J74" s="1525" t="str">
        <f ca="1">TEXT(HYPERLINK("#"&amp;CELL("address",'Labor Results Matrix'!A640),"Labor"),"0,000")</f>
        <v>Labor</v>
      </c>
      <c r="K74" s="1525"/>
      <c r="L74" s="2107" t="str">
        <f ca="1">TEXT(HYPERLINK("#"&amp;CELL("address",'Equipment + Labor'!A610),"Total installed cost"),"0,000")</f>
        <v>Total installed cost</v>
      </c>
      <c r="M74" s="2107"/>
      <c r="N74" s="2107"/>
      <c r="O74" s="673"/>
      <c r="P74" s="673"/>
      <c r="Q74" s="673"/>
      <c r="R74" s="673"/>
      <c r="S74" s="673"/>
      <c r="T74" s="673"/>
      <c r="U74" s="673"/>
      <c r="V74" s="673"/>
      <c r="W74" s="673"/>
      <c r="X74" s="673"/>
      <c r="Y74" s="673"/>
      <c r="Z74" s="673"/>
      <c r="AA74" s="673"/>
      <c r="AB74" s="673"/>
      <c r="AC74" s="673"/>
      <c r="AD74" s="673"/>
      <c r="AE74" s="673"/>
      <c r="AF74" s="673"/>
      <c r="AG74" s="673"/>
      <c r="AH74" s="673"/>
      <c r="AI74" s="673"/>
      <c r="AJ74" s="673"/>
      <c r="AK74" s="673"/>
      <c r="AL74" s="673"/>
      <c r="AM74" s="673"/>
      <c r="AN74" s="673"/>
      <c r="AO74" s="673"/>
      <c r="AP74" s="673"/>
      <c r="AQ74" s="673"/>
      <c r="AR74" s="673"/>
      <c r="AS74" s="673"/>
      <c r="AT74" s="673"/>
      <c r="AU74" s="673"/>
      <c r="AV74" s="673"/>
      <c r="AW74" s="673"/>
      <c r="AX74" s="673"/>
      <c r="AY74" s="673"/>
      <c r="AZ74" s="673"/>
      <c r="BA74" s="673"/>
      <c r="BB74" s="673"/>
      <c r="BC74" s="673"/>
      <c r="BD74" s="673"/>
      <c r="BE74" s="673"/>
      <c r="BF74" s="673"/>
      <c r="BG74" s="673"/>
      <c r="BH74" s="673"/>
      <c r="BI74" s="673"/>
      <c r="BJ74" s="673"/>
      <c r="BK74" s="673"/>
      <c r="BL74" s="673"/>
      <c r="BM74" s="673"/>
      <c r="BN74" s="673"/>
      <c r="BO74" s="673"/>
      <c r="BP74" s="673"/>
      <c r="BQ74" s="673"/>
      <c r="BR74" s="673"/>
      <c r="BS74" s="673"/>
      <c r="BT74" s="673"/>
      <c r="BU74" s="673"/>
      <c r="BV74" s="673"/>
      <c r="BW74" s="673"/>
      <c r="BX74" s="673"/>
      <c r="BY74" s="673"/>
      <c r="BZ74" s="673"/>
      <c r="CA74" s="673"/>
      <c r="CB74" s="673"/>
      <c r="CC74" s="673"/>
      <c r="CD74" s="673"/>
      <c r="CE74" s="673"/>
      <c r="CF74" s="673"/>
      <c r="CG74" s="673"/>
      <c r="CH74" s="673"/>
      <c r="CI74" s="673"/>
      <c r="CJ74" s="673"/>
      <c r="CK74" s="673"/>
      <c r="CL74" s="673"/>
      <c r="CM74" s="673"/>
      <c r="CN74" s="673"/>
      <c r="CO74" s="673"/>
      <c r="CP74" s="673"/>
      <c r="CQ74" s="673"/>
      <c r="CR74" s="673"/>
      <c r="CS74" s="673"/>
      <c r="CT74" s="673"/>
      <c r="CU74" s="673"/>
      <c r="CV74" s="673"/>
      <c r="CW74" s="673"/>
      <c r="CX74" s="673"/>
      <c r="CY74" s="673"/>
      <c r="CZ74" s="673"/>
      <c r="DA74" s="673"/>
      <c r="DB74" s="673"/>
      <c r="DC74" s="673"/>
      <c r="DD74" s="673"/>
      <c r="DE74" s="673"/>
      <c r="DF74" s="673"/>
      <c r="DG74" s="673"/>
      <c r="DH74" s="673"/>
      <c r="DI74" s="673"/>
      <c r="DJ74" s="673"/>
      <c r="DK74" s="673"/>
      <c r="DL74" s="673"/>
      <c r="DM74" s="673"/>
      <c r="DN74" s="673"/>
      <c r="DO74" s="673"/>
      <c r="DP74" s="673"/>
      <c r="DQ74" s="673"/>
      <c r="DR74" s="673"/>
      <c r="DS74" s="673"/>
      <c r="DT74" s="673"/>
      <c r="DU74" s="673"/>
      <c r="DV74" s="673"/>
      <c r="DW74" s="673"/>
      <c r="DX74" s="673"/>
      <c r="DY74" s="673"/>
      <c r="DZ74" s="673"/>
      <c r="EA74" s="673"/>
      <c r="EB74" s="673"/>
      <c r="EC74" s="673"/>
      <c r="ED74" s="673"/>
      <c r="EE74" s="673"/>
      <c r="EF74" s="673"/>
      <c r="EG74" s="673"/>
      <c r="EH74" s="673"/>
      <c r="EI74" s="673"/>
      <c r="EJ74" s="673"/>
      <c r="EK74" s="673"/>
      <c r="EL74" s="673"/>
      <c r="EM74" s="673"/>
      <c r="EN74" s="673"/>
      <c r="EO74" s="673"/>
      <c r="EP74" s="673"/>
      <c r="EQ74" s="673"/>
      <c r="ER74" s="673"/>
      <c r="ES74" s="673"/>
      <c r="ET74" s="673"/>
      <c r="EU74" s="673"/>
      <c r="EV74" s="673"/>
      <c r="EW74" s="673"/>
      <c r="EX74" s="673"/>
      <c r="EY74" s="673"/>
      <c r="EZ74" s="673"/>
      <c r="FA74" s="673"/>
      <c r="FB74" s="673"/>
      <c r="FC74" s="673"/>
      <c r="FD74" s="673"/>
      <c r="FE74" s="673"/>
      <c r="FF74" s="673"/>
      <c r="FG74" s="673"/>
      <c r="FH74" s="673"/>
      <c r="FI74" s="673"/>
      <c r="FJ74" s="673"/>
      <c r="FK74" s="673"/>
      <c r="FL74" s="673"/>
      <c r="FM74" s="673"/>
      <c r="FN74" s="673"/>
      <c r="FO74" s="673"/>
      <c r="FP74" s="673"/>
      <c r="FQ74" s="673"/>
      <c r="FR74" s="673"/>
      <c r="FS74" s="673"/>
      <c r="FT74" s="673"/>
      <c r="FU74" s="673"/>
      <c r="FV74" s="673"/>
      <c r="FW74" s="673"/>
      <c r="FX74" s="673"/>
      <c r="FY74" s="673"/>
      <c r="FZ74" s="673"/>
      <c r="GA74" s="673"/>
      <c r="GB74" s="673"/>
      <c r="GC74" s="673"/>
      <c r="GD74" s="673"/>
      <c r="GE74" s="673"/>
      <c r="GF74" s="673"/>
      <c r="GG74" s="673"/>
      <c r="GH74" s="673"/>
      <c r="GI74" s="673"/>
      <c r="GJ74" s="673"/>
      <c r="GK74" s="673"/>
      <c r="GL74" s="673"/>
      <c r="GM74" s="673"/>
      <c r="GN74" s="673"/>
      <c r="GO74" s="673"/>
      <c r="GP74" s="673"/>
      <c r="GQ74" s="673"/>
      <c r="GR74" s="673"/>
      <c r="GS74" s="673"/>
      <c r="GT74" s="673"/>
      <c r="GU74" s="673"/>
      <c r="GV74" s="673"/>
      <c r="GW74" s="673"/>
      <c r="GX74" s="673"/>
      <c r="GY74" s="673"/>
      <c r="GZ74" s="673"/>
      <c r="HA74" s="673"/>
      <c r="HB74" s="673"/>
      <c r="HC74" s="673"/>
      <c r="HD74" s="673"/>
      <c r="HE74" s="673"/>
      <c r="HF74" s="673"/>
      <c r="HG74" s="673"/>
      <c r="HH74" s="673"/>
      <c r="HI74" s="673"/>
      <c r="HJ74" s="673"/>
      <c r="HK74" s="673"/>
      <c r="HL74" s="673"/>
      <c r="HM74" s="673"/>
      <c r="HN74" s="673"/>
      <c r="HO74" s="673"/>
      <c r="HP74" s="673"/>
      <c r="HQ74" s="673"/>
      <c r="HR74" s="673"/>
      <c r="HS74" s="673"/>
      <c r="HT74" s="673"/>
      <c r="HU74" s="673"/>
      <c r="HV74" s="673"/>
      <c r="HW74" s="673"/>
      <c r="HX74" s="673"/>
      <c r="HY74" s="673"/>
      <c r="HZ74" s="673"/>
      <c r="IA74" s="673"/>
      <c r="IB74" s="673"/>
      <c r="IC74" s="673"/>
      <c r="ID74" s="673"/>
      <c r="IE74" s="673"/>
      <c r="IF74" s="673"/>
      <c r="IG74" s="673"/>
      <c r="IH74" s="673"/>
      <c r="II74" s="673"/>
      <c r="IJ74" s="673"/>
      <c r="IK74" s="673"/>
      <c r="IL74" s="673"/>
      <c r="IM74" s="673"/>
      <c r="IN74" s="673"/>
      <c r="IO74" s="673"/>
      <c r="IP74" s="673"/>
      <c r="IQ74" s="673"/>
      <c r="IR74" s="673"/>
      <c r="IS74" s="673"/>
      <c r="IT74" s="673"/>
      <c r="IU74" s="673"/>
      <c r="IV74" s="673"/>
      <c r="IW74" s="673"/>
      <c r="IX74" s="673"/>
      <c r="IY74" s="673"/>
      <c r="IZ74" s="673"/>
      <c r="JA74" s="673"/>
      <c r="JB74" s="673"/>
      <c r="JC74" s="673"/>
      <c r="JD74" s="673"/>
      <c r="JE74" s="673"/>
      <c r="JF74" s="673"/>
      <c r="JG74" s="673"/>
      <c r="JH74" s="673"/>
      <c r="JI74" s="673"/>
      <c r="JJ74" s="673"/>
      <c r="JK74" s="673"/>
      <c r="JL74" s="673"/>
      <c r="JM74" s="673"/>
      <c r="JN74" s="673"/>
      <c r="JO74" s="673"/>
      <c r="JP74" s="673"/>
      <c r="JQ74" s="673"/>
      <c r="JR74" s="673"/>
      <c r="JS74" s="673"/>
      <c r="JT74" s="673"/>
      <c r="JU74" s="673"/>
      <c r="JV74" s="673"/>
      <c r="JW74" s="673"/>
      <c r="JX74" s="673"/>
      <c r="JY74" s="673"/>
      <c r="JZ74" s="673"/>
      <c r="KA74" s="673"/>
      <c r="KB74" s="673"/>
      <c r="KC74" s="673"/>
      <c r="KD74" s="673"/>
      <c r="KE74" s="673"/>
      <c r="KF74" s="673"/>
      <c r="KG74" s="673"/>
      <c r="KH74" s="673"/>
      <c r="KI74" s="673"/>
      <c r="KJ74" s="673"/>
      <c r="KK74" s="673"/>
      <c r="KL74" s="673"/>
      <c r="KM74" s="673"/>
      <c r="KN74" s="673"/>
      <c r="KO74" s="673"/>
      <c r="KP74" s="673"/>
      <c r="KQ74" s="673"/>
      <c r="KR74" s="673"/>
      <c r="KS74" s="673"/>
      <c r="KT74" s="673"/>
      <c r="KU74" s="673"/>
      <c r="KV74" s="673"/>
      <c r="KW74" s="673"/>
      <c r="KX74" s="673"/>
      <c r="KY74" s="673"/>
      <c r="KZ74" s="673"/>
      <c r="LA74" s="673"/>
      <c r="LB74" s="673"/>
      <c r="LC74" s="673"/>
      <c r="LD74" s="673"/>
      <c r="LE74" s="673"/>
      <c r="LF74" s="673"/>
      <c r="LG74" s="673"/>
      <c r="LH74" s="673"/>
      <c r="LI74" s="673"/>
      <c r="LJ74" s="673"/>
      <c r="LK74" s="673"/>
      <c r="LL74" s="673"/>
      <c r="LM74" s="673"/>
      <c r="LN74" s="673"/>
      <c r="LO74" s="673"/>
      <c r="LP74" s="673"/>
      <c r="LQ74" s="673"/>
      <c r="LR74" s="673"/>
      <c r="LS74" s="673"/>
      <c r="LT74" s="673"/>
      <c r="LU74" s="673"/>
      <c r="LV74" s="673"/>
      <c r="LW74" s="673"/>
      <c r="LX74" s="673"/>
      <c r="LY74" s="673"/>
      <c r="LZ74" s="673"/>
      <c r="MA74" s="673"/>
      <c r="MB74" s="673"/>
      <c r="MC74" s="673"/>
      <c r="MD74" s="673"/>
      <c r="ME74" s="673"/>
      <c r="MF74" s="673"/>
      <c r="MG74" s="673"/>
      <c r="MH74" s="673"/>
      <c r="MI74" s="673"/>
      <c r="MJ74" s="673"/>
      <c r="MK74" s="673"/>
      <c r="ML74" s="673"/>
      <c r="MM74" s="673"/>
      <c r="MN74" s="673"/>
      <c r="MO74" s="673"/>
      <c r="MP74" s="673"/>
      <c r="MQ74" s="673"/>
      <c r="MR74" s="673"/>
      <c r="MS74" s="673"/>
      <c r="MT74" s="673"/>
      <c r="MU74" s="673"/>
      <c r="MV74" s="673"/>
      <c r="MW74" s="673"/>
      <c r="MX74" s="673"/>
      <c r="MY74" s="673"/>
      <c r="MZ74" s="673"/>
      <c r="NA74" s="673"/>
      <c r="NB74" s="673"/>
      <c r="NC74" s="673"/>
      <c r="ND74" s="673"/>
      <c r="NE74" s="673"/>
      <c r="NF74" s="673"/>
      <c r="NG74" s="673"/>
      <c r="NH74" s="673"/>
      <c r="NI74" s="673"/>
      <c r="NJ74" s="673"/>
      <c r="NK74" s="673"/>
      <c r="NL74" s="673"/>
      <c r="NM74" s="673"/>
      <c r="NN74" s="673"/>
      <c r="NO74" s="673"/>
      <c r="NP74" s="673"/>
      <c r="NQ74" s="673"/>
      <c r="NR74" s="673"/>
      <c r="NS74" s="673"/>
      <c r="NT74" s="673"/>
      <c r="NU74" s="673"/>
      <c r="NV74" s="673"/>
      <c r="NW74" s="673"/>
      <c r="NX74" s="673"/>
      <c r="NY74" s="673"/>
      <c r="NZ74" s="673"/>
      <c r="OA74" s="673"/>
      <c r="OB74" s="673"/>
      <c r="OC74" s="673"/>
      <c r="OD74" s="673"/>
      <c r="OE74" s="673"/>
      <c r="OF74" s="673"/>
      <c r="OG74" s="673"/>
      <c r="OH74" s="673"/>
      <c r="OI74" s="673"/>
      <c r="OJ74" s="673"/>
      <c r="OK74" s="673"/>
      <c r="OL74" s="673"/>
      <c r="OM74" s="673"/>
      <c r="ON74" s="673"/>
      <c r="OO74" s="673"/>
      <c r="OP74" s="673"/>
      <c r="OQ74" s="673"/>
      <c r="OR74" s="673"/>
      <c r="OS74" s="673"/>
      <c r="OT74" s="673"/>
      <c r="OU74" s="673"/>
      <c r="OV74" s="673"/>
      <c r="OW74" s="673"/>
      <c r="OX74" s="673"/>
      <c r="OY74" s="673"/>
      <c r="OZ74" s="673"/>
      <c r="PA74" s="673"/>
      <c r="PB74" s="673"/>
      <c r="PC74" s="673"/>
      <c r="PD74" s="673"/>
      <c r="PE74" s="673"/>
      <c r="PF74" s="673"/>
      <c r="PG74" s="673"/>
      <c r="PH74" s="673"/>
      <c r="PI74" s="673"/>
      <c r="PJ74" s="673"/>
      <c r="PK74" s="673"/>
      <c r="PL74" s="673"/>
      <c r="PM74" s="673"/>
      <c r="PN74" s="673"/>
      <c r="PO74" s="673"/>
      <c r="PP74" s="673"/>
      <c r="PQ74" s="673"/>
      <c r="PR74" s="673"/>
      <c r="PS74" s="673"/>
      <c r="PT74" s="673"/>
      <c r="PU74" s="673"/>
      <c r="PV74" s="673"/>
      <c r="PW74" s="673"/>
      <c r="PX74" s="673"/>
      <c r="PY74" s="673"/>
      <c r="PZ74" s="673"/>
      <c r="QA74" s="673"/>
      <c r="QB74" s="673"/>
      <c r="QC74" s="673"/>
      <c r="QD74" s="673"/>
      <c r="QE74" s="673"/>
      <c r="QF74" s="673"/>
      <c r="QG74" s="673"/>
      <c r="QH74" s="673"/>
      <c r="QI74" s="673"/>
      <c r="QJ74" s="673"/>
      <c r="QK74" s="673"/>
    </row>
    <row r="75" spans="1:453" s="558" customFormat="1">
      <c r="A75" s="680"/>
      <c r="B75" s="680"/>
      <c r="C75" s="2107" t="str">
        <f ca="1">TEXT(HYPERLINK("#"&amp;CELL("address",'Equipment Results Matrix'!A1143),'Equipment Results Matrix'!A1143),"0,000")</f>
        <v>HID Lamps</v>
      </c>
      <c r="D75" s="2107"/>
      <c r="E75" s="2107"/>
      <c r="F75" s="2107"/>
      <c r="G75" s="1305"/>
      <c r="H75" s="680"/>
      <c r="I75" s="680"/>
      <c r="J75" s="1525" t="str">
        <f ca="1">TEXT(HYPERLINK("#"&amp;CELL("address",'Labor Results Matrix'!A651),"Labor"),"0,000")</f>
        <v>Labor</v>
      </c>
      <c r="K75" s="1525"/>
      <c r="L75" s="2107" t="str">
        <f ca="1">TEXT(HYPERLINK("#"&amp;CELL("address",'Equipment + Labor'!A615),"Total installed cost"),"0,000")</f>
        <v>Total installed cost</v>
      </c>
      <c r="M75" s="2107"/>
      <c r="N75" s="2107"/>
      <c r="O75" s="673"/>
      <c r="P75" s="673"/>
      <c r="Q75" s="673"/>
      <c r="R75" s="673"/>
      <c r="S75" s="673"/>
      <c r="T75" s="673"/>
      <c r="U75" s="673"/>
      <c r="V75" s="673"/>
      <c r="W75" s="673"/>
      <c r="X75" s="673"/>
      <c r="Y75" s="673"/>
      <c r="Z75" s="673"/>
      <c r="AA75" s="673"/>
      <c r="AB75" s="673"/>
      <c r="AC75" s="673"/>
      <c r="AD75" s="673"/>
      <c r="AE75" s="673"/>
      <c r="AF75" s="673"/>
      <c r="AG75" s="673"/>
      <c r="AH75" s="673"/>
      <c r="AI75" s="673"/>
      <c r="AJ75" s="673"/>
      <c r="AK75" s="673"/>
      <c r="AL75" s="673"/>
      <c r="AM75" s="673"/>
      <c r="AN75" s="673"/>
      <c r="AO75" s="673"/>
      <c r="AP75" s="673"/>
      <c r="AQ75" s="673"/>
      <c r="AR75" s="673"/>
      <c r="AS75" s="673"/>
      <c r="AT75" s="673"/>
      <c r="AU75" s="673"/>
      <c r="AV75" s="673"/>
      <c r="AW75" s="673"/>
      <c r="AX75" s="673"/>
      <c r="AY75" s="673"/>
      <c r="AZ75" s="673"/>
      <c r="BA75" s="673"/>
      <c r="BB75" s="673"/>
      <c r="BC75" s="673"/>
      <c r="BD75" s="673"/>
      <c r="BE75" s="673"/>
      <c r="BF75" s="673"/>
      <c r="BG75" s="673"/>
      <c r="BH75" s="673"/>
      <c r="BI75" s="673"/>
      <c r="BJ75" s="673"/>
      <c r="BK75" s="673"/>
      <c r="BL75" s="673"/>
      <c r="BM75" s="673"/>
      <c r="BN75" s="673"/>
      <c r="BO75" s="673"/>
      <c r="BP75" s="673"/>
      <c r="BQ75" s="673"/>
      <c r="BR75" s="673"/>
      <c r="BS75" s="673"/>
      <c r="BT75" s="673"/>
      <c r="BU75" s="673"/>
      <c r="BV75" s="673"/>
      <c r="BW75" s="673"/>
      <c r="BX75" s="673"/>
      <c r="BY75" s="673"/>
      <c r="BZ75" s="673"/>
      <c r="CA75" s="673"/>
      <c r="CB75" s="673"/>
      <c r="CC75" s="673"/>
      <c r="CD75" s="673"/>
      <c r="CE75" s="673"/>
      <c r="CF75" s="673"/>
      <c r="CG75" s="673"/>
      <c r="CH75" s="673"/>
      <c r="CI75" s="673"/>
      <c r="CJ75" s="673"/>
      <c r="CK75" s="673"/>
      <c r="CL75" s="673"/>
      <c r="CM75" s="673"/>
      <c r="CN75" s="673"/>
      <c r="CO75" s="673"/>
      <c r="CP75" s="673"/>
      <c r="CQ75" s="673"/>
      <c r="CR75" s="673"/>
      <c r="CS75" s="673"/>
      <c r="CT75" s="673"/>
      <c r="CU75" s="673"/>
      <c r="CV75" s="673"/>
      <c r="CW75" s="673"/>
      <c r="CX75" s="673"/>
      <c r="CY75" s="673"/>
      <c r="CZ75" s="673"/>
      <c r="DA75" s="673"/>
      <c r="DB75" s="673"/>
      <c r="DC75" s="673"/>
      <c r="DD75" s="673"/>
      <c r="DE75" s="673"/>
      <c r="DF75" s="673"/>
      <c r="DG75" s="673"/>
      <c r="DH75" s="673"/>
      <c r="DI75" s="673"/>
      <c r="DJ75" s="673"/>
      <c r="DK75" s="673"/>
      <c r="DL75" s="673"/>
      <c r="DM75" s="673"/>
      <c r="DN75" s="673"/>
      <c r="DO75" s="673"/>
      <c r="DP75" s="673"/>
      <c r="DQ75" s="673"/>
      <c r="DR75" s="673"/>
      <c r="DS75" s="673"/>
      <c r="DT75" s="673"/>
      <c r="DU75" s="673"/>
      <c r="DV75" s="673"/>
      <c r="DW75" s="673"/>
      <c r="DX75" s="673"/>
      <c r="DY75" s="673"/>
      <c r="DZ75" s="673"/>
      <c r="EA75" s="673"/>
      <c r="EB75" s="673"/>
      <c r="EC75" s="673"/>
      <c r="ED75" s="673"/>
      <c r="EE75" s="673"/>
      <c r="EF75" s="673"/>
      <c r="EG75" s="673"/>
      <c r="EH75" s="673"/>
      <c r="EI75" s="673"/>
      <c r="EJ75" s="673"/>
      <c r="EK75" s="673"/>
      <c r="EL75" s="673"/>
      <c r="EM75" s="673"/>
      <c r="EN75" s="673"/>
      <c r="EO75" s="673"/>
      <c r="EP75" s="673"/>
      <c r="EQ75" s="673"/>
      <c r="ER75" s="673"/>
      <c r="ES75" s="673"/>
      <c r="ET75" s="673"/>
      <c r="EU75" s="673"/>
      <c r="EV75" s="673"/>
      <c r="EW75" s="673"/>
      <c r="EX75" s="673"/>
      <c r="EY75" s="673"/>
      <c r="EZ75" s="673"/>
      <c r="FA75" s="673"/>
      <c r="FB75" s="673"/>
      <c r="FC75" s="673"/>
      <c r="FD75" s="673"/>
      <c r="FE75" s="673"/>
      <c r="FF75" s="673"/>
      <c r="FG75" s="673"/>
      <c r="FH75" s="673"/>
      <c r="FI75" s="673"/>
      <c r="FJ75" s="673"/>
      <c r="FK75" s="673"/>
      <c r="FL75" s="673"/>
      <c r="FM75" s="673"/>
      <c r="FN75" s="673"/>
      <c r="FO75" s="673"/>
      <c r="FP75" s="673"/>
      <c r="FQ75" s="673"/>
      <c r="FR75" s="673"/>
      <c r="FS75" s="673"/>
      <c r="FT75" s="673"/>
      <c r="FU75" s="673"/>
      <c r="FV75" s="673"/>
      <c r="FW75" s="673"/>
      <c r="FX75" s="673"/>
      <c r="FY75" s="673"/>
      <c r="FZ75" s="673"/>
      <c r="GA75" s="673"/>
      <c r="GB75" s="673"/>
      <c r="GC75" s="673"/>
      <c r="GD75" s="673"/>
      <c r="GE75" s="673"/>
      <c r="GF75" s="673"/>
      <c r="GG75" s="673"/>
      <c r="GH75" s="673"/>
      <c r="GI75" s="673"/>
      <c r="GJ75" s="673"/>
      <c r="GK75" s="673"/>
      <c r="GL75" s="673"/>
      <c r="GM75" s="673"/>
      <c r="GN75" s="673"/>
      <c r="GO75" s="673"/>
      <c r="GP75" s="673"/>
      <c r="GQ75" s="673"/>
      <c r="GR75" s="673"/>
      <c r="GS75" s="673"/>
      <c r="GT75" s="673"/>
      <c r="GU75" s="673"/>
      <c r="GV75" s="673"/>
      <c r="GW75" s="673"/>
      <c r="GX75" s="673"/>
      <c r="GY75" s="673"/>
      <c r="GZ75" s="673"/>
      <c r="HA75" s="673"/>
      <c r="HB75" s="673"/>
      <c r="HC75" s="673"/>
      <c r="HD75" s="673"/>
      <c r="HE75" s="673"/>
      <c r="HF75" s="673"/>
      <c r="HG75" s="673"/>
      <c r="HH75" s="673"/>
      <c r="HI75" s="673"/>
      <c r="HJ75" s="673"/>
      <c r="HK75" s="673"/>
      <c r="HL75" s="673"/>
      <c r="HM75" s="673"/>
      <c r="HN75" s="673"/>
      <c r="HO75" s="673"/>
      <c r="HP75" s="673"/>
      <c r="HQ75" s="673"/>
      <c r="HR75" s="673"/>
      <c r="HS75" s="673"/>
      <c r="HT75" s="673"/>
      <c r="HU75" s="673"/>
      <c r="HV75" s="673"/>
      <c r="HW75" s="673"/>
      <c r="HX75" s="673"/>
      <c r="HY75" s="673"/>
      <c r="HZ75" s="673"/>
      <c r="IA75" s="673"/>
      <c r="IB75" s="673"/>
      <c r="IC75" s="673"/>
      <c r="ID75" s="673"/>
      <c r="IE75" s="673"/>
      <c r="IF75" s="673"/>
      <c r="IG75" s="673"/>
      <c r="IH75" s="673"/>
      <c r="II75" s="673"/>
      <c r="IJ75" s="673"/>
      <c r="IK75" s="673"/>
      <c r="IL75" s="673"/>
      <c r="IM75" s="673"/>
      <c r="IN75" s="673"/>
      <c r="IO75" s="673"/>
      <c r="IP75" s="673"/>
      <c r="IQ75" s="673"/>
      <c r="IR75" s="673"/>
      <c r="IS75" s="673"/>
      <c r="IT75" s="673"/>
      <c r="IU75" s="673"/>
      <c r="IV75" s="673"/>
      <c r="IW75" s="673"/>
      <c r="IX75" s="673"/>
      <c r="IY75" s="673"/>
      <c r="IZ75" s="673"/>
      <c r="JA75" s="673"/>
      <c r="JB75" s="673"/>
      <c r="JC75" s="673"/>
      <c r="JD75" s="673"/>
      <c r="JE75" s="673"/>
      <c r="JF75" s="673"/>
      <c r="JG75" s="673"/>
      <c r="JH75" s="673"/>
      <c r="JI75" s="673"/>
      <c r="JJ75" s="673"/>
      <c r="JK75" s="673"/>
      <c r="JL75" s="673"/>
      <c r="JM75" s="673"/>
      <c r="JN75" s="673"/>
      <c r="JO75" s="673"/>
      <c r="JP75" s="673"/>
      <c r="JQ75" s="673"/>
      <c r="JR75" s="673"/>
      <c r="JS75" s="673"/>
      <c r="JT75" s="673"/>
      <c r="JU75" s="673"/>
      <c r="JV75" s="673"/>
      <c r="JW75" s="673"/>
      <c r="JX75" s="673"/>
      <c r="JY75" s="673"/>
      <c r="JZ75" s="673"/>
      <c r="KA75" s="673"/>
      <c r="KB75" s="673"/>
      <c r="KC75" s="673"/>
      <c r="KD75" s="673"/>
      <c r="KE75" s="673"/>
      <c r="KF75" s="673"/>
      <c r="KG75" s="673"/>
      <c r="KH75" s="673"/>
      <c r="KI75" s="673"/>
      <c r="KJ75" s="673"/>
      <c r="KK75" s="673"/>
      <c r="KL75" s="673"/>
      <c r="KM75" s="673"/>
      <c r="KN75" s="673"/>
      <c r="KO75" s="673"/>
      <c r="KP75" s="673"/>
      <c r="KQ75" s="673"/>
      <c r="KR75" s="673"/>
      <c r="KS75" s="673"/>
      <c r="KT75" s="673"/>
      <c r="KU75" s="673"/>
      <c r="KV75" s="673"/>
      <c r="KW75" s="673"/>
      <c r="KX75" s="673"/>
      <c r="KY75" s="673"/>
      <c r="KZ75" s="673"/>
      <c r="LA75" s="673"/>
      <c r="LB75" s="673"/>
      <c r="LC75" s="673"/>
      <c r="LD75" s="673"/>
      <c r="LE75" s="673"/>
      <c r="LF75" s="673"/>
      <c r="LG75" s="673"/>
      <c r="LH75" s="673"/>
      <c r="LI75" s="673"/>
      <c r="LJ75" s="673"/>
      <c r="LK75" s="673"/>
      <c r="LL75" s="673"/>
      <c r="LM75" s="673"/>
      <c r="LN75" s="673"/>
      <c r="LO75" s="673"/>
      <c r="LP75" s="673"/>
      <c r="LQ75" s="673"/>
      <c r="LR75" s="673"/>
      <c r="LS75" s="673"/>
      <c r="LT75" s="673"/>
      <c r="LU75" s="673"/>
      <c r="LV75" s="673"/>
      <c r="LW75" s="673"/>
      <c r="LX75" s="673"/>
      <c r="LY75" s="673"/>
      <c r="LZ75" s="673"/>
      <c r="MA75" s="673"/>
      <c r="MB75" s="673"/>
      <c r="MC75" s="673"/>
      <c r="MD75" s="673"/>
      <c r="ME75" s="673"/>
      <c r="MF75" s="673"/>
      <c r="MG75" s="673"/>
      <c r="MH75" s="673"/>
      <c r="MI75" s="673"/>
      <c r="MJ75" s="673"/>
      <c r="MK75" s="673"/>
      <c r="ML75" s="673"/>
      <c r="MM75" s="673"/>
      <c r="MN75" s="673"/>
      <c r="MO75" s="673"/>
      <c r="MP75" s="673"/>
      <c r="MQ75" s="673"/>
      <c r="MR75" s="673"/>
      <c r="MS75" s="673"/>
      <c r="MT75" s="673"/>
      <c r="MU75" s="673"/>
      <c r="MV75" s="673"/>
      <c r="MW75" s="673"/>
      <c r="MX75" s="673"/>
      <c r="MY75" s="673"/>
      <c r="MZ75" s="673"/>
      <c r="NA75" s="673"/>
      <c r="NB75" s="673"/>
      <c r="NC75" s="673"/>
      <c r="ND75" s="673"/>
      <c r="NE75" s="673"/>
      <c r="NF75" s="673"/>
      <c r="NG75" s="673"/>
      <c r="NH75" s="673"/>
      <c r="NI75" s="673"/>
      <c r="NJ75" s="673"/>
      <c r="NK75" s="673"/>
      <c r="NL75" s="673"/>
      <c r="NM75" s="673"/>
      <c r="NN75" s="673"/>
      <c r="NO75" s="673"/>
      <c r="NP75" s="673"/>
      <c r="NQ75" s="673"/>
      <c r="NR75" s="673"/>
      <c r="NS75" s="673"/>
      <c r="NT75" s="673"/>
      <c r="NU75" s="673"/>
      <c r="NV75" s="673"/>
      <c r="NW75" s="673"/>
      <c r="NX75" s="673"/>
      <c r="NY75" s="673"/>
      <c r="NZ75" s="673"/>
      <c r="OA75" s="673"/>
      <c r="OB75" s="673"/>
      <c r="OC75" s="673"/>
      <c r="OD75" s="673"/>
      <c r="OE75" s="673"/>
      <c r="OF75" s="673"/>
      <c r="OG75" s="673"/>
      <c r="OH75" s="673"/>
      <c r="OI75" s="673"/>
      <c r="OJ75" s="673"/>
      <c r="OK75" s="673"/>
      <c r="OL75" s="673"/>
      <c r="OM75" s="673"/>
      <c r="ON75" s="673"/>
      <c r="OO75" s="673"/>
      <c r="OP75" s="673"/>
      <c r="OQ75" s="673"/>
      <c r="OR75" s="673"/>
      <c r="OS75" s="673"/>
      <c r="OT75" s="673"/>
      <c r="OU75" s="673"/>
      <c r="OV75" s="673"/>
      <c r="OW75" s="673"/>
      <c r="OX75" s="673"/>
      <c r="OY75" s="673"/>
      <c r="OZ75" s="673"/>
      <c r="PA75" s="673"/>
      <c r="PB75" s="673"/>
      <c r="PC75" s="673"/>
      <c r="PD75" s="673"/>
      <c r="PE75" s="673"/>
      <c r="PF75" s="673"/>
      <c r="PG75" s="673"/>
      <c r="PH75" s="673"/>
      <c r="PI75" s="673"/>
      <c r="PJ75" s="673"/>
      <c r="PK75" s="673"/>
      <c r="PL75" s="673"/>
      <c r="PM75" s="673"/>
      <c r="PN75" s="673"/>
      <c r="PO75" s="673"/>
      <c r="PP75" s="673"/>
      <c r="PQ75" s="673"/>
      <c r="PR75" s="673"/>
      <c r="PS75" s="673"/>
      <c r="PT75" s="673"/>
      <c r="PU75" s="673"/>
      <c r="PV75" s="673"/>
      <c r="PW75" s="673"/>
      <c r="PX75" s="673"/>
      <c r="PY75" s="673"/>
      <c r="PZ75" s="673"/>
      <c r="QA75" s="673"/>
      <c r="QB75" s="673"/>
      <c r="QC75" s="673"/>
      <c r="QD75" s="673"/>
      <c r="QE75" s="673"/>
      <c r="QF75" s="673"/>
      <c r="QG75" s="673"/>
      <c r="QH75" s="673"/>
      <c r="QI75" s="673"/>
      <c r="QJ75" s="673"/>
      <c r="QK75" s="673"/>
    </row>
    <row r="76" spans="1:453" s="558" customFormat="1">
      <c r="A76" s="680"/>
      <c r="B76" s="680"/>
      <c r="C76" s="2107" t="str">
        <f ca="1">TEXT(HYPERLINK("#"&amp;CELL("address",'Equipment Results Matrix'!A1161),'Equipment Results Matrix'!A1161),"0,000")</f>
        <v>Linear Fluorescent T8 
(48")</v>
      </c>
      <c r="D76" s="2107"/>
      <c r="E76" s="2107"/>
      <c r="F76" s="2107"/>
      <c r="G76" s="1305"/>
      <c r="H76" s="680"/>
      <c r="I76" s="680"/>
      <c r="J76" s="1525" t="str">
        <f ca="1">TEXT(HYPERLINK("#"&amp;CELL("address",'Labor Results Matrix'!A669),"Labor"),"0,000")</f>
        <v>Labor</v>
      </c>
      <c r="K76" s="1525"/>
      <c r="L76" s="2107" t="str">
        <f ca="1">TEXT(HYPERLINK("#"&amp;CELL("address",'Equipment + Labor'!A709),"Total installed cost"),"0,000")</f>
        <v>Total installed cost</v>
      </c>
      <c r="M76" s="2107"/>
      <c r="N76" s="2107"/>
      <c r="O76" s="673"/>
      <c r="P76" s="673"/>
      <c r="Q76" s="673"/>
      <c r="R76" s="673"/>
      <c r="S76" s="673"/>
      <c r="T76" s="673"/>
      <c r="U76" s="673"/>
      <c r="V76" s="673"/>
      <c r="W76" s="673"/>
      <c r="X76" s="673"/>
      <c r="Y76" s="673"/>
      <c r="Z76" s="673"/>
      <c r="AA76" s="673"/>
      <c r="AB76" s="673"/>
      <c r="AC76" s="673"/>
      <c r="AD76" s="673"/>
      <c r="AE76" s="673"/>
      <c r="AF76" s="673"/>
      <c r="AG76" s="673"/>
      <c r="AH76" s="673"/>
      <c r="AI76" s="673"/>
      <c r="AJ76" s="673"/>
      <c r="AK76" s="673"/>
      <c r="AL76" s="673"/>
      <c r="AM76" s="673"/>
      <c r="AN76" s="673"/>
      <c r="AO76" s="673"/>
      <c r="AP76" s="673"/>
      <c r="AQ76" s="673"/>
      <c r="AR76" s="673"/>
      <c r="AS76" s="673"/>
      <c r="AT76" s="673"/>
      <c r="AU76" s="673"/>
      <c r="AV76" s="673"/>
      <c r="AW76" s="673"/>
      <c r="AX76" s="673"/>
      <c r="AY76" s="673"/>
      <c r="AZ76" s="673"/>
      <c r="BA76" s="673"/>
      <c r="BB76" s="673"/>
      <c r="BC76" s="673"/>
      <c r="BD76" s="673"/>
      <c r="BE76" s="673"/>
      <c r="BF76" s="673"/>
      <c r="BG76" s="673"/>
      <c r="BH76" s="673"/>
      <c r="BI76" s="673"/>
      <c r="BJ76" s="673"/>
      <c r="BK76" s="673"/>
      <c r="BL76" s="673"/>
      <c r="BM76" s="673"/>
      <c r="BN76" s="673"/>
      <c r="BO76" s="673"/>
      <c r="BP76" s="673"/>
      <c r="BQ76" s="673"/>
      <c r="BR76" s="673"/>
      <c r="BS76" s="673"/>
      <c r="BT76" s="673"/>
      <c r="BU76" s="673"/>
      <c r="BV76" s="673"/>
      <c r="BW76" s="673"/>
      <c r="BX76" s="673"/>
      <c r="BY76" s="673"/>
      <c r="BZ76" s="673"/>
      <c r="CA76" s="673"/>
      <c r="CB76" s="673"/>
      <c r="CC76" s="673"/>
      <c r="CD76" s="673"/>
      <c r="CE76" s="673"/>
      <c r="CF76" s="673"/>
      <c r="CG76" s="673"/>
      <c r="CH76" s="673"/>
      <c r="CI76" s="673"/>
      <c r="CJ76" s="673"/>
      <c r="CK76" s="673"/>
      <c r="CL76" s="673"/>
      <c r="CM76" s="673"/>
      <c r="CN76" s="673"/>
      <c r="CO76" s="673"/>
      <c r="CP76" s="673"/>
      <c r="CQ76" s="673"/>
      <c r="CR76" s="673"/>
      <c r="CS76" s="673"/>
      <c r="CT76" s="673"/>
      <c r="CU76" s="673"/>
      <c r="CV76" s="673"/>
      <c r="CW76" s="673"/>
      <c r="CX76" s="673"/>
      <c r="CY76" s="673"/>
      <c r="CZ76" s="673"/>
      <c r="DA76" s="673"/>
      <c r="DB76" s="673"/>
      <c r="DC76" s="673"/>
      <c r="DD76" s="673"/>
      <c r="DE76" s="673"/>
      <c r="DF76" s="673"/>
      <c r="DG76" s="673"/>
      <c r="DH76" s="673"/>
      <c r="DI76" s="673"/>
      <c r="DJ76" s="673"/>
      <c r="DK76" s="673"/>
      <c r="DL76" s="673"/>
      <c r="DM76" s="673"/>
      <c r="DN76" s="673"/>
      <c r="DO76" s="673"/>
      <c r="DP76" s="673"/>
      <c r="DQ76" s="673"/>
      <c r="DR76" s="673"/>
      <c r="DS76" s="673"/>
      <c r="DT76" s="673"/>
      <c r="DU76" s="673"/>
      <c r="DV76" s="673"/>
      <c r="DW76" s="673"/>
      <c r="DX76" s="673"/>
      <c r="DY76" s="673"/>
      <c r="DZ76" s="673"/>
      <c r="EA76" s="673"/>
      <c r="EB76" s="673"/>
      <c r="EC76" s="673"/>
      <c r="ED76" s="673"/>
      <c r="EE76" s="673"/>
      <c r="EF76" s="673"/>
      <c r="EG76" s="673"/>
      <c r="EH76" s="673"/>
      <c r="EI76" s="673"/>
      <c r="EJ76" s="673"/>
      <c r="EK76" s="673"/>
      <c r="EL76" s="673"/>
      <c r="EM76" s="673"/>
      <c r="EN76" s="673"/>
      <c r="EO76" s="673"/>
      <c r="EP76" s="673"/>
      <c r="EQ76" s="673"/>
      <c r="ER76" s="673"/>
      <c r="ES76" s="673"/>
      <c r="ET76" s="673"/>
      <c r="EU76" s="673"/>
      <c r="EV76" s="673"/>
      <c r="EW76" s="673"/>
      <c r="EX76" s="673"/>
      <c r="EY76" s="673"/>
      <c r="EZ76" s="673"/>
      <c r="FA76" s="673"/>
      <c r="FB76" s="673"/>
      <c r="FC76" s="673"/>
      <c r="FD76" s="673"/>
      <c r="FE76" s="673"/>
      <c r="FF76" s="673"/>
      <c r="FG76" s="673"/>
      <c r="FH76" s="673"/>
      <c r="FI76" s="673"/>
      <c r="FJ76" s="673"/>
      <c r="FK76" s="673"/>
      <c r="FL76" s="673"/>
      <c r="FM76" s="673"/>
      <c r="FN76" s="673"/>
      <c r="FO76" s="673"/>
      <c r="FP76" s="673"/>
      <c r="FQ76" s="673"/>
      <c r="FR76" s="673"/>
      <c r="FS76" s="673"/>
      <c r="FT76" s="673"/>
      <c r="FU76" s="673"/>
      <c r="FV76" s="673"/>
      <c r="FW76" s="673"/>
      <c r="FX76" s="673"/>
      <c r="FY76" s="673"/>
      <c r="FZ76" s="673"/>
      <c r="GA76" s="673"/>
      <c r="GB76" s="673"/>
      <c r="GC76" s="673"/>
      <c r="GD76" s="673"/>
      <c r="GE76" s="673"/>
      <c r="GF76" s="673"/>
      <c r="GG76" s="673"/>
      <c r="GH76" s="673"/>
      <c r="GI76" s="673"/>
      <c r="GJ76" s="673"/>
      <c r="GK76" s="673"/>
      <c r="GL76" s="673"/>
      <c r="GM76" s="673"/>
      <c r="GN76" s="673"/>
      <c r="GO76" s="673"/>
      <c r="GP76" s="673"/>
      <c r="GQ76" s="673"/>
      <c r="GR76" s="673"/>
      <c r="GS76" s="673"/>
      <c r="GT76" s="673"/>
      <c r="GU76" s="673"/>
      <c r="GV76" s="673"/>
      <c r="GW76" s="673"/>
      <c r="GX76" s="673"/>
      <c r="GY76" s="673"/>
      <c r="GZ76" s="673"/>
      <c r="HA76" s="673"/>
      <c r="HB76" s="673"/>
      <c r="HC76" s="673"/>
      <c r="HD76" s="673"/>
      <c r="HE76" s="673"/>
      <c r="HF76" s="673"/>
      <c r="HG76" s="673"/>
      <c r="HH76" s="673"/>
      <c r="HI76" s="673"/>
      <c r="HJ76" s="673"/>
      <c r="HK76" s="673"/>
      <c r="HL76" s="673"/>
      <c r="HM76" s="673"/>
      <c r="HN76" s="673"/>
      <c r="HO76" s="673"/>
      <c r="HP76" s="673"/>
      <c r="HQ76" s="673"/>
      <c r="HR76" s="673"/>
      <c r="HS76" s="673"/>
      <c r="HT76" s="673"/>
      <c r="HU76" s="673"/>
      <c r="HV76" s="673"/>
      <c r="HW76" s="673"/>
      <c r="HX76" s="673"/>
      <c r="HY76" s="673"/>
      <c r="HZ76" s="673"/>
      <c r="IA76" s="673"/>
      <c r="IB76" s="673"/>
      <c r="IC76" s="673"/>
      <c r="ID76" s="673"/>
      <c r="IE76" s="673"/>
      <c r="IF76" s="673"/>
      <c r="IG76" s="673"/>
      <c r="IH76" s="673"/>
      <c r="II76" s="673"/>
      <c r="IJ76" s="673"/>
      <c r="IK76" s="673"/>
      <c r="IL76" s="673"/>
      <c r="IM76" s="673"/>
      <c r="IN76" s="673"/>
      <c r="IO76" s="673"/>
      <c r="IP76" s="673"/>
      <c r="IQ76" s="673"/>
      <c r="IR76" s="673"/>
      <c r="IS76" s="673"/>
      <c r="IT76" s="673"/>
      <c r="IU76" s="673"/>
      <c r="IV76" s="673"/>
      <c r="IW76" s="673"/>
      <c r="IX76" s="673"/>
      <c r="IY76" s="673"/>
      <c r="IZ76" s="673"/>
      <c r="JA76" s="673"/>
      <c r="JB76" s="673"/>
      <c r="JC76" s="673"/>
      <c r="JD76" s="673"/>
      <c r="JE76" s="673"/>
      <c r="JF76" s="673"/>
      <c r="JG76" s="673"/>
      <c r="JH76" s="673"/>
      <c r="JI76" s="673"/>
      <c r="JJ76" s="673"/>
      <c r="JK76" s="673"/>
      <c r="JL76" s="673"/>
      <c r="JM76" s="673"/>
      <c r="JN76" s="673"/>
      <c r="JO76" s="673"/>
      <c r="JP76" s="673"/>
      <c r="JQ76" s="673"/>
      <c r="JR76" s="673"/>
      <c r="JS76" s="673"/>
      <c r="JT76" s="673"/>
      <c r="JU76" s="673"/>
      <c r="JV76" s="673"/>
      <c r="JW76" s="673"/>
      <c r="JX76" s="673"/>
      <c r="JY76" s="673"/>
      <c r="JZ76" s="673"/>
      <c r="KA76" s="673"/>
      <c r="KB76" s="673"/>
      <c r="KC76" s="673"/>
      <c r="KD76" s="673"/>
      <c r="KE76" s="673"/>
      <c r="KF76" s="673"/>
      <c r="KG76" s="673"/>
      <c r="KH76" s="673"/>
      <c r="KI76" s="673"/>
      <c r="KJ76" s="673"/>
      <c r="KK76" s="673"/>
      <c r="KL76" s="673"/>
      <c r="KM76" s="673"/>
      <c r="KN76" s="673"/>
      <c r="KO76" s="673"/>
      <c r="KP76" s="673"/>
      <c r="KQ76" s="673"/>
      <c r="KR76" s="673"/>
      <c r="KS76" s="673"/>
      <c r="KT76" s="673"/>
      <c r="KU76" s="673"/>
      <c r="KV76" s="673"/>
      <c r="KW76" s="673"/>
      <c r="KX76" s="673"/>
      <c r="KY76" s="673"/>
      <c r="KZ76" s="673"/>
      <c r="LA76" s="673"/>
      <c r="LB76" s="673"/>
      <c r="LC76" s="673"/>
      <c r="LD76" s="673"/>
      <c r="LE76" s="673"/>
      <c r="LF76" s="673"/>
      <c r="LG76" s="673"/>
      <c r="LH76" s="673"/>
      <c r="LI76" s="673"/>
      <c r="LJ76" s="673"/>
      <c r="LK76" s="673"/>
      <c r="LL76" s="673"/>
      <c r="LM76" s="673"/>
      <c r="LN76" s="673"/>
      <c r="LO76" s="673"/>
      <c r="LP76" s="673"/>
      <c r="LQ76" s="673"/>
      <c r="LR76" s="673"/>
      <c r="LS76" s="673"/>
      <c r="LT76" s="673"/>
      <c r="LU76" s="673"/>
      <c r="LV76" s="673"/>
      <c r="LW76" s="673"/>
      <c r="LX76" s="673"/>
      <c r="LY76" s="673"/>
      <c r="LZ76" s="673"/>
      <c r="MA76" s="673"/>
      <c r="MB76" s="673"/>
      <c r="MC76" s="673"/>
      <c r="MD76" s="673"/>
      <c r="ME76" s="673"/>
      <c r="MF76" s="673"/>
      <c r="MG76" s="673"/>
      <c r="MH76" s="673"/>
      <c r="MI76" s="673"/>
      <c r="MJ76" s="673"/>
      <c r="MK76" s="673"/>
      <c r="ML76" s="673"/>
      <c r="MM76" s="673"/>
      <c r="MN76" s="673"/>
      <c r="MO76" s="673"/>
      <c r="MP76" s="673"/>
      <c r="MQ76" s="673"/>
      <c r="MR76" s="673"/>
      <c r="MS76" s="673"/>
      <c r="MT76" s="673"/>
      <c r="MU76" s="673"/>
      <c r="MV76" s="673"/>
      <c r="MW76" s="673"/>
      <c r="MX76" s="673"/>
      <c r="MY76" s="673"/>
      <c r="MZ76" s="673"/>
      <c r="NA76" s="673"/>
      <c r="NB76" s="673"/>
      <c r="NC76" s="673"/>
      <c r="ND76" s="673"/>
      <c r="NE76" s="673"/>
      <c r="NF76" s="673"/>
      <c r="NG76" s="673"/>
      <c r="NH76" s="673"/>
      <c r="NI76" s="673"/>
      <c r="NJ76" s="673"/>
      <c r="NK76" s="673"/>
      <c r="NL76" s="673"/>
      <c r="NM76" s="673"/>
      <c r="NN76" s="673"/>
      <c r="NO76" s="673"/>
      <c r="NP76" s="673"/>
      <c r="NQ76" s="673"/>
      <c r="NR76" s="673"/>
      <c r="NS76" s="673"/>
      <c r="NT76" s="673"/>
      <c r="NU76" s="673"/>
      <c r="NV76" s="673"/>
      <c r="NW76" s="673"/>
      <c r="NX76" s="673"/>
      <c r="NY76" s="673"/>
      <c r="NZ76" s="673"/>
      <c r="OA76" s="673"/>
      <c r="OB76" s="673"/>
      <c r="OC76" s="673"/>
      <c r="OD76" s="673"/>
      <c r="OE76" s="673"/>
      <c r="OF76" s="673"/>
      <c r="OG76" s="673"/>
      <c r="OH76" s="673"/>
      <c r="OI76" s="673"/>
      <c r="OJ76" s="673"/>
      <c r="OK76" s="673"/>
      <c r="OL76" s="673"/>
      <c r="OM76" s="673"/>
      <c r="ON76" s="673"/>
      <c r="OO76" s="673"/>
      <c r="OP76" s="673"/>
      <c r="OQ76" s="673"/>
      <c r="OR76" s="673"/>
      <c r="OS76" s="673"/>
      <c r="OT76" s="673"/>
      <c r="OU76" s="673"/>
      <c r="OV76" s="673"/>
      <c r="OW76" s="673"/>
      <c r="OX76" s="673"/>
      <c r="OY76" s="673"/>
      <c r="OZ76" s="673"/>
      <c r="PA76" s="673"/>
      <c r="PB76" s="673"/>
      <c r="PC76" s="673"/>
      <c r="PD76" s="673"/>
      <c r="PE76" s="673"/>
      <c r="PF76" s="673"/>
      <c r="PG76" s="673"/>
      <c r="PH76" s="673"/>
      <c r="PI76" s="673"/>
      <c r="PJ76" s="673"/>
      <c r="PK76" s="673"/>
      <c r="PL76" s="673"/>
      <c r="PM76" s="673"/>
      <c r="PN76" s="673"/>
      <c r="PO76" s="673"/>
      <c r="PP76" s="673"/>
      <c r="PQ76" s="673"/>
      <c r="PR76" s="673"/>
      <c r="PS76" s="673"/>
      <c r="PT76" s="673"/>
      <c r="PU76" s="673"/>
      <c r="PV76" s="673"/>
      <c r="PW76" s="673"/>
      <c r="PX76" s="673"/>
      <c r="PY76" s="673"/>
      <c r="PZ76" s="673"/>
      <c r="QA76" s="673"/>
      <c r="QB76" s="673"/>
      <c r="QC76" s="673"/>
      <c r="QD76" s="673"/>
      <c r="QE76" s="673"/>
      <c r="QF76" s="673"/>
      <c r="QG76" s="673"/>
      <c r="QH76" s="673"/>
      <c r="QI76" s="673"/>
      <c r="QJ76" s="673"/>
      <c r="QK76" s="673"/>
    </row>
    <row r="77" spans="1:453" s="558" customFormat="1">
      <c r="A77" s="680"/>
      <c r="B77" s="680"/>
      <c r="C77" s="2107" t="str">
        <f ca="1">TEXT(HYPERLINK("#"&amp;CELL("address",'Equipment Results Matrix'!A1172),'Equipment Results Matrix'!A1172),"0,000")</f>
        <v xml:space="preserve">Linear Fluorescent T8 
(24" &amp; 36")     </v>
      </c>
      <c r="D77" s="2107"/>
      <c r="E77" s="2107"/>
      <c r="F77" s="2107"/>
      <c r="G77" s="1305"/>
      <c r="H77" s="680"/>
      <c r="I77" s="680"/>
      <c r="J77" s="1525" t="str">
        <f ca="1">TEXT(HYPERLINK("#"&amp;CELL("address",'Labor Results Matrix'!A680),"Labor"),"0,000")</f>
        <v>Labor</v>
      </c>
      <c r="K77" s="1525"/>
      <c r="L77" s="2107" t="str">
        <f ca="1">TEXT(HYPERLINK("#"&amp;CELL("address",'Equipment + Labor'!A709),"Total installed cost"),"0,000")</f>
        <v>Total installed cost</v>
      </c>
      <c r="M77" s="2107"/>
      <c r="N77" s="2107"/>
      <c r="O77" s="673"/>
      <c r="P77" s="673"/>
      <c r="Q77" s="673"/>
      <c r="R77" s="673"/>
      <c r="S77" s="673"/>
      <c r="T77" s="673"/>
      <c r="U77" s="673"/>
      <c r="V77" s="673"/>
      <c r="W77" s="673"/>
      <c r="X77" s="673"/>
      <c r="Y77" s="673"/>
      <c r="Z77" s="673"/>
      <c r="AA77" s="673"/>
      <c r="AB77" s="673"/>
      <c r="AC77" s="673"/>
      <c r="AD77" s="673"/>
      <c r="AE77" s="673"/>
      <c r="AF77" s="673"/>
      <c r="AG77" s="673"/>
      <c r="AH77" s="673"/>
      <c r="AI77" s="673"/>
      <c r="AJ77" s="673"/>
      <c r="AK77" s="673"/>
      <c r="AL77" s="673"/>
      <c r="AM77" s="673"/>
      <c r="AN77" s="673"/>
      <c r="AO77" s="673"/>
      <c r="AP77" s="673"/>
      <c r="AQ77" s="673"/>
      <c r="AR77" s="673"/>
      <c r="AS77" s="673"/>
      <c r="AT77" s="673"/>
      <c r="AU77" s="673"/>
      <c r="AV77" s="673"/>
      <c r="AW77" s="673"/>
      <c r="AX77" s="673"/>
      <c r="AY77" s="673"/>
      <c r="AZ77" s="673"/>
      <c r="BA77" s="673"/>
      <c r="BB77" s="673"/>
      <c r="BC77" s="673"/>
      <c r="BD77" s="673"/>
      <c r="BE77" s="673"/>
      <c r="BF77" s="673"/>
      <c r="BG77" s="673"/>
      <c r="BH77" s="673"/>
      <c r="BI77" s="673"/>
      <c r="BJ77" s="673"/>
      <c r="BK77" s="673"/>
      <c r="BL77" s="673"/>
      <c r="BM77" s="673"/>
      <c r="BN77" s="673"/>
      <c r="BO77" s="673"/>
      <c r="BP77" s="673"/>
      <c r="BQ77" s="673"/>
      <c r="BR77" s="673"/>
      <c r="BS77" s="673"/>
      <c r="BT77" s="673"/>
      <c r="BU77" s="673"/>
      <c r="BV77" s="673"/>
      <c r="BW77" s="673"/>
      <c r="BX77" s="673"/>
      <c r="BY77" s="673"/>
      <c r="BZ77" s="673"/>
      <c r="CA77" s="673"/>
      <c r="CB77" s="673"/>
      <c r="CC77" s="673"/>
      <c r="CD77" s="673"/>
      <c r="CE77" s="673"/>
      <c r="CF77" s="673"/>
      <c r="CG77" s="673"/>
      <c r="CH77" s="673"/>
      <c r="CI77" s="673"/>
      <c r="CJ77" s="673"/>
      <c r="CK77" s="673"/>
      <c r="CL77" s="673"/>
      <c r="CM77" s="673"/>
      <c r="CN77" s="673"/>
      <c r="CO77" s="673"/>
      <c r="CP77" s="673"/>
      <c r="CQ77" s="673"/>
      <c r="CR77" s="673"/>
      <c r="CS77" s="673"/>
      <c r="CT77" s="673"/>
      <c r="CU77" s="673"/>
      <c r="CV77" s="673"/>
      <c r="CW77" s="673"/>
      <c r="CX77" s="673"/>
      <c r="CY77" s="673"/>
      <c r="CZ77" s="673"/>
      <c r="DA77" s="673"/>
      <c r="DB77" s="673"/>
      <c r="DC77" s="673"/>
      <c r="DD77" s="673"/>
      <c r="DE77" s="673"/>
      <c r="DF77" s="673"/>
      <c r="DG77" s="673"/>
      <c r="DH77" s="673"/>
      <c r="DI77" s="673"/>
      <c r="DJ77" s="673"/>
      <c r="DK77" s="673"/>
      <c r="DL77" s="673"/>
      <c r="DM77" s="673"/>
      <c r="DN77" s="673"/>
      <c r="DO77" s="673"/>
      <c r="DP77" s="673"/>
      <c r="DQ77" s="673"/>
      <c r="DR77" s="673"/>
      <c r="DS77" s="673"/>
      <c r="DT77" s="673"/>
      <c r="DU77" s="673"/>
      <c r="DV77" s="673"/>
      <c r="DW77" s="673"/>
      <c r="DX77" s="673"/>
      <c r="DY77" s="673"/>
      <c r="DZ77" s="673"/>
      <c r="EA77" s="673"/>
      <c r="EB77" s="673"/>
      <c r="EC77" s="673"/>
      <c r="ED77" s="673"/>
      <c r="EE77" s="673"/>
      <c r="EF77" s="673"/>
      <c r="EG77" s="673"/>
      <c r="EH77" s="673"/>
      <c r="EI77" s="673"/>
      <c r="EJ77" s="673"/>
      <c r="EK77" s="673"/>
      <c r="EL77" s="673"/>
      <c r="EM77" s="673"/>
      <c r="EN77" s="673"/>
      <c r="EO77" s="673"/>
      <c r="EP77" s="673"/>
      <c r="EQ77" s="673"/>
      <c r="ER77" s="673"/>
      <c r="ES77" s="673"/>
      <c r="ET77" s="673"/>
      <c r="EU77" s="673"/>
      <c r="EV77" s="673"/>
      <c r="EW77" s="673"/>
      <c r="EX77" s="673"/>
      <c r="EY77" s="673"/>
      <c r="EZ77" s="673"/>
      <c r="FA77" s="673"/>
      <c r="FB77" s="673"/>
      <c r="FC77" s="673"/>
      <c r="FD77" s="673"/>
      <c r="FE77" s="673"/>
      <c r="FF77" s="673"/>
      <c r="FG77" s="673"/>
      <c r="FH77" s="673"/>
      <c r="FI77" s="673"/>
      <c r="FJ77" s="673"/>
      <c r="FK77" s="673"/>
      <c r="FL77" s="673"/>
      <c r="FM77" s="673"/>
      <c r="FN77" s="673"/>
      <c r="FO77" s="673"/>
      <c r="FP77" s="673"/>
      <c r="FQ77" s="673"/>
      <c r="FR77" s="673"/>
      <c r="FS77" s="673"/>
      <c r="FT77" s="673"/>
      <c r="FU77" s="673"/>
      <c r="FV77" s="673"/>
      <c r="FW77" s="673"/>
      <c r="FX77" s="673"/>
      <c r="FY77" s="673"/>
      <c r="FZ77" s="673"/>
      <c r="GA77" s="673"/>
      <c r="GB77" s="673"/>
      <c r="GC77" s="673"/>
      <c r="GD77" s="673"/>
      <c r="GE77" s="673"/>
      <c r="GF77" s="673"/>
      <c r="GG77" s="673"/>
      <c r="GH77" s="673"/>
      <c r="GI77" s="673"/>
      <c r="GJ77" s="673"/>
      <c r="GK77" s="673"/>
      <c r="GL77" s="673"/>
      <c r="GM77" s="673"/>
      <c r="GN77" s="673"/>
      <c r="GO77" s="673"/>
      <c r="GP77" s="673"/>
      <c r="GQ77" s="673"/>
      <c r="GR77" s="673"/>
      <c r="GS77" s="673"/>
      <c r="GT77" s="673"/>
      <c r="GU77" s="673"/>
      <c r="GV77" s="673"/>
      <c r="GW77" s="673"/>
      <c r="GX77" s="673"/>
      <c r="GY77" s="673"/>
      <c r="GZ77" s="673"/>
      <c r="HA77" s="673"/>
      <c r="HB77" s="673"/>
      <c r="HC77" s="673"/>
      <c r="HD77" s="673"/>
      <c r="HE77" s="673"/>
      <c r="HF77" s="673"/>
      <c r="HG77" s="673"/>
      <c r="HH77" s="673"/>
      <c r="HI77" s="673"/>
      <c r="HJ77" s="673"/>
      <c r="HK77" s="673"/>
      <c r="HL77" s="673"/>
      <c r="HM77" s="673"/>
      <c r="HN77" s="673"/>
      <c r="HO77" s="673"/>
      <c r="HP77" s="673"/>
      <c r="HQ77" s="673"/>
      <c r="HR77" s="673"/>
      <c r="HS77" s="673"/>
      <c r="HT77" s="673"/>
      <c r="HU77" s="673"/>
      <c r="HV77" s="673"/>
      <c r="HW77" s="673"/>
      <c r="HX77" s="673"/>
      <c r="HY77" s="673"/>
      <c r="HZ77" s="673"/>
      <c r="IA77" s="673"/>
      <c r="IB77" s="673"/>
      <c r="IC77" s="673"/>
      <c r="ID77" s="673"/>
      <c r="IE77" s="673"/>
      <c r="IF77" s="673"/>
      <c r="IG77" s="673"/>
      <c r="IH77" s="673"/>
      <c r="II77" s="673"/>
      <c r="IJ77" s="673"/>
      <c r="IK77" s="673"/>
      <c r="IL77" s="673"/>
      <c r="IM77" s="673"/>
      <c r="IN77" s="673"/>
      <c r="IO77" s="673"/>
      <c r="IP77" s="673"/>
      <c r="IQ77" s="673"/>
      <c r="IR77" s="673"/>
      <c r="IS77" s="673"/>
      <c r="IT77" s="673"/>
      <c r="IU77" s="673"/>
      <c r="IV77" s="673"/>
      <c r="IW77" s="673"/>
      <c r="IX77" s="673"/>
      <c r="IY77" s="673"/>
      <c r="IZ77" s="673"/>
      <c r="JA77" s="673"/>
      <c r="JB77" s="673"/>
      <c r="JC77" s="673"/>
      <c r="JD77" s="673"/>
      <c r="JE77" s="673"/>
      <c r="JF77" s="673"/>
      <c r="JG77" s="673"/>
      <c r="JH77" s="673"/>
      <c r="JI77" s="673"/>
      <c r="JJ77" s="673"/>
      <c r="JK77" s="673"/>
      <c r="JL77" s="673"/>
      <c r="JM77" s="673"/>
      <c r="JN77" s="673"/>
      <c r="JO77" s="673"/>
      <c r="JP77" s="673"/>
      <c r="JQ77" s="673"/>
      <c r="JR77" s="673"/>
      <c r="JS77" s="673"/>
      <c r="JT77" s="673"/>
      <c r="JU77" s="673"/>
      <c r="JV77" s="673"/>
      <c r="JW77" s="673"/>
      <c r="JX77" s="673"/>
      <c r="JY77" s="673"/>
      <c r="JZ77" s="673"/>
      <c r="KA77" s="673"/>
      <c r="KB77" s="673"/>
      <c r="KC77" s="673"/>
      <c r="KD77" s="673"/>
      <c r="KE77" s="673"/>
      <c r="KF77" s="673"/>
      <c r="KG77" s="673"/>
      <c r="KH77" s="673"/>
      <c r="KI77" s="673"/>
      <c r="KJ77" s="673"/>
      <c r="KK77" s="673"/>
      <c r="KL77" s="673"/>
      <c r="KM77" s="673"/>
      <c r="KN77" s="673"/>
      <c r="KO77" s="673"/>
      <c r="KP77" s="673"/>
      <c r="KQ77" s="673"/>
      <c r="KR77" s="673"/>
      <c r="KS77" s="673"/>
      <c r="KT77" s="673"/>
      <c r="KU77" s="673"/>
      <c r="KV77" s="673"/>
      <c r="KW77" s="673"/>
      <c r="KX77" s="673"/>
      <c r="KY77" s="673"/>
      <c r="KZ77" s="673"/>
      <c r="LA77" s="673"/>
      <c r="LB77" s="673"/>
      <c r="LC77" s="673"/>
      <c r="LD77" s="673"/>
      <c r="LE77" s="673"/>
      <c r="LF77" s="673"/>
      <c r="LG77" s="673"/>
      <c r="LH77" s="673"/>
      <c r="LI77" s="673"/>
      <c r="LJ77" s="673"/>
      <c r="LK77" s="673"/>
      <c r="LL77" s="673"/>
      <c r="LM77" s="673"/>
      <c r="LN77" s="673"/>
      <c r="LO77" s="673"/>
      <c r="LP77" s="673"/>
      <c r="LQ77" s="673"/>
      <c r="LR77" s="673"/>
      <c r="LS77" s="673"/>
      <c r="LT77" s="673"/>
      <c r="LU77" s="673"/>
      <c r="LV77" s="673"/>
      <c r="LW77" s="673"/>
      <c r="LX77" s="673"/>
      <c r="LY77" s="673"/>
      <c r="LZ77" s="673"/>
      <c r="MA77" s="673"/>
      <c r="MB77" s="673"/>
      <c r="MC77" s="673"/>
      <c r="MD77" s="673"/>
      <c r="ME77" s="673"/>
      <c r="MF77" s="673"/>
      <c r="MG77" s="673"/>
      <c r="MH77" s="673"/>
      <c r="MI77" s="673"/>
      <c r="MJ77" s="673"/>
      <c r="MK77" s="673"/>
      <c r="ML77" s="673"/>
      <c r="MM77" s="673"/>
      <c r="MN77" s="673"/>
      <c r="MO77" s="673"/>
      <c r="MP77" s="673"/>
      <c r="MQ77" s="673"/>
      <c r="MR77" s="673"/>
      <c r="MS77" s="673"/>
      <c r="MT77" s="673"/>
      <c r="MU77" s="673"/>
      <c r="MV77" s="673"/>
      <c r="MW77" s="673"/>
      <c r="MX77" s="673"/>
      <c r="MY77" s="673"/>
      <c r="MZ77" s="673"/>
      <c r="NA77" s="673"/>
      <c r="NB77" s="673"/>
      <c r="NC77" s="673"/>
      <c r="ND77" s="673"/>
      <c r="NE77" s="673"/>
      <c r="NF77" s="673"/>
      <c r="NG77" s="673"/>
      <c r="NH77" s="673"/>
      <c r="NI77" s="673"/>
      <c r="NJ77" s="673"/>
      <c r="NK77" s="673"/>
      <c r="NL77" s="673"/>
      <c r="NM77" s="673"/>
      <c r="NN77" s="673"/>
      <c r="NO77" s="673"/>
      <c r="NP77" s="673"/>
      <c r="NQ77" s="673"/>
      <c r="NR77" s="673"/>
      <c r="NS77" s="673"/>
      <c r="NT77" s="673"/>
      <c r="NU77" s="673"/>
      <c r="NV77" s="673"/>
      <c r="NW77" s="673"/>
      <c r="NX77" s="673"/>
      <c r="NY77" s="673"/>
      <c r="NZ77" s="673"/>
      <c r="OA77" s="673"/>
      <c r="OB77" s="673"/>
      <c r="OC77" s="673"/>
      <c r="OD77" s="673"/>
      <c r="OE77" s="673"/>
      <c r="OF77" s="673"/>
      <c r="OG77" s="673"/>
      <c r="OH77" s="673"/>
      <c r="OI77" s="673"/>
      <c r="OJ77" s="673"/>
      <c r="OK77" s="673"/>
      <c r="OL77" s="673"/>
      <c r="OM77" s="673"/>
      <c r="ON77" s="673"/>
      <c r="OO77" s="673"/>
      <c r="OP77" s="673"/>
      <c r="OQ77" s="673"/>
      <c r="OR77" s="673"/>
      <c r="OS77" s="673"/>
      <c r="OT77" s="673"/>
      <c r="OU77" s="673"/>
      <c r="OV77" s="673"/>
      <c r="OW77" s="673"/>
      <c r="OX77" s="673"/>
      <c r="OY77" s="673"/>
      <c r="OZ77" s="673"/>
      <c r="PA77" s="673"/>
      <c r="PB77" s="673"/>
      <c r="PC77" s="673"/>
      <c r="PD77" s="673"/>
      <c r="PE77" s="673"/>
      <c r="PF77" s="673"/>
      <c r="PG77" s="673"/>
      <c r="PH77" s="673"/>
      <c r="PI77" s="673"/>
      <c r="PJ77" s="673"/>
      <c r="PK77" s="673"/>
      <c r="PL77" s="673"/>
      <c r="PM77" s="673"/>
      <c r="PN77" s="673"/>
      <c r="PO77" s="673"/>
      <c r="PP77" s="673"/>
      <c r="PQ77" s="673"/>
      <c r="PR77" s="673"/>
      <c r="PS77" s="673"/>
      <c r="PT77" s="673"/>
      <c r="PU77" s="673"/>
      <c r="PV77" s="673"/>
      <c r="PW77" s="673"/>
      <c r="PX77" s="673"/>
      <c r="PY77" s="673"/>
      <c r="PZ77" s="673"/>
      <c r="QA77" s="673"/>
      <c r="QB77" s="673"/>
      <c r="QC77" s="673"/>
      <c r="QD77" s="673"/>
      <c r="QE77" s="673"/>
      <c r="QF77" s="673"/>
      <c r="QG77" s="673"/>
      <c r="QH77" s="673"/>
      <c r="QI77" s="673"/>
      <c r="QJ77" s="673"/>
      <c r="QK77" s="673"/>
    </row>
    <row r="78" spans="1:453" s="558" customFormat="1">
      <c r="A78" s="680"/>
      <c r="B78" s="680"/>
      <c r="C78" s="2107" t="str">
        <f ca="1">TEXT(HYPERLINK("#"&amp;CELL("address",'Equipment Results Matrix'!A1183),'Equipment Results Matrix'!A1183),"0,000")</f>
        <v xml:space="preserve">Linear Fluorescent T8 
(96")     </v>
      </c>
      <c r="D78" s="2107"/>
      <c r="E78" s="2107"/>
      <c r="F78" s="2107"/>
      <c r="G78" s="1305"/>
      <c r="H78" s="680"/>
      <c r="I78" s="680"/>
      <c r="J78" s="1525" t="str">
        <f ca="1">TEXT(HYPERLINK("#"&amp;CELL("address",'Labor Results Matrix'!A691),"Labor"),"0,000")</f>
        <v>Labor</v>
      </c>
      <c r="K78" s="1525"/>
      <c r="L78" s="2107" t="str">
        <f ca="1">TEXT(HYPERLINK("#"&amp;CELL("address",'Equipment + Labor'!A709),"Total installed cost"),"0,000")</f>
        <v>Total installed cost</v>
      </c>
      <c r="M78" s="2107"/>
      <c r="N78" s="2107"/>
      <c r="O78" s="673"/>
      <c r="P78" s="673"/>
      <c r="Q78" s="673"/>
      <c r="R78" s="673"/>
      <c r="S78" s="673"/>
      <c r="T78" s="673"/>
      <c r="U78" s="673"/>
      <c r="V78" s="673"/>
      <c r="W78" s="673"/>
      <c r="X78" s="673"/>
      <c r="Y78" s="673"/>
      <c r="Z78" s="673"/>
      <c r="AA78" s="673"/>
      <c r="AB78" s="673"/>
      <c r="AC78" s="673"/>
      <c r="AD78" s="673"/>
      <c r="AE78" s="673"/>
      <c r="AF78" s="673"/>
      <c r="AG78" s="673"/>
      <c r="AH78" s="673"/>
      <c r="AI78" s="673"/>
      <c r="AJ78" s="673"/>
      <c r="AK78" s="673"/>
      <c r="AL78" s="673"/>
      <c r="AM78" s="673"/>
      <c r="AN78" s="673"/>
      <c r="AO78" s="673"/>
      <c r="AP78" s="673"/>
      <c r="AQ78" s="673"/>
      <c r="AR78" s="673"/>
      <c r="AS78" s="673"/>
      <c r="AT78" s="673"/>
      <c r="AU78" s="673"/>
      <c r="AV78" s="673"/>
      <c r="AW78" s="673"/>
      <c r="AX78" s="673"/>
      <c r="AY78" s="673"/>
      <c r="AZ78" s="673"/>
      <c r="BA78" s="673"/>
      <c r="BB78" s="673"/>
      <c r="BC78" s="673"/>
      <c r="BD78" s="673"/>
      <c r="BE78" s="673"/>
      <c r="BF78" s="673"/>
      <c r="BG78" s="673"/>
      <c r="BH78" s="673"/>
      <c r="BI78" s="673"/>
      <c r="BJ78" s="673"/>
      <c r="BK78" s="673"/>
      <c r="BL78" s="673"/>
      <c r="BM78" s="673"/>
      <c r="BN78" s="673"/>
      <c r="BO78" s="673"/>
      <c r="BP78" s="673"/>
      <c r="BQ78" s="673"/>
      <c r="BR78" s="673"/>
      <c r="BS78" s="673"/>
      <c r="BT78" s="673"/>
      <c r="BU78" s="673"/>
      <c r="BV78" s="673"/>
      <c r="BW78" s="673"/>
      <c r="BX78" s="673"/>
      <c r="BY78" s="673"/>
      <c r="BZ78" s="673"/>
      <c r="CA78" s="673"/>
      <c r="CB78" s="673"/>
      <c r="CC78" s="673"/>
      <c r="CD78" s="673"/>
      <c r="CE78" s="673"/>
      <c r="CF78" s="673"/>
      <c r="CG78" s="673"/>
      <c r="CH78" s="673"/>
      <c r="CI78" s="673"/>
      <c r="CJ78" s="673"/>
      <c r="CK78" s="673"/>
      <c r="CL78" s="673"/>
      <c r="CM78" s="673"/>
      <c r="CN78" s="673"/>
      <c r="CO78" s="673"/>
      <c r="CP78" s="673"/>
      <c r="CQ78" s="673"/>
      <c r="CR78" s="673"/>
      <c r="CS78" s="673"/>
      <c r="CT78" s="673"/>
      <c r="CU78" s="673"/>
      <c r="CV78" s="673"/>
      <c r="CW78" s="673"/>
      <c r="CX78" s="673"/>
      <c r="CY78" s="673"/>
      <c r="CZ78" s="673"/>
      <c r="DA78" s="673"/>
      <c r="DB78" s="673"/>
      <c r="DC78" s="673"/>
      <c r="DD78" s="673"/>
      <c r="DE78" s="673"/>
      <c r="DF78" s="673"/>
      <c r="DG78" s="673"/>
      <c r="DH78" s="673"/>
      <c r="DI78" s="673"/>
      <c r="DJ78" s="673"/>
      <c r="DK78" s="673"/>
      <c r="DL78" s="673"/>
      <c r="DM78" s="673"/>
      <c r="DN78" s="673"/>
      <c r="DO78" s="673"/>
      <c r="DP78" s="673"/>
      <c r="DQ78" s="673"/>
      <c r="DR78" s="673"/>
      <c r="DS78" s="673"/>
      <c r="DT78" s="673"/>
      <c r="DU78" s="673"/>
      <c r="DV78" s="673"/>
      <c r="DW78" s="673"/>
      <c r="DX78" s="673"/>
      <c r="DY78" s="673"/>
      <c r="DZ78" s="673"/>
      <c r="EA78" s="673"/>
      <c r="EB78" s="673"/>
      <c r="EC78" s="673"/>
      <c r="ED78" s="673"/>
      <c r="EE78" s="673"/>
      <c r="EF78" s="673"/>
      <c r="EG78" s="673"/>
      <c r="EH78" s="673"/>
      <c r="EI78" s="673"/>
      <c r="EJ78" s="673"/>
      <c r="EK78" s="673"/>
      <c r="EL78" s="673"/>
      <c r="EM78" s="673"/>
      <c r="EN78" s="673"/>
      <c r="EO78" s="673"/>
      <c r="EP78" s="673"/>
      <c r="EQ78" s="673"/>
      <c r="ER78" s="673"/>
      <c r="ES78" s="673"/>
      <c r="ET78" s="673"/>
      <c r="EU78" s="673"/>
      <c r="EV78" s="673"/>
      <c r="EW78" s="673"/>
      <c r="EX78" s="673"/>
      <c r="EY78" s="673"/>
      <c r="EZ78" s="673"/>
      <c r="FA78" s="673"/>
      <c r="FB78" s="673"/>
      <c r="FC78" s="673"/>
      <c r="FD78" s="673"/>
      <c r="FE78" s="673"/>
      <c r="FF78" s="673"/>
      <c r="FG78" s="673"/>
      <c r="FH78" s="673"/>
      <c r="FI78" s="673"/>
      <c r="FJ78" s="673"/>
      <c r="FK78" s="673"/>
      <c r="FL78" s="673"/>
      <c r="FM78" s="673"/>
      <c r="FN78" s="673"/>
      <c r="FO78" s="673"/>
      <c r="FP78" s="673"/>
      <c r="FQ78" s="673"/>
      <c r="FR78" s="673"/>
      <c r="FS78" s="673"/>
      <c r="FT78" s="673"/>
      <c r="FU78" s="673"/>
      <c r="FV78" s="673"/>
      <c r="FW78" s="673"/>
      <c r="FX78" s="673"/>
      <c r="FY78" s="673"/>
      <c r="FZ78" s="673"/>
      <c r="GA78" s="673"/>
      <c r="GB78" s="673"/>
      <c r="GC78" s="673"/>
      <c r="GD78" s="673"/>
      <c r="GE78" s="673"/>
      <c r="GF78" s="673"/>
      <c r="GG78" s="673"/>
      <c r="GH78" s="673"/>
      <c r="GI78" s="673"/>
      <c r="GJ78" s="673"/>
      <c r="GK78" s="673"/>
      <c r="GL78" s="673"/>
      <c r="GM78" s="673"/>
      <c r="GN78" s="673"/>
      <c r="GO78" s="673"/>
      <c r="GP78" s="673"/>
      <c r="GQ78" s="673"/>
      <c r="GR78" s="673"/>
      <c r="GS78" s="673"/>
      <c r="GT78" s="673"/>
      <c r="GU78" s="673"/>
      <c r="GV78" s="673"/>
      <c r="GW78" s="673"/>
      <c r="GX78" s="673"/>
      <c r="GY78" s="673"/>
      <c r="GZ78" s="673"/>
      <c r="HA78" s="673"/>
      <c r="HB78" s="673"/>
      <c r="HC78" s="673"/>
      <c r="HD78" s="673"/>
      <c r="HE78" s="673"/>
      <c r="HF78" s="673"/>
      <c r="HG78" s="673"/>
      <c r="HH78" s="673"/>
      <c r="HI78" s="673"/>
      <c r="HJ78" s="673"/>
      <c r="HK78" s="673"/>
      <c r="HL78" s="673"/>
      <c r="HM78" s="673"/>
      <c r="HN78" s="673"/>
      <c r="HO78" s="673"/>
      <c r="HP78" s="673"/>
      <c r="HQ78" s="673"/>
      <c r="HR78" s="673"/>
      <c r="HS78" s="673"/>
      <c r="HT78" s="673"/>
      <c r="HU78" s="673"/>
      <c r="HV78" s="673"/>
      <c r="HW78" s="673"/>
      <c r="HX78" s="673"/>
      <c r="HY78" s="673"/>
      <c r="HZ78" s="673"/>
      <c r="IA78" s="673"/>
      <c r="IB78" s="673"/>
      <c r="IC78" s="673"/>
      <c r="ID78" s="673"/>
      <c r="IE78" s="673"/>
      <c r="IF78" s="673"/>
      <c r="IG78" s="673"/>
      <c r="IH78" s="673"/>
      <c r="II78" s="673"/>
      <c r="IJ78" s="673"/>
      <c r="IK78" s="673"/>
      <c r="IL78" s="673"/>
      <c r="IM78" s="673"/>
      <c r="IN78" s="673"/>
      <c r="IO78" s="673"/>
      <c r="IP78" s="673"/>
      <c r="IQ78" s="673"/>
      <c r="IR78" s="673"/>
      <c r="IS78" s="673"/>
      <c r="IT78" s="673"/>
      <c r="IU78" s="673"/>
      <c r="IV78" s="673"/>
      <c r="IW78" s="673"/>
      <c r="IX78" s="673"/>
      <c r="IY78" s="673"/>
      <c r="IZ78" s="673"/>
      <c r="JA78" s="673"/>
      <c r="JB78" s="673"/>
      <c r="JC78" s="673"/>
      <c r="JD78" s="673"/>
      <c r="JE78" s="673"/>
      <c r="JF78" s="673"/>
      <c r="JG78" s="673"/>
      <c r="JH78" s="673"/>
      <c r="JI78" s="673"/>
      <c r="JJ78" s="673"/>
      <c r="JK78" s="673"/>
      <c r="JL78" s="673"/>
      <c r="JM78" s="673"/>
      <c r="JN78" s="673"/>
      <c r="JO78" s="673"/>
      <c r="JP78" s="673"/>
      <c r="JQ78" s="673"/>
      <c r="JR78" s="673"/>
      <c r="JS78" s="673"/>
      <c r="JT78" s="673"/>
      <c r="JU78" s="673"/>
      <c r="JV78" s="673"/>
      <c r="JW78" s="673"/>
      <c r="JX78" s="673"/>
      <c r="JY78" s="673"/>
      <c r="JZ78" s="673"/>
      <c r="KA78" s="673"/>
      <c r="KB78" s="673"/>
      <c r="KC78" s="673"/>
      <c r="KD78" s="673"/>
      <c r="KE78" s="673"/>
      <c r="KF78" s="673"/>
      <c r="KG78" s="673"/>
      <c r="KH78" s="673"/>
      <c r="KI78" s="673"/>
      <c r="KJ78" s="673"/>
      <c r="KK78" s="673"/>
      <c r="KL78" s="673"/>
      <c r="KM78" s="673"/>
      <c r="KN78" s="673"/>
      <c r="KO78" s="673"/>
      <c r="KP78" s="673"/>
      <c r="KQ78" s="673"/>
      <c r="KR78" s="673"/>
      <c r="KS78" s="673"/>
      <c r="KT78" s="673"/>
      <c r="KU78" s="673"/>
      <c r="KV78" s="673"/>
      <c r="KW78" s="673"/>
      <c r="KX78" s="673"/>
      <c r="KY78" s="673"/>
      <c r="KZ78" s="673"/>
      <c r="LA78" s="673"/>
      <c r="LB78" s="673"/>
      <c r="LC78" s="673"/>
      <c r="LD78" s="673"/>
      <c r="LE78" s="673"/>
      <c r="LF78" s="673"/>
      <c r="LG78" s="673"/>
      <c r="LH78" s="673"/>
      <c r="LI78" s="673"/>
      <c r="LJ78" s="673"/>
      <c r="LK78" s="673"/>
      <c r="LL78" s="673"/>
      <c r="LM78" s="673"/>
      <c r="LN78" s="673"/>
      <c r="LO78" s="673"/>
      <c r="LP78" s="673"/>
      <c r="LQ78" s="673"/>
      <c r="LR78" s="673"/>
      <c r="LS78" s="673"/>
      <c r="LT78" s="673"/>
      <c r="LU78" s="673"/>
      <c r="LV78" s="673"/>
      <c r="LW78" s="673"/>
      <c r="LX78" s="673"/>
      <c r="LY78" s="673"/>
      <c r="LZ78" s="673"/>
      <c r="MA78" s="673"/>
      <c r="MB78" s="673"/>
      <c r="MC78" s="673"/>
      <c r="MD78" s="673"/>
      <c r="ME78" s="673"/>
      <c r="MF78" s="673"/>
      <c r="MG78" s="673"/>
      <c r="MH78" s="673"/>
      <c r="MI78" s="673"/>
      <c r="MJ78" s="673"/>
      <c r="MK78" s="673"/>
      <c r="ML78" s="673"/>
      <c r="MM78" s="673"/>
      <c r="MN78" s="673"/>
      <c r="MO78" s="673"/>
      <c r="MP78" s="673"/>
      <c r="MQ78" s="673"/>
      <c r="MR78" s="673"/>
      <c r="MS78" s="673"/>
      <c r="MT78" s="673"/>
      <c r="MU78" s="673"/>
      <c r="MV78" s="673"/>
      <c r="MW78" s="673"/>
      <c r="MX78" s="673"/>
      <c r="MY78" s="673"/>
      <c r="MZ78" s="673"/>
      <c r="NA78" s="673"/>
      <c r="NB78" s="673"/>
      <c r="NC78" s="673"/>
      <c r="ND78" s="673"/>
      <c r="NE78" s="673"/>
      <c r="NF78" s="673"/>
      <c r="NG78" s="673"/>
      <c r="NH78" s="673"/>
      <c r="NI78" s="673"/>
      <c r="NJ78" s="673"/>
      <c r="NK78" s="673"/>
      <c r="NL78" s="673"/>
      <c r="NM78" s="673"/>
      <c r="NN78" s="673"/>
      <c r="NO78" s="673"/>
      <c r="NP78" s="673"/>
      <c r="NQ78" s="673"/>
      <c r="NR78" s="673"/>
      <c r="NS78" s="673"/>
      <c r="NT78" s="673"/>
      <c r="NU78" s="673"/>
      <c r="NV78" s="673"/>
      <c r="NW78" s="673"/>
      <c r="NX78" s="673"/>
      <c r="NY78" s="673"/>
      <c r="NZ78" s="673"/>
      <c r="OA78" s="673"/>
      <c r="OB78" s="673"/>
      <c r="OC78" s="673"/>
      <c r="OD78" s="673"/>
      <c r="OE78" s="673"/>
      <c r="OF78" s="673"/>
      <c r="OG78" s="673"/>
      <c r="OH78" s="673"/>
      <c r="OI78" s="673"/>
      <c r="OJ78" s="673"/>
      <c r="OK78" s="673"/>
      <c r="OL78" s="673"/>
      <c r="OM78" s="673"/>
      <c r="ON78" s="673"/>
      <c r="OO78" s="673"/>
      <c r="OP78" s="673"/>
      <c r="OQ78" s="673"/>
      <c r="OR78" s="673"/>
      <c r="OS78" s="673"/>
      <c r="OT78" s="673"/>
      <c r="OU78" s="673"/>
      <c r="OV78" s="673"/>
      <c r="OW78" s="673"/>
      <c r="OX78" s="673"/>
      <c r="OY78" s="673"/>
      <c r="OZ78" s="673"/>
      <c r="PA78" s="673"/>
      <c r="PB78" s="673"/>
      <c r="PC78" s="673"/>
      <c r="PD78" s="673"/>
      <c r="PE78" s="673"/>
      <c r="PF78" s="673"/>
      <c r="PG78" s="673"/>
      <c r="PH78" s="673"/>
      <c r="PI78" s="673"/>
      <c r="PJ78" s="673"/>
      <c r="PK78" s="673"/>
      <c r="PL78" s="673"/>
      <c r="PM78" s="673"/>
      <c r="PN78" s="673"/>
      <c r="PO78" s="673"/>
      <c r="PP78" s="673"/>
      <c r="PQ78" s="673"/>
      <c r="PR78" s="673"/>
      <c r="PS78" s="673"/>
      <c r="PT78" s="673"/>
      <c r="PU78" s="673"/>
      <c r="PV78" s="673"/>
      <c r="PW78" s="673"/>
      <c r="PX78" s="673"/>
      <c r="PY78" s="673"/>
      <c r="PZ78" s="673"/>
      <c r="QA78" s="673"/>
      <c r="QB78" s="673"/>
      <c r="QC78" s="673"/>
      <c r="QD78" s="673"/>
      <c r="QE78" s="673"/>
      <c r="QF78" s="673"/>
      <c r="QG78" s="673"/>
      <c r="QH78" s="673"/>
      <c r="QI78" s="673"/>
      <c r="QJ78" s="673"/>
      <c r="QK78" s="673"/>
    </row>
    <row r="79" spans="1:453" s="558" customFormat="1">
      <c r="A79" s="680"/>
      <c r="B79" s="680"/>
      <c r="C79" s="2107" t="str">
        <f ca="1">TEXT(HYPERLINK("#"&amp;CELL("address",'Equipment Results Matrix'!A1194),'Equipment Results Matrix'!A1194),"0,000")</f>
        <v>Linear Fluorescent T5 
(all lengths)</v>
      </c>
      <c r="D79" s="2107"/>
      <c r="E79" s="2107"/>
      <c r="F79" s="2107"/>
      <c r="G79" s="1305"/>
      <c r="H79" s="680"/>
      <c r="I79" s="680"/>
      <c r="J79" s="1525" t="str">
        <f ca="1">TEXT(HYPERLINK("#"&amp;CELL("address",'Labor Results Matrix'!A702),"Labor"),"0,000")</f>
        <v>Labor</v>
      </c>
      <c r="K79" s="1525"/>
      <c r="L79" s="2107" t="str">
        <f ca="1">TEXT(HYPERLINK("#"&amp;CELL("address",'Equipment + Labor'!A709),"Total installed cost"),"0,000")</f>
        <v>Total installed cost</v>
      </c>
      <c r="M79" s="2107"/>
      <c r="N79" s="2107"/>
      <c r="O79" s="673"/>
      <c r="P79" s="673"/>
      <c r="Q79" s="673"/>
      <c r="R79" s="673"/>
      <c r="S79" s="673"/>
      <c r="T79" s="673"/>
      <c r="U79" s="673"/>
      <c r="V79" s="673"/>
      <c r="W79" s="673"/>
      <c r="X79" s="673"/>
      <c r="Y79" s="673"/>
      <c r="Z79" s="673"/>
      <c r="AA79" s="673"/>
      <c r="AB79" s="673"/>
      <c r="AC79" s="673"/>
      <c r="AD79" s="673"/>
      <c r="AE79" s="673"/>
      <c r="AF79" s="673"/>
      <c r="AG79" s="673"/>
      <c r="AH79" s="673"/>
      <c r="AI79" s="673"/>
      <c r="AJ79" s="673"/>
      <c r="AK79" s="673"/>
      <c r="AL79" s="673"/>
      <c r="AM79" s="673"/>
      <c r="AN79" s="673"/>
      <c r="AO79" s="673"/>
      <c r="AP79" s="673"/>
      <c r="AQ79" s="673"/>
      <c r="AR79" s="673"/>
      <c r="AS79" s="673"/>
      <c r="AT79" s="673"/>
      <c r="AU79" s="673"/>
      <c r="AV79" s="673"/>
      <c r="AW79" s="673"/>
      <c r="AX79" s="673"/>
      <c r="AY79" s="673"/>
      <c r="AZ79" s="673"/>
      <c r="BA79" s="673"/>
      <c r="BB79" s="673"/>
      <c r="BC79" s="673"/>
      <c r="BD79" s="673"/>
      <c r="BE79" s="673"/>
      <c r="BF79" s="673"/>
      <c r="BG79" s="673"/>
      <c r="BH79" s="673"/>
      <c r="BI79" s="673"/>
      <c r="BJ79" s="673"/>
      <c r="BK79" s="673"/>
      <c r="BL79" s="673"/>
      <c r="BM79" s="673"/>
      <c r="BN79" s="673"/>
      <c r="BO79" s="673"/>
      <c r="BP79" s="673"/>
      <c r="BQ79" s="673"/>
      <c r="BR79" s="673"/>
      <c r="BS79" s="673"/>
      <c r="BT79" s="673"/>
      <c r="BU79" s="673"/>
      <c r="BV79" s="673"/>
      <c r="BW79" s="673"/>
      <c r="BX79" s="673"/>
      <c r="BY79" s="673"/>
      <c r="BZ79" s="673"/>
      <c r="CA79" s="673"/>
      <c r="CB79" s="673"/>
      <c r="CC79" s="673"/>
      <c r="CD79" s="673"/>
      <c r="CE79" s="673"/>
      <c r="CF79" s="673"/>
      <c r="CG79" s="673"/>
      <c r="CH79" s="673"/>
      <c r="CI79" s="673"/>
      <c r="CJ79" s="673"/>
      <c r="CK79" s="673"/>
      <c r="CL79" s="673"/>
      <c r="CM79" s="673"/>
      <c r="CN79" s="673"/>
      <c r="CO79" s="673"/>
      <c r="CP79" s="673"/>
      <c r="CQ79" s="673"/>
      <c r="CR79" s="673"/>
      <c r="CS79" s="673"/>
      <c r="CT79" s="673"/>
      <c r="CU79" s="673"/>
      <c r="CV79" s="673"/>
      <c r="CW79" s="673"/>
      <c r="CX79" s="673"/>
      <c r="CY79" s="673"/>
      <c r="CZ79" s="673"/>
      <c r="DA79" s="673"/>
      <c r="DB79" s="673"/>
      <c r="DC79" s="673"/>
      <c r="DD79" s="673"/>
      <c r="DE79" s="673"/>
      <c r="DF79" s="673"/>
      <c r="DG79" s="673"/>
      <c r="DH79" s="673"/>
      <c r="DI79" s="673"/>
      <c r="DJ79" s="673"/>
      <c r="DK79" s="673"/>
      <c r="DL79" s="673"/>
      <c r="DM79" s="673"/>
      <c r="DN79" s="673"/>
      <c r="DO79" s="673"/>
      <c r="DP79" s="673"/>
      <c r="DQ79" s="673"/>
      <c r="DR79" s="673"/>
      <c r="DS79" s="673"/>
      <c r="DT79" s="673"/>
      <c r="DU79" s="673"/>
      <c r="DV79" s="673"/>
      <c r="DW79" s="673"/>
      <c r="DX79" s="673"/>
      <c r="DY79" s="673"/>
      <c r="DZ79" s="673"/>
      <c r="EA79" s="673"/>
      <c r="EB79" s="673"/>
      <c r="EC79" s="673"/>
      <c r="ED79" s="673"/>
      <c r="EE79" s="673"/>
      <c r="EF79" s="673"/>
      <c r="EG79" s="673"/>
      <c r="EH79" s="673"/>
      <c r="EI79" s="673"/>
      <c r="EJ79" s="673"/>
      <c r="EK79" s="673"/>
      <c r="EL79" s="673"/>
      <c r="EM79" s="673"/>
      <c r="EN79" s="673"/>
      <c r="EO79" s="673"/>
      <c r="EP79" s="673"/>
      <c r="EQ79" s="673"/>
      <c r="ER79" s="673"/>
      <c r="ES79" s="673"/>
      <c r="ET79" s="673"/>
      <c r="EU79" s="673"/>
      <c r="EV79" s="673"/>
      <c r="EW79" s="673"/>
      <c r="EX79" s="673"/>
      <c r="EY79" s="673"/>
      <c r="EZ79" s="673"/>
      <c r="FA79" s="673"/>
      <c r="FB79" s="673"/>
      <c r="FC79" s="673"/>
      <c r="FD79" s="673"/>
      <c r="FE79" s="673"/>
      <c r="FF79" s="673"/>
      <c r="FG79" s="673"/>
      <c r="FH79" s="673"/>
      <c r="FI79" s="673"/>
      <c r="FJ79" s="673"/>
      <c r="FK79" s="673"/>
      <c r="FL79" s="673"/>
      <c r="FM79" s="673"/>
      <c r="FN79" s="673"/>
      <c r="FO79" s="673"/>
      <c r="FP79" s="673"/>
      <c r="FQ79" s="673"/>
      <c r="FR79" s="673"/>
      <c r="FS79" s="673"/>
      <c r="FT79" s="673"/>
      <c r="FU79" s="673"/>
      <c r="FV79" s="673"/>
      <c r="FW79" s="673"/>
      <c r="FX79" s="673"/>
      <c r="FY79" s="673"/>
      <c r="FZ79" s="673"/>
      <c r="GA79" s="673"/>
      <c r="GB79" s="673"/>
      <c r="GC79" s="673"/>
      <c r="GD79" s="673"/>
      <c r="GE79" s="673"/>
      <c r="GF79" s="673"/>
      <c r="GG79" s="673"/>
      <c r="GH79" s="673"/>
      <c r="GI79" s="673"/>
      <c r="GJ79" s="673"/>
      <c r="GK79" s="673"/>
      <c r="GL79" s="673"/>
      <c r="GM79" s="673"/>
      <c r="GN79" s="673"/>
      <c r="GO79" s="673"/>
      <c r="GP79" s="673"/>
      <c r="GQ79" s="673"/>
      <c r="GR79" s="673"/>
      <c r="GS79" s="673"/>
      <c r="GT79" s="673"/>
      <c r="GU79" s="673"/>
      <c r="GV79" s="673"/>
      <c r="GW79" s="673"/>
      <c r="GX79" s="673"/>
      <c r="GY79" s="673"/>
      <c r="GZ79" s="673"/>
      <c r="HA79" s="673"/>
      <c r="HB79" s="673"/>
      <c r="HC79" s="673"/>
      <c r="HD79" s="673"/>
      <c r="HE79" s="673"/>
      <c r="HF79" s="673"/>
      <c r="HG79" s="673"/>
      <c r="HH79" s="673"/>
      <c r="HI79" s="673"/>
      <c r="HJ79" s="673"/>
      <c r="HK79" s="673"/>
      <c r="HL79" s="673"/>
      <c r="HM79" s="673"/>
      <c r="HN79" s="673"/>
      <c r="HO79" s="673"/>
      <c r="HP79" s="673"/>
      <c r="HQ79" s="673"/>
      <c r="HR79" s="673"/>
      <c r="HS79" s="673"/>
      <c r="HT79" s="673"/>
      <c r="HU79" s="673"/>
      <c r="HV79" s="673"/>
      <c r="HW79" s="673"/>
      <c r="HX79" s="673"/>
      <c r="HY79" s="673"/>
      <c r="HZ79" s="673"/>
      <c r="IA79" s="673"/>
      <c r="IB79" s="673"/>
      <c r="IC79" s="673"/>
      <c r="ID79" s="673"/>
      <c r="IE79" s="673"/>
      <c r="IF79" s="673"/>
      <c r="IG79" s="673"/>
      <c r="IH79" s="673"/>
      <c r="II79" s="673"/>
      <c r="IJ79" s="673"/>
      <c r="IK79" s="673"/>
      <c r="IL79" s="673"/>
      <c r="IM79" s="673"/>
      <c r="IN79" s="673"/>
      <c r="IO79" s="673"/>
      <c r="IP79" s="673"/>
      <c r="IQ79" s="673"/>
      <c r="IR79" s="673"/>
      <c r="IS79" s="673"/>
      <c r="IT79" s="673"/>
      <c r="IU79" s="673"/>
      <c r="IV79" s="673"/>
      <c r="IW79" s="673"/>
      <c r="IX79" s="673"/>
      <c r="IY79" s="673"/>
      <c r="IZ79" s="673"/>
      <c r="JA79" s="673"/>
      <c r="JB79" s="673"/>
      <c r="JC79" s="673"/>
      <c r="JD79" s="673"/>
      <c r="JE79" s="673"/>
      <c r="JF79" s="673"/>
      <c r="JG79" s="673"/>
      <c r="JH79" s="673"/>
      <c r="JI79" s="673"/>
      <c r="JJ79" s="673"/>
      <c r="JK79" s="673"/>
      <c r="JL79" s="673"/>
      <c r="JM79" s="673"/>
      <c r="JN79" s="673"/>
      <c r="JO79" s="673"/>
      <c r="JP79" s="673"/>
      <c r="JQ79" s="673"/>
      <c r="JR79" s="673"/>
      <c r="JS79" s="673"/>
      <c r="JT79" s="673"/>
      <c r="JU79" s="673"/>
      <c r="JV79" s="673"/>
      <c r="JW79" s="673"/>
      <c r="JX79" s="673"/>
      <c r="JY79" s="673"/>
      <c r="JZ79" s="673"/>
      <c r="KA79" s="673"/>
      <c r="KB79" s="673"/>
      <c r="KC79" s="673"/>
      <c r="KD79" s="673"/>
      <c r="KE79" s="673"/>
      <c r="KF79" s="673"/>
      <c r="KG79" s="673"/>
      <c r="KH79" s="673"/>
      <c r="KI79" s="673"/>
      <c r="KJ79" s="673"/>
      <c r="KK79" s="673"/>
      <c r="KL79" s="673"/>
      <c r="KM79" s="673"/>
      <c r="KN79" s="673"/>
      <c r="KO79" s="673"/>
      <c r="KP79" s="673"/>
      <c r="KQ79" s="673"/>
      <c r="KR79" s="673"/>
      <c r="KS79" s="673"/>
      <c r="KT79" s="673"/>
      <c r="KU79" s="673"/>
      <c r="KV79" s="673"/>
      <c r="KW79" s="673"/>
      <c r="KX79" s="673"/>
      <c r="KY79" s="673"/>
      <c r="KZ79" s="673"/>
      <c r="LA79" s="673"/>
      <c r="LB79" s="673"/>
      <c r="LC79" s="673"/>
      <c r="LD79" s="673"/>
      <c r="LE79" s="673"/>
      <c r="LF79" s="673"/>
      <c r="LG79" s="673"/>
      <c r="LH79" s="673"/>
      <c r="LI79" s="673"/>
      <c r="LJ79" s="673"/>
      <c r="LK79" s="673"/>
      <c r="LL79" s="673"/>
      <c r="LM79" s="673"/>
      <c r="LN79" s="673"/>
      <c r="LO79" s="673"/>
      <c r="LP79" s="673"/>
      <c r="LQ79" s="673"/>
      <c r="LR79" s="673"/>
      <c r="LS79" s="673"/>
      <c r="LT79" s="673"/>
      <c r="LU79" s="673"/>
      <c r="LV79" s="673"/>
      <c r="LW79" s="673"/>
      <c r="LX79" s="673"/>
      <c r="LY79" s="673"/>
      <c r="LZ79" s="673"/>
      <c r="MA79" s="673"/>
      <c r="MB79" s="673"/>
      <c r="MC79" s="673"/>
      <c r="MD79" s="673"/>
      <c r="ME79" s="673"/>
      <c r="MF79" s="673"/>
      <c r="MG79" s="673"/>
      <c r="MH79" s="673"/>
      <c r="MI79" s="673"/>
      <c r="MJ79" s="673"/>
      <c r="MK79" s="673"/>
      <c r="ML79" s="673"/>
      <c r="MM79" s="673"/>
      <c r="MN79" s="673"/>
      <c r="MO79" s="673"/>
      <c r="MP79" s="673"/>
      <c r="MQ79" s="673"/>
      <c r="MR79" s="673"/>
      <c r="MS79" s="673"/>
      <c r="MT79" s="673"/>
      <c r="MU79" s="673"/>
      <c r="MV79" s="673"/>
      <c r="MW79" s="673"/>
      <c r="MX79" s="673"/>
      <c r="MY79" s="673"/>
      <c r="MZ79" s="673"/>
      <c r="NA79" s="673"/>
      <c r="NB79" s="673"/>
      <c r="NC79" s="673"/>
      <c r="ND79" s="673"/>
      <c r="NE79" s="673"/>
      <c r="NF79" s="673"/>
      <c r="NG79" s="673"/>
      <c r="NH79" s="673"/>
      <c r="NI79" s="673"/>
      <c r="NJ79" s="673"/>
      <c r="NK79" s="673"/>
      <c r="NL79" s="673"/>
      <c r="NM79" s="673"/>
      <c r="NN79" s="673"/>
      <c r="NO79" s="673"/>
      <c r="NP79" s="673"/>
      <c r="NQ79" s="673"/>
      <c r="NR79" s="673"/>
      <c r="NS79" s="673"/>
      <c r="NT79" s="673"/>
      <c r="NU79" s="673"/>
      <c r="NV79" s="673"/>
      <c r="NW79" s="673"/>
      <c r="NX79" s="673"/>
      <c r="NY79" s="673"/>
      <c r="NZ79" s="673"/>
      <c r="OA79" s="673"/>
      <c r="OB79" s="673"/>
      <c r="OC79" s="673"/>
      <c r="OD79" s="673"/>
      <c r="OE79" s="673"/>
      <c r="OF79" s="673"/>
      <c r="OG79" s="673"/>
      <c r="OH79" s="673"/>
      <c r="OI79" s="673"/>
      <c r="OJ79" s="673"/>
      <c r="OK79" s="673"/>
      <c r="OL79" s="673"/>
      <c r="OM79" s="673"/>
      <c r="ON79" s="673"/>
      <c r="OO79" s="673"/>
      <c r="OP79" s="673"/>
      <c r="OQ79" s="673"/>
      <c r="OR79" s="673"/>
      <c r="OS79" s="673"/>
      <c r="OT79" s="673"/>
      <c r="OU79" s="673"/>
      <c r="OV79" s="673"/>
      <c r="OW79" s="673"/>
      <c r="OX79" s="673"/>
      <c r="OY79" s="673"/>
      <c r="OZ79" s="673"/>
      <c r="PA79" s="673"/>
      <c r="PB79" s="673"/>
      <c r="PC79" s="673"/>
      <c r="PD79" s="673"/>
      <c r="PE79" s="673"/>
      <c r="PF79" s="673"/>
      <c r="PG79" s="673"/>
      <c r="PH79" s="673"/>
      <c r="PI79" s="673"/>
      <c r="PJ79" s="673"/>
      <c r="PK79" s="673"/>
      <c r="PL79" s="673"/>
      <c r="PM79" s="673"/>
      <c r="PN79" s="673"/>
      <c r="PO79" s="673"/>
      <c r="PP79" s="673"/>
      <c r="PQ79" s="673"/>
      <c r="PR79" s="673"/>
      <c r="PS79" s="673"/>
      <c r="PT79" s="673"/>
      <c r="PU79" s="673"/>
      <c r="PV79" s="673"/>
      <c r="PW79" s="673"/>
      <c r="PX79" s="673"/>
      <c r="PY79" s="673"/>
      <c r="PZ79" s="673"/>
      <c r="QA79" s="673"/>
      <c r="QB79" s="673"/>
      <c r="QC79" s="673"/>
      <c r="QD79" s="673"/>
      <c r="QE79" s="673"/>
      <c r="QF79" s="673"/>
      <c r="QG79" s="673"/>
      <c r="QH79" s="673"/>
      <c r="QI79" s="673"/>
      <c r="QJ79" s="673"/>
      <c r="QK79" s="673"/>
    </row>
    <row r="80" spans="1:453" s="558" customFormat="1" ht="18.75">
      <c r="A80" s="680"/>
      <c r="B80" s="2109" t="str">
        <f ca="1">TEXT(HYPERLINK("#"&amp;CELL("address",'Equipment Results Matrix'!A1211),'Equipment Results Matrix'!A1211),"0,000")</f>
        <v>Lighting - Ballasts</v>
      </c>
      <c r="C80" s="2109"/>
      <c r="D80" s="2109"/>
      <c r="E80" s="1306"/>
      <c r="F80" s="1307"/>
      <c r="G80" s="1302"/>
      <c r="H80" s="1302"/>
      <c r="I80" s="680"/>
      <c r="J80" s="680"/>
      <c r="K80" s="680"/>
      <c r="L80" s="2112"/>
      <c r="M80" s="2112"/>
      <c r="N80" s="2112"/>
      <c r="O80" s="673"/>
      <c r="P80" s="673"/>
      <c r="Q80" s="673"/>
      <c r="R80" s="673"/>
      <c r="S80" s="673"/>
      <c r="T80" s="673"/>
      <c r="U80" s="673"/>
      <c r="V80" s="673"/>
      <c r="W80" s="673"/>
      <c r="X80" s="673"/>
      <c r="Y80" s="673"/>
      <c r="Z80" s="673"/>
      <c r="AA80" s="673"/>
      <c r="AB80" s="673"/>
      <c r="AC80" s="673"/>
      <c r="AD80" s="673"/>
      <c r="AE80" s="673"/>
      <c r="AF80" s="673"/>
      <c r="AG80" s="673"/>
      <c r="AH80" s="673"/>
      <c r="AI80" s="673"/>
      <c r="AJ80" s="673"/>
      <c r="AK80" s="673"/>
      <c r="AL80" s="673"/>
      <c r="AM80" s="673"/>
      <c r="AN80" s="673"/>
      <c r="AO80" s="673"/>
      <c r="AP80" s="673"/>
      <c r="AQ80" s="673"/>
      <c r="AR80" s="673"/>
      <c r="AS80" s="673"/>
      <c r="AT80" s="673"/>
      <c r="AU80" s="673"/>
      <c r="AV80" s="673"/>
      <c r="AW80" s="673"/>
      <c r="AX80" s="673"/>
      <c r="AY80" s="673"/>
      <c r="AZ80" s="673"/>
      <c r="BA80" s="673"/>
      <c r="BB80" s="673"/>
      <c r="BC80" s="673"/>
      <c r="BD80" s="673"/>
      <c r="BE80" s="673"/>
      <c r="BF80" s="673"/>
      <c r="BG80" s="673"/>
      <c r="BH80" s="673"/>
      <c r="BI80" s="673"/>
      <c r="BJ80" s="673"/>
      <c r="BK80" s="673"/>
      <c r="BL80" s="673"/>
      <c r="BM80" s="673"/>
      <c r="BN80" s="673"/>
      <c r="BO80" s="673"/>
      <c r="BP80" s="673"/>
      <c r="BQ80" s="673"/>
      <c r="BR80" s="673"/>
      <c r="BS80" s="673"/>
      <c r="BT80" s="673"/>
      <c r="BU80" s="673"/>
      <c r="BV80" s="673"/>
      <c r="BW80" s="673"/>
      <c r="BX80" s="673"/>
      <c r="BY80" s="673"/>
      <c r="BZ80" s="673"/>
      <c r="CA80" s="673"/>
      <c r="CB80" s="673"/>
      <c r="CC80" s="673"/>
      <c r="CD80" s="673"/>
      <c r="CE80" s="673"/>
      <c r="CF80" s="673"/>
      <c r="CG80" s="673"/>
      <c r="CH80" s="673"/>
      <c r="CI80" s="673"/>
      <c r="CJ80" s="673"/>
      <c r="CK80" s="673"/>
      <c r="CL80" s="673"/>
      <c r="CM80" s="673"/>
      <c r="CN80" s="673"/>
      <c r="CO80" s="673"/>
      <c r="CP80" s="673"/>
      <c r="CQ80" s="673"/>
      <c r="CR80" s="673"/>
      <c r="CS80" s="673"/>
      <c r="CT80" s="673"/>
      <c r="CU80" s="673"/>
      <c r="CV80" s="673"/>
      <c r="CW80" s="673"/>
      <c r="CX80" s="673"/>
      <c r="CY80" s="673"/>
      <c r="CZ80" s="673"/>
      <c r="DA80" s="673"/>
      <c r="DB80" s="673"/>
      <c r="DC80" s="673"/>
      <c r="DD80" s="673"/>
      <c r="DE80" s="673"/>
      <c r="DF80" s="673"/>
      <c r="DG80" s="673"/>
      <c r="DH80" s="673"/>
      <c r="DI80" s="673"/>
      <c r="DJ80" s="673"/>
      <c r="DK80" s="673"/>
      <c r="DL80" s="673"/>
      <c r="DM80" s="673"/>
      <c r="DN80" s="673"/>
      <c r="DO80" s="673"/>
      <c r="DP80" s="673"/>
      <c r="DQ80" s="673"/>
      <c r="DR80" s="673"/>
      <c r="DS80" s="673"/>
      <c r="DT80" s="673"/>
      <c r="DU80" s="673"/>
      <c r="DV80" s="673"/>
      <c r="DW80" s="673"/>
      <c r="DX80" s="673"/>
      <c r="DY80" s="673"/>
      <c r="DZ80" s="673"/>
      <c r="EA80" s="673"/>
      <c r="EB80" s="673"/>
      <c r="EC80" s="673"/>
      <c r="ED80" s="673"/>
      <c r="EE80" s="673"/>
      <c r="EF80" s="673"/>
      <c r="EG80" s="673"/>
      <c r="EH80" s="673"/>
      <c r="EI80" s="673"/>
      <c r="EJ80" s="673"/>
      <c r="EK80" s="673"/>
      <c r="EL80" s="673"/>
      <c r="EM80" s="673"/>
      <c r="EN80" s="673"/>
      <c r="EO80" s="673"/>
      <c r="EP80" s="673"/>
      <c r="EQ80" s="673"/>
      <c r="ER80" s="673"/>
      <c r="ES80" s="673"/>
      <c r="ET80" s="673"/>
      <c r="EU80" s="673"/>
      <c r="EV80" s="673"/>
      <c r="EW80" s="673"/>
      <c r="EX80" s="673"/>
      <c r="EY80" s="673"/>
      <c r="EZ80" s="673"/>
      <c r="FA80" s="673"/>
      <c r="FB80" s="673"/>
      <c r="FC80" s="673"/>
      <c r="FD80" s="673"/>
      <c r="FE80" s="673"/>
      <c r="FF80" s="673"/>
      <c r="FG80" s="673"/>
      <c r="FH80" s="673"/>
      <c r="FI80" s="673"/>
      <c r="FJ80" s="673"/>
      <c r="FK80" s="673"/>
      <c r="FL80" s="673"/>
      <c r="FM80" s="673"/>
      <c r="FN80" s="673"/>
      <c r="FO80" s="673"/>
      <c r="FP80" s="673"/>
      <c r="FQ80" s="673"/>
      <c r="FR80" s="673"/>
      <c r="FS80" s="673"/>
      <c r="FT80" s="673"/>
      <c r="FU80" s="673"/>
      <c r="FV80" s="673"/>
      <c r="FW80" s="673"/>
      <c r="FX80" s="673"/>
      <c r="FY80" s="673"/>
      <c r="FZ80" s="673"/>
      <c r="GA80" s="673"/>
      <c r="GB80" s="673"/>
      <c r="GC80" s="673"/>
      <c r="GD80" s="673"/>
      <c r="GE80" s="673"/>
      <c r="GF80" s="673"/>
      <c r="GG80" s="673"/>
      <c r="GH80" s="673"/>
      <c r="GI80" s="673"/>
      <c r="GJ80" s="673"/>
      <c r="GK80" s="673"/>
      <c r="GL80" s="673"/>
      <c r="GM80" s="673"/>
      <c r="GN80" s="673"/>
      <c r="GO80" s="673"/>
      <c r="GP80" s="673"/>
      <c r="GQ80" s="673"/>
      <c r="GR80" s="673"/>
      <c r="GS80" s="673"/>
      <c r="GT80" s="673"/>
      <c r="GU80" s="673"/>
      <c r="GV80" s="673"/>
      <c r="GW80" s="673"/>
      <c r="GX80" s="673"/>
      <c r="GY80" s="673"/>
      <c r="GZ80" s="673"/>
      <c r="HA80" s="673"/>
      <c r="HB80" s="673"/>
      <c r="HC80" s="673"/>
      <c r="HD80" s="673"/>
      <c r="HE80" s="673"/>
      <c r="HF80" s="673"/>
      <c r="HG80" s="673"/>
      <c r="HH80" s="673"/>
      <c r="HI80" s="673"/>
      <c r="HJ80" s="673"/>
      <c r="HK80" s="673"/>
      <c r="HL80" s="673"/>
      <c r="HM80" s="673"/>
      <c r="HN80" s="673"/>
      <c r="HO80" s="673"/>
      <c r="HP80" s="673"/>
      <c r="HQ80" s="673"/>
      <c r="HR80" s="673"/>
      <c r="HS80" s="673"/>
      <c r="HT80" s="673"/>
      <c r="HU80" s="673"/>
      <c r="HV80" s="673"/>
      <c r="HW80" s="673"/>
      <c r="HX80" s="673"/>
      <c r="HY80" s="673"/>
      <c r="HZ80" s="673"/>
      <c r="IA80" s="673"/>
      <c r="IB80" s="673"/>
      <c r="IC80" s="673"/>
      <c r="ID80" s="673"/>
      <c r="IE80" s="673"/>
      <c r="IF80" s="673"/>
      <c r="IG80" s="673"/>
      <c r="IH80" s="673"/>
      <c r="II80" s="673"/>
      <c r="IJ80" s="673"/>
      <c r="IK80" s="673"/>
      <c r="IL80" s="673"/>
      <c r="IM80" s="673"/>
      <c r="IN80" s="673"/>
      <c r="IO80" s="673"/>
      <c r="IP80" s="673"/>
      <c r="IQ80" s="673"/>
      <c r="IR80" s="673"/>
      <c r="IS80" s="673"/>
      <c r="IT80" s="673"/>
      <c r="IU80" s="673"/>
      <c r="IV80" s="673"/>
      <c r="IW80" s="673"/>
      <c r="IX80" s="673"/>
      <c r="IY80" s="673"/>
      <c r="IZ80" s="673"/>
      <c r="JA80" s="673"/>
      <c r="JB80" s="673"/>
      <c r="JC80" s="673"/>
      <c r="JD80" s="673"/>
      <c r="JE80" s="673"/>
      <c r="JF80" s="673"/>
      <c r="JG80" s="673"/>
      <c r="JH80" s="673"/>
      <c r="JI80" s="673"/>
      <c r="JJ80" s="673"/>
      <c r="JK80" s="673"/>
      <c r="JL80" s="673"/>
      <c r="JM80" s="673"/>
      <c r="JN80" s="673"/>
      <c r="JO80" s="673"/>
      <c r="JP80" s="673"/>
      <c r="JQ80" s="673"/>
      <c r="JR80" s="673"/>
      <c r="JS80" s="673"/>
      <c r="JT80" s="673"/>
      <c r="JU80" s="673"/>
      <c r="JV80" s="673"/>
      <c r="JW80" s="673"/>
      <c r="JX80" s="673"/>
      <c r="JY80" s="673"/>
      <c r="JZ80" s="673"/>
      <c r="KA80" s="673"/>
      <c r="KB80" s="673"/>
      <c r="KC80" s="673"/>
      <c r="KD80" s="673"/>
      <c r="KE80" s="673"/>
      <c r="KF80" s="673"/>
      <c r="KG80" s="673"/>
      <c r="KH80" s="673"/>
      <c r="KI80" s="673"/>
      <c r="KJ80" s="673"/>
      <c r="KK80" s="673"/>
      <c r="KL80" s="673"/>
      <c r="KM80" s="673"/>
      <c r="KN80" s="673"/>
      <c r="KO80" s="673"/>
      <c r="KP80" s="673"/>
      <c r="KQ80" s="673"/>
      <c r="KR80" s="673"/>
      <c r="KS80" s="673"/>
      <c r="KT80" s="673"/>
      <c r="KU80" s="673"/>
      <c r="KV80" s="673"/>
      <c r="KW80" s="673"/>
      <c r="KX80" s="673"/>
      <c r="KY80" s="673"/>
      <c r="KZ80" s="673"/>
      <c r="LA80" s="673"/>
      <c r="LB80" s="673"/>
      <c r="LC80" s="673"/>
      <c r="LD80" s="673"/>
      <c r="LE80" s="673"/>
      <c r="LF80" s="673"/>
      <c r="LG80" s="673"/>
      <c r="LH80" s="673"/>
      <c r="LI80" s="673"/>
      <c r="LJ80" s="673"/>
      <c r="LK80" s="673"/>
      <c r="LL80" s="673"/>
      <c r="LM80" s="673"/>
      <c r="LN80" s="673"/>
      <c r="LO80" s="673"/>
      <c r="LP80" s="673"/>
      <c r="LQ80" s="673"/>
      <c r="LR80" s="673"/>
      <c r="LS80" s="673"/>
      <c r="LT80" s="673"/>
      <c r="LU80" s="673"/>
      <c r="LV80" s="673"/>
      <c r="LW80" s="673"/>
      <c r="LX80" s="673"/>
      <c r="LY80" s="673"/>
      <c r="LZ80" s="673"/>
      <c r="MA80" s="673"/>
      <c r="MB80" s="673"/>
      <c r="MC80" s="673"/>
      <c r="MD80" s="673"/>
      <c r="ME80" s="673"/>
      <c r="MF80" s="673"/>
      <c r="MG80" s="673"/>
      <c r="MH80" s="673"/>
      <c r="MI80" s="673"/>
      <c r="MJ80" s="673"/>
      <c r="MK80" s="673"/>
      <c r="ML80" s="673"/>
      <c r="MM80" s="673"/>
      <c r="MN80" s="673"/>
      <c r="MO80" s="673"/>
      <c r="MP80" s="673"/>
      <c r="MQ80" s="673"/>
      <c r="MR80" s="673"/>
      <c r="MS80" s="673"/>
      <c r="MT80" s="673"/>
      <c r="MU80" s="673"/>
      <c r="MV80" s="673"/>
      <c r="MW80" s="673"/>
      <c r="MX80" s="673"/>
      <c r="MY80" s="673"/>
      <c r="MZ80" s="673"/>
      <c r="NA80" s="673"/>
      <c r="NB80" s="673"/>
      <c r="NC80" s="673"/>
      <c r="ND80" s="673"/>
      <c r="NE80" s="673"/>
      <c r="NF80" s="673"/>
      <c r="NG80" s="673"/>
      <c r="NH80" s="673"/>
      <c r="NI80" s="673"/>
      <c r="NJ80" s="673"/>
      <c r="NK80" s="673"/>
      <c r="NL80" s="673"/>
      <c r="NM80" s="673"/>
      <c r="NN80" s="673"/>
      <c r="NO80" s="673"/>
      <c r="NP80" s="673"/>
      <c r="NQ80" s="673"/>
      <c r="NR80" s="673"/>
      <c r="NS80" s="673"/>
      <c r="NT80" s="673"/>
      <c r="NU80" s="673"/>
      <c r="NV80" s="673"/>
      <c r="NW80" s="673"/>
      <c r="NX80" s="673"/>
      <c r="NY80" s="673"/>
      <c r="NZ80" s="673"/>
      <c r="OA80" s="673"/>
      <c r="OB80" s="673"/>
      <c r="OC80" s="673"/>
      <c r="OD80" s="673"/>
      <c r="OE80" s="673"/>
      <c r="OF80" s="673"/>
      <c r="OG80" s="673"/>
      <c r="OH80" s="673"/>
      <c r="OI80" s="673"/>
      <c r="OJ80" s="673"/>
      <c r="OK80" s="673"/>
      <c r="OL80" s="673"/>
      <c r="OM80" s="673"/>
      <c r="ON80" s="673"/>
      <c r="OO80" s="673"/>
      <c r="OP80" s="673"/>
      <c r="OQ80" s="673"/>
      <c r="OR80" s="673"/>
      <c r="OS80" s="673"/>
      <c r="OT80" s="673"/>
      <c r="OU80" s="673"/>
      <c r="OV80" s="673"/>
      <c r="OW80" s="673"/>
      <c r="OX80" s="673"/>
      <c r="OY80" s="673"/>
      <c r="OZ80" s="673"/>
      <c r="PA80" s="673"/>
      <c r="PB80" s="673"/>
      <c r="PC80" s="673"/>
      <c r="PD80" s="673"/>
      <c r="PE80" s="673"/>
      <c r="PF80" s="673"/>
      <c r="PG80" s="673"/>
      <c r="PH80" s="673"/>
      <c r="PI80" s="673"/>
      <c r="PJ80" s="673"/>
      <c r="PK80" s="673"/>
      <c r="PL80" s="673"/>
      <c r="PM80" s="673"/>
      <c r="PN80" s="673"/>
      <c r="PO80" s="673"/>
      <c r="PP80" s="673"/>
      <c r="PQ80" s="673"/>
      <c r="PR80" s="673"/>
      <c r="PS80" s="673"/>
      <c r="PT80" s="673"/>
      <c r="PU80" s="673"/>
      <c r="PV80" s="673"/>
      <c r="PW80" s="673"/>
      <c r="PX80" s="673"/>
      <c r="PY80" s="673"/>
      <c r="PZ80" s="673"/>
      <c r="QA80" s="673"/>
      <c r="QB80" s="673"/>
      <c r="QC80" s="673"/>
      <c r="QD80" s="673"/>
      <c r="QE80" s="673"/>
      <c r="QF80" s="673"/>
      <c r="QG80" s="673"/>
      <c r="QH80" s="673"/>
      <c r="QI80" s="673"/>
      <c r="QJ80" s="673"/>
      <c r="QK80" s="673"/>
    </row>
    <row r="81" spans="1:453" s="558" customFormat="1">
      <c r="A81" s="680"/>
      <c r="B81" s="680"/>
      <c r="C81" s="2107" t="str">
        <f ca="1">TEXT(HYPERLINK("#"&amp;CELL("address",'Equipment Results Matrix'!A1212),'Equipment Results Matrix'!A1212),"0,000")</f>
        <v>Linear Fluorescent Ballasts 
(CEE/NEMA certified)</v>
      </c>
      <c r="D81" s="2107"/>
      <c r="E81" s="2107"/>
      <c r="F81" s="2107"/>
      <c r="G81" s="2107"/>
      <c r="H81" s="2107"/>
      <c r="I81" s="680"/>
      <c r="J81" s="1525" t="str">
        <f ca="1">TEXT(HYPERLINK("#"&amp;CELL("address",'Labor Results Matrix'!A720),"Labor"),"0,000")</f>
        <v>Labor</v>
      </c>
      <c r="K81" s="1525"/>
      <c r="L81" s="2107" t="str">
        <f ca="1">TEXT(HYPERLINK("#"&amp;CELL("address",'Equipment + Labor'!A678),"Total installed cost"),"0,000")</f>
        <v>Total installed cost</v>
      </c>
      <c r="M81" s="2107"/>
      <c r="N81" s="2107"/>
      <c r="O81" s="673"/>
      <c r="P81" s="673"/>
      <c r="Q81" s="673"/>
      <c r="R81" s="673"/>
      <c r="S81" s="673"/>
      <c r="T81" s="673"/>
      <c r="U81" s="673"/>
      <c r="V81" s="673"/>
      <c r="W81" s="673"/>
      <c r="X81" s="673"/>
      <c r="Y81" s="673"/>
      <c r="Z81" s="673"/>
      <c r="AA81" s="673"/>
      <c r="AB81" s="673"/>
      <c r="AC81" s="673"/>
      <c r="AD81" s="673"/>
      <c r="AE81" s="673"/>
      <c r="AF81" s="673"/>
      <c r="AG81" s="673"/>
      <c r="AH81" s="673"/>
      <c r="AI81" s="673"/>
      <c r="AJ81" s="673"/>
      <c r="AK81" s="673"/>
      <c r="AL81" s="673"/>
      <c r="AM81" s="673"/>
      <c r="AN81" s="673"/>
      <c r="AO81" s="673"/>
      <c r="AP81" s="673"/>
      <c r="AQ81" s="673"/>
      <c r="AR81" s="673"/>
      <c r="AS81" s="673"/>
      <c r="AT81" s="673"/>
      <c r="AU81" s="673"/>
      <c r="AV81" s="673"/>
      <c r="AW81" s="673"/>
      <c r="AX81" s="673"/>
      <c r="AY81" s="673"/>
      <c r="AZ81" s="673"/>
      <c r="BA81" s="673"/>
      <c r="BB81" s="673"/>
      <c r="BC81" s="673"/>
      <c r="BD81" s="673"/>
      <c r="BE81" s="673"/>
      <c r="BF81" s="673"/>
      <c r="BG81" s="673"/>
      <c r="BH81" s="673"/>
      <c r="BI81" s="673"/>
      <c r="BJ81" s="673"/>
      <c r="BK81" s="673"/>
      <c r="BL81" s="673"/>
      <c r="BM81" s="673"/>
      <c r="BN81" s="673"/>
      <c r="BO81" s="673"/>
      <c r="BP81" s="673"/>
      <c r="BQ81" s="673"/>
      <c r="BR81" s="673"/>
      <c r="BS81" s="673"/>
      <c r="BT81" s="673"/>
      <c r="BU81" s="673"/>
      <c r="BV81" s="673"/>
      <c r="BW81" s="673"/>
      <c r="BX81" s="673"/>
      <c r="BY81" s="673"/>
      <c r="BZ81" s="673"/>
      <c r="CA81" s="673"/>
      <c r="CB81" s="673"/>
      <c r="CC81" s="673"/>
      <c r="CD81" s="673"/>
      <c r="CE81" s="673"/>
      <c r="CF81" s="673"/>
      <c r="CG81" s="673"/>
      <c r="CH81" s="673"/>
      <c r="CI81" s="673"/>
      <c r="CJ81" s="673"/>
      <c r="CK81" s="673"/>
      <c r="CL81" s="673"/>
      <c r="CM81" s="673"/>
      <c r="CN81" s="673"/>
      <c r="CO81" s="673"/>
      <c r="CP81" s="673"/>
      <c r="CQ81" s="673"/>
      <c r="CR81" s="673"/>
      <c r="CS81" s="673"/>
      <c r="CT81" s="673"/>
      <c r="CU81" s="673"/>
      <c r="CV81" s="673"/>
      <c r="CW81" s="673"/>
      <c r="CX81" s="673"/>
      <c r="CY81" s="673"/>
      <c r="CZ81" s="673"/>
      <c r="DA81" s="673"/>
      <c r="DB81" s="673"/>
      <c r="DC81" s="673"/>
      <c r="DD81" s="673"/>
      <c r="DE81" s="673"/>
      <c r="DF81" s="673"/>
      <c r="DG81" s="673"/>
      <c r="DH81" s="673"/>
      <c r="DI81" s="673"/>
      <c r="DJ81" s="673"/>
      <c r="DK81" s="673"/>
      <c r="DL81" s="673"/>
      <c r="DM81" s="673"/>
      <c r="DN81" s="673"/>
      <c r="DO81" s="673"/>
      <c r="DP81" s="673"/>
      <c r="DQ81" s="673"/>
      <c r="DR81" s="673"/>
      <c r="DS81" s="673"/>
      <c r="DT81" s="673"/>
      <c r="DU81" s="673"/>
      <c r="DV81" s="673"/>
      <c r="DW81" s="673"/>
      <c r="DX81" s="673"/>
      <c r="DY81" s="673"/>
      <c r="DZ81" s="673"/>
      <c r="EA81" s="673"/>
      <c r="EB81" s="673"/>
      <c r="EC81" s="673"/>
      <c r="ED81" s="673"/>
      <c r="EE81" s="673"/>
      <c r="EF81" s="673"/>
      <c r="EG81" s="673"/>
      <c r="EH81" s="673"/>
      <c r="EI81" s="673"/>
      <c r="EJ81" s="673"/>
      <c r="EK81" s="673"/>
      <c r="EL81" s="673"/>
      <c r="EM81" s="673"/>
      <c r="EN81" s="673"/>
      <c r="EO81" s="673"/>
      <c r="EP81" s="673"/>
      <c r="EQ81" s="673"/>
      <c r="ER81" s="673"/>
      <c r="ES81" s="673"/>
      <c r="ET81" s="673"/>
      <c r="EU81" s="673"/>
      <c r="EV81" s="673"/>
      <c r="EW81" s="673"/>
      <c r="EX81" s="673"/>
      <c r="EY81" s="673"/>
      <c r="EZ81" s="673"/>
      <c r="FA81" s="673"/>
      <c r="FB81" s="673"/>
      <c r="FC81" s="673"/>
      <c r="FD81" s="673"/>
      <c r="FE81" s="673"/>
      <c r="FF81" s="673"/>
      <c r="FG81" s="673"/>
      <c r="FH81" s="673"/>
      <c r="FI81" s="673"/>
      <c r="FJ81" s="673"/>
      <c r="FK81" s="673"/>
      <c r="FL81" s="673"/>
      <c r="FM81" s="673"/>
      <c r="FN81" s="673"/>
      <c r="FO81" s="673"/>
      <c r="FP81" s="673"/>
      <c r="FQ81" s="673"/>
      <c r="FR81" s="673"/>
      <c r="FS81" s="673"/>
      <c r="FT81" s="673"/>
      <c r="FU81" s="673"/>
      <c r="FV81" s="673"/>
      <c r="FW81" s="673"/>
      <c r="FX81" s="673"/>
      <c r="FY81" s="673"/>
      <c r="FZ81" s="673"/>
      <c r="GA81" s="673"/>
      <c r="GB81" s="673"/>
      <c r="GC81" s="673"/>
      <c r="GD81" s="673"/>
      <c r="GE81" s="673"/>
      <c r="GF81" s="673"/>
      <c r="GG81" s="673"/>
      <c r="GH81" s="673"/>
      <c r="GI81" s="673"/>
      <c r="GJ81" s="673"/>
      <c r="GK81" s="673"/>
      <c r="GL81" s="673"/>
      <c r="GM81" s="673"/>
      <c r="GN81" s="673"/>
      <c r="GO81" s="673"/>
      <c r="GP81" s="673"/>
      <c r="GQ81" s="673"/>
      <c r="GR81" s="673"/>
      <c r="GS81" s="673"/>
      <c r="GT81" s="673"/>
      <c r="GU81" s="673"/>
      <c r="GV81" s="673"/>
      <c r="GW81" s="673"/>
      <c r="GX81" s="673"/>
      <c r="GY81" s="673"/>
      <c r="GZ81" s="673"/>
      <c r="HA81" s="673"/>
      <c r="HB81" s="673"/>
      <c r="HC81" s="673"/>
      <c r="HD81" s="673"/>
      <c r="HE81" s="673"/>
      <c r="HF81" s="673"/>
      <c r="HG81" s="673"/>
      <c r="HH81" s="673"/>
      <c r="HI81" s="673"/>
      <c r="HJ81" s="673"/>
      <c r="HK81" s="673"/>
      <c r="HL81" s="673"/>
      <c r="HM81" s="673"/>
      <c r="HN81" s="673"/>
      <c r="HO81" s="673"/>
      <c r="HP81" s="673"/>
      <c r="HQ81" s="673"/>
      <c r="HR81" s="673"/>
      <c r="HS81" s="673"/>
      <c r="HT81" s="673"/>
      <c r="HU81" s="673"/>
      <c r="HV81" s="673"/>
      <c r="HW81" s="673"/>
      <c r="HX81" s="673"/>
      <c r="HY81" s="673"/>
      <c r="HZ81" s="673"/>
      <c r="IA81" s="673"/>
      <c r="IB81" s="673"/>
      <c r="IC81" s="673"/>
      <c r="ID81" s="673"/>
      <c r="IE81" s="673"/>
      <c r="IF81" s="673"/>
      <c r="IG81" s="673"/>
      <c r="IH81" s="673"/>
      <c r="II81" s="673"/>
      <c r="IJ81" s="673"/>
      <c r="IK81" s="673"/>
      <c r="IL81" s="673"/>
      <c r="IM81" s="673"/>
      <c r="IN81" s="673"/>
      <c r="IO81" s="673"/>
      <c r="IP81" s="673"/>
      <c r="IQ81" s="673"/>
      <c r="IR81" s="673"/>
      <c r="IS81" s="673"/>
      <c r="IT81" s="673"/>
      <c r="IU81" s="673"/>
      <c r="IV81" s="673"/>
      <c r="IW81" s="673"/>
      <c r="IX81" s="673"/>
      <c r="IY81" s="673"/>
      <c r="IZ81" s="673"/>
      <c r="JA81" s="673"/>
      <c r="JB81" s="673"/>
      <c r="JC81" s="673"/>
      <c r="JD81" s="673"/>
      <c r="JE81" s="673"/>
      <c r="JF81" s="673"/>
      <c r="JG81" s="673"/>
      <c r="JH81" s="673"/>
      <c r="JI81" s="673"/>
      <c r="JJ81" s="673"/>
      <c r="JK81" s="673"/>
      <c r="JL81" s="673"/>
      <c r="JM81" s="673"/>
      <c r="JN81" s="673"/>
      <c r="JO81" s="673"/>
      <c r="JP81" s="673"/>
      <c r="JQ81" s="673"/>
      <c r="JR81" s="673"/>
      <c r="JS81" s="673"/>
      <c r="JT81" s="673"/>
      <c r="JU81" s="673"/>
      <c r="JV81" s="673"/>
      <c r="JW81" s="673"/>
      <c r="JX81" s="673"/>
      <c r="JY81" s="673"/>
      <c r="JZ81" s="673"/>
      <c r="KA81" s="673"/>
      <c r="KB81" s="673"/>
      <c r="KC81" s="673"/>
      <c r="KD81" s="673"/>
      <c r="KE81" s="673"/>
      <c r="KF81" s="673"/>
      <c r="KG81" s="673"/>
      <c r="KH81" s="673"/>
      <c r="KI81" s="673"/>
      <c r="KJ81" s="673"/>
      <c r="KK81" s="673"/>
      <c r="KL81" s="673"/>
      <c r="KM81" s="673"/>
      <c r="KN81" s="673"/>
      <c r="KO81" s="673"/>
      <c r="KP81" s="673"/>
      <c r="KQ81" s="673"/>
      <c r="KR81" s="673"/>
      <c r="KS81" s="673"/>
      <c r="KT81" s="673"/>
      <c r="KU81" s="673"/>
      <c r="KV81" s="673"/>
      <c r="KW81" s="673"/>
      <c r="KX81" s="673"/>
      <c r="KY81" s="673"/>
      <c r="KZ81" s="673"/>
      <c r="LA81" s="673"/>
      <c r="LB81" s="673"/>
      <c r="LC81" s="673"/>
      <c r="LD81" s="673"/>
      <c r="LE81" s="673"/>
      <c r="LF81" s="673"/>
      <c r="LG81" s="673"/>
      <c r="LH81" s="673"/>
      <c r="LI81" s="673"/>
      <c r="LJ81" s="673"/>
      <c r="LK81" s="673"/>
      <c r="LL81" s="673"/>
      <c r="LM81" s="673"/>
      <c r="LN81" s="673"/>
      <c r="LO81" s="673"/>
      <c r="LP81" s="673"/>
      <c r="LQ81" s="673"/>
      <c r="LR81" s="673"/>
      <c r="LS81" s="673"/>
      <c r="LT81" s="673"/>
      <c r="LU81" s="673"/>
      <c r="LV81" s="673"/>
      <c r="LW81" s="673"/>
      <c r="LX81" s="673"/>
      <c r="LY81" s="673"/>
      <c r="LZ81" s="673"/>
      <c r="MA81" s="673"/>
      <c r="MB81" s="673"/>
      <c r="MC81" s="673"/>
      <c r="MD81" s="673"/>
      <c r="ME81" s="673"/>
      <c r="MF81" s="673"/>
      <c r="MG81" s="673"/>
      <c r="MH81" s="673"/>
      <c r="MI81" s="673"/>
      <c r="MJ81" s="673"/>
      <c r="MK81" s="673"/>
      <c r="ML81" s="673"/>
      <c r="MM81" s="673"/>
      <c r="MN81" s="673"/>
      <c r="MO81" s="673"/>
      <c r="MP81" s="673"/>
      <c r="MQ81" s="673"/>
      <c r="MR81" s="673"/>
      <c r="MS81" s="673"/>
      <c r="MT81" s="673"/>
      <c r="MU81" s="673"/>
      <c r="MV81" s="673"/>
      <c r="MW81" s="673"/>
      <c r="MX81" s="673"/>
      <c r="MY81" s="673"/>
      <c r="MZ81" s="673"/>
      <c r="NA81" s="673"/>
      <c r="NB81" s="673"/>
      <c r="NC81" s="673"/>
      <c r="ND81" s="673"/>
      <c r="NE81" s="673"/>
      <c r="NF81" s="673"/>
      <c r="NG81" s="673"/>
      <c r="NH81" s="673"/>
      <c r="NI81" s="673"/>
      <c r="NJ81" s="673"/>
      <c r="NK81" s="673"/>
      <c r="NL81" s="673"/>
      <c r="NM81" s="673"/>
      <c r="NN81" s="673"/>
      <c r="NO81" s="673"/>
      <c r="NP81" s="673"/>
      <c r="NQ81" s="673"/>
      <c r="NR81" s="673"/>
      <c r="NS81" s="673"/>
      <c r="NT81" s="673"/>
      <c r="NU81" s="673"/>
      <c r="NV81" s="673"/>
      <c r="NW81" s="673"/>
      <c r="NX81" s="673"/>
      <c r="NY81" s="673"/>
      <c r="NZ81" s="673"/>
      <c r="OA81" s="673"/>
      <c r="OB81" s="673"/>
      <c r="OC81" s="673"/>
      <c r="OD81" s="673"/>
      <c r="OE81" s="673"/>
      <c r="OF81" s="673"/>
      <c r="OG81" s="673"/>
      <c r="OH81" s="673"/>
      <c r="OI81" s="673"/>
      <c r="OJ81" s="673"/>
      <c r="OK81" s="673"/>
      <c r="OL81" s="673"/>
      <c r="OM81" s="673"/>
      <c r="ON81" s="673"/>
      <c r="OO81" s="673"/>
      <c r="OP81" s="673"/>
      <c r="OQ81" s="673"/>
      <c r="OR81" s="673"/>
      <c r="OS81" s="673"/>
      <c r="OT81" s="673"/>
      <c r="OU81" s="673"/>
      <c r="OV81" s="673"/>
      <c r="OW81" s="673"/>
      <c r="OX81" s="673"/>
      <c r="OY81" s="673"/>
      <c r="OZ81" s="673"/>
      <c r="PA81" s="673"/>
      <c r="PB81" s="673"/>
      <c r="PC81" s="673"/>
      <c r="PD81" s="673"/>
      <c r="PE81" s="673"/>
      <c r="PF81" s="673"/>
      <c r="PG81" s="673"/>
      <c r="PH81" s="673"/>
      <c r="PI81" s="673"/>
      <c r="PJ81" s="673"/>
      <c r="PK81" s="673"/>
      <c r="PL81" s="673"/>
      <c r="PM81" s="673"/>
      <c r="PN81" s="673"/>
      <c r="PO81" s="673"/>
      <c r="PP81" s="673"/>
      <c r="PQ81" s="673"/>
      <c r="PR81" s="673"/>
      <c r="PS81" s="673"/>
      <c r="PT81" s="673"/>
      <c r="PU81" s="673"/>
      <c r="PV81" s="673"/>
      <c r="PW81" s="673"/>
      <c r="PX81" s="673"/>
      <c r="PY81" s="673"/>
      <c r="PZ81" s="673"/>
      <c r="QA81" s="673"/>
      <c r="QB81" s="673"/>
      <c r="QC81" s="673"/>
      <c r="QD81" s="673"/>
      <c r="QE81" s="673"/>
      <c r="QF81" s="673"/>
      <c r="QG81" s="673"/>
      <c r="QH81" s="673"/>
      <c r="QI81" s="673"/>
      <c r="QJ81" s="673"/>
      <c r="QK81" s="673"/>
    </row>
    <row r="82" spans="1:453" s="558" customFormat="1">
      <c r="A82" s="680"/>
      <c r="B82" s="680"/>
      <c r="C82" s="2107" t="str">
        <f ca="1">TEXT(HYPERLINK("#"&amp;CELL("address",'Equipment Results Matrix'!A1223),'Equipment Results Matrix'!A1223),"0,000")</f>
        <v>Linear Fluorescent Ballasts 
(non-CEE/NEMA certified)</v>
      </c>
      <c r="D82" s="2107"/>
      <c r="E82" s="2107"/>
      <c r="F82" s="2107"/>
      <c r="G82" s="2107"/>
      <c r="H82" s="2107"/>
      <c r="I82" s="680"/>
      <c r="J82" s="1525" t="str">
        <f ca="1">TEXT(HYPERLINK("#"&amp;CELL("address",'Labor Results Matrix'!A731),"Labor"),"0,000")</f>
        <v>Labor</v>
      </c>
      <c r="K82" s="1525"/>
      <c r="L82" s="2107" t="str">
        <f ca="1">TEXT(HYPERLINK("#"&amp;CELL("address",'Equipment + Labor'!A678),"Total installed cost"),"0,000")</f>
        <v>Total installed cost</v>
      </c>
      <c r="M82" s="2107"/>
      <c r="N82" s="2107"/>
      <c r="O82" s="673"/>
      <c r="P82" s="673"/>
      <c r="Q82" s="673"/>
      <c r="R82" s="673"/>
      <c r="S82" s="673"/>
      <c r="T82" s="673"/>
      <c r="U82" s="673"/>
      <c r="V82" s="673"/>
      <c r="W82" s="673"/>
      <c r="X82" s="673"/>
      <c r="Y82" s="673"/>
      <c r="Z82" s="673"/>
      <c r="AA82" s="673"/>
      <c r="AB82" s="673"/>
      <c r="AC82" s="673"/>
      <c r="AD82" s="673"/>
      <c r="AE82" s="673"/>
      <c r="AF82" s="673"/>
      <c r="AG82" s="673"/>
      <c r="AH82" s="673"/>
      <c r="AI82" s="673"/>
      <c r="AJ82" s="673"/>
      <c r="AK82" s="673"/>
      <c r="AL82" s="673"/>
      <c r="AM82" s="673"/>
      <c r="AN82" s="673"/>
      <c r="AO82" s="673"/>
      <c r="AP82" s="673"/>
      <c r="AQ82" s="673"/>
      <c r="AR82" s="673"/>
      <c r="AS82" s="673"/>
      <c r="AT82" s="673"/>
      <c r="AU82" s="673"/>
      <c r="AV82" s="673"/>
      <c r="AW82" s="673"/>
      <c r="AX82" s="673"/>
      <c r="AY82" s="673"/>
      <c r="AZ82" s="673"/>
      <c r="BA82" s="673"/>
      <c r="BB82" s="673"/>
      <c r="BC82" s="673"/>
      <c r="BD82" s="673"/>
      <c r="BE82" s="673"/>
      <c r="BF82" s="673"/>
      <c r="BG82" s="673"/>
      <c r="BH82" s="673"/>
      <c r="BI82" s="673"/>
      <c r="BJ82" s="673"/>
      <c r="BK82" s="673"/>
      <c r="BL82" s="673"/>
      <c r="BM82" s="673"/>
      <c r="BN82" s="673"/>
      <c r="BO82" s="673"/>
      <c r="BP82" s="673"/>
      <c r="BQ82" s="673"/>
      <c r="BR82" s="673"/>
      <c r="BS82" s="673"/>
      <c r="BT82" s="673"/>
      <c r="BU82" s="673"/>
      <c r="BV82" s="673"/>
      <c r="BW82" s="673"/>
      <c r="BX82" s="673"/>
      <c r="BY82" s="673"/>
      <c r="BZ82" s="673"/>
      <c r="CA82" s="673"/>
      <c r="CB82" s="673"/>
      <c r="CC82" s="673"/>
      <c r="CD82" s="673"/>
      <c r="CE82" s="673"/>
      <c r="CF82" s="673"/>
      <c r="CG82" s="673"/>
      <c r="CH82" s="673"/>
      <c r="CI82" s="673"/>
      <c r="CJ82" s="673"/>
      <c r="CK82" s="673"/>
      <c r="CL82" s="673"/>
      <c r="CM82" s="673"/>
      <c r="CN82" s="673"/>
      <c r="CO82" s="673"/>
      <c r="CP82" s="673"/>
      <c r="CQ82" s="673"/>
      <c r="CR82" s="673"/>
      <c r="CS82" s="673"/>
      <c r="CT82" s="673"/>
      <c r="CU82" s="673"/>
      <c r="CV82" s="673"/>
      <c r="CW82" s="673"/>
      <c r="CX82" s="673"/>
      <c r="CY82" s="673"/>
      <c r="CZ82" s="673"/>
      <c r="DA82" s="673"/>
      <c r="DB82" s="673"/>
      <c r="DC82" s="673"/>
      <c r="DD82" s="673"/>
      <c r="DE82" s="673"/>
      <c r="DF82" s="673"/>
      <c r="DG82" s="673"/>
      <c r="DH82" s="673"/>
      <c r="DI82" s="673"/>
      <c r="DJ82" s="673"/>
      <c r="DK82" s="673"/>
      <c r="DL82" s="673"/>
      <c r="DM82" s="673"/>
      <c r="DN82" s="673"/>
      <c r="DO82" s="673"/>
      <c r="DP82" s="673"/>
      <c r="DQ82" s="673"/>
      <c r="DR82" s="673"/>
      <c r="DS82" s="673"/>
      <c r="DT82" s="673"/>
      <c r="DU82" s="673"/>
      <c r="DV82" s="673"/>
      <c r="DW82" s="673"/>
      <c r="DX82" s="673"/>
      <c r="DY82" s="673"/>
      <c r="DZ82" s="673"/>
      <c r="EA82" s="673"/>
      <c r="EB82" s="673"/>
      <c r="EC82" s="673"/>
      <c r="ED82" s="673"/>
      <c r="EE82" s="673"/>
      <c r="EF82" s="673"/>
      <c r="EG82" s="673"/>
      <c r="EH82" s="673"/>
      <c r="EI82" s="673"/>
      <c r="EJ82" s="673"/>
      <c r="EK82" s="673"/>
      <c r="EL82" s="673"/>
      <c r="EM82" s="673"/>
      <c r="EN82" s="673"/>
      <c r="EO82" s="673"/>
      <c r="EP82" s="673"/>
      <c r="EQ82" s="673"/>
      <c r="ER82" s="673"/>
      <c r="ES82" s="673"/>
      <c r="ET82" s="673"/>
      <c r="EU82" s="673"/>
      <c r="EV82" s="673"/>
      <c r="EW82" s="673"/>
      <c r="EX82" s="673"/>
      <c r="EY82" s="673"/>
      <c r="EZ82" s="673"/>
      <c r="FA82" s="673"/>
      <c r="FB82" s="673"/>
      <c r="FC82" s="673"/>
      <c r="FD82" s="673"/>
      <c r="FE82" s="673"/>
      <c r="FF82" s="673"/>
      <c r="FG82" s="673"/>
      <c r="FH82" s="673"/>
      <c r="FI82" s="673"/>
      <c r="FJ82" s="673"/>
      <c r="FK82" s="673"/>
      <c r="FL82" s="673"/>
      <c r="FM82" s="673"/>
      <c r="FN82" s="673"/>
      <c r="FO82" s="673"/>
      <c r="FP82" s="673"/>
      <c r="FQ82" s="673"/>
      <c r="FR82" s="673"/>
      <c r="FS82" s="673"/>
      <c r="FT82" s="673"/>
      <c r="FU82" s="673"/>
      <c r="FV82" s="673"/>
      <c r="FW82" s="673"/>
      <c r="FX82" s="673"/>
      <c r="FY82" s="673"/>
      <c r="FZ82" s="673"/>
      <c r="GA82" s="673"/>
      <c r="GB82" s="673"/>
      <c r="GC82" s="673"/>
      <c r="GD82" s="673"/>
      <c r="GE82" s="673"/>
      <c r="GF82" s="673"/>
      <c r="GG82" s="673"/>
      <c r="GH82" s="673"/>
      <c r="GI82" s="673"/>
      <c r="GJ82" s="673"/>
      <c r="GK82" s="673"/>
      <c r="GL82" s="673"/>
      <c r="GM82" s="673"/>
      <c r="GN82" s="673"/>
      <c r="GO82" s="673"/>
      <c r="GP82" s="673"/>
      <c r="GQ82" s="673"/>
      <c r="GR82" s="673"/>
      <c r="GS82" s="673"/>
      <c r="GT82" s="673"/>
      <c r="GU82" s="673"/>
      <c r="GV82" s="673"/>
      <c r="GW82" s="673"/>
      <c r="GX82" s="673"/>
      <c r="GY82" s="673"/>
      <c r="GZ82" s="673"/>
      <c r="HA82" s="673"/>
      <c r="HB82" s="673"/>
      <c r="HC82" s="673"/>
      <c r="HD82" s="673"/>
      <c r="HE82" s="673"/>
      <c r="HF82" s="673"/>
      <c r="HG82" s="673"/>
      <c r="HH82" s="673"/>
      <c r="HI82" s="673"/>
      <c r="HJ82" s="673"/>
      <c r="HK82" s="673"/>
      <c r="HL82" s="673"/>
      <c r="HM82" s="673"/>
      <c r="HN82" s="673"/>
      <c r="HO82" s="673"/>
      <c r="HP82" s="673"/>
      <c r="HQ82" s="673"/>
      <c r="HR82" s="673"/>
      <c r="HS82" s="673"/>
      <c r="HT82" s="673"/>
      <c r="HU82" s="673"/>
      <c r="HV82" s="673"/>
      <c r="HW82" s="673"/>
      <c r="HX82" s="673"/>
      <c r="HY82" s="673"/>
      <c r="HZ82" s="673"/>
      <c r="IA82" s="673"/>
      <c r="IB82" s="673"/>
      <c r="IC82" s="673"/>
      <c r="ID82" s="673"/>
      <c r="IE82" s="673"/>
      <c r="IF82" s="673"/>
      <c r="IG82" s="673"/>
      <c r="IH82" s="673"/>
      <c r="II82" s="673"/>
      <c r="IJ82" s="673"/>
      <c r="IK82" s="673"/>
      <c r="IL82" s="673"/>
      <c r="IM82" s="673"/>
      <c r="IN82" s="673"/>
      <c r="IO82" s="673"/>
      <c r="IP82" s="673"/>
      <c r="IQ82" s="673"/>
      <c r="IR82" s="673"/>
      <c r="IS82" s="673"/>
      <c r="IT82" s="673"/>
      <c r="IU82" s="673"/>
      <c r="IV82" s="673"/>
      <c r="IW82" s="673"/>
      <c r="IX82" s="673"/>
      <c r="IY82" s="673"/>
      <c r="IZ82" s="673"/>
      <c r="JA82" s="673"/>
      <c r="JB82" s="673"/>
      <c r="JC82" s="673"/>
      <c r="JD82" s="673"/>
      <c r="JE82" s="673"/>
      <c r="JF82" s="673"/>
      <c r="JG82" s="673"/>
      <c r="JH82" s="673"/>
      <c r="JI82" s="673"/>
      <c r="JJ82" s="673"/>
      <c r="JK82" s="673"/>
      <c r="JL82" s="673"/>
      <c r="JM82" s="673"/>
      <c r="JN82" s="673"/>
      <c r="JO82" s="673"/>
      <c r="JP82" s="673"/>
      <c r="JQ82" s="673"/>
      <c r="JR82" s="673"/>
      <c r="JS82" s="673"/>
      <c r="JT82" s="673"/>
      <c r="JU82" s="673"/>
      <c r="JV82" s="673"/>
      <c r="JW82" s="673"/>
      <c r="JX82" s="673"/>
      <c r="JY82" s="673"/>
      <c r="JZ82" s="673"/>
      <c r="KA82" s="673"/>
      <c r="KB82" s="673"/>
      <c r="KC82" s="673"/>
      <c r="KD82" s="673"/>
      <c r="KE82" s="673"/>
      <c r="KF82" s="673"/>
      <c r="KG82" s="673"/>
      <c r="KH82" s="673"/>
      <c r="KI82" s="673"/>
      <c r="KJ82" s="673"/>
      <c r="KK82" s="673"/>
      <c r="KL82" s="673"/>
      <c r="KM82" s="673"/>
      <c r="KN82" s="673"/>
      <c r="KO82" s="673"/>
      <c r="KP82" s="673"/>
      <c r="KQ82" s="673"/>
      <c r="KR82" s="673"/>
      <c r="KS82" s="673"/>
      <c r="KT82" s="673"/>
      <c r="KU82" s="673"/>
      <c r="KV82" s="673"/>
      <c r="KW82" s="673"/>
      <c r="KX82" s="673"/>
      <c r="KY82" s="673"/>
      <c r="KZ82" s="673"/>
      <c r="LA82" s="673"/>
      <c r="LB82" s="673"/>
      <c r="LC82" s="673"/>
      <c r="LD82" s="673"/>
      <c r="LE82" s="673"/>
      <c r="LF82" s="673"/>
      <c r="LG82" s="673"/>
      <c r="LH82" s="673"/>
      <c r="LI82" s="673"/>
      <c r="LJ82" s="673"/>
      <c r="LK82" s="673"/>
      <c r="LL82" s="673"/>
      <c r="LM82" s="673"/>
      <c r="LN82" s="673"/>
      <c r="LO82" s="673"/>
      <c r="LP82" s="673"/>
      <c r="LQ82" s="673"/>
      <c r="LR82" s="673"/>
      <c r="LS82" s="673"/>
      <c r="LT82" s="673"/>
      <c r="LU82" s="673"/>
      <c r="LV82" s="673"/>
      <c r="LW82" s="673"/>
      <c r="LX82" s="673"/>
      <c r="LY82" s="673"/>
      <c r="LZ82" s="673"/>
      <c r="MA82" s="673"/>
      <c r="MB82" s="673"/>
      <c r="MC82" s="673"/>
      <c r="MD82" s="673"/>
      <c r="ME82" s="673"/>
      <c r="MF82" s="673"/>
      <c r="MG82" s="673"/>
      <c r="MH82" s="673"/>
      <c r="MI82" s="673"/>
      <c r="MJ82" s="673"/>
      <c r="MK82" s="673"/>
      <c r="ML82" s="673"/>
      <c r="MM82" s="673"/>
      <c r="MN82" s="673"/>
      <c r="MO82" s="673"/>
      <c r="MP82" s="673"/>
      <c r="MQ82" s="673"/>
      <c r="MR82" s="673"/>
      <c r="MS82" s="673"/>
      <c r="MT82" s="673"/>
      <c r="MU82" s="673"/>
      <c r="MV82" s="673"/>
      <c r="MW82" s="673"/>
      <c r="MX82" s="673"/>
      <c r="MY82" s="673"/>
      <c r="MZ82" s="673"/>
      <c r="NA82" s="673"/>
      <c r="NB82" s="673"/>
      <c r="NC82" s="673"/>
      <c r="ND82" s="673"/>
      <c r="NE82" s="673"/>
      <c r="NF82" s="673"/>
      <c r="NG82" s="673"/>
      <c r="NH82" s="673"/>
      <c r="NI82" s="673"/>
      <c r="NJ82" s="673"/>
      <c r="NK82" s="673"/>
      <c r="NL82" s="673"/>
      <c r="NM82" s="673"/>
      <c r="NN82" s="673"/>
      <c r="NO82" s="673"/>
      <c r="NP82" s="673"/>
      <c r="NQ82" s="673"/>
      <c r="NR82" s="673"/>
      <c r="NS82" s="673"/>
      <c r="NT82" s="673"/>
      <c r="NU82" s="673"/>
      <c r="NV82" s="673"/>
      <c r="NW82" s="673"/>
      <c r="NX82" s="673"/>
      <c r="NY82" s="673"/>
      <c r="NZ82" s="673"/>
      <c r="OA82" s="673"/>
      <c r="OB82" s="673"/>
      <c r="OC82" s="673"/>
      <c r="OD82" s="673"/>
      <c r="OE82" s="673"/>
      <c r="OF82" s="673"/>
      <c r="OG82" s="673"/>
      <c r="OH82" s="673"/>
      <c r="OI82" s="673"/>
      <c r="OJ82" s="673"/>
      <c r="OK82" s="673"/>
      <c r="OL82" s="673"/>
      <c r="OM82" s="673"/>
      <c r="ON82" s="673"/>
      <c r="OO82" s="673"/>
      <c r="OP82" s="673"/>
      <c r="OQ82" s="673"/>
      <c r="OR82" s="673"/>
      <c r="OS82" s="673"/>
      <c r="OT82" s="673"/>
      <c r="OU82" s="673"/>
      <c r="OV82" s="673"/>
      <c r="OW82" s="673"/>
      <c r="OX82" s="673"/>
      <c r="OY82" s="673"/>
      <c r="OZ82" s="673"/>
      <c r="PA82" s="673"/>
      <c r="PB82" s="673"/>
      <c r="PC82" s="673"/>
      <c r="PD82" s="673"/>
      <c r="PE82" s="673"/>
      <c r="PF82" s="673"/>
      <c r="PG82" s="673"/>
      <c r="PH82" s="673"/>
      <c r="PI82" s="673"/>
      <c r="PJ82" s="673"/>
      <c r="PK82" s="673"/>
      <c r="PL82" s="673"/>
      <c r="PM82" s="673"/>
      <c r="PN82" s="673"/>
      <c r="PO82" s="673"/>
      <c r="PP82" s="673"/>
      <c r="PQ82" s="673"/>
      <c r="PR82" s="673"/>
      <c r="PS82" s="673"/>
      <c r="PT82" s="673"/>
      <c r="PU82" s="673"/>
      <c r="PV82" s="673"/>
      <c r="PW82" s="673"/>
      <c r="PX82" s="673"/>
      <c r="PY82" s="673"/>
      <c r="PZ82" s="673"/>
      <c r="QA82" s="673"/>
      <c r="QB82" s="673"/>
      <c r="QC82" s="673"/>
      <c r="QD82" s="673"/>
      <c r="QE82" s="673"/>
      <c r="QF82" s="673"/>
      <c r="QG82" s="673"/>
      <c r="QH82" s="673"/>
      <c r="QI82" s="673"/>
      <c r="QJ82" s="673"/>
      <c r="QK82" s="673"/>
    </row>
    <row r="83" spans="1:453" s="558" customFormat="1" ht="18.75">
      <c r="A83" s="680"/>
      <c r="B83" s="2109" t="str">
        <f ca="1">TEXT(HYPERLINK("#"&amp;CELL("address",'Equipment Results Matrix'!A1233),'Equipment Results Matrix'!A1233),"0,000")</f>
        <v>Lighting - Fixtures</v>
      </c>
      <c r="C83" s="2109"/>
      <c r="D83" s="2109"/>
      <c r="E83" s="1306"/>
      <c r="F83" s="1307"/>
      <c r="G83" s="680"/>
      <c r="H83" s="680"/>
      <c r="I83" s="680"/>
      <c r="J83" s="1525"/>
      <c r="K83" s="1525"/>
      <c r="L83" s="2107"/>
      <c r="M83" s="2107"/>
      <c r="N83" s="2107"/>
      <c r="O83" s="673"/>
      <c r="P83" s="673"/>
      <c r="Q83" s="673"/>
      <c r="R83" s="673"/>
      <c r="S83" s="673"/>
      <c r="T83" s="673"/>
      <c r="U83" s="673"/>
      <c r="V83" s="673"/>
      <c r="W83" s="673"/>
      <c r="X83" s="673"/>
      <c r="Y83" s="673"/>
      <c r="Z83" s="673"/>
      <c r="AA83" s="673"/>
      <c r="AB83" s="673"/>
      <c r="AC83" s="673"/>
      <c r="AD83" s="673"/>
      <c r="AE83" s="673"/>
      <c r="AF83" s="673"/>
      <c r="AG83" s="673"/>
      <c r="AH83" s="673"/>
      <c r="AI83" s="673"/>
      <c r="AJ83" s="673"/>
      <c r="AK83" s="673"/>
      <c r="AL83" s="673"/>
      <c r="AM83" s="673"/>
      <c r="AN83" s="673"/>
      <c r="AO83" s="673"/>
      <c r="AP83" s="673"/>
      <c r="AQ83" s="673"/>
      <c r="AR83" s="673"/>
      <c r="AS83" s="673"/>
      <c r="AT83" s="673"/>
      <c r="AU83" s="673"/>
      <c r="AV83" s="673"/>
      <c r="AW83" s="673"/>
      <c r="AX83" s="673"/>
      <c r="AY83" s="673"/>
      <c r="AZ83" s="673"/>
      <c r="BA83" s="673"/>
      <c r="BB83" s="673"/>
      <c r="BC83" s="673"/>
      <c r="BD83" s="673"/>
      <c r="BE83" s="673"/>
      <c r="BF83" s="673"/>
      <c r="BG83" s="673"/>
      <c r="BH83" s="673"/>
      <c r="BI83" s="673"/>
      <c r="BJ83" s="673"/>
      <c r="BK83" s="673"/>
      <c r="BL83" s="673"/>
      <c r="BM83" s="673"/>
      <c r="BN83" s="673"/>
      <c r="BO83" s="673"/>
      <c r="BP83" s="673"/>
      <c r="BQ83" s="673"/>
      <c r="BR83" s="673"/>
      <c r="BS83" s="673"/>
      <c r="BT83" s="673"/>
      <c r="BU83" s="673"/>
      <c r="BV83" s="673"/>
      <c r="BW83" s="673"/>
      <c r="BX83" s="673"/>
      <c r="BY83" s="673"/>
      <c r="BZ83" s="673"/>
      <c r="CA83" s="673"/>
      <c r="CB83" s="673"/>
      <c r="CC83" s="673"/>
      <c r="CD83" s="673"/>
      <c r="CE83" s="673"/>
      <c r="CF83" s="673"/>
      <c r="CG83" s="673"/>
      <c r="CH83" s="673"/>
      <c r="CI83" s="673"/>
      <c r="CJ83" s="673"/>
      <c r="CK83" s="673"/>
      <c r="CL83" s="673"/>
      <c r="CM83" s="673"/>
      <c r="CN83" s="673"/>
      <c r="CO83" s="673"/>
      <c r="CP83" s="673"/>
      <c r="CQ83" s="673"/>
      <c r="CR83" s="673"/>
      <c r="CS83" s="673"/>
      <c r="CT83" s="673"/>
      <c r="CU83" s="673"/>
      <c r="CV83" s="673"/>
      <c r="CW83" s="673"/>
      <c r="CX83" s="673"/>
      <c r="CY83" s="673"/>
      <c r="CZ83" s="673"/>
      <c r="DA83" s="673"/>
      <c r="DB83" s="673"/>
      <c r="DC83" s="673"/>
      <c r="DD83" s="673"/>
      <c r="DE83" s="673"/>
      <c r="DF83" s="673"/>
      <c r="DG83" s="673"/>
      <c r="DH83" s="673"/>
      <c r="DI83" s="673"/>
      <c r="DJ83" s="673"/>
      <c r="DK83" s="673"/>
      <c r="DL83" s="673"/>
      <c r="DM83" s="673"/>
      <c r="DN83" s="673"/>
      <c r="DO83" s="673"/>
      <c r="DP83" s="673"/>
      <c r="DQ83" s="673"/>
      <c r="DR83" s="673"/>
      <c r="DS83" s="673"/>
      <c r="DT83" s="673"/>
      <c r="DU83" s="673"/>
      <c r="DV83" s="673"/>
      <c r="DW83" s="673"/>
      <c r="DX83" s="673"/>
      <c r="DY83" s="673"/>
      <c r="DZ83" s="673"/>
      <c r="EA83" s="673"/>
      <c r="EB83" s="673"/>
      <c r="EC83" s="673"/>
      <c r="ED83" s="673"/>
      <c r="EE83" s="673"/>
      <c r="EF83" s="673"/>
      <c r="EG83" s="673"/>
      <c r="EH83" s="673"/>
      <c r="EI83" s="673"/>
      <c r="EJ83" s="673"/>
      <c r="EK83" s="673"/>
      <c r="EL83" s="673"/>
      <c r="EM83" s="673"/>
      <c r="EN83" s="673"/>
      <c r="EO83" s="673"/>
      <c r="EP83" s="673"/>
      <c r="EQ83" s="673"/>
      <c r="ER83" s="673"/>
      <c r="ES83" s="673"/>
      <c r="ET83" s="673"/>
      <c r="EU83" s="673"/>
      <c r="EV83" s="673"/>
      <c r="EW83" s="673"/>
      <c r="EX83" s="673"/>
      <c r="EY83" s="673"/>
      <c r="EZ83" s="673"/>
      <c r="FA83" s="673"/>
      <c r="FB83" s="673"/>
      <c r="FC83" s="673"/>
      <c r="FD83" s="673"/>
      <c r="FE83" s="673"/>
      <c r="FF83" s="673"/>
      <c r="FG83" s="673"/>
      <c r="FH83" s="673"/>
      <c r="FI83" s="673"/>
      <c r="FJ83" s="673"/>
      <c r="FK83" s="673"/>
      <c r="FL83" s="673"/>
      <c r="FM83" s="673"/>
      <c r="FN83" s="673"/>
      <c r="FO83" s="673"/>
      <c r="FP83" s="673"/>
      <c r="FQ83" s="673"/>
      <c r="FR83" s="673"/>
      <c r="FS83" s="673"/>
      <c r="FT83" s="673"/>
      <c r="FU83" s="673"/>
      <c r="FV83" s="673"/>
      <c r="FW83" s="673"/>
      <c r="FX83" s="673"/>
      <c r="FY83" s="673"/>
      <c r="FZ83" s="673"/>
      <c r="GA83" s="673"/>
      <c r="GB83" s="673"/>
      <c r="GC83" s="673"/>
      <c r="GD83" s="673"/>
      <c r="GE83" s="673"/>
      <c r="GF83" s="673"/>
      <c r="GG83" s="673"/>
      <c r="GH83" s="673"/>
      <c r="GI83" s="673"/>
      <c r="GJ83" s="673"/>
      <c r="GK83" s="673"/>
      <c r="GL83" s="673"/>
      <c r="GM83" s="673"/>
      <c r="GN83" s="673"/>
      <c r="GO83" s="673"/>
      <c r="GP83" s="673"/>
      <c r="GQ83" s="673"/>
      <c r="GR83" s="673"/>
      <c r="GS83" s="673"/>
      <c r="GT83" s="673"/>
      <c r="GU83" s="673"/>
      <c r="GV83" s="673"/>
      <c r="GW83" s="673"/>
      <c r="GX83" s="673"/>
      <c r="GY83" s="673"/>
      <c r="GZ83" s="673"/>
      <c r="HA83" s="673"/>
      <c r="HB83" s="673"/>
      <c r="HC83" s="673"/>
      <c r="HD83" s="673"/>
      <c r="HE83" s="673"/>
      <c r="HF83" s="673"/>
      <c r="HG83" s="673"/>
      <c r="HH83" s="673"/>
      <c r="HI83" s="673"/>
      <c r="HJ83" s="673"/>
      <c r="HK83" s="673"/>
      <c r="HL83" s="673"/>
      <c r="HM83" s="673"/>
      <c r="HN83" s="673"/>
      <c r="HO83" s="673"/>
      <c r="HP83" s="673"/>
      <c r="HQ83" s="673"/>
      <c r="HR83" s="673"/>
      <c r="HS83" s="673"/>
      <c r="HT83" s="673"/>
      <c r="HU83" s="673"/>
      <c r="HV83" s="673"/>
      <c r="HW83" s="673"/>
      <c r="HX83" s="673"/>
      <c r="HY83" s="673"/>
      <c r="HZ83" s="673"/>
      <c r="IA83" s="673"/>
      <c r="IB83" s="673"/>
      <c r="IC83" s="673"/>
      <c r="ID83" s="673"/>
      <c r="IE83" s="673"/>
      <c r="IF83" s="673"/>
      <c r="IG83" s="673"/>
      <c r="IH83" s="673"/>
      <c r="II83" s="673"/>
      <c r="IJ83" s="673"/>
      <c r="IK83" s="673"/>
      <c r="IL83" s="673"/>
      <c r="IM83" s="673"/>
      <c r="IN83" s="673"/>
      <c r="IO83" s="673"/>
      <c r="IP83" s="673"/>
      <c r="IQ83" s="673"/>
      <c r="IR83" s="673"/>
      <c r="IS83" s="673"/>
      <c r="IT83" s="673"/>
      <c r="IU83" s="673"/>
      <c r="IV83" s="673"/>
      <c r="IW83" s="673"/>
      <c r="IX83" s="673"/>
      <c r="IY83" s="673"/>
      <c r="IZ83" s="673"/>
      <c r="JA83" s="673"/>
      <c r="JB83" s="673"/>
      <c r="JC83" s="673"/>
      <c r="JD83" s="673"/>
      <c r="JE83" s="673"/>
      <c r="JF83" s="673"/>
      <c r="JG83" s="673"/>
      <c r="JH83" s="673"/>
      <c r="JI83" s="673"/>
      <c r="JJ83" s="673"/>
      <c r="JK83" s="673"/>
      <c r="JL83" s="673"/>
      <c r="JM83" s="673"/>
      <c r="JN83" s="673"/>
      <c r="JO83" s="673"/>
      <c r="JP83" s="673"/>
      <c r="JQ83" s="673"/>
      <c r="JR83" s="673"/>
      <c r="JS83" s="673"/>
      <c r="JT83" s="673"/>
      <c r="JU83" s="673"/>
      <c r="JV83" s="673"/>
      <c r="JW83" s="673"/>
      <c r="JX83" s="673"/>
      <c r="JY83" s="673"/>
      <c r="JZ83" s="673"/>
      <c r="KA83" s="673"/>
      <c r="KB83" s="673"/>
      <c r="KC83" s="673"/>
      <c r="KD83" s="673"/>
      <c r="KE83" s="673"/>
      <c r="KF83" s="673"/>
      <c r="KG83" s="673"/>
      <c r="KH83" s="673"/>
      <c r="KI83" s="673"/>
      <c r="KJ83" s="673"/>
      <c r="KK83" s="673"/>
      <c r="KL83" s="673"/>
      <c r="KM83" s="673"/>
      <c r="KN83" s="673"/>
      <c r="KO83" s="673"/>
      <c r="KP83" s="673"/>
      <c r="KQ83" s="673"/>
      <c r="KR83" s="673"/>
      <c r="KS83" s="673"/>
      <c r="KT83" s="673"/>
      <c r="KU83" s="673"/>
      <c r="KV83" s="673"/>
      <c r="KW83" s="673"/>
      <c r="KX83" s="673"/>
      <c r="KY83" s="673"/>
      <c r="KZ83" s="673"/>
      <c r="LA83" s="673"/>
      <c r="LB83" s="673"/>
      <c r="LC83" s="673"/>
      <c r="LD83" s="673"/>
      <c r="LE83" s="673"/>
      <c r="LF83" s="673"/>
      <c r="LG83" s="673"/>
      <c r="LH83" s="673"/>
      <c r="LI83" s="673"/>
      <c r="LJ83" s="673"/>
      <c r="LK83" s="673"/>
      <c r="LL83" s="673"/>
      <c r="LM83" s="673"/>
      <c r="LN83" s="673"/>
      <c r="LO83" s="673"/>
      <c r="LP83" s="673"/>
      <c r="LQ83" s="673"/>
      <c r="LR83" s="673"/>
      <c r="LS83" s="673"/>
      <c r="LT83" s="673"/>
      <c r="LU83" s="673"/>
      <c r="LV83" s="673"/>
      <c r="LW83" s="673"/>
      <c r="LX83" s="673"/>
      <c r="LY83" s="673"/>
      <c r="LZ83" s="673"/>
      <c r="MA83" s="673"/>
      <c r="MB83" s="673"/>
      <c r="MC83" s="673"/>
      <c r="MD83" s="673"/>
      <c r="ME83" s="673"/>
      <c r="MF83" s="673"/>
      <c r="MG83" s="673"/>
      <c r="MH83" s="673"/>
      <c r="MI83" s="673"/>
      <c r="MJ83" s="673"/>
      <c r="MK83" s="673"/>
      <c r="ML83" s="673"/>
      <c r="MM83" s="673"/>
      <c r="MN83" s="673"/>
      <c r="MO83" s="673"/>
      <c r="MP83" s="673"/>
      <c r="MQ83" s="673"/>
      <c r="MR83" s="673"/>
      <c r="MS83" s="673"/>
      <c r="MT83" s="673"/>
      <c r="MU83" s="673"/>
      <c r="MV83" s="673"/>
      <c r="MW83" s="673"/>
      <c r="MX83" s="673"/>
      <c r="MY83" s="673"/>
      <c r="MZ83" s="673"/>
      <c r="NA83" s="673"/>
      <c r="NB83" s="673"/>
      <c r="NC83" s="673"/>
      <c r="ND83" s="673"/>
      <c r="NE83" s="673"/>
      <c r="NF83" s="673"/>
      <c r="NG83" s="673"/>
      <c r="NH83" s="673"/>
      <c r="NI83" s="673"/>
      <c r="NJ83" s="673"/>
      <c r="NK83" s="673"/>
      <c r="NL83" s="673"/>
      <c r="NM83" s="673"/>
      <c r="NN83" s="673"/>
      <c r="NO83" s="673"/>
      <c r="NP83" s="673"/>
      <c r="NQ83" s="673"/>
      <c r="NR83" s="673"/>
      <c r="NS83" s="673"/>
      <c r="NT83" s="673"/>
      <c r="NU83" s="673"/>
      <c r="NV83" s="673"/>
      <c r="NW83" s="673"/>
      <c r="NX83" s="673"/>
      <c r="NY83" s="673"/>
      <c r="NZ83" s="673"/>
      <c r="OA83" s="673"/>
      <c r="OB83" s="673"/>
      <c r="OC83" s="673"/>
      <c r="OD83" s="673"/>
      <c r="OE83" s="673"/>
      <c r="OF83" s="673"/>
      <c r="OG83" s="673"/>
      <c r="OH83" s="673"/>
      <c r="OI83" s="673"/>
      <c r="OJ83" s="673"/>
      <c r="OK83" s="673"/>
      <c r="OL83" s="673"/>
      <c r="OM83" s="673"/>
      <c r="ON83" s="673"/>
      <c r="OO83" s="673"/>
      <c r="OP83" s="673"/>
      <c r="OQ83" s="673"/>
      <c r="OR83" s="673"/>
      <c r="OS83" s="673"/>
      <c r="OT83" s="673"/>
      <c r="OU83" s="673"/>
      <c r="OV83" s="673"/>
      <c r="OW83" s="673"/>
      <c r="OX83" s="673"/>
      <c r="OY83" s="673"/>
      <c r="OZ83" s="673"/>
      <c r="PA83" s="673"/>
      <c r="PB83" s="673"/>
      <c r="PC83" s="673"/>
      <c r="PD83" s="673"/>
      <c r="PE83" s="673"/>
      <c r="PF83" s="673"/>
      <c r="PG83" s="673"/>
      <c r="PH83" s="673"/>
      <c r="PI83" s="673"/>
      <c r="PJ83" s="673"/>
      <c r="PK83" s="673"/>
      <c r="PL83" s="673"/>
      <c r="PM83" s="673"/>
      <c r="PN83" s="673"/>
      <c r="PO83" s="673"/>
      <c r="PP83" s="673"/>
      <c r="PQ83" s="673"/>
      <c r="PR83" s="673"/>
      <c r="PS83" s="673"/>
      <c r="PT83" s="673"/>
      <c r="PU83" s="673"/>
      <c r="PV83" s="673"/>
      <c r="PW83" s="673"/>
      <c r="PX83" s="673"/>
      <c r="PY83" s="673"/>
      <c r="PZ83" s="673"/>
      <c r="QA83" s="673"/>
      <c r="QB83" s="673"/>
      <c r="QC83" s="673"/>
      <c r="QD83" s="673"/>
      <c r="QE83" s="673"/>
      <c r="QF83" s="673"/>
      <c r="QG83" s="673"/>
      <c r="QH83" s="673"/>
      <c r="QI83" s="673"/>
      <c r="QJ83" s="673"/>
      <c r="QK83" s="673"/>
    </row>
    <row r="84" spans="1:453" s="558" customFormat="1">
      <c r="A84" s="680"/>
      <c r="B84" s="680"/>
      <c r="C84" s="2107" t="str">
        <f ca="1">TEXT(HYPERLINK("#"&amp;CELL("address",'Equipment Results Matrix'!A1234),'Equipment Results Matrix'!A1234),"0,000")</f>
        <v>General Service Linear Fluorescent Fixtures 
(recessed w/cover)</v>
      </c>
      <c r="D84" s="2107"/>
      <c r="E84" s="2107"/>
      <c r="F84" s="2107"/>
      <c r="G84" s="2107"/>
      <c r="H84" s="2107"/>
      <c r="I84" s="2107"/>
      <c r="J84" s="1525" t="str">
        <f ca="1">TEXT(HYPERLINK("#"&amp;CELL("address",'Labor Results Matrix'!A742),"Labor"),"0,000")</f>
        <v>Labor</v>
      </c>
      <c r="K84" s="1525"/>
      <c r="L84" s="2107" t="str">
        <f ca="1">TEXT(HYPERLINK("#"&amp;CELL("address",'Equipment + Labor'!A709),"Total installed cost"),"0,000")</f>
        <v>Total installed cost</v>
      </c>
      <c r="M84" s="2107"/>
      <c r="N84" s="2107"/>
      <c r="O84" s="673"/>
      <c r="P84" s="673"/>
      <c r="Q84" s="673"/>
      <c r="R84" s="673"/>
      <c r="S84" s="673"/>
      <c r="T84" s="673"/>
      <c r="U84" s="673"/>
      <c r="V84" s="673"/>
      <c r="W84" s="673"/>
      <c r="X84" s="673"/>
      <c r="Y84" s="673"/>
      <c r="Z84" s="673"/>
      <c r="AA84" s="673"/>
      <c r="AB84" s="673"/>
      <c r="AC84" s="673"/>
      <c r="AD84" s="673"/>
      <c r="AE84" s="673"/>
      <c r="AF84" s="673"/>
      <c r="AG84" s="673"/>
      <c r="AH84" s="673"/>
      <c r="AI84" s="673"/>
      <c r="AJ84" s="673"/>
      <c r="AK84" s="673"/>
      <c r="AL84" s="673"/>
      <c r="AM84" s="673"/>
      <c r="AN84" s="673"/>
      <c r="AO84" s="673"/>
      <c r="AP84" s="673"/>
      <c r="AQ84" s="673"/>
      <c r="AR84" s="673"/>
      <c r="AS84" s="673"/>
      <c r="AT84" s="673"/>
      <c r="AU84" s="673"/>
      <c r="AV84" s="673"/>
      <c r="AW84" s="673"/>
      <c r="AX84" s="673"/>
      <c r="AY84" s="673"/>
      <c r="AZ84" s="673"/>
      <c r="BA84" s="673"/>
      <c r="BB84" s="673"/>
      <c r="BC84" s="673"/>
      <c r="BD84" s="673"/>
      <c r="BE84" s="673"/>
      <c r="BF84" s="673"/>
      <c r="BG84" s="673"/>
      <c r="BH84" s="673"/>
      <c r="BI84" s="673"/>
      <c r="BJ84" s="673"/>
      <c r="BK84" s="673"/>
      <c r="BL84" s="673"/>
      <c r="BM84" s="673"/>
      <c r="BN84" s="673"/>
      <c r="BO84" s="673"/>
      <c r="BP84" s="673"/>
      <c r="BQ84" s="673"/>
      <c r="BR84" s="673"/>
      <c r="BS84" s="673"/>
      <c r="BT84" s="673"/>
      <c r="BU84" s="673"/>
      <c r="BV84" s="673"/>
      <c r="BW84" s="673"/>
      <c r="BX84" s="673"/>
      <c r="BY84" s="673"/>
      <c r="BZ84" s="673"/>
      <c r="CA84" s="673"/>
      <c r="CB84" s="673"/>
      <c r="CC84" s="673"/>
      <c r="CD84" s="673"/>
      <c r="CE84" s="673"/>
      <c r="CF84" s="673"/>
      <c r="CG84" s="673"/>
      <c r="CH84" s="673"/>
      <c r="CI84" s="673"/>
      <c r="CJ84" s="673"/>
      <c r="CK84" s="673"/>
      <c r="CL84" s="673"/>
      <c r="CM84" s="673"/>
      <c r="CN84" s="673"/>
      <c r="CO84" s="673"/>
      <c r="CP84" s="673"/>
      <c r="CQ84" s="673"/>
      <c r="CR84" s="673"/>
      <c r="CS84" s="673"/>
      <c r="CT84" s="673"/>
      <c r="CU84" s="673"/>
      <c r="CV84" s="673"/>
      <c r="CW84" s="673"/>
      <c r="CX84" s="673"/>
      <c r="CY84" s="673"/>
      <c r="CZ84" s="673"/>
      <c r="DA84" s="673"/>
      <c r="DB84" s="673"/>
      <c r="DC84" s="673"/>
      <c r="DD84" s="673"/>
      <c r="DE84" s="673"/>
      <c r="DF84" s="673"/>
      <c r="DG84" s="673"/>
      <c r="DH84" s="673"/>
      <c r="DI84" s="673"/>
      <c r="DJ84" s="673"/>
      <c r="DK84" s="673"/>
      <c r="DL84" s="673"/>
      <c r="DM84" s="673"/>
      <c r="DN84" s="673"/>
      <c r="DO84" s="673"/>
      <c r="DP84" s="673"/>
      <c r="DQ84" s="673"/>
      <c r="DR84" s="673"/>
      <c r="DS84" s="673"/>
      <c r="DT84" s="673"/>
      <c r="DU84" s="673"/>
      <c r="DV84" s="673"/>
      <c r="DW84" s="673"/>
      <c r="DX84" s="673"/>
      <c r="DY84" s="673"/>
      <c r="DZ84" s="673"/>
      <c r="EA84" s="673"/>
      <c r="EB84" s="673"/>
      <c r="EC84" s="673"/>
      <c r="ED84" s="673"/>
      <c r="EE84" s="673"/>
      <c r="EF84" s="673"/>
      <c r="EG84" s="673"/>
      <c r="EH84" s="673"/>
      <c r="EI84" s="673"/>
      <c r="EJ84" s="673"/>
      <c r="EK84" s="673"/>
      <c r="EL84" s="673"/>
      <c r="EM84" s="673"/>
      <c r="EN84" s="673"/>
      <c r="EO84" s="673"/>
      <c r="EP84" s="673"/>
      <c r="EQ84" s="673"/>
      <c r="ER84" s="673"/>
      <c r="ES84" s="673"/>
      <c r="ET84" s="673"/>
      <c r="EU84" s="673"/>
      <c r="EV84" s="673"/>
      <c r="EW84" s="673"/>
      <c r="EX84" s="673"/>
      <c r="EY84" s="673"/>
      <c r="EZ84" s="673"/>
      <c r="FA84" s="673"/>
      <c r="FB84" s="673"/>
      <c r="FC84" s="673"/>
      <c r="FD84" s="673"/>
      <c r="FE84" s="673"/>
      <c r="FF84" s="673"/>
      <c r="FG84" s="673"/>
      <c r="FH84" s="673"/>
      <c r="FI84" s="673"/>
      <c r="FJ84" s="673"/>
      <c r="FK84" s="673"/>
      <c r="FL84" s="673"/>
      <c r="FM84" s="673"/>
      <c r="FN84" s="673"/>
      <c r="FO84" s="673"/>
      <c r="FP84" s="673"/>
      <c r="FQ84" s="673"/>
      <c r="FR84" s="673"/>
      <c r="FS84" s="673"/>
      <c r="FT84" s="673"/>
      <c r="FU84" s="673"/>
      <c r="FV84" s="673"/>
      <c r="FW84" s="673"/>
      <c r="FX84" s="673"/>
      <c r="FY84" s="673"/>
      <c r="FZ84" s="673"/>
      <c r="GA84" s="673"/>
      <c r="GB84" s="673"/>
      <c r="GC84" s="673"/>
      <c r="GD84" s="673"/>
      <c r="GE84" s="673"/>
      <c r="GF84" s="673"/>
      <c r="GG84" s="673"/>
      <c r="GH84" s="673"/>
      <c r="GI84" s="673"/>
      <c r="GJ84" s="673"/>
      <c r="GK84" s="673"/>
      <c r="GL84" s="673"/>
      <c r="GM84" s="673"/>
      <c r="GN84" s="673"/>
      <c r="GO84" s="673"/>
      <c r="GP84" s="673"/>
      <c r="GQ84" s="673"/>
      <c r="GR84" s="673"/>
      <c r="GS84" s="673"/>
      <c r="GT84" s="673"/>
      <c r="GU84" s="673"/>
      <c r="GV84" s="673"/>
      <c r="GW84" s="673"/>
      <c r="GX84" s="673"/>
      <c r="GY84" s="673"/>
      <c r="GZ84" s="673"/>
      <c r="HA84" s="673"/>
      <c r="HB84" s="673"/>
      <c r="HC84" s="673"/>
      <c r="HD84" s="673"/>
      <c r="HE84" s="673"/>
      <c r="HF84" s="673"/>
      <c r="HG84" s="673"/>
      <c r="HH84" s="673"/>
      <c r="HI84" s="673"/>
      <c r="HJ84" s="673"/>
      <c r="HK84" s="673"/>
      <c r="HL84" s="673"/>
      <c r="HM84" s="673"/>
      <c r="HN84" s="673"/>
      <c r="HO84" s="673"/>
      <c r="HP84" s="673"/>
      <c r="HQ84" s="673"/>
      <c r="HR84" s="673"/>
      <c r="HS84" s="673"/>
      <c r="HT84" s="673"/>
      <c r="HU84" s="673"/>
      <c r="HV84" s="673"/>
      <c r="HW84" s="673"/>
      <c r="HX84" s="673"/>
      <c r="HY84" s="673"/>
      <c r="HZ84" s="673"/>
      <c r="IA84" s="673"/>
      <c r="IB84" s="673"/>
      <c r="IC84" s="673"/>
      <c r="ID84" s="673"/>
      <c r="IE84" s="673"/>
      <c r="IF84" s="673"/>
      <c r="IG84" s="673"/>
      <c r="IH84" s="673"/>
      <c r="II84" s="673"/>
      <c r="IJ84" s="673"/>
      <c r="IK84" s="673"/>
      <c r="IL84" s="673"/>
      <c r="IM84" s="673"/>
      <c r="IN84" s="673"/>
      <c r="IO84" s="673"/>
      <c r="IP84" s="673"/>
      <c r="IQ84" s="673"/>
      <c r="IR84" s="673"/>
      <c r="IS84" s="673"/>
      <c r="IT84" s="673"/>
      <c r="IU84" s="673"/>
      <c r="IV84" s="673"/>
      <c r="IW84" s="673"/>
      <c r="IX84" s="673"/>
      <c r="IY84" s="673"/>
      <c r="IZ84" s="673"/>
      <c r="JA84" s="673"/>
      <c r="JB84" s="673"/>
      <c r="JC84" s="673"/>
      <c r="JD84" s="673"/>
      <c r="JE84" s="673"/>
      <c r="JF84" s="673"/>
      <c r="JG84" s="673"/>
      <c r="JH84" s="673"/>
      <c r="JI84" s="673"/>
      <c r="JJ84" s="673"/>
      <c r="JK84" s="673"/>
      <c r="JL84" s="673"/>
      <c r="JM84" s="673"/>
      <c r="JN84" s="673"/>
      <c r="JO84" s="673"/>
      <c r="JP84" s="673"/>
      <c r="JQ84" s="673"/>
      <c r="JR84" s="673"/>
      <c r="JS84" s="673"/>
      <c r="JT84" s="673"/>
      <c r="JU84" s="673"/>
      <c r="JV84" s="673"/>
      <c r="JW84" s="673"/>
      <c r="JX84" s="673"/>
      <c r="JY84" s="673"/>
      <c r="JZ84" s="673"/>
      <c r="KA84" s="673"/>
      <c r="KB84" s="673"/>
      <c r="KC84" s="673"/>
      <c r="KD84" s="673"/>
      <c r="KE84" s="673"/>
      <c r="KF84" s="673"/>
      <c r="KG84" s="673"/>
      <c r="KH84" s="673"/>
      <c r="KI84" s="673"/>
      <c r="KJ84" s="673"/>
      <c r="KK84" s="673"/>
      <c r="KL84" s="673"/>
      <c r="KM84" s="673"/>
      <c r="KN84" s="673"/>
      <c r="KO84" s="673"/>
      <c r="KP84" s="673"/>
      <c r="KQ84" s="673"/>
      <c r="KR84" s="673"/>
      <c r="KS84" s="673"/>
      <c r="KT84" s="673"/>
      <c r="KU84" s="673"/>
      <c r="KV84" s="673"/>
      <c r="KW84" s="673"/>
      <c r="KX84" s="673"/>
      <c r="KY84" s="673"/>
      <c r="KZ84" s="673"/>
      <c r="LA84" s="673"/>
      <c r="LB84" s="673"/>
      <c r="LC84" s="673"/>
      <c r="LD84" s="673"/>
      <c r="LE84" s="673"/>
      <c r="LF84" s="673"/>
      <c r="LG84" s="673"/>
      <c r="LH84" s="673"/>
      <c r="LI84" s="673"/>
      <c r="LJ84" s="673"/>
      <c r="LK84" s="673"/>
      <c r="LL84" s="673"/>
      <c r="LM84" s="673"/>
      <c r="LN84" s="673"/>
      <c r="LO84" s="673"/>
      <c r="LP84" s="673"/>
      <c r="LQ84" s="673"/>
      <c r="LR84" s="673"/>
      <c r="LS84" s="673"/>
      <c r="LT84" s="673"/>
      <c r="LU84" s="673"/>
      <c r="LV84" s="673"/>
      <c r="LW84" s="673"/>
      <c r="LX84" s="673"/>
      <c r="LY84" s="673"/>
      <c r="LZ84" s="673"/>
      <c r="MA84" s="673"/>
      <c r="MB84" s="673"/>
      <c r="MC84" s="673"/>
      <c r="MD84" s="673"/>
      <c r="ME84" s="673"/>
      <c r="MF84" s="673"/>
      <c r="MG84" s="673"/>
      <c r="MH84" s="673"/>
      <c r="MI84" s="673"/>
      <c r="MJ84" s="673"/>
      <c r="MK84" s="673"/>
      <c r="ML84" s="673"/>
      <c r="MM84" s="673"/>
      <c r="MN84" s="673"/>
      <c r="MO84" s="673"/>
      <c r="MP84" s="673"/>
      <c r="MQ84" s="673"/>
      <c r="MR84" s="673"/>
      <c r="MS84" s="673"/>
      <c r="MT84" s="673"/>
      <c r="MU84" s="673"/>
      <c r="MV84" s="673"/>
      <c r="MW84" s="673"/>
      <c r="MX84" s="673"/>
      <c r="MY84" s="673"/>
      <c r="MZ84" s="673"/>
      <c r="NA84" s="673"/>
      <c r="NB84" s="673"/>
      <c r="NC84" s="673"/>
      <c r="ND84" s="673"/>
      <c r="NE84" s="673"/>
      <c r="NF84" s="673"/>
      <c r="NG84" s="673"/>
      <c r="NH84" s="673"/>
      <c r="NI84" s="673"/>
      <c r="NJ84" s="673"/>
      <c r="NK84" s="673"/>
      <c r="NL84" s="673"/>
      <c r="NM84" s="673"/>
      <c r="NN84" s="673"/>
      <c r="NO84" s="673"/>
      <c r="NP84" s="673"/>
      <c r="NQ84" s="673"/>
      <c r="NR84" s="673"/>
      <c r="NS84" s="673"/>
      <c r="NT84" s="673"/>
      <c r="NU84" s="673"/>
      <c r="NV84" s="673"/>
      <c r="NW84" s="673"/>
      <c r="NX84" s="673"/>
      <c r="NY84" s="673"/>
      <c r="NZ84" s="673"/>
      <c r="OA84" s="673"/>
      <c r="OB84" s="673"/>
      <c r="OC84" s="673"/>
      <c r="OD84" s="673"/>
      <c r="OE84" s="673"/>
      <c r="OF84" s="673"/>
      <c r="OG84" s="673"/>
      <c r="OH84" s="673"/>
      <c r="OI84" s="673"/>
      <c r="OJ84" s="673"/>
      <c r="OK84" s="673"/>
      <c r="OL84" s="673"/>
      <c r="OM84" s="673"/>
      <c r="ON84" s="673"/>
      <c r="OO84" s="673"/>
      <c r="OP84" s="673"/>
      <c r="OQ84" s="673"/>
      <c r="OR84" s="673"/>
      <c r="OS84" s="673"/>
      <c r="OT84" s="673"/>
      <c r="OU84" s="673"/>
      <c r="OV84" s="673"/>
      <c r="OW84" s="673"/>
      <c r="OX84" s="673"/>
      <c r="OY84" s="673"/>
      <c r="OZ84" s="673"/>
      <c r="PA84" s="673"/>
      <c r="PB84" s="673"/>
      <c r="PC84" s="673"/>
      <c r="PD84" s="673"/>
      <c r="PE84" s="673"/>
      <c r="PF84" s="673"/>
      <c r="PG84" s="673"/>
      <c r="PH84" s="673"/>
      <c r="PI84" s="673"/>
      <c r="PJ84" s="673"/>
      <c r="PK84" s="673"/>
      <c r="PL84" s="673"/>
      <c r="PM84" s="673"/>
      <c r="PN84" s="673"/>
      <c r="PO84" s="673"/>
      <c r="PP84" s="673"/>
      <c r="PQ84" s="673"/>
      <c r="PR84" s="673"/>
      <c r="PS84" s="673"/>
      <c r="PT84" s="673"/>
      <c r="PU84" s="673"/>
      <c r="PV84" s="673"/>
      <c r="PW84" s="673"/>
      <c r="PX84" s="673"/>
      <c r="PY84" s="673"/>
      <c r="PZ84" s="673"/>
      <c r="QA84" s="673"/>
      <c r="QB84" s="673"/>
      <c r="QC84" s="673"/>
      <c r="QD84" s="673"/>
      <c r="QE84" s="673"/>
      <c r="QF84" s="673"/>
      <c r="QG84" s="673"/>
      <c r="QH84" s="673"/>
      <c r="QI84" s="673"/>
      <c r="QJ84" s="673"/>
      <c r="QK84" s="673"/>
    </row>
    <row r="85" spans="1:453" s="558" customFormat="1">
      <c r="A85" s="680"/>
      <c r="B85" s="680"/>
      <c r="C85" s="2107" t="str">
        <f ca="1">TEXT(HYPERLINK("#"&amp;CELL("address",'Equipment Results Matrix'!A1252),'Equipment Results Matrix'!A1252),"0,000")</f>
        <v>General Service Linear Fluorescent Fixtures 
(recessed no cover)</v>
      </c>
      <c r="D85" s="2107"/>
      <c r="E85" s="2107"/>
      <c r="F85" s="2107"/>
      <c r="G85" s="2107"/>
      <c r="H85" s="2107"/>
      <c r="I85" s="2107"/>
      <c r="J85" s="1525" t="str">
        <f ca="1">TEXT(HYPERLINK("#"&amp;CELL("address",'Labor Results Matrix'!A760),"Labor"),"0,000")</f>
        <v>Labor</v>
      </c>
      <c r="K85" s="1525"/>
      <c r="L85" s="2107" t="str">
        <f ca="1">TEXT(HYPERLINK("#"&amp;CELL("address",'Equipment + Labor'!A709),"Total installed cost"),"0,000")</f>
        <v>Total installed cost</v>
      </c>
      <c r="M85" s="2107"/>
      <c r="N85" s="2107"/>
      <c r="O85" s="673"/>
      <c r="P85" s="673"/>
      <c r="Q85" s="673"/>
      <c r="R85" s="673"/>
      <c r="S85" s="673"/>
      <c r="T85" s="673"/>
      <c r="U85" s="673"/>
      <c r="V85" s="673"/>
      <c r="W85" s="673"/>
      <c r="X85" s="673"/>
      <c r="Y85" s="673"/>
      <c r="Z85" s="673"/>
      <c r="AA85" s="673"/>
      <c r="AB85" s="673"/>
      <c r="AC85" s="673"/>
      <c r="AD85" s="673"/>
      <c r="AE85" s="673"/>
      <c r="AF85" s="673"/>
      <c r="AG85" s="673"/>
      <c r="AH85" s="673"/>
      <c r="AI85" s="673"/>
      <c r="AJ85" s="673"/>
      <c r="AK85" s="673"/>
      <c r="AL85" s="673"/>
      <c r="AM85" s="673"/>
      <c r="AN85" s="673"/>
      <c r="AO85" s="673"/>
      <c r="AP85" s="673"/>
      <c r="AQ85" s="673"/>
      <c r="AR85" s="673"/>
      <c r="AS85" s="673"/>
      <c r="AT85" s="673"/>
      <c r="AU85" s="673"/>
      <c r="AV85" s="673"/>
      <c r="AW85" s="673"/>
      <c r="AX85" s="673"/>
      <c r="AY85" s="673"/>
      <c r="AZ85" s="673"/>
      <c r="BA85" s="673"/>
      <c r="BB85" s="673"/>
      <c r="BC85" s="673"/>
      <c r="BD85" s="673"/>
      <c r="BE85" s="673"/>
      <c r="BF85" s="673"/>
      <c r="BG85" s="673"/>
      <c r="BH85" s="673"/>
      <c r="BI85" s="673"/>
      <c r="BJ85" s="673"/>
      <c r="BK85" s="673"/>
      <c r="BL85" s="673"/>
      <c r="BM85" s="673"/>
      <c r="BN85" s="673"/>
      <c r="BO85" s="673"/>
      <c r="BP85" s="673"/>
      <c r="BQ85" s="673"/>
      <c r="BR85" s="673"/>
      <c r="BS85" s="673"/>
      <c r="BT85" s="673"/>
      <c r="BU85" s="673"/>
      <c r="BV85" s="673"/>
      <c r="BW85" s="673"/>
      <c r="BX85" s="673"/>
      <c r="BY85" s="673"/>
      <c r="BZ85" s="673"/>
      <c r="CA85" s="673"/>
      <c r="CB85" s="673"/>
      <c r="CC85" s="673"/>
      <c r="CD85" s="673"/>
      <c r="CE85" s="673"/>
      <c r="CF85" s="673"/>
      <c r="CG85" s="673"/>
      <c r="CH85" s="673"/>
      <c r="CI85" s="673"/>
      <c r="CJ85" s="673"/>
      <c r="CK85" s="673"/>
      <c r="CL85" s="673"/>
      <c r="CM85" s="673"/>
      <c r="CN85" s="673"/>
      <c r="CO85" s="673"/>
      <c r="CP85" s="673"/>
      <c r="CQ85" s="673"/>
      <c r="CR85" s="673"/>
      <c r="CS85" s="673"/>
      <c r="CT85" s="673"/>
      <c r="CU85" s="673"/>
      <c r="CV85" s="673"/>
      <c r="CW85" s="673"/>
      <c r="CX85" s="673"/>
      <c r="CY85" s="673"/>
      <c r="CZ85" s="673"/>
      <c r="DA85" s="673"/>
      <c r="DB85" s="673"/>
      <c r="DC85" s="673"/>
      <c r="DD85" s="673"/>
      <c r="DE85" s="673"/>
      <c r="DF85" s="673"/>
      <c r="DG85" s="673"/>
      <c r="DH85" s="673"/>
      <c r="DI85" s="673"/>
      <c r="DJ85" s="673"/>
      <c r="DK85" s="673"/>
      <c r="DL85" s="673"/>
      <c r="DM85" s="673"/>
      <c r="DN85" s="673"/>
      <c r="DO85" s="673"/>
      <c r="DP85" s="673"/>
      <c r="DQ85" s="673"/>
      <c r="DR85" s="673"/>
      <c r="DS85" s="673"/>
      <c r="DT85" s="673"/>
      <c r="DU85" s="673"/>
      <c r="DV85" s="673"/>
      <c r="DW85" s="673"/>
      <c r="DX85" s="673"/>
      <c r="DY85" s="673"/>
      <c r="DZ85" s="673"/>
      <c r="EA85" s="673"/>
      <c r="EB85" s="673"/>
      <c r="EC85" s="673"/>
      <c r="ED85" s="673"/>
      <c r="EE85" s="673"/>
      <c r="EF85" s="673"/>
      <c r="EG85" s="673"/>
      <c r="EH85" s="673"/>
      <c r="EI85" s="673"/>
      <c r="EJ85" s="673"/>
      <c r="EK85" s="673"/>
      <c r="EL85" s="673"/>
      <c r="EM85" s="673"/>
      <c r="EN85" s="673"/>
      <c r="EO85" s="673"/>
      <c r="EP85" s="673"/>
      <c r="EQ85" s="673"/>
      <c r="ER85" s="673"/>
      <c r="ES85" s="673"/>
      <c r="ET85" s="673"/>
      <c r="EU85" s="673"/>
      <c r="EV85" s="673"/>
      <c r="EW85" s="673"/>
      <c r="EX85" s="673"/>
      <c r="EY85" s="673"/>
      <c r="EZ85" s="673"/>
      <c r="FA85" s="673"/>
      <c r="FB85" s="673"/>
      <c r="FC85" s="673"/>
      <c r="FD85" s="673"/>
      <c r="FE85" s="673"/>
      <c r="FF85" s="673"/>
      <c r="FG85" s="673"/>
      <c r="FH85" s="673"/>
      <c r="FI85" s="673"/>
      <c r="FJ85" s="673"/>
      <c r="FK85" s="673"/>
      <c r="FL85" s="673"/>
      <c r="FM85" s="673"/>
      <c r="FN85" s="673"/>
      <c r="FO85" s="673"/>
      <c r="FP85" s="673"/>
      <c r="FQ85" s="673"/>
      <c r="FR85" s="673"/>
      <c r="FS85" s="673"/>
      <c r="FT85" s="673"/>
      <c r="FU85" s="673"/>
      <c r="FV85" s="673"/>
      <c r="FW85" s="673"/>
      <c r="FX85" s="673"/>
      <c r="FY85" s="673"/>
      <c r="FZ85" s="673"/>
      <c r="GA85" s="673"/>
      <c r="GB85" s="673"/>
      <c r="GC85" s="673"/>
      <c r="GD85" s="673"/>
      <c r="GE85" s="673"/>
      <c r="GF85" s="673"/>
      <c r="GG85" s="673"/>
      <c r="GH85" s="673"/>
      <c r="GI85" s="673"/>
      <c r="GJ85" s="673"/>
      <c r="GK85" s="673"/>
      <c r="GL85" s="673"/>
      <c r="GM85" s="673"/>
      <c r="GN85" s="673"/>
      <c r="GO85" s="673"/>
      <c r="GP85" s="673"/>
      <c r="GQ85" s="673"/>
      <c r="GR85" s="673"/>
      <c r="GS85" s="673"/>
      <c r="GT85" s="673"/>
      <c r="GU85" s="673"/>
      <c r="GV85" s="673"/>
      <c r="GW85" s="673"/>
      <c r="GX85" s="673"/>
      <c r="GY85" s="673"/>
      <c r="GZ85" s="673"/>
      <c r="HA85" s="673"/>
      <c r="HB85" s="673"/>
      <c r="HC85" s="673"/>
      <c r="HD85" s="673"/>
      <c r="HE85" s="673"/>
      <c r="HF85" s="673"/>
      <c r="HG85" s="673"/>
      <c r="HH85" s="673"/>
      <c r="HI85" s="673"/>
      <c r="HJ85" s="673"/>
      <c r="HK85" s="673"/>
      <c r="HL85" s="673"/>
      <c r="HM85" s="673"/>
      <c r="HN85" s="673"/>
      <c r="HO85" s="673"/>
      <c r="HP85" s="673"/>
      <c r="HQ85" s="673"/>
      <c r="HR85" s="673"/>
      <c r="HS85" s="673"/>
      <c r="HT85" s="673"/>
      <c r="HU85" s="673"/>
      <c r="HV85" s="673"/>
      <c r="HW85" s="673"/>
      <c r="HX85" s="673"/>
      <c r="HY85" s="673"/>
      <c r="HZ85" s="673"/>
      <c r="IA85" s="673"/>
      <c r="IB85" s="673"/>
      <c r="IC85" s="673"/>
      <c r="ID85" s="673"/>
      <c r="IE85" s="673"/>
      <c r="IF85" s="673"/>
      <c r="IG85" s="673"/>
      <c r="IH85" s="673"/>
      <c r="II85" s="673"/>
      <c r="IJ85" s="673"/>
      <c r="IK85" s="673"/>
      <c r="IL85" s="673"/>
      <c r="IM85" s="673"/>
      <c r="IN85" s="673"/>
      <c r="IO85" s="673"/>
      <c r="IP85" s="673"/>
      <c r="IQ85" s="673"/>
      <c r="IR85" s="673"/>
      <c r="IS85" s="673"/>
      <c r="IT85" s="673"/>
      <c r="IU85" s="673"/>
      <c r="IV85" s="673"/>
      <c r="IW85" s="673"/>
      <c r="IX85" s="673"/>
      <c r="IY85" s="673"/>
      <c r="IZ85" s="673"/>
      <c r="JA85" s="673"/>
      <c r="JB85" s="673"/>
      <c r="JC85" s="673"/>
      <c r="JD85" s="673"/>
      <c r="JE85" s="673"/>
      <c r="JF85" s="673"/>
      <c r="JG85" s="673"/>
      <c r="JH85" s="673"/>
      <c r="JI85" s="673"/>
      <c r="JJ85" s="673"/>
      <c r="JK85" s="673"/>
      <c r="JL85" s="673"/>
      <c r="JM85" s="673"/>
      <c r="JN85" s="673"/>
      <c r="JO85" s="673"/>
      <c r="JP85" s="673"/>
      <c r="JQ85" s="673"/>
      <c r="JR85" s="673"/>
      <c r="JS85" s="673"/>
      <c r="JT85" s="673"/>
      <c r="JU85" s="673"/>
      <c r="JV85" s="673"/>
      <c r="JW85" s="673"/>
      <c r="JX85" s="673"/>
      <c r="JY85" s="673"/>
      <c r="JZ85" s="673"/>
      <c r="KA85" s="673"/>
      <c r="KB85" s="673"/>
      <c r="KC85" s="673"/>
      <c r="KD85" s="673"/>
      <c r="KE85" s="673"/>
      <c r="KF85" s="673"/>
      <c r="KG85" s="673"/>
      <c r="KH85" s="673"/>
      <c r="KI85" s="673"/>
      <c r="KJ85" s="673"/>
      <c r="KK85" s="673"/>
      <c r="KL85" s="673"/>
      <c r="KM85" s="673"/>
      <c r="KN85" s="673"/>
      <c r="KO85" s="673"/>
      <c r="KP85" s="673"/>
      <c r="KQ85" s="673"/>
      <c r="KR85" s="673"/>
      <c r="KS85" s="673"/>
      <c r="KT85" s="673"/>
      <c r="KU85" s="673"/>
      <c r="KV85" s="673"/>
      <c r="KW85" s="673"/>
      <c r="KX85" s="673"/>
      <c r="KY85" s="673"/>
      <c r="KZ85" s="673"/>
      <c r="LA85" s="673"/>
      <c r="LB85" s="673"/>
      <c r="LC85" s="673"/>
      <c r="LD85" s="673"/>
      <c r="LE85" s="673"/>
      <c r="LF85" s="673"/>
      <c r="LG85" s="673"/>
      <c r="LH85" s="673"/>
      <c r="LI85" s="673"/>
      <c r="LJ85" s="673"/>
      <c r="LK85" s="673"/>
      <c r="LL85" s="673"/>
      <c r="LM85" s="673"/>
      <c r="LN85" s="673"/>
      <c r="LO85" s="673"/>
      <c r="LP85" s="673"/>
      <c r="LQ85" s="673"/>
      <c r="LR85" s="673"/>
      <c r="LS85" s="673"/>
      <c r="LT85" s="673"/>
      <c r="LU85" s="673"/>
      <c r="LV85" s="673"/>
      <c r="LW85" s="673"/>
      <c r="LX85" s="673"/>
      <c r="LY85" s="673"/>
      <c r="LZ85" s="673"/>
      <c r="MA85" s="673"/>
      <c r="MB85" s="673"/>
      <c r="MC85" s="673"/>
      <c r="MD85" s="673"/>
      <c r="ME85" s="673"/>
      <c r="MF85" s="673"/>
      <c r="MG85" s="673"/>
      <c r="MH85" s="673"/>
      <c r="MI85" s="673"/>
      <c r="MJ85" s="673"/>
      <c r="MK85" s="673"/>
      <c r="ML85" s="673"/>
      <c r="MM85" s="673"/>
      <c r="MN85" s="673"/>
      <c r="MO85" s="673"/>
      <c r="MP85" s="673"/>
      <c r="MQ85" s="673"/>
      <c r="MR85" s="673"/>
      <c r="MS85" s="673"/>
      <c r="MT85" s="673"/>
      <c r="MU85" s="673"/>
      <c r="MV85" s="673"/>
      <c r="MW85" s="673"/>
      <c r="MX85" s="673"/>
      <c r="MY85" s="673"/>
      <c r="MZ85" s="673"/>
      <c r="NA85" s="673"/>
      <c r="NB85" s="673"/>
      <c r="NC85" s="673"/>
      <c r="ND85" s="673"/>
      <c r="NE85" s="673"/>
      <c r="NF85" s="673"/>
      <c r="NG85" s="673"/>
      <c r="NH85" s="673"/>
      <c r="NI85" s="673"/>
      <c r="NJ85" s="673"/>
      <c r="NK85" s="673"/>
      <c r="NL85" s="673"/>
      <c r="NM85" s="673"/>
      <c r="NN85" s="673"/>
      <c r="NO85" s="673"/>
      <c r="NP85" s="673"/>
      <c r="NQ85" s="673"/>
      <c r="NR85" s="673"/>
      <c r="NS85" s="673"/>
      <c r="NT85" s="673"/>
      <c r="NU85" s="673"/>
      <c r="NV85" s="673"/>
      <c r="NW85" s="673"/>
      <c r="NX85" s="673"/>
      <c r="NY85" s="673"/>
      <c r="NZ85" s="673"/>
      <c r="OA85" s="673"/>
      <c r="OB85" s="673"/>
      <c r="OC85" s="673"/>
      <c r="OD85" s="673"/>
      <c r="OE85" s="673"/>
      <c r="OF85" s="673"/>
      <c r="OG85" s="673"/>
      <c r="OH85" s="673"/>
      <c r="OI85" s="673"/>
      <c r="OJ85" s="673"/>
      <c r="OK85" s="673"/>
      <c r="OL85" s="673"/>
      <c r="OM85" s="673"/>
      <c r="ON85" s="673"/>
      <c r="OO85" s="673"/>
      <c r="OP85" s="673"/>
      <c r="OQ85" s="673"/>
      <c r="OR85" s="673"/>
      <c r="OS85" s="673"/>
      <c r="OT85" s="673"/>
      <c r="OU85" s="673"/>
      <c r="OV85" s="673"/>
      <c r="OW85" s="673"/>
      <c r="OX85" s="673"/>
      <c r="OY85" s="673"/>
      <c r="OZ85" s="673"/>
      <c r="PA85" s="673"/>
      <c r="PB85" s="673"/>
      <c r="PC85" s="673"/>
      <c r="PD85" s="673"/>
      <c r="PE85" s="673"/>
      <c r="PF85" s="673"/>
      <c r="PG85" s="673"/>
      <c r="PH85" s="673"/>
      <c r="PI85" s="673"/>
      <c r="PJ85" s="673"/>
      <c r="PK85" s="673"/>
      <c r="PL85" s="673"/>
      <c r="PM85" s="673"/>
      <c r="PN85" s="673"/>
      <c r="PO85" s="673"/>
      <c r="PP85" s="673"/>
      <c r="PQ85" s="673"/>
      <c r="PR85" s="673"/>
      <c r="PS85" s="673"/>
      <c r="PT85" s="673"/>
      <c r="PU85" s="673"/>
      <c r="PV85" s="673"/>
      <c r="PW85" s="673"/>
      <c r="PX85" s="673"/>
      <c r="PY85" s="673"/>
      <c r="PZ85" s="673"/>
      <c r="QA85" s="673"/>
      <c r="QB85" s="673"/>
      <c r="QC85" s="673"/>
      <c r="QD85" s="673"/>
      <c r="QE85" s="673"/>
      <c r="QF85" s="673"/>
      <c r="QG85" s="673"/>
      <c r="QH85" s="673"/>
      <c r="QI85" s="673"/>
      <c r="QJ85" s="673"/>
      <c r="QK85" s="673"/>
    </row>
    <row r="86" spans="1:453" s="558" customFormat="1">
      <c r="A86" s="680"/>
      <c r="B86" s="680"/>
      <c r="C86" s="2107" t="str">
        <f ca="1">TEXT(HYPERLINK("#"&amp;CELL("address",'Equipment Results Matrix'!A1270),'Equipment Results Matrix'!A1270),"0,000")</f>
        <v>General Service Linear Fluorescent Fixtures 
(surface mounted)</v>
      </c>
      <c r="D86" s="2107"/>
      <c r="E86" s="2107"/>
      <c r="F86" s="2107"/>
      <c r="G86" s="2107"/>
      <c r="H86" s="2107"/>
      <c r="I86" s="2107"/>
      <c r="J86" s="1525" t="str">
        <f ca="1">TEXT(HYPERLINK("#"&amp;CELL("address",'Labor Results Matrix'!A778),"Labor"),"0,000")</f>
        <v>Labor</v>
      </c>
      <c r="K86" s="1525"/>
      <c r="L86" s="2107" t="str">
        <f ca="1">TEXT(HYPERLINK("#"&amp;CELL("address",'Equipment + Labor'!A709),"Total installed cost"),"0,000")</f>
        <v>Total installed cost</v>
      </c>
      <c r="M86" s="2107"/>
      <c r="N86" s="2107"/>
      <c r="O86" s="673"/>
      <c r="P86" s="673"/>
      <c r="Q86" s="673"/>
      <c r="R86" s="673"/>
      <c r="S86" s="673"/>
      <c r="T86" s="673"/>
      <c r="U86" s="673"/>
      <c r="V86" s="673"/>
      <c r="W86" s="673"/>
      <c r="X86" s="673"/>
      <c r="Y86" s="673"/>
      <c r="Z86" s="673"/>
      <c r="AA86" s="673"/>
      <c r="AB86" s="673"/>
      <c r="AC86" s="673"/>
      <c r="AD86" s="673"/>
      <c r="AE86" s="673"/>
      <c r="AF86" s="673"/>
      <c r="AG86" s="673"/>
      <c r="AH86" s="673"/>
      <c r="AI86" s="673"/>
      <c r="AJ86" s="673"/>
      <c r="AK86" s="673"/>
      <c r="AL86" s="673"/>
      <c r="AM86" s="673"/>
      <c r="AN86" s="673"/>
      <c r="AO86" s="673"/>
      <c r="AP86" s="673"/>
      <c r="AQ86" s="673"/>
      <c r="AR86" s="673"/>
      <c r="AS86" s="673"/>
      <c r="AT86" s="673"/>
      <c r="AU86" s="673"/>
      <c r="AV86" s="673"/>
      <c r="AW86" s="673"/>
      <c r="AX86" s="673"/>
      <c r="AY86" s="673"/>
      <c r="AZ86" s="673"/>
      <c r="BA86" s="673"/>
      <c r="BB86" s="673"/>
      <c r="BC86" s="673"/>
      <c r="BD86" s="673"/>
      <c r="BE86" s="673"/>
      <c r="BF86" s="673"/>
      <c r="BG86" s="673"/>
      <c r="BH86" s="673"/>
      <c r="BI86" s="673"/>
      <c r="BJ86" s="673"/>
      <c r="BK86" s="673"/>
      <c r="BL86" s="673"/>
      <c r="BM86" s="673"/>
      <c r="BN86" s="673"/>
      <c r="BO86" s="673"/>
      <c r="BP86" s="673"/>
      <c r="BQ86" s="673"/>
      <c r="BR86" s="673"/>
      <c r="BS86" s="673"/>
      <c r="BT86" s="673"/>
      <c r="BU86" s="673"/>
      <c r="BV86" s="673"/>
      <c r="BW86" s="673"/>
      <c r="BX86" s="673"/>
      <c r="BY86" s="673"/>
      <c r="BZ86" s="673"/>
      <c r="CA86" s="673"/>
      <c r="CB86" s="673"/>
      <c r="CC86" s="673"/>
      <c r="CD86" s="673"/>
      <c r="CE86" s="673"/>
      <c r="CF86" s="673"/>
      <c r="CG86" s="673"/>
      <c r="CH86" s="673"/>
      <c r="CI86" s="673"/>
      <c r="CJ86" s="673"/>
      <c r="CK86" s="673"/>
      <c r="CL86" s="673"/>
      <c r="CM86" s="673"/>
      <c r="CN86" s="673"/>
      <c r="CO86" s="673"/>
      <c r="CP86" s="673"/>
      <c r="CQ86" s="673"/>
      <c r="CR86" s="673"/>
      <c r="CS86" s="673"/>
      <c r="CT86" s="673"/>
      <c r="CU86" s="673"/>
      <c r="CV86" s="673"/>
      <c r="CW86" s="673"/>
      <c r="CX86" s="673"/>
      <c r="CY86" s="673"/>
      <c r="CZ86" s="673"/>
      <c r="DA86" s="673"/>
      <c r="DB86" s="673"/>
      <c r="DC86" s="673"/>
      <c r="DD86" s="673"/>
      <c r="DE86" s="673"/>
      <c r="DF86" s="673"/>
      <c r="DG86" s="673"/>
      <c r="DH86" s="673"/>
      <c r="DI86" s="673"/>
      <c r="DJ86" s="673"/>
      <c r="DK86" s="673"/>
      <c r="DL86" s="673"/>
      <c r="DM86" s="673"/>
      <c r="DN86" s="673"/>
      <c r="DO86" s="673"/>
      <c r="DP86" s="673"/>
      <c r="DQ86" s="673"/>
      <c r="DR86" s="673"/>
      <c r="DS86" s="673"/>
      <c r="DT86" s="673"/>
      <c r="DU86" s="673"/>
      <c r="DV86" s="673"/>
      <c r="DW86" s="673"/>
      <c r="DX86" s="673"/>
      <c r="DY86" s="673"/>
      <c r="DZ86" s="673"/>
      <c r="EA86" s="673"/>
      <c r="EB86" s="673"/>
      <c r="EC86" s="673"/>
      <c r="ED86" s="673"/>
      <c r="EE86" s="673"/>
      <c r="EF86" s="673"/>
      <c r="EG86" s="673"/>
      <c r="EH86" s="673"/>
      <c r="EI86" s="673"/>
      <c r="EJ86" s="673"/>
      <c r="EK86" s="673"/>
      <c r="EL86" s="673"/>
      <c r="EM86" s="673"/>
      <c r="EN86" s="673"/>
      <c r="EO86" s="673"/>
      <c r="EP86" s="673"/>
      <c r="EQ86" s="673"/>
      <c r="ER86" s="673"/>
      <c r="ES86" s="673"/>
      <c r="ET86" s="673"/>
      <c r="EU86" s="673"/>
      <c r="EV86" s="673"/>
      <c r="EW86" s="673"/>
      <c r="EX86" s="673"/>
      <c r="EY86" s="673"/>
      <c r="EZ86" s="673"/>
      <c r="FA86" s="673"/>
      <c r="FB86" s="673"/>
      <c r="FC86" s="673"/>
      <c r="FD86" s="673"/>
      <c r="FE86" s="673"/>
      <c r="FF86" s="673"/>
      <c r="FG86" s="673"/>
      <c r="FH86" s="673"/>
      <c r="FI86" s="673"/>
      <c r="FJ86" s="673"/>
      <c r="FK86" s="673"/>
      <c r="FL86" s="673"/>
      <c r="FM86" s="673"/>
      <c r="FN86" s="673"/>
      <c r="FO86" s="673"/>
      <c r="FP86" s="673"/>
      <c r="FQ86" s="673"/>
      <c r="FR86" s="673"/>
      <c r="FS86" s="673"/>
      <c r="FT86" s="673"/>
      <c r="FU86" s="673"/>
      <c r="FV86" s="673"/>
      <c r="FW86" s="673"/>
      <c r="FX86" s="673"/>
      <c r="FY86" s="673"/>
      <c r="FZ86" s="673"/>
      <c r="GA86" s="673"/>
      <c r="GB86" s="673"/>
      <c r="GC86" s="673"/>
      <c r="GD86" s="673"/>
      <c r="GE86" s="673"/>
      <c r="GF86" s="673"/>
      <c r="GG86" s="673"/>
      <c r="GH86" s="673"/>
      <c r="GI86" s="673"/>
      <c r="GJ86" s="673"/>
      <c r="GK86" s="673"/>
      <c r="GL86" s="673"/>
      <c r="GM86" s="673"/>
      <c r="GN86" s="673"/>
      <c r="GO86" s="673"/>
      <c r="GP86" s="673"/>
      <c r="GQ86" s="673"/>
      <c r="GR86" s="673"/>
      <c r="GS86" s="673"/>
      <c r="GT86" s="673"/>
      <c r="GU86" s="673"/>
      <c r="GV86" s="673"/>
      <c r="GW86" s="673"/>
      <c r="GX86" s="673"/>
      <c r="GY86" s="673"/>
      <c r="GZ86" s="673"/>
      <c r="HA86" s="673"/>
      <c r="HB86" s="673"/>
      <c r="HC86" s="673"/>
      <c r="HD86" s="673"/>
      <c r="HE86" s="673"/>
      <c r="HF86" s="673"/>
      <c r="HG86" s="673"/>
      <c r="HH86" s="673"/>
      <c r="HI86" s="673"/>
      <c r="HJ86" s="673"/>
      <c r="HK86" s="673"/>
      <c r="HL86" s="673"/>
      <c r="HM86" s="673"/>
      <c r="HN86" s="673"/>
      <c r="HO86" s="673"/>
      <c r="HP86" s="673"/>
      <c r="HQ86" s="673"/>
      <c r="HR86" s="673"/>
      <c r="HS86" s="673"/>
      <c r="HT86" s="673"/>
      <c r="HU86" s="673"/>
      <c r="HV86" s="673"/>
      <c r="HW86" s="673"/>
      <c r="HX86" s="673"/>
      <c r="HY86" s="673"/>
      <c r="HZ86" s="673"/>
      <c r="IA86" s="673"/>
      <c r="IB86" s="673"/>
      <c r="IC86" s="673"/>
      <c r="ID86" s="673"/>
      <c r="IE86" s="673"/>
      <c r="IF86" s="673"/>
      <c r="IG86" s="673"/>
      <c r="IH86" s="673"/>
      <c r="II86" s="673"/>
      <c r="IJ86" s="673"/>
      <c r="IK86" s="673"/>
      <c r="IL86" s="673"/>
      <c r="IM86" s="673"/>
      <c r="IN86" s="673"/>
      <c r="IO86" s="673"/>
      <c r="IP86" s="673"/>
      <c r="IQ86" s="673"/>
      <c r="IR86" s="673"/>
      <c r="IS86" s="673"/>
      <c r="IT86" s="673"/>
      <c r="IU86" s="673"/>
      <c r="IV86" s="673"/>
      <c r="IW86" s="673"/>
      <c r="IX86" s="673"/>
      <c r="IY86" s="673"/>
      <c r="IZ86" s="673"/>
      <c r="JA86" s="673"/>
      <c r="JB86" s="673"/>
      <c r="JC86" s="673"/>
      <c r="JD86" s="673"/>
      <c r="JE86" s="673"/>
      <c r="JF86" s="673"/>
      <c r="JG86" s="673"/>
      <c r="JH86" s="673"/>
      <c r="JI86" s="673"/>
      <c r="JJ86" s="673"/>
      <c r="JK86" s="673"/>
      <c r="JL86" s="673"/>
      <c r="JM86" s="673"/>
      <c r="JN86" s="673"/>
      <c r="JO86" s="673"/>
      <c r="JP86" s="673"/>
      <c r="JQ86" s="673"/>
      <c r="JR86" s="673"/>
      <c r="JS86" s="673"/>
      <c r="JT86" s="673"/>
      <c r="JU86" s="673"/>
      <c r="JV86" s="673"/>
      <c r="JW86" s="673"/>
      <c r="JX86" s="673"/>
      <c r="JY86" s="673"/>
      <c r="JZ86" s="673"/>
      <c r="KA86" s="673"/>
      <c r="KB86" s="673"/>
      <c r="KC86" s="673"/>
      <c r="KD86" s="673"/>
      <c r="KE86" s="673"/>
      <c r="KF86" s="673"/>
      <c r="KG86" s="673"/>
      <c r="KH86" s="673"/>
      <c r="KI86" s="673"/>
      <c r="KJ86" s="673"/>
      <c r="KK86" s="673"/>
      <c r="KL86" s="673"/>
      <c r="KM86" s="673"/>
      <c r="KN86" s="673"/>
      <c r="KO86" s="673"/>
      <c r="KP86" s="673"/>
      <c r="KQ86" s="673"/>
      <c r="KR86" s="673"/>
      <c r="KS86" s="673"/>
      <c r="KT86" s="673"/>
      <c r="KU86" s="673"/>
      <c r="KV86" s="673"/>
      <c r="KW86" s="673"/>
      <c r="KX86" s="673"/>
      <c r="KY86" s="673"/>
      <c r="KZ86" s="673"/>
      <c r="LA86" s="673"/>
      <c r="LB86" s="673"/>
      <c r="LC86" s="673"/>
      <c r="LD86" s="673"/>
      <c r="LE86" s="673"/>
      <c r="LF86" s="673"/>
      <c r="LG86" s="673"/>
      <c r="LH86" s="673"/>
      <c r="LI86" s="673"/>
      <c r="LJ86" s="673"/>
      <c r="LK86" s="673"/>
      <c r="LL86" s="673"/>
      <c r="LM86" s="673"/>
      <c r="LN86" s="673"/>
      <c r="LO86" s="673"/>
      <c r="LP86" s="673"/>
      <c r="LQ86" s="673"/>
      <c r="LR86" s="673"/>
      <c r="LS86" s="673"/>
      <c r="LT86" s="673"/>
      <c r="LU86" s="673"/>
      <c r="LV86" s="673"/>
      <c r="LW86" s="673"/>
      <c r="LX86" s="673"/>
      <c r="LY86" s="673"/>
      <c r="LZ86" s="673"/>
      <c r="MA86" s="673"/>
      <c r="MB86" s="673"/>
      <c r="MC86" s="673"/>
      <c r="MD86" s="673"/>
      <c r="ME86" s="673"/>
      <c r="MF86" s="673"/>
      <c r="MG86" s="673"/>
      <c r="MH86" s="673"/>
      <c r="MI86" s="673"/>
      <c r="MJ86" s="673"/>
      <c r="MK86" s="673"/>
      <c r="ML86" s="673"/>
      <c r="MM86" s="673"/>
      <c r="MN86" s="673"/>
      <c r="MO86" s="673"/>
      <c r="MP86" s="673"/>
      <c r="MQ86" s="673"/>
      <c r="MR86" s="673"/>
      <c r="MS86" s="673"/>
      <c r="MT86" s="673"/>
      <c r="MU86" s="673"/>
      <c r="MV86" s="673"/>
      <c r="MW86" s="673"/>
      <c r="MX86" s="673"/>
      <c r="MY86" s="673"/>
      <c r="MZ86" s="673"/>
      <c r="NA86" s="673"/>
      <c r="NB86" s="673"/>
      <c r="NC86" s="673"/>
      <c r="ND86" s="673"/>
      <c r="NE86" s="673"/>
      <c r="NF86" s="673"/>
      <c r="NG86" s="673"/>
      <c r="NH86" s="673"/>
      <c r="NI86" s="673"/>
      <c r="NJ86" s="673"/>
      <c r="NK86" s="673"/>
      <c r="NL86" s="673"/>
      <c r="NM86" s="673"/>
      <c r="NN86" s="673"/>
      <c r="NO86" s="673"/>
      <c r="NP86" s="673"/>
      <c r="NQ86" s="673"/>
      <c r="NR86" s="673"/>
      <c r="NS86" s="673"/>
      <c r="NT86" s="673"/>
      <c r="NU86" s="673"/>
      <c r="NV86" s="673"/>
      <c r="NW86" s="673"/>
      <c r="NX86" s="673"/>
      <c r="NY86" s="673"/>
      <c r="NZ86" s="673"/>
      <c r="OA86" s="673"/>
      <c r="OB86" s="673"/>
      <c r="OC86" s="673"/>
      <c r="OD86" s="673"/>
      <c r="OE86" s="673"/>
      <c r="OF86" s="673"/>
      <c r="OG86" s="673"/>
      <c r="OH86" s="673"/>
      <c r="OI86" s="673"/>
      <c r="OJ86" s="673"/>
      <c r="OK86" s="673"/>
      <c r="OL86" s="673"/>
      <c r="OM86" s="673"/>
      <c r="ON86" s="673"/>
      <c r="OO86" s="673"/>
      <c r="OP86" s="673"/>
      <c r="OQ86" s="673"/>
      <c r="OR86" s="673"/>
      <c r="OS86" s="673"/>
      <c r="OT86" s="673"/>
      <c r="OU86" s="673"/>
      <c r="OV86" s="673"/>
      <c r="OW86" s="673"/>
      <c r="OX86" s="673"/>
      <c r="OY86" s="673"/>
      <c r="OZ86" s="673"/>
      <c r="PA86" s="673"/>
      <c r="PB86" s="673"/>
      <c r="PC86" s="673"/>
      <c r="PD86" s="673"/>
      <c r="PE86" s="673"/>
      <c r="PF86" s="673"/>
      <c r="PG86" s="673"/>
      <c r="PH86" s="673"/>
      <c r="PI86" s="673"/>
      <c r="PJ86" s="673"/>
      <c r="PK86" s="673"/>
      <c r="PL86" s="673"/>
      <c r="PM86" s="673"/>
      <c r="PN86" s="673"/>
      <c r="PO86" s="673"/>
      <c r="PP86" s="673"/>
      <c r="PQ86" s="673"/>
      <c r="PR86" s="673"/>
      <c r="PS86" s="673"/>
      <c r="PT86" s="673"/>
      <c r="PU86" s="673"/>
      <c r="PV86" s="673"/>
      <c r="PW86" s="673"/>
      <c r="PX86" s="673"/>
      <c r="PY86" s="673"/>
      <c r="PZ86" s="673"/>
      <c r="QA86" s="673"/>
      <c r="QB86" s="673"/>
      <c r="QC86" s="673"/>
      <c r="QD86" s="673"/>
      <c r="QE86" s="673"/>
      <c r="QF86" s="673"/>
      <c r="QG86" s="673"/>
      <c r="QH86" s="673"/>
      <c r="QI86" s="673"/>
      <c r="QJ86" s="673"/>
      <c r="QK86" s="673"/>
    </row>
    <row r="87" spans="1:453" s="558" customFormat="1">
      <c r="A87" s="680"/>
      <c r="B87" s="680"/>
      <c r="C87" s="2107" t="str">
        <f ca="1">TEXT(HYPERLINK("#"&amp;CELL("address",'Equipment Results Matrix'!A1290),'Equipment Results Matrix'!A1290),"0,000")</f>
        <v>General Service Linear Fluorescent Fixtures 
(suspended)</v>
      </c>
      <c r="D87" s="2107"/>
      <c r="E87" s="2107"/>
      <c r="F87" s="2107"/>
      <c r="G87" s="2107"/>
      <c r="H87" s="2107"/>
      <c r="I87" s="2107"/>
      <c r="J87" s="1525" t="str">
        <f ca="1">TEXT(HYPERLINK("#"&amp;CELL("address",'Labor Results Matrix'!A798),"Labor"),"0,000")</f>
        <v>Labor</v>
      </c>
      <c r="K87" s="1525"/>
      <c r="L87" s="2107" t="str">
        <f ca="1">TEXT(HYPERLINK("#"&amp;CELL("address",'Equipment + Labor'!A709),"Total installed cost"),"0,000")</f>
        <v>Total installed cost</v>
      </c>
      <c r="M87" s="2107"/>
      <c r="N87" s="2107"/>
      <c r="O87" s="673"/>
      <c r="P87" s="673"/>
      <c r="Q87" s="673"/>
      <c r="R87" s="673"/>
      <c r="S87" s="673"/>
      <c r="T87" s="673"/>
      <c r="U87" s="673"/>
      <c r="V87" s="673"/>
      <c r="W87" s="673"/>
      <c r="X87" s="673"/>
      <c r="Y87" s="673"/>
      <c r="Z87" s="673"/>
      <c r="AA87" s="673"/>
      <c r="AB87" s="673"/>
      <c r="AC87" s="673"/>
      <c r="AD87" s="673"/>
      <c r="AE87" s="673"/>
      <c r="AF87" s="673"/>
      <c r="AG87" s="673"/>
      <c r="AH87" s="673"/>
      <c r="AI87" s="673"/>
      <c r="AJ87" s="673"/>
      <c r="AK87" s="673"/>
      <c r="AL87" s="673"/>
      <c r="AM87" s="673"/>
      <c r="AN87" s="673"/>
      <c r="AO87" s="673"/>
      <c r="AP87" s="673"/>
      <c r="AQ87" s="673"/>
      <c r="AR87" s="673"/>
      <c r="AS87" s="673"/>
      <c r="AT87" s="673"/>
      <c r="AU87" s="673"/>
      <c r="AV87" s="673"/>
      <c r="AW87" s="673"/>
      <c r="AX87" s="673"/>
      <c r="AY87" s="673"/>
      <c r="AZ87" s="673"/>
      <c r="BA87" s="673"/>
      <c r="BB87" s="673"/>
      <c r="BC87" s="673"/>
      <c r="BD87" s="673"/>
      <c r="BE87" s="673"/>
      <c r="BF87" s="673"/>
      <c r="BG87" s="673"/>
      <c r="BH87" s="673"/>
      <c r="BI87" s="673"/>
      <c r="BJ87" s="673"/>
      <c r="BK87" s="673"/>
      <c r="BL87" s="673"/>
      <c r="BM87" s="673"/>
      <c r="BN87" s="673"/>
      <c r="BO87" s="673"/>
      <c r="BP87" s="673"/>
      <c r="BQ87" s="673"/>
      <c r="BR87" s="673"/>
      <c r="BS87" s="673"/>
      <c r="BT87" s="673"/>
      <c r="BU87" s="673"/>
      <c r="BV87" s="673"/>
      <c r="BW87" s="673"/>
      <c r="BX87" s="673"/>
      <c r="BY87" s="673"/>
      <c r="BZ87" s="673"/>
      <c r="CA87" s="673"/>
      <c r="CB87" s="673"/>
      <c r="CC87" s="673"/>
      <c r="CD87" s="673"/>
      <c r="CE87" s="673"/>
      <c r="CF87" s="673"/>
      <c r="CG87" s="673"/>
      <c r="CH87" s="673"/>
      <c r="CI87" s="673"/>
      <c r="CJ87" s="673"/>
      <c r="CK87" s="673"/>
      <c r="CL87" s="673"/>
      <c r="CM87" s="673"/>
      <c r="CN87" s="673"/>
      <c r="CO87" s="673"/>
      <c r="CP87" s="673"/>
      <c r="CQ87" s="673"/>
      <c r="CR87" s="673"/>
      <c r="CS87" s="673"/>
      <c r="CT87" s="673"/>
      <c r="CU87" s="673"/>
      <c r="CV87" s="673"/>
      <c r="CW87" s="673"/>
      <c r="CX87" s="673"/>
      <c r="CY87" s="673"/>
      <c r="CZ87" s="673"/>
      <c r="DA87" s="673"/>
      <c r="DB87" s="673"/>
      <c r="DC87" s="673"/>
      <c r="DD87" s="673"/>
      <c r="DE87" s="673"/>
      <c r="DF87" s="673"/>
      <c r="DG87" s="673"/>
      <c r="DH87" s="673"/>
      <c r="DI87" s="673"/>
      <c r="DJ87" s="673"/>
      <c r="DK87" s="673"/>
      <c r="DL87" s="673"/>
      <c r="DM87" s="673"/>
      <c r="DN87" s="673"/>
      <c r="DO87" s="673"/>
      <c r="DP87" s="673"/>
      <c r="DQ87" s="673"/>
      <c r="DR87" s="673"/>
      <c r="DS87" s="673"/>
      <c r="DT87" s="673"/>
      <c r="DU87" s="673"/>
      <c r="DV87" s="673"/>
      <c r="DW87" s="673"/>
      <c r="DX87" s="673"/>
      <c r="DY87" s="673"/>
      <c r="DZ87" s="673"/>
      <c r="EA87" s="673"/>
      <c r="EB87" s="673"/>
      <c r="EC87" s="673"/>
      <c r="ED87" s="673"/>
      <c r="EE87" s="673"/>
      <c r="EF87" s="673"/>
      <c r="EG87" s="673"/>
      <c r="EH87" s="673"/>
      <c r="EI87" s="673"/>
      <c r="EJ87" s="673"/>
      <c r="EK87" s="673"/>
      <c r="EL87" s="673"/>
      <c r="EM87" s="673"/>
      <c r="EN87" s="673"/>
      <c r="EO87" s="673"/>
      <c r="EP87" s="673"/>
      <c r="EQ87" s="673"/>
      <c r="ER87" s="673"/>
      <c r="ES87" s="673"/>
      <c r="ET87" s="673"/>
      <c r="EU87" s="673"/>
      <c r="EV87" s="673"/>
      <c r="EW87" s="673"/>
      <c r="EX87" s="673"/>
      <c r="EY87" s="673"/>
      <c r="EZ87" s="673"/>
      <c r="FA87" s="673"/>
      <c r="FB87" s="673"/>
      <c r="FC87" s="673"/>
      <c r="FD87" s="673"/>
      <c r="FE87" s="673"/>
      <c r="FF87" s="673"/>
      <c r="FG87" s="673"/>
      <c r="FH87" s="673"/>
      <c r="FI87" s="673"/>
      <c r="FJ87" s="673"/>
      <c r="FK87" s="673"/>
      <c r="FL87" s="673"/>
      <c r="FM87" s="673"/>
      <c r="FN87" s="673"/>
      <c r="FO87" s="673"/>
      <c r="FP87" s="673"/>
      <c r="FQ87" s="673"/>
      <c r="FR87" s="673"/>
      <c r="FS87" s="673"/>
      <c r="FT87" s="673"/>
      <c r="FU87" s="673"/>
      <c r="FV87" s="673"/>
      <c r="FW87" s="673"/>
      <c r="FX87" s="673"/>
      <c r="FY87" s="673"/>
      <c r="FZ87" s="673"/>
      <c r="GA87" s="673"/>
      <c r="GB87" s="673"/>
      <c r="GC87" s="673"/>
      <c r="GD87" s="673"/>
      <c r="GE87" s="673"/>
      <c r="GF87" s="673"/>
      <c r="GG87" s="673"/>
      <c r="GH87" s="673"/>
      <c r="GI87" s="673"/>
      <c r="GJ87" s="673"/>
      <c r="GK87" s="673"/>
      <c r="GL87" s="673"/>
      <c r="GM87" s="673"/>
      <c r="GN87" s="673"/>
      <c r="GO87" s="673"/>
      <c r="GP87" s="673"/>
      <c r="GQ87" s="673"/>
      <c r="GR87" s="673"/>
      <c r="GS87" s="673"/>
      <c r="GT87" s="673"/>
      <c r="GU87" s="673"/>
      <c r="GV87" s="673"/>
      <c r="GW87" s="673"/>
      <c r="GX87" s="673"/>
      <c r="GY87" s="673"/>
      <c r="GZ87" s="673"/>
      <c r="HA87" s="673"/>
      <c r="HB87" s="673"/>
      <c r="HC87" s="673"/>
      <c r="HD87" s="673"/>
      <c r="HE87" s="673"/>
      <c r="HF87" s="673"/>
      <c r="HG87" s="673"/>
      <c r="HH87" s="673"/>
      <c r="HI87" s="673"/>
      <c r="HJ87" s="673"/>
      <c r="HK87" s="673"/>
      <c r="HL87" s="673"/>
      <c r="HM87" s="673"/>
      <c r="HN87" s="673"/>
      <c r="HO87" s="673"/>
      <c r="HP87" s="673"/>
      <c r="HQ87" s="673"/>
      <c r="HR87" s="673"/>
      <c r="HS87" s="673"/>
      <c r="HT87" s="673"/>
      <c r="HU87" s="673"/>
      <c r="HV87" s="673"/>
      <c r="HW87" s="673"/>
      <c r="HX87" s="673"/>
      <c r="HY87" s="673"/>
      <c r="HZ87" s="673"/>
      <c r="IA87" s="673"/>
      <c r="IB87" s="673"/>
      <c r="IC87" s="673"/>
      <c r="ID87" s="673"/>
      <c r="IE87" s="673"/>
      <c r="IF87" s="673"/>
      <c r="IG87" s="673"/>
      <c r="IH87" s="673"/>
      <c r="II87" s="673"/>
      <c r="IJ87" s="673"/>
      <c r="IK87" s="673"/>
      <c r="IL87" s="673"/>
      <c r="IM87" s="673"/>
      <c r="IN87" s="673"/>
      <c r="IO87" s="673"/>
      <c r="IP87" s="673"/>
      <c r="IQ87" s="673"/>
      <c r="IR87" s="673"/>
      <c r="IS87" s="673"/>
      <c r="IT87" s="673"/>
      <c r="IU87" s="673"/>
      <c r="IV87" s="673"/>
      <c r="IW87" s="673"/>
      <c r="IX87" s="673"/>
      <c r="IY87" s="673"/>
      <c r="IZ87" s="673"/>
      <c r="JA87" s="673"/>
      <c r="JB87" s="673"/>
      <c r="JC87" s="673"/>
      <c r="JD87" s="673"/>
      <c r="JE87" s="673"/>
      <c r="JF87" s="673"/>
      <c r="JG87" s="673"/>
      <c r="JH87" s="673"/>
      <c r="JI87" s="673"/>
      <c r="JJ87" s="673"/>
      <c r="JK87" s="673"/>
      <c r="JL87" s="673"/>
      <c r="JM87" s="673"/>
      <c r="JN87" s="673"/>
      <c r="JO87" s="673"/>
      <c r="JP87" s="673"/>
      <c r="JQ87" s="673"/>
      <c r="JR87" s="673"/>
      <c r="JS87" s="673"/>
      <c r="JT87" s="673"/>
      <c r="JU87" s="673"/>
      <c r="JV87" s="673"/>
      <c r="JW87" s="673"/>
      <c r="JX87" s="673"/>
      <c r="JY87" s="673"/>
      <c r="JZ87" s="673"/>
      <c r="KA87" s="673"/>
      <c r="KB87" s="673"/>
      <c r="KC87" s="673"/>
      <c r="KD87" s="673"/>
      <c r="KE87" s="673"/>
      <c r="KF87" s="673"/>
      <c r="KG87" s="673"/>
      <c r="KH87" s="673"/>
      <c r="KI87" s="673"/>
      <c r="KJ87" s="673"/>
      <c r="KK87" s="673"/>
      <c r="KL87" s="673"/>
      <c r="KM87" s="673"/>
      <c r="KN87" s="673"/>
      <c r="KO87" s="673"/>
      <c r="KP87" s="673"/>
      <c r="KQ87" s="673"/>
      <c r="KR87" s="673"/>
      <c r="KS87" s="673"/>
      <c r="KT87" s="673"/>
      <c r="KU87" s="673"/>
      <c r="KV87" s="673"/>
      <c r="KW87" s="673"/>
      <c r="KX87" s="673"/>
      <c r="KY87" s="673"/>
      <c r="KZ87" s="673"/>
      <c r="LA87" s="673"/>
      <c r="LB87" s="673"/>
      <c r="LC87" s="673"/>
      <c r="LD87" s="673"/>
      <c r="LE87" s="673"/>
      <c r="LF87" s="673"/>
      <c r="LG87" s="673"/>
      <c r="LH87" s="673"/>
      <c r="LI87" s="673"/>
      <c r="LJ87" s="673"/>
      <c r="LK87" s="673"/>
      <c r="LL87" s="673"/>
      <c r="LM87" s="673"/>
      <c r="LN87" s="673"/>
      <c r="LO87" s="673"/>
      <c r="LP87" s="673"/>
      <c r="LQ87" s="673"/>
      <c r="LR87" s="673"/>
      <c r="LS87" s="673"/>
      <c r="LT87" s="673"/>
      <c r="LU87" s="673"/>
      <c r="LV87" s="673"/>
      <c r="LW87" s="673"/>
      <c r="LX87" s="673"/>
      <c r="LY87" s="673"/>
      <c r="LZ87" s="673"/>
      <c r="MA87" s="673"/>
      <c r="MB87" s="673"/>
      <c r="MC87" s="673"/>
      <c r="MD87" s="673"/>
      <c r="ME87" s="673"/>
      <c r="MF87" s="673"/>
      <c r="MG87" s="673"/>
      <c r="MH87" s="673"/>
      <c r="MI87" s="673"/>
      <c r="MJ87" s="673"/>
      <c r="MK87" s="673"/>
      <c r="ML87" s="673"/>
      <c r="MM87" s="673"/>
      <c r="MN87" s="673"/>
      <c r="MO87" s="673"/>
      <c r="MP87" s="673"/>
      <c r="MQ87" s="673"/>
      <c r="MR87" s="673"/>
      <c r="MS87" s="673"/>
      <c r="MT87" s="673"/>
      <c r="MU87" s="673"/>
      <c r="MV87" s="673"/>
      <c r="MW87" s="673"/>
      <c r="MX87" s="673"/>
      <c r="MY87" s="673"/>
      <c r="MZ87" s="673"/>
      <c r="NA87" s="673"/>
      <c r="NB87" s="673"/>
      <c r="NC87" s="673"/>
      <c r="ND87" s="673"/>
      <c r="NE87" s="673"/>
      <c r="NF87" s="673"/>
      <c r="NG87" s="673"/>
      <c r="NH87" s="673"/>
      <c r="NI87" s="673"/>
      <c r="NJ87" s="673"/>
      <c r="NK87" s="673"/>
      <c r="NL87" s="673"/>
      <c r="NM87" s="673"/>
      <c r="NN87" s="673"/>
      <c r="NO87" s="673"/>
      <c r="NP87" s="673"/>
      <c r="NQ87" s="673"/>
      <c r="NR87" s="673"/>
      <c r="NS87" s="673"/>
      <c r="NT87" s="673"/>
      <c r="NU87" s="673"/>
      <c r="NV87" s="673"/>
      <c r="NW87" s="673"/>
      <c r="NX87" s="673"/>
      <c r="NY87" s="673"/>
      <c r="NZ87" s="673"/>
      <c r="OA87" s="673"/>
      <c r="OB87" s="673"/>
      <c r="OC87" s="673"/>
      <c r="OD87" s="673"/>
      <c r="OE87" s="673"/>
      <c r="OF87" s="673"/>
      <c r="OG87" s="673"/>
      <c r="OH87" s="673"/>
      <c r="OI87" s="673"/>
      <c r="OJ87" s="673"/>
      <c r="OK87" s="673"/>
      <c r="OL87" s="673"/>
      <c r="OM87" s="673"/>
      <c r="ON87" s="673"/>
      <c r="OO87" s="673"/>
      <c r="OP87" s="673"/>
      <c r="OQ87" s="673"/>
      <c r="OR87" s="673"/>
      <c r="OS87" s="673"/>
      <c r="OT87" s="673"/>
      <c r="OU87" s="673"/>
      <c r="OV87" s="673"/>
      <c r="OW87" s="673"/>
      <c r="OX87" s="673"/>
      <c r="OY87" s="673"/>
      <c r="OZ87" s="673"/>
      <c r="PA87" s="673"/>
      <c r="PB87" s="673"/>
      <c r="PC87" s="673"/>
      <c r="PD87" s="673"/>
      <c r="PE87" s="673"/>
      <c r="PF87" s="673"/>
      <c r="PG87" s="673"/>
      <c r="PH87" s="673"/>
      <c r="PI87" s="673"/>
      <c r="PJ87" s="673"/>
      <c r="PK87" s="673"/>
      <c r="PL87" s="673"/>
      <c r="PM87" s="673"/>
      <c r="PN87" s="673"/>
      <c r="PO87" s="673"/>
      <c r="PP87" s="673"/>
      <c r="PQ87" s="673"/>
      <c r="PR87" s="673"/>
      <c r="PS87" s="673"/>
      <c r="PT87" s="673"/>
      <c r="PU87" s="673"/>
      <c r="PV87" s="673"/>
      <c r="PW87" s="673"/>
      <c r="PX87" s="673"/>
      <c r="PY87" s="673"/>
      <c r="PZ87" s="673"/>
      <c r="QA87" s="673"/>
      <c r="QB87" s="673"/>
      <c r="QC87" s="673"/>
      <c r="QD87" s="673"/>
      <c r="QE87" s="673"/>
      <c r="QF87" s="673"/>
      <c r="QG87" s="673"/>
      <c r="QH87" s="673"/>
      <c r="QI87" s="673"/>
      <c r="QJ87" s="673"/>
      <c r="QK87" s="673"/>
    </row>
    <row r="88" spans="1:453" s="558" customFormat="1">
      <c r="A88" s="680"/>
      <c r="B88" s="680"/>
      <c r="C88" s="2107" t="str">
        <f ca="1">TEXT(HYPERLINK("#"&amp;CELL("address",'Equipment Results Matrix'!A1315),'Equipment Results Matrix'!A1315),"0,000")</f>
        <v>High Bay Linear Fluorescent Fixtures</v>
      </c>
      <c r="D88" s="2107"/>
      <c r="E88" s="2107"/>
      <c r="F88" s="2107"/>
      <c r="G88" s="2107"/>
      <c r="H88" s="2107"/>
      <c r="I88" s="2107"/>
      <c r="J88" s="1525" t="str">
        <f ca="1">TEXT(HYPERLINK("#"&amp;CELL("address",'Labor Results Matrix'!A823),"Labor"),"0,000")</f>
        <v>Labor</v>
      </c>
      <c r="K88" s="1525"/>
      <c r="L88" s="2107" t="str">
        <f ca="1">TEXT(HYPERLINK("#"&amp;CELL("address",'Equipment + Labor'!A808),"Total installed cost"),"0,000")</f>
        <v>Total installed cost</v>
      </c>
      <c r="M88" s="2107"/>
      <c r="N88" s="2107"/>
      <c r="O88" s="673"/>
      <c r="P88" s="673"/>
      <c r="Q88" s="673"/>
      <c r="R88" s="673"/>
      <c r="S88" s="673"/>
      <c r="T88" s="673"/>
      <c r="U88" s="673"/>
      <c r="V88" s="673"/>
      <c r="W88" s="673"/>
      <c r="X88" s="673"/>
      <c r="Y88" s="673"/>
      <c r="Z88" s="673"/>
      <c r="AA88" s="673"/>
      <c r="AB88" s="673"/>
      <c r="AC88" s="673"/>
      <c r="AD88" s="673"/>
      <c r="AE88" s="673"/>
      <c r="AF88" s="673"/>
      <c r="AG88" s="673"/>
      <c r="AH88" s="673"/>
      <c r="AI88" s="673"/>
      <c r="AJ88" s="673"/>
      <c r="AK88" s="673"/>
      <c r="AL88" s="673"/>
      <c r="AM88" s="673"/>
      <c r="AN88" s="673"/>
      <c r="AO88" s="673"/>
      <c r="AP88" s="673"/>
      <c r="AQ88" s="673"/>
      <c r="AR88" s="673"/>
      <c r="AS88" s="673"/>
      <c r="AT88" s="673"/>
      <c r="AU88" s="673"/>
      <c r="AV88" s="673"/>
      <c r="AW88" s="673"/>
      <c r="AX88" s="673"/>
      <c r="AY88" s="673"/>
      <c r="AZ88" s="673"/>
      <c r="BA88" s="673"/>
      <c r="BB88" s="673"/>
      <c r="BC88" s="673"/>
      <c r="BD88" s="673"/>
      <c r="BE88" s="673"/>
      <c r="BF88" s="673"/>
      <c r="BG88" s="673"/>
      <c r="BH88" s="673"/>
      <c r="BI88" s="673"/>
      <c r="BJ88" s="673"/>
      <c r="BK88" s="673"/>
      <c r="BL88" s="673"/>
      <c r="BM88" s="673"/>
      <c r="BN88" s="673"/>
      <c r="BO88" s="673"/>
      <c r="BP88" s="673"/>
      <c r="BQ88" s="673"/>
      <c r="BR88" s="673"/>
      <c r="BS88" s="673"/>
      <c r="BT88" s="673"/>
      <c r="BU88" s="673"/>
      <c r="BV88" s="673"/>
      <c r="BW88" s="673"/>
      <c r="BX88" s="673"/>
      <c r="BY88" s="673"/>
      <c r="BZ88" s="673"/>
      <c r="CA88" s="673"/>
      <c r="CB88" s="673"/>
      <c r="CC88" s="673"/>
      <c r="CD88" s="673"/>
      <c r="CE88" s="673"/>
      <c r="CF88" s="673"/>
      <c r="CG88" s="673"/>
      <c r="CH88" s="673"/>
      <c r="CI88" s="673"/>
      <c r="CJ88" s="673"/>
      <c r="CK88" s="673"/>
      <c r="CL88" s="673"/>
      <c r="CM88" s="673"/>
      <c r="CN88" s="673"/>
      <c r="CO88" s="673"/>
      <c r="CP88" s="673"/>
      <c r="CQ88" s="673"/>
      <c r="CR88" s="673"/>
      <c r="CS88" s="673"/>
      <c r="CT88" s="673"/>
      <c r="CU88" s="673"/>
      <c r="CV88" s="673"/>
      <c r="CW88" s="673"/>
      <c r="CX88" s="673"/>
      <c r="CY88" s="673"/>
      <c r="CZ88" s="673"/>
      <c r="DA88" s="673"/>
      <c r="DB88" s="673"/>
      <c r="DC88" s="673"/>
      <c r="DD88" s="673"/>
      <c r="DE88" s="673"/>
      <c r="DF88" s="673"/>
      <c r="DG88" s="673"/>
      <c r="DH88" s="673"/>
      <c r="DI88" s="673"/>
      <c r="DJ88" s="673"/>
      <c r="DK88" s="673"/>
      <c r="DL88" s="673"/>
      <c r="DM88" s="673"/>
      <c r="DN88" s="673"/>
      <c r="DO88" s="673"/>
      <c r="DP88" s="673"/>
      <c r="DQ88" s="673"/>
      <c r="DR88" s="673"/>
      <c r="DS88" s="673"/>
      <c r="DT88" s="673"/>
      <c r="DU88" s="673"/>
      <c r="DV88" s="673"/>
      <c r="DW88" s="673"/>
      <c r="DX88" s="673"/>
      <c r="DY88" s="673"/>
      <c r="DZ88" s="673"/>
      <c r="EA88" s="673"/>
      <c r="EB88" s="673"/>
      <c r="EC88" s="673"/>
      <c r="ED88" s="673"/>
      <c r="EE88" s="673"/>
      <c r="EF88" s="673"/>
      <c r="EG88" s="673"/>
      <c r="EH88" s="673"/>
      <c r="EI88" s="673"/>
      <c r="EJ88" s="673"/>
      <c r="EK88" s="673"/>
      <c r="EL88" s="673"/>
      <c r="EM88" s="673"/>
      <c r="EN88" s="673"/>
      <c r="EO88" s="673"/>
      <c r="EP88" s="673"/>
      <c r="EQ88" s="673"/>
      <c r="ER88" s="673"/>
      <c r="ES88" s="673"/>
      <c r="ET88" s="673"/>
      <c r="EU88" s="673"/>
      <c r="EV88" s="673"/>
      <c r="EW88" s="673"/>
      <c r="EX88" s="673"/>
      <c r="EY88" s="673"/>
      <c r="EZ88" s="673"/>
      <c r="FA88" s="673"/>
      <c r="FB88" s="673"/>
      <c r="FC88" s="673"/>
      <c r="FD88" s="673"/>
      <c r="FE88" s="673"/>
      <c r="FF88" s="673"/>
      <c r="FG88" s="673"/>
      <c r="FH88" s="673"/>
      <c r="FI88" s="673"/>
      <c r="FJ88" s="673"/>
      <c r="FK88" s="673"/>
      <c r="FL88" s="673"/>
      <c r="FM88" s="673"/>
      <c r="FN88" s="673"/>
      <c r="FO88" s="673"/>
      <c r="FP88" s="673"/>
      <c r="FQ88" s="673"/>
      <c r="FR88" s="673"/>
      <c r="FS88" s="673"/>
      <c r="FT88" s="673"/>
      <c r="FU88" s="673"/>
      <c r="FV88" s="673"/>
      <c r="FW88" s="673"/>
      <c r="FX88" s="673"/>
      <c r="FY88" s="673"/>
      <c r="FZ88" s="673"/>
      <c r="GA88" s="673"/>
      <c r="GB88" s="673"/>
      <c r="GC88" s="673"/>
      <c r="GD88" s="673"/>
      <c r="GE88" s="673"/>
      <c r="GF88" s="673"/>
      <c r="GG88" s="673"/>
      <c r="GH88" s="673"/>
      <c r="GI88" s="673"/>
      <c r="GJ88" s="673"/>
      <c r="GK88" s="673"/>
      <c r="GL88" s="673"/>
      <c r="GM88" s="673"/>
      <c r="GN88" s="673"/>
      <c r="GO88" s="673"/>
      <c r="GP88" s="673"/>
      <c r="GQ88" s="673"/>
      <c r="GR88" s="673"/>
      <c r="GS88" s="673"/>
      <c r="GT88" s="673"/>
      <c r="GU88" s="673"/>
      <c r="GV88" s="673"/>
      <c r="GW88" s="673"/>
      <c r="GX88" s="673"/>
      <c r="GY88" s="673"/>
      <c r="GZ88" s="673"/>
      <c r="HA88" s="673"/>
      <c r="HB88" s="673"/>
      <c r="HC88" s="673"/>
      <c r="HD88" s="673"/>
      <c r="HE88" s="673"/>
      <c r="HF88" s="673"/>
      <c r="HG88" s="673"/>
      <c r="HH88" s="673"/>
      <c r="HI88" s="673"/>
      <c r="HJ88" s="673"/>
      <c r="HK88" s="673"/>
      <c r="HL88" s="673"/>
      <c r="HM88" s="673"/>
      <c r="HN88" s="673"/>
      <c r="HO88" s="673"/>
      <c r="HP88" s="673"/>
      <c r="HQ88" s="673"/>
      <c r="HR88" s="673"/>
      <c r="HS88" s="673"/>
      <c r="HT88" s="673"/>
      <c r="HU88" s="673"/>
      <c r="HV88" s="673"/>
      <c r="HW88" s="673"/>
      <c r="HX88" s="673"/>
      <c r="HY88" s="673"/>
      <c r="HZ88" s="673"/>
      <c r="IA88" s="673"/>
      <c r="IB88" s="673"/>
      <c r="IC88" s="673"/>
      <c r="ID88" s="673"/>
      <c r="IE88" s="673"/>
      <c r="IF88" s="673"/>
      <c r="IG88" s="673"/>
      <c r="IH88" s="673"/>
      <c r="II88" s="673"/>
      <c r="IJ88" s="673"/>
      <c r="IK88" s="673"/>
      <c r="IL88" s="673"/>
      <c r="IM88" s="673"/>
      <c r="IN88" s="673"/>
      <c r="IO88" s="673"/>
      <c r="IP88" s="673"/>
      <c r="IQ88" s="673"/>
      <c r="IR88" s="673"/>
      <c r="IS88" s="673"/>
      <c r="IT88" s="673"/>
      <c r="IU88" s="673"/>
      <c r="IV88" s="673"/>
      <c r="IW88" s="673"/>
      <c r="IX88" s="673"/>
      <c r="IY88" s="673"/>
      <c r="IZ88" s="673"/>
      <c r="JA88" s="673"/>
      <c r="JB88" s="673"/>
      <c r="JC88" s="673"/>
      <c r="JD88" s="673"/>
      <c r="JE88" s="673"/>
      <c r="JF88" s="673"/>
      <c r="JG88" s="673"/>
      <c r="JH88" s="673"/>
      <c r="JI88" s="673"/>
      <c r="JJ88" s="673"/>
      <c r="JK88" s="673"/>
      <c r="JL88" s="673"/>
      <c r="JM88" s="673"/>
      <c r="JN88" s="673"/>
      <c r="JO88" s="673"/>
      <c r="JP88" s="673"/>
      <c r="JQ88" s="673"/>
      <c r="JR88" s="673"/>
      <c r="JS88" s="673"/>
      <c r="JT88" s="673"/>
      <c r="JU88" s="673"/>
      <c r="JV88" s="673"/>
      <c r="JW88" s="673"/>
      <c r="JX88" s="673"/>
      <c r="JY88" s="673"/>
      <c r="JZ88" s="673"/>
      <c r="KA88" s="673"/>
      <c r="KB88" s="673"/>
      <c r="KC88" s="673"/>
      <c r="KD88" s="673"/>
      <c r="KE88" s="673"/>
      <c r="KF88" s="673"/>
      <c r="KG88" s="673"/>
      <c r="KH88" s="673"/>
      <c r="KI88" s="673"/>
      <c r="KJ88" s="673"/>
      <c r="KK88" s="673"/>
      <c r="KL88" s="673"/>
      <c r="KM88" s="673"/>
      <c r="KN88" s="673"/>
      <c r="KO88" s="673"/>
      <c r="KP88" s="673"/>
      <c r="KQ88" s="673"/>
      <c r="KR88" s="673"/>
      <c r="KS88" s="673"/>
      <c r="KT88" s="673"/>
      <c r="KU88" s="673"/>
      <c r="KV88" s="673"/>
      <c r="KW88" s="673"/>
      <c r="KX88" s="673"/>
      <c r="KY88" s="673"/>
      <c r="KZ88" s="673"/>
      <c r="LA88" s="673"/>
      <c r="LB88" s="673"/>
      <c r="LC88" s="673"/>
      <c r="LD88" s="673"/>
      <c r="LE88" s="673"/>
      <c r="LF88" s="673"/>
      <c r="LG88" s="673"/>
      <c r="LH88" s="673"/>
      <c r="LI88" s="673"/>
      <c r="LJ88" s="673"/>
      <c r="LK88" s="673"/>
      <c r="LL88" s="673"/>
      <c r="LM88" s="673"/>
      <c r="LN88" s="673"/>
      <c r="LO88" s="673"/>
      <c r="LP88" s="673"/>
      <c r="LQ88" s="673"/>
      <c r="LR88" s="673"/>
      <c r="LS88" s="673"/>
      <c r="LT88" s="673"/>
      <c r="LU88" s="673"/>
      <c r="LV88" s="673"/>
      <c r="LW88" s="673"/>
      <c r="LX88" s="673"/>
      <c r="LY88" s="673"/>
      <c r="LZ88" s="673"/>
      <c r="MA88" s="673"/>
      <c r="MB88" s="673"/>
      <c r="MC88" s="673"/>
      <c r="MD88" s="673"/>
      <c r="ME88" s="673"/>
      <c r="MF88" s="673"/>
      <c r="MG88" s="673"/>
      <c r="MH88" s="673"/>
      <c r="MI88" s="673"/>
      <c r="MJ88" s="673"/>
      <c r="MK88" s="673"/>
      <c r="ML88" s="673"/>
      <c r="MM88" s="673"/>
      <c r="MN88" s="673"/>
      <c r="MO88" s="673"/>
      <c r="MP88" s="673"/>
      <c r="MQ88" s="673"/>
      <c r="MR88" s="673"/>
      <c r="MS88" s="673"/>
      <c r="MT88" s="673"/>
      <c r="MU88" s="673"/>
      <c r="MV88" s="673"/>
      <c r="MW88" s="673"/>
      <c r="MX88" s="673"/>
      <c r="MY88" s="673"/>
      <c r="MZ88" s="673"/>
      <c r="NA88" s="673"/>
      <c r="NB88" s="673"/>
      <c r="NC88" s="673"/>
      <c r="ND88" s="673"/>
      <c r="NE88" s="673"/>
      <c r="NF88" s="673"/>
      <c r="NG88" s="673"/>
      <c r="NH88" s="673"/>
      <c r="NI88" s="673"/>
      <c r="NJ88" s="673"/>
      <c r="NK88" s="673"/>
      <c r="NL88" s="673"/>
      <c r="NM88" s="673"/>
      <c r="NN88" s="673"/>
      <c r="NO88" s="673"/>
      <c r="NP88" s="673"/>
      <c r="NQ88" s="673"/>
      <c r="NR88" s="673"/>
      <c r="NS88" s="673"/>
      <c r="NT88" s="673"/>
      <c r="NU88" s="673"/>
      <c r="NV88" s="673"/>
      <c r="NW88" s="673"/>
      <c r="NX88" s="673"/>
      <c r="NY88" s="673"/>
      <c r="NZ88" s="673"/>
      <c r="OA88" s="673"/>
      <c r="OB88" s="673"/>
      <c r="OC88" s="673"/>
      <c r="OD88" s="673"/>
      <c r="OE88" s="673"/>
      <c r="OF88" s="673"/>
      <c r="OG88" s="673"/>
      <c r="OH88" s="673"/>
      <c r="OI88" s="673"/>
      <c r="OJ88" s="673"/>
      <c r="OK88" s="673"/>
      <c r="OL88" s="673"/>
      <c r="OM88" s="673"/>
      <c r="ON88" s="673"/>
      <c r="OO88" s="673"/>
      <c r="OP88" s="673"/>
      <c r="OQ88" s="673"/>
      <c r="OR88" s="673"/>
      <c r="OS88" s="673"/>
      <c r="OT88" s="673"/>
      <c r="OU88" s="673"/>
      <c r="OV88" s="673"/>
      <c r="OW88" s="673"/>
      <c r="OX88" s="673"/>
      <c r="OY88" s="673"/>
      <c r="OZ88" s="673"/>
      <c r="PA88" s="673"/>
      <c r="PB88" s="673"/>
      <c r="PC88" s="673"/>
      <c r="PD88" s="673"/>
      <c r="PE88" s="673"/>
      <c r="PF88" s="673"/>
      <c r="PG88" s="673"/>
      <c r="PH88" s="673"/>
      <c r="PI88" s="673"/>
      <c r="PJ88" s="673"/>
      <c r="PK88" s="673"/>
      <c r="PL88" s="673"/>
      <c r="PM88" s="673"/>
      <c r="PN88" s="673"/>
      <c r="PO88" s="673"/>
      <c r="PP88" s="673"/>
      <c r="PQ88" s="673"/>
      <c r="PR88" s="673"/>
      <c r="PS88" s="673"/>
      <c r="PT88" s="673"/>
      <c r="PU88" s="673"/>
      <c r="PV88" s="673"/>
      <c r="PW88" s="673"/>
      <c r="PX88" s="673"/>
      <c r="PY88" s="673"/>
      <c r="PZ88" s="673"/>
      <c r="QA88" s="673"/>
      <c r="QB88" s="673"/>
      <c r="QC88" s="673"/>
      <c r="QD88" s="673"/>
      <c r="QE88" s="673"/>
      <c r="QF88" s="673"/>
      <c r="QG88" s="673"/>
      <c r="QH88" s="673"/>
      <c r="QI88" s="673"/>
      <c r="QJ88" s="673"/>
      <c r="QK88" s="673"/>
    </row>
    <row r="89" spans="1:453" s="558" customFormat="1">
      <c r="A89" s="680"/>
      <c r="B89" s="680"/>
      <c r="C89" s="2107" t="str">
        <f ca="1">TEXT(HYPERLINK("#"&amp;CELL("address",'Equipment Results Matrix'!A1334),'Equipment Results Matrix'!A1334),"0,000")</f>
        <v>Bi-Level Linear Fluorescent Fixtures 
(garage/stairwell lighting)</v>
      </c>
      <c r="D89" s="2107"/>
      <c r="E89" s="2107"/>
      <c r="F89" s="2107"/>
      <c r="G89" s="2107"/>
      <c r="H89" s="2107"/>
      <c r="I89" s="2107"/>
      <c r="J89" s="1525" t="str">
        <f ca="1">TEXT(HYPERLINK("#"&amp;CELL("address",'Labor Results Matrix'!A842),"Labor"),"0,000")</f>
        <v>Labor</v>
      </c>
      <c r="K89" s="1525"/>
      <c r="L89" s="2107" t="str">
        <f ca="1">TEXT(HYPERLINK("#"&amp;CELL("address",'Equipment + Labor'!A813),"Total installed cost"),"0,000")</f>
        <v>Total installed cost</v>
      </c>
      <c r="M89" s="2107"/>
      <c r="N89" s="2107"/>
      <c r="O89" s="673"/>
      <c r="P89" s="673"/>
      <c r="Q89" s="673"/>
      <c r="R89" s="673"/>
      <c r="S89" s="673"/>
      <c r="T89" s="673"/>
      <c r="U89" s="673"/>
      <c r="V89" s="673"/>
      <c r="W89" s="673"/>
      <c r="X89" s="673"/>
      <c r="Y89" s="673"/>
      <c r="Z89" s="673"/>
      <c r="AA89" s="673"/>
      <c r="AB89" s="673"/>
      <c r="AC89" s="673"/>
      <c r="AD89" s="673"/>
      <c r="AE89" s="673"/>
      <c r="AF89" s="673"/>
      <c r="AG89" s="673"/>
      <c r="AH89" s="673"/>
      <c r="AI89" s="673"/>
      <c r="AJ89" s="673"/>
      <c r="AK89" s="673"/>
      <c r="AL89" s="673"/>
      <c r="AM89" s="673"/>
      <c r="AN89" s="673"/>
      <c r="AO89" s="673"/>
      <c r="AP89" s="673"/>
      <c r="AQ89" s="673"/>
      <c r="AR89" s="673"/>
      <c r="AS89" s="673"/>
      <c r="AT89" s="673"/>
      <c r="AU89" s="673"/>
      <c r="AV89" s="673"/>
      <c r="AW89" s="673"/>
      <c r="AX89" s="673"/>
      <c r="AY89" s="673"/>
      <c r="AZ89" s="673"/>
      <c r="BA89" s="673"/>
      <c r="BB89" s="673"/>
      <c r="BC89" s="673"/>
      <c r="BD89" s="673"/>
      <c r="BE89" s="673"/>
      <c r="BF89" s="673"/>
      <c r="BG89" s="673"/>
      <c r="BH89" s="673"/>
      <c r="BI89" s="673"/>
      <c r="BJ89" s="673"/>
      <c r="BK89" s="673"/>
      <c r="BL89" s="673"/>
      <c r="BM89" s="673"/>
      <c r="BN89" s="673"/>
      <c r="BO89" s="673"/>
      <c r="BP89" s="673"/>
      <c r="BQ89" s="673"/>
      <c r="BR89" s="673"/>
      <c r="BS89" s="673"/>
      <c r="BT89" s="673"/>
      <c r="BU89" s="673"/>
      <c r="BV89" s="673"/>
      <c r="BW89" s="673"/>
      <c r="BX89" s="673"/>
      <c r="BY89" s="673"/>
      <c r="BZ89" s="673"/>
      <c r="CA89" s="673"/>
      <c r="CB89" s="673"/>
      <c r="CC89" s="673"/>
      <c r="CD89" s="673"/>
      <c r="CE89" s="673"/>
      <c r="CF89" s="673"/>
      <c r="CG89" s="673"/>
      <c r="CH89" s="673"/>
      <c r="CI89" s="673"/>
      <c r="CJ89" s="673"/>
      <c r="CK89" s="673"/>
      <c r="CL89" s="673"/>
      <c r="CM89" s="673"/>
      <c r="CN89" s="673"/>
      <c r="CO89" s="673"/>
      <c r="CP89" s="673"/>
      <c r="CQ89" s="673"/>
      <c r="CR89" s="673"/>
      <c r="CS89" s="673"/>
      <c r="CT89" s="673"/>
      <c r="CU89" s="673"/>
      <c r="CV89" s="673"/>
      <c r="CW89" s="673"/>
      <c r="CX89" s="673"/>
      <c r="CY89" s="673"/>
      <c r="CZ89" s="673"/>
      <c r="DA89" s="673"/>
      <c r="DB89" s="673"/>
      <c r="DC89" s="673"/>
      <c r="DD89" s="673"/>
      <c r="DE89" s="673"/>
      <c r="DF89" s="673"/>
      <c r="DG89" s="673"/>
      <c r="DH89" s="673"/>
      <c r="DI89" s="673"/>
      <c r="DJ89" s="673"/>
      <c r="DK89" s="673"/>
      <c r="DL89" s="673"/>
      <c r="DM89" s="673"/>
      <c r="DN89" s="673"/>
      <c r="DO89" s="673"/>
      <c r="DP89" s="673"/>
      <c r="DQ89" s="673"/>
      <c r="DR89" s="673"/>
      <c r="DS89" s="673"/>
      <c r="DT89" s="673"/>
      <c r="DU89" s="673"/>
      <c r="DV89" s="673"/>
      <c r="DW89" s="673"/>
      <c r="DX89" s="673"/>
      <c r="DY89" s="673"/>
      <c r="DZ89" s="673"/>
      <c r="EA89" s="673"/>
      <c r="EB89" s="673"/>
      <c r="EC89" s="673"/>
      <c r="ED89" s="673"/>
      <c r="EE89" s="673"/>
      <c r="EF89" s="673"/>
      <c r="EG89" s="673"/>
      <c r="EH89" s="673"/>
      <c r="EI89" s="673"/>
      <c r="EJ89" s="673"/>
      <c r="EK89" s="673"/>
      <c r="EL89" s="673"/>
      <c r="EM89" s="673"/>
      <c r="EN89" s="673"/>
      <c r="EO89" s="673"/>
      <c r="EP89" s="673"/>
      <c r="EQ89" s="673"/>
      <c r="ER89" s="673"/>
      <c r="ES89" s="673"/>
      <c r="ET89" s="673"/>
      <c r="EU89" s="673"/>
      <c r="EV89" s="673"/>
      <c r="EW89" s="673"/>
      <c r="EX89" s="673"/>
      <c r="EY89" s="673"/>
      <c r="EZ89" s="673"/>
      <c r="FA89" s="673"/>
      <c r="FB89" s="673"/>
      <c r="FC89" s="673"/>
      <c r="FD89" s="673"/>
      <c r="FE89" s="673"/>
      <c r="FF89" s="673"/>
      <c r="FG89" s="673"/>
      <c r="FH89" s="673"/>
      <c r="FI89" s="673"/>
      <c r="FJ89" s="673"/>
      <c r="FK89" s="673"/>
      <c r="FL89" s="673"/>
      <c r="FM89" s="673"/>
      <c r="FN89" s="673"/>
      <c r="FO89" s="673"/>
      <c r="FP89" s="673"/>
      <c r="FQ89" s="673"/>
      <c r="FR89" s="673"/>
      <c r="FS89" s="673"/>
      <c r="FT89" s="673"/>
      <c r="FU89" s="673"/>
      <c r="FV89" s="673"/>
      <c r="FW89" s="673"/>
      <c r="FX89" s="673"/>
      <c r="FY89" s="673"/>
      <c r="FZ89" s="673"/>
      <c r="GA89" s="673"/>
      <c r="GB89" s="673"/>
      <c r="GC89" s="673"/>
      <c r="GD89" s="673"/>
      <c r="GE89" s="673"/>
      <c r="GF89" s="673"/>
      <c r="GG89" s="673"/>
      <c r="GH89" s="673"/>
      <c r="GI89" s="673"/>
      <c r="GJ89" s="673"/>
      <c r="GK89" s="673"/>
      <c r="GL89" s="673"/>
      <c r="GM89" s="673"/>
      <c r="GN89" s="673"/>
      <c r="GO89" s="673"/>
      <c r="GP89" s="673"/>
      <c r="GQ89" s="673"/>
      <c r="GR89" s="673"/>
      <c r="GS89" s="673"/>
      <c r="GT89" s="673"/>
      <c r="GU89" s="673"/>
      <c r="GV89" s="673"/>
      <c r="GW89" s="673"/>
      <c r="GX89" s="673"/>
      <c r="GY89" s="673"/>
      <c r="GZ89" s="673"/>
      <c r="HA89" s="673"/>
      <c r="HB89" s="673"/>
      <c r="HC89" s="673"/>
      <c r="HD89" s="673"/>
      <c r="HE89" s="673"/>
      <c r="HF89" s="673"/>
      <c r="HG89" s="673"/>
      <c r="HH89" s="673"/>
      <c r="HI89" s="673"/>
      <c r="HJ89" s="673"/>
      <c r="HK89" s="673"/>
      <c r="HL89" s="673"/>
      <c r="HM89" s="673"/>
      <c r="HN89" s="673"/>
      <c r="HO89" s="673"/>
      <c r="HP89" s="673"/>
      <c r="HQ89" s="673"/>
      <c r="HR89" s="673"/>
      <c r="HS89" s="673"/>
      <c r="HT89" s="673"/>
      <c r="HU89" s="673"/>
      <c r="HV89" s="673"/>
      <c r="HW89" s="673"/>
      <c r="HX89" s="673"/>
      <c r="HY89" s="673"/>
      <c r="HZ89" s="673"/>
      <c r="IA89" s="673"/>
      <c r="IB89" s="673"/>
      <c r="IC89" s="673"/>
      <c r="ID89" s="673"/>
      <c r="IE89" s="673"/>
      <c r="IF89" s="673"/>
      <c r="IG89" s="673"/>
      <c r="IH89" s="673"/>
      <c r="II89" s="673"/>
      <c r="IJ89" s="673"/>
      <c r="IK89" s="673"/>
      <c r="IL89" s="673"/>
      <c r="IM89" s="673"/>
      <c r="IN89" s="673"/>
      <c r="IO89" s="673"/>
      <c r="IP89" s="673"/>
      <c r="IQ89" s="673"/>
      <c r="IR89" s="673"/>
      <c r="IS89" s="673"/>
      <c r="IT89" s="673"/>
      <c r="IU89" s="673"/>
      <c r="IV89" s="673"/>
      <c r="IW89" s="673"/>
      <c r="IX89" s="673"/>
      <c r="IY89" s="673"/>
      <c r="IZ89" s="673"/>
      <c r="JA89" s="673"/>
      <c r="JB89" s="673"/>
      <c r="JC89" s="673"/>
      <c r="JD89" s="673"/>
      <c r="JE89" s="673"/>
      <c r="JF89" s="673"/>
      <c r="JG89" s="673"/>
      <c r="JH89" s="673"/>
      <c r="JI89" s="673"/>
      <c r="JJ89" s="673"/>
      <c r="JK89" s="673"/>
      <c r="JL89" s="673"/>
      <c r="JM89" s="673"/>
      <c r="JN89" s="673"/>
      <c r="JO89" s="673"/>
      <c r="JP89" s="673"/>
      <c r="JQ89" s="673"/>
      <c r="JR89" s="673"/>
      <c r="JS89" s="673"/>
      <c r="JT89" s="673"/>
      <c r="JU89" s="673"/>
      <c r="JV89" s="673"/>
      <c r="JW89" s="673"/>
      <c r="JX89" s="673"/>
      <c r="JY89" s="673"/>
      <c r="JZ89" s="673"/>
      <c r="KA89" s="673"/>
      <c r="KB89" s="673"/>
      <c r="KC89" s="673"/>
      <c r="KD89" s="673"/>
      <c r="KE89" s="673"/>
      <c r="KF89" s="673"/>
      <c r="KG89" s="673"/>
      <c r="KH89" s="673"/>
      <c r="KI89" s="673"/>
      <c r="KJ89" s="673"/>
      <c r="KK89" s="673"/>
      <c r="KL89" s="673"/>
      <c r="KM89" s="673"/>
      <c r="KN89" s="673"/>
      <c r="KO89" s="673"/>
      <c r="KP89" s="673"/>
      <c r="KQ89" s="673"/>
      <c r="KR89" s="673"/>
      <c r="KS89" s="673"/>
      <c r="KT89" s="673"/>
      <c r="KU89" s="673"/>
      <c r="KV89" s="673"/>
      <c r="KW89" s="673"/>
      <c r="KX89" s="673"/>
      <c r="KY89" s="673"/>
      <c r="KZ89" s="673"/>
      <c r="LA89" s="673"/>
      <c r="LB89" s="673"/>
      <c r="LC89" s="673"/>
      <c r="LD89" s="673"/>
      <c r="LE89" s="673"/>
      <c r="LF89" s="673"/>
      <c r="LG89" s="673"/>
      <c r="LH89" s="673"/>
      <c r="LI89" s="673"/>
      <c r="LJ89" s="673"/>
      <c r="LK89" s="673"/>
      <c r="LL89" s="673"/>
      <c r="LM89" s="673"/>
      <c r="LN89" s="673"/>
      <c r="LO89" s="673"/>
      <c r="LP89" s="673"/>
      <c r="LQ89" s="673"/>
      <c r="LR89" s="673"/>
      <c r="LS89" s="673"/>
      <c r="LT89" s="673"/>
      <c r="LU89" s="673"/>
      <c r="LV89" s="673"/>
      <c r="LW89" s="673"/>
      <c r="LX89" s="673"/>
      <c r="LY89" s="673"/>
      <c r="LZ89" s="673"/>
      <c r="MA89" s="673"/>
      <c r="MB89" s="673"/>
      <c r="MC89" s="673"/>
      <c r="MD89" s="673"/>
      <c r="ME89" s="673"/>
      <c r="MF89" s="673"/>
      <c r="MG89" s="673"/>
      <c r="MH89" s="673"/>
      <c r="MI89" s="673"/>
      <c r="MJ89" s="673"/>
      <c r="MK89" s="673"/>
      <c r="ML89" s="673"/>
      <c r="MM89" s="673"/>
      <c r="MN89" s="673"/>
      <c r="MO89" s="673"/>
      <c r="MP89" s="673"/>
      <c r="MQ89" s="673"/>
      <c r="MR89" s="673"/>
      <c r="MS89" s="673"/>
      <c r="MT89" s="673"/>
      <c r="MU89" s="673"/>
      <c r="MV89" s="673"/>
      <c r="MW89" s="673"/>
      <c r="MX89" s="673"/>
      <c r="MY89" s="673"/>
      <c r="MZ89" s="673"/>
      <c r="NA89" s="673"/>
      <c r="NB89" s="673"/>
      <c r="NC89" s="673"/>
      <c r="ND89" s="673"/>
      <c r="NE89" s="673"/>
      <c r="NF89" s="673"/>
      <c r="NG89" s="673"/>
      <c r="NH89" s="673"/>
      <c r="NI89" s="673"/>
      <c r="NJ89" s="673"/>
      <c r="NK89" s="673"/>
      <c r="NL89" s="673"/>
      <c r="NM89" s="673"/>
      <c r="NN89" s="673"/>
      <c r="NO89" s="673"/>
      <c r="NP89" s="673"/>
      <c r="NQ89" s="673"/>
      <c r="NR89" s="673"/>
      <c r="NS89" s="673"/>
      <c r="NT89" s="673"/>
      <c r="NU89" s="673"/>
      <c r="NV89" s="673"/>
      <c r="NW89" s="673"/>
      <c r="NX89" s="673"/>
      <c r="NY89" s="673"/>
      <c r="NZ89" s="673"/>
      <c r="OA89" s="673"/>
      <c r="OB89" s="673"/>
      <c r="OC89" s="673"/>
      <c r="OD89" s="673"/>
      <c r="OE89" s="673"/>
      <c r="OF89" s="673"/>
      <c r="OG89" s="673"/>
      <c r="OH89" s="673"/>
      <c r="OI89" s="673"/>
      <c r="OJ89" s="673"/>
      <c r="OK89" s="673"/>
      <c r="OL89" s="673"/>
      <c r="OM89" s="673"/>
      <c r="ON89" s="673"/>
      <c r="OO89" s="673"/>
      <c r="OP89" s="673"/>
      <c r="OQ89" s="673"/>
      <c r="OR89" s="673"/>
      <c r="OS89" s="673"/>
      <c r="OT89" s="673"/>
      <c r="OU89" s="673"/>
      <c r="OV89" s="673"/>
      <c r="OW89" s="673"/>
      <c r="OX89" s="673"/>
      <c r="OY89" s="673"/>
      <c r="OZ89" s="673"/>
      <c r="PA89" s="673"/>
      <c r="PB89" s="673"/>
      <c r="PC89" s="673"/>
      <c r="PD89" s="673"/>
      <c r="PE89" s="673"/>
      <c r="PF89" s="673"/>
      <c r="PG89" s="673"/>
      <c r="PH89" s="673"/>
      <c r="PI89" s="673"/>
      <c r="PJ89" s="673"/>
      <c r="PK89" s="673"/>
      <c r="PL89" s="673"/>
      <c r="PM89" s="673"/>
      <c r="PN89" s="673"/>
      <c r="PO89" s="673"/>
      <c r="PP89" s="673"/>
      <c r="PQ89" s="673"/>
      <c r="PR89" s="673"/>
      <c r="PS89" s="673"/>
      <c r="PT89" s="673"/>
      <c r="PU89" s="673"/>
      <c r="PV89" s="673"/>
      <c r="PW89" s="673"/>
      <c r="PX89" s="673"/>
      <c r="PY89" s="673"/>
      <c r="PZ89" s="673"/>
      <c r="QA89" s="673"/>
      <c r="QB89" s="673"/>
      <c r="QC89" s="673"/>
      <c r="QD89" s="673"/>
      <c r="QE89" s="673"/>
      <c r="QF89" s="673"/>
      <c r="QG89" s="673"/>
      <c r="QH89" s="673"/>
      <c r="QI89" s="673"/>
      <c r="QJ89" s="673"/>
      <c r="QK89" s="673"/>
    </row>
    <row r="90" spans="1:453" s="558" customFormat="1">
      <c r="A90" s="680"/>
      <c r="B90" s="680"/>
      <c r="C90" s="2107" t="str">
        <f ca="1">TEXT(HYPERLINK("#"&amp;CELL("address",'Equipment Results Matrix'!A1345),'Equipment Results Matrix'!A1345),"0,000")</f>
        <v>HID Fixtures</v>
      </c>
      <c r="D90" s="2107"/>
      <c r="E90" s="2107"/>
      <c r="F90" s="2107"/>
      <c r="G90" s="2107"/>
      <c r="H90" s="2107"/>
      <c r="I90" s="2107"/>
      <c r="J90" s="1525" t="str">
        <f ca="1">TEXT(HYPERLINK("#"&amp;CELL("address",'Labor Results Matrix'!A853),"Labor"),"0,000")</f>
        <v>Labor</v>
      </c>
      <c r="K90" s="1525"/>
      <c r="L90" s="2107" t="str">
        <f ca="1">TEXT(HYPERLINK("#"&amp;CELL("address",'Equipment + Labor'!A615),"Total installed cost"),"0,000")</f>
        <v>Total installed cost</v>
      </c>
      <c r="M90" s="2107"/>
      <c r="N90" s="2107"/>
      <c r="O90" s="673"/>
      <c r="P90" s="673"/>
      <c r="Q90" s="673"/>
      <c r="R90" s="673"/>
      <c r="S90" s="673"/>
      <c r="T90" s="673"/>
      <c r="U90" s="673"/>
      <c r="V90" s="673"/>
      <c r="W90" s="673"/>
      <c r="X90" s="673"/>
      <c r="Y90" s="673"/>
      <c r="Z90" s="673"/>
      <c r="AA90" s="673"/>
      <c r="AB90" s="673"/>
      <c r="AC90" s="673"/>
      <c r="AD90" s="673"/>
      <c r="AE90" s="673"/>
      <c r="AF90" s="673"/>
      <c r="AG90" s="673"/>
      <c r="AH90" s="673"/>
      <c r="AI90" s="673"/>
      <c r="AJ90" s="673"/>
      <c r="AK90" s="673"/>
      <c r="AL90" s="673"/>
      <c r="AM90" s="673"/>
      <c r="AN90" s="673"/>
      <c r="AO90" s="673"/>
      <c r="AP90" s="673"/>
      <c r="AQ90" s="673"/>
      <c r="AR90" s="673"/>
      <c r="AS90" s="673"/>
      <c r="AT90" s="673"/>
      <c r="AU90" s="673"/>
      <c r="AV90" s="673"/>
      <c r="AW90" s="673"/>
      <c r="AX90" s="673"/>
      <c r="AY90" s="673"/>
      <c r="AZ90" s="673"/>
      <c r="BA90" s="673"/>
      <c r="BB90" s="673"/>
      <c r="BC90" s="673"/>
      <c r="BD90" s="673"/>
      <c r="BE90" s="673"/>
      <c r="BF90" s="673"/>
      <c r="BG90" s="673"/>
      <c r="BH90" s="673"/>
      <c r="BI90" s="673"/>
      <c r="BJ90" s="673"/>
      <c r="BK90" s="673"/>
      <c r="BL90" s="673"/>
      <c r="BM90" s="673"/>
      <c r="BN90" s="673"/>
      <c r="BO90" s="673"/>
      <c r="BP90" s="673"/>
      <c r="BQ90" s="673"/>
      <c r="BR90" s="673"/>
      <c r="BS90" s="673"/>
      <c r="BT90" s="673"/>
      <c r="BU90" s="673"/>
      <c r="BV90" s="673"/>
      <c r="BW90" s="673"/>
      <c r="BX90" s="673"/>
      <c r="BY90" s="673"/>
      <c r="BZ90" s="673"/>
      <c r="CA90" s="673"/>
      <c r="CB90" s="673"/>
      <c r="CC90" s="673"/>
      <c r="CD90" s="673"/>
      <c r="CE90" s="673"/>
      <c r="CF90" s="673"/>
      <c r="CG90" s="673"/>
      <c r="CH90" s="673"/>
      <c r="CI90" s="673"/>
      <c r="CJ90" s="673"/>
      <c r="CK90" s="673"/>
      <c r="CL90" s="673"/>
      <c r="CM90" s="673"/>
      <c r="CN90" s="673"/>
      <c r="CO90" s="673"/>
      <c r="CP90" s="673"/>
      <c r="CQ90" s="673"/>
      <c r="CR90" s="673"/>
      <c r="CS90" s="673"/>
      <c r="CT90" s="673"/>
      <c r="CU90" s="673"/>
      <c r="CV90" s="673"/>
      <c r="CW90" s="673"/>
      <c r="CX90" s="673"/>
      <c r="CY90" s="673"/>
      <c r="CZ90" s="673"/>
      <c r="DA90" s="673"/>
      <c r="DB90" s="673"/>
      <c r="DC90" s="673"/>
      <c r="DD90" s="673"/>
      <c r="DE90" s="673"/>
      <c r="DF90" s="673"/>
      <c r="DG90" s="673"/>
      <c r="DH90" s="673"/>
      <c r="DI90" s="673"/>
      <c r="DJ90" s="673"/>
      <c r="DK90" s="673"/>
      <c r="DL90" s="673"/>
      <c r="DM90" s="673"/>
      <c r="DN90" s="673"/>
      <c r="DO90" s="673"/>
      <c r="DP90" s="673"/>
      <c r="DQ90" s="673"/>
      <c r="DR90" s="673"/>
      <c r="DS90" s="673"/>
      <c r="DT90" s="673"/>
      <c r="DU90" s="673"/>
      <c r="DV90" s="673"/>
      <c r="DW90" s="673"/>
      <c r="DX90" s="673"/>
      <c r="DY90" s="673"/>
      <c r="DZ90" s="673"/>
      <c r="EA90" s="673"/>
      <c r="EB90" s="673"/>
      <c r="EC90" s="673"/>
      <c r="ED90" s="673"/>
      <c r="EE90" s="673"/>
      <c r="EF90" s="673"/>
      <c r="EG90" s="673"/>
      <c r="EH90" s="673"/>
      <c r="EI90" s="673"/>
      <c r="EJ90" s="673"/>
      <c r="EK90" s="673"/>
      <c r="EL90" s="673"/>
      <c r="EM90" s="673"/>
      <c r="EN90" s="673"/>
      <c r="EO90" s="673"/>
      <c r="EP90" s="673"/>
      <c r="EQ90" s="673"/>
      <c r="ER90" s="673"/>
      <c r="ES90" s="673"/>
      <c r="ET90" s="673"/>
      <c r="EU90" s="673"/>
      <c r="EV90" s="673"/>
      <c r="EW90" s="673"/>
      <c r="EX90" s="673"/>
      <c r="EY90" s="673"/>
      <c r="EZ90" s="673"/>
      <c r="FA90" s="673"/>
      <c r="FB90" s="673"/>
      <c r="FC90" s="673"/>
      <c r="FD90" s="673"/>
      <c r="FE90" s="673"/>
      <c r="FF90" s="673"/>
      <c r="FG90" s="673"/>
      <c r="FH90" s="673"/>
      <c r="FI90" s="673"/>
      <c r="FJ90" s="673"/>
      <c r="FK90" s="673"/>
      <c r="FL90" s="673"/>
      <c r="FM90" s="673"/>
      <c r="FN90" s="673"/>
      <c r="FO90" s="673"/>
      <c r="FP90" s="673"/>
      <c r="FQ90" s="673"/>
      <c r="FR90" s="673"/>
      <c r="FS90" s="673"/>
      <c r="FT90" s="673"/>
      <c r="FU90" s="673"/>
      <c r="FV90" s="673"/>
      <c r="FW90" s="673"/>
      <c r="FX90" s="673"/>
      <c r="FY90" s="673"/>
      <c r="FZ90" s="673"/>
      <c r="GA90" s="673"/>
      <c r="GB90" s="673"/>
      <c r="GC90" s="673"/>
      <c r="GD90" s="673"/>
      <c r="GE90" s="673"/>
      <c r="GF90" s="673"/>
      <c r="GG90" s="673"/>
      <c r="GH90" s="673"/>
      <c r="GI90" s="673"/>
      <c r="GJ90" s="673"/>
      <c r="GK90" s="673"/>
      <c r="GL90" s="673"/>
      <c r="GM90" s="673"/>
      <c r="GN90" s="673"/>
      <c r="GO90" s="673"/>
      <c r="GP90" s="673"/>
      <c r="GQ90" s="673"/>
      <c r="GR90" s="673"/>
      <c r="GS90" s="673"/>
      <c r="GT90" s="673"/>
      <c r="GU90" s="673"/>
      <c r="GV90" s="673"/>
      <c r="GW90" s="673"/>
      <c r="GX90" s="673"/>
      <c r="GY90" s="673"/>
      <c r="GZ90" s="673"/>
      <c r="HA90" s="673"/>
      <c r="HB90" s="673"/>
      <c r="HC90" s="673"/>
      <c r="HD90" s="673"/>
      <c r="HE90" s="673"/>
      <c r="HF90" s="673"/>
      <c r="HG90" s="673"/>
      <c r="HH90" s="673"/>
      <c r="HI90" s="673"/>
      <c r="HJ90" s="673"/>
      <c r="HK90" s="673"/>
      <c r="HL90" s="673"/>
      <c r="HM90" s="673"/>
      <c r="HN90" s="673"/>
      <c r="HO90" s="673"/>
      <c r="HP90" s="673"/>
      <c r="HQ90" s="673"/>
      <c r="HR90" s="673"/>
      <c r="HS90" s="673"/>
      <c r="HT90" s="673"/>
      <c r="HU90" s="673"/>
      <c r="HV90" s="673"/>
      <c r="HW90" s="673"/>
      <c r="HX90" s="673"/>
      <c r="HY90" s="673"/>
      <c r="HZ90" s="673"/>
      <c r="IA90" s="673"/>
      <c r="IB90" s="673"/>
      <c r="IC90" s="673"/>
      <c r="ID90" s="673"/>
      <c r="IE90" s="673"/>
      <c r="IF90" s="673"/>
      <c r="IG90" s="673"/>
      <c r="IH90" s="673"/>
      <c r="II90" s="673"/>
      <c r="IJ90" s="673"/>
      <c r="IK90" s="673"/>
      <c r="IL90" s="673"/>
      <c r="IM90" s="673"/>
      <c r="IN90" s="673"/>
      <c r="IO90" s="673"/>
      <c r="IP90" s="673"/>
      <c r="IQ90" s="673"/>
      <c r="IR90" s="673"/>
      <c r="IS90" s="673"/>
      <c r="IT90" s="673"/>
      <c r="IU90" s="673"/>
      <c r="IV90" s="673"/>
      <c r="IW90" s="673"/>
      <c r="IX90" s="673"/>
      <c r="IY90" s="673"/>
      <c r="IZ90" s="673"/>
      <c r="JA90" s="673"/>
      <c r="JB90" s="673"/>
      <c r="JC90" s="673"/>
      <c r="JD90" s="673"/>
      <c r="JE90" s="673"/>
      <c r="JF90" s="673"/>
      <c r="JG90" s="673"/>
      <c r="JH90" s="673"/>
      <c r="JI90" s="673"/>
      <c r="JJ90" s="673"/>
      <c r="JK90" s="673"/>
      <c r="JL90" s="673"/>
      <c r="JM90" s="673"/>
      <c r="JN90" s="673"/>
      <c r="JO90" s="673"/>
      <c r="JP90" s="673"/>
      <c r="JQ90" s="673"/>
      <c r="JR90" s="673"/>
      <c r="JS90" s="673"/>
      <c r="JT90" s="673"/>
      <c r="JU90" s="673"/>
      <c r="JV90" s="673"/>
      <c r="JW90" s="673"/>
      <c r="JX90" s="673"/>
      <c r="JY90" s="673"/>
      <c r="JZ90" s="673"/>
      <c r="KA90" s="673"/>
      <c r="KB90" s="673"/>
      <c r="KC90" s="673"/>
      <c r="KD90" s="673"/>
      <c r="KE90" s="673"/>
      <c r="KF90" s="673"/>
      <c r="KG90" s="673"/>
      <c r="KH90" s="673"/>
      <c r="KI90" s="673"/>
      <c r="KJ90" s="673"/>
      <c r="KK90" s="673"/>
      <c r="KL90" s="673"/>
      <c r="KM90" s="673"/>
      <c r="KN90" s="673"/>
      <c r="KO90" s="673"/>
      <c r="KP90" s="673"/>
      <c r="KQ90" s="673"/>
      <c r="KR90" s="673"/>
      <c r="KS90" s="673"/>
      <c r="KT90" s="673"/>
      <c r="KU90" s="673"/>
      <c r="KV90" s="673"/>
      <c r="KW90" s="673"/>
      <c r="KX90" s="673"/>
      <c r="KY90" s="673"/>
      <c r="KZ90" s="673"/>
      <c r="LA90" s="673"/>
      <c r="LB90" s="673"/>
      <c r="LC90" s="673"/>
      <c r="LD90" s="673"/>
      <c r="LE90" s="673"/>
      <c r="LF90" s="673"/>
      <c r="LG90" s="673"/>
      <c r="LH90" s="673"/>
      <c r="LI90" s="673"/>
      <c r="LJ90" s="673"/>
      <c r="LK90" s="673"/>
      <c r="LL90" s="673"/>
      <c r="LM90" s="673"/>
      <c r="LN90" s="673"/>
      <c r="LO90" s="673"/>
      <c r="LP90" s="673"/>
      <c r="LQ90" s="673"/>
      <c r="LR90" s="673"/>
      <c r="LS90" s="673"/>
      <c r="LT90" s="673"/>
      <c r="LU90" s="673"/>
      <c r="LV90" s="673"/>
      <c r="LW90" s="673"/>
      <c r="LX90" s="673"/>
      <c r="LY90" s="673"/>
      <c r="LZ90" s="673"/>
      <c r="MA90" s="673"/>
      <c r="MB90" s="673"/>
      <c r="MC90" s="673"/>
      <c r="MD90" s="673"/>
      <c r="ME90" s="673"/>
      <c r="MF90" s="673"/>
      <c r="MG90" s="673"/>
      <c r="MH90" s="673"/>
      <c r="MI90" s="673"/>
      <c r="MJ90" s="673"/>
      <c r="MK90" s="673"/>
      <c r="ML90" s="673"/>
      <c r="MM90" s="673"/>
      <c r="MN90" s="673"/>
      <c r="MO90" s="673"/>
      <c r="MP90" s="673"/>
      <c r="MQ90" s="673"/>
      <c r="MR90" s="673"/>
      <c r="MS90" s="673"/>
      <c r="MT90" s="673"/>
      <c r="MU90" s="673"/>
      <c r="MV90" s="673"/>
      <c r="MW90" s="673"/>
      <c r="MX90" s="673"/>
      <c r="MY90" s="673"/>
      <c r="MZ90" s="673"/>
      <c r="NA90" s="673"/>
      <c r="NB90" s="673"/>
      <c r="NC90" s="673"/>
      <c r="ND90" s="673"/>
      <c r="NE90" s="673"/>
      <c r="NF90" s="673"/>
      <c r="NG90" s="673"/>
      <c r="NH90" s="673"/>
      <c r="NI90" s="673"/>
      <c r="NJ90" s="673"/>
      <c r="NK90" s="673"/>
      <c r="NL90" s="673"/>
      <c r="NM90" s="673"/>
      <c r="NN90" s="673"/>
      <c r="NO90" s="673"/>
      <c r="NP90" s="673"/>
      <c r="NQ90" s="673"/>
      <c r="NR90" s="673"/>
      <c r="NS90" s="673"/>
      <c r="NT90" s="673"/>
      <c r="NU90" s="673"/>
      <c r="NV90" s="673"/>
      <c r="NW90" s="673"/>
      <c r="NX90" s="673"/>
      <c r="NY90" s="673"/>
      <c r="NZ90" s="673"/>
      <c r="OA90" s="673"/>
      <c r="OB90" s="673"/>
      <c r="OC90" s="673"/>
      <c r="OD90" s="673"/>
      <c r="OE90" s="673"/>
      <c r="OF90" s="673"/>
      <c r="OG90" s="673"/>
      <c r="OH90" s="673"/>
      <c r="OI90" s="673"/>
      <c r="OJ90" s="673"/>
      <c r="OK90" s="673"/>
      <c r="OL90" s="673"/>
      <c r="OM90" s="673"/>
      <c r="ON90" s="673"/>
      <c r="OO90" s="673"/>
      <c r="OP90" s="673"/>
      <c r="OQ90" s="673"/>
      <c r="OR90" s="673"/>
      <c r="OS90" s="673"/>
      <c r="OT90" s="673"/>
      <c r="OU90" s="673"/>
      <c r="OV90" s="673"/>
      <c r="OW90" s="673"/>
      <c r="OX90" s="673"/>
      <c r="OY90" s="673"/>
      <c r="OZ90" s="673"/>
      <c r="PA90" s="673"/>
      <c r="PB90" s="673"/>
      <c r="PC90" s="673"/>
      <c r="PD90" s="673"/>
      <c r="PE90" s="673"/>
      <c r="PF90" s="673"/>
      <c r="PG90" s="673"/>
      <c r="PH90" s="673"/>
      <c r="PI90" s="673"/>
      <c r="PJ90" s="673"/>
      <c r="PK90" s="673"/>
      <c r="PL90" s="673"/>
      <c r="PM90" s="673"/>
      <c r="PN90" s="673"/>
      <c r="PO90" s="673"/>
      <c r="PP90" s="673"/>
      <c r="PQ90" s="673"/>
      <c r="PR90" s="673"/>
      <c r="PS90" s="673"/>
      <c r="PT90" s="673"/>
      <c r="PU90" s="673"/>
      <c r="PV90" s="673"/>
      <c r="PW90" s="673"/>
      <c r="PX90" s="673"/>
      <c r="PY90" s="673"/>
      <c r="PZ90" s="673"/>
      <c r="QA90" s="673"/>
      <c r="QB90" s="673"/>
      <c r="QC90" s="673"/>
      <c r="QD90" s="673"/>
      <c r="QE90" s="673"/>
      <c r="QF90" s="673"/>
      <c r="QG90" s="673"/>
      <c r="QH90" s="673"/>
      <c r="QI90" s="673"/>
      <c r="QJ90" s="673"/>
      <c r="QK90" s="673"/>
    </row>
    <row r="91" spans="1:453" s="1301" customFormat="1" ht="18.75">
      <c r="B91" s="2109" t="str">
        <f ca="1">TEXT(HYPERLINK("#"&amp;CELL("address",'Equipment Results Matrix'!A1363),'Equipment Results Matrix'!A1363),"0,000")</f>
        <v>Lighting - Controls</v>
      </c>
      <c r="C91" s="2109"/>
      <c r="D91" s="2109"/>
      <c r="E91" s="1306"/>
      <c r="F91" s="1307"/>
      <c r="G91" s="1302"/>
      <c r="H91" s="1302"/>
      <c r="I91" s="1302"/>
      <c r="J91" s="1302"/>
      <c r="K91" s="1302"/>
      <c r="L91" s="2111"/>
      <c r="M91" s="2111"/>
      <c r="N91" s="2111"/>
      <c r="O91" s="1303"/>
      <c r="P91" s="1303"/>
      <c r="Q91" s="1303"/>
      <c r="R91" s="1303"/>
      <c r="S91" s="1303"/>
      <c r="T91" s="1303"/>
      <c r="U91" s="1303"/>
      <c r="V91" s="1303"/>
      <c r="W91" s="1303"/>
      <c r="X91" s="1303"/>
      <c r="Y91" s="1303"/>
      <c r="Z91" s="1303"/>
      <c r="AA91" s="1303"/>
      <c r="AB91" s="1303"/>
      <c r="AC91" s="1303"/>
      <c r="AD91" s="1303"/>
      <c r="AE91" s="1303"/>
      <c r="AF91" s="1303"/>
      <c r="AG91" s="1303"/>
      <c r="AH91" s="1303"/>
      <c r="AI91" s="1303"/>
      <c r="AJ91" s="1303"/>
      <c r="AK91" s="1303"/>
      <c r="AL91" s="1303"/>
      <c r="AM91" s="1303"/>
      <c r="AN91" s="1303"/>
      <c r="AO91" s="1303"/>
      <c r="AP91" s="1303"/>
      <c r="AQ91" s="1303"/>
      <c r="AR91" s="1303"/>
      <c r="AS91" s="1303"/>
      <c r="AT91" s="1303"/>
      <c r="AU91" s="1303"/>
      <c r="AV91" s="1303"/>
      <c r="AW91" s="1303"/>
      <c r="AX91" s="1303"/>
      <c r="AY91" s="1303"/>
      <c r="AZ91" s="1303"/>
      <c r="BA91" s="1303"/>
      <c r="BB91" s="1303"/>
      <c r="BC91" s="1303"/>
      <c r="BD91" s="1303"/>
      <c r="BE91" s="1303"/>
      <c r="BF91" s="1303"/>
      <c r="BG91" s="1303"/>
      <c r="BH91" s="1303"/>
      <c r="BI91" s="1303"/>
      <c r="BJ91" s="1303"/>
      <c r="BK91" s="1303"/>
      <c r="BL91" s="1303"/>
      <c r="BM91" s="1303"/>
      <c r="BN91" s="1303"/>
      <c r="BO91" s="1303"/>
      <c r="BP91" s="1303"/>
      <c r="BQ91" s="1303"/>
      <c r="BR91" s="1303"/>
      <c r="BS91" s="1303"/>
      <c r="BT91" s="1303"/>
      <c r="BU91" s="1303"/>
      <c r="BV91" s="1303"/>
      <c r="BW91" s="1303"/>
      <c r="BX91" s="1303"/>
      <c r="BY91" s="1303"/>
      <c r="BZ91" s="1303"/>
      <c r="CA91" s="1303"/>
      <c r="CB91" s="1303"/>
      <c r="CC91" s="1303"/>
      <c r="CD91" s="1303"/>
      <c r="CE91" s="1303"/>
      <c r="CF91" s="1303"/>
      <c r="CG91" s="1303"/>
      <c r="CH91" s="1303"/>
      <c r="CI91" s="1303"/>
      <c r="CJ91" s="1303"/>
      <c r="CK91" s="1303"/>
      <c r="CL91" s="1303"/>
      <c r="CM91" s="1303"/>
      <c r="CN91" s="1303"/>
      <c r="CO91" s="1303"/>
      <c r="CP91" s="1303"/>
      <c r="CQ91" s="1303"/>
      <c r="CR91" s="1303"/>
      <c r="CS91" s="1303"/>
      <c r="CT91" s="1303"/>
      <c r="CU91" s="1303"/>
      <c r="CV91" s="1303"/>
      <c r="CW91" s="1303"/>
      <c r="CX91" s="1303"/>
      <c r="CY91" s="1303"/>
      <c r="CZ91" s="1303"/>
      <c r="DA91" s="1303"/>
      <c r="DB91" s="1303"/>
      <c r="DC91" s="1303"/>
      <c r="DD91" s="1303"/>
      <c r="DE91" s="1303"/>
      <c r="DF91" s="1303"/>
      <c r="DG91" s="1303"/>
      <c r="DH91" s="1303"/>
      <c r="DI91" s="1303"/>
      <c r="DJ91" s="1303"/>
      <c r="DK91" s="1303"/>
      <c r="DL91" s="1303"/>
      <c r="DM91" s="1303"/>
      <c r="DN91" s="1303"/>
      <c r="DO91" s="1303"/>
      <c r="DP91" s="1303"/>
      <c r="DQ91" s="1303"/>
      <c r="DR91" s="1303"/>
      <c r="DS91" s="1303"/>
      <c r="DT91" s="1303"/>
      <c r="DU91" s="1303"/>
      <c r="DV91" s="1303"/>
      <c r="DW91" s="1303"/>
      <c r="DX91" s="1303"/>
      <c r="DY91" s="1303"/>
      <c r="DZ91" s="1303"/>
      <c r="EA91" s="1303"/>
      <c r="EB91" s="1303"/>
      <c r="EC91" s="1303"/>
      <c r="ED91" s="1303"/>
      <c r="EE91" s="1303"/>
      <c r="EF91" s="1303"/>
      <c r="EG91" s="1303"/>
      <c r="EH91" s="1303"/>
      <c r="EI91" s="1303"/>
      <c r="EJ91" s="1303"/>
      <c r="EK91" s="1303"/>
      <c r="EL91" s="1303"/>
      <c r="EM91" s="1303"/>
      <c r="EN91" s="1303"/>
      <c r="EO91" s="1303"/>
      <c r="EP91" s="1303"/>
      <c r="EQ91" s="1303"/>
      <c r="ER91" s="1303"/>
      <c r="ES91" s="1303"/>
      <c r="ET91" s="1303"/>
      <c r="EU91" s="1303"/>
      <c r="EV91" s="1303"/>
      <c r="EW91" s="1303"/>
      <c r="EX91" s="1303"/>
      <c r="EY91" s="1303"/>
      <c r="EZ91" s="1303"/>
      <c r="FA91" s="1303"/>
      <c r="FB91" s="1303"/>
      <c r="FC91" s="1303"/>
      <c r="FD91" s="1303"/>
      <c r="FE91" s="1303"/>
      <c r="FF91" s="1303"/>
      <c r="FG91" s="1303"/>
      <c r="FH91" s="1303"/>
      <c r="FI91" s="1303"/>
      <c r="FJ91" s="1303"/>
      <c r="FK91" s="1303"/>
      <c r="FL91" s="1303"/>
      <c r="FM91" s="1303"/>
      <c r="FN91" s="1303"/>
      <c r="FO91" s="1303"/>
      <c r="FP91" s="1303"/>
      <c r="FQ91" s="1303"/>
      <c r="FR91" s="1303"/>
      <c r="FS91" s="1303"/>
      <c r="FT91" s="1303"/>
      <c r="FU91" s="1303"/>
      <c r="FV91" s="1303"/>
      <c r="FW91" s="1303"/>
      <c r="FX91" s="1303"/>
      <c r="FY91" s="1303"/>
      <c r="FZ91" s="1303"/>
      <c r="GA91" s="1303"/>
      <c r="GB91" s="1303"/>
      <c r="GC91" s="1303"/>
      <c r="GD91" s="1303"/>
      <c r="GE91" s="1303"/>
      <c r="GF91" s="1303"/>
      <c r="GG91" s="1303"/>
      <c r="GH91" s="1303"/>
      <c r="GI91" s="1303"/>
      <c r="GJ91" s="1303"/>
      <c r="GK91" s="1303"/>
      <c r="GL91" s="1303"/>
      <c r="GM91" s="1303"/>
      <c r="GN91" s="1303"/>
      <c r="GO91" s="1303"/>
      <c r="GP91" s="1303"/>
      <c r="GQ91" s="1303"/>
      <c r="GR91" s="1303"/>
      <c r="GS91" s="1303"/>
      <c r="GT91" s="1303"/>
      <c r="GU91" s="1303"/>
      <c r="GV91" s="1303"/>
      <c r="GW91" s="1303"/>
      <c r="GX91" s="1303"/>
      <c r="GY91" s="1303"/>
      <c r="GZ91" s="1303"/>
      <c r="HA91" s="1303"/>
      <c r="HB91" s="1303"/>
      <c r="HC91" s="1303"/>
      <c r="HD91" s="1303"/>
      <c r="HE91" s="1303"/>
      <c r="HF91" s="1303"/>
      <c r="HG91" s="1303"/>
      <c r="HH91" s="1303"/>
      <c r="HI91" s="1303"/>
      <c r="HJ91" s="1303"/>
      <c r="HK91" s="1303"/>
      <c r="HL91" s="1303"/>
      <c r="HM91" s="1303"/>
      <c r="HN91" s="1303"/>
      <c r="HO91" s="1303"/>
      <c r="HP91" s="1303"/>
      <c r="HQ91" s="1303"/>
      <c r="HR91" s="1303"/>
      <c r="HS91" s="1303"/>
      <c r="HT91" s="1303"/>
      <c r="HU91" s="1303"/>
      <c r="HV91" s="1303"/>
      <c r="HW91" s="1303"/>
      <c r="HX91" s="1303"/>
      <c r="HY91" s="1303"/>
      <c r="HZ91" s="1303"/>
      <c r="IA91" s="1303"/>
      <c r="IB91" s="1303"/>
      <c r="IC91" s="1303"/>
      <c r="ID91" s="1303"/>
      <c r="IE91" s="1303"/>
      <c r="IF91" s="1303"/>
      <c r="IG91" s="1303"/>
      <c r="IH91" s="1303"/>
      <c r="II91" s="1303"/>
      <c r="IJ91" s="1303"/>
      <c r="IK91" s="1303"/>
      <c r="IL91" s="1303"/>
      <c r="IM91" s="1303"/>
      <c r="IN91" s="1303"/>
      <c r="IO91" s="1303"/>
      <c r="IP91" s="1303"/>
      <c r="IQ91" s="1303"/>
      <c r="IR91" s="1303"/>
      <c r="IS91" s="1303"/>
      <c r="IT91" s="1303"/>
      <c r="IU91" s="1303"/>
      <c r="IV91" s="1303"/>
      <c r="IW91" s="1303"/>
      <c r="IX91" s="1303"/>
      <c r="IY91" s="1303"/>
      <c r="IZ91" s="1303"/>
      <c r="JA91" s="1303"/>
      <c r="JB91" s="1303"/>
      <c r="JC91" s="1303"/>
      <c r="JD91" s="1303"/>
      <c r="JE91" s="1303"/>
      <c r="JF91" s="1303"/>
      <c r="JG91" s="1303"/>
      <c r="JH91" s="1303"/>
      <c r="JI91" s="1303"/>
      <c r="JJ91" s="1303"/>
      <c r="JK91" s="1303"/>
      <c r="JL91" s="1303"/>
      <c r="JM91" s="1303"/>
      <c r="JN91" s="1303"/>
      <c r="JO91" s="1303"/>
      <c r="JP91" s="1303"/>
      <c r="JQ91" s="1303"/>
      <c r="JR91" s="1303"/>
      <c r="JS91" s="1303"/>
      <c r="JT91" s="1303"/>
      <c r="JU91" s="1303"/>
      <c r="JV91" s="1303"/>
      <c r="JW91" s="1303"/>
      <c r="JX91" s="1303"/>
      <c r="JY91" s="1303"/>
      <c r="JZ91" s="1303"/>
      <c r="KA91" s="1303"/>
      <c r="KB91" s="1303"/>
      <c r="KC91" s="1303"/>
      <c r="KD91" s="1303"/>
      <c r="KE91" s="1303"/>
      <c r="KF91" s="1303"/>
      <c r="KG91" s="1303"/>
      <c r="KH91" s="1303"/>
      <c r="KI91" s="1303"/>
      <c r="KJ91" s="1303"/>
      <c r="KK91" s="1303"/>
      <c r="KL91" s="1303"/>
      <c r="KM91" s="1303"/>
      <c r="KN91" s="1303"/>
      <c r="KO91" s="1303"/>
      <c r="KP91" s="1303"/>
      <c r="KQ91" s="1303"/>
      <c r="KR91" s="1303"/>
      <c r="KS91" s="1303"/>
      <c r="KT91" s="1303"/>
      <c r="KU91" s="1303"/>
      <c r="KV91" s="1303"/>
      <c r="KW91" s="1303"/>
      <c r="KX91" s="1303"/>
      <c r="KY91" s="1303"/>
      <c r="KZ91" s="1303"/>
      <c r="LA91" s="1303"/>
      <c r="LB91" s="1303"/>
      <c r="LC91" s="1303"/>
      <c r="LD91" s="1303"/>
      <c r="LE91" s="1303"/>
      <c r="LF91" s="1303"/>
      <c r="LG91" s="1303"/>
      <c r="LH91" s="1303"/>
      <c r="LI91" s="1303"/>
      <c r="LJ91" s="1303"/>
      <c r="LK91" s="1303"/>
      <c r="LL91" s="1303"/>
      <c r="LM91" s="1303"/>
      <c r="LN91" s="1303"/>
      <c r="LO91" s="1303"/>
      <c r="LP91" s="1303"/>
      <c r="LQ91" s="1303"/>
      <c r="LR91" s="1303"/>
      <c r="LS91" s="1303"/>
      <c r="LT91" s="1303"/>
      <c r="LU91" s="1303"/>
      <c r="LV91" s="1303"/>
      <c r="LW91" s="1303"/>
      <c r="LX91" s="1303"/>
      <c r="LY91" s="1303"/>
      <c r="LZ91" s="1303"/>
      <c r="MA91" s="1303"/>
      <c r="MB91" s="1303"/>
      <c r="MC91" s="1303"/>
      <c r="MD91" s="1303"/>
      <c r="ME91" s="1303"/>
      <c r="MF91" s="1303"/>
      <c r="MG91" s="1303"/>
      <c r="MH91" s="1303"/>
      <c r="MI91" s="1303"/>
      <c r="MJ91" s="1303"/>
      <c r="MK91" s="1303"/>
      <c r="ML91" s="1303"/>
      <c r="MM91" s="1303"/>
      <c r="MN91" s="1303"/>
      <c r="MO91" s="1303"/>
      <c r="MP91" s="1303"/>
      <c r="MQ91" s="1303"/>
      <c r="MR91" s="1303"/>
      <c r="MS91" s="1303"/>
      <c r="MT91" s="1303"/>
      <c r="MU91" s="1303"/>
      <c r="MV91" s="1303"/>
      <c r="MW91" s="1303"/>
      <c r="MX91" s="1303"/>
      <c r="MY91" s="1303"/>
      <c r="MZ91" s="1303"/>
      <c r="NA91" s="1303"/>
      <c r="NB91" s="1303"/>
      <c r="NC91" s="1303"/>
      <c r="ND91" s="1303"/>
      <c r="NE91" s="1303"/>
      <c r="NF91" s="1303"/>
      <c r="NG91" s="1303"/>
      <c r="NH91" s="1303"/>
      <c r="NI91" s="1303"/>
      <c r="NJ91" s="1303"/>
      <c r="NK91" s="1303"/>
      <c r="NL91" s="1303"/>
      <c r="NM91" s="1303"/>
      <c r="NN91" s="1303"/>
      <c r="NO91" s="1303"/>
      <c r="NP91" s="1303"/>
      <c r="NQ91" s="1303"/>
      <c r="NR91" s="1303"/>
      <c r="NS91" s="1303"/>
      <c r="NT91" s="1303"/>
      <c r="NU91" s="1303"/>
      <c r="NV91" s="1303"/>
      <c r="NW91" s="1303"/>
      <c r="NX91" s="1303"/>
      <c r="NY91" s="1303"/>
      <c r="NZ91" s="1303"/>
      <c r="OA91" s="1303"/>
      <c r="OB91" s="1303"/>
      <c r="OC91" s="1303"/>
      <c r="OD91" s="1303"/>
      <c r="OE91" s="1303"/>
      <c r="OF91" s="1303"/>
      <c r="OG91" s="1303"/>
      <c r="OH91" s="1303"/>
      <c r="OI91" s="1303"/>
      <c r="OJ91" s="1303"/>
      <c r="OK91" s="1303"/>
      <c r="OL91" s="1303"/>
      <c r="OM91" s="1303"/>
      <c r="ON91" s="1303"/>
      <c r="OO91" s="1303"/>
      <c r="OP91" s="1303"/>
      <c r="OQ91" s="1303"/>
      <c r="OR91" s="1303"/>
      <c r="OS91" s="1303"/>
      <c r="OT91" s="1303"/>
      <c r="OU91" s="1303"/>
      <c r="OV91" s="1303"/>
      <c r="OW91" s="1303"/>
      <c r="OX91" s="1303"/>
      <c r="OY91" s="1303"/>
      <c r="OZ91" s="1303"/>
      <c r="PA91" s="1303"/>
      <c r="PB91" s="1303"/>
      <c r="PC91" s="1303"/>
      <c r="PD91" s="1303"/>
      <c r="PE91" s="1303"/>
      <c r="PF91" s="1303"/>
      <c r="PG91" s="1303"/>
      <c r="PH91" s="1303"/>
      <c r="PI91" s="1303"/>
      <c r="PJ91" s="1303"/>
      <c r="PK91" s="1303"/>
      <c r="PL91" s="1303"/>
      <c r="PM91" s="1303"/>
      <c r="PN91" s="1303"/>
      <c r="PO91" s="1303"/>
      <c r="PP91" s="1303"/>
      <c r="PQ91" s="1303"/>
      <c r="PR91" s="1303"/>
      <c r="PS91" s="1303"/>
      <c r="PT91" s="1303"/>
      <c r="PU91" s="1303"/>
      <c r="PV91" s="1303"/>
      <c r="PW91" s="1303"/>
      <c r="PX91" s="1303"/>
      <c r="PY91" s="1303"/>
      <c r="PZ91" s="1303"/>
      <c r="QA91" s="1303"/>
      <c r="QB91" s="1303"/>
      <c r="QC91" s="1303"/>
      <c r="QD91" s="1303"/>
      <c r="QE91" s="1303"/>
      <c r="QF91" s="1303"/>
      <c r="QG91" s="1303"/>
      <c r="QH91" s="1303"/>
      <c r="QI91" s="1303"/>
      <c r="QJ91" s="1303"/>
      <c r="QK91" s="1303"/>
    </row>
    <row r="92" spans="1:453" s="558" customFormat="1">
      <c r="A92" s="680"/>
      <c r="B92" s="680"/>
      <c r="C92" s="2107" t="str">
        <f ca="1">TEXT(HYPERLINK("#"&amp;CELL("address",'Equipment Results Matrix'!A1364),'Equipment Results Matrix'!A1364),"0,000")</f>
        <v>Photocells 
(sensor only)</v>
      </c>
      <c r="D92" s="2107"/>
      <c r="E92" s="2107"/>
      <c r="F92" s="2107"/>
      <c r="G92" s="1305"/>
      <c r="H92" s="680"/>
      <c r="I92" s="680"/>
      <c r="J92" s="1525" t="str">
        <f ca="1">TEXT(HYPERLINK("#"&amp;CELL("address",'Labor Results Matrix'!A874),"Labor"),"0,000")</f>
        <v>Labor</v>
      </c>
      <c r="K92" s="1525"/>
      <c r="L92" s="2107" t="str">
        <f ca="1">TEXT(HYPERLINK("#"&amp;CELL("address",'Equipment + Labor'!A837),"Total installed cost"),"0,000")</f>
        <v>Total installed cost</v>
      </c>
      <c r="M92" s="2107"/>
      <c r="N92" s="2107"/>
      <c r="O92" s="673"/>
      <c r="P92" s="673"/>
      <c r="Q92" s="673"/>
      <c r="R92" s="673"/>
      <c r="S92" s="673"/>
      <c r="T92" s="673"/>
      <c r="U92" s="673"/>
      <c r="V92" s="673"/>
      <c r="W92" s="673"/>
      <c r="X92" s="673"/>
      <c r="Y92" s="673"/>
      <c r="Z92" s="673"/>
      <c r="AA92" s="673"/>
      <c r="AB92" s="673"/>
      <c r="AC92" s="673"/>
      <c r="AD92" s="673"/>
      <c r="AE92" s="673"/>
      <c r="AF92" s="673"/>
      <c r="AG92" s="673"/>
      <c r="AH92" s="673"/>
      <c r="AI92" s="673"/>
      <c r="AJ92" s="673"/>
      <c r="AK92" s="673"/>
      <c r="AL92" s="673"/>
      <c r="AM92" s="673"/>
      <c r="AN92" s="673"/>
      <c r="AO92" s="673"/>
      <c r="AP92" s="673"/>
      <c r="AQ92" s="673"/>
      <c r="AR92" s="673"/>
      <c r="AS92" s="673"/>
      <c r="AT92" s="673"/>
      <c r="AU92" s="673"/>
      <c r="AV92" s="673"/>
      <c r="AW92" s="673"/>
      <c r="AX92" s="673"/>
      <c r="AY92" s="673"/>
      <c r="AZ92" s="673"/>
      <c r="BA92" s="673"/>
      <c r="BB92" s="673"/>
      <c r="BC92" s="673"/>
      <c r="BD92" s="673"/>
      <c r="BE92" s="673"/>
      <c r="BF92" s="673"/>
      <c r="BG92" s="673"/>
      <c r="BH92" s="673"/>
      <c r="BI92" s="673"/>
      <c r="BJ92" s="673"/>
      <c r="BK92" s="673"/>
      <c r="BL92" s="673"/>
      <c r="BM92" s="673"/>
      <c r="BN92" s="673"/>
      <c r="BO92" s="673"/>
      <c r="BP92" s="673"/>
      <c r="BQ92" s="673"/>
      <c r="BR92" s="673"/>
      <c r="BS92" s="673"/>
      <c r="BT92" s="673"/>
      <c r="BU92" s="673"/>
      <c r="BV92" s="673"/>
      <c r="BW92" s="673"/>
      <c r="BX92" s="673"/>
      <c r="BY92" s="673"/>
      <c r="BZ92" s="673"/>
      <c r="CA92" s="673"/>
      <c r="CB92" s="673"/>
      <c r="CC92" s="673"/>
      <c r="CD92" s="673"/>
      <c r="CE92" s="673"/>
      <c r="CF92" s="673"/>
      <c r="CG92" s="673"/>
      <c r="CH92" s="673"/>
      <c r="CI92" s="673"/>
      <c r="CJ92" s="673"/>
      <c r="CK92" s="673"/>
      <c r="CL92" s="673"/>
      <c r="CM92" s="673"/>
      <c r="CN92" s="673"/>
      <c r="CO92" s="673"/>
      <c r="CP92" s="673"/>
      <c r="CQ92" s="673"/>
      <c r="CR92" s="673"/>
      <c r="CS92" s="673"/>
      <c r="CT92" s="673"/>
      <c r="CU92" s="673"/>
      <c r="CV92" s="673"/>
      <c r="CW92" s="673"/>
      <c r="CX92" s="673"/>
      <c r="CY92" s="673"/>
      <c r="CZ92" s="673"/>
      <c r="DA92" s="673"/>
      <c r="DB92" s="673"/>
      <c r="DC92" s="673"/>
      <c r="DD92" s="673"/>
      <c r="DE92" s="673"/>
      <c r="DF92" s="673"/>
      <c r="DG92" s="673"/>
      <c r="DH92" s="673"/>
      <c r="DI92" s="673"/>
      <c r="DJ92" s="673"/>
      <c r="DK92" s="673"/>
      <c r="DL92" s="673"/>
      <c r="DM92" s="673"/>
      <c r="DN92" s="673"/>
      <c r="DO92" s="673"/>
      <c r="DP92" s="673"/>
      <c r="DQ92" s="673"/>
      <c r="DR92" s="673"/>
      <c r="DS92" s="673"/>
      <c r="DT92" s="673"/>
      <c r="DU92" s="673"/>
      <c r="DV92" s="673"/>
      <c r="DW92" s="673"/>
      <c r="DX92" s="673"/>
      <c r="DY92" s="673"/>
      <c r="DZ92" s="673"/>
      <c r="EA92" s="673"/>
      <c r="EB92" s="673"/>
      <c r="EC92" s="673"/>
      <c r="ED92" s="673"/>
      <c r="EE92" s="673"/>
      <c r="EF92" s="673"/>
      <c r="EG92" s="673"/>
      <c r="EH92" s="673"/>
      <c r="EI92" s="673"/>
      <c r="EJ92" s="673"/>
      <c r="EK92" s="673"/>
      <c r="EL92" s="673"/>
      <c r="EM92" s="673"/>
      <c r="EN92" s="673"/>
      <c r="EO92" s="673"/>
      <c r="EP92" s="673"/>
      <c r="EQ92" s="673"/>
      <c r="ER92" s="673"/>
      <c r="ES92" s="673"/>
      <c r="ET92" s="673"/>
      <c r="EU92" s="673"/>
      <c r="EV92" s="673"/>
      <c r="EW92" s="673"/>
      <c r="EX92" s="673"/>
      <c r="EY92" s="673"/>
      <c r="EZ92" s="673"/>
      <c r="FA92" s="673"/>
      <c r="FB92" s="673"/>
      <c r="FC92" s="673"/>
      <c r="FD92" s="673"/>
      <c r="FE92" s="673"/>
      <c r="FF92" s="673"/>
      <c r="FG92" s="673"/>
      <c r="FH92" s="673"/>
      <c r="FI92" s="673"/>
      <c r="FJ92" s="673"/>
      <c r="FK92" s="673"/>
      <c r="FL92" s="673"/>
      <c r="FM92" s="673"/>
      <c r="FN92" s="673"/>
      <c r="FO92" s="673"/>
      <c r="FP92" s="673"/>
      <c r="FQ92" s="673"/>
      <c r="FR92" s="673"/>
      <c r="FS92" s="673"/>
      <c r="FT92" s="673"/>
      <c r="FU92" s="673"/>
      <c r="FV92" s="673"/>
      <c r="FW92" s="673"/>
      <c r="FX92" s="673"/>
      <c r="FY92" s="673"/>
      <c r="FZ92" s="673"/>
      <c r="GA92" s="673"/>
      <c r="GB92" s="673"/>
      <c r="GC92" s="673"/>
      <c r="GD92" s="673"/>
      <c r="GE92" s="673"/>
      <c r="GF92" s="673"/>
      <c r="GG92" s="673"/>
      <c r="GH92" s="673"/>
      <c r="GI92" s="673"/>
      <c r="GJ92" s="673"/>
      <c r="GK92" s="673"/>
      <c r="GL92" s="673"/>
      <c r="GM92" s="673"/>
      <c r="GN92" s="673"/>
      <c r="GO92" s="673"/>
      <c r="GP92" s="673"/>
      <c r="GQ92" s="673"/>
      <c r="GR92" s="673"/>
      <c r="GS92" s="673"/>
      <c r="GT92" s="673"/>
      <c r="GU92" s="673"/>
      <c r="GV92" s="673"/>
      <c r="GW92" s="673"/>
      <c r="GX92" s="673"/>
      <c r="GY92" s="673"/>
      <c r="GZ92" s="673"/>
      <c r="HA92" s="673"/>
      <c r="HB92" s="673"/>
      <c r="HC92" s="673"/>
      <c r="HD92" s="673"/>
      <c r="HE92" s="673"/>
      <c r="HF92" s="673"/>
      <c r="HG92" s="673"/>
      <c r="HH92" s="673"/>
      <c r="HI92" s="673"/>
      <c r="HJ92" s="673"/>
      <c r="HK92" s="673"/>
      <c r="HL92" s="673"/>
      <c r="HM92" s="673"/>
      <c r="HN92" s="673"/>
      <c r="HO92" s="673"/>
      <c r="HP92" s="673"/>
      <c r="HQ92" s="673"/>
      <c r="HR92" s="673"/>
      <c r="HS92" s="673"/>
      <c r="HT92" s="673"/>
      <c r="HU92" s="673"/>
      <c r="HV92" s="673"/>
      <c r="HW92" s="673"/>
      <c r="HX92" s="673"/>
      <c r="HY92" s="673"/>
      <c r="HZ92" s="673"/>
      <c r="IA92" s="673"/>
      <c r="IB92" s="673"/>
      <c r="IC92" s="673"/>
      <c r="ID92" s="673"/>
      <c r="IE92" s="673"/>
      <c r="IF92" s="673"/>
      <c r="IG92" s="673"/>
      <c r="IH92" s="673"/>
      <c r="II92" s="673"/>
      <c r="IJ92" s="673"/>
      <c r="IK92" s="673"/>
      <c r="IL92" s="673"/>
      <c r="IM92" s="673"/>
      <c r="IN92" s="673"/>
      <c r="IO92" s="673"/>
      <c r="IP92" s="673"/>
      <c r="IQ92" s="673"/>
      <c r="IR92" s="673"/>
      <c r="IS92" s="673"/>
      <c r="IT92" s="673"/>
      <c r="IU92" s="673"/>
      <c r="IV92" s="673"/>
      <c r="IW92" s="673"/>
      <c r="IX92" s="673"/>
      <c r="IY92" s="673"/>
      <c r="IZ92" s="673"/>
      <c r="JA92" s="673"/>
      <c r="JB92" s="673"/>
      <c r="JC92" s="673"/>
      <c r="JD92" s="673"/>
      <c r="JE92" s="673"/>
      <c r="JF92" s="673"/>
      <c r="JG92" s="673"/>
      <c r="JH92" s="673"/>
      <c r="JI92" s="673"/>
      <c r="JJ92" s="673"/>
      <c r="JK92" s="673"/>
      <c r="JL92" s="673"/>
      <c r="JM92" s="673"/>
      <c r="JN92" s="673"/>
      <c r="JO92" s="673"/>
      <c r="JP92" s="673"/>
      <c r="JQ92" s="673"/>
      <c r="JR92" s="673"/>
      <c r="JS92" s="673"/>
      <c r="JT92" s="673"/>
      <c r="JU92" s="673"/>
      <c r="JV92" s="673"/>
      <c r="JW92" s="673"/>
      <c r="JX92" s="673"/>
      <c r="JY92" s="673"/>
      <c r="JZ92" s="673"/>
      <c r="KA92" s="673"/>
      <c r="KB92" s="673"/>
      <c r="KC92" s="673"/>
      <c r="KD92" s="673"/>
      <c r="KE92" s="673"/>
      <c r="KF92" s="673"/>
      <c r="KG92" s="673"/>
      <c r="KH92" s="673"/>
      <c r="KI92" s="673"/>
      <c r="KJ92" s="673"/>
      <c r="KK92" s="673"/>
      <c r="KL92" s="673"/>
      <c r="KM92" s="673"/>
      <c r="KN92" s="673"/>
      <c r="KO92" s="673"/>
      <c r="KP92" s="673"/>
      <c r="KQ92" s="673"/>
      <c r="KR92" s="673"/>
      <c r="KS92" s="673"/>
      <c r="KT92" s="673"/>
      <c r="KU92" s="673"/>
      <c r="KV92" s="673"/>
      <c r="KW92" s="673"/>
      <c r="KX92" s="673"/>
      <c r="KY92" s="673"/>
      <c r="KZ92" s="673"/>
      <c r="LA92" s="673"/>
      <c r="LB92" s="673"/>
      <c r="LC92" s="673"/>
      <c r="LD92" s="673"/>
      <c r="LE92" s="673"/>
      <c r="LF92" s="673"/>
      <c r="LG92" s="673"/>
      <c r="LH92" s="673"/>
      <c r="LI92" s="673"/>
      <c r="LJ92" s="673"/>
      <c r="LK92" s="673"/>
      <c r="LL92" s="673"/>
      <c r="LM92" s="673"/>
      <c r="LN92" s="673"/>
      <c r="LO92" s="673"/>
      <c r="LP92" s="673"/>
      <c r="LQ92" s="673"/>
      <c r="LR92" s="673"/>
      <c r="LS92" s="673"/>
      <c r="LT92" s="673"/>
      <c r="LU92" s="673"/>
      <c r="LV92" s="673"/>
      <c r="LW92" s="673"/>
      <c r="LX92" s="673"/>
      <c r="LY92" s="673"/>
      <c r="LZ92" s="673"/>
      <c r="MA92" s="673"/>
      <c r="MB92" s="673"/>
      <c r="MC92" s="673"/>
      <c r="MD92" s="673"/>
      <c r="ME92" s="673"/>
      <c r="MF92" s="673"/>
      <c r="MG92" s="673"/>
      <c r="MH92" s="673"/>
      <c r="MI92" s="673"/>
      <c r="MJ92" s="673"/>
      <c r="MK92" s="673"/>
      <c r="ML92" s="673"/>
      <c r="MM92" s="673"/>
      <c r="MN92" s="673"/>
      <c r="MO92" s="673"/>
      <c r="MP92" s="673"/>
      <c r="MQ92" s="673"/>
      <c r="MR92" s="673"/>
      <c r="MS92" s="673"/>
      <c r="MT92" s="673"/>
      <c r="MU92" s="673"/>
      <c r="MV92" s="673"/>
      <c r="MW92" s="673"/>
      <c r="MX92" s="673"/>
      <c r="MY92" s="673"/>
      <c r="MZ92" s="673"/>
      <c r="NA92" s="673"/>
      <c r="NB92" s="673"/>
      <c r="NC92" s="673"/>
      <c r="ND92" s="673"/>
      <c r="NE92" s="673"/>
      <c r="NF92" s="673"/>
      <c r="NG92" s="673"/>
      <c r="NH92" s="673"/>
      <c r="NI92" s="673"/>
      <c r="NJ92" s="673"/>
      <c r="NK92" s="673"/>
      <c r="NL92" s="673"/>
      <c r="NM92" s="673"/>
      <c r="NN92" s="673"/>
      <c r="NO92" s="673"/>
      <c r="NP92" s="673"/>
      <c r="NQ92" s="673"/>
      <c r="NR92" s="673"/>
      <c r="NS92" s="673"/>
      <c r="NT92" s="673"/>
      <c r="NU92" s="673"/>
      <c r="NV92" s="673"/>
      <c r="NW92" s="673"/>
      <c r="NX92" s="673"/>
      <c r="NY92" s="673"/>
      <c r="NZ92" s="673"/>
      <c r="OA92" s="673"/>
      <c r="OB92" s="673"/>
      <c r="OC92" s="673"/>
      <c r="OD92" s="673"/>
      <c r="OE92" s="673"/>
      <c r="OF92" s="673"/>
      <c r="OG92" s="673"/>
      <c r="OH92" s="673"/>
      <c r="OI92" s="673"/>
      <c r="OJ92" s="673"/>
      <c r="OK92" s="673"/>
      <c r="OL92" s="673"/>
      <c r="OM92" s="673"/>
      <c r="ON92" s="673"/>
      <c r="OO92" s="673"/>
      <c r="OP92" s="673"/>
      <c r="OQ92" s="673"/>
      <c r="OR92" s="673"/>
      <c r="OS92" s="673"/>
      <c r="OT92" s="673"/>
      <c r="OU92" s="673"/>
      <c r="OV92" s="673"/>
      <c r="OW92" s="673"/>
      <c r="OX92" s="673"/>
      <c r="OY92" s="673"/>
      <c r="OZ92" s="673"/>
      <c r="PA92" s="673"/>
      <c r="PB92" s="673"/>
      <c r="PC92" s="673"/>
      <c r="PD92" s="673"/>
      <c r="PE92" s="673"/>
      <c r="PF92" s="673"/>
      <c r="PG92" s="673"/>
      <c r="PH92" s="673"/>
      <c r="PI92" s="673"/>
      <c r="PJ92" s="673"/>
      <c r="PK92" s="673"/>
      <c r="PL92" s="673"/>
      <c r="PM92" s="673"/>
      <c r="PN92" s="673"/>
      <c r="PO92" s="673"/>
      <c r="PP92" s="673"/>
      <c r="PQ92" s="673"/>
      <c r="PR92" s="673"/>
      <c r="PS92" s="673"/>
      <c r="PT92" s="673"/>
      <c r="PU92" s="673"/>
      <c r="PV92" s="673"/>
      <c r="PW92" s="673"/>
      <c r="PX92" s="673"/>
      <c r="PY92" s="673"/>
      <c r="PZ92" s="673"/>
      <c r="QA92" s="673"/>
      <c r="QB92" s="673"/>
      <c r="QC92" s="673"/>
      <c r="QD92" s="673"/>
      <c r="QE92" s="673"/>
      <c r="QF92" s="673"/>
      <c r="QG92" s="673"/>
      <c r="QH92" s="673"/>
      <c r="QI92" s="673"/>
      <c r="QJ92" s="673"/>
      <c r="QK92" s="673"/>
    </row>
    <row r="93" spans="1:453" s="558" customFormat="1">
      <c r="A93" s="680"/>
      <c r="B93" s="680"/>
      <c r="C93" s="2107" t="str">
        <f ca="1">TEXT(HYPERLINK("#"&amp;CELL("address",'Equipment Results Matrix'!A1375),'Equipment Results Matrix'!A1375),"0,000")</f>
        <v>Occupancy Sensors</v>
      </c>
      <c r="D93" s="2107"/>
      <c r="E93" s="2107"/>
      <c r="F93" s="2107"/>
      <c r="G93" s="1305"/>
      <c r="H93" s="680"/>
      <c r="I93" s="680"/>
      <c r="J93" s="1525" t="str">
        <f ca="1">TEXT(HYPERLINK("#"&amp;CELL("address",'Labor Results Matrix'!A885),"Labor"),"0,000")</f>
        <v>Labor</v>
      </c>
      <c r="K93" s="1525"/>
      <c r="L93" s="2107" t="str">
        <f ca="1">TEXT(HYPERLINK("#"&amp;CELL("address",'Equipment + Labor'!A844),"Total installed cost"),"0,000")</f>
        <v>Total installed cost</v>
      </c>
      <c r="M93" s="2107"/>
      <c r="N93" s="2107"/>
      <c r="O93" s="673"/>
      <c r="P93" s="673"/>
      <c r="Q93" s="673"/>
      <c r="R93" s="673"/>
      <c r="S93" s="673"/>
      <c r="T93" s="673"/>
      <c r="U93" s="673"/>
      <c r="V93" s="673"/>
      <c r="W93" s="673"/>
      <c r="X93" s="673"/>
      <c r="Y93" s="673"/>
      <c r="Z93" s="673"/>
      <c r="AA93" s="673"/>
      <c r="AB93" s="673"/>
      <c r="AC93" s="673"/>
      <c r="AD93" s="673"/>
      <c r="AE93" s="673"/>
      <c r="AF93" s="673"/>
      <c r="AG93" s="673"/>
      <c r="AH93" s="673"/>
      <c r="AI93" s="673"/>
      <c r="AJ93" s="673"/>
      <c r="AK93" s="673"/>
      <c r="AL93" s="673"/>
      <c r="AM93" s="673"/>
      <c r="AN93" s="673"/>
      <c r="AO93" s="673"/>
      <c r="AP93" s="673"/>
      <c r="AQ93" s="673"/>
      <c r="AR93" s="673"/>
      <c r="AS93" s="673"/>
      <c r="AT93" s="673"/>
      <c r="AU93" s="673"/>
      <c r="AV93" s="673"/>
      <c r="AW93" s="673"/>
      <c r="AX93" s="673"/>
      <c r="AY93" s="673"/>
      <c r="AZ93" s="673"/>
      <c r="BA93" s="673"/>
      <c r="BB93" s="673"/>
      <c r="BC93" s="673"/>
      <c r="BD93" s="673"/>
      <c r="BE93" s="673"/>
      <c r="BF93" s="673"/>
      <c r="BG93" s="673"/>
      <c r="BH93" s="673"/>
      <c r="BI93" s="673"/>
      <c r="BJ93" s="673"/>
      <c r="BK93" s="673"/>
      <c r="BL93" s="673"/>
      <c r="BM93" s="673"/>
      <c r="BN93" s="673"/>
      <c r="BO93" s="673"/>
      <c r="BP93" s="673"/>
      <c r="BQ93" s="673"/>
      <c r="BR93" s="673"/>
      <c r="BS93" s="673"/>
      <c r="BT93" s="673"/>
      <c r="BU93" s="673"/>
      <c r="BV93" s="673"/>
      <c r="BW93" s="673"/>
      <c r="BX93" s="673"/>
      <c r="BY93" s="673"/>
      <c r="BZ93" s="673"/>
      <c r="CA93" s="673"/>
      <c r="CB93" s="673"/>
      <c r="CC93" s="673"/>
      <c r="CD93" s="673"/>
      <c r="CE93" s="673"/>
      <c r="CF93" s="673"/>
      <c r="CG93" s="673"/>
      <c r="CH93" s="673"/>
      <c r="CI93" s="673"/>
      <c r="CJ93" s="673"/>
      <c r="CK93" s="673"/>
      <c r="CL93" s="673"/>
      <c r="CM93" s="673"/>
      <c r="CN93" s="673"/>
      <c r="CO93" s="673"/>
      <c r="CP93" s="673"/>
      <c r="CQ93" s="673"/>
      <c r="CR93" s="673"/>
      <c r="CS93" s="673"/>
      <c r="CT93" s="673"/>
      <c r="CU93" s="673"/>
      <c r="CV93" s="673"/>
      <c r="CW93" s="673"/>
      <c r="CX93" s="673"/>
      <c r="CY93" s="673"/>
      <c r="CZ93" s="673"/>
      <c r="DA93" s="673"/>
      <c r="DB93" s="673"/>
      <c r="DC93" s="673"/>
      <c r="DD93" s="673"/>
      <c r="DE93" s="673"/>
      <c r="DF93" s="673"/>
      <c r="DG93" s="673"/>
      <c r="DH93" s="673"/>
      <c r="DI93" s="673"/>
      <c r="DJ93" s="673"/>
      <c r="DK93" s="673"/>
      <c r="DL93" s="673"/>
      <c r="DM93" s="673"/>
      <c r="DN93" s="673"/>
      <c r="DO93" s="673"/>
      <c r="DP93" s="673"/>
      <c r="DQ93" s="673"/>
      <c r="DR93" s="673"/>
      <c r="DS93" s="673"/>
      <c r="DT93" s="673"/>
      <c r="DU93" s="673"/>
      <c r="DV93" s="673"/>
      <c r="DW93" s="673"/>
      <c r="DX93" s="673"/>
      <c r="DY93" s="673"/>
      <c r="DZ93" s="673"/>
      <c r="EA93" s="673"/>
      <c r="EB93" s="673"/>
      <c r="EC93" s="673"/>
      <c r="ED93" s="673"/>
      <c r="EE93" s="673"/>
      <c r="EF93" s="673"/>
      <c r="EG93" s="673"/>
      <c r="EH93" s="673"/>
      <c r="EI93" s="673"/>
      <c r="EJ93" s="673"/>
      <c r="EK93" s="673"/>
      <c r="EL93" s="673"/>
      <c r="EM93" s="673"/>
      <c r="EN93" s="673"/>
      <c r="EO93" s="673"/>
      <c r="EP93" s="673"/>
      <c r="EQ93" s="673"/>
      <c r="ER93" s="673"/>
      <c r="ES93" s="673"/>
      <c r="ET93" s="673"/>
      <c r="EU93" s="673"/>
      <c r="EV93" s="673"/>
      <c r="EW93" s="673"/>
      <c r="EX93" s="673"/>
      <c r="EY93" s="673"/>
      <c r="EZ93" s="673"/>
      <c r="FA93" s="673"/>
      <c r="FB93" s="673"/>
      <c r="FC93" s="673"/>
      <c r="FD93" s="673"/>
      <c r="FE93" s="673"/>
      <c r="FF93" s="673"/>
      <c r="FG93" s="673"/>
      <c r="FH93" s="673"/>
      <c r="FI93" s="673"/>
      <c r="FJ93" s="673"/>
      <c r="FK93" s="673"/>
      <c r="FL93" s="673"/>
      <c r="FM93" s="673"/>
      <c r="FN93" s="673"/>
      <c r="FO93" s="673"/>
      <c r="FP93" s="673"/>
      <c r="FQ93" s="673"/>
      <c r="FR93" s="673"/>
      <c r="FS93" s="673"/>
      <c r="FT93" s="673"/>
      <c r="FU93" s="673"/>
      <c r="FV93" s="673"/>
      <c r="FW93" s="673"/>
      <c r="FX93" s="673"/>
      <c r="FY93" s="673"/>
      <c r="FZ93" s="673"/>
      <c r="GA93" s="673"/>
      <c r="GB93" s="673"/>
      <c r="GC93" s="673"/>
      <c r="GD93" s="673"/>
      <c r="GE93" s="673"/>
      <c r="GF93" s="673"/>
      <c r="GG93" s="673"/>
      <c r="GH93" s="673"/>
      <c r="GI93" s="673"/>
      <c r="GJ93" s="673"/>
      <c r="GK93" s="673"/>
      <c r="GL93" s="673"/>
      <c r="GM93" s="673"/>
      <c r="GN93" s="673"/>
      <c r="GO93" s="673"/>
      <c r="GP93" s="673"/>
      <c r="GQ93" s="673"/>
      <c r="GR93" s="673"/>
      <c r="GS93" s="673"/>
      <c r="GT93" s="673"/>
      <c r="GU93" s="673"/>
      <c r="GV93" s="673"/>
      <c r="GW93" s="673"/>
      <c r="GX93" s="673"/>
      <c r="GY93" s="673"/>
      <c r="GZ93" s="673"/>
      <c r="HA93" s="673"/>
      <c r="HB93" s="673"/>
      <c r="HC93" s="673"/>
      <c r="HD93" s="673"/>
      <c r="HE93" s="673"/>
      <c r="HF93" s="673"/>
      <c r="HG93" s="673"/>
      <c r="HH93" s="673"/>
      <c r="HI93" s="673"/>
      <c r="HJ93" s="673"/>
      <c r="HK93" s="673"/>
      <c r="HL93" s="673"/>
      <c r="HM93" s="673"/>
      <c r="HN93" s="673"/>
      <c r="HO93" s="673"/>
      <c r="HP93" s="673"/>
      <c r="HQ93" s="673"/>
      <c r="HR93" s="673"/>
      <c r="HS93" s="673"/>
      <c r="HT93" s="673"/>
      <c r="HU93" s="673"/>
      <c r="HV93" s="673"/>
      <c r="HW93" s="673"/>
      <c r="HX93" s="673"/>
      <c r="HY93" s="673"/>
      <c r="HZ93" s="673"/>
      <c r="IA93" s="673"/>
      <c r="IB93" s="673"/>
      <c r="IC93" s="673"/>
      <c r="ID93" s="673"/>
      <c r="IE93" s="673"/>
      <c r="IF93" s="673"/>
      <c r="IG93" s="673"/>
      <c r="IH93" s="673"/>
      <c r="II93" s="673"/>
      <c r="IJ93" s="673"/>
      <c r="IK93" s="673"/>
      <c r="IL93" s="673"/>
      <c r="IM93" s="673"/>
      <c r="IN93" s="673"/>
      <c r="IO93" s="673"/>
      <c r="IP93" s="673"/>
      <c r="IQ93" s="673"/>
      <c r="IR93" s="673"/>
      <c r="IS93" s="673"/>
      <c r="IT93" s="673"/>
      <c r="IU93" s="673"/>
      <c r="IV93" s="673"/>
      <c r="IW93" s="673"/>
      <c r="IX93" s="673"/>
      <c r="IY93" s="673"/>
      <c r="IZ93" s="673"/>
      <c r="JA93" s="673"/>
      <c r="JB93" s="673"/>
      <c r="JC93" s="673"/>
      <c r="JD93" s="673"/>
      <c r="JE93" s="673"/>
      <c r="JF93" s="673"/>
      <c r="JG93" s="673"/>
      <c r="JH93" s="673"/>
      <c r="JI93" s="673"/>
      <c r="JJ93" s="673"/>
      <c r="JK93" s="673"/>
      <c r="JL93" s="673"/>
      <c r="JM93" s="673"/>
      <c r="JN93" s="673"/>
      <c r="JO93" s="673"/>
      <c r="JP93" s="673"/>
      <c r="JQ93" s="673"/>
      <c r="JR93" s="673"/>
      <c r="JS93" s="673"/>
      <c r="JT93" s="673"/>
      <c r="JU93" s="673"/>
      <c r="JV93" s="673"/>
      <c r="JW93" s="673"/>
      <c r="JX93" s="673"/>
      <c r="JY93" s="673"/>
      <c r="JZ93" s="673"/>
      <c r="KA93" s="673"/>
      <c r="KB93" s="673"/>
      <c r="KC93" s="673"/>
      <c r="KD93" s="673"/>
      <c r="KE93" s="673"/>
      <c r="KF93" s="673"/>
      <c r="KG93" s="673"/>
      <c r="KH93" s="673"/>
      <c r="KI93" s="673"/>
      <c r="KJ93" s="673"/>
      <c r="KK93" s="673"/>
      <c r="KL93" s="673"/>
      <c r="KM93" s="673"/>
      <c r="KN93" s="673"/>
      <c r="KO93" s="673"/>
      <c r="KP93" s="673"/>
      <c r="KQ93" s="673"/>
      <c r="KR93" s="673"/>
      <c r="KS93" s="673"/>
      <c r="KT93" s="673"/>
      <c r="KU93" s="673"/>
      <c r="KV93" s="673"/>
      <c r="KW93" s="673"/>
      <c r="KX93" s="673"/>
      <c r="KY93" s="673"/>
      <c r="KZ93" s="673"/>
      <c r="LA93" s="673"/>
      <c r="LB93" s="673"/>
      <c r="LC93" s="673"/>
      <c r="LD93" s="673"/>
      <c r="LE93" s="673"/>
      <c r="LF93" s="673"/>
      <c r="LG93" s="673"/>
      <c r="LH93" s="673"/>
      <c r="LI93" s="673"/>
      <c r="LJ93" s="673"/>
      <c r="LK93" s="673"/>
      <c r="LL93" s="673"/>
      <c r="LM93" s="673"/>
      <c r="LN93" s="673"/>
      <c r="LO93" s="673"/>
      <c r="LP93" s="673"/>
      <c r="LQ93" s="673"/>
      <c r="LR93" s="673"/>
      <c r="LS93" s="673"/>
      <c r="LT93" s="673"/>
      <c r="LU93" s="673"/>
      <c r="LV93" s="673"/>
      <c r="LW93" s="673"/>
      <c r="LX93" s="673"/>
      <c r="LY93" s="673"/>
      <c r="LZ93" s="673"/>
      <c r="MA93" s="673"/>
      <c r="MB93" s="673"/>
      <c r="MC93" s="673"/>
      <c r="MD93" s="673"/>
      <c r="ME93" s="673"/>
      <c r="MF93" s="673"/>
      <c r="MG93" s="673"/>
      <c r="MH93" s="673"/>
      <c r="MI93" s="673"/>
      <c r="MJ93" s="673"/>
      <c r="MK93" s="673"/>
      <c r="ML93" s="673"/>
      <c r="MM93" s="673"/>
      <c r="MN93" s="673"/>
      <c r="MO93" s="673"/>
      <c r="MP93" s="673"/>
      <c r="MQ93" s="673"/>
      <c r="MR93" s="673"/>
      <c r="MS93" s="673"/>
      <c r="MT93" s="673"/>
      <c r="MU93" s="673"/>
      <c r="MV93" s="673"/>
      <c r="MW93" s="673"/>
      <c r="MX93" s="673"/>
      <c r="MY93" s="673"/>
      <c r="MZ93" s="673"/>
      <c r="NA93" s="673"/>
      <c r="NB93" s="673"/>
      <c r="NC93" s="673"/>
      <c r="ND93" s="673"/>
      <c r="NE93" s="673"/>
      <c r="NF93" s="673"/>
      <c r="NG93" s="673"/>
      <c r="NH93" s="673"/>
      <c r="NI93" s="673"/>
      <c r="NJ93" s="673"/>
      <c r="NK93" s="673"/>
      <c r="NL93" s="673"/>
      <c r="NM93" s="673"/>
      <c r="NN93" s="673"/>
      <c r="NO93" s="673"/>
      <c r="NP93" s="673"/>
      <c r="NQ93" s="673"/>
      <c r="NR93" s="673"/>
      <c r="NS93" s="673"/>
      <c r="NT93" s="673"/>
      <c r="NU93" s="673"/>
      <c r="NV93" s="673"/>
      <c r="NW93" s="673"/>
      <c r="NX93" s="673"/>
      <c r="NY93" s="673"/>
      <c r="NZ93" s="673"/>
      <c r="OA93" s="673"/>
      <c r="OB93" s="673"/>
      <c r="OC93" s="673"/>
      <c r="OD93" s="673"/>
      <c r="OE93" s="673"/>
      <c r="OF93" s="673"/>
      <c r="OG93" s="673"/>
      <c r="OH93" s="673"/>
      <c r="OI93" s="673"/>
      <c r="OJ93" s="673"/>
      <c r="OK93" s="673"/>
      <c r="OL93" s="673"/>
      <c r="OM93" s="673"/>
      <c r="ON93" s="673"/>
      <c r="OO93" s="673"/>
      <c r="OP93" s="673"/>
      <c r="OQ93" s="673"/>
      <c r="OR93" s="673"/>
      <c r="OS93" s="673"/>
      <c r="OT93" s="673"/>
      <c r="OU93" s="673"/>
      <c r="OV93" s="673"/>
      <c r="OW93" s="673"/>
      <c r="OX93" s="673"/>
      <c r="OY93" s="673"/>
      <c r="OZ93" s="673"/>
      <c r="PA93" s="673"/>
      <c r="PB93" s="673"/>
      <c r="PC93" s="673"/>
      <c r="PD93" s="673"/>
      <c r="PE93" s="673"/>
      <c r="PF93" s="673"/>
      <c r="PG93" s="673"/>
      <c r="PH93" s="673"/>
      <c r="PI93" s="673"/>
      <c r="PJ93" s="673"/>
      <c r="PK93" s="673"/>
      <c r="PL93" s="673"/>
      <c r="PM93" s="673"/>
      <c r="PN93" s="673"/>
      <c r="PO93" s="673"/>
      <c r="PP93" s="673"/>
      <c r="PQ93" s="673"/>
      <c r="PR93" s="673"/>
      <c r="PS93" s="673"/>
      <c r="PT93" s="673"/>
      <c r="PU93" s="673"/>
      <c r="PV93" s="673"/>
      <c r="PW93" s="673"/>
      <c r="PX93" s="673"/>
      <c r="PY93" s="673"/>
      <c r="PZ93" s="673"/>
      <c r="QA93" s="673"/>
      <c r="QB93" s="673"/>
      <c r="QC93" s="673"/>
      <c r="QD93" s="673"/>
      <c r="QE93" s="673"/>
      <c r="QF93" s="673"/>
      <c r="QG93" s="673"/>
      <c r="QH93" s="673"/>
      <c r="QI93" s="673"/>
      <c r="QJ93" s="673"/>
      <c r="QK93" s="673"/>
    </row>
    <row r="94" spans="1:453">
      <c r="B94" s="796"/>
      <c r="C94" s="796"/>
      <c r="D94" s="796"/>
      <c r="E94" s="796"/>
      <c r="F94" s="796"/>
      <c r="G94" s="796"/>
      <c r="H94" s="796"/>
      <c r="I94" s="796"/>
      <c r="J94" s="796"/>
      <c r="K94" s="796"/>
      <c r="L94" s="796"/>
      <c r="M94" s="796"/>
      <c r="N94" s="796"/>
    </row>
    <row r="95" spans="1:453">
      <c r="B95" s="796"/>
      <c r="C95" s="796"/>
      <c r="D95" s="796"/>
      <c r="E95" s="796"/>
      <c r="F95" s="796"/>
      <c r="G95" s="796"/>
      <c r="H95" s="796"/>
      <c r="I95" s="796"/>
    </row>
    <row r="96" spans="1:453">
      <c r="A96" s="681"/>
      <c r="B96" s="681"/>
      <c r="C96" s="681"/>
      <c r="D96" s="681"/>
      <c r="E96" s="681"/>
      <c r="F96" s="681"/>
      <c r="G96" s="681"/>
      <c r="H96" s="681"/>
      <c r="I96" s="681"/>
      <c r="J96" s="681"/>
      <c r="K96" s="681"/>
      <c r="L96" s="681"/>
      <c r="M96" s="681"/>
      <c r="N96" s="681"/>
    </row>
    <row r="97" spans="1:14">
      <c r="A97" s="681"/>
      <c r="B97" s="681"/>
      <c r="C97" s="681"/>
      <c r="D97" s="681"/>
      <c r="E97" s="681"/>
      <c r="F97" s="681"/>
      <c r="G97" s="681"/>
      <c r="H97" s="681"/>
      <c r="I97" s="681"/>
      <c r="J97" s="681"/>
      <c r="K97" s="681"/>
      <c r="L97" s="681"/>
      <c r="M97" s="681"/>
      <c r="N97" s="681"/>
    </row>
    <row r="98" spans="1:14">
      <c r="A98" s="681"/>
      <c r="B98" s="681"/>
      <c r="C98" s="681"/>
      <c r="D98" s="681"/>
      <c r="E98" s="681"/>
      <c r="F98" s="681"/>
      <c r="G98" s="681"/>
      <c r="H98" s="681"/>
      <c r="I98" s="681"/>
      <c r="J98" s="681"/>
      <c r="K98" s="681"/>
      <c r="L98" s="681"/>
      <c r="M98" s="681"/>
      <c r="N98" s="681"/>
    </row>
    <row r="99" spans="1:14">
      <c r="A99" s="681"/>
      <c r="B99" s="681"/>
      <c r="C99" s="681"/>
      <c r="D99" s="681"/>
      <c r="E99" s="681"/>
      <c r="F99" s="681"/>
      <c r="G99" s="681"/>
      <c r="H99" s="681"/>
      <c r="I99" s="681"/>
      <c r="J99" s="681"/>
      <c r="K99" s="681"/>
      <c r="L99" s="681"/>
      <c r="M99" s="681"/>
      <c r="N99" s="681"/>
    </row>
    <row r="100" spans="1:14">
      <c r="A100" s="681"/>
      <c r="B100" s="681"/>
      <c r="C100" s="681"/>
      <c r="D100" s="681"/>
      <c r="E100" s="681"/>
      <c r="F100" s="681"/>
      <c r="G100" s="681"/>
      <c r="H100" s="681"/>
      <c r="I100" s="681"/>
      <c r="J100" s="681"/>
      <c r="K100" s="681"/>
      <c r="L100" s="681"/>
      <c r="M100" s="681"/>
      <c r="N100" s="681"/>
    </row>
    <row r="101" spans="1:14">
      <c r="A101" s="681"/>
      <c r="B101" s="681"/>
      <c r="C101" s="681"/>
      <c r="D101" s="681"/>
      <c r="E101" s="681"/>
      <c r="F101" s="681"/>
      <c r="G101" s="681"/>
      <c r="H101" s="681"/>
      <c r="I101" s="681"/>
      <c r="J101" s="681"/>
      <c r="K101" s="681"/>
      <c r="L101" s="681"/>
      <c r="M101" s="681"/>
      <c r="N101" s="681"/>
    </row>
    <row r="102" spans="1:14">
      <c r="A102" s="681"/>
      <c r="B102" s="681"/>
      <c r="C102" s="681"/>
      <c r="D102" s="681"/>
      <c r="E102" s="681"/>
      <c r="F102" s="681"/>
      <c r="G102" s="681"/>
      <c r="H102" s="681"/>
      <c r="I102" s="681"/>
      <c r="J102" s="681"/>
      <c r="K102" s="681"/>
      <c r="L102" s="681"/>
      <c r="M102" s="681"/>
      <c r="N102" s="681"/>
    </row>
    <row r="103" spans="1:14">
      <c r="A103" s="681"/>
      <c r="B103" s="681"/>
      <c r="C103" s="681"/>
      <c r="D103" s="681"/>
      <c r="E103" s="681"/>
      <c r="F103" s="681"/>
      <c r="G103" s="681"/>
      <c r="H103" s="681"/>
      <c r="I103" s="681"/>
      <c r="J103" s="681"/>
      <c r="K103" s="681"/>
      <c r="L103" s="681"/>
      <c r="M103" s="681"/>
      <c r="N103" s="681"/>
    </row>
    <row r="104" spans="1:14">
      <c r="A104" s="681"/>
      <c r="B104" s="681"/>
      <c r="C104" s="681"/>
      <c r="D104" s="681"/>
      <c r="E104" s="681"/>
      <c r="F104" s="681"/>
      <c r="G104" s="681"/>
      <c r="H104" s="681"/>
      <c r="I104" s="681"/>
      <c r="J104" s="681"/>
      <c r="K104" s="681"/>
      <c r="L104" s="681"/>
      <c r="M104" s="681"/>
      <c r="N104" s="681"/>
    </row>
    <row r="105" spans="1:14" s="681" customFormat="1"/>
    <row r="106" spans="1:14" s="681" customFormat="1"/>
    <row r="107" spans="1:14" s="681" customFormat="1"/>
    <row r="108" spans="1:14" s="681" customFormat="1"/>
    <row r="109" spans="1:14" s="681" customFormat="1"/>
    <row r="110" spans="1:14" s="681" customFormat="1"/>
    <row r="111" spans="1:14" s="681" customFormat="1"/>
    <row r="112" spans="1:14" s="681" customFormat="1"/>
    <row r="113" s="681" customFormat="1"/>
    <row r="114" s="681" customFormat="1"/>
    <row r="115" s="681" customFormat="1"/>
    <row r="116" s="681" customFormat="1"/>
    <row r="117" s="681" customFormat="1"/>
    <row r="118" s="681" customFormat="1"/>
    <row r="119" s="681" customFormat="1"/>
    <row r="120" s="681" customFormat="1"/>
    <row r="121" s="681" customFormat="1"/>
    <row r="122" s="681" customFormat="1"/>
    <row r="123" s="681" customFormat="1"/>
    <row r="124" s="681" customFormat="1"/>
    <row r="125" s="681" customFormat="1"/>
    <row r="126" s="681" customFormat="1"/>
    <row r="127" s="681" customFormat="1"/>
    <row r="128" s="681" customFormat="1"/>
    <row r="129" s="681" customFormat="1"/>
    <row r="130" s="681" customFormat="1"/>
    <row r="131" s="681" customFormat="1"/>
    <row r="132" s="681" customFormat="1"/>
    <row r="133" s="681" customFormat="1"/>
    <row r="134" s="681" customFormat="1"/>
    <row r="135" s="681" customFormat="1"/>
    <row r="136" s="681" customFormat="1"/>
    <row r="137" s="681" customFormat="1"/>
    <row r="138" s="681" customFormat="1"/>
    <row r="139" s="681" customFormat="1"/>
    <row r="140" s="681" customFormat="1"/>
    <row r="141" s="681" customFormat="1"/>
    <row r="142" s="681" customFormat="1"/>
    <row r="143" s="681" customFormat="1"/>
    <row r="144" s="681" customFormat="1"/>
    <row r="145" s="681" customFormat="1"/>
    <row r="146" s="681" customFormat="1"/>
    <row r="147" s="681" customFormat="1"/>
    <row r="148" s="681" customFormat="1"/>
    <row r="149" s="681" customFormat="1"/>
    <row r="150" s="681" customFormat="1"/>
    <row r="151" s="681" customFormat="1"/>
    <row r="152" s="681" customFormat="1"/>
    <row r="153" s="681" customFormat="1"/>
    <row r="154" s="681" customFormat="1"/>
    <row r="155" s="681" customFormat="1"/>
    <row r="156" s="681" customFormat="1"/>
    <row r="157" s="681" customFormat="1"/>
    <row r="158" s="681" customFormat="1"/>
    <row r="159" s="681" customFormat="1"/>
    <row r="160" s="681" customFormat="1"/>
    <row r="161" s="681" customFormat="1"/>
    <row r="162" s="681" customFormat="1"/>
    <row r="163" s="681" customFormat="1"/>
    <row r="164" s="681" customFormat="1"/>
    <row r="165" s="681" customFormat="1"/>
    <row r="166" s="681" customFormat="1"/>
    <row r="167" s="681" customFormat="1"/>
    <row r="168" s="681" customFormat="1"/>
    <row r="169" s="681" customFormat="1"/>
    <row r="170" s="681" customFormat="1"/>
    <row r="171" s="681" customFormat="1"/>
    <row r="172" s="681" customFormat="1"/>
    <row r="173" s="681" customFormat="1"/>
    <row r="174" s="681" customFormat="1"/>
    <row r="175" s="681" customFormat="1"/>
    <row r="176" s="681" customFormat="1"/>
    <row r="177" s="681" customFormat="1"/>
    <row r="178" s="681" customFormat="1"/>
    <row r="179" s="681" customFormat="1"/>
    <row r="180" s="681" customFormat="1"/>
    <row r="181" s="681" customFormat="1"/>
    <row r="182" s="681" customFormat="1"/>
    <row r="183" s="681" customFormat="1"/>
    <row r="184" s="681" customFormat="1"/>
    <row r="185" s="681" customFormat="1"/>
    <row r="186" s="681" customFormat="1"/>
    <row r="187" s="681" customFormat="1"/>
    <row r="188" s="681" customFormat="1"/>
    <row r="189" s="681" customFormat="1"/>
    <row r="190" s="681" customFormat="1"/>
    <row r="191" s="681" customFormat="1"/>
    <row r="192" s="681" customFormat="1"/>
    <row r="193" s="681" customFormat="1"/>
    <row r="194" s="681" customFormat="1"/>
    <row r="195" s="681" customFormat="1"/>
    <row r="196" s="681" customFormat="1"/>
    <row r="197" s="681" customFormat="1"/>
    <row r="198" s="681" customFormat="1"/>
    <row r="199" s="681" customFormat="1"/>
    <row r="200" s="681" customFormat="1"/>
    <row r="201" s="681" customFormat="1"/>
    <row r="202" s="681" customFormat="1"/>
    <row r="203" s="681" customFormat="1"/>
    <row r="204" s="681" customFormat="1"/>
    <row r="205" s="681" customFormat="1"/>
    <row r="206" s="681" customFormat="1"/>
    <row r="207" s="681" customFormat="1"/>
    <row r="208" s="681" customFormat="1"/>
    <row r="209" s="681" customFormat="1"/>
    <row r="210" s="681" customFormat="1"/>
    <row r="211" s="681" customFormat="1"/>
    <row r="212" s="681" customFormat="1"/>
    <row r="213" s="681" customFormat="1"/>
    <row r="214" s="681" customFormat="1"/>
    <row r="215" s="681" customFormat="1"/>
    <row r="216" s="681" customFormat="1"/>
    <row r="217" s="681" customFormat="1"/>
    <row r="218" s="681" customFormat="1"/>
    <row r="219" s="681" customFormat="1"/>
    <row r="220" s="681" customFormat="1"/>
    <row r="221" s="681" customFormat="1"/>
    <row r="222" s="681" customFormat="1"/>
    <row r="223" s="681" customFormat="1"/>
    <row r="224" s="681" customFormat="1"/>
    <row r="225" s="681" customFormat="1"/>
    <row r="226" s="681" customFormat="1"/>
    <row r="227" s="681" customFormat="1"/>
    <row r="228" s="681" customFormat="1"/>
    <row r="229" s="681" customFormat="1"/>
    <row r="230" s="681" customFormat="1"/>
    <row r="231" s="681" customFormat="1"/>
    <row r="232" s="681" customFormat="1"/>
    <row r="233" s="681" customFormat="1"/>
    <row r="234" s="681" customFormat="1"/>
    <row r="235" s="681" customFormat="1"/>
    <row r="236" s="681" customFormat="1"/>
    <row r="237" s="681" customFormat="1"/>
    <row r="238" s="681" customFormat="1"/>
    <row r="239" s="681" customFormat="1"/>
    <row r="240" s="681" customFormat="1"/>
    <row r="241" s="681" customFormat="1"/>
    <row r="242" s="681" customFormat="1"/>
    <row r="243" s="681" customFormat="1"/>
    <row r="244" s="681" customFormat="1"/>
    <row r="245" s="681" customFormat="1"/>
    <row r="246" s="681" customFormat="1"/>
    <row r="247" s="681" customFormat="1"/>
    <row r="248" s="681" customFormat="1"/>
    <row r="249" s="681" customFormat="1"/>
    <row r="250" s="681" customFormat="1"/>
    <row r="251" s="681" customFormat="1"/>
    <row r="252" s="681" customFormat="1"/>
    <row r="253" s="681" customFormat="1"/>
    <row r="254" s="681" customFormat="1"/>
    <row r="255" s="681" customFormat="1"/>
    <row r="256" s="681" customFormat="1"/>
    <row r="257" s="681" customFormat="1"/>
    <row r="258" s="681" customFormat="1"/>
    <row r="259" s="681" customFormat="1"/>
    <row r="260" s="681" customFormat="1"/>
    <row r="261" s="681" customFormat="1"/>
    <row r="262" s="681" customFormat="1"/>
    <row r="263" s="681" customFormat="1"/>
    <row r="264" s="681" customFormat="1"/>
    <row r="265" s="681" customFormat="1"/>
    <row r="266" s="681" customFormat="1"/>
    <row r="267" s="681" customFormat="1"/>
    <row r="268" s="681" customFormat="1"/>
    <row r="269" s="681" customFormat="1"/>
    <row r="270" s="681" customFormat="1"/>
    <row r="271" s="681" customFormat="1"/>
    <row r="272" s="681" customFormat="1"/>
    <row r="273" s="681" customFormat="1"/>
    <row r="274" s="681" customFormat="1"/>
    <row r="275" s="681" customFormat="1"/>
    <row r="276" s="681" customFormat="1"/>
    <row r="277" s="681" customFormat="1"/>
    <row r="278" s="681" customFormat="1"/>
    <row r="279" s="681" customFormat="1"/>
    <row r="280" s="681" customFormat="1"/>
    <row r="281" s="681" customFormat="1"/>
    <row r="282" s="681" customFormat="1"/>
    <row r="283" s="681" customFormat="1"/>
    <row r="284" s="681" customFormat="1"/>
    <row r="285" s="681" customFormat="1"/>
    <row r="286" s="681" customFormat="1"/>
    <row r="287" s="681" customFormat="1"/>
    <row r="288" s="681" customFormat="1"/>
    <row r="289" s="681" customFormat="1"/>
    <row r="290" s="681" customFormat="1"/>
    <row r="291" s="681" customFormat="1"/>
    <row r="292" s="681" customFormat="1"/>
    <row r="293" s="681" customFormat="1"/>
    <row r="294" s="681" customFormat="1"/>
    <row r="295" s="681" customFormat="1"/>
    <row r="296" s="681" customFormat="1"/>
    <row r="297" s="681" customFormat="1"/>
    <row r="298" s="681" customFormat="1"/>
    <row r="299" s="681" customFormat="1"/>
    <row r="300" s="681" customFormat="1"/>
    <row r="301" s="681" customFormat="1"/>
    <row r="302" s="681" customFormat="1"/>
    <row r="303" s="681" customFormat="1"/>
    <row r="304" s="681" customFormat="1"/>
    <row r="305" s="681" customFormat="1"/>
    <row r="306" s="681" customFormat="1"/>
    <row r="307" s="681" customFormat="1"/>
    <row r="308" s="681" customFormat="1"/>
    <row r="309" s="681" customFormat="1"/>
    <row r="310" s="681" customFormat="1"/>
    <row r="311" s="681" customFormat="1"/>
    <row r="312" s="681" customFormat="1"/>
    <row r="313" s="681" customFormat="1"/>
    <row r="314" s="681" customFormat="1"/>
    <row r="315" s="681" customFormat="1"/>
    <row r="316" s="681" customFormat="1"/>
    <row r="317" s="681" customFormat="1"/>
    <row r="318" s="681" customFormat="1"/>
    <row r="319" s="681" customFormat="1"/>
    <row r="320" s="681" customFormat="1"/>
    <row r="321" s="681" customFormat="1"/>
    <row r="322" s="681" customFormat="1"/>
    <row r="323" s="681" customFormat="1"/>
    <row r="324" s="681" customFormat="1"/>
    <row r="325" s="681" customFormat="1"/>
    <row r="326" s="681" customFormat="1"/>
    <row r="327" s="681" customFormat="1"/>
    <row r="328" s="681" customFormat="1"/>
    <row r="329" s="681" customFormat="1"/>
    <row r="330" s="681" customFormat="1"/>
    <row r="331" s="681" customFormat="1"/>
    <row r="332" s="681" customFormat="1"/>
    <row r="333" s="681" customFormat="1"/>
    <row r="334" s="681" customFormat="1"/>
    <row r="335" s="681" customFormat="1"/>
    <row r="336" s="681" customFormat="1"/>
    <row r="337" s="681" customFormat="1"/>
    <row r="338" s="681" customFormat="1"/>
    <row r="339" s="681" customFormat="1"/>
    <row r="340" s="681" customFormat="1"/>
    <row r="341" s="681" customFormat="1"/>
    <row r="342" s="681" customFormat="1"/>
    <row r="343" s="681" customFormat="1"/>
    <row r="344" s="681" customFormat="1"/>
    <row r="345" s="681" customFormat="1"/>
    <row r="346" s="681" customFormat="1"/>
    <row r="347" s="681" customFormat="1"/>
    <row r="348" s="681" customFormat="1"/>
    <row r="349" s="681" customFormat="1"/>
    <row r="350" s="681" customFormat="1"/>
    <row r="351" s="681" customFormat="1"/>
    <row r="352" s="681" customFormat="1"/>
    <row r="353" s="681" customFormat="1"/>
    <row r="354" s="681" customFormat="1"/>
    <row r="355" s="681" customFormat="1"/>
    <row r="356" s="681" customFormat="1"/>
    <row r="357" s="681" customFormat="1"/>
    <row r="358" s="681" customFormat="1"/>
    <row r="359" s="681" customFormat="1"/>
    <row r="360" s="681" customFormat="1"/>
    <row r="361" s="681" customFormat="1"/>
    <row r="362" s="681" customFormat="1"/>
    <row r="363" s="681" customFormat="1"/>
    <row r="364" s="681" customFormat="1"/>
    <row r="365" s="681" customFormat="1"/>
    <row r="366" s="681" customFormat="1"/>
    <row r="367" s="681" customFormat="1"/>
    <row r="368" s="681" customFormat="1"/>
    <row r="369" s="681" customFormat="1"/>
    <row r="370" s="681" customFormat="1"/>
    <row r="371" s="681" customFormat="1"/>
    <row r="372" s="681" customFormat="1"/>
    <row r="373" s="681" customFormat="1"/>
    <row r="374" s="681" customFormat="1"/>
    <row r="375" s="681" customFormat="1"/>
    <row r="376" s="681" customFormat="1"/>
    <row r="377" s="681" customFormat="1"/>
    <row r="378" s="681" customFormat="1"/>
    <row r="379" s="681" customFormat="1"/>
    <row r="380" s="681" customFormat="1"/>
    <row r="381" s="681" customFormat="1"/>
    <row r="382" s="681" customFormat="1"/>
    <row r="383" s="681" customFormat="1"/>
    <row r="384" s="681" customFormat="1"/>
    <row r="385" s="681" customFormat="1"/>
    <row r="386" s="681" customFormat="1"/>
    <row r="387" s="681" customFormat="1"/>
    <row r="388" s="681" customFormat="1"/>
    <row r="389" s="681" customFormat="1"/>
    <row r="390" s="681" customFormat="1"/>
    <row r="391" s="681" customFormat="1"/>
    <row r="392" s="681" customFormat="1"/>
    <row r="393" s="681" customFormat="1"/>
    <row r="394" s="681" customFormat="1"/>
    <row r="395" s="681" customFormat="1"/>
    <row r="396" s="681" customFormat="1"/>
    <row r="397" s="681" customFormat="1"/>
    <row r="398" s="681" customFormat="1"/>
    <row r="399" s="681" customFormat="1"/>
    <row r="400" s="681" customFormat="1"/>
    <row r="401" s="681" customFormat="1"/>
    <row r="402" s="681" customFormat="1"/>
    <row r="403" s="681" customFormat="1"/>
    <row r="404" s="681" customFormat="1"/>
    <row r="405" s="681" customFormat="1"/>
    <row r="406" s="681" customFormat="1"/>
    <row r="407" s="681" customFormat="1"/>
    <row r="408" s="681" customFormat="1"/>
    <row r="409" s="681" customFormat="1"/>
    <row r="410" s="681" customFormat="1"/>
    <row r="411" s="681" customFormat="1"/>
    <row r="412" s="681" customFormat="1"/>
    <row r="413" s="681" customFormat="1"/>
    <row r="414" s="681" customFormat="1"/>
    <row r="415" s="681" customFormat="1"/>
    <row r="416" s="681" customFormat="1"/>
    <row r="417" s="681" customFormat="1"/>
    <row r="418" s="681" customFormat="1"/>
    <row r="419" s="681" customFormat="1"/>
    <row r="420" s="681" customFormat="1"/>
    <row r="421" s="681" customFormat="1"/>
    <row r="422" s="681" customFormat="1"/>
    <row r="423" s="681" customFormat="1"/>
    <row r="424" s="681" customFormat="1"/>
    <row r="425" s="681" customFormat="1"/>
    <row r="426" s="681" customFormat="1"/>
    <row r="427" s="681" customFormat="1"/>
    <row r="428" s="681" customFormat="1"/>
    <row r="429" s="681" customFormat="1"/>
    <row r="430" s="681" customFormat="1"/>
    <row r="431" s="681" customFormat="1"/>
    <row r="432" s="681" customFormat="1"/>
    <row r="433" s="681" customFormat="1"/>
    <row r="434" s="681" customFormat="1"/>
    <row r="435" s="681" customFormat="1"/>
    <row r="436" s="681" customFormat="1"/>
    <row r="437" s="681" customFormat="1"/>
    <row r="438" s="681" customFormat="1"/>
    <row r="439" s="681" customFormat="1"/>
    <row r="440" s="681" customFormat="1"/>
    <row r="441" s="681" customFormat="1"/>
    <row r="442" s="681" customFormat="1"/>
    <row r="443" s="681" customFormat="1"/>
    <row r="444" s="681" customFormat="1"/>
    <row r="445" s="681" customFormat="1"/>
    <row r="446" s="681" customFormat="1"/>
    <row r="447" s="681" customFormat="1"/>
    <row r="448" s="681" customFormat="1"/>
    <row r="449" s="681" customFormat="1"/>
    <row r="450" s="681" customFormat="1"/>
    <row r="451" s="681" customFormat="1"/>
    <row r="452" s="681" customFormat="1"/>
    <row r="453" s="681" customFormat="1"/>
    <row r="454" s="681" customFormat="1"/>
    <row r="455" s="681" customFormat="1"/>
    <row r="456" s="681" customFormat="1"/>
    <row r="457" s="681" customFormat="1"/>
    <row r="458" s="681" customFormat="1"/>
    <row r="459" s="681" customFormat="1"/>
    <row r="460" s="681" customFormat="1"/>
    <row r="461" s="681" customFormat="1"/>
    <row r="462" s="681" customFormat="1"/>
    <row r="463" s="681" customFormat="1"/>
    <row r="464" s="681" customFormat="1"/>
    <row r="465" s="681" customFormat="1"/>
    <row r="466" s="681" customFormat="1"/>
    <row r="467" s="681" customFormat="1"/>
    <row r="468" s="681" customFormat="1"/>
    <row r="469" s="681" customFormat="1"/>
    <row r="470" s="681" customFormat="1"/>
    <row r="471" s="681" customFormat="1"/>
    <row r="472" s="681" customFormat="1"/>
    <row r="473" s="681" customFormat="1"/>
    <row r="474" s="681" customFormat="1"/>
    <row r="475" s="681" customFormat="1"/>
    <row r="476" s="681" customFormat="1"/>
    <row r="477" s="681" customFormat="1"/>
    <row r="478" s="681" customFormat="1"/>
    <row r="479" s="681" customFormat="1"/>
    <row r="480" s="681" customFormat="1"/>
    <row r="481" s="681" customFormat="1"/>
    <row r="482" s="681" customFormat="1"/>
    <row r="483" s="681" customFormat="1"/>
    <row r="484" s="681" customFormat="1"/>
    <row r="485" s="681" customFormat="1"/>
    <row r="486" s="681" customFormat="1"/>
    <row r="487" s="681" customFormat="1"/>
    <row r="488" s="681" customFormat="1"/>
    <row r="489" s="681" customFormat="1"/>
    <row r="490" s="681" customFormat="1"/>
    <row r="491" s="681" customFormat="1"/>
    <row r="492" s="681" customFormat="1"/>
    <row r="493" s="681" customFormat="1"/>
    <row r="494" s="681" customFormat="1"/>
    <row r="495" s="681" customFormat="1"/>
    <row r="496" s="681" customFormat="1"/>
    <row r="497" s="681" customFormat="1"/>
    <row r="498" s="681" customFormat="1"/>
    <row r="499" s="681" customFormat="1"/>
    <row r="500" s="681" customFormat="1"/>
    <row r="501" s="681" customFormat="1"/>
    <row r="502" s="681" customFormat="1"/>
    <row r="503" s="681" customFormat="1"/>
    <row r="504" s="681" customFormat="1"/>
    <row r="505" s="681" customFormat="1"/>
    <row r="506" s="681" customFormat="1"/>
    <row r="507" s="681" customFormat="1"/>
    <row r="508" s="681" customFormat="1"/>
    <row r="509" s="681" customFormat="1"/>
    <row r="510" s="681" customFormat="1"/>
    <row r="511" s="681" customFormat="1"/>
    <row r="512" s="681" customFormat="1"/>
    <row r="513" s="681" customFormat="1"/>
    <row r="514" s="681" customFormat="1"/>
    <row r="515" s="681" customFormat="1"/>
    <row r="516" s="681" customFormat="1"/>
    <row r="517" s="681" customFormat="1"/>
    <row r="518" s="681" customFormat="1"/>
    <row r="519" s="681" customFormat="1"/>
    <row r="520" s="681" customFormat="1"/>
    <row r="521" s="681" customFormat="1"/>
    <row r="522" s="681" customFormat="1"/>
    <row r="523" s="681" customFormat="1"/>
    <row r="524" s="681" customFormat="1"/>
    <row r="525" s="681" customFormat="1"/>
    <row r="526" s="681" customFormat="1"/>
    <row r="527" s="681" customFormat="1"/>
    <row r="528" s="681" customFormat="1"/>
    <row r="529" s="681" customFormat="1"/>
    <row r="530" s="681" customFormat="1"/>
    <row r="531" s="681" customFormat="1"/>
    <row r="532" s="681" customFormat="1"/>
    <row r="533" s="681" customFormat="1"/>
    <row r="534" s="681" customFormat="1"/>
    <row r="535" s="681" customFormat="1"/>
    <row r="536" s="681" customFormat="1"/>
    <row r="537" s="681" customFormat="1"/>
    <row r="538" s="681" customFormat="1"/>
    <row r="539" s="681" customFormat="1"/>
    <row r="540" s="681" customFormat="1"/>
    <row r="541" s="681" customFormat="1"/>
    <row r="542" s="681" customFormat="1"/>
    <row r="543" s="681" customFormat="1"/>
    <row r="544" s="681" customFormat="1"/>
    <row r="545" s="681" customFormat="1"/>
    <row r="546" s="681" customFormat="1"/>
    <row r="547" s="681" customFormat="1"/>
    <row r="548" s="681" customFormat="1"/>
    <row r="549" s="681" customFormat="1"/>
    <row r="550" s="681" customFormat="1"/>
    <row r="551" s="681" customFormat="1"/>
    <row r="552" s="681" customFormat="1"/>
    <row r="553" s="681" customFormat="1"/>
    <row r="554" s="681" customFormat="1"/>
    <row r="555" s="681" customFormat="1"/>
    <row r="556" s="681" customFormat="1"/>
    <row r="557" s="681" customFormat="1"/>
    <row r="558" s="681" customFormat="1"/>
    <row r="559" s="681" customFormat="1"/>
    <row r="560" s="681" customFormat="1"/>
    <row r="561" s="681" customFormat="1"/>
    <row r="562" s="681" customFormat="1"/>
    <row r="563" s="681" customFormat="1"/>
    <row r="564" s="681" customFormat="1"/>
    <row r="565" s="681" customFormat="1"/>
    <row r="566" s="681" customFormat="1"/>
    <row r="567" s="681" customFormat="1"/>
    <row r="568" s="681" customFormat="1"/>
    <row r="569" s="681" customFormat="1"/>
    <row r="570" s="681" customFormat="1"/>
    <row r="571" s="681" customFormat="1"/>
    <row r="572" s="681" customFormat="1"/>
    <row r="573" s="681" customFormat="1"/>
    <row r="574" s="681" customFormat="1"/>
    <row r="575" s="681" customFormat="1"/>
    <row r="576" s="681" customFormat="1"/>
    <row r="577" s="681" customFormat="1"/>
    <row r="578" s="681" customFormat="1"/>
    <row r="579" s="681" customFormat="1"/>
    <row r="580" s="681" customFormat="1"/>
    <row r="581" s="681" customFormat="1"/>
    <row r="582" s="681" customFormat="1"/>
    <row r="583" s="681" customFormat="1"/>
    <row r="584" s="681" customFormat="1"/>
    <row r="585" s="681" customFormat="1"/>
    <row r="586" s="681" customFormat="1"/>
    <row r="587" s="681" customFormat="1"/>
    <row r="588" s="681" customFormat="1"/>
    <row r="589" s="681" customFormat="1"/>
    <row r="590" s="681" customFormat="1"/>
    <row r="591" s="681" customFormat="1"/>
    <row r="592" s="681" customFormat="1"/>
    <row r="593" s="681" customFormat="1"/>
    <row r="594" s="681" customFormat="1"/>
    <row r="595" s="681" customFormat="1"/>
    <row r="596" s="681" customFormat="1"/>
    <row r="597" s="681" customFormat="1"/>
    <row r="598" s="681" customFormat="1"/>
    <row r="599" s="681" customFormat="1"/>
    <row r="600" s="681" customFormat="1"/>
    <row r="601" s="681" customFormat="1"/>
    <row r="602" s="681" customFormat="1"/>
    <row r="603" s="681" customFormat="1"/>
    <row r="604" s="681" customFormat="1"/>
    <row r="605" s="681" customFormat="1"/>
    <row r="606" s="681" customFormat="1"/>
    <row r="607" s="681" customFormat="1"/>
    <row r="608" s="681" customFormat="1"/>
    <row r="609" s="681" customFormat="1"/>
    <row r="610" s="681" customFormat="1"/>
    <row r="611" s="681" customFormat="1"/>
    <row r="612" s="681" customFormat="1"/>
    <row r="613" s="681" customFormat="1"/>
    <row r="614" s="681" customFormat="1"/>
    <row r="615" s="681" customFormat="1"/>
    <row r="616" s="681" customFormat="1"/>
    <row r="617" s="681" customFormat="1"/>
    <row r="618" s="681" customFormat="1"/>
    <row r="619" s="681" customFormat="1"/>
    <row r="620" s="681" customFormat="1"/>
    <row r="621" s="681" customFormat="1"/>
    <row r="622" s="681" customFormat="1"/>
    <row r="623" s="681" customFormat="1"/>
    <row r="624" s="681" customFormat="1"/>
    <row r="625" s="681" customFormat="1"/>
    <row r="626" s="681" customFormat="1"/>
    <row r="627" s="681" customFormat="1"/>
    <row r="628" s="681" customFormat="1"/>
    <row r="629" s="681" customFormat="1"/>
    <row r="630" s="681" customFormat="1"/>
    <row r="631" s="681" customFormat="1"/>
    <row r="632" s="681" customFormat="1"/>
    <row r="633" s="681" customFormat="1"/>
    <row r="634" s="681" customFormat="1"/>
    <row r="635" s="681" customFormat="1"/>
    <row r="636" s="681" customFormat="1"/>
    <row r="637" s="681" customFormat="1"/>
    <row r="638" s="681" customFormat="1"/>
    <row r="639" s="681" customFormat="1"/>
    <row r="640" s="681" customFormat="1"/>
    <row r="641" s="681" customFormat="1"/>
    <row r="642" s="681" customFormat="1"/>
    <row r="643" s="681" customFormat="1"/>
    <row r="644" s="681" customFormat="1"/>
    <row r="645" s="681" customFormat="1"/>
    <row r="646" s="681" customFormat="1"/>
    <row r="647" s="681" customFormat="1"/>
    <row r="648" s="681" customFormat="1"/>
    <row r="649" s="681" customFormat="1"/>
    <row r="650" s="681" customFormat="1"/>
    <row r="651" s="681" customFormat="1"/>
    <row r="652" s="681" customFormat="1"/>
    <row r="653" s="681" customFormat="1"/>
    <row r="654" s="681" customFormat="1"/>
    <row r="655" s="681" customFormat="1"/>
    <row r="656" s="681" customFormat="1"/>
    <row r="657" s="681" customFormat="1"/>
    <row r="658" s="681" customFormat="1"/>
    <row r="659" s="681" customFormat="1"/>
    <row r="660" s="681" customFormat="1"/>
    <row r="661" s="681" customFormat="1"/>
    <row r="662" s="681" customFormat="1"/>
    <row r="663" s="681" customFormat="1"/>
    <row r="664" s="681" customFormat="1"/>
    <row r="665" s="681" customFormat="1"/>
    <row r="666" s="681" customFormat="1"/>
    <row r="667" s="681" customFormat="1"/>
    <row r="668" s="681" customFormat="1"/>
    <row r="669" s="681" customFormat="1"/>
    <row r="670" s="681" customFormat="1"/>
    <row r="671" s="681" customFormat="1"/>
    <row r="672" s="681" customFormat="1"/>
    <row r="673" s="681" customFormat="1"/>
    <row r="674" s="681" customFormat="1"/>
    <row r="675" s="681" customFormat="1"/>
    <row r="676" s="681" customFormat="1"/>
    <row r="677" s="681" customFormat="1"/>
    <row r="678" s="681" customFormat="1"/>
    <row r="679" s="681" customFormat="1"/>
    <row r="680" s="681" customFormat="1"/>
    <row r="681" s="681" customFormat="1"/>
    <row r="682" s="681" customFormat="1"/>
    <row r="683" s="681" customFormat="1"/>
    <row r="684" s="681" customFormat="1"/>
    <row r="685" s="681" customFormat="1"/>
    <row r="686" s="681" customFormat="1"/>
    <row r="687" s="681" customFormat="1"/>
    <row r="688" s="681" customFormat="1"/>
    <row r="689" s="681" customFormat="1"/>
    <row r="690" s="681" customFormat="1"/>
    <row r="691" s="681" customFormat="1"/>
    <row r="692" s="681" customFormat="1"/>
    <row r="693" s="681" customFormat="1"/>
    <row r="694" s="681" customFormat="1"/>
    <row r="695" s="681" customFormat="1"/>
    <row r="696" s="681" customFormat="1"/>
    <row r="697" s="681" customFormat="1"/>
    <row r="698" s="681" customFormat="1"/>
    <row r="699" s="681" customFormat="1"/>
    <row r="700" s="681" customFormat="1"/>
    <row r="701" s="681" customFormat="1"/>
    <row r="702" s="681" customFormat="1"/>
    <row r="703" s="681" customFormat="1"/>
    <row r="704" s="681" customFormat="1"/>
    <row r="705" s="681" customFormat="1"/>
    <row r="706" s="681" customFormat="1"/>
    <row r="707" s="681" customFormat="1"/>
    <row r="708" s="681" customFormat="1"/>
    <row r="709" s="681" customFormat="1"/>
    <row r="710" s="681" customFormat="1"/>
  </sheetData>
  <mergeCells count="171">
    <mergeCell ref="L89:N89"/>
    <mergeCell ref="L90:N90"/>
    <mergeCell ref="L91:N91"/>
    <mergeCell ref="L92:N92"/>
    <mergeCell ref="L93:N93"/>
    <mergeCell ref="L84:N84"/>
    <mergeCell ref="L85:N85"/>
    <mergeCell ref="L86:N86"/>
    <mergeCell ref="L87:N87"/>
    <mergeCell ref="L88:N88"/>
    <mergeCell ref="L79:N79"/>
    <mergeCell ref="L80:N80"/>
    <mergeCell ref="L81:N81"/>
    <mergeCell ref="L82:N82"/>
    <mergeCell ref="L83:N83"/>
    <mergeCell ref="L74:N74"/>
    <mergeCell ref="L75:N75"/>
    <mergeCell ref="L76:N76"/>
    <mergeCell ref="L77:N77"/>
    <mergeCell ref="L78:N78"/>
    <mergeCell ref="L69:N69"/>
    <mergeCell ref="L70:N70"/>
    <mergeCell ref="L71:N71"/>
    <mergeCell ref="L72:N72"/>
    <mergeCell ref="L73:N73"/>
    <mergeCell ref="L64:N64"/>
    <mergeCell ref="L65:N65"/>
    <mergeCell ref="L66:N66"/>
    <mergeCell ref="L67:N67"/>
    <mergeCell ref="L68:N68"/>
    <mergeCell ref="L59:N59"/>
    <mergeCell ref="L60:N60"/>
    <mergeCell ref="L61:N61"/>
    <mergeCell ref="L62:N62"/>
    <mergeCell ref="L63:N63"/>
    <mergeCell ref="L54:N54"/>
    <mergeCell ref="L55:N55"/>
    <mergeCell ref="L56:N56"/>
    <mergeCell ref="L57:N57"/>
    <mergeCell ref="L58:N58"/>
    <mergeCell ref="L49:N49"/>
    <mergeCell ref="L50:N50"/>
    <mergeCell ref="L51:N51"/>
    <mergeCell ref="L52:N52"/>
    <mergeCell ref="L53:N53"/>
    <mergeCell ref="L44:N44"/>
    <mergeCell ref="L45:N45"/>
    <mergeCell ref="L46:N46"/>
    <mergeCell ref="L47:N47"/>
    <mergeCell ref="L48:N48"/>
    <mergeCell ref="L39:N39"/>
    <mergeCell ref="L40:N40"/>
    <mergeCell ref="L41:N41"/>
    <mergeCell ref="L42:N42"/>
    <mergeCell ref="L43:N43"/>
    <mergeCell ref="L34:N34"/>
    <mergeCell ref="L35:N35"/>
    <mergeCell ref="L36:N36"/>
    <mergeCell ref="L37:N37"/>
    <mergeCell ref="L38:N38"/>
    <mergeCell ref="L29:N29"/>
    <mergeCell ref="L30:N30"/>
    <mergeCell ref="L31:N31"/>
    <mergeCell ref="L32:N32"/>
    <mergeCell ref="L33:N33"/>
    <mergeCell ref="L24:N24"/>
    <mergeCell ref="L25:N25"/>
    <mergeCell ref="L26:N26"/>
    <mergeCell ref="L27:N27"/>
    <mergeCell ref="L28:N28"/>
    <mergeCell ref="L19:N19"/>
    <mergeCell ref="L20:N20"/>
    <mergeCell ref="L21:N21"/>
    <mergeCell ref="L22:N22"/>
    <mergeCell ref="L23:N23"/>
    <mergeCell ref="L14:N14"/>
    <mergeCell ref="L15:N15"/>
    <mergeCell ref="L16:N16"/>
    <mergeCell ref="L17:N17"/>
    <mergeCell ref="L18:N18"/>
    <mergeCell ref="L9:N9"/>
    <mergeCell ref="L10:N10"/>
    <mergeCell ref="L11:N11"/>
    <mergeCell ref="L12:N12"/>
    <mergeCell ref="L13:N13"/>
    <mergeCell ref="B91:D91"/>
    <mergeCell ref="C92:F92"/>
    <mergeCell ref="C93:F93"/>
    <mergeCell ref="C77:F77"/>
    <mergeCell ref="C78:F78"/>
    <mergeCell ref="C79:F79"/>
    <mergeCell ref="B80:D80"/>
    <mergeCell ref="B83:D83"/>
    <mergeCell ref="C81:H81"/>
    <mergeCell ref="C82:H82"/>
    <mergeCell ref="C84:I84"/>
    <mergeCell ref="C85:I85"/>
    <mergeCell ref="C86:I86"/>
    <mergeCell ref="C87:I87"/>
    <mergeCell ref="C88:I88"/>
    <mergeCell ref="C89:I89"/>
    <mergeCell ref="C90:I90"/>
    <mergeCell ref="C72:F72"/>
    <mergeCell ref="C73:F73"/>
    <mergeCell ref="C74:F74"/>
    <mergeCell ref="C75:F75"/>
    <mergeCell ref="C76:F76"/>
    <mergeCell ref="C67:F67"/>
    <mergeCell ref="C68:F68"/>
    <mergeCell ref="C69:F69"/>
    <mergeCell ref="C70:F70"/>
    <mergeCell ref="C71:F71"/>
    <mergeCell ref="C63:F63"/>
    <mergeCell ref="C64:F64"/>
    <mergeCell ref="C65:F65"/>
    <mergeCell ref="C66:F66"/>
    <mergeCell ref="C46:H46"/>
    <mergeCell ref="B52:F52"/>
    <mergeCell ref="C58:E58"/>
    <mergeCell ref="C60:E60"/>
    <mergeCell ref="C61:E61"/>
    <mergeCell ref="C48:H48"/>
    <mergeCell ref="C49:H49"/>
    <mergeCell ref="C50:H50"/>
    <mergeCell ref="C51:H51"/>
    <mergeCell ref="C53:H53"/>
    <mergeCell ref="C54:H54"/>
    <mergeCell ref="C55:H55"/>
    <mergeCell ref="C56:H56"/>
    <mergeCell ref="B57:E57"/>
    <mergeCell ref="B59:E59"/>
    <mergeCell ref="B47:E47"/>
    <mergeCell ref="B62:D62"/>
    <mergeCell ref="B8:F8"/>
    <mergeCell ref="B32:F32"/>
    <mergeCell ref="C33:H33"/>
    <mergeCell ref="C34:H34"/>
    <mergeCell ref="C35:H35"/>
    <mergeCell ref="C21:H21"/>
    <mergeCell ref="C22:H22"/>
    <mergeCell ref="C23:H23"/>
    <mergeCell ref="C24:H24"/>
    <mergeCell ref="B25:F25"/>
    <mergeCell ref="C10:H10"/>
    <mergeCell ref="C11:H11"/>
    <mergeCell ref="C12:H12"/>
    <mergeCell ref="C13:H13"/>
    <mergeCell ref="C14:H14"/>
    <mergeCell ref="C15:H15"/>
    <mergeCell ref="C42:H42"/>
    <mergeCell ref="C16:H16"/>
    <mergeCell ref="C17:H17"/>
    <mergeCell ref="C18:H18"/>
    <mergeCell ref="C19:H19"/>
    <mergeCell ref="C20:H20"/>
    <mergeCell ref="C43:H43"/>
    <mergeCell ref="C45:H45"/>
    <mergeCell ref="C9:H9"/>
    <mergeCell ref="C44:H44"/>
    <mergeCell ref="C36:H36"/>
    <mergeCell ref="C37:H37"/>
    <mergeCell ref="C38:H38"/>
    <mergeCell ref="C39:H39"/>
    <mergeCell ref="C40:H40"/>
    <mergeCell ref="C26:G26"/>
    <mergeCell ref="C27:G27"/>
    <mergeCell ref="C28:G28"/>
    <mergeCell ref="C29:G29"/>
    <mergeCell ref="C30:G30"/>
    <mergeCell ref="C31:G31"/>
    <mergeCell ref="C41:H4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DS1400"/>
  <sheetViews>
    <sheetView tabSelected="1" zoomScaleNormal="100" workbookViewId="0">
      <pane xSplit="2" ySplit="3" topLeftCell="Y1020" activePane="bottomRight" state="frozen"/>
      <selection pane="topRight" activeCell="C1" sqref="C1"/>
      <selection pane="bottomLeft" activeCell="A4" sqref="A4"/>
      <selection pane="bottomRight" activeCell="Y1031" sqref="Y1031"/>
    </sheetView>
  </sheetViews>
  <sheetFormatPr defaultRowHeight="15"/>
  <cols>
    <col min="1" max="1" width="51.5703125" style="697" customWidth="1"/>
    <col min="2" max="2" width="33.28515625" style="833" customWidth="1"/>
    <col min="3" max="3" width="12" style="763" customWidth="1"/>
    <col min="4" max="4" width="19.42578125" style="7" customWidth="1"/>
    <col min="5" max="5" width="6.28515625" style="7" bestFit="1" customWidth="1"/>
    <col min="6" max="7" width="9.7109375" style="7" bestFit="1" customWidth="1"/>
    <col min="8" max="8" width="14.42578125" style="7" bestFit="1" customWidth="1"/>
    <col min="9" max="9" width="12.7109375" style="7" bestFit="1" customWidth="1"/>
    <col min="10" max="10" width="11.7109375" style="751" customWidth="1"/>
    <col min="11" max="11" width="17.7109375" style="7" bestFit="1" customWidth="1"/>
    <col min="12" max="12" width="12.28515625" style="751" customWidth="1"/>
    <col min="13" max="13" width="18.140625" style="7" bestFit="1" customWidth="1"/>
    <col min="14" max="14" width="12" style="1240" customWidth="1"/>
    <col min="15" max="16" width="12" style="564" customWidth="1"/>
    <col min="17" max="18" width="18.85546875" style="567" customWidth="1"/>
    <col min="19" max="19" width="17.5703125" style="7" customWidth="1"/>
    <col min="20" max="20" width="16.42578125" style="7" bestFit="1" customWidth="1"/>
    <col min="21" max="21" width="0.5703125" style="864" customWidth="1"/>
    <col min="22" max="22" width="24.5703125" style="547" customWidth="1"/>
    <col min="23" max="23" width="10.42578125" style="7" bestFit="1" customWidth="1"/>
    <col min="24" max="24" width="129.5703125" style="7" customWidth="1"/>
    <col min="25" max="26" width="15" style="7" customWidth="1"/>
    <col min="27" max="27" width="15" style="547" customWidth="1"/>
    <col min="28" max="28" width="0.7109375" style="849" customWidth="1"/>
    <col min="29" max="29" width="84.7109375" style="7" customWidth="1"/>
    <col min="30" max="30" width="16.7109375" style="7" bestFit="1" customWidth="1"/>
    <col min="31" max="31" width="15" style="7" bestFit="1" customWidth="1"/>
    <col min="32" max="32" width="12.7109375" style="751" bestFit="1" customWidth="1"/>
    <col min="33" max="33" width="130" style="7" customWidth="1"/>
    <col min="34" max="34" width="12.85546875" style="1042" bestFit="1" customWidth="1"/>
    <col min="35" max="44" width="9.42578125" style="1042" customWidth="1"/>
    <col min="45" max="45" width="11.28515625" style="1042" customWidth="1"/>
    <col min="46" max="46" width="12.28515625" style="1042" customWidth="1"/>
    <col min="47" max="59" width="9.42578125" style="1042" customWidth="1"/>
    <col min="60" max="60" width="1.7109375" style="1125" customWidth="1"/>
    <col min="84" max="112" width="9.140625" style="7"/>
    <col min="113" max="113" width="9.140625" style="566"/>
    <col min="114" max="123" width="9.140625" style="7"/>
    <col min="124" max="16384" width="9.140625" style="6"/>
  </cols>
  <sheetData>
    <row r="1" spans="1:123" s="725" customFormat="1" ht="33.75" customHeight="1" thickBot="1">
      <c r="A1" s="722"/>
      <c r="B1" s="2367" t="s">
        <v>1</v>
      </c>
      <c r="C1" s="2368"/>
      <c r="D1" s="2368"/>
      <c r="E1" s="2368"/>
      <c r="F1" s="2368"/>
      <c r="G1" s="2368"/>
      <c r="H1" s="2368"/>
      <c r="I1" s="2369"/>
      <c r="J1" s="2333" t="s">
        <v>5</v>
      </c>
      <c r="K1" s="2347"/>
      <c r="L1" s="2334" t="s">
        <v>106</v>
      </c>
      <c r="M1" s="2347"/>
      <c r="N1" s="2333" t="s">
        <v>131</v>
      </c>
      <c r="O1" s="2334"/>
      <c r="P1" s="2334"/>
      <c r="Q1" s="2334"/>
      <c r="R1" s="2334"/>
      <c r="S1" s="2334"/>
      <c r="T1" s="2346"/>
      <c r="U1" s="904"/>
      <c r="V1" s="2344" t="s">
        <v>107</v>
      </c>
      <c r="W1" s="2345"/>
      <c r="X1" s="2345"/>
      <c r="Y1" s="2345"/>
      <c r="Z1" s="2345"/>
      <c r="AA1" s="2345"/>
      <c r="AB1" s="845"/>
      <c r="AC1" s="2333" t="s">
        <v>100</v>
      </c>
      <c r="AD1" s="2334"/>
      <c r="AE1" s="2334"/>
      <c r="AF1" s="2334"/>
      <c r="AG1" s="2334"/>
      <c r="AH1" s="2334"/>
      <c r="AI1" s="2334"/>
      <c r="AJ1" s="2334"/>
      <c r="AK1" s="2334"/>
      <c r="AL1" s="2334"/>
      <c r="AM1" s="2330"/>
      <c r="AN1" s="2330"/>
      <c r="AO1" s="2330"/>
      <c r="AP1" s="2330"/>
      <c r="AQ1" s="2330"/>
      <c r="AR1" s="2330"/>
      <c r="AS1" s="2330"/>
      <c r="AT1" s="2330"/>
      <c r="AU1" s="2330"/>
      <c r="AV1" s="2330"/>
      <c r="AW1" s="2330"/>
      <c r="AX1" s="2330"/>
      <c r="AY1" s="2330"/>
      <c r="AZ1" s="2330"/>
      <c r="BA1" s="2330"/>
      <c r="BB1" s="2330"/>
      <c r="BC1" s="2330"/>
      <c r="BD1" s="2330"/>
      <c r="BE1" s="2330"/>
      <c r="BF1" s="2330"/>
      <c r="BG1" s="1019"/>
      <c r="BH1" s="1128"/>
      <c r="CF1" s="1127"/>
      <c r="CG1" s="723"/>
      <c r="CH1" s="723"/>
      <c r="CI1" s="723"/>
      <c r="CJ1" s="723"/>
      <c r="CK1" s="723"/>
      <c r="CL1" s="723"/>
      <c r="CM1" s="723"/>
      <c r="CN1" s="723"/>
      <c r="CO1" s="723"/>
      <c r="CP1" s="723"/>
      <c r="CQ1" s="723"/>
      <c r="CR1" s="723"/>
      <c r="CS1" s="723"/>
      <c r="CT1" s="723"/>
      <c r="CU1" s="723"/>
      <c r="CV1" s="723"/>
      <c r="CW1" s="723"/>
      <c r="CX1" s="723"/>
      <c r="CY1" s="723"/>
      <c r="CZ1" s="723"/>
      <c r="DA1" s="723"/>
      <c r="DB1" s="723"/>
      <c r="DC1" s="723"/>
      <c r="DD1" s="723"/>
      <c r="DE1" s="723"/>
      <c r="DF1" s="723"/>
      <c r="DG1" s="723"/>
      <c r="DH1" s="723"/>
      <c r="DI1" s="724"/>
      <c r="DJ1" s="723"/>
      <c r="DK1" s="723"/>
      <c r="DL1" s="723"/>
      <c r="DM1" s="723"/>
      <c r="DN1" s="723"/>
      <c r="DO1" s="723"/>
      <c r="DP1" s="723"/>
      <c r="DQ1" s="723"/>
      <c r="DR1" s="723"/>
      <c r="DS1" s="723"/>
    </row>
    <row r="2" spans="1:123" s="7" customFormat="1" ht="18.75" customHeight="1">
      <c r="A2" s="2319" t="s">
        <v>0</v>
      </c>
      <c r="B2" s="2396" t="s">
        <v>2</v>
      </c>
      <c r="C2" s="2304" t="s">
        <v>3</v>
      </c>
      <c r="D2" s="2306" t="s">
        <v>4</v>
      </c>
      <c r="E2" s="2306" t="s">
        <v>97</v>
      </c>
      <c r="F2" s="2306" t="s">
        <v>98</v>
      </c>
      <c r="G2" s="2306" t="s">
        <v>105</v>
      </c>
      <c r="H2" s="2306" t="s">
        <v>123</v>
      </c>
      <c r="I2" s="2315" t="s">
        <v>124</v>
      </c>
      <c r="J2" s="2317" t="s">
        <v>3</v>
      </c>
      <c r="K2" s="2315" t="s">
        <v>4</v>
      </c>
      <c r="L2" s="2317" t="s">
        <v>3</v>
      </c>
      <c r="M2" s="2315" t="s">
        <v>4</v>
      </c>
      <c r="N2" s="2363" t="s">
        <v>99</v>
      </c>
      <c r="O2" s="2365" t="s">
        <v>39</v>
      </c>
      <c r="P2" s="2365" t="s">
        <v>122</v>
      </c>
      <c r="Q2" s="2354" t="s">
        <v>120</v>
      </c>
      <c r="R2" s="2354" t="s">
        <v>121</v>
      </c>
      <c r="S2" s="2339" t="s">
        <v>85</v>
      </c>
      <c r="T2" s="2340"/>
      <c r="U2" s="905"/>
      <c r="V2" s="2306" t="s">
        <v>2748</v>
      </c>
      <c r="W2" s="2306" t="s">
        <v>43</v>
      </c>
      <c r="X2" s="2306" t="s">
        <v>44</v>
      </c>
      <c r="Y2" s="2306" t="s">
        <v>45</v>
      </c>
      <c r="Z2" s="2306" t="s">
        <v>46</v>
      </c>
      <c r="AA2" s="2358" t="s">
        <v>217</v>
      </c>
      <c r="AB2" s="847"/>
      <c r="AC2" s="2348" t="s">
        <v>1094</v>
      </c>
      <c r="AD2" s="2349"/>
      <c r="AE2" s="2350"/>
      <c r="AF2" s="2337" t="s">
        <v>1144</v>
      </c>
      <c r="AG2" s="2338"/>
      <c r="AH2" s="2338"/>
      <c r="AI2" s="2338"/>
      <c r="AJ2" s="2338"/>
      <c r="AK2" s="2338"/>
      <c r="AL2" s="2338"/>
      <c r="AM2" s="2331"/>
      <c r="AN2" s="2331"/>
      <c r="AO2" s="2331"/>
      <c r="AP2" s="2331"/>
      <c r="AQ2" s="2331"/>
      <c r="AR2" s="2331"/>
      <c r="AS2" s="2331"/>
      <c r="AT2" s="2331"/>
      <c r="AU2" s="2331"/>
      <c r="AV2" s="2331"/>
      <c r="AW2" s="2331"/>
      <c r="AX2" s="2331"/>
      <c r="AY2" s="2331"/>
      <c r="AZ2" s="2331"/>
      <c r="BA2" s="2331"/>
      <c r="BB2" s="2331"/>
      <c r="BC2" s="2331"/>
      <c r="BD2" s="2331"/>
      <c r="BE2" s="2331"/>
      <c r="BF2" s="2331"/>
      <c r="BG2" s="2332"/>
      <c r="BH2" s="1125"/>
      <c r="CF2" s="751"/>
      <c r="DI2" s="566"/>
    </row>
    <row r="3" spans="1:123" s="7" customFormat="1" ht="57.75" customHeight="1" thickBot="1">
      <c r="A3" s="2320"/>
      <c r="B3" s="2397"/>
      <c r="C3" s="2305"/>
      <c r="D3" s="2307"/>
      <c r="E3" s="2307"/>
      <c r="F3" s="2307"/>
      <c r="G3" s="2307"/>
      <c r="H3" s="2307"/>
      <c r="I3" s="2316"/>
      <c r="J3" s="2318"/>
      <c r="K3" s="2316"/>
      <c r="L3" s="2318"/>
      <c r="M3" s="2316"/>
      <c r="N3" s="2364"/>
      <c r="O3" s="2366"/>
      <c r="P3" s="2366"/>
      <c r="Q3" s="2355"/>
      <c r="R3" s="2355"/>
      <c r="S3" s="2341"/>
      <c r="T3" s="2342"/>
      <c r="U3" s="905"/>
      <c r="V3" s="2343"/>
      <c r="W3" s="2307"/>
      <c r="X3" s="2307"/>
      <c r="Y3" s="2307"/>
      <c r="Z3" s="2307"/>
      <c r="AA3" s="2359"/>
      <c r="AB3" s="847"/>
      <c r="AC3" s="2351"/>
      <c r="AD3" s="2352"/>
      <c r="AE3" s="2353"/>
      <c r="AF3" s="660" t="s">
        <v>130</v>
      </c>
      <c r="AG3" s="661" t="s">
        <v>44</v>
      </c>
      <c r="AH3" s="1020" t="s">
        <v>45</v>
      </c>
      <c r="AI3" s="1020" t="s">
        <v>101</v>
      </c>
      <c r="AJ3" s="1020" t="s">
        <v>102</v>
      </c>
      <c r="AK3" s="1020" t="s">
        <v>103</v>
      </c>
      <c r="AL3" s="1021" t="s">
        <v>104</v>
      </c>
      <c r="AM3" s="1021" t="s">
        <v>324</v>
      </c>
      <c r="AN3" s="1021" t="s">
        <v>325</v>
      </c>
      <c r="AO3" s="1021" t="s">
        <v>326</v>
      </c>
      <c r="AP3" s="1021" t="s">
        <v>327</v>
      </c>
      <c r="AQ3" s="1021" t="s">
        <v>328</v>
      </c>
      <c r="AR3" s="1021" t="s">
        <v>329</v>
      </c>
      <c r="AS3" s="1021" t="s">
        <v>330</v>
      </c>
      <c r="AT3" s="1021" t="s">
        <v>331</v>
      </c>
      <c r="AU3" s="1021" t="s">
        <v>345</v>
      </c>
      <c r="AV3" s="1021" t="s">
        <v>346</v>
      </c>
      <c r="AW3" s="1021" t="s">
        <v>347</v>
      </c>
      <c r="AX3" s="1021" t="s">
        <v>348</v>
      </c>
      <c r="AY3" s="1021" t="s">
        <v>349</v>
      </c>
      <c r="AZ3" s="1021" t="s">
        <v>350</v>
      </c>
      <c r="BA3" s="1021" t="s">
        <v>351</v>
      </c>
      <c r="BB3" s="1021" t="s">
        <v>361</v>
      </c>
      <c r="BC3" s="1021" t="s">
        <v>362</v>
      </c>
      <c r="BD3" s="1021" t="s">
        <v>363</v>
      </c>
      <c r="BE3" s="1021" t="s">
        <v>364</v>
      </c>
      <c r="BF3" s="1021" t="s">
        <v>365</v>
      </c>
      <c r="BG3" s="1022" t="s">
        <v>366</v>
      </c>
      <c r="BH3" s="1129"/>
      <c r="DI3" s="566"/>
    </row>
    <row r="4" spans="1:123" s="685" customFormat="1" ht="26.25" customHeight="1" thickBot="1">
      <c r="A4" s="721" t="s">
        <v>1106</v>
      </c>
      <c r="B4" s="1054"/>
      <c r="C4" s="684"/>
      <c r="D4" s="683"/>
      <c r="E4" s="683"/>
      <c r="F4" s="683"/>
      <c r="G4" s="683"/>
      <c r="H4" s="683"/>
      <c r="I4" s="683"/>
      <c r="J4" s="682"/>
      <c r="K4" s="683"/>
      <c r="L4" s="682"/>
      <c r="N4" s="1189"/>
      <c r="O4" s="686"/>
      <c r="P4" s="686"/>
      <c r="Q4" s="687"/>
      <c r="R4" s="687"/>
      <c r="S4" s="688"/>
      <c r="T4" s="688"/>
      <c r="U4" s="854"/>
      <c r="V4" s="893"/>
      <c r="Y4" s="688"/>
      <c r="Z4" s="688"/>
      <c r="AA4" s="688"/>
      <c r="AB4" s="846"/>
      <c r="AF4" s="689"/>
      <c r="AH4" s="959"/>
      <c r="AI4" s="959"/>
      <c r="AJ4" s="959"/>
      <c r="AK4" s="959"/>
      <c r="AL4" s="959"/>
      <c r="AM4" s="959"/>
      <c r="AN4" s="959"/>
      <c r="AO4" s="959"/>
      <c r="AP4" s="959"/>
      <c r="AQ4" s="959"/>
      <c r="AR4" s="959"/>
      <c r="AS4" s="959"/>
      <c r="AT4" s="959"/>
      <c r="AU4" s="959"/>
      <c r="AV4" s="959"/>
      <c r="AW4" s="959"/>
      <c r="AX4" s="959"/>
      <c r="AY4" s="959"/>
      <c r="AZ4" s="959"/>
      <c r="BA4" s="959"/>
      <c r="BB4" s="959"/>
      <c r="BC4" s="959"/>
      <c r="BD4" s="959"/>
      <c r="BE4" s="959"/>
      <c r="BF4" s="959"/>
      <c r="BG4" s="959"/>
      <c r="BH4" s="1124"/>
      <c r="DI4" s="694"/>
    </row>
    <row r="5" spans="1:123" s="7" customFormat="1">
      <c r="A5" s="2308" t="s">
        <v>1141</v>
      </c>
      <c r="B5" s="2222" t="s">
        <v>6</v>
      </c>
      <c r="C5" s="2180" t="s">
        <v>11</v>
      </c>
      <c r="D5" s="8" t="s">
        <v>33</v>
      </c>
      <c r="E5" s="9">
        <v>6014</v>
      </c>
      <c r="F5" s="10" t="s">
        <v>15</v>
      </c>
      <c r="G5" s="10" t="s">
        <v>15</v>
      </c>
      <c r="H5" s="4">
        <v>1176.8599999999999</v>
      </c>
      <c r="I5" s="5">
        <v>4373.6099999999997</v>
      </c>
      <c r="J5" s="2236" t="s">
        <v>11</v>
      </c>
      <c r="K5" s="8" t="s">
        <v>33</v>
      </c>
      <c r="L5" s="2236" t="s">
        <v>11</v>
      </c>
      <c r="M5" s="8" t="s">
        <v>33</v>
      </c>
      <c r="N5" s="1190">
        <v>-11.64</v>
      </c>
      <c r="O5" s="442">
        <v>-1.03</v>
      </c>
      <c r="P5" s="442">
        <v>11.34</v>
      </c>
      <c r="Q5" s="241" t="s">
        <v>15</v>
      </c>
      <c r="R5" s="258">
        <v>-11.64</v>
      </c>
      <c r="S5" s="115" t="s">
        <v>68</v>
      </c>
      <c r="T5" s="116" t="s">
        <v>69</v>
      </c>
      <c r="U5" s="855"/>
      <c r="V5" s="2162" t="s">
        <v>2749</v>
      </c>
      <c r="W5" s="534" t="s">
        <v>47</v>
      </c>
      <c r="X5" s="534" t="s">
        <v>48</v>
      </c>
      <c r="Y5" s="1316">
        <f>($R$6+($R$7*20.75)+$R$8+$R$12+$R$16+$R$23+($R$24*573)+$T$12)</f>
        <v>993.50417991762902</v>
      </c>
      <c r="Z5" s="2301">
        <f>Y6-Y5</f>
        <v>28.865999999999985</v>
      </c>
      <c r="AA5" s="2357">
        <f>(573-487)*$P$24</f>
        <v>7.7399999999999993</v>
      </c>
      <c r="AB5" s="917"/>
      <c r="AC5" s="906" t="s">
        <v>546</v>
      </c>
      <c r="AD5" s="2270" t="s">
        <v>142</v>
      </c>
      <c r="AE5" s="2271"/>
      <c r="AF5" s="106"/>
      <c r="AG5" s="37"/>
      <c r="AH5" s="957"/>
      <c r="AI5" s="957"/>
      <c r="AJ5" s="957"/>
      <c r="AK5" s="957"/>
      <c r="AL5" s="957"/>
      <c r="AM5" s="957"/>
      <c r="AN5" s="957"/>
      <c r="AO5" s="957"/>
      <c r="AP5" s="957"/>
      <c r="AQ5" s="957"/>
      <c r="AR5" s="957"/>
      <c r="AS5" s="957"/>
      <c r="AT5" s="957"/>
      <c r="AU5" s="957"/>
      <c r="AV5" s="957"/>
      <c r="AW5" s="957"/>
      <c r="AX5" s="957"/>
      <c r="AY5" s="957"/>
      <c r="AZ5" s="957"/>
      <c r="BA5" s="957"/>
      <c r="BB5" s="957"/>
      <c r="BC5" s="957"/>
      <c r="BD5" s="957"/>
      <c r="BE5" s="957"/>
      <c r="BF5" s="957"/>
      <c r="BG5" s="957"/>
      <c r="BH5" s="1125"/>
      <c r="DI5" s="566"/>
    </row>
    <row r="6" spans="1:123">
      <c r="A6" s="2185"/>
      <c r="B6" s="2161"/>
      <c r="C6" s="2144"/>
      <c r="D6" s="12" t="s">
        <v>32</v>
      </c>
      <c r="E6" s="555">
        <v>1358</v>
      </c>
      <c r="F6" s="13" t="s">
        <v>15</v>
      </c>
      <c r="G6" s="13" t="s">
        <v>15</v>
      </c>
      <c r="H6" s="2">
        <v>536.17999999999995</v>
      </c>
      <c r="I6" s="3">
        <v>2939.16</v>
      </c>
      <c r="J6" s="2237"/>
      <c r="K6" s="12" t="s">
        <v>32</v>
      </c>
      <c r="L6" s="2237"/>
      <c r="M6" s="12" t="s">
        <v>32</v>
      </c>
      <c r="N6" s="537">
        <v>0</v>
      </c>
      <c r="O6" s="455" t="s">
        <v>204</v>
      </c>
      <c r="P6" s="144" t="s">
        <v>204</v>
      </c>
      <c r="Q6" s="208" t="s">
        <v>15</v>
      </c>
      <c r="R6" s="128">
        <v>0</v>
      </c>
      <c r="S6" s="452" t="s">
        <v>70</v>
      </c>
      <c r="T6" s="117" t="s">
        <v>71</v>
      </c>
      <c r="U6" s="854"/>
      <c r="V6" s="2163"/>
      <c r="W6" s="452" t="s">
        <v>49</v>
      </c>
      <c r="X6" s="452" t="s">
        <v>50</v>
      </c>
      <c r="Y6" s="1317">
        <f>($R$5+($R$7*20.75)+$R$8+$R$12+$R$16+$R$23+($R$24*487)+$T$12)</f>
        <v>1022.370179917629</v>
      </c>
      <c r="Z6" s="2335"/>
      <c r="AA6" s="2298"/>
      <c r="AB6" s="917"/>
      <c r="AC6" s="906" t="s">
        <v>543</v>
      </c>
      <c r="AD6" s="20" t="s">
        <v>98</v>
      </c>
      <c r="AE6" s="276">
        <v>0.17496536068510282</v>
      </c>
      <c r="AF6" s="106"/>
      <c r="AG6" s="37"/>
      <c r="AH6" s="957"/>
      <c r="AI6" s="957"/>
      <c r="AJ6" s="957"/>
      <c r="AK6" s="957"/>
      <c r="AL6" s="957"/>
      <c r="AM6" s="957"/>
      <c r="AN6" s="957"/>
      <c r="AO6" s="957"/>
      <c r="AP6" s="957"/>
      <c r="AQ6" s="957"/>
      <c r="AR6" s="957"/>
      <c r="AS6" s="957"/>
      <c r="AT6" s="957"/>
      <c r="AU6" s="957"/>
      <c r="AV6" s="957"/>
      <c r="AW6" s="957"/>
      <c r="AX6" s="957"/>
      <c r="AY6" s="957"/>
      <c r="AZ6" s="957"/>
      <c r="BA6" s="957"/>
      <c r="BB6" s="957"/>
      <c r="BC6" s="957"/>
      <c r="BD6" s="957"/>
      <c r="BE6" s="957"/>
      <c r="BF6" s="957"/>
      <c r="BG6" s="957"/>
    </row>
    <row r="7" spans="1:123">
      <c r="A7" s="2185"/>
      <c r="B7" s="984" t="s">
        <v>22</v>
      </c>
      <c r="C7" s="981" t="s">
        <v>12</v>
      </c>
      <c r="D7" s="12" t="s">
        <v>23</v>
      </c>
      <c r="E7" s="555">
        <v>7372</v>
      </c>
      <c r="F7" s="555">
        <v>22.9</v>
      </c>
      <c r="G7" s="17">
        <v>3.55</v>
      </c>
      <c r="H7" s="2">
        <v>1031.01</v>
      </c>
      <c r="I7" s="3">
        <v>4669.4399999999996</v>
      </c>
      <c r="J7" s="658" t="s">
        <v>14</v>
      </c>
      <c r="K7" s="1133" t="s">
        <v>25</v>
      </c>
      <c r="L7" s="658" t="s">
        <v>12</v>
      </c>
      <c r="M7" s="12" t="s">
        <v>26</v>
      </c>
      <c r="N7" s="537">
        <v>23.79</v>
      </c>
      <c r="O7" s="536">
        <v>17.600000000000001</v>
      </c>
      <c r="P7" s="536">
        <v>1.35</v>
      </c>
      <c r="Q7" s="208" t="s">
        <v>15</v>
      </c>
      <c r="R7" s="128">
        <v>23.79</v>
      </c>
      <c r="S7" s="118" t="s">
        <v>72</v>
      </c>
      <c r="T7" s="119" t="s">
        <v>119</v>
      </c>
      <c r="U7" s="855"/>
      <c r="V7" s="2163"/>
      <c r="W7" s="452" t="s">
        <v>47</v>
      </c>
      <c r="X7" s="452" t="s">
        <v>56</v>
      </c>
      <c r="Y7" s="1317">
        <f>($R$6+($R$7*12.25)+$R$8+$R$12+$R$16+$R$23+($R$24*518)+$T$12)</f>
        <v>817.19417991762907</v>
      </c>
      <c r="Z7" s="2299">
        <f>Y8-Y7</f>
        <v>21.800999999999931</v>
      </c>
      <c r="AA7" s="2357">
        <f>(518-447)*$P$24</f>
        <v>6.39</v>
      </c>
      <c r="AB7" s="917"/>
      <c r="AC7" s="906"/>
      <c r="AD7" s="20" t="s">
        <v>109</v>
      </c>
      <c r="AE7" s="276">
        <v>4.9222537204982536E-3</v>
      </c>
      <c r="AF7" s="106"/>
      <c r="AG7" s="37"/>
      <c r="AH7" s="957"/>
      <c r="AI7" s="957"/>
      <c r="AJ7" s="957"/>
      <c r="AK7" s="957"/>
      <c r="AL7" s="957"/>
      <c r="AM7" s="957"/>
      <c r="AN7" s="957"/>
      <c r="AO7" s="957"/>
      <c r="AP7" s="957"/>
      <c r="AQ7" s="957"/>
      <c r="AR7" s="957"/>
      <c r="AS7" s="957"/>
      <c r="AT7" s="957"/>
      <c r="AU7" s="957"/>
      <c r="AV7" s="957"/>
      <c r="AW7" s="957"/>
      <c r="AX7" s="957"/>
      <c r="AY7" s="957"/>
      <c r="AZ7" s="957"/>
      <c r="BA7" s="957"/>
      <c r="BB7" s="957"/>
      <c r="BC7" s="957"/>
      <c r="BD7" s="957"/>
      <c r="BE7" s="957"/>
      <c r="BF7" s="957"/>
      <c r="BG7" s="957"/>
    </row>
    <row r="8" spans="1:123">
      <c r="A8" s="2185"/>
      <c r="B8" s="2161" t="s">
        <v>3</v>
      </c>
      <c r="C8" s="2144" t="s">
        <v>13</v>
      </c>
      <c r="D8" s="556" t="s">
        <v>31</v>
      </c>
      <c r="E8" s="555">
        <v>464</v>
      </c>
      <c r="F8" s="321" t="s">
        <v>15</v>
      </c>
      <c r="G8" s="18" t="s">
        <v>15</v>
      </c>
      <c r="H8" s="2">
        <v>1019.69</v>
      </c>
      <c r="I8" s="3">
        <v>1310.72</v>
      </c>
      <c r="J8" s="2237" t="s">
        <v>13</v>
      </c>
      <c r="K8" s="12" t="s">
        <v>31</v>
      </c>
      <c r="L8" s="2237" t="s">
        <v>13</v>
      </c>
      <c r="M8" s="12" t="s">
        <v>31</v>
      </c>
      <c r="N8" s="537">
        <v>0</v>
      </c>
      <c r="O8" s="455" t="s">
        <v>204</v>
      </c>
      <c r="P8" s="144" t="s">
        <v>204</v>
      </c>
      <c r="Q8" s="208" t="s">
        <v>15</v>
      </c>
      <c r="R8" s="128">
        <v>0</v>
      </c>
      <c r="S8" s="452" t="s">
        <v>73</v>
      </c>
      <c r="T8" s="120">
        <v>0.79200000000000004</v>
      </c>
      <c r="U8" s="856"/>
      <c r="V8" s="2163"/>
      <c r="W8" s="452" t="s">
        <v>49</v>
      </c>
      <c r="X8" s="452" t="s">
        <v>57</v>
      </c>
      <c r="Y8" s="1317">
        <f>($R$5+($R$7*12.25)+$R$8+$R$12+$R$16+$R$23+($R$24*447)+$T$12)</f>
        <v>838.995179917629</v>
      </c>
      <c r="Z8" s="2299"/>
      <c r="AA8" s="2298"/>
      <c r="AB8" s="917"/>
      <c r="AC8" s="37"/>
      <c r="AD8" s="20" t="s">
        <v>110</v>
      </c>
      <c r="AE8" s="276">
        <v>0.16584464950671057</v>
      </c>
      <c r="AF8" s="106"/>
      <c r="AG8" s="37"/>
      <c r="AH8" s="957"/>
      <c r="AI8" s="957"/>
      <c r="AJ8" s="957"/>
      <c r="AK8" s="957"/>
      <c r="AL8" s="957"/>
      <c r="AM8" s="957"/>
      <c r="AN8" s="957"/>
      <c r="AO8" s="957"/>
      <c r="AP8" s="957"/>
      <c r="AQ8" s="957"/>
      <c r="AR8" s="957"/>
      <c r="AS8" s="957"/>
      <c r="AT8" s="957"/>
      <c r="AU8" s="957"/>
      <c r="AV8" s="957"/>
      <c r="AW8" s="957"/>
      <c r="AX8" s="957"/>
      <c r="AY8" s="957"/>
      <c r="AZ8" s="957"/>
      <c r="BA8" s="957"/>
      <c r="BB8" s="957"/>
      <c r="BC8" s="957"/>
      <c r="BD8" s="957"/>
      <c r="BE8" s="957"/>
      <c r="BF8" s="957"/>
      <c r="BG8" s="957"/>
    </row>
    <row r="9" spans="1:123">
      <c r="A9" s="2185"/>
      <c r="B9" s="2161"/>
      <c r="C9" s="2144"/>
      <c r="D9" s="556" t="s">
        <v>28</v>
      </c>
      <c r="E9" s="555">
        <v>1552</v>
      </c>
      <c r="F9" s="321" t="s">
        <v>15</v>
      </c>
      <c r="G9" s="18" t="s">
        <v>15</v>
      </c>
      <c r="H9" s="2">
        <v>511.27</v>
      </c>
      <c r="I9" s="3">
        <v>1282.78</v>
      </c>
      <c r="J9" s="2237"/>
      <c r="K9" s="12" t="s">
        <v>28</v>
      </c>
      <c r="L9" s="2237"/>
      <c r="M9" s="12" t="s">
        <v>28</v>
      </c>
      <c r="N9" s="537">
        <v>-391.09100000000001</v>
      </c>
      <c r="O9" s="536">
        <v>-24.9</v>
      </c>
      <c r="P9" s="536">
        <v>15.74</v>
      </c>
      <c r="Q9" s="208" t="s">
        <v>15</v>
      </c>
      <c r="R9" s="128">
        <v>-391.09100000000001</v>
      </c>
      <c r="S9" s="118" t="s">
        <v>74</v>
      </c>
      <c r="T9" s="119" t="s">
        <v>75</v>
      </c>
      <c r="U9" s="855"/>
      <c r="V9" s="2163"/>
      <c r="W9" s="452" t="s">
        <v>47</v>
      </c>
      <c r="X9" s="452" t="s">
        <v>59</v>
      </c>
      <c r="Y9" s="1317">
        <f>($R$6+($R$7*27)+$R$11+$R$12+$R$16+$R$23+($R$24*665)+$T$12)</f>
        <v>550.56967991762895</v>
      </c>
      <c r="Z9" s="2299">
        <f>Y10-Y9</f>
        <v>35.460000000000036</v>
      </c>
      <c r="AA9" s="2323">
        <f>(665-565)*0.09</f>
        <v>9</v>
      </c>
      <c r="AB9" s="917"/>
      <c r="AC9" s="37"/>
      <c r="AD9" s="20" t="s">
        <v>111</v>
      </c>
      <c r="AE9" s="276">
        <v>0.28266275065968754</v>
      </c>
      <c r="AF9" s="106"/>
      <c r="AG9" s="37"/>
      <c r="AH9" s="957"/>
      <c r="AI9" s="957"/>
      <c r="AJ9" s="957"/>
      <c r="AK9" s="957"/>
      <c r="AL9" s="957"/>
      <c r="AM9" s="957"/>
      <c r="AN9" s="957"/>
      <c r="AO9" s="957"/>
      <c r="AP9" s="957"/>
      <c r="AQ9" s="957"/>
      <c r="AR9" s="957"/>
      <c r="AS9" s="957"/>
      <c r="AT9" s="957"/>
      <c r="AU9" s="957"/>
      <c r="AV9" s="957"/>
      <c r="AW9" s="957"/>
      <c r="AX9" s="957"/>
      <c r="AY9" s="957"/>
      <c r="AZ9" s="957"/>
      <c r="BA9" s="957"/>
      <c r="BB9" s="957"/>
      <c r="BC9" s="957"/>
      <c r="BD9" s="957"/>
      <c r="BE9" s="957"/>
      <c r="BF9" s="957"/>
      <c r="BG9" s="957"/>
    </row>
    <row r="10" spans="1:123">
      <c r="A10" s="2185"/>
      <c r="B10" s="2161"/>
      <c r="C10" s="2144"/>
      <c r="D10" s="556" t="s">
        <v>29</v>
      </c>
      <c r="E10" s="555">
        <v>3050</v>
      </c>
      <c r="F10" s="321" t="s">
        <v>15</v>
      </c>
      <c r="G10" s="18" t="s">
        <v>15</v>
      </c>
      <c r="H10" s="2">
        <v>1779</v>
      </c>
      <c r="I10" s="3">
        <v>2871.83</v>
      </c>
      <c r="J10" s="2237"/>
      <c r="K10" s="18" t="s">
        <v>15</v>
      </c>
      <c r="L10" s="2237"/>
      <c r="M10" s="12" t="s">
        <v>29</v>
      </c>
      <c r="N10" s="537">
        <v>308.33</v>
      </c>
      <c r="O10" s="536">
        <v>18.399999999999999</v>
      </c>
      <c r="P10" s="536">
        <v>16.78</v>
      </c>
      <c r="Q10" s="208" t="s">
        <v>15</v>
      </c>
      <c r="R10" s="128">
        <v>308.33</v>
      </c>
      <c r="S10" s="452">
        <v>7372</v>
      </c>
      <c r="T10" s="413">
        <v>470718.81082000001</v>
      </c>
      <c r="U10" s="857"/>
      <c r="V10" s="2163"/>
      <c r="W10" s="452" t="s">
        <v>49</v>
      </c>
      <c r="X10" s="452" t="s">
        <v>58</v>
      </c>
      <c r="Y10" s="1317">
        <f>($R$5+($R$7*27)+$R$11+$R$12+$R$16+$R$23+($R$24*565)+$T$12)</f>
        <v>586.02967991762898</v>
      </c>
      <c r="Z10" s="2299"/>
      <c r="AA10" s="2298"/>
      <c r="AB10" s="917"/>
      <c r="AC10" s="37"/>
      <c r="AD10" s="20" t="s">
        <v>143</v>
      </c>
      <c r="AE10" s="276">
        <v>1.1711240550208954</v>
      </c>
      <c r="AF10" s="106"/>
      <c r="AG10" s="37"/>
      <c r="AH10" s="957"/>
      <c r="AI10" s="957"/>
      <c r="AJ10" s="957"/>
      <c r="AK10" s="957"/>
      <c r="AL10" s="957"/>
      <c r="AM10" s="957"/>
      <c r="AN10" s="957"/>
      <c r="AO10" s="957"/>
      <c r="AP10" s="957"/>
      <c r="AQ10" s="957"/>
      <c r="AR10" s="957"/>
      <c r="AS10" s="957"/>
      <c r="AT10" s="957"/>
      <c r="AU10" s="957"/>
      <c r="AV10" s="957"/>
      <c r="AW10" s="957"/>
      <c r="AX10" s="957"/>
      <c r="AY10" s="957"/>
      <c r="AZ10" s="957"/>
      <c r="BA10" s="957"/>
      <c r="BB10" s="957"/>
      <c r="BC10" s="957"/>
      <c r="BD10" s="957"/>
      <c r="BE10" s="957"/>
      <c r="BF10" s="957"/>
      <c r="BG10" s="957"/>
    </row>
    <row r="11" spans="1:123">
      <c r="A11" s="2185"/>
      <c r="B11" s="2161"/>
      <c r="C11" s="2144"/>
      <c r="D11" s="556" t="s">
        <v>30</v>
      </c>
      <c r="E11" s="555">
        <v>2306</v>
      </c>
      <c r="F11" s="321" t="s">
        <v>15</v>
      </c>
      <c r="G11" s="18" t="s">
        <v>15</v>
      </c>
      <c r="H11" s="2">
        <v>1042.9000000000001</v>
      </c>
      <c r="I11" s="3">
        <v>2199.84</v>
      </c>
      <c r="J11" s="2237"/>
      <c r="K11" s="12" t="s">
        <v>30</v>
      </c>
      <c r="L11" s="2237"/>
      <c r="M11" s="12" t="s">
        <v>30</v>
      </c>
      <c r="N11" s="537">
        <v>-548.29</v>
      </c>
      <c r="O11" s="536">
        <v>-29.2</v>
      </c>
      <c r="P11" s="536">
        <v>18.75</v>
      </c>
      <c r="Q11" s="208" t="s">
        <v>15</v>
      </c>
      <c r="R11" s="128">
        <v>-548.29</v>
      </c>
      <c r="S11" s="118" t="s">
        <v>41</v>
      </c>
      <c r="T11" s="119" t="s">
        <v>42</v>
      </c>
      <c r="U11" s="855"/>
      <c r="V11" s="2163"/>
      <c r="W11" s="452" t="s">
        <v>47</v>
      </c>
      <c r="X11" s="290" t="s">
        <v>51</v>
      </c>
      <c r="Y11" s="1317">
        <f>($R$6+($R$7*27)+$R$11+$R$12+$R$16+$R$22+($R$24*730)+$T$12)</f>
        <v>1041.4546799176289</v>
      </c>
      <c r="Z11" s="2299">
        <f>Y12-Y11</f>
        <v>40.170000000000073</v>
      </c>
      <c r="AA11" s="2323">
        <f>(730-620)*0.09</f>
        <v>9.9</v>
      </c>
      <c r="AB11" s="917"/>
      <c r="AC11" s="37"/>
      <c r="AD11" s="20" t="s">
        <v>112</v>
      </c>
      <c r="AE11" s="276">
        <v>1.3715315522485854</v>
      </c>
      <c r="AF11" s="106"/>
      <c r="AG11" s="37"/>
      <c r="AH11" s="957"/>
      <c r="AI11" s="957"/>
      <c r="AJ11" s="957"/>
      <c r="AK11" s="957"/>
      <c r="AL11" s="957"/>
      <c r="AM11" s="957"/>
      <c r="AN11" s="957"/>
      <c r="AO11" s="957"/>
      <c r="AP11" s="957"/>
      <c r="AQ11" s="957"/>
      <c r="AR11" s="957"/>
      <c r="AS11" s="957"/>
      <c r="AT11" s="957"/>
      <c r="AU11" s="957"/>
      <c r="AV11" s="957"/>
      <c r="AW11" s="957"/>
      <c r="AX11" s="957"/>
      <c r="AY11" s="957"/>
      <c r="AZ11" s="957"/>
      <c r="BA11" s="957"/>
      <c r="BB11" s="957"/>
      <c r="BC11" s="957"/>
      <c r="BD11" s="957"/>
      <c r="BE11" s="957"/>
      <c r="BF11" s="957"/>
      <c r="BG11" s="957"/>
    </row>
    <row r="12" spans="1:123">
      <c r="A12" s="2185"/>
      <c r="B12" s="2161" t="s">
        <v>7</v>
      </c>
      <c r="C12" s="2144" t="s">
        <v>13</v>
      </c>
      <c r="D12" s="556">
        <v>1</v>
      </c>
      <c r="E12" s="555">
        <v>1672</v>
      </c>
      <c r="F12" s="321" t="s">
        <v>15</v>
      </c>
      <c r="G12" s="18" t="s">
        <v>15</v>
      </c>
      <c r="H12" s="2">
        <v>1100.57</v>
      </c>
      <c r="I12" s="3">
        <v>3575.98</v>
      </c>
      <c r="J12" s="2293" t="s">
        <v>15</v>
      </c>
      <c r="K12" s="2312" t="s">
        <v>15</v>
      </c>
      <c r="L12" s="2293" t="s">
        <v>15</v>
      </c>
      <c r="M12" s="2312" t="s">
        <v>15</v>
      </c>
      <c r="N12" s="537">
        <v>0</v>
      </c>
      <c r="O12" s="455" t="s">
        <v>204</v>
      </c>
      <c r="P12" s="144" t="s">
        <v>204</v>
      </c>
      <c r="Q12" s="242">
        <f>60700.174558/T10</f>
        <v>0.12895209021338935</v>
      </c>
      <c r="R12" s="2129">
        <f>(N12*Q12)+(N13*Q13)+(N14*Q14)+(N15*Q15)</f>
        <v>-43.577890372043406</v>
      </c>
      <c r="S12" s="25">
        <v>0.86</v>
      </c>
      <c r="T12" s="121">
        <v>726.7</v>
      </c>
      <c r="U12" s="854"/>
      <c r="V12" s="2163"/>
      <c r="W12" s="452" t="s">
        <v>49</v>
      </c>
      <c r="X12" s="290" t="s">
        <v>54</v>
      </c>
      <c r="Y12" s="1317">
        <f>($R$5+($R$7*27)+$R$11+$R$12+$R$16+$R$22+($R$24*620)+$T$12)</f>
        <v>1081.624679917629</v>
      </c>
      <c r="Z12" s="2299"/>
      <c r="AA12" s="2298"/>
      <c r="AB12" s="917"/>
      <c r="AC12" s="37"/>
      <c r="AD12" s="20" t="s">
        <v>113</v>
      </c>
      <c r="AE12" s="276">
        <v>10032.458385551132</v>
      </c>
      <c r="AF12" s="106"/>
      <c r="AG12" s="37"/>
      <c r="AH12" s="957"/>
      <c r="AI12" s="957"/>
      <c r="AJ12" s="957"/>
      <c r="AK12" s="957"/>
      <c r="AL12" s="957"/>
      <c r="AM12" s="957"/>
      <c r="AN12" s="957"/>
      <c r="AO12" s="957"/>
      <c r="AP12" s="957"/>
      <c r="AQ12" s="957"/>
      <c r="AR12" s="957"/>
      <c r="AS12" s="957"/>
      <c r="AT12" s="957"/>
      <c r="AU12" s="957"/>
      <c r="AV12" s="957"/>
      <c r="AW12" s="957"/>
      <c r="AX12" s="957"/>
      <c r="AY12" s="957"/>
      <c r="AZ12" s="957"/>
      <c r="BA12" s="957"/>
      <c r="BB12" s="957"/>
      <c r="BC12" s="957"/>
      <c r="BD12" s="957"/>
      <c r="BE12" s="957"/>
      <c r="BF12" s="957"/>
      <c r="BG12" s="957"/>
    </row>
    <row r="13" spans="1:123">
      <c r="A13" s="2185"/>
      <c r="B13" s="2161"/>
      <c r="C13" s="2144"/>
      <c r="D13" s="556">
        <v>2</v>
      </c>
      <c r="E13" s="555">
        <v>1898</v>
      </c>
      <c r="F13" s="321" t="s">
        <v>15</v>
      </c>
      <c r="G13" s="18" t="s">
        <v>15</v>
      </c>
      <c r="H13" s="2">
        <v>1041.52</v>
      </c>
      <c r="I13" s="3">
        <v>4811.87</v>
      </c>
      <c r="J13" s="2293"/>
      <c r="K13" s="2312"/>
      <c r="L13" s="2293"/>
      <c r="M13" s="2312"/>
      <c r="N13" s="537">
        <v>-34.9</v>
      </c>
      <c r="O13" s="536">
        <v>-3.9</v>
      </c>
      <c r="P13" s="536">
        <v>8.86</v>
      </c>
      <c r="Q13" s="242">
        <f>127426.408523/T10</f>
        <v>0.27070600450621696</v>
      </c>
      <c r="R13" s="2252"/>
      <c r="S13" s="1313" t="s">
        <v>235</v>
      </c>
      <c r="T13" s="201" t="s">
        <v>391</v>
      </c>
      <c r="U13" s="854"/>
      <c r="V13" s="2163"/>
      <c r="W13" s="452" t="s">
        <v>47</v>
      </c>
      <c r="X13" s="452" t="s">
        <v>61</v>
      </c>
      <c r="Y13" s="1317">
        <f>($R$6+($R$7*19)+$R$11+$R$12+$R$16+$R$23+($R$24*620)+$T$12)</f>
        <v>381.44467991762906</v>
      </c>
      <c r="Z13" s="2299">
        <f>Y14-Y13</f>
        <v>31.692000000000007</v>
      </c>
      <c r="AA13" s="2323">
        <f>(620-528)*0.09</f>
        <v>8.2799999999999994</v>
      </c>
      <c r="AB13" s="917"/>
      <c r="AC13" s="37"/>
      <c r="AD13" s="20" t="s">
        <v>114</v>
      </c>
      <c r="AE13" s="276">
        <v>95.485955704731239</v>
      </c>
      <c r="AF13" s="106"/>
      <c r="AG13" s="37"/>
      <c r="AH13" s="957"/>
      <c r="AI13" s="957"/>
      <c r="AJ13" s="957"/>
      <c r="AK13" s="957"/>
      <c r="AL13" s="957"/>
      <c r="AM13" s="957"/>
      <c r="AN13" s="957"/>
      <c r="AO13" s="957"/>
      <c r="AP13" s="957"/>
      <c r="AQ13" s="957"/>
      <c r="AR13" s="957"/>
      <c r="AS13" s="957"/>
      <c r="AT13" s="957"/>
      <c r="AU13" s="957"/>
      <c r="AV13" s="957"/>
      <c r="AW13" s="957"/>
      <c r="AX13" s="957"/>
      <c r="AY13" s="957"/>
      <c r="AZ13" s="957"/>
      <c r="BA13" s="957"/>
      <c r="BB13" s="957"/>
      <c r="BC13" s="957"/>
      <c r="BD13" s="957"/>
      <c r="BE13" s="957"/>
      <c r="BF13" s="957"/>
      <c r="BG13" s="957"/>
    </row>
    <row r="14" spans="1:123">
      <c r="A14" s="2185"/>
      <c r="B14" s="2161"/>
      <c r="C14" s="2144"/>
      <c r="D14" s="556">
        <v>3</v>
      </c>
      <c r="E14" s="555">
        <v>1931</v>
      </c>
      <c r="F14" s="321" t="s">
        <v>15</v>
      </c>
      <c r="G14" s="18" t="s">
        <v>15</v>
      </c>
      <c r="H14" s="2">
        <v>971.45</v>
      </c>
      <c r="I14" s="3">
        <v>5386.66</v>
      </c>
      <c r="J14" s="2293"/>
      <c r="K14" s="2312"/>
      <c r="L14" s="2293"/>
      <c r="M14" s="2312"/>
      <c r="N14" s="537">
        <v>-42</v>
      </c>
      <c r="O14" s="536">
        <v>-4.9000000000000004</v>
      </c>
      <c r="P14" s="536">
        <v>8.5299999999999994</v>
      </c>
      <c r="Q14" s="242">
        <f>170075.404377/T10</f>
        <v>0.36130998053960456</v>
      </c>
      <c r="R14" s="2252"/>
      <c r="S14" s="1686">
        <v>383.459</v>
      </c>
      <c r="T14" s="207" t="s">
        <v>15</v>
      </c>
      <c r="U14" s="854"/>
      <c r="V14" s="2163"/>
      <c r="W14" s="452" t="s">
        <v>49</v>
      </c>
      <c r="X14" s="452" t="s">
        <v>60</v>
      </c>
      <c r="Y14" s="1317">
        <f>($R$5+($R$7*19)+$R$11+$R$12+$R$16+$R$23+($R$24*528)+$T$12)</f>
        <v>413.13667991762907</v>
      </c>
      <c r="Z14" s="2299"/>
      <c r="AA14" s="2298"/>
      <c r="AB14" s="917"/>
      <c r="AC14" s="37"/>
      <c r="AD14" s="20" t="s">
        <v>115</v>
      </c>
      <c r="AE14" s="276">
        <v>136.92236312178528</v>
      </c>
      <c r="AF14" s="106"/>
      <c r="AG14" s="37"/>
      <c r="AH14" s="957"/>
      <c r="AI14" s="957"/>
      <c r="AJ14" s="957"/>
      <c r="AK14" s="957"/>
      <c r="AL14" s="957"/>
      <c r="AM14" s="957"/>
      <c r="AN14" s="957"/>
      <c r="AO14" s="957"/>
      <c r="AP14" s="957"/>
      <c r="AQ14" s="957"/>
      <c r="AR14" s="957"/>
      <c r="AS14" s="957"/>
      <c r="AT14" s="957"/>
      <c r="AU14" s="957"/>
      <c r="AV14" s="957"/>
      <c r="AW14" s="957"/>
      <c r="AX14" s="957"/>
      <c r="AY14" s="957"/>
      <c r="AZ14" s="957"/>
      <c r="BA14" s="957"/>
      <c r="BB14" s="957"/>
      <c r="BC14" s="957"/>
      <c r="BD14" s="957"/>
      <c r="BE14" s="957"/>
      <c r="BF14" s="957"/>
      <c r="BG14" s="957"/>
    </row>
    <row r="15" spans="1:123">
      <c r="A15" s="2185"/>
      <c r="B15" s="2161"/>
      <c r="C15" s="2144"/>
      <c r="D15" s="556">
        <v>4</v>
      </c>
      <c r="E15" s="555">
        <v>1871</v>
      </c>
      <c r="F15" s="321" t="s">
        <v>15</v>
      </c>
      <c r="G15" s="18" t="s">
        <v>15</v>
      </c>
      <c r="H15" s="2">
        <v>1071.5999999999999</v>
      </c>
      <c r="I15" s="3">
        <v>4527.16</v>
      </c>
      <c r="J15" s="2293"/>
      <c r="K15" s="2312"/>
      <c r="L15" s="2293"/>
      <c r="M15" s="2312"/>
      <c r="N15" s="537">
        <v>-79.3</v>
      </c>
      <c r="O15" s="536">
        <v>-8.6999999999999993</v>
      </c>
      <c r="P15" s="536">
        <v>9.08</v>
      </c>
      <c r="Q15" s="242">
        <f>112516.823363/T10</f>
        <v>0.23903192474291354</v>
      </c>
      <c r="R15" s="2252"/>
      <c r="S15" s="123"/>
      <c r="T15" s="41"/>
      <c r="U15" s="854"/>
      <c r="V15" s="2163"/>
      <c r="W15" s="452" t="s">
        <v>47</v>
      </c>
      <c r="X15" s="452" t="s">
        <v>63</v>
      </c>
      <c r="Y15" s="1317">
        <f>($R$6+($R$7*19)+$R$11+$R$12+$R$16+$R$22+($R$24*639)+$T$12)</f>
        <v>893.9956799176291</v>
      </c>
      <c r="Z15" s="2299">
        <f>Y16-Y15</f>
        <v>33.576000000000022</v>
      </c>
      <c r="AA15" s="2323">
        <f>(639-543)*0.09</f>
        <v>8.64</v>
      </c>
      <c r="AB15" s="917"/>
      <c r="AC15" s="37"/>
      <c r="AD15" s="20" t="s">
        <v>116</v>
      </c>
      <c r="AE15" s="276">
        <v>-0.87069487877977902</v>
      </c>
      <c r="AF15" s="106"/>
      <c r="AG15" s="37"/>
      <c r="AH15" s="957"/>
      <c r="AI15" s="957"/>
      <c r="AJ15" s="957"/>
      <c r="AK15" s="957"/>
      <c r="AL15" s="957"/>
      <c r="AM15" s="957"/>
      <c r="AN15" s="957"/>
      <c r="AO15" s="957"/>
      <c r="AP15" s="957"/>
      <c r="AQ15" s="957"/>
      <c r="AR15" s="957"/>
      <c r="AS15" s="957"/>
      <c r="AT15" s="957"/>
      <c r="AU15" s="957"/>
      <c r="AV15" s="957"/>
      <c r="AW15" s="957"/>
      <c r="AX15" s="957"/>
      <c r="AY15" s="957"/>
      <c r="AZ15" s="957"/>
      <c r="BA15" s="957"/>
      <c r="BB15" s="957"/>
      <c r="BC15" s="957"/>
      <c r="BD15" s="957"/>
      <c r="BE15" s="957"/>
      <c r="BF15" s="957"/>
      <c r="BG15" s="957"/>
    </row>
    <row r="16" spans="1:123">
      <c r="A16" s="2185"/>
      <c r="B16" s="2161" t="s">
        <v>8</v>
      </c>
      <c r="C16" s="2144" t="s">
        <v>13</v>
      </c>
      <c r="D16" s="12" t="s">
        <v>20</v>
      </c>
      <c r="E16" s="555">
        <v>1980</v>
      </c>
      <c r="F16" s="321" t="s">
        <v>15</v>
      </c>
      <c r="G16" s="18" t="s">
        <v>15</v>
      </c>
      <c r="H16" s="2">
        <v>676.08</v>
      </c>
      <c r="I16" s="3">
        <v>3414.63</v>
      </c>
      <c r="J16" s="2293" t="s">
        <v>15</v>
      </c>
      <c r="K16" s="2312" t="s">
        <v>15</v>
      </c>
      <c r="L16" s="2293" t="s">
        <v>15</v>
      </c>
      <c r="M16" s="2312" t="s">
        <v>15</v>
      </c>
      <c r="N16" s="537">
        <v>0</v>
      </c>
      <c r="O16" s="455" t="s">
        <v>204</v>
      </c>
      <c r="P16" s="144" t="s">
        <v>204</v>
      </c>
      <c r="Q16" s="242">
        <f>186073.54141/T10</f>
        <v>0.39529659136811801</v>
      </c>
      <c r="R16" s="2252">
        <f>SUMPRODUCT(N16:N21,Q16:Q21)</f>
        <v>86.622570289672353</v>
      </c>
      <c r="S16" s="123"/>
      <c r="T16" s="41"/>
      <c r="U16" s="854"/>
      <c r="V16" s="2163"/>
      <c r="W16" s="452" t="s">
        <v>49</v>
      </c>
      <c r="X16" s="452" t="s">
        <v>62</v>
      </c>
      <c r="Y16" s="1317">
        <f>($R$5+($R$7*19)+$R$11+$R$12+$R$16+$R$22+($R$24*543)+$T$12)</f>
        <v>927.57167991762913</v>
      </c>
      <c r="Z16" s="2299"/>
      <c r="AA16" s="2298"/>
      <c r="AB16" s="917"/>
      <c r="AC16" s="37"/>
      <c r="AD16" s="20" t="s">
        <v>117</v>
      </c>
      <c r="AE16" s="276">
        <v>136.05166824300551</v>
      </c>
      <c r="AF16" s="106"/>
      <c r="AG16" s="37"/>
      <c r="AH16" s="957"/>
      <c r="AI16" s="957"/>
      <c r="AJ16" s="957"/>
      <c r="AK16" s="957"/>
      <c r="AL16" s="957"/>
      <c r="AM16" s="957"/>
      <c r="AN16" s="957"/>
      <c r="AO16" s="957"/>
      <c r="AP16" s="957"/>
      <c r="AQ16" s="957"/>
      <c r="AR16" s="957"/>
      <c r="AS16" s="957"/>
      <c r="AT16" s="957"/>
      <c r="AU16" s="957"/>
      <c r="AV16" s="957"/>
      <c r="AW16" s="957"/>
      <c r="AX16" s="957"/>
      <c r="AY16" s="957"/>
      <c r="AZ16" s="957"/>
      <c r="BA16" s="957"/>
      <c r="BB16" s="957"/>
      <c r="BC16" s="957"/>
      <c r="BD16" s="957"/>
      <c r="BE16" s="957"/>
      <c r="BF16" s="957"/>
      <c r="BG16" s="957"/>
    </row>
    <row r="17" spans="1:113">
      <c r="A17" s="2185"/>
      <c r="B17" s="2161"/>
      <c r="C17" s="2144"/>
      <c r="D17" s="12" t="s">
        <v>34</v>
      </c>
      <c r="E17" s="555">
        <v>275</v>
      </c>
      <c r="F17" s="321" t="s">
        <v>15</v>
      </c>
      <c r="G17" s="18" t="s">
        <v>15</v>
      </c>
      <c r="H17" s="2">
        <v>894.58</v>
      </c>
      <c r="I17" s="3">
        <v>1292.82</v>
      </c>
      <c r="J17" s="2293"/>
      <c r="K17" s="2312"/>
      <c r="L17" s="2293"/>
      <c r="M17" s="2312"/>
      <c r="N17" s="537">
        <v>71.513999999999996</v>
      </c>
      <c r="O17" s="536">
        <v>2.5099999999999998</v>
      </c>
      <c r="P17" s="536">
        <v>28.51</v>
      </c>
      <c r="Q17" s="242">
        <f>4073.205648/T10</f>
        <v>8.6531609835273169E-3</v>
      </c>
      <c r="R17" s="2252"/>
      <c r="S17" s="123"/>
      <c r="T17" s="41"/>
      <c r="U17" s="854"/>
      <c r="V17" s="2163"/>
      <c r="W17" s="452" t="s">
        <v>47</v>
      </c>
      <c r="X17" s="452" t="s">
        <v>64</v>
      </c>
      <c r="Y17" s="1317">
        <f>($R$6+($R$7*22.5)+$R$9+$R$12+$R$16+$R$23+($R$24*532)+$T$12)</f>
        <v>663.35667991762898</v>
      </c>
      <c r="Z17" s="2299">
        <f>Y18-Y17</f>
        <v>26.039999999999964</v>
      </c>
      <c r="AA17" s="2323">
        <f>(532-452)*0.09</f>
        <v>7.1999999999999993</v>
      </c>
      <c r="AB17" s="917"/>
      <c r="AC17" s="37"/>
      <c r="AD17" s="20" t="s">
        <v>118</v>
      </c>
      <c r="AE17" s="276">
        <v>9904.4391376623007</v>
      </c>
      <c r="AF17" s="106"/>
      <c r="AG17" s="37"/>
      <c r="AH17" s="957"/>
      <c r="AI17" s="957"/>
      <c r="AJ17" s="957"/>
      <c r="AK17" s="957"/>
      <c r="AL17" s="957"/>
      <c r="AM17" s="957"/>
      <c r="AN17" s="957"/>
      <c r="AO17" s="957"/>
      <c r="AP17" s="957"/>
      <c r="AQ17" s="957"/>
      <c r="AR17" s="957"/>
      <c r="AS17" s="957"/>
      <c r="AT17" s="957"/>
      <c r="AU17" s="957"/>
      <c r="AV17" s="957"/>
      <c r="AW17" s="957"/>
      <c r="AX17" s="957"/>
      <c r="AY17" s="957"/>
      <c r="AZ17" s="957"/>
      <c r="BA17" s="957"/>
      <c r="BB17" s="957"/>
      <c r="BC17" s="957"/>
      <c r="BD17" s="957"/>
      <c r="BE17" s="957"/>
      <c r="BF17" s="957"/>
      <c r="BG17" s="957"/>
    </row>
    <row r="18" spans="1:113">
      <c r="A18" s="2185"/>
      <c r="B18" s="2161"/>
      <c r="C18" s="2144"/>
      <c r="D18" s="12" t="s">
        <v>35</v>
      </c>
      <c r="E18" s="555">
        <v>1648</v>
      </c>
      <c r="F18" s="321" t="s">
        <v>15</v>
      </c>
      <c r="G18" s="18" t="s">
        <v>15</v>
      </c>
      <c r="H18" s="2">
        <v>921.55</v>
      </c>
      <c r="I18" s="3">
        <v>3151.23</v>
      </c>
      <c r="J18" s="2293"/>
      <c r="K18" s="2312"/>
      <c r="L18" s="2293"/>
      <c r="M18" s="2312"/>
      <c r="N18" s="537">
        <v>14.769</v>
      </c>
      <c r="O18" s="536">
        <v>1.92</v>
      </c>
      <c r="P18" s="536">
        <v>7.71</v>
      </c>
      <c r="Q18" s="242">
        <f>86991.42473/T10</f>
        <v>0.18480549901640744</v>
      </c>
      <c r="R18" s="2252"/>
      <c r="S18" s="123"/>
      <c r="T18" s="41"/>
      <c r="U18" s="854"/>
      <c r="V18" s="2163"/>
      <c r="W18" s="452" t="s">
        <v>49</v>
      </c>
      <c r="X18" s="452" t="s">
        <v>65</v>
      </c>
      <c r="Y18" s="1317">
        <f>($R$5+($R$7*22.5)+$R$9+$R$12+$R$16+$R$23+($R$24*452)+$T$12)</f>
        <v>689.39667991762894</v>
      </c>
      <c r="Z18" s="2299"/>
      <c r="AA18" s="2298"/>
      <c r="AB18" s="917"/>
      <c r="AC18" s="37"/>
      <c r="AD18" s="20" t="s">
        <v>97</v>
      </c>
      <c r="AE18" s="276">
        <v>56608</v>
      </c>
      <c r="AF18" s="106"/>
      <c r="AG18" s="37"/>
      <c r="AH18" s="957"/>
      <c r="AI18" s="957"/>
      <c r="AJ18" s="957"/>
      <c r="AK18" s="957"/>
      <c r="AL18" s="957"/>
      <c r="AM18" s="957"/>
      <c r="AN18" s="957"/>
      <c r="AO18" s="957"/>
      <c r="AP18" s="957"/>
      <c r="AQ18" s="957"/>
      <c r="AR18" s="957"/>
      <c r="AS18" s="957"/>
      <c r="AT18" s="957"/>
      <c r="AU18" s="957"/>
      <c r="AV18" s="957"/>
      <c r="AW18" s="957"/>
      <c r="AX18" s="957"/>
      <c r="AY18" s="957"/>
      <c r="AZ18" s="957"/>
      <c r="BA18" s="957"/>
      <c r="BB18" s="957"/>
      <c r="BC18" s="957"/>
      <c r="BD18" s="957"/>
      <c r="BE18" s="957"/>
      <c r="BF18" s="957"/>
      <c r="BG18" s="957"/>
    </row>
    <row r="19" spans="1:113">
      <c r="A19" s="2185"/>
      <c r="B19" s="2161"/>
      <c r="C19" s="2144"/>
      <c r="D19" s="12" t="s">
        <v>36</v>
      </c>
      <c r="E19" s="555">
        <v>203</v>
      </c>
      <c r="F19" s="321" t="s">
        <v>15</v>
      </c>
      <c r="G19" s="18" t="s">
        <v>15</v>
      </c>
      <c r="H19" s="2">
        <v>974.08</v>
      </c>
      <c r="I19" s="3">
        <v>2102.31</v>
      </c>
      <c r="J19" s="2293"/>
      <c r="K19" s="2312"/>
      <c r="L19" s="2293"/>
      <c r="M19" s="2312"/>
      <c r="N19" s="537">
        <v>169.16900000000001</v>
      </c>
      <c r="O19" s="536">
        <v>6.17</v>
      </c>
      <c r="P19" s="536">
        <v>27.42</v>
      </c>
      <c r="Q19" s="242">
        <f>4522.234897/T10</f>
        <v>9.6070834499309508E-3</v>
      </c>
      <c r="R19" s="2252"/>
      <c r="S19" s="123"/>
      <c r="T19" s="41"/>
      <c r="U19" s="854"/>
      <c r="V19" s="2163"/>
      <c r="W19" s="452" t="s">
        <v>47</v>
      </c>
      <c r="X19" s="452" t="s">
        <v>67</v>
      </c>
      <c r="Y19" s="1317">
        <f>($R$6+($R$7*17.5)+$R$9+$R$12+$R$16+$R$23+($R$24*469)+$T$12)</f>
        <v>574.07967991762894</v>
      </c>
      <c r="Z19" s="2299">
        <f>Y20-Y19</f>
        <v>21.330000000000041</v>
      </c>
      <c r="AA19" s="2323">
        <f>(469-399)*0.09</f>
        <v>6.3</v>
      </c>
      <c r="AB19" s="917"/>
      <c r="AC19" s="37"/>
      <c r="AD19" s="498"/>
      <c r="AE19" s="40"/>
      <c r="AF19" s="106"/>
      <c r="AG19" s="37"/>
      <c r="AH19" s="957"/>
      <c r="AI19" s="957"/>
      <c r="AJ19" s="957"/>
      <c r="AK19" s="957"/>
      <c r="AL19" s="957"/>
      <c r="AM19" s="957"/>
      <c r="AN19" s="957"/>
      <c r="AO19" s="957"/>
      <c r="AP19" s="957"/>
      <c r="AQ19" s="957"/>
      <c r="AR19" s="957"/>
      <c r="AS19" s="957"/>
      <c r="AT19" s="957"/>
      <c r="AU19" s="957"/>
      <c r="AV19" s="957"/>
      <c r="AW19" s="957"/>
      <c r="AX19" s="957"/>
      <c r="AY19" s="957"/>
      <c r="AZ19" s="957"/>
      <c r="BA19" s="957"/>
      <c r="BB19" s="957"/>
      <c r="BC19" s="957"/>
      <c r="BD19" s="957"/>
      <c r="BE19" s="957"/>
      <c r="BF19" s="957"/>
      <c r="BG19" s="957"/>
    </row>
    <row r="20" spans="1:113">
      <c r="A20" s="2185"/>
      <c r="B20" s="2161"/>
      <c r="C20" s="2144"/>
      <c r="D20" s="12" t="s">
        <v>37</v>
      </c>
      <c r="E20" s="555">
        <v>2477</v>
      </c>
      <c r="F20" s="321" t="s">
        <v>15</v>
      </c>
      <c r="G20" s="18" t="s">
        <v>15</v>
      </c>
      <c r="H20" s="2">
        <v>1557.92</v>
      </c>
      <c r="I20" s="3">
        <v>4374.76</v>
      </c>
      <c r="J20" s="2293"/>
      <c r="K20" s="2312"/>
      <c r="L20" s="2293"/>
      <c r="M20" s="2312"/>
      <c r="N20" s="537">
        <v>250.38</v>
      </c>
      <c r="O20" s="536">
        <v>32.31</v>
      </c>
      <c r="P20" s="536">
        <v>7.75</v>
      </c>
      <c r="Q20" s="242">
        <f>146741.36123/T10</f>
        <v>0.31173889349009465</v>
      </c>
      <c r="R20" s="2252"/>
      <c r="S20" s="123"/>
      <c r="T20" s="41"/>
      <c r="U20" s="854"/>
      <c r="V20" s="2163"/>
      <c r="W20" s="452" t="s">
        <v>49</v>
      </c>
      <c r="X20" s="452" t="s">
        <v>66</v>
      </c>
      <c r="Y20" s="1317">
        <f>($R$5+($R$7*17.5)+$R$9+$R$12+$R$16+$R$23+($R$24*399)+$T$12)</f>
        <v>595.40967991762898</v>
      </c>
      <c r="Z20" s="2299"/>
      <c r="AA20" s="2298"/>
      <c r="AB20" s="917"/>
      <c r="AC20" s="37"/>
      <c r="AD20" s="499"/>
      <c r="AE20" s="37"/>
      <c r="AF20" s="106"/>
      <c r="AG20" s="37"/>
      <c r="AH20" s="957"/>
      <c r="AI20" s="957"/>
      <c r="AJ20" s="957"/>
      <c r="AK20" s="957"/>
      <c r="AL20" s="957"/>
      <c r="AM20" s="957"/>
      <c r="AN20" s="957"/>
      <c r="AO20" s="957"/>
      <c r="AP20" s="957"/>
      <c r="AQ20" s="957"/>
      <c r="AR20" s="957"/>
      <c r="AS20" s="957"/>
      <c r="AT20" s="957"/>
      <c r="AU20" s="957"/>
      <c r="AV20" s="957"/>
      <c r="AW20" s="957"/>
      <c r="AX20" s="957"/>
      <c r="AY20" s="957"/>
      <c r="AZ20" s="957"/>
      <c r="BA20" s="957"/>
      <c r="BB20" s="957"/>
      <c r="BC20" s="957"/>
      <c r="BD20" s="957"/>
      <c r="BE20" s="957"/>
      <c r="BF20" s="957"/>
      <c r="BG20" s="957"/>
    </row>
    <row r="21" spans="1:113">
      <c r="A21" s="2185"/>
      <c r="B21" s="2161"/>
      <c r="C21" s="2144"/>
      <c r="D21" s="12" t="s">
        <v>38</v>
      </c>
      <c r="E21" s="555">
        <v>789</v>
      </c>
      <c r="F21" s="321" t="s">
        <v>15</v>
      </c>
      <c r="G21" s="18" t="s">
        <v>15</v>
      </c>
      <c r="H21" s="2">
        <v>1008.76</v>
      </c>
      <c r="I21" s="3">
        <v>3025.57</v>
      </c>
      <c r="J21" s="2293"/>
      <c r="K21" s="2312"/>
      <c r="L21" s="2293"/>
      <c r="M21" s="2312"/>
      <c r="N21" s="537">
        <v>40</v>
      </c>
      <c r="O21" s="536">
        <v>3.96</v>
      </c>
      <c r="P21" s="536">
        <v>10.1</v>
      </c>
      <c r="Q21" s="242">
        <f>42317.042908/T10</f>
        <v>8.9898771698294799E-2</v>
      </c>
      <c r="R21" s="2252"/>
      <c r="S21" s="123"/>
      <c r="T21" s="41"/>
      <c r="U21" s="854"/>
      <c r="V21" s="2163"/>
      <c r="W21" s="452" t="s">
        <v>47</v>
      </c>
      <c r="X21" s="452" t="s">
        <v>52</v>
      </c>
      <c r="Y21" s="1317">
        <f>($R$6+($R$7*12.5)+$R$9+$R$12+$R$16+$R$23+($R$24*420)+$T$12)</f>
        <v>478.20867991762896</v>
      </c>
      <c r="Z21" s="2299">
        <f>Y22-Y21</f>
        <v>18.033000000000015</v>
      </c>
      <c r="AA21" s="2323">
        <f>(420-357)*0.09</f>
        <v>5.67</v>
      </c>
      <c r="AB21" s="917"/>
      <c r="AC21" s="37"/>
      <c r="AD21" s="499"/>
      <c r="AE21" s="37"/>
      <c r="AF21" s="106"/>
      <c r="AG21" s="37"/>
      <c r="AH21" s="957"/>
      <c r="AI21" s="957"/>
      <c r="AJ21" s="957"/>
      <c r="AK21" s="957"/>
      <c r="AL21" s="957"/>
      <c r="AM21" s="957"/>
      <c r="AN21" s="957"/>
      <c r="AO21" s="957"/>
      <c r="AP21" s="957"/>
      <c r="AQ21" s="957"/>
      <c r="AR21" s="957"/>
      <c r="AS21" s="957"/>
      <c r="AT21" s="957"/>
      <c r="AU21" s="957"/>
      <c r="AV21" s="957"/>
      <c r="AW21" s="957"/>
      <c r="AX21" s="957"/>
      <c r="AY21" s="957"/>
      <c r="AZ21" s="957"/>
      <c r="BA21" s="957"/>
      <c r="BB21" s="957"/>
      <c r="BC21" s="957"/>
      <c r="BD21" s="957"/>
      <c r="BE21" s="957"/>
      <c r="BF21" s="957"/>
      <c r="BG21" s="957"/>
    </row>
    <row r="22" spans="1:113">
      <c r="A22" s="2185"/>
      <c r="B22" s="2161" t="s">
        <v>9</v>
      </c>
      <c r="C22" s="2144" t="s">
        <v>11</v>
      </c>
      <c r="D22" s="12" t="s">
        <v>33</v>
      </c>
      <c r="E22" s="555">
        <v>4072</v>
      </c>
      <c r="F22" s="321" t="s">
        <v>15</v>
      </c>
      <c r="G22" s="18" t="s">
        <v>15</v>
      </c>
      <c r="H22" s="2">
        <v>1392.81</v>
      </c>
      <c r="I22" s="3">
        <v>4147.99</v>
      </c>
      <c r="J22" s="2237" t="s">
        <v>11</v>
      </c>
      <c r="K22" s="12" t="s">
        <v>33</v>
      </c>
      <c r="L22" s="2237" t="s">
        <v>11</v>
      </c>
      <c r="M22" s="12" t="s">
        <v>33</v>
      </c>
      <c r="N22" s="537">
        <v>521.5</v>
      </c>
      <c r="O22" s="536">
        <v>42.9</v>
      </c>
      <c r="P22" s="536">
        <v>12.15</v>
      </c>
      <c r="Q22" s="208" t="s">
        <v>15</v>
      </c>
      <c r="R22" s="260">
        <v>521.5</v>
      </c>
      <c r="S22" s="123"/>
      <c r="T22" s="41"/>
      <c r="U22" s="854"/>
      <c r="V22" s="2164"/>
      <c r="W22" s="25" t="s">
        <v>49</v>
      </c>
      <c r="X22" s="25" t="s">
        <v>53</v>
      </c>
      <c r="Y22" s="1317">
        <f>($R$5+($R$7*12.5)+$R$9+$R$12+$R$16+$R$23+($R$24*357)+$T$12)</f>
        <v>496.24167991762897</v>
      </c>
      <c r="Z22" s="2323"/>
      <c r="AA22" s="2357"/>
      <c r="AB22" s="917"/>
      <c r="AC22" s="37"/>
      <c r="AD22" s="499"/>
      <c r="AE22" s="37"/>
      <c r="AF22" s="106"/>
      <c r="AG22" s="37"/>
      <c r="AH22" s="957"/>
      <c r="AI22" s="957"/>
      <c r="AJ22" s="957"/>
      <c r="AK22" s="957"/>
      <c r="AL22" s="957"/>
      <c r="AM22" s="957"/>
      <c r="AN22" s="957"/>
      <c r="AO22" s="957"/>
      <c r="AP22" s="957"/>
      <c r="AQ22" s="957"/>
      <c r="AR22" s="957"/>
      <c r="AS22" s="957"/>
      <c r="AT22" s="957"/>
      <c r="AU22" s="957"/>
      <c r="AV22" s="957"/>
      <c r="AW22" s="957"/>
      <c r="AX22" s="957"/>
      <c r="AY22" s="957"/>
      <c r="AZ22" s="957"/>
      <c r="BA22" s="957"/>
      <c r="BB22" s="957"/>
      <c r="BC22" s="957"/>
      <c r="BD22" s="957"/>
      <c r="BE22" s="957"/>
      <c r="BF22" s="957"/>
      <c r="BG22" s="957"/>
    </row>
    <row r="23" spans="1:113">
      <c r="A23" s="2185"/>
      <c r="B23" s="2161"/>
      <c r="C23" s="2144"/>
      <c r="D23" s="12" t="s">
        <v>32</v>
      </c>
      <c r="E23" s="555">
        <v>3300</v>
      </c>
      <c r="F23" s="321" t="s">
        <v>15</v>
      </c>
      <c r="G23" s="18" t="s">
        <v>15</v>
      </c>
      <c r="H23" s="2">
        <v>698.46</v>
      </c>
      <c r="I23" s="3">
        <v>3211.98</v>
      </c>
      <c r="J23" s="2237"/>
      <c r="K23" s="12" t="s">
        <v>32</v>
      </c>
      <c r="L23" s="2237"/>
      <c r="M23" s="12" t="s">
        <v>32</v>
      </c>
      <c r="N23" s="537">
        <v>0</v>
      </c>
      <c r="O23" s="455" t="s">
        <v>204</v>
      </c>
      <c r="P23" s="144" t="s">
        <v>204</v>
      </c>
      <c r="Q23" s="208" t="s">
        <v>15</v>
      </c>
      <c r="R23" s="260">
        <v>0</v>
      </c>
      <c r="S23" s="123"/>
      <c r="T23" s="41"/>
      <c r="U23" s="854"/>
      <c r="V23" s="22"/>
      <c r="W23" s="27"/>
      <c r="X23" s="27"/>
      <c r="Y23" s="39"/>
      <c r="Z23" s="39"/>
      <c r="AA23" s="39"/>
      <c r="AB23" s="846"/>
      <c r="AC23" s="37"/>
      <c r="AD23" s="499"/>
      <c r="AE23" s="37"/>
      <c r="AF23" s="106"/>
      <c r="AG23" s="37"/>
      <c r="AH23" s="957"/>
      <c r="AI23" s="957"/>
      <c r="AJ23" s="957"/>
      <c r="AK23" s="957"/>
      <c r="AL23" s="957"/>
      <c r="AM23" s="957"/>
      <c r="AN23" s="957"/>
      <c r="AO23" s="957"/>
      <c r="AP23" s="957"/>
      <c r="AQ23" s="957"/>
      <c r="AR23" s="957"/>
      <c r="AS23" s="957"/>
      <c r="AT23" s="957"/>
      <c r="AU23" s="957"/>
      <c r="AV23" s="957"/>
      <c r="AW23" s="957"/>
      <c r="AX23" s="957"/>
      <c r="AY23" s="957"/>
      <c r="AZ23" s="957"/>
      <c r="BA23" s="957"/>
      <c r="BB23" s="957"/>
      <c r="BC23" s="957"/>
      <c r="BD23" s="957"/>
      <c r="BE23" s="957"/>
      <c r="BF23" s="957"/>
      <c r="BG23" s="957"/>
    </row>
    <row r="24" spans="1:113">
      <c r="A24" s="2185"/>
      <c r="B24" s="984" t="s">
        <v>10</v>
      </c>
      <c r="C24" s="981" t="s">
        <v>12</v>
      </c>
      <c r="D24" s="12" t="s">
        <v>21</v>
      </c>
      <c r="E24" s="555">
        <v>7372</v>
      </c>
      <c r="F24" s="555">
        <v>511.8</v>
      </c>
      <c r="G24" s="17">
        <v>77.400000000000006</v>
      </c>
      <c r="H24" s="2">
        <v>1031.01</v>
      </c>
      <c r="I24" s="3">
        <v>4669.4399999999996</v>
      </c>
      <c r="J24" s="658" t="s">
        <v>14</v>
      </c>
      <c r="K24" s="12" t="s">
        <v>24</v>
      </c>
      <c r="L24" s="16" t="s">
        <v>15</v>
      </c>
      <c r="M24" s="13" t="s">
        <v>15</v>
      </c>
      <c r="N24" s="537">
        <v>-0.47099999999999997</v>
      </c>
      <c r="O24" s="536">
        <v>-5.2</v>
      </c>
      <c r="P24" s="536">
        <v>0.09</v>
      </c>
      <c r="Q24" s="208" t="s">
        <v>15</v>
      </c>
      <c r="R24" s="260">
        <v>-0.47099999999999997</v>
      </c>
      <c r="S24" s="123"/>
      <c r="T24" s="41"/>
      <c r="U24" s="854"/>
      <c r="V24" s="24"/>
      <c r="W24" s="26"/>
      <c r="X24" s="26"/>
      <c r="Y24" s="41"/>
      <c r="Z24" s="41"/>
      <c r="AA24" s="41"/>
      <c r="AB24" s="846"/>
      <c r="AC24" s="37"/>
      <c r="AD24" s="499"/>
      <c r="AE24" s="37"/>
      <c r="AF24" s="106"/>
      <c r="AG24" s="37"/>
      <c r="AH24" s="957"/>
      <c r="AI24" s="957"/>
      <c r="AJ24" s="957"/>
      <c r="AK24" s="957"/>
      <c r="AL24" s="957"/>
      <c r="AM24" s="957"/>
      <c r="AN24" s="957"/>
      <c r="AO24" s="957"/>
      <c r="AP24" s="957"/>
      <c r="AQ24" s="957"/>
      <c r="AR24" s="957"/>
      <c r="AS24" s="957"/>
      <c r="AT24" s="957"/>
      <c r="AU24" s="957"/>
      <c r="AV24" s="957"/>
      <c r="AW24" s="957"/>
      <c r="AX24" s="957"/>
      <c r="AY24" s="957"/>
      <c r="AZ24" s="957"/>
      <c r="BA24" s="957"/>
      <c r="BB24" s="957"/>
      <c r="BC24" s="957"/>
      <c r="BD24" s="957"/>
      <c r="BE24" s="957"/>
      <c r="BF24" s="957"/>
      <c r="BG24" s="957"/>
    </row>
    <row r="25" spans="1:113">
      <c r="A25" s="2185"/>
      <c r="B25" s="2161" t="s">
        <v>27</v>
      </c>
      <c r="C25" s="2310" t="s">
        <v>15</v>
      </c>
      <c r="D25" s="2312" t="s">
        <v>15</v>
      </c>
      <c r="E25" s="14" t="s">
        <v>15</v>
      </c>
      <c r="F25" s="13" t="s">
        <v>15</v>
      </c>
      <c r="G25" s="13" t="s">
        <v>15</v>
      </c>
      <c r="H25" s="13" t="s">
        <v>15</v>
      </c>
      <c r="I25" s="13" t="s">
        <v>15</v>
      </c>
      <c r="J25" s="2293" t="s">
        <v>15</v>
      </c>
      <c r="K25" s="2312" t="s">
        <v>15</v>
      </c>
      <c r="L25" s="2303" t="s">
        <v>11</v>
      </c>
      <c r="M25" s="1172" t="s">
        <v>33</v>
      </c>
      <c r="N25" s="1191" t="s">
        <v>15</v>
      </c>
      <c r="O25" s="456" t="s">
        <v>15</v>
      </c>
      <c r="P25" s="456"/>
      <c r="Q25" s="208" t="s">
        <v>15</v>
      </c>
      <c r="R25" s="245" t="s">
        <v>15</v>
      </c>
      <c r="S25" s="123"/>
      <c r="T25" s="41"/>
      <c r="U25" s="854"/>
      <c r="V25" s="24"/>
      <c r="W25" s="26"/>
      <c r="X25" s="26"/>
      <c r="Y25" s="41"/>
      <c r="Z25" s="41"/>
      <c r="AA25" s="41"/>
      <c r="AB25" s="846"/>
      <c r="AC25" s="37"/>
      <c r="AD25" s="499"/>
      <c r="AE25" s="37"/>
      <c r="AF25" s="106"/>
      <c r="AG25" s="37"/>
      <c r="AH25" s="957"/>
      <c r="AI25" s="957"/>
      <c r="AJ25" s="957"/>
      <c r="AK25" s="957"/>
      <c r="AL25" s="957"/>
      <c r="AM25" s="957"/>
      <c r="AN25" s="957"/>
      <c r="AO25" s="957"/>
      <c r="AP25" s="957"/>
      <c r="AQ25" s="957"/>
      <c r="AR25" s="957"/>
      <c r="AS25" s="957"/>
      <c r="AT25" s="957"/>
      <c r="AU25" s="957"/>
      <c r="AV25" s="957"/>
      <c r="AW25" s="957"/>
      <c r="AX25" s="957"/>
      <c r="AY25" s="957"/>
      <c r="AZ25" s="957"/>
      <c r="BA25" s="957"/>
      <c r="BB25" s="957"/>
      <c r="BC25" s="957"/>
      <c r="BD25" s="957"/>
      <c r="BE25" s="957"/>
      <c r="BF25" s="957"/>
      <c r="BG25" s="957"/>
    </row>
    <row r="26" spans="1:113" ht="15.75" thickBot="1">
      <c r="A26" s="2309"/>
      <c r="B26" s="2191"/>
      <c r="C26" s="2311"/>
      <c r="D26" s="2313"/>
      <c r="E26" s="45" t="s">
        <v>15</v>
      </c>
      <c r="F26" s="38" t="s">
        <v>15</v>
      </c>
      <c r="G26" s="38" t="s">
        <v>15</v>
      </c>
      <c r="H26" s="38" t="s">
        <v>15</v>
      </c>
      <c r="I26" s="38" t="s">
        <v>15</v>
      </c>
      <c r="J26" s="2314"/>
      <c r="K26" s="2313"/>
      <c r="L26" s="2336"/>
      <c r="M26" s="1173" t="s">
        <v>32</v>
      </c>
      <c r="N26" s="1192" t="s">
        <v>15</v>
      </c>
      <c r="O26" s="457" t="s">
        <v>15</v>
      </c>
      <c r="P26" s="457"/>
      <c r="Q26" s="243" t="s">
        <v>15</v>
      </c>
      <c r="R26" s="247" t="s">
        <v>15</v>
      </c>
      <c r="S26" s="123"/>
      <c r="T26" s="41"/>
      <c r="U26" s="854"/>
      <c r="V26" s="24"/>
      <c r="W26" s="26"/>
      <c r="X26" s="26"/>
      <c r="Y26" s="41"/>
      <c r="Z26" s="41"/>
      <c r="AA26" s="41"/>
      <c r="AB26" s="846"/>
      <c r="AC26" s="907"/>
      <c r="AD26" s="500"/>
      <c r="AE26" s="907"/>
      <c r="AF26" s="106"/>
      <c r="AG26" s="37"/>
      <c r="AH26" s="957"/>
      <c r="AI26" s="957"/>
      <c r="AJ26" s="957"/>
      <c r="AK26" s="957"/>
      <c r="AL26" s="957"/>
      <c r="AM26" s="957"/>
      <c r="AN26" s="957"/>
      <c r="AO26" s="957"/>
      <c r="AP26" s="957"/>
      <c r="AQ26" s="957"/>
      <c r="AR26" s="957"/>
      <c r="AS26" s="957"/>
      <c r="AT26" s="957"/>
      <c r="AU26" s="957"/>
      <c r="AV26" s="957"/>
      <c r="AW26" s="957"/>
      <c r="AX26" s="957"/>
      <c r="AY26" s="957"/>
      <c r="AZ26" s="957"/>
      <c r="BA26" s="957"/>
      <c r="BB26" s="957"/>
      <c r="BC26" s="957"/>
      <c r="BD26" s="957"/>
      <c r="BE26" s="957"/>
      <c r="BF26" s="957"/>
      <c r="BG26" s="957"/>
    </row>
    <row r="27" spans="1:113" s="692" customFormat="1" ht="9" customHeight="1" thickBot="1">
      <c r="A27" s="695"/>
      <c r="B27" s="815"/>
      <c r="C27" s="684"/>
      <c r="D27" s="683"/>
      <c r="E27" s="683"/>
      <c r="F27" s="683"/>
      <c r="G27" s="683"/>
      <c r="H27" s="683"/>
      <c r="I27" s="683"/>
      <c r="J27" s="682"/>
      <c r="K27" s="683"/>
      <c r="L27" s="682"/>
      <c r="M27" s="685"/>
      <c r="N27" s="1189"/>
      <c r="O27" s="686"/>
      <c r="P27" s="686"/>
      <c r="Q27" s="687"/>
      <c r="R27" s="687"/>
      <c r="S27" s="688"/>
      <c r="T27" s="688"/>
      <c r="U27" s="854"/>
      <c r="V27" s="893"/>
      <c r="W27" s="685"/>
      <c r="X27" s="685"/>
      <c r="Y27" s="688"/>
      <c r="Z27" s="688"/>
      <c r="AA27" s="688"/>
      <c r="AB27" s="846"/>
      <c r="AC27" s="685"/>
      <c r="AD27" s="685"/>
      <c r="AE27" s="685"/>
      <c r="AF27" s="689"/>
      <c r="AG27" s="685"/>
      <c r="AH27" s="959"/>
      <c r="AI27" s="959"/>
      <c r="AJ27" s="959"/>
      <c r="AK27" s="959"/>
      <c r="AL27" s="959"/>
      <c r="AM27" s="959"/>
      <c r="AN27" s="959"/>
      <c r="AO27" s="959"/>
      <c r="AP27" s="959"/>
      <c r="AQ27" s="959"/>
      <c r="AR27" s="959"/>
      <c r="AS27" s="959"/>
      <c r="AT27" s="959"/>
      <c r="AU27" s="959"/>
      <c r="AV27" s="959"/>
      <c r="AW27" s="959"/>
      <c r="AX27" s="959"/>
      <c r="AY27" s="959"/>
      <c r="AZ27" s="959"/>
      <c r="BA27" s="959"/>
      <c r="BB27" s="959"/>
      <c r="BC27" s="959"/>
      <c r="BD27" s="959"/>
      <c r="BE27" s="959"/>
      <c r="BF27" s="959"/>
      <c r="BG27" s="959"/>
      <c r="BH27" s="1125"/>
      <c r="DI27" s="693"/>
    </row>
    <row r="28" spans="1:113" s="7" customFormat="1" ht="15" customHeight="1">
      <c r="A28" s="2171" t="s">
        <v>1142</v>
      </c>
      <c r="B28" s="816" t="s">
        <v>673</v>
      </c>
      <c r="C28" s="809" t="s">
        <v>12</v>
      </c>
      <c r="D28" s="401" t="s">
        <v>674</v>
      </c>
      <c r="E28" s="402">
        <v>512</v>
      </c>
      <c r="F28" s="424">
        <v>2.0779730000000001</v>
      </c>
      <c r="G28" s="424">
        <v>0.45387300000000003</v>
      </c>
      <c r="H28" s="367">
        <v>563.16570000000002</v>
      </c>
      <c r="I28" s="368">
        <v>160.29859999999999</v>
      </c>
      <c r="J28" s="268" t="s">
        <v>15</v>
      </c>
      <c r="K28" s="132" t="s">
        <v>15</v>
      </c>
      <c r="L28" s="11" t="s">
        <v>12</v>
      </c>
      <c r="M28" s="1149" t="s">
        <v>675</v>
      </c>
      <c r="N28" s="1193">
        <v>38.908299999999997</v>
      </c>
      <c r="O28" s="427">
        <v>4.8899999999999997</v>
      </c>
      <c r="P28" s="427">
        <v>7.9594959999999997</v>
      </c>
      <c r="Q28" s="275" t="s">
        <v>15</v>
      </c>
      <c r="R28" s="258">
        <f>N28</f>
        <v>38.908299999999997</v>
      </c>
      <c r="S28" s="428" t="s">
        <v>68</v>
      </c>
      <c r="T28" s="125" t="s">
        <v>69</v>
      </c>
      <c r="U28" s="858"/>
      <c r="V28" s="2232" t="s">
        <v>108</v>
      </c>
      <c r="W28" s="491" t="s">
        <v>47</v>
      </c>
      <c r="X28" s="492" t="s">
        <v>849</v>
      </c>
      <c r="Y28" s="169">
        <f>$T$35+SUM($R$30:$R$54)+$N$28*1.26+$N$29*3.5</f>
        <v>466.37384380138769</v>
      </c>
      <c r="Z28" s="95" t="s">
        <v>40</v>
      </c>
      <c r="AA28" s="422" t="s">
        <v>40</v>
      </c>
      <c r="AB28" s="846"/>
      <c r="AC28" s="906" t="s">
        <v>721</v>
      </c>
      <c r="AD28" s="2275" t="s">
        <v>142</v>
      </c>
      <c r="AE28" s="2276"/>
      <c r="AF28" s="106"/>
      <c r="AG28" s="37"/>
      <c r="AH28" s="957"/>
      <c r="AI28" s="957"/>
      <c r="AJ28" s="957"/>
      <c r="AK28" s="957"/>
      <c r="AL28" s="957"/>
      <c r="AM28" s="957"/>
      <c r="AN28" s="957"/>
      <c r="AO28" s="957"/>
      <c r="AP28" s="957"/>
      <c r="AQ28" s="957"/>
      <c r="AR28" s="957"/>
      <c r="AS28" s="957"/>
      <c r="AT28" s="957"/>
      <c r="AU28" s="957"/>
      <c r="AV28" s="957"/>
      <c r="AW28" s="957"/>
      <c r="AX28" s="957"/>
      <c r="AY28" s="957"/>
      <c r="AZ28" s="957"/>
      <c r="BA28" s="957"/>
      <c r="BB28" s="957"/>
      <c r="BC28" s="957"/>
      <c r="BD28" s="957"/>
      <c r="BE28" s="957"/>
      <c r="BF28" s="957"/>
      <c r="BG28" s="957"/>
      <c r="BH28" s="1125"/>
      <c r="DI28" s="566"/>
    </row>
    <row r="29" spans="1:113">
      <c r="A29" s="2172"/>
      <c r="B29" s="817" t="s">
        <v>676</v>
      </c>
      <c r="C29" s="356" t="s">
        <v>12</v>
      </c>
      <c r="D29" s="86" t="s">
        <v>677</v>
      </c>
      <c r="E29" s="395">
        <v>512</v>
      </c>
      <c r="F29" s="425">
        <v>3.820141</v>
      </c>
      <c r="G29" s="425">
        <v>0.413414</v>
      </c>
      <c r="H29" s="367">
        <v>563.16570000000002</v>
      </c>
      <c r="I29" s="368">
        <v>160.29859999999999</v>
      </c>
      <c r="J29" s="234" t="s">
        <v>15</v>
      </c>
      <c r="K29" s="233" t="s">
        <v>15</v>
      </c>
      <c r="L29" s="289" t="s">
        <v>12</v>
      </c>
      <c r="M29" s="15" t="s">
        <v>678</v>
      </c>
      <c r="N29" s="1194">
        <v>202.93140589999999</v>
      </c>
      <c r="O29" s="142">
        <v>14.74</v>
      </c>
      <c r="P29" s="142">
        <v>13.76441</v>
      </c>
      <c r="Q29" s="195" t="s">
        <v>15</v>
      </c>
      <c r="R29" s="128">
        <f>N29</f>
        <v>202.93140589999999</v>
      </c>
      <c r="S29" s="324" t="s">
        <v>70</v>
      </c>
      <c r="T29" s="117" t="s">
        <v>71</v>
      </c>
      <c r="U29" s="854"/>
      <c r="V29" s="2233"/>
      <c r="W29" s="493" t="s">
        <v>49</v>
      </c>
      <c r="X29" s="494" t="s">
        <v>850</v>
      </c>
      <c r="Y29" s="169">
        <f>$T$35+SUM($R$30:$R$54)+$N$28*2+$N$29*3.5</f>
        <v>495.16598580138771</v>
      </c>
      <c r="Z29" s="169">
        <f>Y29-$Y$28</f>
        <v>28.792142000000013</v>
      </c>
      <c r="AA29" s="576">
        <f>(2-1.26)*$P$28</f>
        <v>5.8900270399999997</v>
      </c>
      <c r="AB29" s="918"/>
      <c r="AC29" s="906" t="s">
        <v>543</v>
      </c>
      <c r="AD29" s="292" t="s">
        <v>98</v>
      </c>
      <c r="AE29" s="278">
        <v>5.9471054870740975E-3</v>
      </c>
      <c r="AF29" s="106"/>
      <c r="AG29" s="37"/>
      <c r="AH29" s="957"/>
      <c r="AI29" s="957"/>
      <c r="AJ29" s="957"/>
      <c r="AK29" s="957"/>
      <c r="AL29" s="957"/>
      <c r="AM29" s="957"/>
      <c r="AN29" s="957"/>
      <c r="AO29" s="957"/>
      <c r="AP29" s="957"/>
      <c r="AQ29" s="957"/>
      <c r="AR29" s="957"/>
      <c r="AS29" s="957"/>
      <c r="AT29" s="957"/>
      <c r="AU29" s="957"/>
      <c r="AV29" s="957"/>
      <c r="AW29" s="957"/>
      <c r="AX29" s="957"/>
      <c r="AY29" s="957"/>
      <c r="AZ29" s="957"/>
      <c r="BA29" s="957"/>
      <c r="BB29" s="957"/>
      <c r="BC29" s="957"/>
      <c r="BD29" s="957"/>
      <c r="BE29" s="957"/>
      <c r="BF29" s="957"/>
      <c r="BG29" s="957"/>
    </row>
    <row r="30" spans="1:113">
      <c r="A30" s="2172"/>
      <c r="B30" s="2161" t="s">
        <v>679</v>
      </c>
      <c r="C30" s="2179" t="s">
        <v>13</v>
      </c>
      <c r="D30" s="86" t="s">
        <v>33</v>
      </c>
      <c r="E30" s="395">
        <v>154</v>
      </c>
      <c r="F30" s="148" t="s">
        <v>15</v>
      </c>
      <c r="G30" s="148" t="s">
        <v>15</v>
      </c>
      <c r="H30" s="367">
        <v>688.52880000000005</v>
      </c>
      <c r="I30" s="368">
        <v>142.322</v>
      </c>
      <c r="J30" s="234" t="s">
        <v>15</v>
      </c>
      <c r="K30" s="233" t="s">
        <v>15</v>
      </c>
      <c r="L30" s="234" t="s">
        <v>15</v>
      </c>
      <c r="M30" s="233" t="s">
        <v>15</v>
      </c>
      <c r="N30" s="1194">
        <v>58.6010043</v>
      </c>
      <c r="O30" s="142">
        <v>6.55</v>
      </c>
      <c r="P30" s="142">
        <v>8.9475119999999997</v>
      </c>
      <c r="Q30" s="333">
        <f>14732/$T$33</f>
        <v>0.13084759612395527</v>
      </c>
      <c r="R30" s="2129">
        <f>SUMPRODUCT(N30:N32,Q30:Q32)</f>
        <v>8.4808667573724428</v>
      </c>
      <c r="S30" s="135" t="s">
        <v>72</v>
      </c>
      <c r="T30" s="201" t="s">
        <v>119</v>
      </c>
      <c r="U30" s="855"/>
      <c r="V30" s="2233"/>
      <c r="W30" s="493" t="s">
        <v>49</v>
      </c>
      <c r="X30" s="494" t="s">
        <v>851</v>
      </c>
      <c r="Y30" s="169">
        <f>$T$35+SUM($R$30:$R$54)+$N$28*2.2+$N$29*3.5</f>
        <v>502.94764580138769</v>
      </c>
      <c r="Z30" s="169">
        <f>Y30-$Y$28</f>
        <v>36.573802000000001</v>
      </c>
      <c r="AA30" s="576">
        <f>(2.2-1.26)*$P$28</f>
        <v>7.4819262400000008</v>
      </c>
      <c r="AB30" s="918"/>
      <c r="AC30" s="347"/>
      <c r="AD30" s="292" t="s">
        <v>109</v>
      </c>
      <c r="AE30" s="278">
        <v>1.6040726850595074E-3</v>
      </c>
      <c r="AF30" s="106"/>
      <c r="AG30" s="37"/>
      <c r="AH30" s="957"/>
      <c r="AI30" s="957"/>
      <c r="AJ30" s="957"/>
      <c r="AK30" s="957"/>
      <c r="AL30" s="957"/>
      <c r="AM30" s="957"/>
      <c r="AN30" s="957"/>
      <c r="AO30" s="957"/>
      <c r="AP30" s="957"/>
      <c r="AQ30" s="957"/>
      <c r="AR30" s="957"/>
      <c r="AS30" s="957"/>
      <c r="AT30" s="957"/>
      <c r="AU30" s="957"/>
      <c r="AV30" s="957"/>
      <c r="AW30" s="957"/>
      <c r="AX30" s="957"/>
      <c r="AY30" s="957"/>
      <c r="AZ30" s="957"/>
      <c r="BA30" s="957"/>
      <c r="BB30" s="957"/>
      <c r="BC30" s="957"/>
      <c r="BD30" s="957"/>
      <c r="BE30" s="957"/>
      <c r="BF30" s="957"/>
      <c r="BG30" s="957"/>
    </row>
    <row r="31" spans="1:113">
      <c r="A31" s="2172"/>
      <c r="B31" s="2161"/>
      <c r="C31" s="2187"/>
      <c r="D31" s="86" t="s">
        <v>32</v>
      </c>
      <c r="E31" s="396">
        <v>334</v>
      </c>
      <c r="F31" s="148" t="s">
        <v>15</v>
      </c>
      <c r="G31" s="148" t="s">
        <v>15</v>
      </c>
      <c r="H31" s="367">
        <v>540.94039999999995</v>
      </c>
      <c r="I31" s="368">
        <v>150.5206</v>
      </c>
      <c r="J31" s="234" t="s">
        <v>15</v>
      </c>
      <c r="K31" s="233" t="s">
        <v>15</v>
      </c>
      <c r="L31" s="234" t="s">
        <v>15</v>
      </c>
      <c r="M31" s="233" t="s">
        <v>15</v>
      </c>
      <c r="N31" s="1194">
        <v>0</v>
      </c>
      <c r="O31" s="142" t="s">
        <v>574</v>
      </c>
      <c r="P31" s="142" t="s">
        <v>574</v>
      </c>
      <c r="Q31" s="333">
        <f>96806.62/$T$33</f>
        <v>0.85982307330200991</v>
      </c>
      <c r="R31" s="2129"/>
      <c r="S31" s="356" t="s">
        <v>73</v>
      </c>
      <c r="T31" s="400"/>
      <c r="U31" s="859"/>
      <c r="V31" s="2233"/>
      <c r="W31" s="493" t="s">
        <v>49</v>
      </c>
      <c r="X31" s="494" t="s">
        <v>852</v>
      </c>
      <c r="Y31" s="169">
        <f>$T$35+SUM($R$30:$R$54)+$N$28*2.4+$N$29*3.5</f>
        <v>510.72930580138768</v>
      </c>
      <c r="Z31" s="169">
        <f>Y31-$Y$28</f>
        <v>44.355461999999989</v>
      </c>
      <c r="AA31" s="576">
        <f>(2.4-1.26)*$P$28</f>
        <v>9.0738254399999985</v>
      </c>
      <c r="AB31" s="918"/>
      <c r="AC31" s="26"/>
      <c r="AD31" s="292" t="s">
        <v>110</v>
      </c>
      <c r="AE31" s="278">
        <v>-2.1305220883534089E-2</v>
      </c>
      <c r="AF31" s="106"/>
      <c r="AG31" s="37"/>
      <c r="AH31" s="957"/>
      <c r="AI31" s="957"/>
      <c r="AJ31" s="957"/>
      <c r="AK31" s="957"/>
      <c r="AL31" s="957"/>
      <c r="AM31" s="957"/>
      <c r="AN31" s="957"/>
      <c r="AO31" s="957"/>
      <c r="AP31" s="957"/>
      <c r="AQ31" s="957"/>
      <c r="AR31" s="957"/>
      <c r="AS31" s="957"/>
      <c r="AT31" s="957"/>
      <c r="AU31" s="957"/>
      <c r="AV31" s="957"/>
      <c r="AW31" s="957"/>
      <c r="AX31" s="957"/>
      <c r="AY31" s="957"/>
      <c r="AZ31" s="957"/>
      <c r="BA31" s="957"/>
      <c r="BB31" s="957"/>
      <c r="BC31" s="957"/>
      <c r="BD31" s="957"/>
      <c r="BE31" s="957"/>
      <c r="BF31" s="957"/>
      <c r="BG31" s="957"/>
    </row>
    <row r="32" spans="1:113">
      <c r="A32" s="2172"/>
      <c r="B32" s="2161"/>
      <c r="C32" s="2180"/>
      <c r="D32" s="86" t="s">
        <v>81</v>
      </c>
      <c r="E32" s="452">
        <v>24</v>
      </c>
      <c r="F32" s="148" t="s">
        <v>15</v>
      </c>
      <c r="G32" s="148" t="s">
        <v>15</v>
      </c>
      <c r="H32" s="367">
        <v>853.28989999999999</v>
      </c>
      <c r="I32" s="368">
        <v>178.83680000000001</v>
      </c>
      <c r="J32" s="234" t="s">
        <v>15</v>
      </c>
      <c r="K32" s="233" t="s">
        <v>15</v>
      </c>
      <c r="L32" s="234" t="s">
        <v>15</v>
      </c>
      <c r="M32" s="233" t="s">
        <v>15</v>
      </c>
      <c r="N32" s="1194">
        <v>87.151613699999999</v>
      </c>
      <c r="O32" s="142">
        <v>3.54</v>
      </c>
      <c r="P32" s="536"/>
      <c r="Q32" s="333">
        <f>1050.38/$T$33</f>
        <v>9.3293305740347644E-3</v>
      </c>
      <c r="R32" s="2129"/>
      <c r="S32" s="135" t="s">
        <v>74</v>
      </c>
      <c r="T32" s="203" t="s">
        <v>75</v>
      </c>
      <c r="U32" s="858"/>
      <c r="V32" s="2233"/>
      <c r="W32" s="493" t="s">
        <v>47</v>
      </c>
      <c r="X32" s="494" t="s">
        <v>853</v>
      </c>
      <c r="Y32" s="169">
        <f>$T$35+SUM($R$30:$R$54)+$N$28*1.26+$N$29*4</f>
        <v>567.83954675138773</v>
      </c>
      <c r="Z32" s="95" t="s">
        <v>40</v>
      </c>
      <c r="AA32" s="422" t="s">
        <v>40</v>
      </c>
      <c r="AB32" s="846"/>
      <c r="AC32" s="26"/>
      <c r="AD32" s="292" t="s">
        <v>111</v>
      </c>
      <c r="AE32" s="278">
        <v>-0.26769449081803004</v>
      </c>
      <c r="AF32" s="106"/>
      <c r="AG32" s="37"/>
      <c r="AH32" s="957"/>
      <c r="AI32" s="957"/>
      <c r="AJ32" s="957"/>
      <c r="AK32" s="957"/>
      <c r="AL32" s="957"/>
      <c r="AM32" s="957"/>
      <c r="AN32" s="957"/>
      <c r="AO32" s="957"/>
      <c r="AP32" s="957"/>
      <c r="AQ32" s="957"/>
      <c r="AR32" s="957"/>
      <c r="AS32" s="957"/>
      <c r="AT32" s="957"/>
      <c r="AU32" s="957"/>
      <c r="AV32" s="957"/>
      <c r="AW32" s="957"/>
      <c r="AX32" s="957"/>
      <c r="AY32" s="957"/>
      <c r="AZ32" s="957"/>
      <c r="BA32" s="957"/>
      <c r="BB32" s="957"/>
      <c r="BC32" s="957"/>
      <c r="BD32" s="957"/>
      <c r="BE32" s="957"/>
      <c r="BF32" s="957"/>
      <c r="BG32" s="957"/>
    </row>
    <row r="33" spans="1:59">
      <c r="A33" s="2172"/>
      <c r="B33" s="2191" t="s">
        <v>7</v>
      </c>
      <c r="C33" s="2179" t="s">
        <v>13</v>
      </c>
      <c r="D33" s="86">
        <v>1</v>
      </c>
      <c r="E33" s="395">
        <v>137</v>
      </c>
      <c r="F33" s="148" t="s">
        <v>15</v>
      </c>
      <c r="G33" s="148" t="s">
        <v>15</v>
      </c>
      <c r="H33" s="367">
        <v>533.99180000000001</v>
      </c>
      <c r="I33" s="368">
        <v>161.2261</v>
      </c>
      <c r="J33" s="234" t="s">
        <v>15</v>
      </c>
      <c r="K33" s="233" t="s">
        <v>15</v>
      </c>
      <c r="L33" s="234" t="s">
        <v>15</v>
      </c>
      <c r="M33" s="233" t="s">
        <v>15</v>
      </c>
      <c r="N33" s="1195">
        <v>-17.0743136</v>
      </c>
      <c r="O33" s="369">
        <v>-2.37</v>
      </c>
      <c r="P33" s="369">
        <v>7.2063759999999997</v>
      </c>
      <c r="Q33" s="333">
        <f>20912/$T$33</f>
        <v>0.1857375054401407</v>
      </c>
      <c r="R33" s="2130">
        <f>SUMPRODUCT(N33:N36,Q33:Q36)</f>
        <v>7.2902044222783751</v>
      </c>
      <c r="S33" s="381">
        <v>512</v>
      </c>
      <c r="T33" s="426">
        <v>112589</v>
      </c>
      <c r="U33" s="860"/>
      <c r="V33" s="2233"/>
      <c r="W33" s="493" t="s">
        <v>49</v>
      </c>
      <c r="X33" s="494" t="s">
        <v>854</v>
      </c>
      <c r="Y33" s="169">
        <f>$T$35+SUM($R$30:$R$54)+$N$28*2+$N$29*4</f>
        <v>596.63168875138774</v>
      </c>
      <c r="Z33" s="169">
        <f>Y33-$Y$32</f>
        <v>28.792142000000013</v>
      </c>
      <c r="AA33" s="576">
        <f>(2-1.26)*$P$28</f>
        <v>5.8900270399999997</v>
      </c>
      <c r="AB33" s="918"/>
      <c r="AC33" s="26"/>
      <c r="AD33" s="292" t="s">
        <v>681</v>
      </c>
      <c r="AE33" s="278">
        <v>0.21317878552681049</v>
      </c>
      <c r="AF33" s="106"/>
      <c r="AG33" s="37"/>
      <c r="AH33" s="957"/>
      <c r="AI33" s="957"/>
      <c r="AJ33" s="957"/>
      <c r="AK33" s="957"/>
      <c r="AL33" s="957"/>
      <c r="AM33" s="957"/>
      <c r="AN33" s="957"/>
      <c r="AO33" s="957"/>
      <c r="AP33" s="957"/>
      <c r="AQ33" s="957"/>
      <c r="AR33" s="957"/>
      <c r="AS33" s="957"/>
      <c r="AT33" s="957"/>
      <c r="AU33" s="957"/>
      <c r="AV33" s="957"/>
      <c r="AW33" s="957"/>
      <c r="AX33" s="957"/>
      <c r="AY33" s="957"/>
      <c r="AZ33" s="957"/>
      <c r="BA33" s="957"/>
      <c r="BB33" s="957"/>
      <c r="BC33" s="957"/>
      <c r="BD33" s="957"/>
      <c r="BE33" s="957"/>
      <c r="BF33" s="957"/>
      <c r="BG33" s="957"/>
    </row>
    <row r="34" spans="1:59">
      <c r="A34" s="2172"/>
      <c r="B34" s="2192"/>
      <c r="C34" s="2187"/>
      <c r="D34" s="86">
        <v>2</v>
      </c>
      <c r="E34" s="395">
        <v>134</v>
      </c>
      <c r="F34" s="148" t="s">
        <v>15</v>
      </c>
      <c r="G34" s="148" t="s">
        <v>15</v>
      </c>
      <c r="H34" s="367">
        <v>563.75109999999995</v>
      </c>
      <c r="I34" s="368">
        <v>154.75540000000001</v>
      </c>
      <c r="J34" s="234" t="s">
        <v>15</v>
      </c>
      <c r="K34" s="233" t="s">
        <v>15</v>
      </c>
      <c r="L34" s="234" t="s">
        <v>15</v>
      </c>
      <c r="M34" s="233" t="s">
        <v>15</v>
      </c>
      <c r="N34" s="1195">
        <v>10.5611347</v>
      </c>
      <c r="O34" s="369">
        <v>1.6</v>
      </c>
      <c r="P34" s="369">
        <v>6.6019139999999998</v>
      </c>
      <c r="Q34" s="333">
        <f>29149/$T$33</f>
        <v>0.25889740560800789</v>
      </c>
      <c r="R34" s="2196"/>
      <c r="S34" s="135" t="s">
        <v>41</v>
      </c>
      <c r="T34" s="203" t="s">
        <v>42</v>
      </c>
      <c r="U34" s="858"/>
      <c r="V34" s="2233"/>
      <c r="W34" s="493" t="s">
        <v>49</v>
      </c>
      <c r="X34" s="494" t="s">
        <v>855</v>
      </c>
      <c r="Y34" s="169">
        <f>$T$35+SUM($R$30:$R$54)+$N$28*2.2+$N$29*4</f>
        <v>604.41334875138773</v>
      </c>
      <c r="Z34" s="169">
        <f>Y34-$Y$32</f>
        <v>36.573802000000001</v>
      </c>
      <c r="AA34" s="576">
        <f>(2.2-1.26)*$P$28</f>
        <v>7.4819262400000008</v>
      </c>
      <c r="AB34" s="918"/>
      <c r="AC34" s="26"/>
      <c r="AD34" s="292" t="s">
        <v>112</v>
      </c>
      <c r="AE34" s="278">
        <v>4.5445194598685873E-2</v>
      </c>
      <c r="AF34" s="106"/>
      <c r="AG34" s="37"/>
      <c r="AH34" s="957"/>
      <c r="AI34" s="957"/>
      <c r="AJ34" s="957"/>
      <c r="AK34" s="957"/>
      <c r="AL34" s="957"/>
      <c r="AM34" s="957"/>
      <c r="AN34" s="957"/>
      <c r="AO34" s="957"/>
      <c r="AP34" s="957"/>
      <c r="AQ34" s="957"/>
      <c r="AR34" s="957"/>
      <c r="AS34" s="957"/>
      <c r="AT34" s="957"/>
      <c r="AU34" s="957"/>
      <c r="AV34" s="957"/>
      <c r="AW34" s="957"/>
      <c r="AX34" s="957"/>
      <c r="AY34" s="957"/>
      <c r="AZ34" s="957"/>
      <c r="BA34" s="957"/>
      <c r="BB34" s="957"/>
      <c r="BC34" s="957"/>
      <c r="BD34" s="957"/>
      <c r="BE34" s="957"/>
      <c r="BF34" s="957"/>
      <c r="BG34" s="957"/>
    </row>
    <row r="35" spans="1:59">
      <c r="A35" s="2172"/>
      <c r="B35" s="2192"/>
      <c r="C35" s="2187"/>
      <c r="D35" s="86">
        <v>3</v>
      </c>
      <c r="E35" s="395">
        <v>127</v>
      </c>
      <c r="F35" s="148" t="s">
        <v>15</v>
      </c>
      <c r="G35" s="148" t="s">
        <v>15</v>
      </c>
      <c r="H35" s="367">
        <v>581.40660000000003</v>
      </c>
      <c r="I35" s="368">
        <v>164.5461</v>
      </c>
      <c r="J35" s="234" t="s">
        <v>15</v>
      </c>
      <c r="K35" s="233" t="s">
        <v>15</v>
      </c>
      <c r="L35" s="234" t="s">
        <v>15</v>
      </c>
      <c r="M35" s="233" t="s">
        <v>15</v>
      </c>
      <c r="N35" s="1195">
        <v>23.7111184</v>
      </c>
      <c r="O35" s="369">
        <v>3.83</v>
      </c>
      <c r="P35" s="369">
        <v>6.1830170000000004</v>
      </c>
      <c r="Q35" s="333">
        <f>36692/$T$33</f>
        <v>0.32589329330574035</v>
      </c>
      <c r="R35" s="2196"/>
      <c r="S35" s="152">
        <v>0.90348600000000001</v>
      </c>
      <c r="T35" s="157">
        <v>-400.44664540000002</v>
      </c>
      <c r="U35" s="861"/>
      <c r="V35" s="2233"/>
      <c r="W35" s="493" t="s">
        <v>49</v>
      </c>
      <c r="X35" s="494" t="s">
        <v>856</v>
      </c>
      <c r="Y35" s="169">
        <f>$T$35+SUM($R$30:$R$54)+$N$28*2.4+$N$29*4</f>
        <v>612.19500875138772</v>
      </c>
      <c r="Z35" s="169">
        <f>Y35-$Y$32</f>
        <v>44.355461999999989</v>
      </c>
      <c r="AA35" s="576">
        <f>(2.4-1.26)*$P$28</f>
        <v>9.0738254399999985</v>
      </c>
      <c r="AB35" s="918"/>
      <c r="AC35" s="26"/>
      <c r="AD35" s="292" t="s">
        <v>113</v>
      </c>
      <c r="AE35" s="278">
        <v>7.4943403311082673</v>
      </c>
      <c r="AF35" s="106"/>
      <c r="AG35" s="37"/>
      <c r="AH35" s="957"/>
      <c r="AI35" s="957"/>
      <c r="AJ35" s="957"/>
      <c r="AK35" s="957"/>
      <c r="AL35" s="957"/>
      <c r="AM35" s="957"/>
      <c r="AN35" s="957"/>
      <c r="AO35" s="957"/>
      <c r="AP35" s="957"/>
      <c r="AQ35" s="957"/>
      <c r="AR35" s="957"/>
      <c r="AS35" s="957"/>
      <c r="AT35" s="957"/>
      <c r="AU35" s="957"/>
      <c r="AV35" s="957"/>
      <c r="AW35" s="957"/>
      <c r="AX35" s="957"/>
      <c r="AY35" s="957"/>
      <c r="AZ35" s="957"/>
      <c r="BA35" s="957"/>
      <c r="BB35" s="957"/>
      <c r="BC35" s="957"/>
      <c r="BD35" s="957"/>
      <c r="BE35" s="957"/>
      <c r="BF35" s="957"/>
      <c r="BG35" s="957"/>
    </row>
    <row r="36" spans="1:59">
      <c r="A36" s="2172"/>
      <c r="B36" s="2222"/>
      <c r="C36" s="2180"/>
      <c r="D36" s="86">
        <v>4</v>
      </c>
      <c r="E36" s="396">
        <v>114</v>
      </c>
      <c r="F36" s="148" t="s">
        <v>15</v>
      </c>
      <c r="G36" s="148" t="s">
        <v>15</v>
      </c>
      <c r="H36" s="367">
        <v>560.21289999999999</v>
      </c>
      <c r="I36" s="368">
        <v>155.8672</v>
      </c>
      <c r="J36" s="234" t="s">
        <v>15</v>
      </c>
      <c r="K36" s="233" t="s">
        <v>15</v>
      </c>
      <c r="L36" s="234" t="s">
        <v>15</v>
      </c>
      <c r="M36" s="233" t="s">
        <v>15</v>
      </c>
      <c r="N36" s="1195">
        <v>0</v>
      </c>
      <c r="O36" s="369" t="s">
        <v>574</v>
      </c>
      <c r="P36" s="369" t="s">
        <v>574</v>
      </c>
      <c r="Q36" s="333">
        <f>25836/$T$33</f>
        <v>0.22947179564611109</v>
      </c>
      <c r="R36" s="2155"/>
      <c r="S36" s="156" t="s">
        <v>235</v>
      </c>
      <c r="T36" s="201" t="s">
        <v>391</v>
      </c>
      <c r="U36" s="855"/>
      <c r="V36" s="24"/>
      <c r="W36" s="26"/>
      <c r="X36" s="26"/>
      <c r="Y36" s="41"/>
      <c r="Z36" s="39"/>
      <c r="AA36" s="39"/>
      <c r="AB36" s="846"/>
      <c r="AC36" s="26"/>
      <c r="AD36" s="292" t="s">
        <v>114</v>
      </c>
      <c r="AE36" s="278">
        <v>1.5301852504169808</v>
      </c>
      <c r="AF36" s="106"/>
      <c r="AG36" s="37"/>
      <c r="AH36" s="957"/>
      <c r="AI36" s="957"/>
      <c r="AJ36" s="957"/>
      <c r="AK36" s="957"/>
      <c r="AL36" s="957"/>
      <c r="AM36" s="957"/>
      <c r="AN36" s="957"/>
      <c r="AO36" s="957"/>
      <c r="AP36" s="957"/>
      <c r="AQ36" s="957"/>
      <c r="AR36" s="957"/>
      <c r="AS36" s="957"/>
      <c r="AT36" s="957"/>
      <c r="AU36" s="957"/>
      <c r="AV36" s="957"/>
      <c r="AW36" s="957"/>
      <c r="AX36" s="957"/>
      <c r="AY36" s="957"/>
      <c r="AZ36" s="957"/>
      <c r="BA36" s="957"/>
      <c r="BB36" s="957"/>
      <c r="BC36" s="957"/>
      <c r="BD36" s="957"/>
      <c r="BE36" s="957"/>
      <c r="BF36" s="957"/>
      <c r="BG36" s="957"/>
    </row>
    <row r="37" spans="1:59">
      <c r="A37" s="2172"/>
      <c r="B37" s="2161" t="s">
        <v>680</v>
      </c>
      <c r="C37" s="2179" t="s">
        <v>11</v>
      </c>
      <c r="D37" s="86" t="s">
        <v>33</v>
      </c>
      <c r="E37" s="395">
        <v>255</v>
      </c>
      <c r="F37" s="148" t="s">
        <v>15</v>
      </c>
      <c r="G37" s="148" t="s">
        <v>15</v>
      </c>
      <c r="H37" s="367">
        <v>701.44569999999999</v>
      </c>
      <c r="I37" s="368">
        <v>148.32509999999999</v>
      </c>
      <c r="J37" s="234" t="s">
        <v>15</v>
      </c>
      <c r="K37" s="233" t="s">
        <v>15</v>
      </c>
      <c r="L37" s="234" t="s">
        <v>15</v>
      </c>
      <c r="M37" s="233" t="s">
        <v>15</v>
      </c>
      <c r="N37" s="1194">
        <v>44.526333200000003</v>
      </c>
      <c r="O37" s="142">
        <v>6.2</v>
      </c>
      <c r="P37" s="142">
        <v>7.1766560000000004</v>
      </c>
      <c r="Q37" s="333">
        <f>47403/$T$33</f>
        <v>0.4210269209247795</v>
      </c>
      <c r="R37" s="2129">
        <f>SUMPRODUCT(N37:N38,Q37:Q38)</f>
        <v>18.746784967266784</v>
      </c>
      <c r="S37" s="384">
        <v>111.074</v>
      </c>
      <c r="T37" s="207" t="s">
        <v>15</v>
      </c>
      <c r="U37" s="862"/>
      <c r="V37" s="24"/>
      <c r="W37" s="26"/>
      <c r="X37" s="26"/>
      <c r="Y37" s="41"/>
      <c r="Z37" s="41"/>
      <c r="AA37" s="41"/>
      <c r="AB37" s="846"/>
      <c r="AC37" s="26"/>
      <c r="AD37" s="292" t="s">
        <v>115</v>
      </c>
      <c r="AE37" s="278">
        <v>4.1012648345698564</v>
      </c>
      <c r="AF37" s="106"/>
      <c r="AG37" s="37"/>
      <c r="AH37" s="957"/>
      <c r="AI37" s="957"/>
      <c r="AJ37" s="957"/>
      <c r="AK37" s="957"/>
      <c r="AL37" s="957"/>
      <c r="AM37" s="957"/>
      <c r="AN37" s="957"/>
      <c r="AO37" s="957"/>
      <c r="AP37" s="957"/>
      <c r="AQ37" s="957"/>
      <c r="AR37" s="957"/>
      <c r="AS37" s="957"/>
      <c r="AT37" s="957"/>
      <c r="AU37" s="957"/>
      <c r="AV37" s="957"/>
      <c r="AW37" s="957"/>
      <c r="AX37" s="957"/>
      <c r="AY37" s="957"/>
      <c r="AZ37" s="957"/>
      <c r="BA37" s="957"/>
      <c r="BB37" s="957"/>
      <c r="BC37" s="957"/>
      <c r="BD37" s="957"/>
      <c r="BE37" s="957"/>
      <c r="BF37" s="957"/>
      <c r="BG37" s="957"/>
    </row>
    <row r="38" spans="1:59">
      <c r="A38" s="2172"/>
      <c r="B38" s="2161"/>
      <c r="C38" s="2180"/>
      <c r="D38" s="86" t="s">
        <v>32</v>
      </c>
      <c r="E38" s="396">
        <v>257</v>
      </c>
      <c r="F38" s="148" t="s">
        <v>15</v>
      </c>
      <c r="G38" s="148" t="s">
        <v>15</v>
      </c>
      <c r="H38" s="367">
        <v>462.60950000000003</v>
      </c>
      <c r="I38" s="368">
        <v>66.078680000000006</v>
      </c>
      <c r="J38" s="234" t="s">
        <v>15</v>
      </c>
      <c r="K38" s="233" t="s">
        <v>15</v>
      </c>
      <c r="L38" s="234" t="s">
        <v>15</v>
      </c>
      <c r="M38" s="233" t="s">
        <v>15</v>
      </c>
      <c r="N38" s="1194">
        <v>0</v>
      </c>
      <c r="O38" s="142" t="s">
        <v>574</v>
      </c>
      <c r="P38" s="142" t="s">
        <v>574</v>
      </c>
      <c r="Q38" s="333">
        <f>65186/$T$33</f>
        <v>0.57897307907522044</v>
      </c>
      <c r="R38" s="2129"/>
      <c r="S38" s="303"/>
      <c r="T38" s="252"/>
      <c r="U38" s="863"/>
      <c r="V38" s="24"/>
      <c r="W38" s="26"/>
      <c r="X38" s="26"/>
      <c r="Y38" s="41"/>
      <c r="Z38" s="41"/>
      <c r="AA38" s="41"/>
      <c r="AB38" s="846"/>
      <c r="AC38" s="26"/>
      <c r="AD38" s="292" t="s">
        <v>116</v>
      </c>
      <c r="AE38" s="278">
        <v>-0.94780511893004604</v>
      </c>
      <c r="AF38" s="106"/>
      <c r="AG38" s="37"/>
      <c r="AH38" s="957"/>
      <c r="AI38" s="957"/>
      <c r="AJ38" s="957"/>
      <c r="AK38" s="957"/>
      <c r="AL38" s="957"/>
      <c r="AM38" s="957"/>
      <c r="AN38" s="957"/>
      <c r="AO38" s="957"/>
      <c r="AP38" s="957"/>
      <c r="AQ38" s="957"/>
      <c r="AR38" s="957"/>
      <c r="AS38" s="957"/>
      <c r="AT38" s="957"/>
      <c r="AU38" s="957"/>
      <c r="AV38" s="957"/>
      <c r="AW38" s="957"/>
      <c r="AX38" s="957"/>
      <c r="AY38" s="957"/>
      <c r="AZ38" s="957"/>
      <c r="BA38" s="957"/>
      <c r="BB38" s="957"/>
      <c r="BC38" s="957"/>
      <c r="BD38" s="957"/>
      <c r="BE38" s="957"/>
      <c r="BF38" s="957"/>
      <c r="BG38" s="957"/>
    </row>
    <row r="39" spans="1:59">
      <c r="A39" s="2172"/>
      <c r="B39" s="2161" t="s">
        <v>153</v>
      </c>
      <c r="C39" s="2179" t="s">
        <v>13</v>
      </c>
      <c r="D39" s="86" t="s">
        <v>682</v>
      </c>
      <c r="E39" s="397">
        <v>18</v>
      </c>
      <c r="F39" s="148" t="s">
        <v>15</v>
      </c>
      <c r="G39" s="148" t="s">
        <v>15</v>
      </c>
      <c r="H39" s="367">
        <v>410.0197</v>
      </c>
      <c r="I39" s="368">
        <v>21.60773</v>
      </c>
      <c r="J39" s="234" t="s">
        <v>15</v>
      </c>
      <c r="K39" s="233" t="s">
        <v>15</v>
      </c>
      <c r="L39" s="234" t="s">
        <v>15</v>
      </c>
      <c r="M39" s="233" t="s">
        <v>15</v>
      </c>
      <c r="N39" s="1194">
        <v>-12.4411656</v>
      </c>
      <c r="O39" s="142">
        <v>-0.31</v>
      </c>
      <c r="P39" s="142">
        <v>40.224206000000002</v>
      </c>
      <c r="Q39" s="333">
        <f>399/$T$33</f>
        <v>3.5438630772100296E-3</v>
      </c>
      <c r="R39" s="2129">
        <f>SUMPRODUCT(N39:N47,Q39:Q47)</f>
        <v>-5.0418693224089406</v>
      </c>
      <c r="S39" s="303"/>
      <c r="T39" s="252"/>
      <c r="U39" s="863"/>
      <c r="V39" s="24"/>
      <c r="W39" s="26"/>
      <c r="X39" s="26"/>
      <c r="Y39" s="41"/>
      <c r="Z39" s="41"/>
      <c r="AA39" s="41"/>
      <c r="AB39" s="846"/>
      <c r="AC39" s="26"/>
      <c r="AD39" s="292" t="s">
        <v>117</v>
      </c>
      <c r="AE39" s="278">
        <v>3.1534597156398103</v>
      </c>
      <c r="AF39" s="106"/>
      <c r="AG39" s="37"/>
      <c r="AH39" s="957"/>
      <c r="AI39" s="957"/>
      <c r="AJ39" s="957"/>
      <c r="AK39" s="957"/>
      <c r="AL39" s="957"/>
      <c r="AM39" s="957"/>
      <c r="AN39" s="957"/>
      <c r="AO39" s="957"/>
      <c r="AP39" s="957"/>
      <c r="AQ39" s="957"/>
      <c r="AR39" s="957"/>
      <c r="AS39" s="957"/>
      <c r="AT39" s="957"/>
      <c r="AU39" s="957"/>
      <c r="AV39" s="957"/>
      <c r="AW39" s="957"/>
      <c r="AX39" s="957"/>
      <c r="AY39" s="957"/>
      <c r="AZ39" s="957"/>
      <c r="BA39" s="957"/>
      <c r="BB39" s="957"/>
      <c r="BC39" s="957"/>
      <c r="BD39" s="957"/>
      <c r="BE39" s="957"/>
      <c r="BF39" s="957"/>
      <c r="BG39" s="957"/>
    </row>
    <row r="40" spans="1:59">
      <c r="A40" s="2172"/>
      <c r="B40" s="2161"/>
      <c r="C40" s="2187"/>
      <c r="D40" s="86" t="s">
        <v>753</v>
      </c>
      <c r="E40" s="397">
        <v>6</v>
      </c>
      <c r="F40" s="148" t="s">
        <v>15</v>
      </c>
      <c r="G40" s="148" t="s">
        <v>15</v>
      </c>
      <c r="H40" s="367">
        <v>296.67540000000002</v>
      </c>
      <c r="I40" s="368">
        <v>33.86036</v>
      </c>
      <c r="J40" s="234" t="s">
        <v>15</v>
      </c>
      <c r="K40" s="233" t="s">
        <v>15</v>
      </c>
      <c r="L40" s="234" t="s">
        <v>15</v>
      </c>
      <c r="M40" s="233" t="s">
        <v>15</v>
      </c>
      <c r="N40" s="1194">
        <v>-12.6047583</v>
      </c>
      <c r="O40" s="142">
        <v>-0.01</v>
      </c>
      <c r="P40" s="142">
        <v>1105.3717979999999</v>
      </c>
      <c r="Q40" s="333">
        <v>0</v>
      </c>
      <c r="R40" s="2129"/>
      <c r="S40" s="303"/>
      <c r="T40" s="252"/>
      <c r="U40" s="863"/>
      <c r="V40" s="24"/>
      <c r="W40" s="26"/>
      <c r="X40" s="26"/>
      <c r="Y40" s="41"/>
      <c r="Z40" s="41"/>
      <c r="AA40" s="41"/>
      <c r="AB40" s="846"/>
      <c r="AC40" s="26"/>
      <c r="AD40" s="292" t="s">
        <v>118</v>
      </c>
      <c r="AE40" s="278">
        <v>105.03777711270271</v>
      </c>
      <c r="AF40" s="106"/>
      <c r="AG40" s="37"/>
      <c r="AH40" s="957"/>
      <c r="AI40" s="957"/>
      <c r="AJ40" s="957"/>
      <c r="AK40" s="957"/>
      <c r="AL40" s="957"/>
      <c r="AM40" s="957"/>
      <c r="AN40" s="957"/>
      <c r="AO40" s="957"/>
      <c r="AP40" s="957"/>
      <c r="AQ40" s="957"/>
      <c r="AR40" s="957"/>
      <c r="AS40" s="957"/>
      <c r="AT40" s="957"/>
      <c r="AU40" s="957"/>
      <c r="AV40" s="957"/>
      <c r="AW40" s="957"/>
      <c r="AX40" s="957"/>
      <c r="AY40" s="957"/>
      <c r="AZ40" s="957"/>
      <c r="BA40" s="957"/>
      <c r="BB40" s="957"/>
      <c r="BC40" s="957"/>
      <c r="BD40" s="957"/>
      <c r="BE40" s="957"/>
      <c r="BF40" s="957"/>
      <c r="BG40" s="957"/>
    </row>
    <row r="41" spans="1:59">
      <c r="A41" s="2172"/>
      <c r="B41" s="2161"/>
      <c r="C41" s="2187"/>
      <c r="D41" s="86" t="s">
        <v>683</v>
      </c>
      <c r="E41" s="397">
        <v>32</v>
      </c>
      <c r="F41" s="148" t="s">
        <v>15</v>
      </c>
      <c r="G41" s="148" t="s">
        <v>15</v>
      </c>
      <c r="H41" s="367">
        <v>535.44299999999998</v>
      </c>
      <c r="I41" s="368">
        <v>84.397959999999998</v>
      </c>
      <c r="J41" s="234" t="s">
        <v>15</v>
      </c>
      <c r="K41" s="233" t="s">
        <v>15</v>
      </c>
      <c r="L41" s="234" t="s">
        <v>15</v>
      </c>
      <c r="M41" s="233" t="s">
        <v>15</v>
      </c>
      <c r="N41" s="1194">
        <v>-125.21864309999999</v>
      </c>
      <c r="O41" s="142">
        <v>-4.17</v>
      </c>
      <c r="P41" s="142">
        <v>30.033887</v>
      </c>
      <c r="Q41" s="333">
        <f>672/$T$33</f>
        <v>5.9686114984589967E-3</v>
      </c>
      <c r="R41" s="2129"/>
      <c r="S41" s="303"/>
      <c r="T41" s="252"/>
      <c r="U41" s="863"/>
      <c r="V41" s="24"/>
      <c r="W41" s="26"/>
      <c r="X41" s="26"/>
      <c r="Y41" s="41"/>
      <c r="Z41" s="41"/>
      <c r="AA41" s="41"/>
      <c r="AB41" s="846"/>
      <c r="AC41" s="26"/>
      <c r="AD41" s="292" t="s">
        <v>97</v>
      </c>
      <c r="AE41" s="278">
        <v>17662</v>
      </c>
      <c r="AF41" s="106"/>
      <c r="AG41" s="37"/>
      <c r="AH41" s="957"/>
      <c r="AI41" s="957"/>
      <c r="AJ41" s="957"/>
      <c r="AK41" s="957"/>
      <c r="AL41" s="957"/>
      <c r="AM41" s="957"/>
      <c r="AN41" s="957"/>
      <c r="AO41" s="957"/>
      <c r="AP41" s="957"/>
      <c r="AQ41" s="957"/>
      <c r="AR41" s="957"/>
      <c r="AS41" s="957"/>
      <c r="AT41" s="957"/>
      <c r="AU41" s="957"/>
      <c r="AV41" s="957"/>
      <c r="AW41" s="957"/>
      <c r="AX41" s="957"/>
      <c r="AY41" s="957"/>
      <c r="AZ41" s="957"/>
      <c r="BA41" s="957"/>
      <c r="BB41" s="957"/>
      <c r="BC41" s="957"/>
      <c r="BD41" s="957"/>
      <c r="BE41" s="957"/>
      <c r="BF41" s="957"/>
      <c r="BG41" s="957"/>
    </row>
    <row r="42" spans="1:59">
      <c r="A42" s="2172"/>
      <c r="B42" s="2161"/>
      <c r="C42" s="2187"/>
      <c r="D42" s="86" t="s">
        <v>684</v>
      </c>
      <c r="E42" s="395">
        <v>179</v>
      </c>
      <c r="F42" s="148" t="s">
        <v>15</v>
      </c>
      <c r="G42" s="148" t="s">
        <v>15</v>
      </c>
      <c r="H42" s="367">
        <v>469.31509999999997</v>
      </c>
      <c r="I42" s="368">
        <v>89.109710000000007</v>
      </c>
      <c r="J42" s="234" t="s">
        <v>15</v>
      </c>
      <c r="K42" s="233" t="s">
        <v>15</v>
      </c>
      <c r="L42" s="234" t="s">
        <v>15</v>
      </c>
      <c r="M42" s="233" t="s">
        <v>15</v>
      </c>
      <c r="N42" s="1194">
        <v>-55.487260599999999</v>
      </c>
      <c r="O42" s="142">
        <v>-8.5299999999999994</v>
      </c>
      <c r="P42" s="142">
        <v>6.5079469999999997</v>
      </c>
      <c r="Q42" s="333">
        <f>24482/$T$33</f>
        <v>0.2174457540257041</v>
      </c>
      <c r="R42" s="2129"/>
      <c r="S42" s="303"/>
      <c r="T42" s="252"/>
      <c r="U42" s="863"/>
      <c r="V42" s="24"/>
      <c r="W42" s="26"/>
      <c r="X42" s="26"/>
      <c r="Y42" s="41"/>
      <c r="Z42" s="41"/>
      <c r="AA42" s="41"/>
      <c r="AB42" s="846"/>
      <c r="AC42" s="26"/>
      <c r="AD42" s="292" t="s">
        <v>690</v>
      </c>
      <c r="AE42" s="278">
        <v>3.144140169011404E-3</v>
      </c>
      <c r="AF42" s="106"/>
      <c r="AG42" s="37"/>
      <c r="AH42" s="957"/>
      <c r="AI42" s="957"/>
      <c r="AJ42" s="957"/>
      <c r="AK42" s="957"/>
      <c r="AL42" s="957"/>
      <c r="AM42" s="957"/>
      <c r="AN42" s="957"/>
      <c r="AO42" s="957"/>
      <c r="AP42" s="957"/>
      <c r="AQ42" s="957"/>
      <c r="AR42" s="957"/>
      <c r="AS42" s="957"/>
      <c r="AT42" s="957"/>
      <c r="AU42" s="957"/>
      <c r="AV42" s="957"/>
      <c r="AW42" s="957"/>
      <c r="AX42" s="957"/>
      <c r="AY42" s="957"/>
      <c r="AZ42" s="957"/>
      <c r="BA42" s="957"/>
      <c r="BB42" s="957"/>
      <c r="BC42" s="957"/>
      <c r="BD42" s="957"/>
      <c r="BE42" s="957"/>
      <c r="BF42" s="957"/>
      <c r="BG42" s="957"/>
    </row>
    <row r="43" spans="1:59">
      <c r="A43" s="2172"/>
      <c r="B43" s="2161"/>
      <c r="C43" s="2187"/>
      <c r="D43" s="86" t="s">
        <v>685</v>
      </c>
      <c r="E43" s="395">
        <v>8</v>
      </c>
      <c r="F43" s="148" t="s">
        <v>15</v>
      </c>
      <c r="G43" s="148" t="s">
        <v>15</v>
      </c>
      <c r="H43" s="367">
        <v>349.90629999999999</v>
      </c>
      <c r="I43" s="368">
        <v>7.8537730000000003</v>
      </c>
      <c r="J43" s="234" t="s">
        <v>15</v>
      </c>
      <c r="K43" s="233" t="s">
        <v>15</v>
      </c>
      <c r="L43" s="234" t="s">
        <v>15</v>
      </c>
      <c r="M43" s="233" t="s">
        <v>15</v>
      </c>
      <c r="N43" s="1194">
        <v>-52.842997099999998</v>
      </c>
      <c r="O43" s="142">
        <v>-3.39</v>
      </c>
      <c r="P43" s="142">
        <v>15.590743</v>
      </c>
      <c r="Q43" s="333">
        <f>2892/$T$33</f>
        <v>2.5686345913011041E-2</v>
      </c>
      <c r="R43" s="2129"/>
      <c r="S43" s="303"/>
      <c r="T43" s="252"/>
      <c r="U43" s="863"/>
      <c r="V43" s="24"/>
      <c r="W43" s="26"/>
      <c r="X43" s="26"/>
      <c r="Y43" s="41"/>
      <c r="Z43" s="41"/>
      <c r="AA43" s="41"/>
      <c r="AB43" s="846"/>
      <c r="AC43" s="26"/>
      <c r="AD43" s="26"/>
      <c r="AE43" s="26"/>
      <c r="AF43" s="106"/>
      <c r="AG43" s="37"/>
      <c r="AH43" s="957"/>
      <c r="AI43" s="957"/>
      <c r="AJ43" s="957"/>
      <c r="AK43" s="957"/>
      <c r="AL43" s="957"/>
      <c r="AM43" s="957"/>
      <c r="AN43" s="957"/>
      <c r="AO43" s="957"/>
      <c r="AP43" s="957"/>
      <c r="AQ43" s="957"/>
      <c r="AR43" s="957"/>
      <c r="AS43" s="957"/>
      <c r="AT43" s="957"/>
      <c r="AU43" s="957"/>
      <c r="AV43" s="957"/>
      <c r="AW43" s="957"/>
      <c r="AX43" s="957"/>
      <c r="AY43" s="957"/>
      <c r="AZ43" s="957"/>
      <c r="BA43" s="957"/>
      <c r="BB43" s="957"/>
      <c r="BC43" s="957"/>
      <c r="BD43" s="957"/>
      <c r="BE43" s="957"/>
      <c r="BF43" s="957"/>
      <c r="BG43" s="957"/>
    </row>
    <row r="44" spans="1:59">
      <c r="A44" s="2172"/>
      <c r="B44" s="2161"/>
      <c r="C44" s="2187"/>
      <c r="D44" s="86" t="s">
        <v>686</v>
      </c>
      <c r="E44" s="395">
        <v>12</v>
      </c>
      <c r="F44" s="148" t="s">
        <v>15</v>
      </c>
      <c r="G44" s="148" t="s">
        <v>15</v>
      </c>
      <c r="H44" s="367">
        <v>838.33339999999998</v>
      </c>
      <c r="I44" s="368">
        <v>79.336799999999997</v>
      </c>
      <c r="J44" s="234" t="s">
        <v>15</v>
      </c>
      <c r="K44" s="233" t="s">
        <v>15</v>
      </c>
      <c r="L44" s="234" t="s">
        <v>15</v>
      </c>
      <c r="M44" s="233" t="s">
        <v>15</v>
      </c>
      <c r="N44" s="1194">
        <v>69.566997499999999</v>
      </c>
      <c r="O44" s="142">
        <v>5.0599999999999996</v>
      </c>
      <c r="P44" s="142">
        <v>13.752298</v>
      </c>
      <c r="Q44" s="333">
        <f>9597/$T$33</f>
        <v>8.5239232962367545E-2</v>
      </c>
      <c r="R44" s="2129"/>
      <c r="S44" s="303"/>
      <c r="T44" s="252"/>
      <c r="U44" s="863"/>
      <c r="V44" s="24"/>
      <c r="W44" s="26"/>
      <c r="X44" s="26"/>
      <c r="Y44" s="41"/>
      <c r="Z44" s="41"/>
      <c r="AA44" s="41"/>
      <c r="AB44" s="846"/>
      <c r="AC44" s="26"/>
      <c r="AD44" s="26"/>
      <c r="AE44" s="26"/>
      <c r="AF44" s="106"/>
      <c r="AG44" s="37"/>
      <c r="AH44" s="957"/>
      <c r="AI44" s="957"/>
      <c r="AJ44" s="957"/>
      <c r="AK44" s="957"/>
      <c r="AL44" s="957"/>
      <c r="AM44" s="957"/>
      <c r="AN44" s="957"/>
      <c r="AO44" s="957"/>
      <c r="AP44" s="957"/>
      <c r="AQ44" s="957"/>
      <c r="AR44" s="957"/>
      <c r="AS44" s="957"/>
      <c r="AT44" s="957"/>
      <c r="AU44" s="957"/>
      <c r="AV44" s="957"/>
      <c r="AW44" s="957"/>
      <c r="AX44" s="957"/>
      <c r="AY44" s="957"/>
      <c r="AZ44" s="957"/>
      <c r="BA44" s="957"/>
      <c r="BB44" s="957"/>
      <c r="BC44" s="957"/>
      <c r="BD44" s="957"/>
      <c r="BE44" s="957"/>
      <c r="BF44" s="957"/>
      <c r="BG44" s="957"/>
    </row>
    <row r="45" spans="1:59">
      <c r="A45" s="2172"/>
      <c r="B45" s="2161"/>
      <c r="C45" s="2187"/>
      <c r="D45" s="86" t="s">
        <v>687</v>
      </c>
      <c r="E45" s="395">
        <v>93</v>
      </c>
      <c r="F45" s="148" t="s">
        <v>15</v>
      </c>
      <c r="G45" s="148" t="s">
        <v>15</v>
      </c>
      <c r="H45" s="367">
        <v>557.19709999999998</v>
      </c>
      <c r="I45" s="368">
        <v>94.438400000000001</v>
      </c>
      <c r="J45" s="234" t="s">
        <v>15</v>
      </c>
      <c r="K45" s="233" t="s">
        <v>15</v>
      </c>
      <c r="L45" s="234" t="s">
        <v>15</v>
      </c>
      <c r="M45" s="233" t="s">
        <v>15</v>
      </c>
      <c r="N45" s="1194">
        <v>9.1364014000000005</v>
      </c>
      <c r="O45" s="142">
        <v>1.35</v>
      </c>
      <c r="P45" s="142">
        <v>6.7471870000000003</v>
      </c>
      <c r="Q45" s="333">
        <f>21912/$T$33</f>
        <v>0.19461936778903802</v>
      </c>
      <c r="R45" s="2129"/>
      <c r="S45" s="303"/>
      <c r="T45" s="252"/>
      <c r="U45" s="863"/>
      <c r="V45" s="24"/>
      <c r="W45" s="26"/>
      <c r="X45" s="26"/>
      <c r="Y45" s="41"/>
      <c r="Z45" s="41"/>
      <c r="AA45" s="41"/>
      <c r="AB45" s="846"/>
      <c r="AC45" s="26"/>
      <c r="AD45" s="26"/>
      <c r="AE45" s="26"/>
      <c r="AF45" s="106"/>
      <c r="AG45" s="37"/>
      <c r="AH45" s="957"/>
      <c r="AI45" s="957"/>
      <c r="AJ45" s="957"/>
      <c r="AK45" s="957"/>
      <c r="AL45" s="957"/>
      <c r="AM45" s="957"/>
      <c r="AN45" s="957"/>
      <c r="AO45" s="957"/>
      <c r="AP45" s="957"/>
      <c r="AQ45" s="957"/>
      <c r="AR45" s="957"/>
      <c r="AS45" s="957"/>
      <c r="AT45" s="957"/>
      <c r="AU45" s="957"/>
      <c r="AV45" s="957"/>
      <c r="AW45" s="957"/>
      <c r="AX45" s="957"/>
      <c r="AY45" s="957"/>
      <c r="AZ45" s="957"/>
      <c r="BA45" s="957"/>
      <c r="BB45" s="957"/>
      <c r="BC45" s="957"/>
      <c r="BD45" s="957"/>
      <c r="BE45" s="957"/>
      <c r="BF45" s="957"/>
      <c r="BG45" s="957"/>
    </row>
    <row r="46" spans="1:59">
      <c r="A46" s="2172"/>
      <c r="B46" s="2161"/>
      <c r="C46" s="2187"/>
      <c r="D46" s="86" t="s">
        <v>688</v>
      </c>
      <c r="E46" s="395">
        <v>10</v>
      </c>
      <c r="F46" s="148" t="s">
        <v>15</v>
      </c>
      <c r="G46" s="148" t="s">
        <v>15</v>
      </c>
      <c r="H46" s="367">
        <v>836.36009999999999</v>
      </c>
      <c r="I46" s="368">
        <v>60.964010000000002</v>
      </c>
      <c r="J46" s="234" t="s">
        <v>15</v>
      </c>
      <c r="K46" s="233" t="s">
        <v>15</v>
      </c>
      <c r="L46" s="234" t="s">
        <v>15</v>
      </c>
      <c r="M46" s="233" t="s">
        <v>15</v>
      </c>
      <c r="N46" s="1194">
        <v>26.180007499999999</v>
      </c>
      <c r="O46" s="142">
        <v>1.59</v>
      </c>
      <c r="P46" s="142">
        <v>16.413983999999999</v>
      </c>
      <c r="Q46" s="333">
        <f>6298/$T$33</f>
        <v>5.5937969073355298E-2</v>
      </c>
      <c r="R46" s="2129"/>
      <c r="S46" s="303"/>
      <c r="T46" s="252"/>
      <c r="U46" s="863"/>
      <c r="V46" s="24"/>
      <c r="W46" s="26"/>
      <c r="X46" s="26"/>
      <c r="Y46" s="41"/>
      <c r="Z46" s="41"/>
      <c r="AA46" s="41"/>
      <c r="AB46" s="846"/>
      <c r="AC46" s="26"/>
      <c r="AD46" s="26"/>
      <c r="AE46" s="26"/>
      <c r="AF46" s="106"/>
      <c r="AG46" s="37"/>
      <c r="AH46" s="957"/>
      <c r="AI46" s="957"/>
      <c r="AJ46" s="957"/>
      <c r="AK46" s="957"/>
      <c r="AL46" s="957"/>
      <c r="AM46" s="957"/>
      <c r="AN46" s="957"/>
      <c r="AO46" s="957"/>
      <c r="AP46" s="957"/>
      <c r="AQ46" s="957"/>
      <c r="AR46" s="957"/>
      <c r="AS46" s="957"/>
      <c r="AT46" s="957"/>
      <c r="AU46" s="957"/>
      <c r="AV46" s="957"/>
      <c r="AW46" s="957"/>
      <c r="AX46" s="957"/>
      <c r="AY46" s="957"/>
      <c r="AZ46" s="957"/>
      <c r="BA46" s="957"/>
      <c r="BB46" s="957"/>
      <c r="BC46" s="957"/>
      <c r="BD46" s="957"/>
      <c r="BE46" s="957"/>
      <c r="BF46" s="957"/>
      <c r="BG46" s="957"/>
    </row>
    <row r="47" spans="1:59">
      <c r="A47" s="2172"/>
      <c r="B47" s="2161"/>
      <c r="C47" s="2180"/>
      <c r="D47" s="86" t="s">
        <v>689</v>
      </c>
      <c r="E47" s="395">
        <v>154</v>
      </c>
      <c r="F47" s="148" t="s">
        <v>15</v>
      </c>
      <c r="G47" s="148" t="s">
        <v>15</v>
      </c>
      <c r="H47" s="367">
        <v>536.48170000000005</v>
      </c>
      <c r="I47" s="368">
        <v>133.5718</v>
      </c>
      <c r="J47" s="234" t="s">
        <v>15</v>
      </c>
      <c r="K47" s="233" t="s">
        <v>15</v>
      </c>
      <c r="L47" s="234" t="s">
        <v>15</v>
      </c>
      <c r="M47" s="233" t="s">
        <v>15</v>
      </c>
      <c r="N47" s="1194">
        <v>0</v>
      </c>
      <c r="O47" s="142" t="s">
        <v>574</v>
      </c>
      <c r="P47" s="142" t="s">
        <v>574</v>
      </c>
      <c r="Q47" s="333">
        <f>46338/$T$33</f>
        <v>0.41156773752320386</v>
      </c>
      <c r="R47" s="2129"/>
      <c r="S47" s="303"/>
      <c r="T47" s="252"/>
      <c r="U47" s="863"/>
      <c r="V47" s="24"/>
      <c r="W47" s="26"/>
      <c r="X47" s="26"/>
      <c r="Y47" s="41"/>
      <c r="Z47" s="41"/>
      <c r="AA47" s="41"/>
      <c r="AB47" s="846"/>
      <c r="AC47" s="26"/>
      <c r="AD47" s="26"/>
      <c r="AE47" s="26"/>
      <c r="AF47" s="106"/>
      <c r="AG47" s="37"/>
      <c r="AH47" s="957"/>
      <c r="AI47" s="957"/>
      <c r="AJ47" s="957"/>
      <c r="AK47" s="957"/>
      <c r="AL47" s="957"/>
      <c r="AM47" s="957"/>
      <c r="AN47" s="957"/>
      <c r="AO47" s="957"/>
      <c r="AP47" s="957"/>
      <c r="AQ47" s="957"/>
      <c r="AR47" s="957"/>
      <c r="AS47" s="957"/>
      <c r="AT47" s="957"/>
      <c r="AU47" s="957"/>
      <c r="AV47" s="957"/>
      <c r="AW47" s="957"/>
      <c r="AX47" s="957"/>
      <c r="AY47" s="957"/>
      <c r="AZ47" s="957"/>
      <c r="BA47" s="957"/>
      <c r="BB47" s="957"/>
      <c r="BC47" s="957"/>
      <c r="BD47" s="957"/>
      <c r="BE47" s="957"/>
      <c r="BF47" s="957"/>
      <c r="BG47" s="957"/>
    </row>
    <row r="48" spans="1:59">
      <c r="A48" s="2172"/>
      <c r="B48" s="2161" t="s">
        <v>8</v>
      </c>
      <c r="C48" s="2179" t="s">
        <v>13</v>
      </c>
      <c r="D48" s="86" t="s">
        <v>34</v>
      </c>
      <c r="E48" s="397">
        <v>8</v>
      </c>
      <c r="F48" s="148" t="s">
        <v>15</v>
      </c>
      <c r="G48" s="148" t="s">
        <v>15</v>
      </c>
      <c r="H48" s="367">
        <v>400.08330000000001</v>
      </c>
      <c r="I48" s="368">
        <v>17.509429999999998</v>
      </c>
      <c r="J48" s="234" t="s">
        <v>15</v>
      </c>
      <c r="K48" s="233" t="s">
        <v>15</v>
      </c>
      <c r="L48" s="234" t="s">
        <v>15</v>
      </c>
      <c r="M48" s="233" t="s">
        <v>15</v>
      </c>
      <c r="N48" s="1194">
        <v>122.9339384</v>
      </c>
      <c r="O48" s="142">
        <v>0.36</v>
      </c>
      <c r="P48" s="142">
        <v>342.554914</v>
      </c>
      <c r="Q48" s="333">
        <f>91/$T$33</f>
        <v>8.0824947374965586E-4</v>
      </c>
      <c r="R48" s="2129">
        <f>SUMPRODUCT(N48:N54,Q48:Q54)</f>
        <v>78.060123726879169</v>
      </c>
      <c r="S48" s="303"/>
      <c r="T48" s="252"/>
      <c r="U48" s="863"/>
      <c r="V48" s="24"/>
      <c r="W48" s="26"/>
      <c r="X48" s="26"/>
      <c r="Y48" s="41"/>
      <c r="Z48" s="41"/>
      <c r="AA48" s="41"/>
      <c r="AB48" s="846"/>
      <c r="AC48" s="26"/>
      <c r="AD48" s="26"/>
      <c r="AE48" s="26"/>
      <c r="AF48" s="106"/>
      <c r="AG48" s="37"/>
      <c r="AH48" s="957"/>
      <c r="AI48" s="957"/>
      <c r="AJ48" s="957"/>
      <c r="AK48" s="957"/>
      <c r="AL48" s="957"/>
      <c r="AM48" s="957"/>
      <c r="AN48" s="957"/>
      <c r="AO48" s="957"/>
      <c r="AP48" s="957"/>
      <c r="AQ48" s="957"/>
      <c r="AR48" s="957"/>
      <c r="AS48" s="957"/>
      <c r="AT48" s="957"/>
      <c r="AU48" s="957"/>
      <c r="AV48" s="957"/>
      <c r="AW48" s="957"/>
      <c r="AX48" s="957"/>
      <c r="AY48" s="957"/>
      <c r="AZ48" s="957"/>
      <c r="BA48" s="957"/>
      <c r="BB48" s="957"/>
      <c r="BC48" s="957"/>
      <c r="BD48" s="957"/>
      <c r="BE48" s="957"/>
      <c r="BF48" s="957"/>
      <c r="BG48" s="957"/>
    </row>
    <row r="49" spans="1:123">
      <c r="A49" s="2172"/>
      <c r="B49" s="2161"/>
      <c r="C49" s="2187"/>
      <c r="D49" s="86" t="s">
        <v>35</v>
      </c>
      <c r="E49" s="397">
        <v>22</v>
      </c>
      <c r="F49" s="148" t="s">
        <v>15</v>
      </c>
      <c r="G49" s="148" t="s">
        <v>15</v>
      </c>
      <c r="H49" s="367">
        <v>896.60810000000004</v>
      </c>
      <c r="I49" s="368">
        <v>120.62820000000001</v>
      </c>
      <c r="J49" s="234" t="s">
        <v>15</v>
      </c>
      <c r="K49" s="233" t="s">
        <v>15</v>
      </c>
      <c r="L49" s="234" t="s">
        <v>15</v>
      </c>
      <c r="M49" s="233" t="s">
        <v>15</v>
      </c>
      <c r="N49" s="1194">
        <v>213.1541981</v>
      </c>
      <c r="O49" s="142">
        <v>0.59</v>
      </c>
      <c r="P49" s="142">
        <v>363.80793</v>
      </c>
      <c r="Q49" s="333">
        <f>27/$T$33</f>
        <v>2.3981028342022755E-4</v>
      </c>
      <c r="R49" s="2129"/>
      <c r="S49" s="303"/>
      <c r="T49" s="252"/>
      <c r="U49" s="863"/>
      <c r="V49" s="24"/>
      <c r="W49" s="26"/>
      <c r="X49" s="26"/>
      <c r="Y49" s="41"/>
      <c r="Z49" s="41"/>
      <c r="AA49" s="41"/>
      <c r="AB49" s="846"/>
      <c r="AC49" s="26"/>
      <c r="AD49" s="26"/>
      <c r="AE49" s="26"/>
      <c r="AF49" s="106"/>
      <c r="AG49" s="37"/>
      <c r="AH49" s="957"/>
      <c r="AI49" s="957"/>
      <c r="AJ49" s="957"/>
      <c r="AK49" s="957"/>
      <c r="AL49" s="957"/>
      <c r="AM49" s="957"/>
      <c r="AN49" s="957"/>
      <c r="AO49" s="957"/>
      <c r="AP49" s="957"/>
      <c r="AQ49" s="957"/>
      <c r="AR49" s="957"/>
      <c r="AS49" s="957"/>
      <c r="AT49" s="957"/>
      <c r="AU49" s="957"/>
      <c r="AV49" s="957"/>
      <c r="AW49" s="957"/>
      <c r="AX49" s="957"/>
      <c r="AY49" s="957"/>
      <c r="AZ49" s="957"/>
      <c r="BA49" s="957"/>
      <c r="BB49" s="957"/>
      <c r="BC49" s="957"/>
      <c r="BD49" s="957"/>
      <c r="BE49" s="957"/>
      <c r="BF49" s="957"/>
      <c r="BG49" s="957"/>
    </row>
    <row r="50" spans="1:123">
      <c r="A50" s="2172"/>
      <c r="B50" s="2161"/>
      <c r="C50" s="2187"/>
      <c r="D50" s="86" t="s">
        <v>691</v>
      </c>
      <c r="E50" s="397">
        <v>12</v>
      </c>
      <c r="F50" s="148" t="s">
        <v>15</v>
      </c>
      <c r="G50" s="148" t="s">
        <v>15</v>
      </c>
      <c r="H50" s="367">
        <v>863.94209999999998</v>
      </c>
      <c r="I50" s="368">
        <v>167.84569999999999</v>
      </c>
      <c r="J50" s="234" t="s">
        <v>15</v>
      </c>
      <c r="K50" s="233" t="s">
        <v>15</v>
      </c>
      <c r="L50" s="234" t="s">
        <v>15</v>
      </c>
      <c r="M50" s="233" t="s">
        <v>15</v>
      </c>
      <c r="N50" s="1194">
        <v>223.15556169999999</v>
      </c>
      <c r="O50" s="142">
        <v>0.64</v>
      </c>
      <c r="P50" s="142">
        <v>350.45196900000002</v>
      </c>
      <c r="Q50" s="333">
        <f>49/$T$33</f>
        <v>4.3521125509596851E-4</v>
      </c>
      <c r="R50" s="2129"/>
      <c r="S50" s="303"/>
      <c r="T50" s="252"/>
      <c r="U50" s="863"/>
      <c r="V50" s="24"/>
      <c r="W50" s="26"/>
      <c r="X50" s="26"/>
      <c r="Y50" s="41"/>
      <c r="Z50" s="41"/>
      <c r="AA50" s="41"/>
      <c r="AB50" s="846"/>
      <c r="AC50" s="26"/>
      <c r="AD50" s="26"/>
      <c r="AE50" s="26"/>
      <c r="AF50" s="106"/>
      <c r="AG50" s="37"/>
      <c r="AH50" s="957"/>
      <c r="AI50" s="957"/>
      <c r="AJ50" s="957"/>
      <c r="AK50" s="957"/>
      <c r="AL50" s="957"/>
      <c r="AM50" s="957"/>
      <c r="AN50" s="957"/>
      <c r="AO50" s="957"/>
      <c r="AP50" s="957"/>
      <c r="AQ50" s="957"/>
      <c r="AR50" s="957"/>
      <c r="AS50" s="957"/>
      <c r="AT50" s="957"/>
      <c r="AU50" s="957"/>
      <c r="AV50" s="957"/>
      <c r="AW50" s="957"/>
      <c r="AX50" s="957"/>
      <c r="AY50" s="957"/>
      <c r="AZ50" s="957"/>
      <c r="BA50" s="957"/>
      <c r="BB50" s="957"/>
      <c r="BC50" s="957"/>
      <c r="BD50" s="957"/>
      <c r="BE50" s="957"/>
      <c r="BF50" s="957"/>
      <c r="BG50" s="957"/>
    </row>
    <row r="51" spans="1:123">
      <c r="A51" s="2172"/>
      <c r="B51" s="2161"/>
      <c r="C51" s="2187"/>
      <c r="D51" s="86" t="s">
        <v>37</v>
      </c>
      <c r="E51" s="397">
        <v>4</v>
      </c>
      <c r="F51" s="148" t="s">
        <v>15</v>
      </c>
      <c r="G51" s="148" t="s">
        <v>15</v>
      </c>
      <c r="H51" s="367">
        <v>483.06240000000003</v>
      </c>
      <c r="I51" s="368">
        <v>9.8932079999999996</v>
      </c>
      <c r="J51" s="234" t="s">
        <v>15</v>
      </c>
      <c r="K51" s="233" t="s">
        <v>15</v>
      </c>
      <c r="L51" s="234" t="s">
        <v>15</v>
      </c>
      <c r="M51" s="233" t="s">
        <v>15</v>
      </c>
      <c r="N51" s="1194">
        <v>146.65917379999999</v>
      </c>
      <c r="O51" s="142">
        <v>0.42</v>
      </c>
      <c r="P51" s="142">
        <v>351.67478699999998</v>
      </c>
      <c r="Q51" s="333">
        <f>46/$T$33</f>
        <v>4.085656680492766E-4</v>
      </c>
      <c r="R51" s="2129"/>
      <c r="S51" s="303"/>
      <c r="T51" s="252"/>
      <c r="U51" s="863"/>
      <c r="V51" s="24"/>
      <c r="W51" s="26"/>
      <c r="X51" s="26"/>
      <c r="Y51" s="41"/>
      <c r="Z51" s="41"/>
      <c r="AA51" s="41"/>
      <c r="AB51" s="846"/>
      <c r="AC51" s="26"/>
      <c r="AD51" s="26"/>
      <c r="AE51" s="26"/>
      <c r="AF51" s="106"/>
      <c r="AG51" s="37"/>
      <c r="AH51" s="957"/>
      <c r="AI51" s="957"/>
      <c r="AJ51" s="957"/>
      <c r="AK51" s="957"/>
      <c r="AL51" s="957"/>
      <c r="AM51" s="957"/>
      <c r="AN51" s="957"/>
      <c r="AO51" s="957"/>
      <c r="AP51" s="957"/>
      <c r="AQ51" s="957"/>
      <c r="AR51" s="957"/>
      <c r="AS51" s="957"/>
      <c r="AT51" s="957"/>
      <c r="AU51" s="957"/>
      <c r="AV51" s="957"/>
      <c r="AW51" s="957"/>
      <c r="AX51" s="957"/>
      <c r="AY51" s="957"/>
      <c r="AZ51" s="957"/>
      <c r="BA51" s="957"/>
      <c r="BB51" s="957"/>
      <c r="BC51" s="957"/>
      <c r="BD51" s="957"/>
      <c r="BE51" s="957"/>
      <c r="BF51" s="957"/>
      <c r="BG51" s="957"/>
    </row>
    <row r="52" spans="1:123">
      <c r="A52" s="2172"/>
      <c r="B52" s="2161"/>
      <c r="C52" s="2187"/>
      <c r="D52" s="86" t="s">
        <v>38</v>
      </c>
      <c r="E52" s="395">
        <v>53</v>
      </c>
      <c r="F52" s="148" t="s">
        <v>15</v>
      </c>
      <c r="G52" s="148" t="s">
        <v>15</v>
      </c>
      <c r="H52" s="367">
        <v>924.8587</v>
      </c>
      <c r="I52" s="368">
        <v>98.529799999999994</v>
      </c>
      <c r="J52" s="234" t="s">
        <v>15</v>
      </c>
      <c r="K52" s="233" t="s">
        <v>15</v>
      </c>
      <c r="L52" s="234" t="s">
        <v>15</v>
      </c>
      <c r="M52" s="233" t="s">
        <v>15</v>
      </c>
      <c r="N52" s="1194">
        <v>211.93823750000001</v>
      </c>
      <c r="O52" s="142">
        <v>0.64</v>
      </c>
      <c r="P52" s="142">
        <v>333.59388100000001</v>
      </c>
      <c r="Q52" s="333">
        <f>4060/$T$33</f>
        <v>3.6060361136523104E-2</v>
      </c>
      <c r="R52" s="2129"/>
      <c r="S52" s="303"/>
      <c r="T52" s="252"/>
      <c r="U52" s="863"/>
      <c r="V52" s="24"/>
      <c r="W52" s="26"/>
      <c r="X52" s="26"/>
      <c r="Y52" s="41"/>
      <c r="Z52" s="41"/>
      <c r="AA52" s="41"/>
      <c r="AB52" s="846"/>
      <c r="AC52" s="26"/>
      <c r="AD52" s="26"/>
      <c r="AE52" s="26"/>
      <c r="AF52" s="106"/>
      <c r="AG52" s="37"/>
      <c r="AH52" s="957"/>
      <c r="AI52" s="957"/>
      <c r="AJ52" s="957"/>
      <c r="AK52" s="957"/>
      <c r="AL52" s="957"/>
      <c r="AM52" s="957"/>
      <c r="AN52" s="957"/>
      <c r="AO52" s="957"/>
      <c r="AP52" s="957"/>
      <c r="AQ52" s="957"/>
      <c r="AR52" s="957"/>
      <c r="AS52" s="957"/>
      <c r="AT52" s="957"/>
      <c r="AU52" s="957"/>
      <c r="AV52" s="957"/>
      <c r="AW52" s="957"/>
      <c r="AX52" s="957"/>
      <c r="AY52" s="957"/>
      <c r="AZ52" s="957"/>
      <c r="BA52" s="957"/>
      <c r="BB52" s="957"/>
      <c r="BC52" s="957"/>
      <c r="BD52" s="957"/>
      <c r="BE52" s="957"/>
      <c r="BF52" s="957"/>
      <c r="BG52" s="957"/>
    </row>
    <row r="53" spans="1:123">
      <c r="A53" s="2172"/>
      <c r="B53" s="2161"/>
      <c r="C53" s="2187"/>
      <c r="D53" s="86" t="s">
        <v>20</v>
      </c>
      <c r="E53" s="395">
        <v>409</v>
      </c>
      <c r="F53" s="148" t="s">
        <v>15</v>
      </c>
      <c r="G53" s="148" t="s">
        <v>15</v>
      </c>
      <c r="H53" s="367">
        <v>549.56590000000006</v>
      </c>
      <c r="I53" s="368">
        <v>145.41919999999999</v>
      </c>
      <c r="J53" s="234" t="s">
        <v>15</v>
      </c>
      <c r="K53" s="233" t="s">
        <v>15</v>
      </c>
      <c r="L53" s="234" t="s">
        <v>15</v>
      </c>
      <c r="M53" s="233" t="s">
        <v>15</v>
      </c>
      <c r="N53" s="1194">
        <v>72.878526199999996</v>
      </c>
      <c r="O53" s="142">
        <v>0.22</v>
      </c>
      <c r="P53" s="142">
        <v>333.35490800000002</v>
      </c>
      <c r="Q53" s="333">
        <f>108312/$T$33</f>
        <v>0.96201227473376616</v>
      </c>
      <c r="R53" s="2129"/>
      <c r="S53" s="303"/>
      <c r="T53" s="252"/>
      <c r="U53" s="863"/>
      <c r="V53" s="24"/>
      <c r="W53" s="26"/>
      <c r="X53" s="26"/>
      <c r="Y53" s="41"/>
      <c r="Z53" s="41"/>
      <c r="AA53" s="41"/>
      <c r="AB53" s="846"/>
      <c r="AC53" s="26"/>
      <c r="AD53" s="26"/>
      <c r="AE53" s="26"/>
      <c r="AF53" s="106"/>
      <c r="AG53" s="37"/>
      <c r="AH53" s="957"/>
      <c r="AI53" s="957"/>
      <c r="AJ53" s="957"/>
      <c r="AK53" s="957"/>
      <c r="AL53" s="957"/>
      <c r="AM53" s="957"/>
      <c r="AN53" s="957"/>
      <c r="AO53" s="957"/>
      <c r="AP53" s="957"/>
      <c r="AQ53" s="957"/>
      <c r="AR53" s="957"/>
      <c r="AS53" s="957"/>
      <c r="AT53" s="957"/>
      <c r="AU53" s="957"/>
      <c r="AV53" s="957"/>
      <c r="AW53" s="957"/>
      <c r="AX53" s="957"/>
      <c r="AY53" s="957"/>
      <c r="AZ53" s="957"/>
      <c r="BA53" s="957"/>
      <c r="BB53" s="957"/>
      <c r="BC53" s="957"/>
      <c r="BD53" s="957"/>
      <c r="BE53" s="957"/>
      <c r="BF53" s="957"/>
      <c r="BG53" s="957"/>
    </row>
    <row r="54" spans="1:123" ht="15.75" thickBot="1">
      <c r="A54" s="2188"/>
      <c r="B54" s="2321"/>
      <c r="C54" s="2322"/>
      <c r="D54" s="287" t="s">
        <v>36</v>
      </c>
      <c r="E54" s="398">
        <v>4</v>
      </c>
      <c r="F54" s="270" t="s">
        <v>15</v>
      </c>
      <c r="G54" s="270" t="s">
        <v>15</v>
      </c>
      <c r="H54" s="367">
        <v>445.21530000000001</v>
      </c>
      <c r="I54" s="368">
        <v>88.171310000000005</v>
      </c>
      <c r="J54" s="269" t="s">
        <v>15</v>
      </c>
      <c r="K54" s="1134" t="s">
        <v>15</v>
      </c>
      <c r="L54" s="269" t="s">
        <v>15</v>
      </c>
      <c r="M54" s="1134" t="s">
        <v>15</v>
      </c>
      <c r="N54" s="1196">
        <v>0</v>
      </c>
      <c r="O54" s="399" t="s">
        <v>574</v>
      </c>
      <c r="P54" s="399" t="s">
        <v>574</v>
      </c>
      <c r="Q54" s="286">
        <f>5/$T$33</f>
        <v>4.4409311744486584E-5</v>
      </c>
      <c r="R54" s="2327"/>
      <c r="S54" s="303"/>
      <c r="T54" s="252"/>
      <c r="U54" s="863"/>
      <c r="V54" s="24"/>
      <c r="W54" s="26"/>
      <c r="X54" s="26"/>
      <c r="Y54" s="41"/>
      <c r="Z54" s="175"/>
      <c r="AA54" s="813"/>
      <c r="AB54" s="846"/>
      <c r="AC54" s="26"/>
      <c r="AD54" s="26"/>
      <c r="AE54" s="26"/>
      <c r="AF54" s="106"/>
      <c r="AG54" s="37"/>
      <c r="AH54" s="957"/>
      <c r="AI54" s="957"/>
      <c r="AJ54" s="957"/>
      <c r="AK54" s="957"/>
      <c r="AL54" s="957"/>
      <c r="AM54" s="957"/>
      <c r="AN54" s="957"/>
      <c r="AO54" s="957"/>
      <c r="AP54" s="957"/>
      <c r="AQ54" s="957"/>
      <c r="AR54" s="957"/>
      <c r="AS54" s="957"/>
      <c r="AT54" s="957"/>
      <c r="AU54" s="957"/>
      <c r="AV54" s="957"/>
      <c r="AW54" s="957"/>
      <c r="AX54" s="957"/>
      <c r="AY54" s="957"/>
      <c r="AZ54" s="957"/>
      <c r="BA54" s="957"/>
      <c r="BB54" s="957"/>
      <c r="BC54" s="957"/>
      <c r="BD54" s="957"/>
      <c r="BE54" s="957"/>
      <c r="BF54" s="957"/>
      <c r="BG54" s="957"/>
    </row>
    <row r="55" spans="1:123" s="705" customFormat="1" ht="9" customHeight="1" thickBot="1">
      <c r="A55" s="695"/>
      <c r="B55" s="818"/>
      <c r="C55" s="684"/>
      <c r="D55" s="683"/>
      <c r="E55" s="684"/>
      <c r="F55" s="684"/>
      <c r="G55" s="684"/>
      <c r="H55" s="684"/>
      <c r="I55" s="684"/>
      <c r="J55" s="698"/>
      <c r="K55" s="699"/>
      <c r="L55" s="698"/>
      <c r="M55" s="700"/>
      <c r="N55" s="1197"/>
      <c r="O55" s="701"/>
      <c r="P55" s="701"/>
      <c r="Q55" s="702"/>
      <c r="R55" s="702"/>
      <c r="S55" s="688"/>
      <c r="T55" s="688"/>
      <c r="U55" s="854"/>
      <c r="V55" s="886"/>
      <c r="W55" s="700"/>
      <c r="X55" s="700"/>
      <c r="Y55" s="704"/>
      <c r="Z55" s="704"/>
      <c r="AA55" s="704"/>
      <c r="AB55" s="846"/>
      <c r="AC55" s="685"/>
      <c r="AD55" s="685"/>
      <c r="AE55" s="685"/>
      <c r="AF55" s="689"/>
      <c r="AG55" s="685"/>
      <c r="AH55" s="959"/>
      <c r="AI55" s="959"/>
      <c r="AJ55" s="959"/>
      <c r="AK55" s="959"/>
      <c r="AL55" s="959"/>
      <c r="AM55" s="959"/>
      <c r="AN55" s="959"/>
      <c r="AO55" s="959"/>
      <c r="AP55" s="959"/>
      <c r="AQ55" s="959"/>
      <c r="AR55" s="959"/>
      <c r="AS55" s="959"/>
      <c r="AT55" s="959"/>
      <c r="AU55" s="959"/>
      <c r="AV55" s="959"/>
      <c r="AW55" s="959"/>
      <c r="AX55" s="959"/>
      <c r="AY55" s="959"/>
      <c r="AZ55" s="959"/>
      <c r="BA55" s="959"/>
      <c r="BB55" s="959"/>
      <c r="BC55" s="959"/>
      <c r="BD55" s="959"/>
      <c r="BE55" s="959"/>
      <c r="BF55" s="959"/>
      <c r="BG55" s="959"/>
      <c r="BH55" s="1125"/>
      <c r="CF55" s="692"/>
      <c r="CG55" s="692"/>
      <c r="CH55" s="692"/>
      <c r="CI55" s="692"/>
      <c r="CJ55" s="692"/>
      <c r="CK55" s="692"/>
      <c r="CL55" s="692"/>
      <c r="CM55" s="692"/>
      <c r="CN55" s="692"/>
      <c r="CO55" s="692"/>
      <c r="CP55" s="692"/>
      <c r="CQ55" s="692"/>
      <c r="CR55" s="692"/>
      <c r="CS55" s="692"/>
      <c r="CT55" s="692"/>
      <c r="CU55" s="692"/>
      <c r="CV55" s="692"/>
      <c r="CW55" s="692"/>
      <c r="CX55" s="692"/>
      <c r="CY55" s="692"/>
      <c r="CZ55" s="692"/>
      <c r="DA55" s="692"/>
      <c r="DB55" s="692"/>
      <c r="DC55" s="692"/>
      <c r="DD55" s="692"/>
      <c r="DE55" s="692"/>
      <c r="DF55" s="692"/>
      <c r="DG55" s="692"/>
      <c r="DH55" s="692"/>
      <c r="DI55" s="693"/>
      <c r="DJ55" s="692"/>
      <c r="DK55" s="692"/>
      <c r="DL55" s="692"/>
      <c r="DM55" s="692"/>
      <c r="DN55" s="692"/>
      <c r="DO55" s="692"/>
      <c r="DP55" s="692"/>
      <c r="DQ55" s="692"/>
      <c r="DR55" s="692"/>
      <c r="DS55" s="692"/>
    </row>
    <row r="56" spans="1:123" ht="15" customHeight="1">
      <c r="A56" s="2171" t="s">
        <v>1143</v>
      </c>
      <c r="B56" s="819" t="s">
        <v>673</v>
      </c>
      <c r="C56" s="809" t="s">
        <v>12</v>
      </c>
      <c r="D56" s="401" t="s">
        <v>692</v>
      </c>
      <c r="E56" s="435">
        <v>754</v>
      </c>
      <c r="F56" s="424">
        <v>2.8223729999999998</v>
      </c>
      <c r="G56" s="424">
        <v>0.37051699999999999</v>
      </c>
      <c r="H56" s="367">
        <v>725.9896</v>
      </c>
      <c r="I56" s="368">
        <v>191.3133</v>
      </c>
      <c r="J56" s="298" t="s">
        <v>15</v>
      </c>
      <c r="K56" s="1135" t="s">
        <v>15</v>
      </c>
      <c r="L56" s="218" t="s">
        <v>12</v>
      </c>
      <c r="M56" s="307" t="s">
        <v>675</v>
      </c>
      <c r="N56" s="1198">
        <v>28.898790300000002</v>
      </c>
      <c r="O56" s="382">
        <v>2.2400000000000002</v>
      </c>
      <c r="P56" s="382">
        <v>12.877808</v>
      </c>
      <c r="Q56" s="254" t="s">
        <v>15</v>
      </c>
      <c r="R56" s="259">
        <f>N56</f>
        <v>28.898790300000002</v>
      </c>
      <c r="S56" s="135" t="s">
        <v>68</v>
      </c>
      <c r="T56" s="129" t="s">
        <v>69</v>
      </c>
      <c r="U56" s="858"/>
      <c r="V56" s="2232" t="s">
        <v>108</v>
      </c>
      <c r="W56" s="491" t="s">
        <v>47</v>
      </c>
      <c r="X56" s="492" t="s">
        <v>849</v>
      </c>
      <c r="Y56" s="169">
        <f>$T$35+SUM($R$30:$R$54)+$N$28*1.26+$N$29*3.5</f>
        <v>466.37384380138769</v>
      </c>
      <c r="Z56" s="95" t="s">
        <v>40</v>
      </c>
      <c r="AA56" s="422" t="s">
        <v>40</v>
      </c>
      <c r="AB56" s="846"/>
      <c r="AC56" s="908" t="s">
        <v>722</v>
      </c>
      <c r="AD56" s="2230" t="s">
        <v>142</v>
      </c>
      <c r="AE56" s="2231"/>
      <c r="AF56" s="106"/>
      <c r="AG56" s="37"/>
      <c r="AH56" s="957"/>
      <c r="AI56" s="957"/>
      <c r="AJ56" s="957"/>
      <c r="AK56" s="957"/>
      <c r="AL56" s="957"/>
      <c r="AM56" s="957"/>
      <c r="AN56" s="957"/>
      <c r="AO56" s="957"/>
      <c r="AP56" s="957"/>
      <c r="AQ56" s="957"/>
      <c r="AR56" s="957"/>
      <c r="AS56" s="957"/>
      <c r="AT56" s="957"/>
      <c r="AU56" s="957"/>
      <c r="AV56" s="957"/>
      <c r="AW56" s="957"/>
      <c r="AX56" s="957"/>
      <c r="AY56" s="957"/>
      <c r="AZ56" s="957"/>
      <c r="BA56" s="957"/>
      <c r="BB56" s="957"/>
      <c r="BC56" s="957"/>
      <c r="BD56" s="957"/>
      <c r="BE56" s="957"/>
      <c r="BF56" s="957"/>
      <c r="BG56" s="957"/>
    </row>
    <row r="57" spans="1:123">
      <c r="A57" s="2172"/>
      <c r="B57" s="817" t="s">
        <v>676</v>
      </c>
      <c r="C57" s="356" t="s">
        <v>12</v>
      </c>
      <c r="D57" s="86" t="s">
        <v>693</v>
      </c>
      <c r="E57" s="436">
        <v>754</v>
      </c>
      <c r="F57" s="425">
        <v>3.7057190000000002</v>
      </c>
      <c r="G57" s="425">
        <v>0.35331499999999999</v>
      </c>
      <c r="H57" s="367">
        <v>725.9896</v>
      </c>
      <c r="I57" s="368">
        <v>191.3133</v>
      </c>
      <c r="J57" s="234" t="s">
        <v>15</v>
      </c>
      <c r="K57" s="233" t="s">
        <v>15</v>
      </c>
      <c r="L57" s="289" t="s">
        <v>12</v>
      </c>
      <c r="M57" s="15" t="s">
        <v>678</v>
      </c>
      <c r="N57" s="1194">
        <v>233.54923170000001</v>
      </c>
      <c r="O57" s="142">
        <v>14.97</v>
      </c>
      <c r="P57" s="142">
        <v>15.601038000000001</v>
      </c>
      <c r="Q57" s="195" t="s">
        <v>15</v>
      </c>
      <c r="R57" s="128">
        <f>N57</f>
        <v>233.54923170000001</v>
      </c>
      <c r="S57" s="324" t="s">
        <v>70</v>
      </c>
      <c r="T57" s="117" t="s">
        <v>71</v>
      </c>
      <c r="U57" s="854"/>
      <c r="V57" s="2233"/>
      <c r="W57" s="493" t="s">
        <v>49</v>
      </c>
      <c r="X57" s="494" t="s">
        <v>857</v>
      </c>
      <c r="Y57" s="169">
        <f>$T$63+SUM($R$58:$R$94)+$N$56*2+$N$57*3.5</f>
        <v>676.49543387293215</v>
      </c>
      <c r="Z57" s="169">
        <f>Y57-$Y$28</f>
        <v>210.12159007154446</v>
      </c>
      <c r="AA57" s="576">
        <f>(2-1.26)*$P$56</f>
        <v>9.5295779199999995</v>
      </c>
      <c r="AB57" s="918"/>
      <c r="AC57" s="906" t="s">
        <v>543</v>
      </c>
      <c r="AD57" s="292" t="s">
        <v>98</v>
      </c>
      <c r="AE57" s="278">
        <v>5.0859791544964562E-4</v>
      </c>
      <c r="AF57" s="106"/>
      <c r="AG57" s="37"/>
      <c r="AH57" s="957"/>
      <c r="AI57" s="957"/>
      <c r="AJ57" s="957"/>
      <c r="AK57" s="957"/>
      <c r="AL57" s="957"/>
      <c r="AM57" s="957"/>
      <c r="AN57" s="957"/>
      <c r="AO57" s="957"/>
      <c r="AP57" s="957"/>
      <c r="AQ57" s="957"/>
      <c r="AR57" s="957"/>
      <c r="AS57" s="957"/>
      <c r="AT57" s="957"/>
      <c r="AU57" s="957"/>
      <c r="AV57" s="957"/>
      <c r="AW57" s="957"/>
      <c r="AX57" s="957"/>
      <c r="AY57" s="957"/>
      <c r="AZ57" s="957"/>
      <c r="BA57" s="957"/>
      <c r="BB57" s="957"/>
      <c r="BC57" s="957"/>
      <c r="BD57" s="957"/>
      <c r="BE57" s="957"/>
      <c r="BF57" s="957"/>
      <c r="BG57" s="957"/>
    </row>
    <row r="58" spans="1:123">
      <c r="A58" s="2172"/>
      <c r="B58" s="2161" t="s">
        <v>694</v>
      </c>
      <c r="C58" s="2144" t="s">
        <v>11</v>
      </c>
      <c r="D58" s="86" t="s">
        <v>33</v>
      </c>
      <c r="E58" s="436">
        <v>318</v>
      </c>
      <c r="F58" s="148" t="s">
        <v>15</v>
      </c>
      <c r="G58" s="148" t="s">
        <v>15</v>
      </c>
      <c r="H58" s="367">
        <v>881.89089999999999</v>
      </c>
      <c r="I58" s="368">
        <v>170.5873</v>
      </c>
      <c r="J58" s="234" t="s">
        <v>15</v>
      </c>
      <c r="K58" s="233" t="s">
        <v>15</v>
      </c>
      <c r="L58" s="234" t="s">
        <v>15</v>
      </c>
      <c r="M58" s="233" t="s">
        <v>15</v>
      </c>
      <c r="N58" s="1194">
        <v>58.758213099999999</v>
      </c>
      <c r="O58" s="142">
        <v>4.3</v>
      </c>
      <c r="P58" s="142">
        <v>13.665941</v>
      </c>
      <c r="Q58" s="128">
        <f>26179/$T$61</f>
        <v>0.29159705050235024</v>
      </c>
      <c r="R58" s="2129">
        <f>SUMPRODUCT(N58:N59,Q58:Q59)</f>
        <v>17.133721632748557</v>
      </c>
      <c r="S58" s="135" t="s">
        <v>72</v>
      </c>
      <c r="T58" s="201" t="s">
        <v>119</v>
      </c>
      <c r="U58" s="855"/>
      <c r="V58" s="2233"/>
      <c r="W58" s="493" t="s">
        <v>49</v>
      </c>
      <c r="X58" s="494" t="s">
        <v>858</v>
      </c>
      <c r="Y58" s="169">
        <f>$T$63+SUM($R$58:$R$94)+$N$56*2.2+$N$57*3.5</f>
        <v>682.2751919329321</v>
      </c>
      <c r="Z58" s="169">
        <f>Y58-$Y$28</f>
        <v>215.90134813154441</v>
      </c>
      <c r="AA58" s="576">
        <f>(2.2-1.26)*$P$56</f>
        <v>12.105139520000002</v>
      </c>
      <c r="AB58" s="918"/>
      <c r="AC58" s="347"/>
      <c r="AD58" s="292" t="s">
        <v>109</v>
      </c>
      <c r="AE58" s="278">
        <v>1.6500320712526709E-3</v>
      </c>
      <c r="AF58" s="106"/>
      <c r="AG58" s="37"/>
      <c r="AH58" s="957"/>
      <c r="AI58" s="957"/>
      <c r="AJ58" s="957"/>
      <c r="AK58" s="957"/>
      <c r="AL58" s="957"/>
      <c r="AM58" s="957"/>
      <c r="AN58" s="957"/>
      <c r="AO58" s="957"/>
      <c r="AP58" s="957"/>
      <c r="AQ58" s="957"/>
      <c r="AR58" s="957"/>
      <c r="AS58" s="957"/>
      <c r="AT58" s="957"/>
      <c r="AU58" s="957"/>
      <c r="AV58" s="957"/>
      <c r="AW58" s="957"/>
      <c r="AX58" s="957"/>
      <c r="AY58" s="957"/>
      <c r="AZ58" s="957"/>
      <c r="BA58" s="957"/>
      <c r="BB58" s="957"/>
      <c r="BC58" s="957"/>
      <c r="BD58" s="957"/>
      <c r="BE58" s="957"/>
      <c r="BF58" s="957"/>
      <c r="BG58" s="957"/>
    </row>
    <row r="59" spans="1:123">
      <c r="A59" s="2172"/>
      <c r="B59" s="2161"/>
      <c r="C59" s="2144"/>
      <c r="D59" s="86" t="s">
        <v>32</v>
      </c>
      <c r="E59" s="437">
        <v>436</v>
      </c>
      <c r="F59" s="148" t="s">
        <v>15</v>
      </c>
      <c r="G59" s="148" t="s">
        <v>15</v>
      </c>
      <c r="H59" s="367">
        <v>661.81389999999999</v>
      </c>
      <c r="I59" s="368">
        <v>159.89009999999999</v>
      </c>
      <c r="J59" s="234" t="s">
        <v>15</v>
      </c>
      <c r="K59" s="233" t="s">
        <v>15</v>
      </c>
      <c r="L59" s="234" t="s">
        <v>15</v>
      </c>
      <c r="M59" s="233" t="s">
        <v>15</v>
      </c>
      <c r="N59" s="1194">
        <v>0</v>
      </c>
      <c r="O59" s="142" t="s">
        <v>574</v>
      </c>
      <c r="P59" s="142" t="s">
        <v>574</v>
      </c>
      <c r="Q59" s="128">
        <f>63599/$T$61</f>
        <v>0.7084029494976497</v>
      </c>
      <c r="R59" s="2129"/>
      <c r="S59" s="356" t="s">
        <v>73</v>
      </c>
      <c r="T59" s="400"/>
      <c r="U59" s="859"/>
      <c r="V59" s="2233"/>
      <c r="W59" s="493" t="s">
        <v>49</v>
      </c>
      <c r="X59" s="494" t="s">
        <v>859</v>
      </c>
      <c r="Y59" s="169">
        <f>$T$63+SUM($R$58:$R$94)+$N$56*2.4+$N$57*3.5</f>
        <v>688.05494999293205</v>
      </c>
      <c r="Z59" s="169">
        <f>Y59-$Y$28</f>
        <v>221.68110619154436</v>
      </c>
      <c r="AA59" s="576">
        <f>(2.4-1.26)*$P$56</f>
        <v>14.680701119999998</v>
      </c>
      <c r="AB59" s="918"/>
      <c r="AC59" s="26"/>
      <c r="AD59" s="292" t="s">
        <v>110</v>
      </c>
      <c r="AE59" s="278">
        <v>-2.1984199493367055E-2</v>
      </c>
      <c r="AF59" s="106"/>
      <c r="AG59" s="37"/>
      <c r="AH59" s="957"/>
      <c r="AI59" s="957"/>
      <c r="AJ59" s="957"/>
      <c r="AK59" s="957"/>
      <c r="AL59" s="957"/>
      <c r="AM59" s="957"/>
      <c r="AN59" s="957"/>
      <c r="AO59" s="957"/>
      <c r="AP59" s="957"/>
      <c r="AQ59" s="957"/>
      <c r="AR59" s="957"/>
      <c r="AS59" s="957"/>
      <c r="AT59" s="957"/>
      <c r="AU59" s="957"/>
      <c r="AV59" s="957"/>
      <c r="AW59" s="957"/>
      <c r="AX59" s="957"/>
      <c r="AY59" s="957"/>
      <c r="AZ59" s="957"/>
      <c r="BA59" s="957"/>
      <c r="BB59" s="957"/>
      <c r="BC59" s="957"/>
      <c r="BD59" s="957"/>
      <c r="BE59" s="957"/>
      <c r="BF59" s="957"/>
      <c r="BG59" s="957"/>
    </row>
    <row r="60" spans="1:123">
      <c r="A60" s="2172"/>
      <c r="B60" s="2161" t="s">
        <v>695</v>
      </c>
      <c r="C60" s="2144" t="s">
        <v>13</v>
      </c>
      <c r="D60" s="86" t="s">
        <v>696</v>
      </c>
      <c r="E60" s="436">
        <v>219</v>
      </c>
      <c r="F60" s="148" t="s">
        <v>15</v>
      </c>
      <c r="G60" s="148" t="s">
        <v>15</v>
      </c>
      <c r="H60" s="367">
        <v>886.03110000000004</v>
      </c>
      <c r="I60" s="368">
        <v>241.14189999999999</v>
      </c>
      <c r="J60" s="234" t="s">
        <v>15</v>
      </c>
      <c r="K60" s="233" t="s">
        <v>15</v>
      </c>
      <c r="L60" s="234" t="s">
        <v>15</v>
      </c>
      <c r="M60" s="233" t="s">
        <v>15</v>
      </c>
      <c r="N60" s="1194">
        <v>93.127766600000001</v>
      </c>
      <c r="O60" s="142">
        <v>4.45</v>
      </c>
      <c r="P60" s="142">
        <v>20.942637000000001</v>
      </c>
      <c r="Q60" s="128">
        <f>5501.8/$T$61</f>
        <v>6.1282274053777099E-2</v>
      </c>
      <c r="R60" s="2129">
        <f>SUMPRODUCT(N60:N64,Q60:Q64)</f>
        <v>10.616473626279944</v>
      </c>
      <c r="S60" s="135" t="s">
        <v>74</v>
      </c>
      <c r="T60" s="203" t="s">
        <v>75</v>
      </c>
      <c r="U60" s="858"/>
      <c r="V60" s="2233"/>
      <c r="W60" s="493" t="s">
        <v>47</v>
      </c>
      <c r="X60" s="494" t="s">
        <v>853</v>
      </c>
      <c r="Y60" s="169">
        <f>$T$35+SUM($R$30:$R$54)+$N$28*1.26+$N$29*4</f>
        <v>567.83954675138773</v>
      </c>
      <c r="Z60" s="95" t="s">
        <v>40</v>
      </c>
      <c r="AA60" s="422" t="s">
        <v>40</v>
      </c>
      <c r="AB60" s="846"/>
      <c r="AC60" s="26"/>
      <c r="AD60" s="292" t="s">
        <v>111</v>
      </c>
      <c r="AE60" s="278">
        <v>0.19719532554257097</v>
      </c>
      <c r="AF60" s="106"/>
      <c r="AG60" s="37"/>
      <c r="AH60" s="957"/>
      <c r="AI60" s="957"/>
      <c r="AJ60" s="957"/>
      <c r="AK60" s="957"/>
      <c r="AL60" s="957"/>
      <c r="AM60" s="957"/>
      <c r="AN60" s="957"/>
      <c r="AO60" s="957"/>
      <c r="AP60" s="957"/>
      <c r="AQ60" s="957"/>
      <c r="AR60" s="957"/>
      <c r="AS60" s="957"/>
      <c r="AT60" s="957"/>
      <c r="AU60" s="957"/>
      <c r="AV60" s="957"/>
      <c r="AW60" s="957"/>
      <c r="AX60" s="957"/>
      <c r="AY60" s="957"/>
      <c r="AZ60" s="957"/>
      <c r="BA60" s="957"/>
      <c r="BB60" s="957"/>
      <c r="BC60" s="957"/>
      <c r="BD60" s="957"/>
      <c r="BE60" s="957"/>
      <c r="BF60" s="957"/>
      <c r="BG60" s="957"/>
    </row>
    <row r="61" spans="1:123">
      <c r="A61" s="2172"/>
      <c r="B61" s="2161"/>
      <c r="C61" s="2144"/>
      <c r="D61" s="86" t="s">
        <v>697</v>
      </c>
      <c r="E61" s="436">
        <v>150</v>
      </c>
      <c r="F61" s="148" t="s">
        <v>15</v>
      </c>
      <c r="G61" s="148" t="s">
        <v>15</v>
      </c>
      <c r="H61" s="367">
        <v>787.4402</v>
      </c>
      <c r="I61" s="368">
        <v>211.49860000000001</v>
      </c>
      <c r="J61" s="234" t="s">
        <v>15</v>
      </c>
      <c r="K61" s="233" t="s">
        <v>15</v>
      </c>
      <c r="L61" s="234" t="s">
        <v>15</v>
      </c>
      <c r="M61" s="233" t="s">
        <v>15</v>
      </c>
      <c r="N61" s="1194">
        <v>80.854192900000001</v>
      </c>
      <c r="O61" s="142">
        <v>6.32</v>
      </c>
      <c r="P61" s="142">
        <v>12.791881999999999</v>
      </c>
      <c r="Q61" s="128">
        <f>20223.58/$T$61</f>
        <v>0.22526209093541849</v>
      </c>
      <c r="R61" s="2129"/>
      <c r="S61" s="381">
        <v>754</v>
      </c>
      <c r="T61" s="426">
        <v>89778</v>
      </c>
      <c r="U61" s="860"/>
      <c r="V61" s="2233"/>
      <c r="W61" s="493" t="s">
        <v>49</v>
      </c>
      <c r="X61" s="494" t="s">
        <v>860</v>
      </c>
      <c r="Y61" s="169">
        <f>$T$63+SUM($R$58:$R$94)+$N$56*2+$N$57*3.5</f>
        <v>676.49543387293215</v>
      </c>
      <c r="Z61" s="169">
        <f>Y61-$Y$32</f>
        <v>108.65588712154442</v>
      </c>
      <c r="AA61" s="576">
        <f>(2-1.26)*$P$56</f>
        <v>9.5295779199999995</v>
      </c>
      <c r="AB61" s="918"/>
      <c r="AC61" s="26"/>
      <c r="AD61" s="292" t="s">
        <v>681</v>
      </c>
      <c r="AE61" s="278">
        <v>0.2255660831468298</v>
      </c>
      <c r="AF61" s="106"/>
      <c r="AG61" s="37"/>
      <c r="AH61" s="957"/>
      <c r="AI61" s="957"/>
      <c r="AJ61" s="957"/>
      <c r="AK61" s="957"/>
      <c r="AL61" s="957"/>
      <c r="AM61" s="957"/>
      <c r="AN61" s="957"/>
      <c r="AO61" s="957"/>
      <c r="AP61" s="957"/>
      <c r="AQ61" s="957"/>
      <c r="AR61" s="957"/>
      <c r="AS61" s="957"/>
      <c r="AT61" s="957"/>
      <c r="AU61" s="957"/>
      <c r="AV61" s="957"/>
      <c r="AW61" s="957"/>
      <c r="AX61" s="957"/>
      <c r="AY61" s="957"/>
      <c r="AZ61" s="957"/>
      <c r="BA61" s="957"/>
      <c r="BB61" s="957"/>
      <c r="BC61" s="957"/>
      <c r="BD61" s="957"/>
      <c r="BE61" s="957"/>
      <c r="BF61" s="957"/>
      <c r="BG61" s="957"/>
    </row>
    <row r="62" spans="1:123">
      <c r="A62" s="2172"/>
      <c r="B62" s="2161"/>
      <c r="C62" s="2144"/>
      <c r="D62" s="86" t="s">
        <v>698</v>
      </c>
      <c r="E62" s="436">
        <v>238</v>
      </c>
      <c r="F62" s="148" t="s">
        <v>15</v>
      </c>
      <c r="G62" s="148" t="s">
        <v>15</v>
      </c>
      <c r="H62" s="367">
        <v>732.98059999999998</v>
      </c>
      <c r="I62" s="368">
        <v>173.84549999999999</v>
      </c>
      <c r="J62" s="234" t="s">
        <v>15</v>
      </c>
      <c r="K62" s="233" t="s">
        <v>15</v>
      </c>
      <c r="L62" s="234" t="s">
        <v>15</v>
      </c>
      <c r="M62" s="233" t="s">
        <v>15</v>
      </c>
      <c r="N62" s="1194">
        <v>-44.852995700000001</v>
      </c>
      <c r="O62" s="142">
        <v>-3.06</v>
      </c>
      <c r="P62" s="142">
        <v>14.653737</v>
      </c>
      <c r="Q62" s="128">
        <f>28677.94/$T$61</f>
        <v>0.31943170932745213</v>
      </c>
      <c r="R62" s="2129"/>
      <c r="S62" s="135" t="s">
        <v>41</v>
      </c>
      <c r="T62" s="203" t="s">
        <v>42</v>
      </c>
      <c r="U62" s="858"/>
      <c r="V62" s="2233"/>
      <c r="W62" s="493" t="s">
        <v>49</v>
      </c>
      <c r="X62" s="494" t="s">
        <v>861</v>
      </c>
      <c r="Y62" s="169">
        <f>$T$63+SUM($R$58:$R$94)+$N$56*2.2+$N$57*3.5</f>
        <v>682.2751919329321</v>
      </c>
      <c r="Z62" s="169">
        <f>Y62-$Y$32</f>
        <v>114.43564518154437</v>
      </c>
      <c r="AA62" s="576">
        <f>(2.2-1.26)*$P$56</f>
        <v>12.105139520000002</v>
      </c>
      <c r="AB62" s="918"/>
      <c r="AC62" s="26"/>
      <c r="AD62" s="292" t="s">
        <v>112</v>
      </c>
      <c r="AE62" s="278">
        <v>5.0880057866202533E-2</v>
      </c>
      <c r="AF62" s="106"/>
      <c r="AG62" s="37"/>
      <c r="AH62" s="957"/>
      <c r="AI62" s="957"/>
      <c r="AJ62" s="957"/>
      <c r="AK62" s="957"/>
      <c r="AL62" s="957"/>
      <c r="AM62" s="957"/>
      <c r="AN62" s="957"/>
      <c r="AO62" s="957"/>
      <c r="AP62" s="957"/>
      <c r="AQ62" s="957"/>
      <c r="AR62" s="957"/>
      <c r="AS62" s="957"/>
      <c r="AT62" s="957"/>
      <c r="AU62" s="957"/>
      <c r="AV62" s="957"/>
      <c r="AW62" s="957"/>
      <c r="AX62" s="957"/>
      <c r="AY62" s="957"/>
      <c r="AZ62" s="957"/>
      <c r="BA62" s="957"/>
      <c r="BB62" s="957"/>
      <c r="BC62" s="957"/>
      <c r="BD62" s="957"/>
      <c r="BE62" s="957"/>
      <c r="BF62" s="957"/>
      <c r="BG62" s="957"/>
    </row>
    <row r="63" spans="1:123">
      <c r="A63" s="2172"/>
      <c r="B63" s="2161"/>
      <c r="C63" s="2144"/>
      <c r="D63" s="86" t="s">
        <v>81</v>
      </c>
      <c r="E63" s="436">
        <v>30</v>
      </c>
      <c r="F63" s="148" t="s">
        <v>15</v>
      </c>
      <c r="G63" s="148" t="s">
        <v>15</v>
      </c>
      <c r="H63" s="367">
        <v>932.8451</v>
      </c>
      <c r="I63" s="368">
        <v>253.1696</v>
      </c>
      <c r="J63" s="234" t="s">
        <v>15</v>
      </c>
      <c r="K63" s="233" t="s">
        <v>15</v>
      </c>
      <c r="L63" s="234" t="s">
        <v>15</v>
      </c>
      <c r="M63" s="233" t="s">
        <v>15</v>
      </c>
      <c r="N63" s="1194">
        <v>134.56294969999999</v>
      </c>
      <c r="O63" s="142">
        <v>2.83</v>
      </c>
      <c r="P63" s="142">
        <v>47.512053999999999</v>
      </c>
      <c r="Q63" s="128">
        <f>682.845495/$T$61</f>
        <v>7.6059334692240863E-3</v>
      </c>
      <c r="R63" s="2129"/>
      <c r="S63" s="152">
        <v>0.74015799999999998</v>
      </c>
      <c r="T63" s="157">
        <v>-342.06644469999998</v>
      </c>
      <c r="U63" s="861"/>
      <c r="V63" s="2233"/>
      <c r="W63" s="493" t="s">
        <v>49</v>
      </c>
      <c r="X63" s="494" t="s">
        <v>862</v>
      </c>
      <c r="Y63" s="169">
        <f>$T$63+SUM($R$58:$R$94)+$N$56*2.4+$N$57*3.5</f>
        <v>688.05494999293205</v>
      </c>
      <c r="Z63" s="169">
        <f>Y63-$Y$32</f>
        <v>120.21540324154432</v>
      </c>
      <c r="AA63" s="576">
        <f>(2.4-1.26)*$P$56</f>
        <v>14.680701119999998</v>
      </c>
      <c r="AB63" s="918"/>
      <c r="AC63" s="26"/>
      <c r="AD63" s="292" t="s">
        <v>113</v>
      </c>
      <c r="AE63" s="278">
        <v>17.104087815246618</v>
      </c>
      <c r="AF63" s="106"/>
      <c r="AG63" s="37"/>
      <c r="AH63" s="957"/>
      <c r="AI63" s="957"/>
      <c r="AJ63" s="957"/>
      <c r="AK63" s="957"/>
      <c r="AL63" s="957"/>
      <c r="AM63" s="957"/>
      <c r="AN63" s="957"/>
      <c r="AO63" s="957"/>
      <c r="AP63" s="957"/>
      <c r="AQ63" s="957"/>
      <c r="AR63" s="957"/>
      <c r="AS63" s="957"/>
      <c r="AT63" s="957"/>
      <c r="AU63" s="957"/>
      <c r="AV63" s="957"/>
      <c r="AW63" s="957"/>
      <c r="AX63" s="957"/>
      <c r="AY63" s="957"/>
      <c r="AZ63" s="957"/>
      <c r="BA63" s="957"/>
      <c r="BB63" s="957"/>
      <c r="BC63" s="957"/>
      <c r="BD63" s="957"/>
      <c r="BE63" s="957"/>
      <c r="BF63" s="957"/>
      <c r="BG63" s="957"/>
    </row>
    <row r="64" spans="1:123">
      <c r="A64" s="2172"/>
      <c r="B64" s="2161"/>
      <c r="C64" s="2144"/>
      <c r="D64" s="86" t="s">
        <v>699</v>
      </c>
      <c r="E64" s="436">
        <v>117</v>
      </c>
      <c r="F64" s="148" t="s">
        <v>15</v>
      </c>
      <c r="G64" s="148" t="s">
        <v>15</v>
      </c>
      <c r="H64" s="367">
        <v>654.93690000000004</v>
      </c>
      <c r="I64" s="368">
        <v>144.84800000000001</v>
      </c>
      <c r="J64" s="234" t="s">
        <v>15</v>
      </c>
      <c r="K64" s="233" t="s">
        <v>15</v>
      </c>
      <c r="L64" s="234" t="s">
        <v>15</v>
      </c>
      <c r="M64" s="233" t="s">
        <v>15</v>
      </c>
      <c r="N64" s="1194">
        <v>0</v>
      </c>
      <c r="O64" s="142" t="s">
        <v>574</v>
      </c>
      <c r="P64" s="142" t="s">
        <v>574</v>
      </c>
      <c r="Q64" s="128">
        <f>34691.834505/$T$61</f>
        <v>0.38641799221412815</v>
      </c>
      <c r="R64" s="2129"/>
      <c r="S64" s="156" t="s">
        <v>235</v>
      </c>
      <c r="T64" s="201" t="s">
        <v>391</v>
      </c>
      <c r="U64" s="855"/>
      <c r="V64" s="24"/>
      <c r="W64" s="26"/>
      <c r="X64" s="26"/>
      <c r="Y64" s="41"/>
      <c r="Z64" s="41"/>
      <c r="AA64" s="41"/>
      <c r="AB64" s="846"/>
      <c r="AC64" s="26"/>
      <c r="AD64" s="292" t="s">
        <v>114</v>
      </c>
      <c r="AE64" s="278">
        <v>1.3923550053229921</v>
      </c>
      <c r="AF64" s="106"/>
      <c r="AG64" s="37"/>
      <c r="AH64" s="957"/>
      <c r="AI64" s="957"/>
      <c r="AJ64" s="957"/>
      <c r="AK64" s="957"/>
      <c r="AL64" s="957"/>
      <c r="AM64" s="957"/>
      <c r="AN64" s="957"/>
      <c r="AO64" s="957"/>
      <c r="AP64" s="957"/>
      <c r="AQ64" s="957"/>
      <c r="AR64" s="957"/>
      <c r="AS64" s="957"/>
      <c r="AT64" s="957"/>
      <c r="AU64" s="957"/>
      <c r="AV64" s="957"/>
      <c r="AW64" s="957"/>
      <c r="AX64" s="957"/>
      <c r="AY64" s="957"/>
      <c r="AZ64" s="957"/>
      <c r="BA64" s="957"/>
      <c r="BB64" s="957"/>
      <c r="BC64" s="957"/>
      <c r="BD64" s="957"/>
      <c r="BE64" s="957"/>
      <c r="BF64" s="957"/>
      <c r="BG64" s="957"/>
    </row>
    <row r="65" spans="1:59">
      <c r="A65" s="2172"/>
      <c r="B65" s="2161" t="s">
        <v>7</v>
      </c>
      <c r="C65" s="2144" t="s">
        <v>13</v>
      </c>
      <c r="D65" s="452">
        <v>1</v>
      </c>
      <c r="E65" s="436">
        <v>186</v>
      </c>
      <c r="F65" s="148" t="s">
        <v>15</v>
      </c>
      <c r="G65" s="148" t="s">
        <v>15</v>
      </c>
      <c r="H65" s="367">
        <v>686.39300000000003</v>
      </c>
      <c r="I65" s="368">
        <v>181.6703</v>
      </c>
      <c r="J65" s="234" t="s">
        <v>15</v>
      </c>
      <c r="K65" s="233" t="s">
        <v>15</v>
      </c>
      <c r="L65" s="234" t="s">
        <v>15</v>
      </c>
      <c r="M65" s="233" t="s">
        <v>15</v>
      </c>
      <c r="N65" s="1194">
        <v>1.2357795</v>
      </c>
      <c r="O65" s="142">
        <v>0.11</v>
      </c>
      <c r="P65" s="142">
        <v>11.682225000000001</v>
      </c>
      <c r="Q65" s="128">
        <f>20460/$T$61</f>
        <v>0.22789547550624875</v>
      </c>
      <c r="R65" s="2129">
        <f>SUMPRODUCT(N65:N68,Q65:Q68)</f>
        <v>16.223078900199383</v>
      </c>
      <c r="S65" s="384">
        <v>142.31200000000001</v>
      </c>
      <c r="T65" s="207" t="s">
        <v>15</v>
      </c>
      <c r="U65" s="862"/>
      <c r="V65" s="24"/>
      <c r="W65" s="26"/>
      <c r="X65" s="26"/>
      <c r="Y65" s="41"/>
      <c r="Z65" s="41"/>
      <c r="AA65" s="41"/>
      <c r="AB65" s="846"/>
      <c r="AC65" s="26"/>
      <c r="AD65" s="292" t="s">
        <v>115</v>
      </c>
      <c r="AE65" s="278">
        <v>5.2651502444631433</v>
      </c>
      <c r="AF65" s="106"/>
      <c r="AG65" s="37"/>
      <c r="AH65" s="957"/>
      <c r="AI65" s="957"/>
      <c r="AJ65" s="957"/>
      <c r="AK65" s="957"/>
      <c r="AL65" s="957"/>
      <c r="AM65" s="957"/>
      <c r="AN65" s="957"/>
      <c r="AO65" s="957"/>
      <c r="AP65" s="957"/>
      <c r="AQ65" s="957"/>
      <c r="AR65" s="957"/>
      <c r="AS65" s="957"/>
      <c r="AT65" s="957"/>
      <c r="AU65" s="957"/>
      <c r="AV65" s="957"/>
      <c r="AW65" s="957"/>
      <c r="AX65" s="957"/>
      <c r="AY65" s="957"/>
      <c r="AZ65" s="957"/>
      <c r="BA65" s="957"/>
      <c r="BB65" s="957"/>
      <c r="BC65" s="957"/>
      <c r="BD65" s="957"/>
      <c r="BE65" s="957"/>
      <c r="BF65" s="957"/>
      <c r="BG65" s="957"/>
    </row>
    <row r="66" spans="1:59">
      <c r="A66" s="2172"/>
      <c r="B66" s="2161"/>
      <c r="C66" s="2144"/>
      <c r="D66" s="452">
        <v>2</v>
      </c>
      <c r="E66" s="436">
        <v>193</v>
      </c>
      <c r="F66" s="148" t="s">
        <v>15</v>
      </c>
      <c r="G66" s="148" t="s">
        <v>15</v>
      </c>
      <c r="H66" s="367">
        <v>736.12540000000001</v>
      </c>
      <c r="I66" s="368">
        <v>195.70140000000001</v>
      </c>
      <c r="J66" s="234" t="s">
        <v>15</v>
      </c>
      <c r="K66" s="233" t="s">
        <v>15</v>
      </c>
      <c r="L66" s="234" t="s">
        <v>15</v>
      </c>
      <c r="M66" s="233" t="s">
        <v>15</v>
      </c>
      <c r="N66" s="1194">
        <v>26.3639568</v>
      </c>
      <c r="O66" s="142">
        <v>2.41</v>
      </c>
      <c r="P66" s="142">
        <v>10.931822</v>
      </c>
      <c r="Q66" s="128">
        <f>25750/$T$61</f>
        <v>0.28681859698367085</v>
      </c>
      <c r="R66" s="2129"/>
      <c r="S66" s="303"/>
      <c r="T66" s="252"/>
      <c r="U66" s="863"/>
      <c r="V66" s="24"/>
      <c r="W66" s="26"/>
      <c r="X66" s="26"/>
      <c r="Y66" s="41"/>
      <c r="Z66" s="41"/>
      <c r="AA66" s="41"/>
      <c r="AB66" s="846"/>
      <c r="AC66" s="26"/>
      <c r="AD66" s="292" t="s">
        <v>116</v>
      </c>
      <c r="AE66" s="278">
        <v>-0.92900917065390742</v>
      </c>
      <c r="AF66" s="106"/>
      <c r="AG66" s="37"/>
      <c r="AH66" s="957"/>
      <c r="AI66" s="957"/>
      <c r="AJ66" s="957"/>
      <c r="AK66" s="957"/>
      <c r="AL66" s="957"/>
      <c r="AM66" s="957"/>
      <c r="AN66" s="957"/>
      <c r="AO66" s="957"/>
      <c r="AP66" s="957"/>
      <c r="AQ66" s="957"/>
      <c r="AR66" s="957"/>
      <c r="AS66" s="957"/>
      <c r="AT66" s="957"/>
      <c r="AU66" s="957"/>
      <c r="AV66" s="957"/>
      <c r="AW66" s="957"/>
      <c r="AX66" s="957"/>
      <c r="AY66" s="957"/>
      <c r="AZ66" s="957"/>
      <c r="BA66" s="957"/>
      <c r="BB66" s="957"/>
      <c r="BC66" s="957"/>
      <c r="BD66" s="957"/>
      <c r="BE66" s="957"/>
      <c r="BF66" s="957"/>
      <c r="BG66" s="957"/>
    </row>
    <row r="67" spans="1:59">
      <c r="A67" s="2172"/>
      <c r="B67" s="2161"/>
      <c r="C67" s="2144"/>
      <c r="D67" s="452">
        <v>3</v>
      </c>
      <c r="E67" s="436">
        <v>194</v>
      </c>
      <c r="F67" s="148" t="s">
        <v>15</v>
      </c>
      <c r="G67" s="148" t="s">
        <v>15</v>
      </c>
      <c r="H67" s="367">
        <v>739.31039999999996</v>
      </c>
      <c r="I67" s="368">
        <v>192.95779999999999</v>
      </c>
      <c r="J67" s="234" t="s">
        <v>15</v>
      </c>
      <c r="K67" s="233" t="s">
        <v>15</v>
      </c>
      <c r="L67" s="234" t="s">
        <v>15</v>
      </c>
      <c r="M67" s="233" t="s">
        <v>15</v>
      </c>
      <c r="N67" s="1194">
        <v>28.4527681</v>
      </c>
      <c r="O67" s="142">
        <v>2.63</v>
      </c>
      <c r="P67" s="142">
        <v>10.821668000000001</v>
      </c>
      <c r="Q67" s="128">
        <f>26441/$T$61</f>
        <v>0.29451536011049478</v>
      </c>
      <c r="R67" s="2129"/>
      <c r="S67" s="303"/>
      <c r="T67" s="252"/>
      <c r="U67" s="863"/>
      <c r="V67" s="24"/>
      <c r="W67" s="26"/>
      <c r="X67" s="26"/>
      <c r="Y67" s="41"/>
      <c r="Z67" s="41"/>
      <c r="AA67" s="41"/>
      <c r="AB67" s="846"/>
      <c r="AC67" s="26"/>
      <c r="AD67" s="292" t="s">
        <v>117</v>
      </c>
      <c r="AE67" s="278">
        <v>4.3361410738092356</v>
      </c>
      <c r="AF67" s="106"/>
      <c r="AG67" s="37"/>
      <c r="AH67" s="957"/>
      <c r="AI67" s="957"/>
      <c r="AJ67" s="957"/>
      <c r="AK67" s="957"/>
      <c r="AL67" s="957"/>
      <c r="AM67" s="957"/>
      <c r="AN67" s="957"/>
      <c r="AO67" s="957"/>
      <c r="AP67" s="957"/>
      <c r="AQ67" s="957"/>
      <c r="AR67" s="957"/>
      <c r="AS67" s="957"/>
      <c r="AT67" s="957"/>
      <c r="AU67" s="957"/>
      <c r="AV67" s="957"/>
      <c r="AW67" s="957"/>
      <c r="AX67" s="957"/>
      <c r="AY67" s="957"/>
      <c r="AZ67" s="957"/>
      <c r="BA67" s="957"/>
      <c r="BB67" s="957"/>
      <c r="BC67" s="957"/>
      <c r="BD67" s="957"/>
      <c r="BE67" s="957"/>
      <c r="BF67" s="957"/>
      <c r="BG67" s="957"/>
    </row>
    <row r="68" spans="1:59">
      <c r="A68" s="2172"/>
      <c r="B68" s="2161"/>
      <c r="C68" s="2144"/>
      <c r="D68" s="452">
        <v>4</v>
      </c>
      <c r="E68" s="436">
        <v>181</v>
      </c>
      <c r="F68" s="148" t="s">
        <v>15</v>
      </c>
      <c r="G68" s="148" t="s">
        <v>15</v>
      </c>
      <c r="H68" s="367">
        <v>737.48810000000003</v>
      </c>
      <c r="I68" s="368">
        <v>186.9083</v>
      </c>
      <c r="J68" s="234" t="s">
        <v>15</v>
      </c>
      <c r="K68" s="233" t="s">
        <v>15</v>
      </c>
      <c r="L68" s="234" t="s">
        <v>15</v>
      </c>
      <c r="M68" s="233" t="s">
        <v>15</v>
      </c>
      <c r="N68" s="1194">
        <v>0</v>
      </c>
      <c r="O68" s="142" t="s">
        <v>574</v>
      </c>
      <c r="P68" s="142" t="s">
        <v>574</v>
      </c>
      <c r="Q68" s="128">
        <f>17127/$T$61</f>
        <v>0.19077056739958564</v>
      </c>
      <c r="R68" s="2129"/>
      <c r="S68" s="303"/>
      <c r="T68" s="252"/>
      <c r="U68" s="863"/>
      <c r="V68" s="24"/>
      <c r="W68" s="26"/>
      <c r="X68" s="26"/>
      <c r="Y68" s="41"/>
      <c r="Z68" s="41"/>
      <c r="AA68" s="41"/>
      <c r="AB68" s="846"/>
      <c r="AC68" s="26"/>
      <c r="AD68" s="292" t="s">
        <v>118</v>
      </c>
      <c r="AE68" s="278">
        <v>9.5046778439229769</v>
      </c>
      <c r="AF68" s="106"/>
      <c r="AG68" s="37"/>
      <c r="AH68" s="957"/>
      <c r="AI68" s="957"/>
      <c r="AJ68" s="957"/>
      <c r="AK68" s="957"/>
      <c r="AL68" s="957"/>
      <c r="AM68" s="957"/>
      <c r="AN68" s="957"/>
      <c r="AO68" s="957"/>
      <c r="AP68" s="957"/>
      <c r="AQ68" s="957"/>
      <c r="AR68" s="957"/>
      <c r="AS68" s="957"/>
      <c r="AT68" s="957"/>
      <c r="AU68" s="957"/>
      <c r="AV68" s="957"/>
      <c r="AW68" s="957"/>
      <c r="AX68" s="957"/>
      <c r="AY68" s="957"/>
      <c r="AZ68" s="957"/>
      <c r="BA68" s="957"/>
      <c r="BB68" s="957"/>
      <c r="BC68" s="957"/>
      <c r="BD68" s="957"/>
      <c r="BE68" s="957"/>
      <c r="BF68" s="957"/>
      <c r="BG68" s="957"/>
    </row>
    <row r="69" spans="1:59">
      <c r="A69" s="2172"/>
      <c r="B69" s="2161" t="s">
        <v>153</v>
      </c>
      <c r="C69" s="2144" t="s">
        <v>13</v>
      </c>
      <c r="D69" s="86" t="s">
        <v>682</v>
      </c>
      <c r="E69" s="436">
        <v>4</v>
      </c>
      <c r="F69" s="148" t="s">
        <v>15</v>
      </c>
      <c r="G69" s="148" t="s">
        <v>15</v>
      </c>
      <c r="H69" s="367">
        <v>424.08199999999999</v>
      </c>
      <c r="I69" s="368">
        <v>20.11619</v>
      </c>
      <c r="J69" s="234" t="s">
        <v>15</v>
      </c>
      <c r="K69" s="233" t="s">
        <v>15</v>
      </c>
      <c r="L69" s="234" t="s">
        <v>15</v>
      </c>
      <c r="M69" s="233" t="s">
        <v>15</v>
      </c>
      <c r="N69" s="1194">
        <v>-112.2255691</v>
      </c>
      <c r="O69" s="142">
        <v>-0.39</v>
      </c>
      <c r="P69" s="142">
        <v>287.09775000000002</v>
      </c>
      <c r="Q69" s="128">
        <f>14.478801/$T$61</f>
        <v>1.612733743233309E-4</v>
      </c>
      <c r="R69" s="2129">
        <f>SUMPRODUCT(N69:N78,Q69:Q78)</f>
        <v>22.596118120579714</v>
      </c>
      <c r="S69" s="303"/>
      <c r="T69" s="252"/>
      <c r="U69" s="863"/>
      <c r="V69" s="24"/>
      <c r="W69" s="26"/>
      <c r="X69" s="26"/>
      <c r="Y69" s="41"/>
      <c r="Z69" s="41"/>
      <c r="AA69" s="41"/>
      <c r="AB69" s="846"/>
      <c r="AC69" s="26"/>
      <c r="AD69" s="292" t="s">
        <v>97</v>
      </c>
      <c r="AE69" s="583">
        <v>18688</v>
      </c>
      <c r="AF69" s="106"/>
      <c r="AG69" s="37"/>
      <c r="AH69" s="957"/>
      <c r="AI69" s="957"/>
      <c r="AJ69" s="957"/>
      <c r="AK69" s="957"/>
      <c r="AL69" s="957"/>
      <c r="AM69" s="957"/>
      <c r="AN69" s="957"/>
      <c r="AO69" s="957"/>
      <c r="AP69" s="957"/>
      <c r="AQ69" s="957"/>
      <c r="AR69" s="957"/>
      <c r="AS69" s="957"/>
      <c r="AT69" s="957"/>
      <c r="AU69" s="957"/>
      <c r="AV69" s="957"/>
      <c r="AW69" s="957"/>
      <c r="AX69" s="957"/>
      <c r="AY69" s="957"/>
      <c r="AZ69" s="957"/>
      <c r="BA69" s="957"/>
      <c r="BB69" s="957"/>
      <c r="BC69" s="957"/>
      <c r="BD69" s="957"/>
      <c r="BE69" s="957"/>
      <c r="BF69" s="957"/>
      <c r="BG69" s="957"/>
    </row>
    <row r="70" spans="1:59" ht="15.75" thickBot="1">
      <c r="A70" s="2172"/>
      <c r="B70" s="2161"/>
      <c r="C70" s="2144"/>
      <c r="D70" s="86" t="s">
        <v>700</v>
      </c>
      <c r="E70" s="436">
        <v>20</v>
      </c>
      <c r="F70" s="148" t="s">
        <v>15</v>
      </c>
      <c r="G70" s="148" t="s">
        <v>15</v>
      </c>
      <c r="H70" s="367">
        <v>704.08950000000004</v>
      </c>
      <c r="I70" s="368">
        <v>185.34229999999999</v>
      </c>
      <c r="J70" s="234" t="s">
        <v>15</v>
      </c>
      <c r="K70" s="233" t="s">
        <v>15</v>
      </c>
      <c r="L70" s="234" t="s">
        <v>15</v>
      </c>
      <c r="M70" s="233" t="s">
        <v>15</v>
      </c>
      <c r="N70" s="1194">
        <v>185.64528680000001</v>
      </c>
      <c r="O70" s="142">
        <v>5.03</v>
      </c>
      <c r="P70" s="142">
        <v>36.889501000000003</v>
      </c>
      <c r="Q70" s="128">
        <f>1223.71/$T$61</f>
        <v>1.3630399429704383E-2</v>
      </c>
      <c r="R70" s="2129"/>
      <c r="S70" s="303"/>
      <c r="T70" s="252"/>
      <c r="U70" s="863"/>
      <c r="V70" s="24"/>
      <c r="W70" s="26"/>
      <c r="X70" s="26"/>
      <c r="Y70" s="41"/>
      <c r="Z70" s="41"/>
      <c r="AA70" s="41"/>
      <c r="AB70" s="846"/>
      <c r="AC70" s="26"/>
      <c r="AD70" s="293" t="s">
        <v>690</v>
      </c>
      <c r="AE70" s="579">
        <v>3.2342129140644962E-3</v>
      </c>
      <c r="AF70" s="106"/>
      <c r="AG70" s="37"/>
      <c r="AH70" s="957"/>
      <c r="AI70" s="957"/>
      <c r="AJ70" s="957"/>
      <c r="AK70" s="957"/>
      <c r="AL70" s="957"/>
      <c r="AM70" s="957"/>
      <c r="AN70" s="957"/>
      <c r="AO70" s="957"/>
      <c r="AP70" s="957"/>
      <c r="AQ70" s="957"/>
      <c r="AR70" s="957"/>
      <c r="AS70" s="957"/>
      <c r="AT70" s="957"/>
      <c r="AU70" s="957"/>
      <c r="AV70" s="957"/>
      <c r="AW70" s="957"/>
      <c r="AX70" s="957"/>
      <c r="AY70" s="957"/>
      <c r="AZ70" s="957"/>
      <c r="BA70" s="957"/>
      <c r="BB70" s="957"/>
      <c r="BC70" s="957"/>
      <c r="BD70" s="957"/>
      <c r="BE70" s="957"/>
      <c r="BF70" s="957"/>
      <c r="BG70" s="957"/>
    </row>
    <row r="71" spans="1:59">
      <c r="A71" s="2172"/>
      <c r="B71" s="2161"/>
      <c r="C71" s="2144"/>
      <c r="D71" s="86" t="s">
        <v>701</v>
      </c>
      <c r="E71" s="436">
        <v>2</v>
      </c>
      <c r="F71" s="148" t="s">
        <v>15</v>
      </c>
      <c r="G71" s="148" t="s">
        <v>15</v>
      </c>
      <c r="H71" s="367">
        <v>1089.521</v>
      </c>
      <c r="I71" s="368">
        <v>235.929</v>
      </c>
      <c r="J71" s="234" t="s">
        <v>15</v>
      </c>
      <c r="K71" s="233" t="s">
        <v>15</v>
      </c>
      <c r="L71" s="234" t="s">
        <v>15</v>
      </c>
      <c r="M71" s="233" t="s">
        <v>15</v>
      </c>
      <c r="N71" s="1194">
        <v>178.95297339999999</v>
      </c>
      <c r="O71" s="142">
        <v>0.38</v>
      </c>
      <c r="P71" s="142">
        <v>470.92482200000001</v>
      </c>
      <c r="Q71" s="128">
        <f>5.363717/$T$61</f>
        <v>5.9744224643008313E-5</v>
      </c>
      <c r="R71" s="2129"/>
      <c r="S71" s="303"/>
      <c r="T71" s="252"/>
      <c r="U71" s="863"/>
      <c r="V71" s="24"/>
      <c r="W71" s="26"/>
      <c r="X71" s="26"/>
      <c r="Y71" s="41"/>
      <c r="Z71" s="41"/>
      <c r="AA71" s="41"/>
      <c r="AB71" s="846"/>
      <c r="AC71" s="26"/>
      <c r="AD71" s="26"/>
      <c r="AE71" s="26"/>
      <c r="AF71" s="106"/>
      <c r="AG71" s="37"/>
      <c r="AH71" s="957"/>
      <c r="AI71" s="957"/>
      <c r="AJ71" s="957"/>
      <c r="AK71" s="957"/>
      <c r="AL71" s="957"/>
      <c r="AM71" s="957"/>
      <c r="AN71" s="957"/>
      <c r="AO71" s="957"/>
      <c r="AP71" s="957"/>
      <c r="AQ71" s="957"/>
      <c r="AR71" s="957"/>
      <c r="AS71" s="957"/>
      <c r="AT71" s="957"/>
      <c r="AU71" s="957"/>
      <c r="AV71" s="957"/>
      <c r="AW71" s="957"/>
      <c r="AX71" s="957"/>
      <c r="AY71" s="957"/>
      <c r="AZ71" s="957"/>
      <c r="BA71" s="957"/>
      <c r="BB71" s="957"/>
      <c r="BC71" s="957"/>
      <c r="BD71" s="957"/>
      <c r="BE71" s="957"/>
      <c r="BF71" s="957"/>
      <c r="BG71" s="957"/>
    </row>
    <row r="72" spans="1:59">
      <c r="A72" s="2172"/>
      <c r="B72" s="2161"/>
      <c r="C72" s="2144"/>
      <c r="D72" s="86" t="s">
        <v>702</v>
      </c>
      <c r="E72" s="436">
        <v>51</v>
      </c>
      <c r="F72" s="148" t="s">
        <v>15</v>
      </c>
      <c r="G72" s="148" t="s">
        <v>15</v>
      </c>
      <c r="H72" s="367">
        <v>911.51149999999996</v>
      </c>
      <c r="I72" s="368">
        <v>206.1602</v>
      </c>
      <c r="J72" s="234" t="s">
        <v>15</v>
      </c>
      <c r="K72" s="233" t="s">
        <v>15</v>
      </c>
      <c r="L72" s="234" t="s">
        <v>15</v>
      </c>
      <c r="M72" s="233" t="s">
        <v>15</v>
      </c>
      <c r="N72" s="1194">
        <v>29.043451999999998</v>
      </c>
      <c r="O72" s="142">
        <v>1</v>
      </c>
      <c r="P72" s="142">
        <v>29.161238000000001</v>
      </c>
      <c r="Q72" s="128">
        <f>2327.32/$T$61</f>
        <v>2.5923054645904345E-2</v>
      </c>
      <c r="R72" s="2129"/>
      <c r="S72" s="303"/>
      <c r="T72" s="252"/>
      <c r="U72" s="863"/>
      <c r="V72" s="24"/>
      <c r="W72" s="26"/>
      <c r="X72" s="26"/>
      <c r="Y72" s="41"/>
      <c r="Z72" s="41"/>
      <c r="AA72" s="41"/>
      <c r="AB72" s="846"/>
      <c r="AC72" s="26"/>
      <c r="AD72" s="26"/>
      <c r="AE72" s="26"/>
      <c r="AF72" s="106"/>
      <c r="AG72" s="37"/>
      <c r="AH72" s="957"/>
      <c r="AI72" s="957"/>
      <c r="AJ72" s="957"/>
      <c r="AK72" s="957"/>
      <c r="AL72" s="957"/>
      <c r="AM72" s="957"/>
      <c r="AN72" s="957"/>
      <c r="AO72" s="957"/>
      <c r="AP72" s="957"/>
      <c r="AQ72" s="957"/>
      <c r="AR72" s="957"/>
      <c r="AS72" s="957"/>
      <c r="AT72" s="957"/>
      <c r="AU72" s="957"/>
      <c r="AV72" s="957"/>
      <c r="AW72" s="957"/>
      <c r="AX72" s="957"/>
      <c r="AY72" s="957"/>
      <c r="AZ72" s="957"/>
      <c r="BA72" s="957"/>
      <c r="BB72" s="957"/>
      <c r="BC72" s="957"/>
      <c r="BD72" s="957"/>
      <c r="BE72" s="957"/>
      <c r="BF72" s="957"/>
      <c r="BG72" s="957"/>
    </row>
    <row r="73" spans="1:59">
      <c r="A73" s="2172"/>
      <c r="B73" s="2161"/>
      <c r="C73" s="2144"/>
      <c r="D73" s="86" t="s">
        <v>703</v>
      </c>
      <c r="E73" s="436">
        <v>71</v>
      </c>
      <c r="F73" s="148" t="s">
        <v>15</v>
      </c>
      <c r="G73" s="148" t="s">
        <v>15</v>
      </c>
      <c r="H73" s="367">
        <v>517.79880000000003</v>
      </c>
      <c r="I73" s="368">
        <v>66.527150000000006</v>
      </c>
      <c r="J73" s="234" t="s">
        <v>15</v>
      </c>
      <c r="K73" s="233" t="s">
        <v>15</v>
      </c>
      <c r="L73" s="234" t="s">
        <v>15</v>
      </c>
      <c r="M73" s="233" t="s">
        <v>15</v>
      </c>
      <c r="N73" s="1194">
        <v>-122.1371979</v>
      </c>
      <c r="O73" s="142">
        <v>-6.54</v>
      </c>
      <c r="P73" s="142">
        <v>18.677866000000002</v>
      </c>
      <c r="Q73" s="128">
        <f>6584.63/$T$61</f>
        <v>7.3343469446857809E-2</v>
      </c>
      <c r="R73" s="2129"/>
      <c r="S73" s="303"/>
      <c r="T73" s="252"/>
      <c r="U73" s="863"/>
      <c r="V73" s="24"/>
      <c r="W73" s="26"/>
      <c r="X73" s="26"/>
      <c r="Y73" s="41"/>
      <c r="Z73" s="41"/>
      <c r="AA73" s="41"/>
      <c r="AB73" s="846"/>
      <c r="AC73" s="26"/>
      <c r="AD73" s="26"/>
      <c r="AE73" s="26"/>
      <c r="AF73" s="106"/>
      <c r="AG73" s="37"/>
      <c r="AH73" s="957"/>
      <c r="AI73" s="957"/>
      <c r="AJ73" s="957"/>
      <c r="AK73" s="957"/>
      <c r="AL73" s="957"/>
      <c r="AM73" s="957"/>
      <c r="AN73" s="957"/>
      <c r="AO73" s="957"/>
      <c r="AP73" s="957"/>
      <c r="AQ73" s="957"/>
      <c r="AR73" s="957"/>
      <c r="AS73" s="957"/>
      <c r="AT73" s="957"/>
      <c r="AU73" s="957"/>
      <c r="AV73" s="957"/>
      <c r="AW73" s="957"/>
      <c r="AX73" s="957"/>
      <c r="AY73" s="957"/>
      <c r="AZ73" s="957"/>
      <c r="BA73" s="957"/>
      <c r="BB73" s="957"/>
      <c r="BC73" s="957"/>
      <c r="BD73" s="957"/>
      <c r="BE73" s="957"/>
      <c r="BF73" s="957"/>
      <c r="BG73" s="957"/>
    </row>
    <row r="74" spans="1:59">
      <c r="A74" s="2172"/>
      <c r="B74" s="2161"/>
      <c r="C74" s="2144"/>
      <c r="D74" s="86" t="s">
        <v>684</v>
      </c>
      <c r="E74" s="436">
        <v>79</v>
      </c>
      <c r="F74" s="148" t="s">
        <v>15</v>
      </c>
      <c r="G74" s="148" t="s">
        <v>15</v>
      </c>
      <c r="H74" s="367">
        <v>738.40539999999999</v>
      </c>
      <c r="I74" s="368">
        <v>130.8527</v>
      </c>
      <c r="J74" s="234" t="s">
        <v>15</v>
      </c>
      <c r="K74" s="233" t="s">
        <v>15</v>
      </c>
      <c r="L74" s="234" t="s">
        <v>15</v>
      </c>
      <c r="M74" s="233" t="s">
        <v>15</v>
      </c>
      <c r="N74" s="1194">
        <v>58.437910700000003</v>
      </c>
      <c r="O74" s="142">
        <v>1.96</v>
      </c>
      <c r="P74" s="142">
        <v>29.796125</v>
      </c>
      <c r="Q74" s="128">
        <f>1968/$T$61</f>
        <v>2.1920737819955891E-2</v>
      </c>
      <c r="R74" s="2129"/>
      <c r="S74" s="303"/>
      <c r="T74" s="252"/>
      <c r="U74" s="863"/>
      <c r="V74" s="24"/>
      <c r="W74" s="26"/>
      <c r="X74" s="26"/>
      <c r="Y74" s="41"/>
      <c r="Z74" s="41"/>
      <c r="AA74" s="41"/>
      <c r="AB74" s="846"/>
      <c r="AC74" s="26"/>
      <c r="AD74" s="26"/>
      <c r="AE74" s="26"/>
      <c r="AF74" s="106"/>
      <c r="AG74" s="37"/>
      <c r="AH74" s="957"/>
      <c r="AI74" s="957"/>
      <c r="AJ74" s="957"/>
      <c r="AK74" s="957"/>
      <c r="AL74" s="957"/>
      <c r="AM74" s="957"/>
      <c r="AN74" s="957"/>
      <c r="AO74" s="957"/>
      <c r="AP74" s="957"/>
      <c r="AQ74" s="957"/>
      <c r="AR74" s="957"/>
      <c r="AS74" s="957"/>
      <c r="AT74" s="957"/>
      <c r="AU74" s="957"/>
      <c r="AV74" s="957"/>
      <c r="AW74" s="957"/>
      <c r="AX74" s="957"/>
      <c r="AY74" s="957"/>
      <c r="AZ74" s="957"/>
      <c r="BA74" s="957"/>
      <c r="BB74" s="957"/>
      <c r="BC74" s="957"/>
      <c r="BD74" s="957"/>
      <c r="BE74" s="957"/>
      <c r="BF74" s="957"/>
      <c r="BG74" s="957"/>
    </row>
    <row r="75" spans="1:59">
      <c r="A75" s="2172"/>
      <c r="B75" s="2161"/>
      <c r="C75" s="2144"/>
      <c r="D75" s="86" t="s">
        <v>686</v>
      </c>
      <c r="E75" s="436">
        <v>146</v>
      </c>
      <c r="F75" s="148" t="s">
        <v>15</v>
      </c>
      <c r="G75" s="148" t="s">
        <v>15</v>
      </c>
      <c r="H75" s="367">
        <v>758.67439999999999</v>
      </c>
      <c r="I75" s="368">
        <v>198.57749999999999</v>
      </c>
      <c r="J75" s="234" t="s">
        <v>15</v>
      </c>
      <c r="K75" s="233" t="s">
        <v>15</v>
      </c>
      <c r="L75" s="234" t="s">
        <v>15</v>
      </c>
      <c r="M75" s="233" t="s">
        <v>15</v>
      </c>
      <c r="N75" s="1194">
        <v>88.546303600000002</v>
      </c>
      <c r="O75" s="142">
        <v>6.23</v>
      </c>
      <c r="P75" s="142">
        <v>14.208622</v>
      </c>
      <c r="Q75" s="128">
        <f>17960.74/$T$61</f>
        <v>0.20005725233353386</v>
      </c>
      <c r="R75" s="2129"/>
      <c r="S75" s="303"/>
      <c r="T75" s="252"/>
      <c r="U75" s="863"/>
      <c r="V75" s="24"/>
      <c r="W75" s="26"/>
      <c r="X75" s="26"/>
      <c r="Y75" s="41"/>
      <c r="Z75" s="41"/>
      <c r="AA75" s="41"/>
      <c r="AB75" s="846"/>
      <c r="AC75" s="26"/>
      <c r="AD75" s="26"/>
      <c r="AE75" s="26"/>
      <c r="AF75" s="106"/>
      <c r="AG75" s="37"/>
      <c r="AH75" s="957"/>
      <c r="AI75" s="957"/>
      <c r="AJ75" s="957"/>
      <c r="AK75" s="957"/>
      <c r="AL75" s="957"/>
      <c r="AM75" s="957"/>
      <c r="AN75" s="957"/>
      <c r="AO75" s="957"/>
      <c r="AP75" s="957"/>
      <c r="AQ75" s="957"/>
      <c r="AR75" s="957"/>
      <c r="AS75" s="957"/>
      <c r="AT75" s="957"/>
      <c r="AU75" s="957"/>
      <c r="AV75" s="957"/>
      <c r="AW75" s="957"/>
      <c r="AX75" s="957"/>
      <c r="AY75" s="957"/>
      <c r="AZ75" s="957"/>
      <c r="BA75" s="957"/>
      <c r="BB75" s="957"/>
      <c r="BC75" s="957"/>
      <c r="BD75" s="957"/>
      <c r="BE75" s="957"/>
      <c r="BF75" s="957"/>
      <c r="BG75" s="957"/>
    </row>
    <row r="76" spans="1:59">
      <c r="A76" s="2172"/>
      <c r="B76" s="2161"/>
      <c r="C76" s="2144"/>
      <c r="D76" s="86" t="s">
        <v>687</v>
      </c>
      <c r="E76" s="436">
        <v>100</v>
      </c>
      <c r="F76" s="148" t="s">
        <v>15</v>
      </c>
      <c r="G76" s="148" t="s">
        <v>15</v>
      </c>
      <c r="H76" s="367">
        <v>786.71839999999997</v>
      </c>
      <c r="I76" s="368">
        <v>168.7491</v>
      </c>
      <c r="J76" s="234" t="s">
        <v>15</v>
      </c>
      <c r="K76" s="233" t="s">
        <v>15</v>
      </c>
      <c r="L76" s="234" t="s">
        <v>15</v>
      </c>
      <c r="M76" s="233" t="s">
        <v>15</v>
      </c>
      <c r="N76" s="1194">
        <v>44.513835499999999</v>
      </c>
      <c r="O76" s="142">
        <v>2.39</v>
      </c>
      <c r="P76" s="142">
        <v>18.647265999999998</v>
      </c>
      <c r="Q76" s="128">
        <f>6054.54/$T$61</f>
        <v>6.7439016240058811E-2</v>
      </c>
      <c r="R76" s="2129"/>
      <c r="S76" s="303"/>
      <c r="T76" s="252"/>
      <c r="U76" s="863"/>
      <c r="V76" s="24"/>
      <c r="W76" s="26"/>
      <c r="X76" s="26"/>
      <c r="Y76" s="41"/>
      <c r="Z76" s="41"/>
      <c r="AA76" s="41"/>
      <c r="AB76" s="846"/>
      <c r="AC76" s="26"/>
      <c r="AD76" s="26"/>
      <c r="AE76" s="26"/>
      <c r="AF76" s="106"/>
      <c r="AG76" s="37"/>
      <c r="AH76" s="957"/>
      <c r="AI76" s="957"/>
      <c r="AJ76" s="957"/>
      <c r="AK76" s="957"/>
      <c r="AL76" s="957"/>
      <c r="AM76" s="957"/>
      <c r="AN76" s="957"/>
      <c r="AO76" s="957"/>
      <c r="AP76" s="957"/>
      <c r="AQ76" s="957"/>
      <c r="AR76" s="957"/>
      <c r="AS76" s="957"/>
      <c r="AT76" s="957"/>
      <c r="AU76" s="957"/>
      <c r="AV76" s="957"/>
      <c r="AW76" s="957"/>
      <c r="AX76" s="957"/>
      <c r="AY76" s="957"/>
      <c r="AZ76" s="957"/>
      <c r="BA76" s="957"/>
      <c r="BB76" s="957"/>
      <c r="BC76" s="957"/>
      <c r="BD76" s="957"/>
      <c r="BE76" s="957"/>
      <c r="BF76" s="957"/>
      <c r="BG76" s="957"/>
    </row>
    <row r="77" spans="1:59">
      <c r="A77" s="2172"/>
      <c r="B77" s="2161"/>
      <c r="C77" s="2144"/>
      <c r="D77" s="86" t="s">
        <v>688</v>
      </c>
      <c r="E77" s="436">
        <v>122</v>
      </c>
      <c r="F77" s="148" t="s">
        <v>15</v>
      </c>
      <c r="G77" s="148" t="s">
        <v>15</v>
      </c>
      <c r="H77" s="367">
        <v>713.35410000000002</v>
      </c>
      <c r="I77" s="368">
        <v>146.81209999999999</v>
      </c>
      <c r="J77" s="234" t="s">
        <v>15</v>
      </c>
      <c r="K77" s="233" t="s">
        <v>15</v>
      </c>
      <c r="L77" s="234" t="s">
        <v>15</v>
      </c>
      <c r="M77" s="233" t="s">
        <v>15</v>
      </c>
      <c r="N77" s="1194">
        <v>17.719616500000001</v>
      </c>
      <c r="O77" s="142">
        <v>1.47</v>
      </c>
      <c r="P77" s="142">
        <v>12.084979000000001</v>
      </c>
      <c r="Q77" s="128">
        <f>31822.61/$T$61</f>
        <v>0.35445888747800131</v>
      </c>
      <c r="R77" s="2129"/>
      <c r="S77" s="303"/>
      <c r="T77" s="252"/>
      <c r="U77" s="863"/>
      <c r="V77" s="24"/>
      <c r="W77" s="26"/>
      <c r="X77" s="26"/>
      <c r="Y77" s="41"/>
      <c r="Z77" s="41"/>
      <c r="AA77" s="41"/>
      <c r="AB77" s="846"/>
      <c r="AC77" s="26"/>
      <c r="AD77" s="26"/>
      <c r="AE77" s="26"/>
      <c r="AF77" s="106"/>
      <c r="AG77" s="37"/>
      <c r="AH77" s="957"/>
      <c r="AI77" s="957"/>
      <c r="AJ77" s="957"/>
      <c r="AK77" s="957"/>
      <c r="AL77" s="957"/>
      <c r="AM77" s="957"/>
      <c r="AN77" s="957"/>
      <c r="AO77" s="957"/>
      <c r="AP77" s="957"/>
      <c r="AQ77" s="957"/>
      <c r="AR77" s="957"/>
      <c r="AS77" s="957"/>
      <c r="AT77" s="957"/>
      <c r="AU77" s="957"/>
      <c r="AV77" s="957"/>
      <c r="AW77" s="957"/>
      <c r="AX77" s="957"/>
      <c r="AY77" s="957"/>
      <c r="AZ77" s="957"/>
      <c r="BA77" s="957"/>
      <c r="BB77" s="957"/>
      <c r="BC77" s="957"/>
      <c r="BD77" s="957"/>
      <c r="BE77" s="957"/>
      <c r="BF77" s="957"/>
      <c r="BG77" s="957"/>
    </row>
    <row r="78" spans="1:59">
      <c r="A78" s="2172"/>
      <c r="B78" s="2161"/>
      <c r="C78" s="2144"/>
      <c r="D78" s="86" t="s">
        <v>689</v>
      </c>
      <c r="E78" s="436">
        <v>159</v>
      </c>
      <c r="F78" s="148" t="s">
        <v>15</v>
      </c>
      <c r="G78" s="148" t="s">
        <v>15</v>
      </c>
      <c r="H78" s="367">
        <v>743.92229999999995</v>
      </c>
      <c r="I78" s="368">
        <v>223.8546</v>
      </c>
      <c r="J78" s="234" t="s">
        <v>15</v>
      </c>
      <c r="K78" s="233" t="s">
        <v>15</v>
      </c>
      <c r="L78" s="234" t="s">
        <v>15</v>
      </c>
      <c r="M78" s="233" t="s">
        <v>15</v>
      </c>
      <c r="N78" s="1194">
        <v>0</v>
      </c>
      <c r="O78" s="142" t="s">
        <v>574</v>
      </c>
      <c r="P78" s="142" t="s">
        <v>574</v>
      </c>
      <c r="Q78" s="128">
        <f>21817.39/$T$61</f>
        <v>0.24301488115128428</v>
      </c>
      <c r="R78" s="2129"/>
      <c r="S78" s="303"/>
      <c r="T78" s="252"/>
      <c r="U78" s="863"/>
      <c r="V78" s="24"/>
      <c r="W78" s="26"/>
      <c r="X78" s="26"/>
      <c r="Y78" s="41"/>
      <c r="Z78" s="41"/>
      <c r="AA78" s="41"/>
      <c r="AB78" s="846"/>
      <c r="AC78" s="26"/>
      <c r="AD78" s="26"/>
      <c r="AE78" s="26"/>
      <c r="AF78" s="106"/>
      <c r="AG78" s="37"/>
      <c r="AH78" s="957"/>
      <c r="AI78" s="957"/>
      <c r="AJ78" s="957"/>
      <c r="AK78" s="957"/>
      <c r="AL78" s="957"/>
      <c r="AM78" s="957"/>
      <c r="AN78" s="957"/>
      <c r="AO78" s="957"/>
      <c r="AP78" s="957"/>
      <c r="AQ78" s="957"/>
      <c r="AR78" s="957"/>
      <c r="AS78" s="957"/>
      <c r="AT78" s="957"/>
      <c r="AU78" s="957"/>
      <c r="AV78" s="957"/>
      <c r="AW78" s="957"/>
      <c r="AX78" s="957"/>
      <c r="AY78" s="957"/>
      <c r="AZ78" s="957"/>
      <c r="BA78" s="957"/>
      <c r="BB78" s="957"/>
      <c r="BC78" s="957"/>
      <c r="BD78" s="957"/>
      <c r="BE78" s="957"/>
      <c r="BF78" s="957"/>
      <c r="BG78" s="957"/>
    </row>
    <row r="79" spans="1:59">
      <c r="A79" s="2172"/>
      <c r="B79" s="2161" t="s">
        <v>704</v>
      </c>
      <c r="C79" s="2144" t="s">
        <v>13</v>
      </c>
      <c r="D79" s="86" t="s">
        <v>705</v>
      </c>
      <c r="E79" s="436">
        <v>162</v>
      </c>
      <c r="F79" s="148" t="s">
        <v>15</v>
      </c>
      <c r="G79" s="148" t="s">
        <v>15</v>
      </c>
      <c r="H79" s="367">
        <v>564.41319999999996</v>
      </c>
      <c r="I79" s="368">
        <v>70.114410000000007</v>
      </c>
      <c r="J79" s="234" t="s">
        <v>15</v>
      </c>
      <c r="K79" s="233" t="s">
        <v>15</v>
      </c>
      <c r="L79" s="234" t="s">
        <v>15</v>
      </c>
      <c r="M79" s="233" t="s">
        <v>15</v>
      </c>
      <c r="N79" s="1194">
        <v>-8.3064958999999998</v>
      </c>
      <c r="O79" s="142">
        <v>-0.15</v>
      </c>
      <c r="P79" s="142">
        <v>54.826577</v>
      </c>
      <c r="Q79" s="128">
        <f>25721.92/$T$61</f>
        <v>0.28650582548062997</v>
      </c>
      <c r="R79" s="2129">
        <f>SUMPRODUCT(N79:N81,Q79:Q81)</f>
        <v>28.923545812402505</v>
      </c>
      <c r="S79" s="303"/>
      <c r="T79" s="252"/>
      <c r="U79" s="863"/>
      <c r="V79" s="24"/>
      <c r="W79" s="26"/>
      <c r="X79" s="26"/>
      <c r="Y79" s="41"/>
      <c r="Z79" s="41"/>
      <c r="AA79" s="41"/>
      <c r="AB79" s="846"/>
      <c r="AC79" s="26"/>
      <c r="AD79" s="26"/>
      <c r="AE79" s="26"/>
      <c r="AF79" s="106"/>
      <c r="AG79" s="37"/>
      <c r="AH79" s="957"/>
      <c r="AI79" s="957"/>
      <c r="AJ79" s="957"/>
      <c r="AK79" s="957"/>
      <c r="AL79" s="957"/>
      <c r="AM79" s="957"/>
      <c r="AN79" s="957"/>
      <c r="AO79" s="957"/>
      <c r="AP79" s="957"/>
      <c r="AQ79" s="957"/>
      <c r="AR79" s="957"/>
      <c r="AS79" s="957"/>
      <c r="AT79" s="957"/>
      <c r="AU79" s="957"/>
      <c r="AV79" s="957"/>
      <c r="AW79" s="957"/>
      <c r="AX79" s="957"/>
      <c r="AY79" s="957"/>
      <c r="AZ79" s="957"/>
      <c r="BA79" s="957"/>
      <c r="BB79" s="957"/>
      <c r="BC79" s="957"/>
      <c r="BD79" s="957"/>
      <c r="BE79" s="957"/>
      <c r="BF79" s="957"/>
      <c r="BG79" s="957"/>
    </row>
    <row r="80" spans="1:59">
      <c r="A80" s="2172"/>
      <c r="B80" s="2161"/>
      <c r="C80" s="2144"/>
      <c r="D80" s="86" t="s">
        <v>706</v>
      </c>
      <c r="E80" s="436">
        <v>573</v>
      </c>
      <c r="F80" s="148" t="s">
        <v>15</v>
      </c>
      <c r="G80" s="148" t="s">
        <v>15</v>
      </c>
      <c r="H80" s="367">
        <v>791.29520000000002</v>
      </c>
      <c r="I80" s="368">
        <v>186.7894</v>
      </c>
      <c r="J80" s="234" t="s">
        <v>15</v>
      </c>
      <c r="K80" s="233" t="s">
        <v>15</v>
      </c>
      <c r="L80" s="234" t="s">
        <v>15</v>
      </c>
      <c r="M80" s="233" t="s">
        <v>15</v>
      </c>
      <c r="N80" s="1194">
        <v>44.253411</v>
      </c>
      <c r="O80" s="142">
        <v>0.82</v>
      </c>
      <c r="P80" s="142">
        <v>53.943123999999997</v>
      </c>
      <c r="Q80" s="128">
        <f>63506/$T$61</f>
        <v>0.70736706097262136</v>
      </c>
      <c r="R80" s="2129"/>
      <c r="S80" s="303"/>
      <c r="T80" s="252"/>
      <c r="U80" s="863"/>
      <c r="V80" s="24"/>
      <c r="W80" s="26"/>
      <c r="X80" s="26"/>
      <c r="Y80" s="41"/>
      <c r="Z80" s="41"/>
      <c r="AA80" s="41"/>
      <c r="AB80" s="846"/>
      <c r="AC80" s="26"/>
      <c r="AD80" s="26"/>
      <c r="AE80" s="26"/>
      <c r="AF80" s="106"/>
      <c r="AG80" s="37"/>
      <c r="AH80" s="957"/>
      <c r="AI80" s="957"/>
      <c r="AJ80" s="957"/>
      <c r="AK80" s="957"/>
      <c r="AL80" s="957"/>
      <c r="AM80" s="957"/>
      <c r="AN80" s="957"/>
      <c r="AO80" s="957"/>
      <c r="AP80" s="957"/>
      <c r="AQ80" s="957"/>
      <c r="AR80" s="957"/>
      <c r="AS80" s="957"/>
      <c r="AT80" s="957"/>
      <c r="AU80" s="957"/>
      <c r="AV80" s="957"/>
      <c r="AW80" s="957"/>
      <c r="AX80" s="957"/>
      <c r="AY80" s="957"/>
      <c r="AZ80" s="957"/>
      <c r="BA80" s="957"/>
      <c r="BB80" s="957"/>
      <c r="BC80" s="957"/>
      <c r="BD80" s="957"/>
      <c r="BE80" s="957"/>
      <c r="BF80" s="957"/>
      <c r="BG80" s="957"/>
    </row>
    <row r="81" spans="1:113">
      <c r="A81" s="2172"/>
      <c r="B81" s="2161"/>
      <c r="C81" s="2144"/>
      <c r="D81" s="86" t="s">
        <v>575</v>
      </c>
      <c r="E81" s="436">
        <v>19</v>
      </c>
      <c r="F81" s="148" t="s">
        <v>15</v>
      </c>
      <c r="G81" s="148" t="s">
        <v>15</v>
      </c>
      <c r="H81" s="367">
        <v>741.80330000000004</v>
      </c>
      <c r="I81" s="368">
        <v>47.627899999999997</v>
      </c>
      <c r="J81" s="234" t="s">
        <v>15</v>
      </c>
      <c r="K81" s="233" t="s">
        <v>15</v>
      </c>
      <c r="L81" s="234" t="s">
        <v>15</v>
      </c>
      <c r="M81" s="233" t="s">
        <v>15</v>
      </c>
      <c r="N81" s="1194">
        <v>0</v>
      </c>
      <c r="O81" s="142" t="s">
        <v>574</v>
      </c>
      <c r="P81" s="142" t="s">
        <v>574</v>
      </c>
      <c r="Q81" s="128">
        <f>550.080000000002/$T$61</f>
        <v>6.1271135467486689E-3</v>
      </c>
      <c r="R81" s="2129"/>
      <c r="S81" s="303"/>
      <c r="T81" s="252"/>
      <c r="U81" s="863"/>
      <c r="V81" s="24"/>
      <c r="W81" s="26"/>
      <c r="X81" s="26"/>
      <c r="Y81" s="41"/>
      <c r="Z81" s="41"/>
      <c r="AA81" s="41"/>
      <c r="AB81" s="846"/>
      <c r="AC81" s="26"/>
      <c r="AD81" s="26"/>
      <c r="AE81" s="26"/>
      <c r="AF81" s="106"/>
      <c r="AG81" s="37"/>
      <c r="AH81" s="957"/>
      <c r="AI81" s="957"/>
      <c r="AJ81" s="957"/>
      <c r="AK81" s="957"/>
      <c r="AL81" s="957"/>
      <c r="AM81" s="957"/>
      <c r="AN81" s="957"/>
      <c r="AO81" s="957"/>
      <c r="AP81" s="957"/>
      <c r="AQ81" s="957"/>
      <c r="AR81" s="957"/>
      <c r="AS81" s="957"/>
      <c r="AT81" s="957"/>
      <c r="AU81" s="957"/>
      <c r="AV81" s="957"/>
      <c r="AW81" s="957"/>
      <c r="AX81" s="957"/>
      <c r="AY81" s="957"/>
      <c r="AZ81" s="957"/>
      <c r="BA81" s="957"/>
      <c r="BB81" s="957"/>
      <c r="BC81" s="957"/>
      <c r="BD81" s="957"/>
      <c r="BE81" s="957"/>
      <c r="BF81" s="957"/>
      <c r="BG81" s="957"/>
    </row>
    <row r="82" spans="1:113">
      <c r="A82" s="2172"/>
      <c r="B82" s="2161" t="s">
        <v>8</v>
      </c>
      <c r="C82" s="2144" t="s">
        <v>13</v>
      </c>
      <c r="D82" s="86" t="s">
        <v>34</v>
      </c>
      <c r="E82" s="436">
        <v>3</v>
      </c>
      <c r="F82" s="148" t="s">
        <v>15</v>
      </c>
      <c r="G82" s="148" t="s">
        <v>15</v>
      </c>
      <c r="H82" s="367">
        <v>594.52919999999995</v>
      </c>
      <c r="I82" s="368">
        <v>131.31639999999999</v>
      </c>
      <c r="J82" s="234" t="s">
        <v>15</v>
      </c>
      <c r="K82" s="233" t="s">
        <v>15</v>
      </c>
      <c r="L82" s="234" t="s">
        <v>15</v>
      </c>
      <c r="M82" s="233" t="s">
        <v>15</v>
      </c>
      <c r="N82" s="1194">
        <v>2.6549149000000001</v>
      </c>
      <c r="O82" s="142">
        <v>0</v>
      </c>
      <c r="P82" s="142">
        <v>1274.6462079999999</v>
      </c>
      <c r="Q82" s="128">
        <f>0.73315/$T$61</f>
        <v>8.1662545389739127E-6</v>
      </c>
      <c r="R82" s="2129">
        <f>SUMPRODUCT(N82:N90,Q82:Q90)</f>
        <v>98.599987415461428</v>
      </c>
      <c r="S82" s="303"/>
      <c r="T82" s="252"/>
      <c r="U82" s="863"/>
      <c r="V82" s="24"/>
      <c r="W82" s="26"/>
      <c r="X82" s="26"/>
      <c r="Y82" s="41"/>
      <c r="Z82" s="41"/>
      <c r="AA82" s="41"/>
      <c r="AB82" s="846"/>
      <c r="AC82" s="26"/>
      <c r="AD82" s="26"/>
      <c r="AE82" s="26"/>
      <c r="AF82" s="106"/>
      <c r="AG82" s="37"/>
      <c r="AH82" s="957"/>
      <c r="AI82" s="957"/>
      <c r="AJ82" s="957"/>
      <c r="AK82" s="957"/>
      <c r="AL82" s="957"/>
      <c r="AM82" s="957"/>
      <c r="AN82" s="957"/>
      <c r="AO82" s="957"/>
      <c r="AP82" s="957"/>
      <c r="AQ82" s="957"/>
      <c r="AR82" s="957"/>
      <c r="AS82" s="957"/>
      <c r="AT82" s="957"/>
      <c r="AU82" s="957"/>
      <c r="AV82" s="957"/>
      <c r="AW82" s="957"/>
      <c r="AX82" s="957"/>
      <c r="AY82" s="957"/>
      <c r="AZ82" s="957"/>
      <c r="BA82" s="957"/>
      <c r="BB82" s="957"/>
      <c r="BC82" s="957"/>
      <c r="BD82" s="957"/>
      <c r="BE82" s="957"/>
      <c r="BF82" s="957"/>
      <c r="BG82" s="957"/>
    </row>
    <row r="83" spans="1:113">
      <c r="A83" s="2172"/>
      <c r="B83" s="2161"/>
      <c r="C83" s="2144"/>
      <c r="D83" s="86" t="s">
        <v>35</v>
      </c>
      <c r="E83" s="436">
        <v>28</v>
      </c>
      <c r="F83" s="148" t="s">
        <v>15</v>
      </c>
      <c r="G83" s="148" t="s">
        <v>15</v>
      </c>
      <c r="H83" s="367">
        <v>774.64599999999996</v>
      </c>
      <c r="I83" s="368">
        <v>39.416130000000003</v>
      </c>
      <c r="J83" s="234" t="s">
        <v>15</v>
      </c>
      <c r="K83" s="233" t="s">
        <v>15</v>
      </c>
      <c r="L83" s="234" t="s">
        <v>15</v>
      </c>
      <c r="M83" s="233" t="s">
        <v>15</v>
      </c>
      <c r="N83" s="1194">
        <v>104.3302374</v>
      </c>
      <c r="O83" s="142">
        <v>1.25</v>
      </c>
      <c r="P83" s="142">
        <v>83.784890000000004</v>
      </c>
      <c r="Q83" s="128">
        <f>1947.89/$T$61</f>
        <v>2.1696740849651362E-2</v>
      </c>
      <c r="R83" s="2129"/>
      <c r="S83" s="303"/>
      <c r="T83" s="252"/>
      <c r="U83" s="863"/>
      <c r="V83" s="24"/>
      <c r="W83" s="26"/>
      <c r="X83" s="26"/>
      <c r="Y83" s="41"/>
      <c r="Z83" s="41"/>
      <c r="AA83" s="41"/>
      <c r="AB83" s="846"/>
      <c r="AC83" s="26"/>
      <c r="AD83" s="26"/>
      <c r="AE83" s="26"/>
      <c r="AF83" s="106"/>
      <c r="AG83" s="37"/>
      <c r="AH83" s="957"/>
      <c r="AI83" s="957"/>
      <c r="AJ83" s="957"/>
      <c r="AK83" s="957"/>
      <c r="AL83" s="957"/>
      <c r="AM83" s="957"/>
      <c r="AN83" s="957"/>
      <c r="AO83" s="957"/>
      <c r="AP83" s="957"/>
      <c r="AQ83" s="957"/>
      <c r="AR83" s="957"/>
      <c r="AS83" s="957"/>
      <c r="AT83" s="957"/>
      <c r="AU83" s="957"/>
      <c r="AV83" s="957"/>
      <c r="AW83" s="957"/>
      <c r="AX83" s="957"/>
      <c r="AY83" s="957"/>
      <c r="AZ83" s="957"/>
      <c r="BA83" s="957"/>
      <c r="BB83" s="957"/>
      <c r="BC83" s="957"/>
      <c r="BD83" s="957"/>
      <c r="BE83" s="957"/>
      <c r="BF83" s="957"/>
      <c r="BG83" s="957"/>
    </row>
    <row r="84" spans="1:113">
      <c r="A84" s="2172"/>
      <c r="B84" s="2161"/>
      <c r="C84" s="2144"/>
      <c r="D84" s="86" t="s">
        <v>707</v>
      </c>
      <c r="E84" s="436">
        <v>53</v>
      </c>
      <c r="F84" s="148" t="s">
        <v>15</v>
      </c>
      <c r="G84" s="148" t="s">
        <v>15</v>
      </c>
      <c r="H84" s="367">
        <v>827.19029999999998</v>
      </c>
      <c r="I84" s="368">
        <v>198.26599999999999</v>
      </c>
      <c r="J84" s="234" t="s">
        <v>15</v>
      </c>
      <c r="K84" s="233" t="s">
        <v>15</v>
      </c>
      <c r="L84" s="234" t="s">
        <v>15</v>
      </c>
      <c r="M84" s="233" t="s">
        <v>15</v>
      </c>
      <c r="N84" s="1194">
        <v>41.124212</v>
      </c>
      <c r="O84" s="142">
        <v>0.46</v>
      </c>
      <c r="P84" s="142">
        <v>89.205526000000006</v>
      </c>
      <c r="Q84" s="128">
        <f>1064.16/$T$61</f>
        <v>1.1853237987034686E-2</v>
      </c>
      <c r="R84" s="2129"/>
      <c r="S84" s="303"/>
      <c r="T84" s="252"/>
      <c r="U84" s="863"/>
      <c r="V84" s="24"/>
      <c r="W84" s="26"/>
      <c r="X84" s="26"/>
      <c r="Y84" s="41"/>
      <c r="Z84" s="41"/>
      <c r="AA84" s="41"/>
      <c r="AB84" s="846"/>
      <c r="AC84" s="26"/>
      <c r="AD84" s="26"/>
      <c r="AE84" s="26"/>
      <c r="AF84" s="106"/>
      <c r="AG84" s="37"/>
      <c r="AH84" s="957"/>
      <c r="AI84" s="957"/>
      <c r="AJ84" s="957"/>
      <c r="AK84" s="957"/>
      <c r="AL84" s="957"/>
      <c r="AM84" s="957"/>
      <c r="AN84" s="957"/>
      <c r="AO84" s="957"/>
      <c r="AP84" s="957"/>
      <c r="AQ84" s="957"/>
      <c r="AR84" s="957"/>
      <c r="AS84" s="957"/>
      <c r="AT84" s="957"/>
      <c r="AU84" s="957"/>
      <c r="AV84" s="957"/>
      <c r="AW84" s="957"/>
      <c r="AX84" s="957"/>
      <c r="AY84" s="957"/>
      <c r="AZ84" s="957"/>
      <c r="BA84" s="957"/>
      <c r="BB84" s="957"/>
      <c r="BC84" s="957"/>
      <c r="BD84" s="957"/>
      <c r="BE84" s="957"/>
      <c r="BF84" s="957"/>
      <c r="BG84" s="957"/>
    </row>
    <row r="85" spans="1:113">
      <c r="A85" s="2172"/>
      <c r="B85" s="2161"/>
      <c r="C85" s="2144"/>
      <c r="D85" s="86" t="s">
        <v>708</v>
      </c>
      <c r="E85" s="436">
        <v>7</v>
      </c>
      <c r="F85" s="148" t="s">
        <v>15</v>
      </c>
      <c r="G85" s="148" t="s">
        <v>15</v>
      </c>
      <c r="H85" s="367">
        <v>608.66970000000003</v>
      </c>
      <c r="I85" s="368">
        <v>105.00879999999999</v>
      </c>
      <c r="J85" s="234" t="s">
        <v>15</v>
      </c>
      <c r="K85" s="233" t="s">
        <v>15</v>
      </c>
      <c r="L85" s="234" t="s">
        <v>15</v>
      </c>
      <c r="M85" s="233" t="s">
        <v>15</v>
      </c>
      <c r="N85" s="1194">
        <v>-62.501658300000003</v>
      </c>
      <c r="O85" s="142">
        <v>-0.19</v>
      </c>
      <c r="P85" s="142">
        <v>330.65563500000002</v>
      </c>
      <c r="Q85" s="128">
        <f>11.911643/$T$61</f>
        <v>1.3267886341865491E-4</v>
      </c>
      <c r="R85" s="2129"/>
      <c r="S85" s="303"/>
      <c r="T85" s="252"/>
      <c r="U85" s="863"/>
      <c r="V85" s="24"/>
      <c r="W85" s="26"/>
      <c r="X85" s="26"/>
      <c r="Y85" s="41"/>
      <c r="Z85" s="41"/>
      <c r="AA85" s="41"/>
      <c r="AB85" s="846"/>
      <c r="AC85" s="26"/>
      <c r="AD85" s="26"/>
      <c r="AE85" s="26"/>
      <c r="AF85" s="106"/>
      <c r="AG85" s="37"/>
      <c r="AH85" s="957"/>
      <c r="AI85" s="957"/>
      <c r="AJ85" s="957"/>
      <c r="AK85" s="957"/>
      <c r="AL85" s="957"/>
      <c r="AM85" s="957"/>
      <c r="AN85" s="957"/>
      <c r="AO85" s="957"/>
      <c r="AP85" s="957"/>
      <c r="AQ85" s="957"/>
      <c r="AR85" s="957"/>
      <c r="AS85" s="957"/>
      <c r="AT85" s="957"/>
      <c r="AU85" s="957"/>
      <c r="AV85" s="957"/>
      <c r="AW85" s="957"/>
      <c r="AX85" s="957"/>
      <c r="AY85" s="957"/>
      <c r="AZ85" s="957"/>
      <c r="BA85" s="957"/>
      <c r="BB85" s="957"/>
      <c r="BC85" s="957"/>
      <c r="BD85" s="957"/>
      <c r="BE85" s="957"/>
      <c r="BF85" s="957"/>
      <c r="BG85" s="957"/>
    </row>
    <row r="86" spans="1:113">
      <c r="A86" s="2172"/>
      <c r="B86" s="2161"/>
      <c r="C86" s="2144"/>
      <c r="D86" s="86" t="s">
        <v>691</v>
      </c>
      <c r="E86" s="436">
        <v>138</v>
      </c>
      <c r="F86" s="148" t="s">
        <v>15</v>
      </c>
      <c r="G86" s="148" t="s">
        <v>15</v>
      </c>
      <c r="H86" s="367">
        <v>815.27340000000004</v>
      </c>
      <c r="I86" s="368">
        <v>144.41030000000001</v>
      </c>
      <c r="J86" s="234" t="s">
        <v>15</v>
      </c>
      <c r="K86" s="233" t="s">
        <v>15</v>
      </c>
      <c r="L86" s="234" t="s">
        <v>15</v>
      </c>
      <c r="M86" s="233" t="s">
        <v>15</v>
      </c>
      <c r="N86" s="1194">
        <v>93.277564600000005</v>
      </c>
      <c r="O86" s="142">
        <v>1.1599999999999999</v>
      </c>
      <c r="P86" s="142">
        <v>80.554682999999997</v>
      </c>
      <c r="Q86" s="128">
        <f>4195.15/$T$61</f>
        <v>4.672804027712802E-2</v>
      </c>
      <c r="R86" s="2129"/>
      <c r="S86" s="303"/>
      <c r="T86" s="252"/>
      <c r="U86" s="863"/>
      <c r="V86" s="24"/>
      <c r="W86" s="26"/>
      <c r="X86" s="26"/>
      <c r="Y86" s="41"/>
      <c r="Z86" s="41"/>
      <c r="AA86" s="41"/>
      <c r="AB86" s="846"/>
      <c r="AC86" s="26"/>
      <c r="AD86" s="26"/>
      <c r="AE86" s="26"/>
      <c r="AF86" s="106"/>
      <c r="AG86" s="37"/>
      <c r="AH86" s="957"/>
      <c r="AI86" s="957"/>
      <c r="AJ86" s="957"/>
      <c r="AK86" s="957"/>
      <c r="AL86" s="957"/>
      <c r="AM86" s="957"/>
      <c r="AN86" s="957"/>
      <c r="AO86" s="957"/>
      <c r="AP86" s="957"/>
      <c r="AQ86" s="957"/>
      <c r="AR86" s="957"/>
      <c r="AS86" s="957"/>
      <c r="AT86" s="957"/>
      <c r="AU86" s="957"/>
      <c r="AV86" s="957"/>
      <c r="AW86" s="957"/>
      <c r="AX86" s="957"/>
      <c r="AY86" s="957"/>
      <c r="AZ86" s="957"/>
      <c r="BA86" s="957"/>
      <c r="BB86" s="957"/>
      <c r="BC86" s="957"/>
      <c r="BD86" s="957"/>
      <c r="BE86" s="957"/>
      <c r="BF86" s="957"/>
      <c r="BG86" s="957"/>
    </row>
    <row r="87" spans="1:113">
      <c r="A87" s="2172"/>
      <c r="B87" s="2161"/>
      <c r="C87" s="2144"/>
      <c r="D87" s="86" t="s">
        <v>37</v>
      </c>
      <c r="E87" s="436">
        <v>4</v>
      </c>
      <c r="F87" s="148" t="s">
        <v>15</v>
      </c>
      <c r="G87" s="148" t="s">
        <v>15</v>
      </c>
      <c r="H87" s="367">
        <v>582.3143</v>
      </c>
      <c r="I87" s="368">
        <v>138.7422</v>
      </c>
      <c r="J87" s="234" t="s">
        <v>15</v>
      </c>
      <c r="K87" s="233" t="s">
        <v>15</v>
      </c>
      <c r="L87" s="234" t="s">
        <v>15</v>
      </c>
      <c r="M87" s="233" t="s">
        <v>15</v>
      </c>
      <c r="N87" s="1194">
        <v>63.695496800000001</v>
      </c>
      <c r="O87" s="142">
        <v>0.04</v>
      </c>
      <c r="P87" s="142">
        <v>1513.554989</v>
      </c>
      <c r="Q87" s="128">
        <f>0.5191/$T$61</f>
        <v>5.7820401434649918E-6</v>
      </c>
      <c r="R87" s="2129"/>
      <c r="S87" s="303"/>
      <c r="T87" s="252"/>
      <c r="U87" s="863"/>
      <c r="V87" s="24"/>
      <c r="W87" s="26"/>
      <c r="X87" s="26"/>
      <c r="Y87" s="41"/>
      <c r="Z87" s="41"/>
      <c r="AA87" s="41"/>
      <c r="AB87" s="846"/>
      <c r="AC87" s="26"/>
      <c r="AD87" s="26"/>
      <c r="AE87" s="26"/>
      <c r="AF87" s="106"/>
      <c r="AG87" s="37"/>
      <c r="AH87" s="957"/>
      <c r="AI87" s="957"/>
      <c r="AJ87" s="957"/>
      <c r="AK87" s="957"/>
      <c r="AL87" s="957"/>
      <c r="AM87" s="957"/>
      <c r="AN87" s="957"/>
      <c r="AO87" s="957"/>
      <c r="AP87" s="957"/>
      <c r="AQ87" s="957"/>
      <c r="AR87" s="957"/>
      <c r="AS87" s="957"/>
      <c r="AT87" s="957"/>
      <c r="AU87" s="957"/>
      <c r="AV87" s="957"/>
      <c r="AW87" s="957"/>
      <c r="AX87" s="957"/>
      <c r="AY87" s="957"/>
      <c r="AZ87" s="957"/>
      <c r="BA87" s="957"/>
      <c r="BB87" s="957"/>
      <c r="BC87" s="957"/>
      <c r="BD87" s="957"/>
      <c r="BE87" s="957"/>
      <c r="BF87" s="957"/>
      <c r="BG87" s="957"/>
    </row>
    <row r="88" spans="1:113">
      <c r="A88" s="2172"/>
      <c r="B88" s="2161"/>
      <c r="C88" s="2144"/>
      <c r="D88" s="86" t="s">
        <v>38</v>
      </c>
      <c r="E88" s="436">
        <v>105</v>
      </c>
      <c r="F88" s="148" t="s">
        <v>15</v>
      </c>
      <c r="G88" s="148" t="s">
        <v>15</v>
      </c>
      <c r="H88" s="367">
        <v>1007.526</v>
      </c>
      <c r="I88" s="368">
        <v>153.8306</v>
      </c>
      <c r="J88" s="234" t="s">
        <v>15</v>
      </c>
      <c r="K88" s="233" t="s">
        <v>15</v>
      </c>
      <c r="L88" s="234" t="s">
        <v>15</v>
      </c>
      <c r="M88" s="233" t="s">
        <v>15</v>
      </c>
      <c r="N88" s="1194">
        <v>223.31640709999999</v>
      </c>
      <c r="O88" s="142">
        <v>2.82</v>
      </c>
      <c r="P88" s="142">
        <v>79.250421000000003</v>
      </c>
      <c r="Q88" s="128">
        <f>8724.87/$T$61</f>
        <v>9.7182717369511465E-2</v>
      </c>
      <c r="R88" s="2129"/>
      <c r="S88" s="303"/>
      <c r="T88" s="252"/>
      <c r="U88" s="863"/>
      <c r="V88" s="24"/>
      <c r="W88" s="26"/>
      <c r="X88" s="26"/>
      <c r="Y88" s="41"/>
      <c r="Z88" s="41"/>
      <c r="AA88" s="41"/>
      <c r="AB88" s="846"/>
      <c r="AC88" s="26"/>
      <c r="AD88" s="26"/>
      <c r="AE88" s="26"/>
      <c r="AF88" s="106"/>
      <c r="AG88" s="37"/>
      <c r="AH88" s="957"/>
      <c r="AI88" s="957"/>
      <c r="AJ88" s="957"/>
      <c r="AK88" s="957"/>
      <c r="AL88" s="957"/>
      <c r="AM88" s="957"/>
      <c r="AN88" s="957"/>
      <c r="AO88" s="957"/>
      <c r="AP88" s="957"/>
      <c r="AQ88" s="957"/>
      <c r="AR88" s="957"/>
      <c r="AS88" s="957"/>
      <c r="AT88" s="957"/>
      <c r="AU88" s="957"/>
      <c r="AV88" s="957"/>
      <c r="AW88" s="957"/>
      <c r="AX88" s="957"/>
      <c r="AY88" s="957"/>
      <c r="AZ88" s="957"/>
      <c r="BA88" s="957"/>
      <c r="BB88" s="957"/>
      <c r="BC88" s="957"/>
      <c r="BD88" s="957"/>
      <c r="BE88" s="957"/>
      <c r="BF88" s="957"/>
      <c r="BG88" s="957"/>
    </row>
    <row r="89" spans="1:113">
      <c r="A89" s="2172"/>
      <c r="B89" s="2161"/>
      <c r="C89" s="2144"/>
      <c r="D89" s="86" t="s">
        <v>20</v>
      </c>
      <c r="E89" s="436">
        <v>378</v>
      </c>
      <c r="F89" s="148" t="s">
        <v>15</v>
      </c>
      <c r="G89" s="148" t="s">
        <v>15</v>
      </c>
      <c r="H89" s="367">
        <v>684.65009999999995</v>
      </c>
      <c r="I89" s="368">
        <v>167.83510000000001</v>
      </c>
      <c r="J89" s="234" t="s">
        <v>15</v>
      </c>
      <c r="K89" s="233" t="s">
        <v>15</v>
      </c>
      <c r="L89" s="234" t="s">
        <v>15</v>
      </c>
      <c r="M89" s="233" t="s">
        <v>15</v>
      </c>
      <c r="N89" s="1194">
        <v>85.1488181</v>
      </c>
      <c r="O89" s="142">
        <v>1.08</v>
      </c>
      <c r="P89" s="142">
        <v>78.777922000000004</v>
      </c>
      <c r="Q89" s="128">
        <f>73590.13/$T$61</f>
        <v>0.81969001314353185</v>
      </c>
      <c r="R89" s="2129"/>
      <c r="S89" s="303"/>
      <c r="T89" s="252"/>
      <c r="U89" s="863"/>
      <c r="V89" s="24"/>
      <c r="W89" s="26"/>
      <c r="X89" s="26"/>
      <c r="Y89" s="41"/>
      <c r="Z89" s="41"/>
      <c r="AA89" s="41"/>
      <c r="AB89" s="846"/>
      <c r="AC89" s="26"/>
      <c r="AD89" s="26"/>
      <c r="AE89" s="26"/>
      <c r="AF89" s="106"/>
      <c r="AG89" s="37"/>
      <c r="AH89" s="957"/>
      <c r="AI89" s="957"/>
      <c r="AJ89" s="957"/>
      <c r="AK89" s="957"/>
      <c r="AL89" s="957"/>
      <c r="AM89" s="957"/>
      <c r="AN89" s="957"/>
      <c r="AO89" s="957"/>
      <c r="AP89" s="957"/>
      <c r="AQ89" s="957"/>
      <c r="AR89" s="957"/>
      <c r="AS89" s="957"/>
      <c r="AT89" s="957"/>
      <c r="AU89" s="957"/>
      <c r="AV89" s="957"/>
      <c r="AW89" s="957"/>
      <c r="AX89" s="957"/>
      <c r="AY89" s="957"/>
      <c r="AZ89" s="957"/>
      <c r="BA89" s="957"/>
      <c r="BB89" s="957"/>
      <c r="BC89" s="957"/>
      <c r="BD89" s="957"/>
      <c r="BE89" s="957"/>
      <c r="BF89" s="957"/>
      <c r="BG89" s="957"/>
    </row>
    <row r="90" spans="1:113">
      <c r="A90" s="2172"/>
      <c r="B90" s="2161"/>
      <c r="C90" s="2144"/>
      <c r="D90" s="86" t="s">
        <v>36</v>
      </c>
      <c r="E90" s="436">
        <v>38</v>
      </c>
      <c r="F90" s="148" t="s">
        <v>15</v>
      </c>
      <c r="G90" s="148" t="s">
        <v>15</v>
      </c>
      <c r="H90" s="367">
        <v>768.47979999999995</v>
      </c>
      <c r="I90" s="368">
        <v>171.7432</v>
      </c>
      <c r="J90" s="234" t="s">
        <v>15</v>
      </c>
      <c r="K90" s="233" t="s">
        <v>15</v>
      </c>
      <c r="L90" s="234" t="s">
        <v>15</v>
      </c>
      <c r="M90" s="233" t="s">
        <v>15</v>
      </c>
      <c r="N90" s="1194">
        <v>0</v>
      </c>
      <c r="O90" s="142" t="s">
        <v>574</v>
      </c>
      <c r="P90" s="142" t="s">
        <v>574</v>
      </c>
      <c r="Q90" s="128">
        <f>243.430217/$T$61</f>
        <v>2.7114684778007975E-3</v>
      </c>
      <c r="R90" s="2129"/>
      <c r="S90" s="303"/>
      <c r="T90" s="252"/>
      <c r="U90" s="863"/>
      <c r="V90" s="24"/>
      <c r="W90" s="26"/>
      <c r="X90" s="26"/>
      <c r="Y90" s="41"/>
      <c r="Z90" s="41"/>
      <c r="AA90" s="41"/>
      <c r="AB90" s="846"/>
      <c r="AC90" s="26"/>
      <c r="AD90" s="26"/>
      <c r="AE90" s="26"/>
      <c r="AF90" s="106"/>
      <c r="AG90" s="37"/>
      <c r="AH90" s="957"/>
      <c r="AI90" s="957"/>
      <c r="AJ90" s="957"/>
      <c r="AK90" s="957"/>
      <c r="AL90" s="957"/>
      <c r="AM90" s="957"/>
      <c r="AN90" s="957"/>
      <c r="AO90" s="957"/>
      <c r="AP90" s="957"/>
      <c r="AQ90" s="957"/>
      <c r="AR90" s="957"/>
      <c r="AS90" s="957"/>
      <c r="AT90" s="957"/>
      <c r="AU90" s="957"/>
      <c r="AV90" s="957"/>
      <c r="AW90" s="957"/>
      <c r="AX90" s="957"/>
      <c r="AY90" s="957"/>
      <c r="AZ90" s="957"/>
      <c r="BA90" s="957"/>
      <c r="BB90" s="957"/>
      <c r="BC90" s="957"/>
      <c r="BD90" s="957"/>
      <c r="BE90" s="957"/>
      <c r="BF90" s="957"/>
      <c r="BG90" s="957"/>
    </row>
    <row r="91" spans="1:113">
      <c r="A91" s="2172"/>
      <c r="B91" s="2161" t="s">
        <v>709</v>
      </c>
      <c r="C91" s="2144" t="s">
        <v>13</v>
      </c>
      <c r="D91" s="86" t="s">
        <v>710</v>
      </c>
      <c r="E91" s="436">
        <v>383</v>
      </c>
      <c r="F91" s="148" t="s">
        <v>15</v>
      </c>
      <c r="G91" s="148" t="s">
        <v>15</v>
      </c>
      <c r="H91" s="367">
        <v>678.23260000000005</v>
      </c>
      <c r="I91" s="368">
        <v>162.12299999999999</v>
      </c>
      <c r="J91" s="234" t="s">
        <v>15</v>
      </c>
      <c r="K91" s="233" t="s">
        <v>15</v>
      </c>
      <c r="L91" s="234" t="s">
        <v>15</v>
      </c>
      <c r="M91" s="233" t="s">
        <v>15</v>
      </c>
      <c r="N91" s="1194">
        <v>-61.091139900000002</v>
      </c>
      <c r="O91" s="142">
        <v>-1.56</v>
      </c>
      <c r="P91" s="142">
        <v>39.119056</v>
      </c>
      <c r="Q91" s="128">
        <f>66198.59/$T$61</f>
        <v>0.73735870703290329</v>
      </c>
      <c r="R91" s="2129">
        <f>SUMPRODUCT(N91:N94,Q91:Q94)</f>
        <v>-50.750938484739429</v>
      </c>
      <c r="S91" s="303"/>
      <c r="T91" s="252"/>
      <c r="U91" s="863"/>
      <c r="V91" s="24"/>
      <c r="W91" s="26"/>
      <c r="X91" s="26"/>
      <c r="Y91" s="41"/>
      <c r="Z91" s="41"/>
      <c r="AA91" s="41"/>
      <c r="AB91" s="846"/>
      <c r="AC91" s="26"/>
      <c r="AD91" s="26"/>
      <c r="AE91" s="26"/>
      <c r="AF91" s="106"/>
      <c r="AG91" s="37"/>
      <c r="AH91" s="957"/>
      <c r="AI91" s="957"/>
      <c r="AJ91" s="957"/>
      <c r="AK91" s="957"/>
      <c r="AL91" s="957"/>
      <c r="AM91" s="957"/>
      <c r="AN91" s="957"/>
      <c r="AO91" s="957"/>
      <c r="AP91" s="957"/>
      <c r="AQ91" s="957"/>
      <c r="AR91" s="957"/>
      <c r="AS91" s="957"/>
      <c r="AT91" s="957"/>
      <c r="AU91" s="957"/>
      <c r="AV91" s="957"/>
      <c r="AW91" s="957"/>
      <c r="AX91" s="957"/>
      <c r="AY91" s="957"/>
      <c r="AZ91" s="957"/>
      <c r="BA91" s="957"/>
      <c r="BB91" s="957"/>
      <c r="BC91" s="957"/>
      <c r="BD91" s="957"/>
      <c r="BE91" s="957"/>
      <c r="BF91" s="957"/>
      <c r="BG91" s="957"/>
    </row>
    <row r="92" spans="1:113">
      <c r="A92" s="2172"/>
      <c r="B92" s="2161"/>
      <c r="C92" s="2144"/>
      <c r="D92" s="86" t="s">
        <v>711</v>
      </c>
      <c r="E92" s="436">
        <v>283</v>
      </c>
      <c r="F92" s="148" t="s">
        <v>15</v>
      </c>
      <c r="G92" s="148" t="s">
        <v>15</v>
      </c>
      <c r="H92" s="367">
        <v>852.38610000000006</v>
      </c>
      <c r="I92" s="368">
        <v>196.1165</v>
      </c>
      <c r="J92" s="234" t="s">
        <v>15</v>
      </c>
      <c r="K92" s="233" t="s">
        <v>15</v>
      </c>
      <c r="L92" s="234" t="s">
        <v>15</v>
      </c>
      <c r="M92" s="233" t="s">
        <v>15</v>
      </c>
      <c r="N92" s="1194">
        <v>-27.059714400000001</v>
      </c>
      <c r="O92" s="142">
        <v>-0.68</v>
      </c>
      <c r="P92" s="142">
        <v>39.609789999999997</v>
      </c>
      <c r="Q92" s="128">
        <f>21481.5/$T$61</f>
        <v>0.23927354140212526</v>
      </c>
      <c r="R92" s="2129"/>
      <c r="S92" s="303"/>
      <c r="T92" s="252"/>
      <c r="U92" s="863"/>
      <c r="V92" s="24"/>
      <c r="W92" s="26"/>
      <c r="X92" s="26"/>
      <c r="Y92" s="41"/>
      <c r="Z92" s="41"/>
      <c r="AA92" s="41"/>
      <c r="AB92" s="846"/>
      <c r="AC92" s="26"/>
      <c r="AD92" s="26"/>
      <c r="AE92" s="26"/>
      <c r="AF92" s="106"/>
      <c r="AG92" s="37"/>
      <c r="AH92" s="957"/>
      <c r="AI92" s="957"/>
      <c r="AJ92" s="957"/>
      <c r="AK92" s="957"/>
      <c r="AL92" s="957"/>
      <c r="AM92" s="957"/>
      <c r="AN92" s="957"/>
      <c r="AO92" s="957"/>
      <c r="AP92" s="957"/>
      <c r="AQ92" s="957"/>
      <c r="AR92" s="957"/>
      <c r="AS92" s="957"/>
      <c r="AT92" s="957"/>
      <c r="AU92" s="957"/>
      <c r="AV92" s="957"/>
      <c r="AW92" s="957"/>
      <c r="AX92" s="957"/>
      <c r="AY92" s="957"/>
      <c r="AZ92" s="957"/>
      <c r="BA92" s="957"/>
      <c r="BB92" s="957"/>
      <c r="BC92" s="957"/>
      <c r="BD92" s="957"/>
      <c r="BE92" s="957"/>
      <c r="BF92" s="957"/>
      <c r="BG92" s="957"/>
    </row>
    <row r="93" spans="1:113">
      <c r="A93" s="2172"/>
      <c r="B93" s="2161"/>
      <c r="C93" s="2144"/>
      <c r="D93" s="86" t="s">
        <v>712</v>
      </c>
      <c r="E93" s="436">
        <v>60</v>
      </c>
      <c r="F93" s="148" t="s">
        <v>15</v>
      </c>
      <c r="G93" s="148" t="s">
        <v>15</v>
      </c>
      <c r="H93" s="367">
        <v>872.86590000000001</v>
      </c>
      <c r="I93" s="368">
        <v>313.98390000000001</v>
      </c>
      <c r="J93" s="234" t="s">
        <v>15</v>
      </c>
      <c r="K93" s="233" t="s">
        <v>15</v>
      </c>
      <c r="L93" s="234" t="s">
        <v>15</v>
      </c>
      <c r="M93" s="233" t="s">
        <v>15</v>
      </c>
      <c r="N93" s="1194">
        <v>59.074322799999997</v>
      </c>
      <c r="O93" s="142">
        <v>1.07</v>
      </c>
      <c r="P93" s="142">
        <v>55.455677000000001</v>
      </c>
      <c r="Q93" s="128">
        <f>1169.93/$T$61</f>
        <v>1.3031366258994408E-2</v>
      </c>
      <c r="R93" s="2129"/>
      <c r="S93" s="303"/>
      <c r="T93" s="252"/>
      <c r="U93" s="863"/>
      <c r="V93" s="24"/>
      <c r="W93" s="26"/>
      <c r="X93" s="26"/>
      <c r="Y93" s="41"/>
      <c r="Z93" s="41"/>
      <c r="AA93" s="41"/>
      <c r="AB93" s="846"/>
      <c r="AC93" s="26"/>
      <c r="AD93" s="26"/>
      <c r="AE93" s="26"/>
      <c r="AF93" s="106"/>
      <c r="AG93" s="37"/>
      <c r="AH93" s="957"/>
      <c r="AI93" s="957"/>
      <c r="AJ93" s="957"/>
      <c r="AK93" s="957"/>
      <c r="AL93" s="957"/>
      <c r="AM93" s="957"/>
      <c r="AN93" s="957"/>
      <c r="AO93" s="957"/>
      <c r="AP93" s="957"/>
      <c r="AQ93" s="957"/>
      <c r="AR93" s="957"/>
      <c r="AS93" s="957"/>
      <c r="AT93" s="957"/>
      <c r="AU93" s="957"/>
      <c r="AV93" s="957"/>
      <c r="AW93" s="957"/>
      <c r="AX93" s="957"/>
      <c r="AY93" s="957"/>
      <c r="AZ93" s="957"/>
      <c r="BA93" s="957"/>
      <c r="BB93" s="957"/>
      <c r="BC93" s="957"/>
      <c r="BD93" s="957"/>
      <c r="BE93" s="957"/>
      <c r="BF93" s="957"/>
      <c r="BG93" s="957"/>
    </row>
    <row r="94" spans="1:113" ht="15.75" thickBot="1">
      <c r="A94" s="2172"/>
      <c r="B94" s="2191"/>
      <c r="C94" s="2179"/>
      <c r="D94" s="288" t="s">
        <v>81</v>
      </c>
      <c r="E94" s="438">
        <v>28</v>
      </c>
      <c r="F94" s="197" t="s">
        <v>15</v>
      </c>
      <c r="G94" s="197" t="s">
        <v>15</v>
      </c>
      <c r="H94" s="407">
        <v>1021.462</v>
      </c>
      <c r="I94" s="408">
        <v>65.39</v>
      </c>
      <c r="J94" s="409" t="s">
        <v>15</v>
      </c>
      <c r="K94" s="122" t="s">
        <v>15</v>
      </c>
      <c r="L94" s="409" t="s">
        <v>15</v>
      </c>
      <c r="M94" s="122" t="s">
        <v>15</v>
      </c>
      <c r="N94" s="1199">
        <v>0</v>
      </c>
      <c r="O94" s="410" t="s">
        <v>574</v>
      </c>
      <c r="P94" s="410" t="s">
        <v>574</v>
      </c>
      <c r="Q94" s="286">
        <f>927.98000000001/$T$61</f>
        <v>1.0336385305977077E-2</v>
      </c>
      <c r="R94" s="2130"/>
      <c r="S94" s="303"/>
      <c r="T94" s="252"/>
      <c r="U94" s="863"/>
      <c r="V94" s="24"/>
      <c r="W94" s="26"/>
      <c r="X94" s="26"/>
      <c r="Y94" s="41"/>
      <c r="Z94" s="41"/>
      <c r="AA94" s="41"/>
      <c r="AB94" s="846"/>
      <c r="AC94" s="26"/>
      <c r="AD94" s="26"/>
      <c r="AE94" s="26"/>
      <c r="AF94" s="106"/>
      <c r="AG94" s="37"/>
      <c r="AH94" s="957"/>
      <c r="AI94" s="957"/>
      <c r="AJ94" s="957"/>
      <c r="AK94" s="957"/>
      <c r="AL94" s="957"/>
      <c r="AM94" s="957"/>
      <c r="AN94" s="957"/>
      <c r="AO94" s="957"/>
      <c r="AP94" s="957"/>
      <c r="AQ94" s="957"/>
      <c r="AR94" s="957"/>
      <c r="AS94" s="957"/>
      <c r="AT94" s="957"/>
      <c r="AU94" s="957"/>
      <c r="AV94" s="957"/>
      <c r="AW94" s="957"/>
      <c r="AX94" s="957"/>
      <c r="AY94" s="957"/>
      <c r="AZ94" s="957"/>
      <c r="BA94" s="957"/>
      <c r="BB94" s="957"/>
      <c r="BC94" s="957"/>
      <c r="BD94" s="957"/>
      <c r="BE94" s="957"/>
      <c r="BF94" s="957"/>
      <c r="BG94" s="957"/>
    </row>
    <row r="95" spans="1:113" s="692" customFormat="1" ht="9" customHeight="1" thickBot="1">
      <c r="A95" s="695"/>
      <c r="B95" s="815"/>
      <c r="C95" s="684"/>
      <c r="D95" s="683"/>
      <c r="E95" s="684"/>
      <c r="F95" s="684"/>
      <c r="G95" s="684"/>
      <c r="H95" s="684"/>
      <c r="I95" s="684"/>
      <c r="J95" s="682"/>
      <c r="K95" s="683"/>
      <c r="L95" s="682"/>
      <c r="M95" s="685"/>
      <c r="N95" s="1189"/>
      <c r="O95" s="686"/>
      <c r="P95" s="686"/>
      <c r="Q95" s="687"/>
      <c r="R95" s="687"/>
      <c r="S95" s="688"/>
      <c r="T95" s="688"/>
      <c r="U95" s="854"/>
      <c r="V95" s="893"/>
      <c r="W95" s="685"/>
      <c r="X95" s="685"/>
      <c r="Y95" s="688"/>
      <c r="Z95" s="688"/>
      <c r="AA95" s="688"/>
      <c r="AB95" s="846"/>
      <c r="AC95" s="685"/>
      <c r="AD95" s="685"/>
      <c r="AE95" s="685"/>
      <c r="AF95" s="689"/>
      <c r="AG95" s="685"/>
      <c r="AH95" s="959"/>
      <c r="AI95" s="959"/>
      <c r="AJ95" s="959"/>
      <c r="AK95" s="959"/>
      <c r="AL95" s="959"/>
      <c r="AM95" s="959"/>
      <c r="AN95" s="959"/>
      <c r="AO95" s="958"/>
      <c r="AP95" s="958"/>
      <c r="AQ95" s="958"/>
      <c r="AR95" s="958"/>
      <c r="AS95" s="958"/>
      <c r="AT95" s="958"/>
      <c r="AU95" s="958"/>
      <c r="AV95" s="958"/>
      <c r="AW95" s="958"/>
      <c r="AX95" s="958"/>
      <c r="AY95" s="958"/>
      <c r="AZ95" s="958"/>
      <c r="BA95" s="958"/>
      <c r="BB95" s="958"/>
      <c r="BC95" s="958"/>
      <c r="BD95" s="958"/>
      <c r="BE95" s="958"/>
      <c r="BF95" s="958"/>
      <c r="BG95" s="958"/>
      <c r="BH95" s="1125"/>
      <c r="DI95" s="693"/>
    </row>
    <row r="96" spans="1:113" ht="15" customHeight="1">
      <c r="A96" s="2171" t="s">
        <v>1279</v>
      </c>
      <c r="B96" s="1055" t="s">
        <v>754</v>
      </c>
      <c r="C96" s="810" t="s">
        <v>12</v>
      </c>
      <c r="D96" s="219" t="s">
        <v>809</v>
      </c>
      <c r="E96" s="77">
        <v>189</v>
      </c>
      <c r="F96" s="259">
        <v>78.460859999999997</v>
      </c>
      <c r="G96" s="259">
        <v>14.459630000000001</v>
      </c>
      <c r="H96" s="367">
        <v>1552.953</v>
      </c>
      <c r="I96" s="368">
        <v>386.4683</v>
      </c>
      <c r="J96" s="298" t="s">
        <v>15</v>
      </c>
      <c r="K96" s="1135" t="s">
        <v>15</v>
      </c>
      <c r="L96" s="1165" t="s">
        <v>14</v>
      </c>
      <c r="M96" s="1150" t="s">
        <v>755</v>
      </c>
      <c r="N96" s="441">
        <v>0.88690199999999997</v>
      </c>
      <c r="O96" s="442">
        <v>0.43</v>
      </c>
      <c r="P96" s="442">
        <v>2.0848819999999999</v>
      </c>
      <c r="Q96" s="254" t="s">
        <v>15</v>
      </c>
      <c r="R96" s="258">
        <f>N96</f>
        <v>0.88690199999999997</v>
      </c>
      <c r="S96" s="149" t="s">
        <v>68</v>
      </c>
      <c r="T96" s="150" t="s">
        <v>69</v>
      </c>
      <c r="U96" s="858"/>
      <c r="V96" s="2232" t="s">
        <v>863</v>
      </c>
      <c r="W96" s="295" t="s">
        <v>47</v>
      </c>
      <c r="X96" s="295" t="s">
        <v>864</v>
      </c>
      <c r="Y96" s="220">
        <f>$T$103+SUM($R$98:$R$126)+$N$96*177.4+$N$97*1</f>
        <v>1564.0473707984781</v>
      </c>
      <c r="Z96" s="282" t="s">
        <v>40</v>
      </c>
      <c r="AA96" s="575" t="s">
        <v>40</v>
      </c>
      <c r="AB96" s="846"/>
      <c r="AC96" s="26"/>
      <c r="AD96" s="2131" t="s">
        <v>142</v>
      </c>
      <c r="AE96" s="2133"/>
      <c r="AF96" s="497" t="s">
        <v>49</v>
      </c>
      <c r="AG96" s="494" t="s">
        <v>883</v>
      </c>
      <c r="AH96" s="158">
        <f>T103+SUM(R118:R123)+N101+N113+N116</f>
        <v>1098.3799169653455</v>
      </c>
      <c r="AI96" s="158">
        <v>1099</v>
      </c>
      <c r="AJ96" s="158">
        <v>849</v>
      </c>
      <c r="AK96" s="158">
        <v>1199</v>
      </c>
      <c r="AL96" s="158">
        <v>849</v>
      </c>
      <c r="AM96" s="158">
        <v>1549</v>
      </c>
      <c r="AN96" s="170">
        <v>1249</v>
      </c>
      <c r="AO96" s="1011"/>
      <c r="AP96" s="957"/>
      <c r="AQ96" s="957"/>
      <c r="AR96" s="957"/>
      <c r="AS96" s="957"/>
      <c r="AT96" s="1012"/>
      <c r="AU96" s="1023"/>
      <c r="AV96" s="957"/>
      <c r="AW96" s="957"/>
      <c r="AX96" s="957"/>
      <c r="AY96" s="957"/>
      <c r="AZ96" s="957"/>
      <c r="BA96" s="957"/>
      <c r="BB96" s="957"/>
      <c r="BC96" s="957"/>
      <c r="BD96" s="957"/>
      <c r="BE96" s="957"/>
      <c r="BF96" s="957"/>
      <c r="BG96" s="957"/>
    </row>
    <row r="97" spans="1:59">
      <c r="A97" s="2172"/>
      <c r="B97" s="1056" t="s">
        <v>756</v>
      </c>
      <c r="C97" s="356" t="s">
        <v>12</v>
      </c>
      <c r="D97" s="291" t="s">
        <v>810</v>
      </c>
      <c r="E97" s="452">
        <v>189</v>
      </c>
      <c r="F97" s="128">
        <v>0.15699399999999999</v>
      </c>
      <c r="G97" s="128">
        <v>0.109876</v>
      </c>
      <c r="H97" s="367">
        <v>1552.953</v>
      </c>
      <c r="I97" s="368">
        <v>386.4683</v>
      </c>
      <c r="J97" s="234" t="s">
        <v>15</v>
      </c>
      <c r="K97" s="233" t="s">
        <v>15</v>
      </c>
      <c r="L97" s="234" t="s">
        <v>15</v>
      </c>
      <c r="M97" s="233" t="s">
        <v>15</v>
      </c>
      <c r="N97" s="537">
        <v>-90.968208000000004</v>
      </c>
      <c r="O97" s="536">
        <v>-0.31</v>
      </c>
      <c r="P97" s="536">
        <v>295.716114</v>
      </c>
      <c r="Q97" s="195" t="s">
        <v>15</v>
      </c>
      <c r="R97" s="128">
        <f>N97</f>
        <v>-90.968208000000004</v>
      </c>
      <c r="S97" s="31" t="s">
        <v>70</v>
      </c>
      <c r="T97" s="117" t="s">
        <v>71</v>
      </c>
      <c r="U97" s="854"/>
      <c r="V97" s="2233"/>
      <c r="W97" s="983" t="s">
        <v>49</v>
      </c>
      <c r="X97" s="338" t="s">
        <v>865</v>
      </c>
      <c r="Y97" s="169">
        <f>$T$103+SUM($R$98:$R$126)+$N$96*86.4+$N$97*1</f>
        <v>1483.339288798478</v>
      </c>
      <c r="Z97" s="169">
        <f>Y97-Y96</f>
        <v>-80.708082000000104</v>
      </c>
      <c r="AA97" s="576">
        <f>(177.4-86.4)*$P$96</f>
        <v>189.72426199999998</v>
      </c>
      <c r="AB97" s="918"/>
      <c r="AC97" s="26"/>
      <c r="AD97" s="20" t="s">
        <v>98</v>
      </c>
      <c r="AE97" s="278">
        <v>1.7052459832329801E-2</v>
      </c>
      <c r="AF97" s="497" t="s">
        <v>49</v>
      </c>
      <c r="AG97" s="494" t="s">
        <v>884</v>
      </c>
      <c r="AH97" s="158">
        <f>T103+SUM(R118:R123)+N105+N113+N116</f>
        <v>1222.7895829653455</v>
      </c>
      <c r="AI97" s="158">
        <v>1199</v>
      </c>
      <c r="AJ97" s="158">
        <v>1199</v>
      </c>
      <c r="AK97" s="158">
        <v>1199</v>
      </c>
      <c r="AL97" s="158">
        <v>1129</v>
      </c>
      <c r="AM97" s="158"/>
      <c r="AN97" s="170">
        <v>1099</v>
      </c>
      <c r="AO97" s="1011"/>
      <c r="AP97" s="957"/>
      <c r="AQ97" s="957"/>
      <c r="AR97" s="957"/>
      <c r="AS97" s="957"/>
      <c r="AT97" s="1012"/>
      <c r="AU97" s="1023"/>
      <c r="AV97" s="957"/>
      <c r="AW97" s="957"/>
      <c r="AX97" s="957"/>
      <c r="AY97" s="957"/>
      <c r="AZ97" s="957"/>
      <c r="BA97" s="957"/>
      <c r="BB97" s="957"/>
      <c r="BC97" s="957"/>
      <c r="BD97" s="957"/>
      <c r="BE97" s="957"/>
      <c r="BF97" s="957"/>
      <c r="BG97" s="957"/>
    </row>
    <row r="98" spans="1:59">
      <c r="A98" s="2172"/>
      <c r="B98" s="2206" t="s">
        <v>153</v>
      </c>
      <c r="C98" s="2144" t="s">
        <v>13</v>
      </c>
      <c r="D98" s="434" t="s">
        <v>757</v>
      </c>
      <c r="E98" s="452">
        <v>2</v>
      </c>
      <c r="F98" s="148" t="s">
        <v>15</v>
      </c>
      <c r="G98" s="148" t="s">
        <v>15</v>
      </c>
      <c r="H98" s="367">
        <v>897.83960000000002</v>
      </c>
      <c r="I98" s="368">
        <v>57.722880000000004</v>
      </c>
      <c r="J98" s="234" t="s">
        <v>15</v>
      </c>
      <c r="K98" s="233" t="s">
        <v>15</v>
      </c>
      <c r="L98" s="234" t="s">
        <v>15</v>
      </c>
      <c r="M98" s="233" t="s">
        <v>15</v>
      </c>
      <c r="N98" s="537">
        <v>12.840859999999999</v>
      </c>
      <c r="O98" s="536">
        <v>0.04</v>
      </c>
      <c r="P98" s="536">
        <v>304.04940399999998</v>
      </c>
      <c r="Q98" s="128">
        <f>225.98/$T$101</f>
        <v>5.6391085327512722E-3</v>
      </c>
      <c r="R98" s="2130">
        <f>SUMPRODUCT(N98:N110,Q98:Q110)</f>
        <v>232.83739508625331</v>
      </c>
      <c r="S98" s="127" t="s">
        <v>72</v>
      </c>
      <c r="T98" s="119" t="s">
        <v>119</v>
      </c>
      <c r="U98" s="855"/>
      <c r="V98" s="2233"/>
      <c r="W98" s="983" t="s">
        <v>49</v>
      </c>
      <c r="X98" s="338" t="s">
        <v>866</v>
      </c>
      <c r="Y98" s="169">
        <f>$T$103+SUM($R$98:$R$126)+$N$96*70.2+$N$97*1</f>
        <v>1468.971476398478</v>
      </c>
      <c r="Z98" s="169">
        <f>Y98-Y96</f>
        <v>-95.075894400000152</v>
      </c>
      <c r="AA98" s="576">
        <f>(177.4-70.2)*$P$96</f>
        <v>223.4993504</v>
      </c>
      <c r="AB98" s="918"/>
      <c r="AC98" s="26"/>
      <c r="AD98" s="20" t="s">
        <v>143</v>
      </c>
      <c r="AE98" s="278">
        <v>0.16172057546645854</v>
      </c>
      <c r="AF98" s="497" t="s">
        <v>49</v>
      </c>
      <c r="AG98" s="494" t="s">
        <v>885</v>
      </c>
      <c r="AH98" s="158">
        <f>T103+SUM(R118:R123)+N101+N113+N117</f>
        <v>1251.7089379653455</v>
      </c>
      <c r="AI98" s="158">
        <v>1038.99</v>
      </c>
      <c r="AJ98" s="158">
        <v>1299</v>
      </c>
      <c r="AK98" s="158">
        <v>1349</v>
      </c>
      <c r="AL98" s="158">
        <v>1599</v>
      </c>
      <c r="AM98" s="158">
        <v>1297</v>
      </c>
      <c r="AN98" s="170">
        <v>1299</v>
      </c>
      <c r="AO98" s="1011"/>
      <c r="AP98" s="957"/>
      <c r="AQ98" s="957"/>
      <c r="AR98" s="957"/>
      <c r="AS98" s="957"/>
      <c r="AT98" s="1012"/>
      <c r="AU98" s="1023"/>
      <c r="AV98" s="957"/>
      <c r="AW98" s="957"/>
      <c r="AX98" s="957"/>
      <c r="AY98" s="957"/>
      <c r="AZ98" s="957"/>
      <c r="BA98" s="957"/>
      <c r="BB98" s="957"/>
      <c r="BC98" s="957"/>
      <c r="BD98" s="957"/>
      <c r="BE98" s="957"/>
      <c r="BF98" s="957"/>
      <c r="BG98" s="957"/>
    </row>
    <row r="99" spans="1:59">
      <c r="A99" s="2172"/>
      <c r="B99" s="2206"/>
      <c r="C99" s="2144"/>
      <c r="D99" s="348" t="s">
        <v>758</v>
      </c>
      <c r="E99" s="452">
        <v>3</v>
      </c>
      <c r="F99" s="148" t="s">
        <v>15</v>
      </c>
      <c r="G99" s="148" t="s">
        <v>15</v>
      </c>
      <c r="H99" s="367">
        <v>730.86220000000003</v>
      </c>
      <c r="I99" s="368">
        <v>72.01464</v>
      </c>
      <c r="J99" s="234" t="s">
        <v>15</v>
      </c>
      <c r="K99" s="233" t="s">
        <v>15</v>
      </c>
      <c r="L99" s="234" t="s">
        <v>15</v>
      </c>
      <c r="M99" s="233" t="s">
        <v>15</v>
      </c>
      <c r="N99" s="537">
        <v>-279.00345700000003</v>
      </c>
      <c r="O99" s="536">
        <v>-0.45</v>
      </c>
      <c r="P99" s="536">
        <v>622.95113000000003</v>
      </c>
      <c r="Q99" s="128">
        <f>27/$T$101</f>
        <v>6.7375843165007679E-4</v>
      </c>
      <c r="R99" s="2196"/>
      <c r="S99" s="452" t="s">
        <v>73</v>
      </c>
      <c r="T99" s="433"/>
      <c r="U99" s="859"/>
      <c r="V99" s="24"/>
      <c r="W99" s="26"/>
      <c r="X99" s="26"/>
      <c r="Y99" s="41"/>
      <c r="Z99" s="41"/>
      <c r="AA99" s="41"/>
      <c r="AB99" s="846"/>
      <c r="AC99" s="26"/>
      <c r="AD99" s="20" t="s">
        <v>144</v>
      </c>
      <c r="AE99" s="278">
        <v>-0.29091031829222369</v>
      </c>
      <c r="AF99" s="497" t="s">
        <v>49</v>
      </c>
      <c r="AG99" s="494" t="s">
        <v>886</v>
      </c>
      <c r="AH99" s="158">
        <f>T103+SUM(R118:R123)+N105+N113+N117</f>
        <v>1376.1186039653455</v>
      </c>
      <c r="AI99" s="158">
        <v>1299</v>
      </c>
      <c r="AJ99" s="158">
        <v>999</v>
      </c>
      <c r="AK99" s="158">
        <v>1568</v>
      </c>
      <c r="AL99" s="158"/>
      <c r="AM99" s="158"/>
      <c r="AN99" s="170"/>
      <c r="AO99" s="1011"/>
      <c r="AP99" s="957"/>
      <c r="AQ99" s="957"/>
      <c r="AR99" s="957"/>
      <c r="AS99" s="957"/>
      <c r="AT99" s="1012"/>
      <c r="AU99" s="1023"/>
      <c r="AV99" s="957"/>
      <c r="AW99" s="957"/>
      <c r="AX99" s="957"/>
      <c r="AY99" s="957"/>
      <c r="AZ99" s="957"/>
      <c r="BA99" s="957"/>
      <c r="BB99" s="957"/>
      <c r="BC99" s="957"/>
      <c r="BD99" s="957"/>
      <c r="BE99" s="957"/>
      <c r="BF99" s="957"/>
      <c r="BG99" s="957"/>
    </row>
    <row r="100" spans="1:59">
      <c r="A100" s="2172"/>
      <c r="B100" s="2206"/>
      <c r="C100" s="2144"/>
      <c r="D100" s="348" t="s">
        <v>759</v>
      </c>
      <c r="E100" s="452">
        <v>3</v>
      </c>
      <c r="F100" s="148" t="s">
        <v>15</v>
      </c>
      <c r="G100" s="148" t="s">
        <v>15</v>
      </c>
      <c r="H100" s="367">
        <v>924.99</v>
      </c>
      <c r="I100" s="368">
        <v>47.628970000000002</v>
      </c>
      <c r="J100" s="234" t="s">
        <v>15</v>
      </c>
      <c r="K100" s="233" t="s">
        <v>15</v>
      </c>
      <c r="L100" s="234" t="s">
        <v>15</v>
      </c>
      <c r="M100" s="233" t="s">
        <v>15</v>
      </c>
      <c r="N100" s="537">
        <v>71.967168999999998</v>
      </c>
      <c r="O100" s="536">
        <v>7.0000000000000007E-2</v>
      </c>
      <c r="P100" s="536">
        <v>1025.3869999999999</v>
      </c>
      <c r="Q100" s="128">
        <f>9/$T$101</f>
        <v>2.2458614388335896E-4</v>
      </c>
      <c r="R100" s="2196"/>
      <c r="S100" s="127" t="s">
        <v>74</v>
      </c>
      <c r="T100" s="129" t="s">
        <v>75</v>
      </c>
      <c r="U100" s="858"/>
      <c r="V100" s="24"/>
      <c r="W100" s="26"/>
      <c r="X100" s="26"/>
      <c r="Y100" s="41"/>
      <c r="Z100" s="41"/>
      <c r="AA100" s="41"/>
      <c r="AB100" s="846"/>
      <c r="AC100" s="26"/>
      <c r="AD100" s="20" t="s">
        <v>145</v>
      </c>
      <c r="AE100" s="278">
        <v>0.37749610006541096</v>
      </c>
      <c r="AF100" s="497" t="s">
        <v>49</v>
      </c>
      <c r="AG100" s="494" t="s">
        <v>887</v>
      </c>
      <c r="AH100" s="158">
        <f>T103+SUM(R118:R123)+N101+N114+N117</f>
        <v>1656.9651259653456</v>
      </c>
      <c r="AI100" s="158">
        <v>1499</v>
      </c>
      <c r="AJ100" s="158">
        <v>1999</v>
      </c>
      <c r="AK100" s="158">
        <v>1399</v>
      </c>
      <c r="AL100" s="158">
        <v>1499</v>
      </c>
      <c r="AM100" s="158">
        <v>1799</v>
      </c>
      <c r="AN100" s="170"/>
      <c r="AO100" s="1011"/>
      <c r="AP100" s="957"/>
      <c r="AQ100" s="957"/>
      <c r="AR100" s="957"/>
      <c r="AS100" s="957"/>
      <c r="AT100" s="1012"/>
      <c r="AU100" s="1023"/>
      <c r="AV100" s="957"/>
      <c r="AW100" s="957"/>
      <c r="AX100" s="957"/>
      <c r="AY100" s="957"/>
      <c r="AZ100" s="957"/>
      <c r="BA100" s="957"/>
      <c r="BB100" s="957"/>
      <c r="BC100" s="957"/>
      <c r="BD100" s="957"/>
      <c r="BE100" s="957"/>
      <c r="BF100" s="957"/>
      <c r="BG100" s="957"/>
    </row>
    <row r="101" spans="1:59">
      <c r="A101" s="2172"/>
      <c r="B101" s="2206"/>
      <c r="C101" s="2144"/>
      <c r="D101" s="348" t="s">
        <v>760</v>
      </c>
      <c r="E101" s="452">
        <v>50</v>
      </c>
      <c r="F101" s="148" t="s">
        <v>15</v>
      </c>
      <c r="G101" s="148" t="s">
        <v>15</v>
      </c>
      <c r="H101" s="367">
        <v>1405.856</v>
      </c>
      <c r="I101" s="368">
        <v>299.3784</v>
      </c>
      <c r="J101" s="234" t="s">
        <v>15</v>
      </c>
      <c r="K101" s="233" t="s">
        <v>15</v>
      </c>
      <c r="L101" s="234" t="s">
        <v>15</v>
      </c>
      <c r="M101" s="233" t="s">
        <v>15</v>
      </c>
      <c r="N101" s="537">
        <v>213.19314900000001</v>
      </c>
      <c r="O101" s="536">
        <v>0.87</v>
      </c>
      <c r="P101" s="536">
        <v>243.66126199999999</v>
      </c>
      <c r="Q101" s="128">
        <f>11997.22/$T$101</f>
        <v>0.2993788196800346</v>
      </c>
      <c r="R101" s="2196"/>
      <c r="S101" s="447">
        <v>189</v>
      </c>
      <c r="T101" s="574">
        <v>40073.71</v>
      </c>
      <c r="U101" s="860"/>
      <c r="V101" s="24"/>
      <c r="W101" s="26"/>
      <c r="X101" s="26"/>
      <c r="Y101" s="41"/>
      <c r="Z101" s="41"/>
      <c r="AA101" s="41"/>
      <c r="AB101" s="846"/>
      <c r="AC101" s="26"/>
      <c r="AD101" s="24"/>
      <c r="AE101" s="26"/>
      <c r="AF101" s="106"/>
      <c r="AG101" s="37"/>
      <c r="AH101" s="957"/>
      <c r="AI101" s="957"/>
      <c r="AJ101" s="957"/>
      <c r="AK101" s="957"/>
      <c r="AL101" s="957"/>
      <c r="AM101" s="957"/>
      <c r="AN101" s="957"/>
      <c r="AO101" s="957"/>
      <c r="AP101" s="957"/>
      <c r="AQ101" s="957"/>
      <c r="AR101" s="957"/>
      <c r="AS101" s="957"/>
      <c r="AT101" s="957"/>
      <c r="AU101" s="957"/>
      <c r="AV101" s="957"/>
      <c r="AW101" s="957"/>
      <c r="AX101" s="957"/>
      <c r="AY101" s="957"/>
      <c r="AZ101" s="957"/>
      <c r="BA101" s="957"/>
      <c r="BB101" s="957"/>
      <c r="BC101" s="957"/>
      <c r="BD101" s="957"/>
      <c r="BE101" s="957"/>
      <c r="BF101" s="957"/>
      <c r="BG101" s="957"/>
    </row>
    <row r="102" spans="1:59">
      <c r="A102" s="2172"/>
      <c r="B102" s="2206"/>
      <c r="C102" s="2144"/>
      <c r="D102" s="348" t="s">
        <v>761</v>
      </c>
      <c r="E102" s="452">
        <v>1</v>
      </c>
      <c r="F102" s="148" t="s">
        <v>15</v>
      </c>
      <c r="G102" s="148" t="s">
        <v>15</v>
      </c>
      <c r="H102" s="367">
        <v>1199.95</v>
      </c>
      <c r="I102" s="368">
        <v>0</v>
      </c>
      <c r="J102" s="234" t="s">
        <v>15</v>
      </c>
      <c r="K102" s="233" t="s">
        <v>15</v>
      </c>
      <c r="L102" s="234" t="s">
        <v>15</v>
      </c>
      <c r="M102" s="233" t="s">
        <v>15</v>
      </c>
      <c r="N102" s="537">
        <v>223.14231599999999</v>
      </c>
      <c r="O102" s="536">
        <v>7.0000000000000007E-2</v>
      </c>
      <c r="P102" s="536">
        <v>3026.7530019999999</v>
      </c>
      <c r="Q102" s="128">
        <f>1/$T$101</f>
        <v>2.4954015987039883E-5</v>
      </c>
      <c r="R102" s="2196"/>
      <c r="S102" s="127" t="s">
        <v>41</v>
      </c>
      <c r="T102" s="129" t="s">
        <v>42</v>
      </c>
      <c r="U102" s="858"/>
      <c r="V102" s="24"/>
      <c r="W102" s="26"/>
      <c r="X102" s="26"/>
      <c r="Y102" s="41"/>
      <c r="Z102" s="41"/>
      <c r="AA102" s="41"/>
      <c r="AB102" s="846"/>
      <c r="AC102" s="26"/>
      <c r="AD102" s="24"/>
      <c r="AE102" s="26"/>
      <c r="AF102" s="106"/>
      <c r="AG102" s="37"/>
      <c r="AH102" s="957"/>
      <c r="AI102" s="957"/>
      <c r="AJ102" s="957"/>
      <c r="AK102" s="957"/>
      <c r="AL102" s="957"/>
      <c r="AM102" s="957"/>
      <c r="AN102" s="957"/>
      <c r="AO102" s="957"/>
      <c r="AP102" s="957"/>
      <c r="AQ102" s="957"/>
      <c r="AR102" s="957"/>
      <c r="AS102" s="957"/>
      <c r="AT102" s="957"/>
      <c r="AU102" s="957"/>
      <c r="AV102" s="957"/>
      <c r="AW102" s="957"/>
      <c r="AX102" s="957"/>
      <c r="AY102" s="957"/>
      <c r="AZ102" s="957"/>
      <c r="BA102" s="957"/>
      <c r="BB102" s="957"/>
      <c r="BC102" s="957"/>
      <c r="BD102" s="957"/>
      <c r="BE102" s="957"/>
      <c r="BF102" s="957"/>
      <c r="BG102" s="957"/>
    </row>
    <row r="103" spans="1:59">
      <c r="A103" s="2172"/>
      <c r="B103" s="2206"/>
      <c r="C103" s="2144"/>
      <c r="D103" s="348" t="s">
        <v>762</v>
      </c>
      <c r="E103" s="452">
        <v>2</v>
      </c>
      <c r="F103" s="148" t="s">
        <v>15</v>
      </c>
      <c r="G103" s="148" t="s">
        <v>15</v>
      </c>
      <c r="H103" s="367">
        <v>1986.347</v>
      </c>
      <c r="I103" s="368">
        <v>101.73990000000001</v>
      </c>
      <c r="J103" s="234" t="s">
        <v>15</v>
      </c>
      <c r="K103" s="233" t="s">
        <v>15</v>
      </c>
      <c r="L103" s="234" t="s">
        <v>15</v>
      </c>
      <c r="M103" s="233" t="s">
        <v>15</v>
      </c>
      <c r="N103" s="537">
        <v>420.42862700000001</v>
      </c>
      <c r="O103" s="536">
        <v>0.82</v>
      </c>
      <c r="P103" s="536">
        <v>514.67630199999996</v>
      </c>
      <c r="Q103" s="128">
        <f>43.48/$T$101</f>
        <v>1.085000615116494E-3</v>
      </c>
      <c r="R103" s="2196"/>
      <c r="S103" s="357">
        <v>0.75311899999999998</v>
      </c>
      <c r="T103" s="420">
        <v>2236.8245010000001</v>
      </c>
      <c r="U103" s="861"/>
      <c r="V103" s="24"/>
      <c r="W103" s="26"/>
      <c r="X103" s="26"/>
      <c r="Y103" s="41"/>
      <c r="Z103" s="41"/>
      <c r="AA103" s="41"/>
      <c r="AB103" s="846"/>
      <c r="AC103" s="26"/>
      <c r="AD103" s="24"/>
      <c r="AE103" s="26"/>
      <c r="AF103" s="106"/>
      <c r="AG103" s="37"/>
      <c r="AH103" s="957"/>
      <c r="AI103" s="1023"/>
      <c r="AJ103" s="1023"/>
      <c r="AK103" s="1023"/>
      <c r="AL103" s="1023"/>
      <c r="AM103" s="1023"/>
      <c r="AN103" s="1023"/>
      <c r="AO103" s="957"/>
      <c r="AP103" s="957"/>
      <c r="AQ103" s="957"/>
      <c r="AR103" s="957"/>
      <c r="AS103" s="957"/>
      <c r="AT103" s="957"/>
      <c r="AU103" s="957"/>
      <c r="AV103" s="957"/>
      <c r="AW103" s="957"/>
      <c r="AX103" s="957"/>
      <c r="AY103" s="957"/>
      <c r="AZ103" s="957"/>
      <c r="BA103" s="957"/>
      <c r="BB103" s="957"/>
      <c r="BC103" s="957"/>
      <c r="BD103" s="957"/>
      <c r="BE103" s="957"/>
      <c r="BF103" s="957"/>
      <c r="BG103" s="957"/>
    </row>
    <row r="104" spans="1:59">
      <c r="A104" s="2172"/>
      <c r="B104" s="2206"/>
      <c r="C104" s="2144"/>
      <c r="D104" s="348" t="s">
        <v>763</v>
      </c>
      <c r="E104" s="452">
        <v>6</v>
      </c>
      <c r="F104" s="148" t="s">
        <v>15</v>
      </c>
      <c r="G104" s="148" t="s">
        <v>15</v>
      </c>
      <c r="H104" s="367">
        <v>1015.496</v>
      </c>
      <c r="I104" s="368">
        <v>96.736170000000001</v>
      </c>
      <c r="J104" s="234" t="s">
        <v>15</v>
      </c>
      <c r="K104" s="233" t="s">
        <v>15</v>
      </c>
      <c r="L104" s="234" t="s">
        <v>15</v>
      </c>
      <c r="M104" s="233" t="s">
        <v>15</v>
      </c>
      <c r="N104" s="537">
        <v>21.259260999999999</v>
      </c>
      <c r="O104" s="536">
        <v>0.08</v>
      </c>
      <c r="P104" s="536">
        <v>275.699634</v>
      </c>
      <c r="Q104" s="128">
        <f>552/$T$101</f>
        <v>1.3774616824846016E-2</v>
      </c>
      <c r="R104" s="2196"/>
      <c r="S104" s="118" t="s">
        <v>235</v>
      </c>
      <c r="T104" s="119" t="s">
        <v>391</v>
      </c>
      <c r="U104" s="855"/>
      <c r="V104" s="24"/>
      <c r="W104" s="26"/>
      <c r="X104" s="26"/>
      <c r="Y104" s="41"/>
      <c r="Z104" s="41"/>
      <c r="AA104" s="41"/>
      <c r="AB104" s="846"/>
      <c r="AC104" s="26"/>
      <c r="AD104" s="24"/>
      <c r="AE104" s="26"/>
      <c r="AF104" s="106"/>
      <c r="AG104" s="37"/>
      <c r="AH104" s="957"/>
      <c r="AI104" s="1023"/>
      <c r="AJ104" s="1023"/>
      <c r="AK104" s="1023"/>
      <c r="AL104" s="1023"/>
      <c r="AM104" s="1023"/>
      <c r="AN104" s="1023"/>
      <c r="AO104" s="957"/>
      <c r="AP104" s="957"/>
      <c r="AQ104" s="957"/>
      <c r="AR104" s="957"/>
      <c r="AS104" s="957"/>
      <c r="AT104" s="957"/>
      <c r="AU104" s="957"/>
      <c r="AV104" s="957"/>
      <c r="AW104" s="957"/>
      <c r="AX104" s="957"/>
      <c r="AY104" s="957"/>
      <c r="AZ104" s="957"/>
      <c r="BA104" s="957"/>
      <c r="BB104" s="957"/>
      <c r="BC104" s="957"/>
      <c r="BD104" s="957"/>
      <c r="BE104" s="957"/>
      <c r="BF104" s="957"/>
      <c r="BG104" s="957"/>
    </row>
    <row r="105" spans="1:59">
      <c r="A105" s="2172"/>
      <c r="B105" s="2206"/>
      <c r="C105" s="2144"/>
      <c r="D105" s="348" t="s">
        <v>688</v>
      </c>
      <c r="E105" s="452">
        <v>57</v>
      </c>
      <c r="F105" s="148" t="s">
        <v>15</v>
      </c>
      <c r="G105" s="148" t="s">
        <v>15</v>
      </c>
      <c r="H105" s="367">
        <v>1695.107</v>
      </c>
      <c r="I105" s="368">
        <v>293.68579999999997</v>
      </c>
      <c r="J105" s="234" t="s">
        <v>15</v>
      </c>
      <c r="K105" s="233" t="s">
        <v>15</v>
      </c>
      <c r="L105" s="234" t="s">
        <v>15</v>
      </c>
      <c r="M105" s="233" t="s">
        <v>15</v>
      </c>
      <c r="N105" s="537">
        <v>337.60281500000002</v>
      </c>
      <c r="O105" s="536">
        <v>1.37</v>
      </c>
      <c r="P105" s="536">
        <v>246.478815</v>
      </c>
      <c r="Q105" s="128">
        <f>19421.71/$T$101</f>
        <v>0.48464966183565233</v>
      </c>
      <c r="R105" s="2196"/>
      <c r="S105" s="357">
        <v>254.52600000000001</v>
      </c>
      <c r="T105" s="151" t="s">
        <v>15</v>
      </c>
      <c r="U105" s="862"/>
      <c r="V105" s="24"/>
      <c r="W105" s="26"/>
      <c r="X105" s="26"/>
      <c r="Y105" s="41"/>
      <c r="Z105" s="41"/>
      <c r="AA105" s="41"/>
      <c r="AB105" s="846"/>
      <c r="AC105" s="26"/>
      <c r="AD105" s="24"/>
      <c r="AE105" s="26"/>
      <c r="AF105" s="106"/>
      <c r="AG105" s="37"/>
      <c r="AH105" s="957"/>
      <c r="AI105" s="1023"/>
      <c r="AJ105" s="1023"/>
      <c r="AK105" s="1023"/>
      <c r="AL105" s="1023"/>
      <c r="AM105" s="1023"/>
      <c r="AN105" s="1023"/>
      <c r="AO105" s="957"/>
      <c r="AP105" s="957"/>
      <c r="AQ105" s="957"/>
      <c r="AR105" s="957"/>
      <c r="AS105" s="957"/>
      <c r="AT105" s="957"/>
      <c r="AU105" s="957"/>
      <c r="AV105" s="957"/>
      <c r="AW105" s="957"/>
      <c r="AX105" s="957"/>
      <c r="AY105" s="957"/>
      <c r="AZ105" s="957"/>
      <c r="BA105" s="957"/>
      <c r="BB105" s="957"/>
      <c r="BC105" s="957"/>
      <c r="BD105" s="957"/>
      <c r="BE105" s="957"/>
      <c r="BF105" s="957"/>
      <c r="BG105" s="957"/>
    </row>
    <row r="106" spans="1:59">
      <c r="A106" s="2172"/>
      <c r="B106" s="2206"/>
      <c r="C106" s="2144"/>
      <c r="D106" s="348" t="s">
        <v>764</v>
      </c>
      <c r="E106" s="452">
        <v>32</v>
      </c>
      <c r="F106" s="148" t="s">
        <v>15</v>
      </c>
      <c r="G106" s="148" t="s">
        <v>15</v>
      </c>
      <c r="H106" s="367">
        <v>1720.4860000000001</v>
      </c>
      <c r="I106" s="368">
        <v>557.33489999999995</v>
      </c>
      <c r="J106" s="234" t="s">
        <v>15</v>
      </c>
      <c r="K106" s="233" t="s">
        <v>15</v>
      </c>
      <c r="L106" s="234" t="s">
        <v>15</v>
      </c>
      <c r="M106" s="233" t="s">
        <v>15</v>
      </c>
      <c r="N106" s="537">
        <v>157.052088</v>
      </c>
      <c r="O106" s="536">
        <v>0.56999999999999995</v>
      </c>
      <c r="P106" s="536">
        <v>273.36076000000003</v>
      </c>
      <c r="Q106" s="128">
        <f>4726.02/$T$101</f>
        <v>0.11793317863507023</v>
      </c>
      <c r="R106" s="2196"/>
      <c r="S106" s="22"/>
      <c r="T106" s="27"/>
      <c r="V106" s="24"/>
      <c r="W106" s="26"/>
      <c r="X106" s="26"/>
      <c r="Y106" s="41"/>
      <c r="Z106" s="41"/>
      <c r="AA106" s="41"/>
      <c r="AB106" s="846"/>
      <c r="AC106" s="26"/>
      <c r="AD106" s="24"/>
      <c r="AE106" s="26"/>
      <c r="AF106" s="106"/>
      <c r="AG106" s="37"/>
      <c r="AH106" s="957"/>
      <c r="AI106" s="1023"/>
      <c r="AJ106" s="1023"/>
      <c r="AK106" s="1023"/>
      <c r="AL106" s="1023"/>
      <c r="AM106" s="1023"/>
      <c r="AN106" s="1023"/>
      <c r="AO106" s="957"/>
      <c r="AP106" s="957"/>
      <c r="AQ106" s="957"/>
      <c r="AR106" s="957"/>
      <c r="AS106" s="957"/>
      <c r="AT106" s="957"/>
      <c r="AU106" s="957"/>
      <c r="AV106" s="957"/>
      <c r="AW106" s="957"/>
      <c r="AX106" s="957"/>
      <c r="AY106" s="957"/>
      <c r="AZ106" s="957"/>
      <c r="BA106" s="957"/>
      <c r="BB106" s="957"/>
      <c r="BC106" s="957"/>
      <c r="BD106" s="957"/>
      <c r="BE106" s="957"/>
      <c r="BF106" s="957"/>
      <c r="BG106" s="957"/>
    </row>
    <row r="107" spans="1:59">
      <c r="A107" s="2172"/>
      <c r="B107" s="2206"/>
      <c r="C107" s="2144"/>
      <c r="D107" s="348" t="s">
        <v>765</v>
      </c>
      <c r="E107" s="452">
        <v>1</v>
      </c>
      <c r="F107" s="148" t="s">
        <v>15</v>
      </c>
      <c r="G107" s="148" t="s">
        <v>15</v>
      </c>
      <c r="H107" s="367">
        <v>739.56799999999998</v>
      </c>
      <c r="I107" s="368">
        <v>0</v>
      </c>
      <c r="J107" s="234" t="s">
        <v>15</v>
      </c>
      <c r="K107" s="233" t="s">
        <v>15</v>
      </c>
      <c r="L107" s="234" t="s">
        <v>15</v>
      </c>
      <c r="M107" s="233" t="s">
        <v>15</v>
      </c>
      <c r="N107" s="537">
        <v>-417.415325</v>
      </c>
      <c r="O107" s="536">
        <v>-0.75</v>
      </c>
      <c r="P107" s="536">
        <v>553.77682000000004</v>
      </c>
      <c r="Q107" s="128">
        <f>35/$T$101</f>
        <v>8.7339055954639591E-4</v>
      </c>
      <c r="R107" s="2196"/>
      <c r="S107" s="24"/>
      <c r="T107" s="26"/>
      <c r="V107" s="24"/>
      <c r="W107" s="26"/>
      <c r="X107" s="26"/>
      <c r="Y107" s="41"/>
      <c r="Z107" s="41"/>
      <c r="AA107" s="41"/>
      <c r="AB107" s="846"/>
      <c r="AC107" s="26"/>
      <c r="AD107" s="24"/>
      <c r="AE107" s="26"/>
      <c r="AF107" s="106"/>
      <c r="AG107" s="37"/>
      <c r="AH107" s="957"/>
      <c r="AI107" s="1023"/>
      <c r="AJ107" s="1023"/>
      <c r="AK107" s="1023"/>
      <c r="AL107" s="1023"/>
      <c r="AM107" s="1023"/>
      <c r="AN107" s="1023"/>
      <c r="AO107" s="957"/>
      <c r="AP107" s="957"/>
      <c r="AQ107" s="957"/>
      <c r="AR107" s="957"/>
      <c r="AS107" s="957"/>
      <c r="AT107" s="957"/>
      <c r="AU107" s="957"/>
      <c r="AV107" s="957"/>
      <c r="AW107" s="957"/>
      <c r="AX107" s="957"/>
      <c r="AY107" s="957"/>
      <c r="AZ107" s="957"/>
      <c r="BA107" s="957"/>
      <c r="BB107" s="957"/>
      <c r="BC107" s="957"/>
      <c r="BD107" s="957"/>
      <c r="BE107" s="957"/>
      <c r="BF107" s="957"/>
      <c r="BG107" s="957"/>
    </row>
    <row r="108" spans="1:59">
      <c r="A108" s="2172"/>
      <c r="B108" s="2206"/>
      <c r="C108" s="2144"/>
      <c r="D108" s="348" t="s">
        <v>766</v>
      </c>
      <c r="E108" s="452">
        <v>14</v>
      </c>
      <c r="F108" s="148" t="s">
        <v>15</v>
      </c>
      <c r="G108" s="148" t="s">
        <v>15</v>
      </c>
      <c r="H108" s="367">
        <v>1095.107</v>
      </c>
      <c r="I108" s="368">
        <v>304.86309999999997</v>
      </c>
      <c r="J108" s="234" t="s">
        <v>15</v>
      </c>
      <c r="K108" s="233" t="s">
        <v>15</v>
      </c>
      <c r="L108" s="234" t="s">
        <v>15</v>
      </c>
      <c r="M108" s="233" t="s">
        <v>15</v>
      </c>
      <c r="N108" s="537">
        <v>-138.32960299999999</v>
      </c>
      <c r="O108" s="536">
        <v>-0.55000000000000004</v>
      </c>
      <c r="P108" s="536">
        <v>251.36608200000001</v>
      </c>
      <c r="Q108" s="128">
        <f>689.67/$T$101</f>
        <v>1.7210036205781796E-2</v>
      </c>
      <c r="R108" s="2196"/>
      <c r="S108" s="24"/>
      <c r="T108" s="26"/>
      <c r="V108" s="24"/>
      <c r="W108" s="26"/>
      <c r="X108" s="26"/>
      <c r="Y108" s="41"/>
      <c r="Z108" s="41"/>
      <c r="AA108" s="41"/>
      <c r="AB108" s="846"/>
      <c r="AC108" s="26"/>
      <c r="AD108" s="24"/>
      <c r="AE108" s="26"/>
      <c r="AF108" s="106"/>
      <c r="AG108" s="37"/>
      <c r="AH108" s="957"/>
      <c r="AI108" s="1023"/>
      <c r="AJ108" s="1023"/>
      <c r="AK108" s="1023"/>
      <c r="AL108" s="1023"/>
      <c r="AM108" s="1023"/>
      <c r="AN108" s="1023"/>
      <c r="AO108" s="957"/>
      <c r="AP108" s="957"/>
      <c r="AQ108" s="957"/>
      <c r="AR108" s="957"/>
      <c r="AS108" s="957"/>
      <c r="AT108" s="957"/>
      <c r="AU108" s="957"/>
      <c r="AV108" s="957"/>
      <c r="AW108" s="957"/>
      <c r="AX108" s="957"/>
      <c r="AY108" s="957"/>
      <c r="AZ108" s="957"/>
      <c r="BA108" s="957"/>
      <c r="BB108" s="957"/>
      <c r="BC108" s="957"/>
      <c r="BD108" s="957"/>
      <c r="BE108" s="957"/>
      <c r="BF108" s="957"/>
      <c r="BG108" s="957"/>
    </row>
    <row r="109" spans="1:59">
      <c r="A109" s="2172"/>
      <c r="B109" s="2206"/>
      <c r="C109" s="2144"/>
      <c r="D109" s="348" t="s">
        <v>767</v>
      </c>
      <c r="E109" s="452">
        <v>15</v>
      </c>
      <c r="F109" s="148" t="s">
        <v>15</v>
      </c>
      <c r="G109" s="148" t="s">
        <v>15</v>
      </c>
      <c r="H109" s="367">
        <v>1162.835</v>
      </c>
      <c r="I109" s="368">
        <v>97.796639999999996</v>
      </c>
      <c r="J109" s="234" t="s">
        <v>15</v>
      </c>
      <c r="K109" s="233" t="s">
        <v>15</v>
      </c>
      <c r="L109" s="234" t="s">
        <v>15</v>
      </c>
      <c r="M109" s="233" t="s">
        <v>15</v>
      </c>
      <c r="N109" s="537">
        <v>-211.253919</v>
      </c>
      <c r="O109" s="536">
        <v>-0.89</v>
      </c>
      <c r="P109" s="536">
        <v>238.51707400000001</v>
      </c>
      <c r="Q109" s="128">
        <f>2094/$T$101</f>
        <v>5.2253709476861518E-2</v>
      </c>
      <c r="R109" s="2196"/>
      <c r="S109" s="24"/>
      <c r="T109" s="26"/>
      <c r="V109" s="24"/>
      <c r="W109" s="26"/>
      <c r="X109" s="26"/>
      <c r="Y109" s="41"/>
      <c r="Z109" s="41"/>
      <c r="AA109" s="41"/>
      <c r="AB109" s="846"/>
      <c r="AC109" s="26"/>
      <c r="AD109" s="24"/>
      <c r="AE109" s="26"/>
      <c r="AF109" s="106"/>
      <c r="AG109" s="37"/>
      <c r="AH109" s="957"/>
      <c r="AI109" s="957"/>
      <c r="AJ109" s="957"/>
      <c r="AK109" s="957"/>
      <c r="AL109" s="957"/>
      <c r="AM109" s="957"/>
      <c r="AN109" s="957"/>
      <c r="AO109" s="957"/>
      <c r="AP109" s="957"/>
      <c r="AQ109" s="957"/>
      <c r="AR109" s="957"/>
      <c r="AS109" s="957"/>
      <c r="AT109" s="957"/>
      <c r="AU109" s="957"/>
      <c r="AV109" s="957"/>
      <c r="AW109" s="957"/>
      <c r="AX109" s="957"/>
      <c r="AY109" s="957"/>
      <c r="AZ109" s="957"/>
      <c r="BA109" s="957"/>
      <c r="BB109" s="957"/>
      <c r="BC109" s="957"/>
      <c r="BD109" s="957"/>
      <c r="BE109" s="957"/>
      <c r="BF109" s="957"/>
      <c r="BG109" s="957"/>
    </row>
    <row r="110" spans="1:59">
      <c r="A110" s="2172"/>
      <c r="B110" s="2206"/>
      <c r="C110" s="2144"/>
      <c r="D110" s="348" t="s">
        <v>768</v>
      </c>
      <c r="E110" s="452">
        <v>3</v>
      </c>
      <c r="F110" s="148" t="s">
        <v>15</v>
      </c>
      <c r="G110" s="148" t="s">
        <v>15</v>
      </c>
      <c r="H110" s="367">
        <v>866.65260000000001</v>
      </c>
      <c r="I110" s="368">
        <v>15.79543</v>
      </c>
      <c r="J110" s="234" t="s">
        <v>15</v>
      </c>
      <c r="K110" s="233" t="s">
        <v>15</v>
      </c>
      <c r="L110" s="234" t="s">
        <v>15</v>
      </c>
      <c r="M110" s="233" t="s">
        <v>15</v>
      </c>
      <c r="N110" s="537">
        <v>0</v>
      </c>
      <c r="O110" s="536" t="s">
        <v>574</v>
      </c>
      <c r="P110" s="536" t="s">
        <v>574</v>
      </c>
      <c r="Q110" s="128">
        <f>251.63/$T$101</f>
        <v>6.2791790428188459E-3</v>
      </c>
      <c r="R110" s="2155"/>
      <c r="S110" s="24"/>
      <c r="T110" s="26"/>
      <c r="V110" s="24"/>
      <c r="W110" s="26"/>
      <c r="X110" s="26"/>
      <c r="Y110" s="41"/>
      <c r="Z110" s="41"/>
      <c r="AA110" s="41"/>
      <c r="AB110" s="846"/>
      <c r="AC110" s="26"/>
      <c r="AD110" s="24"/>
      <c r="AE110" s="26"/>
      <c r="AF110" s="106"/>
      <c r="AG110" s="37"/>
      <c r="AH110" s="957"/>
      <c r="AI110" s="957"/>
      <c r="AJ110" s="957"/>
      <c r="AK110" s="957"/>
      <c r="AL110" s="957"/>
      <c r="AM110" s="957"/>
      <c r="AN110" s="957"/>
      <c r="AO110" s="957"/>
      <c r="AP110" s="957"/>
      <c r="AQ110" s="957"/>
      <c r="AR110" s="957"/>
      <c r="AS110" s="957"/>
      <c r="AT110" s="957"/>
      <c r="AU110" s="957"/>
      <c r="AV110" s="957"/>
      <c r="AW110" s="957"/>
      <c r="AX110" s="957"/>
      <c r="AY110" s="957"/>
      <c r="AZ110" s="957"/>
      <c r="BA110" s="957"/>
      <c r="BB110" s="957"/>
      <c r="BC110" s="957"/>
      <c r="BD110" s="957"/>
      <c r="BE110" s="957"/>
      <c r="BF110" s="957"/>
      <c r="BG110" s="957"/>
    </row>
    <row r="111" spans="1:59">
      <c r="A111" s="2172"/>
      <c r="B111" s="2206" t="s">
        <v>769</v>
      </c>
      <c r="C111" s="2144" t="s">
        <v>13</v>
      </c>
      <c r="D111" s="348">
        <v>60</v>
      </c>
      <c r="E111" s="452">
        <v>5</v>
      </c>
      <c r="F111" s="148" t="s">
        <v>15</v>
      </c>
      <c r="G111" s="148" t="s">
        <v>15</v>
      </c>
      <c r="H111" s="367">
        <v>1224.645</v>
      </c>
      <c r="I111" s="368">
        <v>80.681340000000006</v>
      </c>
      <c r="J111" s="234" t="s">
        <v>15</v>
      </c>
      <c r="K111" s="233" t="s">
        <v>15</v>
      </c>
      <c r="L111" s="234" t="s">
        <v>15</v>
      </c>
      <c r="M111" s="233" t="s">
        <v>15</v>
      </c>
      <c r="N111" s="537">
        <v>-1480.74341</v>
      </c>
      <c r="O111" s="536">
        <v>-1.89</v>
      </c>
      <c r="P111" s="536">
        <v>781.66441799999996</v>
      </c>
      <c r="Q111" s="128">
        <f>19.47/$T$101</f>
        <v>4.8585469126766651E-4</v>
      </c>
      <c r="R111" s="2130">
        <f>SUMPRODUCT(N111:N115,Q111:Q115)</f>
        <v>-1214.3445834137569</v>
      </c>
      <c r="S111" s="24"/>
      <c r="T111" s="26"/>
      <c r="V111" s="24"/>
      <c r="W111" s="26"/>
      <c r="X111" s="26"/>
      <c r="Y111" s="41"/>
      <c r="Z111" s="41"/>
      <c r="AA111" s="41"/>
      <c r="AB111" s="846"/>
      <c r="AC111" s="26"/>
      <c r="AD111" s="24"/>
      <c r="AE111" s="26"/>
      <c r="AF111" s="106"/>
      <c r="AG111" s="37"/>
      <c r="AH111" s="957"/>
      <c r="AI111" s="957"/>
      <c r="AJ111" s="957"/>
      <c r="AK111" s="957"/>
      <c r="AL111" s="957"/>
      <c r="AM111" s="957"/>
      <c r="AN111" s="957"/>
      <c r="AO111" s="957"/>
      <c r="AP111" s="957"/>
      <c r="AQ111" s="957"/>
      <c r="AR111" s="957"/>
      <c r="AS111" s="957"/>
      <c r="AT111" s="957"/>
      <c r="AU111" s="957"/>
      <c r="AV111" s="957"/>
      <c r="AW111" s="957"/>
      <c r="AX111" s="957"/>
      <c r="AY111" s="957"/>
      <c r="AZ111" s="957"/>
      <c r="BA111" s="957"/>
      <c r="BB111" s="957"/>
      <c r="BC111" s="957"/>
      <c r="BD111" s="957"/>
      <c r="BE111" s="957"/>
      <c r="BF111" s="957"/>
      <c r="BG111" s="957"/>
    </row>
    <row r="112" spans="1:59">
      <c r="A112" s="2172"/>
      <c r="B112" s="2206"/>
      <c r="C112" s="2144"/>
      <c r="D112" s="348">
        <v>100</v>
      </c>
      <c r="E112" s="452">
        <v>2</v>
      </c>
      <c r="F112" s="148" t="s">
        <v>15</v>
      </c>
      <c r="G112" s="148" t="s">
        <v>15</v>
      </c>
      <c r="H112" s="367">
        <v>1178.7829999999999</v>
      </c>
      <c r="I112" s="368">
        <v>102.82170000000001</v>
      </c>
      <c r="J112" s="234" t="s">
        <v>15</v>
      </c>
      <c r="K112" s="233" t="s">
        <v>15</v>
      </c>
      <c r="L112" s="234" t="s">
        <v>15</v>
      </c>
      <c r="M112" s="233" t="s">
        <v>15</v>
      </c>
      <c r="N112" s="537">
        <v>-1406.7080430000001</v>
      </c>
      <c r="O112" s="536">
        <v>-2.37</v>
      </c>
      <c r="P112" s="536">
        <v>593.40395999999998</v>
      </c>
      <c r="Q112" s="128">
        <f>43/$T$101</f>
        <v>1.073022687442715E-3</v>
      </c>
      <c r="R112" s="2196"/>
      <c r="S112" s="24"/>
      <c r="T112" s="26"/>
      <c r="V112" s="24"/>
      <c r="W112" s="26"/>
      <c r="X112" s="26"/>
      <c r="Y112" s="41"/>
      <c r="Z112" s="41"/>
      <c r="AA112" s="41"/>
      <c r="AB112" s="846"/>
      <c r="AC112" s="26"/>
      <c r="AD112" s="24"/>
      <c r="AE112" s="26"/>
      <c r="AF112" s="106"/>
      <c r="AG112" s="37"/>
      <c r="AH112" s="957"/>
      <c r="AI112" s="957"/>
      <c r="AJ112" s="957"/>
      <c r="AK112" s="957"/>
      <c r="AL112" s="957"/>
      <c r="AM112" s="957"/>
      <c r="AN112" s="957"/>
      <c r="AO112" s="957"/>
      <c r="AP112" s="957"/>
      <c r="AQ112" s="957"/>
      <c r="AR112" s="957"/>
      <c r="AS112" s="957"/>
      <c r="AT112" s="957"/>
      <c r="AU112" s="957"/>
      <c r="AV112" s="957"/>
      <c r="AW112" s="957"/>
      <c r="AX112" s="957"/>
      <c r="AY112" s="957"/>
      <c r="AZ112" s="957"/>
      <c r="BA112" s="957"/>
      <c r="BB112" s="957"/>
      <c r="BC112" s="957"/>
      <c r="BD112" s="957"/>
      <c r="BE112" s="957"/>
      <c r="BF112" s="957"/>
      <c r="BG112" s="957"/>
    </row>
    <row r="113" spans="1:113">
      <c r="A113" s="2172"/>
      <c r="B113" s="2206"/>
      <c r="C113" s="2144"/>
      <c r="D113" s="348">
        <v>120</v>
      </c>
      <c r="E113" s="452">
        <v>118</v>
      </c>
      <c r="F113" s="148" t="s">
        <v>15</v>
      </c>
      <c r="G113" s="148" t="s">
        <v>15</v>
      </c>
      <c r="H113" s="367">
        <v>1363.079</v>
      </c>
      <c r="I113" s="368">
        <v>232.5633</v>
      </c>
      <c r="J113" s="234" t="s">
        <v>15</v>
      </c>
      <c r="K113" s="233" t="s">
        <v>15</v>
      </c>
      <c r="L113" s="234" t="s">
        <v>15</v>
      </c>
      <c r="M113" s="233" t="s">
        <v>15</v>
      </c>
      <c r="N113" s="537">
        <v>-1370.691192</v>
      </c>
      <c r="O113" s="536">
        <v>-3.57</v>
      </c>
      <c r="P113" s="536">
        <v>383.68573400000002</v>
      </c>
      <c r="Q113" s="128">
        <f>24702/$T$101</f>
        <v>0.61641410291185916</v>
      </c>
      <c r="R113" s="2196"/>
      <c r="S113" s="24"/>
      <c r="T113" s="26"/>
      <c r="V113" s="24"/>
      <c r="W113" s="26"/>
      <c r="X113" s="26"/>
      <c r="Y113" s="41"/>
      <c r="Z113" s="41"/>
      <c r="AA113" s="41"/>
      <c r="AB113" s="846"/>
      <c r="AC113" s="26"/>
      <c r="AD113" s="24"/>
      <c r="AE113" s="26"/>
      <c r="AF113" s="106"/>
      <c r="AG113" s="37"/>
      <c r="AH113" s="957"/>
      <c r="AI113" s="957"/>
      <c r="AJ113" s="957"/>
      <c r="AK113" s="957"/>
      <c r="AL113" s="957"/>
      <c r="AM113" s="957"/>
      <c r="AN113" s="957"/>
      <c r="AO113" s="957"/>
      <c r="AP113" s="957"/>
      <c r="AQ113" s="957"/>
      <c r="AR113" s="957"/>
      <c r="AS113" s="957"/>
      <c r="AT113" s="957"/>
      <c r="AU113" s="957"/>
      <c r="AV113" s="957"/>
      <c r="AW113" s="957"/>
      <c r="AX113" s="957"/>
      <c r="AY113" s="957"/>
      <c r="AZ113" s="957"/>
      <c r="BA113" s="957"/>
      <c r="BB113" s="957"/>
      <c r="BC113" s="957"/>
      <c r="BD113" s="957"/>
      <c r="BE113" s="957"/>
      <c r="BF113" s="957"/>
      <c r="BG113" s="957"/>
    </row>
    <row r="114" spans="1:113">
      <c r="A114" s="2172"/>
      <c r="B114" s="2206"/>
      <c r="C114" s="2144"/>
      <c r="D114" s="348">
        <v>240</v>
      </c>
      <c r="E114" s="452">
        <v>61</v>
      </c>
      <c r="F114" s="148" t="s">
        <v>15</v>
      </c>
      <c r="G114" s="148" t="s">
        <v>15</v>
      </c>
      <c r="H114" s="367">
        <v>1856.914</v>
      </c>
      <c r="I114" s="368">
        <v>383.30439999999999</v>
      </c>
      <c r="J114" s="234" t="s">
        <v>15</v>
      </c>
      <c r="K114" s="233" t="s">
        <v>15</v>
      </c>
      <c r="L114" s="234" t="s">
        <v>15</v>
      </c>
      <c r="M114" s="233" t="s">
        <v>15</v>
      </c>
      <c r="N114" s="537">
        <v>-965.43500400000005</v>
      </c>
      <c r="O114" s="536">
        <v>-2.52</v>
      </c>
      <c r="P114" s="536">
        <v>382.62693300000001</v>
      </c>
      <c r="Q114" s="128">
        <f>15242/$T$101</f>
        <v>0.38034911167446189</v>
      </c>
      <c r="R114" s="2196"/>
      <c r="S114" s="24"/>
      <c r="T114" s="26"/>
      <c r="V114" s="24"/>
      <c r="W114" s="26"/>
      <c r="X114" s="26"/>
      <c r="Y114" s="41"/>
      <c r="Z114" s="41"/>
      <c r="AA114" s="41"/>
      <c r="AB114" s="846"/>
      <c r="AC114" s="26"/>
      <c r="AD114" s="24"/>
      <c r="AE114" s="26"/>
      <c r="AF114" s="106"/>
      <c r="AG114" s="37"/>
      <c r="AH114" s="957"/>
      <c r="AI114" s="957"/>
      <c r="AJ114" s="957"/>
      <c r="AK114" s="957"/>
      <c r="AL114" s="957"/>
      <c r="AM114" s="957"/>
      <c r="AN114" s="957"/>
      <c r="AO114" s="957"/>
      <c r="AP114" s="957"/>
      <c r="AQ114" s="957"/>
      <c r="AR114" s="957"/>
      <c r="AS114" s="957"/>
      <c r="AT114" s="957"/>
      <c r="AU114" s="957"/>
      <c r="AV114" s="957"/>
      <c r="AW114" s="957"/>
      <c r="AX114" s="957"/>
      <c r="AY114" s="957"/>
      <c r="AZ114" s="957"/>
      <c r="BA114" s="957"/>
      <c r="BB114" s="957"/>
      <c r="BC114" s="957"/>
      <c r="BD114" s="957"/>
      <c r="BE114" s="957"/>
      <c r="BF114" s="957"/>
      <c r="BG114" s="957"/>
    </row>
    <row r="115" spans="1:113">
      <c r="A115" s="2172"/>
      <c r="B115" s="2206"/>
      <c r="C115" s="2144"/>
      <c r="D115" s="348">
        <v>480</v>
      </c>
      <c r="E115" s="452">
        <v>3</v>
      </c>
      <c r="F115" s="148" t="s">
        <v>15</v>
      </c>
      <c r="G115" s="148" t="s">
        <v>15</v>
      </c>
      <c r="H115" s="367">
        <v>2757.5259999999998</v>
      </c>
      <c r="I115" s="368">
        <v>309.40989999999999</v>
      </c>
      <c r="J115" s="234" t="s">
        <v>15</v>
      </c>
      <c r="K115" s="233" t="s">
        <v>15</v>
      </c>
      <c r="L115" s="234" t="s">
        <v>15</v>
      </c>
      <c r="M115" s="233" t="s">
        <v>15</v>
      </c>
      <c r="N115" s="537">
        <v>0</v>
      </c>
      <c r="O115" s="536" t="s">
        <v>574</v>
      </c>
      <c r="P115" s="536" t="s">
        <v>574</v>
      </c>
      <c r="Q115" s="128">
        <f>66.06/$T$101</f>
        <v>1.6484622961038548E-3</v>
      </c>
      <c r="R115" s="2155"/>
      <c r="S115" s="24"/>
      <c r="T115" s="26"/>
      <c r="V115" s="24"/>
      <c r="W115" s="26"/>
      <c r="X115" s="26"/>
      <c r="Y115" s="41"/>
      <c r="Z115" s="41"/>
      <c r="AA115" s="41"/>
      <c r="AB115" s="846"/>
      <c r="AC115" s="26"/>
      <c r="AD115" s="24"/>
      <c r="AE115" s="26"/>
      <c r="AF115" s="106"/>
      <c r="AG115" s="37"/>
      <c r="AH115" s="957"/>
      <c r="AI115" s="957"/>
      <c r="AJ115" s="957"/>
      <c r="AK115" s="957"/>
      <c r="AL115" s="957"/>
      <c r="AM115" s="957"/>
      <c r="AN115" s="957"/>
      <c r="AO115" s="957"/>
      <c r="AP115" s="957"/>
      <c r="AQ115" s="957"/>
      <c r="AR115" s="957"/>
      <c r="AS115" s="957"/>
      <c r="AT115" s="957"/>
      <c r="AU115" s="957"/>
      <c r="AV115" s="957"/>
      <c r="AW115" s="957"/>
      <c r="AX115" s="957"/>
      <c r="AY115" s="957"/>
      <c r="AZ115" s="957"/>
      <c r="BA115" s="957"/>
      <c r="BB115" s="957"/>
      <c r="BC115" s="957"/>
      <c r="BD115" s="957"/>
      <c r="BE115" s="957"/>
      <c r="BF115" s="957"/>
      <c r="BG115" s="957"/>
    </row>
    <row r="116" spans="1:113">
      <c r="A116" s="2172"/>
      <c r="B116" s="2206" t="s">
        <v>770</v>
      </c>
      <c r="C116" s="2144" t="s">
        <v>13</v>
      </c>
      <c r="D116" s="348" t="s">
        <v>771</v>
      </c>
      <c r="E116" s="452">
        <v>95</v>
      </c>
      <c r="F116" s="148" t="s">
        <v>15</v>
      </c>
      <c r="G116" s="148" t="s">
        <v>15</v>
      </c>
      <c r="H116" s="367">
        <v>1215.8620000000001</v>
      </c>
      <c r="I116" s="368">
        <v>189.70959999999999</v>
      </c>
      <c r="J116" s="234" t="s">
        <v>15</v>
      </c>
      <c r="K116" s="233" t="s">
        <v>15</v>
      </c>
      <c r="L116" s="234" t="s">
        <v>15</v>
      </c>
      <c r="M116" s="233" t="s">
        <v>15</v>
      </c>
      <c r="N116" s="537">
        <v>-153.32902100000001</v>
      </c>
      <c r="O116" s="536">
        <v>-3.05</v>
      </c>
      <c r="P116" s="536">
        <v>50.345967999999999</v>
      </c>
      <c r="Q116" s="128">
        <f>10664.99/$T$101</f>
        <v>0.26613433096162048</v>
      </c>
      <c r="R116" s="2130">
        <f>SUMPRODUCT(N116:N117,Q116:Q117)</f>
        <v>-40.806116420835259</v>
      </c>
      <c r="S116" s="24"/>
      <c r="T116" s="26"/>
      <c r="V116" s="24"/>
      <c r="W116" s="26"/>
      <c r="X116" s="26"/>
      <c r="Y116" s="41"/>
      <c r="Z116" s="41"/>
      <c r="AA116" s="41"/>
      <c r="AB116" s="846"/>
      <c r="AC116" s="26"/>
      <c r="AD116" s="24"/>
      <c r="AE116" s="26"/>
      <c r="AF116" s="106"/>
      <c r="AG116" s="37"/>
      <c r="AH116" s="957"/>
      <c r="AI116" s="1024"/>
      <c r="AJ116" s="1024"/>
      <c r="AK116" s="1024"/>
      <c r="AL116" s="1024"/>
      <c r="AM116" s="1024"/>
      <c r="AN116" s="1024"/>
      <c r="AO116" s="957"/>
      <c r="AP116" s="957"/>
      <c r="AQ116" s="957"/>
      <c r="AR116" s="957"/>
      <c r="AS116" s="957"/>
      <c r="AT116" s="957"/>
      <c r="AU116" s="957"/>
      <c r="AV116" s="957"/>
      <c r="AW116" s="957"/>
      <c r="AX116" s="957"/>
      <c r="AY116" s="957"/>
      <c r="AZ116" s="957"/>
      <c r="BA116" s="957"/>
      <c r="BB116" s="957"/>
      <c r="BC116" s="957"/>
      <c r="BD116" s="957"/>
      <c r="BE116" s="957"/>
      <c r="BF116" s="957"/>
      <c r="BG116" s="957"/>
    </row>
    <row r="117" spans="1:113">
      <c r="A117" s="2172"/>
      <c r="B117" s="2206"/>
      <c r="C117" s="2144"/>
      <c r="D117" s="348" t="s">
        <v>772</v>
      </c>
      <c r="E117" s="452">
        <v>94</v>
      </c>
      <c r="F117" s="148" t="s">
        <v>15</v>
      </c>
      <c r="G117" s="148" t="s">
        <v>15</v>
      </c>
      <c r="H117" s="367">
        <v>1675.1980000000001</v>
      </c>
      <c r="I117" s="368">
        <v>366.49529999999999</v>
      </c>
      <c r="J117" s="234" t="s">
        <v>15</v>
      </c>
      <c r="K117" s="233" t="s">
        <v>15</v>
      </c>
      <c r="L117" s="234" t="s">
        <v>15</v>
      </c>
      <c r="M117" s="233" t="s">
        <v>15</v>
      </c>
      <c r="N117" s="537">
        <v>0</v>
      </c>
      <c r="O117" s="536" t="s">
        <v>574</v>
      </c>
      <c r="P117" s="536" t="s">
        <v>574</v>
      </c>
      <c r="Q117" s="128">
        <f>29408.72/$T$101</f>
        <v>0.73386566903837958</v>
      </c>
      <c r="R117" s="2155"/>
      <c r="S117" s="24"/>
      <c r="T117" s="26"/>
      <c r="V117" s="24"/>
      <c r="W117" s="26"/>
      <c r="X117" s="26"/>
      <c r="Y117" s="41"/>
      <c r="Z117" s="41"/>
      <c r="AA117" s="41"/>
      <c r="AB117" s="846"/>
      <c r="AC117" s="26"/>
      <c r="AD117" s="24"/>
      <c r="AE117" s="26"/>
      <c r="AF117" s="106"/>
      <c r="AG117" s="37"/>
      <c r="AH117" s="957"/>
      <c r="AI117" s="957"/>
      <c r="AJ117" s="957"/>
      <c r="AK117" s="957"/>
      <c r="AL117" s="957"/>
      <c r="AM117" s="957"/>
      <c r="AN117" s="957"/>
      <c r="AO117" s="957"/>
      <c r="AP117" s="957"/>
      <c r="AQ117" s="957"/>
      <c r="AR117" s="957"/>
      <c r="AS117" s="957"/>
      <c r="AT117" s="957"/>
      <c r="AU117" s="957"/>
      <c r="AV117" s="957"/>
      <c r="AW117" s="957"/>
      <c r="AX117" s="957"/>
      <c r="AY117" s="957"/>
      <c r="AZ117" s="957"/>
      <c r="BA117" s="957"/>
      <c r="BB117" s="957"/>
      <c r="BC117" s="957"/>
      <c r="BD117" s="957"/>
      <c r="BE117" s="957"/>
      <c r="BF117" s="957"/>
      <c r="BG117" s="957"/>
    </row>
    <row r="118" spans="1:113">
      <c r="A118" s="2172"/>
      <c r="B118" s="2207" t="s">
        <v>773</v>
      </c>
      <c r="C118" s="2278" t="s">
        <v>13</v>
      </c>
      <c r="D118" s="338" t="s">
        <v>774</v>
      </c>
      <c r="E118" s="452">
        <v>26</v>
      </c>
      <c r="F118" s="148" t="s">
        <v>15</v>
      </c>
      <c r="G118" s="148" t="s">
        <v>15</v>
      </c>
      <c r="H118" s="367">
        <v>1026.4079999999999</v>
      </c>
      <c r="I118" s="368">
        <v>196.56800000000001</v>
      </c>
      <c r="J118" s="234" t="s">
        <v>15</v>
      </c>
      <c r="K118" s="233" t="s">
        <v>15</v>
      </c>
      <c r="L118" s="234" t="s">
        <v>15</v>
      </c>
      <c r="M118" s="233" t="s">
        <v>15</v>
      </c>
      <c r="N118" s="537">
        <v>0</v>
      </c>
      <c r="O118" s="536" t="s">
        <v>574</v>
      </c>
      <c r="P118" s="536" t="s">
        <v>574</v>
      </c>
      <c r="Q118" s="128">
        <f>1344.54/$T$101</f>
        <v>3.3551672655214602E-2</v>
      </c>
      <c r="R118" s="2130">
        <f>SUMPRODUCT(N118:N121,Q118:Q121)</f>
        <v>153.28644050130575</v>
      </c>
      <c r="S118" s="24"/>
      <c r="T118" s="26"/>
      <c r="V118" s="24"/>
      <c r="W118" s="26"/>
      <c r="X118" s="26"/>
      <c r="Y118" s="41"/>
      <c r="Z118" s="41"/>
      <c r="AA118" s="41"/>
      <c r="AB118" s="846"/>
      <c r="AC118" s="26"/>
      <c r="AD118" s="24"/>
      <c r="AE118" s="26"/>
      <c r="AF118" s="106"/>
      <c r="AG118" s="37"/>
      <c r="AH118" s="957"/>
      <c r="AI118" s="957"/>
      <c r="AJ118" s="957"/>
      <c r="AK118" s="957"/>
      <c r="AL118" s="957"/>
      <c r="AM118" s="957"/>
      <c r="AN118" s="957"/>
      <c r="AO118" s="957"/>
      <c r="AP118" s="957"/>
      <c r="AQ118" s="957"/>
      <c r="AR118" s="957"/>
      <c r="AS118" s="957"/>
      <c r="AT118" s="957"/>
      <c r="AU118" s="957"/>
      <c r="AV118" s="957"/>
      <c r="AW118" s="957"/>
      <c r="AX118" s="957"/>
      <c r="AY118" s="957"/>
      <c r="AZ118" s="957"/>
      <c r="BA118" s="957"/>
      <c r="BB118" s="957"/>
      <c r="BC118" s="957"/>
      <c r="BD118" s="957"/>
      <c r="BE118" s="957"/>
      <c r="BF118" s="957"/>
      <c r="BG118" s="957"/>
    </row>
    <row r="119" spans="1:113">
      <c r="A119" s="2172"/>
      <c r="B119" s="2208"/>
      <c r="C119" s="2279"/>
      <c r="D119" s="338" t="s">
        <v>775</v>
      </c>
      <c r="E119" s="452">
        <v>96</v>
      </c>
      <c r="F119" s="148" t="s">
        <v>15</v>
      </c>
      <c r="G119" s="148" t="s">
        <v>15</v>
      </c>
      <c r="H119" s="367">
        <v>1262.9839999999999</v>
      </c>
      <c r="I119" s="368">
        <v>198.3417</v>
      </c>
      <c r="J119" s="234" t="s">
        <v>15</v>
      </c>
      <c r="K119" s="233" t="s">
        <v>15</v>
      </c>
      <c r="L119" s="234" t="s">
        <v>15</v>
      </c>
      <c r="M119" s="233" t="s">
        <v>15</v>
      </c>
      <c r="N119" s="537">
        <v>72.847673999999998</v>
      </c>
      <c r="O119" s="536">
        <v>0.61</v>
      </c>
      <c r="P119" s="536">
        <v>120.340186</v>
      </c>
      <c r="Q119" s="128">
        <f>13458.21/$T$101</f>
        <v>0.33583638749694</v>
      </c>
      <c r="R119" s="2196"/>
      <c r="S119" s="24"/>
      <c r="T119" s="26"/>
      <c r="V119" s="24"/>
      <c r="W119" s="26"/>
      <c r="X119" s="26"/>
      <c r="Y119" s="41"/>
      <c r="Z119" s="41"/>
      <c r="AA119" s="41"/>
      <c r="AB119" s="846"/>
      <c r="AC119" s="26"/>
      <c r="AD119" s="24"/>
      <c r="AE119" s="26"/>
      <c r="AF119" s="106"/>
      <c r="AG119" s="37"/>
      <c r="AH119" s="957"/>
      <c r="AI119" s="957"/>
      <c r="AJ119" s="957"/>
      <c r="AK119" s="957"/>
      <c r="AL119" s="957"/>
      <c r="AM119" s="957"/>
      <c r="AN119" s="957"/>
      <c r="AO119" s="957"/>
      <c r="AP119" s="957"/>
      <c r="AQ119" s="957"/>
      <c r="AR119" s="957"/>
      <c r="AS119" s="957"/>
      <c r="AT119" s="957"/>
      <c r="AU119" s="957"/>
      <c r="AV119" s="957"/>
      <c r="AW119" s="957"/>
      <c r="AX119" s="957"/>
      <c r="AY119" s="957"/>
      <c r="AZ119" s="957"/>
      <c r="BA119" s="957"/>
      <c r="BB119" s="957"/>
      <c r="BC119" s="957"/>
      <c r="BD119" s="957"/>
      <c r="BE119" s="957"/>
      <c r="BF119" s="957"/>
      <c r="BG119" s="957"/>
    </row>
    <row r="120" spans="1:113">
      <c r="A120" s="2172"/>
      <c r="B120" s="2208"/>
      <c r="C120" s="2279"/>
      <c r="D120" s="338" t="s">
        <v>776</v>
      </c>
      <c r="E120" s="452">
        <v>66</v>
      </c>
      <c r="F120" s="148" t="s">
        <v>15</v>
      </c>
      <c r="G120" s="148" t="s">
        <v>15</v>
      </c>
      <c r="H120" s="367">
        <v>1735.386</v>
      </c>
      <c r="I120" s="368">
        <v>347.89389999999997</v>
      </c>
      <c r="J120" s="234" t="s">
        <v>15</v>
      </c>
      <c r="K120" s="233" t="s">
        <v>15</v>
      </c>
      <c r="L120" s="234" t="s">
        <v>15</v>
      </c>
      <c r="M120" s="233" t="s">
        <v>15</v>
      </c>
      <c r="N120" s="537">
        <v>204.244204</v>
      </c>
      <c r="O120" s="536">
        <v>1.73</v>
      </c>
      <c r="P120" s="536">
        <v>117.793064</v>
      </c>
      <c r="Q120" s="128">
        <f>25269.91/$T$101</f>
        <v>0.630585738131059</v>
      </c>
      <c r="R120" s="2196"/>
      <c r="S120" s="24"/>
      <c r="T120" s="26"/>
      <c r="V120" s="24"/>
      <c r="W120" s="26"/>
      <c r="X120" s="26"/>
      <c r="Y120" s="41"/>
      <c r="Z120" s="41"/>
      <c r="AA120" s="41"/>
      <c r="AB120" s="846"/>
      <c r="AC120" s="26"/>
      <c r="AD120" s="24"/>
      <c r="AE120" s="26"/>
      <c r="AF120" s="106"/>
      <c r="AG120" s="37"/>
      <c r="AH120" s="957"/>
      <c r="AI120" s="957"/>
      <c r="AJ120" s="957"/>
      <c r="AK120" s="957"/>
      <c r="AL120" s="957"/>
      <c r="AM120" s="957"/>
      <c r="AN120" s="957"/>
      <c r="AO120" s="957"/>
      <c r="AP120" s="957"/>
      <c r="AQ120" s="957"/>
      <c r="AR120" s="957"/>
      <c r="AS120" s="957"/>
      <c r="AT120" s="957"/>
      <c r="AU120" s="957"/>
      <c r="AV120" s="957"/>
      <c r="AW120" s="957"/>
      <c r="AX120" s="957"/>
      <c r="AY120" s="957"/>
      <c r="AZ120" s="957"/>
      <c r="BA120" s="957"/>
      <c r="BB120" s="957"/>
      <c r="BC120" s="957"/>
      <c r="BD120" s="957"/>
      <c r="BE120" s="957"/>
      <c r="BF120" s="957"/>
      <c r="BG120" s="957"/>
    </row>
    <row r="121" spans="1:113">
      <c r="A121" s="2172"/>
      <c r="B121" s="2209"/>
      <c r="C121" s="2284"/>
      <c r="D121" s="338" t="s">
        <v>777</v>
      </c>
      <c r="E121" s="452">
        <v>1</v>
      </c>
      <c r="F121" s="148" t="s">
        <v>15</v>
      </c>
      <c r="G121" s="148" t="s">
        <v>15</v>
      </c>
      <c r="H121" s="367">
        <v>1888.5619999999999</v>
      </c>
      <c r="I121" s="368">
        <v>0</v>
      </c>
      <c r="J121" s="234" t="s">
        <v>15</v>
      </c>
      <c r="K121" s="233" t="s">
        <v>15</v>
      </c>
      <c r="L121" s="234" t="s">
        <v>15</v>
      </c>
      <c r="M121" s="233" t="s">
        <v>15</v>
      </c>
      <c r="N121" s="537">
        <v>1070.8721680000001</v>
      </c>
      <c r="O121" s="536">
        <v>0.36</v>
      </c>
      <c r="P121" s="536">
        <v>2943.0454639999998</v>
      </c>
      <c r="Q121" s="128">
        <f>1.05/$T$101</f>
        <v>2.6201716786391877E-5</v>
      </c>
      <c r="R121" s="2155"/>
      <c r="S121" s="24"/>
      <c r="T121" s="26"/>
      <c r="V121" s="24"/>
      <c r="W121" s="26"/>
      <c r="X121" s="26"/>
      <c r="Y121" s="41"/>
      <c r="Z121" s="41"/>
      <c r="AA121" s="41"/>
      <c r="AB121" s="846"/>
      <c r="AC121" s="26"/>
      <c r="AD121" s="24"/>
      <c r="AE121" s="26"/>
      <c r="AF121" s="106"/>
      <c r="AG121" s="37"/>
      <c r="AH121" s="957"/>
      <c r="AI121" s="957"/>
      <c r="AJ121" s="957"/>
      <c r="AK121" s="957"/>
      <c r="AL121" s="957"/>
      <c r="AM121" s="957"/>
      <c r="AN121" s="957"/>
      <c r="AO121" s="957"/>
      <c r="AP121" s="957"/>
      <c r="AQ121" s="957"/>
      <c r="AR121" s="957"/>
      <c r="AS121" s="957"/>
      <c r="AT121" s="957"/>
      <c r="AU121" s="957"/>
      <c r="AV121" s="957"/>
      <c r="AW121" s="957"/>
      <c r="AX121" s="957"/>
      <c r="AY121" s="957"/>
      <c r="AZ121" s="957"/>
      <c r="BA121" s="957"/>
      <c r="BB121" s="957"/>
      <c r="BC121" s="957"/>
      <c r="BD121" s="957"/>
      <c r="BE121" s="957"/>
      <c r="BF121" s="957"/>
      <c r="BG121" s="957"/>
    </row>
    <row r="122" spans="1:113">
      <c r="A122" s="2172"/>
      <c r="B122" s="2206" t="s">
        <v>778</v>
      </c>
      <c r="C122" s="2205" t="s">
        <v>11</v>
      </c>
      <c r="D122" s="338" t="s">
        <v>33</v>
      </c>
      <c r="E122" s="452">
        <v>38</v>
      </c>
      <c r="F122" s="148" t="s">
        <v>15</v>
      </c>
      <c r="G122" s="148" t="s">
        <v>15</v>
      </c>
      <c r="H122" s="367">
        <v>1722.848</v>
      </c>
      <c r="I122" s="368">
        <v>567.07150000000001</v>
      </c>
      <c r="J122" s="234" t="s">
        <v>15</v>
      </c>
      <c r="K122" s="233" t="s">
        <v>15</v>
      </c>
      <c r="L122" s="234" t="s">
        <v>15</v>
      </c>
      <c r="M122" s="233" t="s">
        <v>15</v>
      </c>
      <c r="N122" s="537">
        <v>164.904483</v>
      </c>
      <c r="O122" s="536">
        <v>1.56</v>
      </c>
      <c r="P122" s="536">
        <v>105.512635</v>
      </c>
      <c r="Q122" s="128">
        <f>4640.56/$T$101</f>
        <v>0.11580060842881781</v>
      </c>
      <c r="R122" s="2130">
        <f>SUMPRODUCT(N122:N123,Q122:Q123)</f>
        <v>19.096039464039645</v>
      </c>
      <c r="S122" s="24"/>
      <c r="T122" s="26"/>
      <c r="V122" s="24"/>
      <c r="W122" s="26"/>
      <c r="X122" s="26"/>
      <c r="Y122" s="41"/>
      <c r="Z122" s="41"/>
      <c r="AA122" s="41"/>
      <c r="AB122" s="846"/>
      <c r="AC122" s="26"/>
      <c r="AD122" s="24"/>
      <c r="AE122" s="26"/>
      <c r="AF122" s="106"/>
      <c r="AG122" s="37"/>
      <c r="AH122" s="957"/>
      <c r="AI122" s="957"/>
      <c r="AJ122" s="957"/>
      <c r="AK122" s="957"/>
      <c r="AL122" s="957"/>
      <c r="AM122" s="957"/>
      <c r="AN122" s="957"/>
      <c r="AO122" s="957"/>
      <c r="AP122" s="957"/>
      <c r="AQ122" s="957"/>
      <c r="AR122" s="957"/>
      <c r="AS122" s="957"/>
      <c r="AT122" s="957"/>
      <c r="AU122" s="957"/>
      <c r="AV122" s="957"/>
      <c r="AW122" s="957"/>
      <c r="AX122" s="957"/>
      <c r="AY122" s="957"/>
      <c r="AZ122" s="957"/>
      <c r="BA122" s="957"/>
      <c r="BB122" s="957"/>
      <c r="BC122" s="957"/>
      <c r="BD122" s="957"/>
      <c r="BE122" s="957"/>
      <c r="BF122" s="957"/>
      <c r="BG122" s="957"/>
    </row>
    <row r="123" spans="1:113">
      <c r="A123" s="2172"/>
      <c r="B123" s="2206"/>
      <c r="C123" s="2205"/>
      <c r="D123" s="338" t="s">
        <v>32</v>
      </c>
      <c r="E123" s="452">
        <v>151</v>
      </c>
      <c r="F123" s="148" t="s">
        <v>15</v>
      </c>
      <c r="G123" s="148" t="s">
        <v>15</v>
      </c>
      <c r="H123" s="367">
        <v>1530.702</v>
      </c>
      <c r="I123" s="368">
        <v>350.04050000000001</v>
      </c>
      <c r="J123" s="234" t="s">
        <v>15</v>
      </c>
      <c r="K123" s="233" t="s">
        <v>15</v>
      </c>
      <c r="L123" s="234" t="s">
        <v>15</v>
      </c>
      <c r="M123" s="233" t="s">
        <v>15</v>
      </c>
      <c r="N123" s="537">
        <v>0</v>
      </c>
      <c r="O123" s="536" t="s">
        <v>574</v>
      </c>
      <c r="P123" s="536" t="s">
        <v>574</v>
      </c>
      <c r="Q123" s="128">
        <f>35433.15/$T$101</f>
        <v>0.88419939157118221</v>
      </c>
      <c r="R123" s="2155"/>
      <c r="S123" s="24"/>
      <c r="T123" s="26"/>
      <c r="V123" s="24"/>
      <c r="W123" s="26"/>
      <c r="X123" s="26"/>
      <c r="Y123" s="41"/>
      <c r="Z123" s="41"/>
      <c r="AA123" s="41"/>
      <c r="AB123" s="846"/>
      <c r="AC123" s="26"/>
      <c r="AD123" s="24"/>
      <c r="AE123" s="26"/>
      <c r="AF123" s="106"/>
      <c r="AG123" s="37"/>
      <c r="AH123" s="957"/>
      <c r="AI123" s="957"/>
      <c r="AJ123" s="957"/>
      <c r="AK123" s="957"/>
      <c r="AL123" s="957"/>
      <c r="AM123" s="957"/>
      <c r="AN123" s="957"/>
      <c r="AO123" s="957"/>
      <c r="AP123" s="957"/>
      <c r="AQ123" s="957"/>
      <c r="AR123" s="957"/>
      <c r="AS123" s="957"/>
      <c r="AT123" s="957"/>
      <c r="AU123" s="957"/>
      <c r="AV123" s="957"/>
      <c r="AW123" s="957"/>
      <c r="AX123" s="957"/>
      <c r="AY123" s="957"/>
      <c r="AZ123" s="957"/>
      <c r="BA123" s="957"/>
      <c r="BB123" s="957"/>
      <c r="BC123" s="957"/>
      <c r="BD123" s="957"/>
      <c r="BE123" s="957"/>
      <c r="BF123" s="957"/>
      <c r="BG123" s="957"/>
    </row>
    <row r="124" spans="1:113">
      <c r="A124" s="2172"/>
      <c r="B124" s="2206" t="s">
        <v>7</v>
      </c>
      <c r="C124" s="2144" t="s">
        <v>13</v>
      </c>
      <c r="D124" s="348">
        <v>1</v>
      </c>
      <c r="E124" s="452">
        <v>64</v>
      </c>
      <c r="F124" s="148" t="s">
        <v>15</v>
      </c>
      <c r="G124" s="148" t="s">
        <v>15</v>
      </c>
      <c r="H124" s="367">
        <v>1612.433</v>
      </c>
      <c r="I124" s="368">
        <v>356.05410000000001</v>
      </c>
      <c r="J124" s="234" t="s">
        <v>15</v>
      </c>
      <c r="K124" s="233" t="s">
        <v>15</v>
      </c>
      <c r="L124" s="234" t="s">
        <v>15</v>
      </c>
      <c r="M124" s="233" t="s">
        <v>15</v>
      </c>
      <c r="N124" s="537">
        <v>157.95764600000001</v>
      </c>
      <c r="O124" s="536">
        <v>3.21</v>
      </c>
      <c r="P124" s="536">
        <v>49.253900999999999</v>
      </c>
      <c r="Q124" s="128">
        <f>21559.43/$T$101</f>
        <v>0.53799436089146724</v>
      </c>
      <c r="R124" s="2130">
        <f>SUMPRODUCT(N124:N126,Q124:Q126)</f>
        <v>110.78548778147145</v>
      </c>
      <c r="S124" s="24"/>
      <c r="T124" s="26"/>
      <c r="V124" s="24"/>
      <c r="W124" s="26"/>
      <c r="X124" s="26"/>
      <c r="Y124" s="41"/>
      <c r="Z124" s="41"/>
      <c r="AA124" s="41"/>
      <c r="AB124" s="846"/>
      <c r="AC124" s="26"/>
      <c r="AD124" s="24"/>
      <c r="AE124" s="26"/>
      <c r="AF124" s="106"/>
      <c r="AG124" s="37"/>
      <c r="AH124" s="957"/>
      <c r="AI124" s="957"/>
      <c r="AJ124" s="957"/>
      <c r="AK124" s="957"/>
      <c r="AL124" s="957"/>
      <c r="AM124" s="957"/>
      <c r="AN124" s="957"/>
      <c r="AO124" s="957"/>
      <c r="AP124" s="957"/>
      <c r="AQ124" s="957"/>
      <c r="AR124" s="957"/>
      <c r="AS124" s="957"/>
      <c r="AT124" s="957"/>
      <c r="AU124" s="957"/>
      <c r="AV124" s="957"/>
      <c r="AW124" s="957"/>
      <c r="AX124" s="957"/>
      <c r="AY124" s="957"/>
      <c r="AZ124" s="957"/>
      <c r="BA124" s="957"/>
      <c r="BB124" s="957"/>
      <c r="BC124" s="957"/>
      <c r="BD124" s="957"/>
      <c r="BE124" s="957"/>
      <c r="BF124" s="957"/>
      <c r="BG124" s="957"/>
    </row>
    <row r="125" spans="1:113">
      <c r="A125" s="2172"/>
      <c r="B125" s="2206"/>
      <c r="C125" s="2144"/>
      <c r="D125" s="348">
        <v>2</v>
      </c>
      <c r="E125" s="452">
        <v>65</v>
      </c>
      <c r="F125" s="148" t="s">
        <v>15</v>
      </c>
      <c r="G125" s="148" t="s">
        <v>15</v>
      </c>
      <c r="H125" s="367">
        <v>1554.76</v>
      </c>
      <c r="I125" s="368">
        <v>417.5874</v>
      </c>
      <c r="J125" s="234" t="s">
        <v>15</v>
      </c>
      <c r="K125" s="233" t="s">
        <v>15</v>
      </c>
      <c r="L125" s="234" t="s">
        <v>15</v>
      </c>
      <c r="M125" s="233" t="s">
        <v>15</v>
      </c>
      <c r="N125" s="537">
        <v>117.761927</v>
      </c>
      <c r="O125" s="536">
        <v>2.4900000000000002</v>
      </c>
      <c r="P125" s="536">
        <v>47.364449</v>
      </c>
      <c r="Q125" s="128">
        <f>8781.35/$T$101</f>
        <v>0.2191299482877927</v>
      </c>
      <c r="R125" s="2196"/>
      <c r="S125" s="24"/>
      <c r="T125" s="26"/>
      <c r="V125" s="24"/>
      <c r="W125" s="26"/>
      <c r="X125" s="26"/>
      <c r="Y125" s="41"/>
      <c r="Z125" s="41"/>
      <c r="AA125" s="41"/>
      <c r="AB125" s="846"/>
      <c r="AC125" s="26"/>
      <c r="AD125" s="24"/>
      <c r="AE125" s="26"/>
      <c r="AF125" s="106"/>
      <c r="AG125" s="37"/>
      <c r="AH125" s="957"/>
      <c r="AI125" s="957"/>
      <c r="AJ125" s="957"/>
      <c r="AK125" s="957"/>
      <c r="AL125" s="957"/>
      <c r="AM125" s="957"/>
      <c r="AN125" s="957"/>
      <c r="AO125" s="957"/>
      <c r="AP125" s="957"/>
      <c r="AQ125" s="957"/>
      <c r="AR125" s="957"/>
      <c r="AS125" s="957"/>
      <c r="AT125" s="957"/>
      <c r="AU125" s="957"/>
      <c r="AV125" s="957"/>
      <c r="AW125" s="957"/>
      <c r="AX125" s="957"/>
      <c r="AY125" s="957"/>
      <c r="AZ125" s="957"/>
      <c r="BA125" s="957"/>
      <c r="BB125" s="957"/>
      <c r="BC125" s="957"/>
      <c r="BD125" s="957"/>
      <c r="BE125" s="957"/>
      <c r="BF125" s="957"/>
      <c r="BG125" s="957"/>
    </row>
    <row r="126" spans="1:113" s="7" customFormat="1" ht="15.75" thickBot="1">
      <c r="A126" s="2188"/>
      <c r="B126" s="2206"/>
      <c r="C126" s="2204"/>
      <c r="D126" s="432">
        <v>3</v>
      </c>
      <c r="E126" s="439">
        <v>60</v>
      </c>
      <c r="F126" s="270" t="s">
        <v>15</v>
      </c>
      <c r="G126" s="270" t="s">
        <v>15</v>
      </c>
      <c r="H126" s="367">
        <v>1419.568</v>
      </c>
      <c r="I126" s="368">
        <v>388.81310000000002</v>
      </c>
      <c r="J126" s="409" t="s">
        <v>15</v>
      </c>
      <c r="K126" s="122" t="s">
        <v>15</v>
      </c>
      <c r="L126" s="409" t="s">
        <v>15</v>
      </c>
      <c r="M126" s="122" t="s">
        <v>15</v>
      </c>
      <c r="N126" s="1200">
        <v>0</v>
      </c>
      <c r="O126" s="133" t="s">
        <v>574</v>
      </c>
      <c r="P126" s="133" t="s">
        <v>574</v>
      </c>
      <c r="Q126" s="286">
        <f>9732.93/$T$101</f>
        <v>0.24287569082074009</v>
      </c>
      <c r="R126" s="2155"/>
      <c r="S126" s="240"/>
      <c r="T126" s="764"/>
      <c r="U126" s="864"/>
      <c r="V126" s="24"/>
      <c r="W126" s="26"/>
      <c r="X126" s="26"/>
      <c r="Y126" s="41"/>
      <c r="Z126" s="41"/>
      <c r="AA126" s="41"/>
      <c r="AB126" s="846"/>
      <c r="AC126" s="26"/>
      <c r="AD126" s="240"/>
      <c r="AE126" s="764"/>
      <c r="AF126" s="106"/>
      <c r="AG126" s="37"/>
      <c r="AH126" s="957"/>
      <c r="AI126" s="957"/>
      <c r="AJ126" s="957"/>
      <c r="AK126" s="957"/>
      <c r="AL126" s="957"/>
      <c r="AM126" s="957"/>
      <c r="AN126" s="957"/>
      <c r="AO126" s="957"/>
      <c r="AP126" s="957"/>
      <c r="AQ126" s="957"/>
      <c r="AR126" s="957"/>
      <c r="AS126" s="957"/>
      <c r="AT126" s="957"/>
      <c r="AU126" s="957"/>
      <c r="AV126" s="957"/>
      <c r="AW126" s="957"/>
      <c r="AX126" s="957"/>
      <c r="AY126" s="957"/>
      <c r="AZ126" s="957"/>
      <c r="BA126" s="957"/>
      <c r="BB126" s="957"/>
      <c r="BC126" s="957"/>
      <c r="BD126" s="957"/>
      <c r="BE126" s="957"/>
      <c r="BF126" s="957"/>
      <c r="BG126" s="957"/>
      <c r="BH126" s="1125"/>
      <c r="DI126" s="566"/>
    </row>
    <row r="127" spans="1:113" s="692" customFormat="1" ht="9" customHeight="1" thickBot="1">
      <c r="A127" s="695"/>
      <c r="B127" s="815"/>
      <c r="C127" s="684"/>
      <c r="D127" s="683"/>
      <c r="E127" s="684"/>
      <c r="F127" s="684"/>
      <c r="G127" s="684"/>
      <c r="H127" s="684"/>
      <c r="I127" s="684"/>
      <c r="J127" s="682"/>
      <c r="K127" s="683"/>
      <c r="L127" s="682"/>
      <c r="M127" s="685"/>
      <c r="N127" s="1189"/>
      <c r="O127" s="686"/>
      <c r="P127" s="686"/>
      <c r="Q127" s="687"/>
      <c r="R127" s="687"/>
      <c r="S127" s="688"/>
      <c r="T127" s="688"/>
      <c r="U127" s="854"/>
      <c r="V127" s="893"/>
      <c r="W127" s="685"/>
      <c r="X127" s="685"/>
      <c r="Y127" s="688"/>
      <c r="Z127" s="688"/>
      <c r="AA127" s="688"/>
      <c r="AB127" s="846"/>
      <c r="AC127" s="685"/>
      <c r="AD127" s="685"/>
      <c r="AE127" s="685"/>
      <c r="AF127" s="689"/>
      <c r="AG127" s="685"/>
      <c r="AH127" s="959"/>
      <c r="AI127" s="959"/>
      <c r="AJ127" s="959"/>
      <c r="AK127" s="959"/>
      <c r="AL127" s="959"/>
      <c r="AM127" s="959"/>
      <c r="AN127" s="959"/>
      <c r="AO127" s="958"/>
      <c r="AP127" s="958"/>
      <c r="AQ127" s="958"/>
      <c r="AR127" s="958"/>
      <c r="AS127" s="958"/>
      <c r="AT127" s="958"/>
      <c r="AU127" s="958"/>
      <c r="AV127" s="958"/>
      <c r="AW127" s="958"/>
      <c r="AX127" s="958"/>
      <c r="AY127" s="958"/>
      <c r="AZ127" s="958"/>
      <c r="BA127" s="958"/>
      <c r="BB127" s="958"/>
      <c r="BC127" s="958"/>
      <c r="BD127" s="958"/>
      <c r="BE127" s="958"/>
      <c r="BF127" s="958"/>
      <c r="BG127" s="958"/>
      <c r="BH127" s="1125"/>
      <c r="DI127" s="693"/>
    </row>
    <row r="128" spans="1:113" s="7" customFormat="1" ht="15" customHeight="1">
      <c r="A128" s="2171" t="s">
        <v>1280</v>
      </c>
      <c r="B128" s="1057" t="s">
        <v>754</v>
      </c>
      <c r="C128" s="809" t="s">
        <v>12</v>
      </c>
      <c r="D128" s="232" t="s">
        <v>811</v>
      </c>
      <c r="E128" s="534">
        <v>170</v>
      </c>
      <c r="F128" s="258">
        <v>73.426689999999994</v>
      </c>
      <c r="G128" s="258">
        <v>10.13801</v>
      </c>
      <c r="H128" s="367">
        <v>949.30470000000003</v>
      </c>
      <c r="I128" s="368">
        <v>276.62389999999999</v>
      </c>
      <c r="J128" s="268" t="s">
        <v>15</v>
      </c>
      <c r="K128" s="132" t="s">
        <v>15</v>
      </c>
      <c r="L128" s="1165" t="s">
        <v>14</v>
      </c>
      <c r="M128" s="1150" t="s">
        <v>779</v>
      </c>
      <c r="N128" s="1190">
        <v>1.7601199000000001</v>
      </c>
      <c r="O128" s="442">
        <v>1.1299999999999999</v>
      </c>
      <c r="P128" s="442">
        <v>1.5573695000000001</v>
      </c>
      <c r="Q128" s="254" t="s">
        <v>15</v>
      </c>
      <c r="R128" s="258">
        <f>N128</f>
        <v>1.7601199000000001</v>
      </c>
      <c r="S128" s="124" t="s">
        <v>68</v>
      </c>
      <c r="T128" s="125" t="s">
        <v>69</v>
      </c>
      <c r="U128" s="858"/>
      <c r="V128" s="2232" t="s">
        <v>863</v>
      </c>
      <c r="W128" s="295" t="s">
        <v>47</v>
      </c>
      <c r="X128" s="295" t="s">
        <v>867</v>
      </c>
      <c r="Y128" s="220">
        <f>$T$135+SUM($R$130:$R$161)+$N$128*129.2+$N$129*1</f>
        <v>867.11625466795397</v>
      </c>
      <c r="Z128" s="282" t="s">
        <v>40</v>
      </c>
      <c r="AA128" s="575" t="s">
        <v>40</v>
      </c>
      <c r="AB128" s="846"/>
      <c r="AC128" s="26"/>
      <c r="AD128" s="2131" t="s">
        <v>142</v>
      </c>
      <c r="AE128" s="2133"/>
      <c r="AF128" s="497" t="s">
        <v>49</v>
      </c>
      <c r="AG128" s="494" t="s">
        <v>966</v>
      </c>
      <c r="AH128" s="158">
        <f>T135+N141+N145+N147+SUM(R149:R158)</f>
        <v>652.56760428714801</v>
      </c>
      <c r="AI128" s="158">
        <v>850.49</v>
      </c>
      <c r="AJ128" s="158">
        <v>609.99</v>
      </c>
      <c r="AK128" s="158">
        <v>802.49</v>
      </c>
      <c r="AL128" s="158">
        <v>799</v>
      </c>
      <c r="AM128" s="158">
        <v>899</v>
      </c>
      <c r="AN128" s="170"/>
      <c r="AO128" s="1011"/>
      <c r="AP128" s="957"/>
      <c r="AQ128" s="957"/>
      <c r="AR128" s="957"/>
      <c r="AS128" s="957"/>
      <c r="AT128" s="1012"/>
      <c r="AU128" s="1023"/>
      <c r="AV128" s="957"/>
      <c r="AW128" s="957"/>
      <c r="AX128" s="957"/>
      <c r="AY128" s="957"/>
      <c r="AZ128" s="957"/>
      <c r="BA128" s="957"/>
      <c r="BB128" s="957"/>
      <c r="BC128" s="957"/>
      <c r="BD128" s="957"/>
      <c r="BE128" s="957"/>
      <c r="BF128" s="957"/>
      <c r="BG128" s="957"/>
      <c r="BH128" s="1125"/>
      <c r="DI128" s="566"/>
    </row>
    <row r="129" spans="1:59">
      <c r="A129" s="2172"/>
      <c r="B129" s="1056" t="s">
        <v>756</v>
      </c>
      <c r="C129" s="356" t="s">
        <v>12</v>
      </c>
      <c r="D129" s="291" t="s">
        <v>810</v>
      </c>
      <c r="E129" s="452">
        <v>170</v>
      </c>
      <c r="F129" s="128">
        <v>0.193859</v>
      </c>
      <c r="G129" s="128">
        <v>0.15069299999999999</v>
      </c>
      <c r="H129" s="367">
        <v>949.30470000000003</v>
      </c>
      <c r="I129" s="368">
        <v>276.62389999999999</v>
      </c>
      <c r="J129" s="234" t="s">
        <v>15</v>
      </c>
      <c r="K129" s="233" t="s">
        <v>15</v>
      </c>
      <c r="L129" s="234" t="s">
        <v>15</v>
      </c>
      <c r="M129" s="233" t="s">
        <v>15</v>
      </c>
      <c r="N129" s="537">
        <v>-223.72721039999999</v>
      </c>
      <c r="O129" s="536">
        <v>-1.51</v>
      </c>
      <c r="P129" s="536">
        <v>148.32350539999999</v>
      </c>
      <c r="Q129" s="195" t="s">
        <v>15</v>
      </c>
      <c r="R129" s="128">
        <f>N129</f>
        <v>-223.72721039999999</v>
      </c>
      <c r="S129" s="31" t="s">
        <v>70</v>
      </c>
      <c r="T129" s="117" t="s">
        <v>71</v>
      </c>
      <c r="U129" s="854"/>
      <c r="V129" s="2233"/>
      <c r="W129" s="983" t="s">
        <v>49</v>
      </c>
      <c r="X129" s="338" t="s">
        <v>868</v>
      </c>
      <c r="Y129" s="169">
        <f>$T$135+SUM($R$130:$R$161)+$N$128*72.7+$N$129*1</f>
        <v>767.66948031795403</v>
      </c>
      <c r="Z129" s="169">
        <f>Y129-Y128</f>
        <v>-99.446774349999941</v>
      </c>
      <c r="AA129" s="576">
        <f>(129.2-72.7)*$P$128</f>
        <v>87.991376749999986</v>
      </c>
      <c r="AB129" s="918"/>
      <c r="AC129" s="26"/>
      <c r="AD129" s="20" t="s">
        <v>98</v>
      </c>
      <c r="AE129" s="278">
        <v>-0.12798215505864077</v>
      </c>
      <c r="AF129" s="497" t="s">
        <v>49</v>
      </c>
      <c r="AG129" s="494" t="s">
        <v>884</v>
      </c>
      <c r="AH129" s="158">
        <f>T135+N136+N145+N147+SUM(R149:R158)</f>
        <v>715.08408828714801</v>
      </c>
      <c r="AI129" s="158">
        <v>679.99</v>
      </c>
      <c r="AJ129" s="158">
        <v>949.99</v>
      </c>
      <c r="AK129" s="158">
        <v>649</v>
      </c>
      <c r="AL129" s="158">
        <v>697</v>
      </c>
      <c r="AM129" s="158">
        <v>1199</v>
      </c>
      <c r="AN129" s="170">
        <v>849.99</v>
      </c>
      <c r="AO129" s="1011"/>
      <c r="AP129" s="957"/>
      <c r="AQ129" s="957"/>
      <c r="AR129" s="957"/>
      <c r="AS129" s="957"/>
      <c r="AT129" s="1012"/>
      <c r="AU129" s="1023"/>
      <c r="AV129" s="957"/>
      <c r="AW129" s="957"/>
      <c r="AX129" s="957"/>
      <c r="AY129" s="957"/>
      <c r="AZ129" s="957"/>
      <c r="BA129" s="957"/>
      <c r="BB129" s="957"/>
      <c r="BC129" s="957"/>
      <c r="BD129" s="957"/>
      <c r="BE129" s="957"/>
      <c r="BF129" s="957"/>
      <c r="BG129" s="957"/>
    </row>
    <row r="130" spans="1:59">
      <c r="A130" s="2172"/>
      <c r="B130" s="2206" t="s">
        <v>153</v>
      </c>
      <c r="C130" s="2144" t="s">
        <v>13</v>
      </c>
      <c r="D130" s="434" t="s">
        <v>757</v>
      </c>
      <c r="E130" s="452">
        <v>6</v>
      </c>
      <c r="F130" s="148" t="s">
        <v>15</v>
      </c>
      <c r="G130" s="148" t="s">
        <v>15</v>
      </c>
      <c r="H130" s="367">
        <v>594.60569999999996</v>
      </c>
      <c r="I130" s="368">
        <v>12.533160000000001</v>
      </c>
      <c r="J130" s="234" t="s">
        <v>15</v>
      </c>
      <c r="K130" s="233" t="s">
        <v>15</v>
      </c>
      <c r="L130" s="234" t="s">
        <v>15</v>
      </c>
      <c r="M130" s="233" t="s">
        <v>15</v>
      </c>
      <c r="N130" s="537">
        <v>5.1574052000000004</v>
      </c>
      <c r="O130" s="536">
        <v>0.12</v>
      </c>
      <c r="P130" s="536">
        <v>41.787297700000003</v>
      </c>
      <c r="Q130" s="128">
        <f>2554.21/$T$133</f>
        <v>6.3809960880265235E-2</v>
      </c>
      <c r="R130" s="2130">
        <f>SUMPRODUCT(N130:N143,Q130:Q143)</f>
        <v>140.55154368372936</v>
      </c>
      <c r="S130" s="127" t="s">
        <v>72</v>
      </c>
      <c r="T130" s="119" t="s">
        <v>119</v>
      </c>
      <c r="U130" s="855"/>
      <c r="V130" s="2233"/>
      <c r="W130" s="983" t="s">
        <v>49</v>
      </c>
      <c r="X130" s="338" t="s">
        <v>869</v>
      </c>
      <c r="Y130" s="169">
        <f>$T$135+SUM($R$130:$R$161)+$N$128*59.1+$N$129*1</f>
        <v>743.73184967795396</v>
      </c>
      <c r="Z130" s="169">
        <f>Y130-Y128</f>
        <v>-123.38440499000001</v>
      </c>
      <c r="AA130" s="576">
        <f>(129.2-59.1)*$P$128</f>
        <v>109.17160195</v>
      </c>
      <c r="AB130" s="918"/>
      <c r="AC130" s="26"/>
      <c r="AD130" s="20" t="s">
        <v>143</v>
      </c>
      <c r="AE130" s="278">
        <v>0.12847046008265881</v>
      </c>
      <c r="AF130" s="497" t="s">
        <v>49</v>
      </c>
      <c r="AG130" s="494" t="s">
        <v>967</v>
      </c>
      <c r="AH130" s="158">
        <f>T135+N141+N145+SUM(R149:R158)</f>
        <v>846.41147148714799</v>
      </c>
      <c r="AI130" s="158"/>
      <c r="AJ130" s="158"/>
      <c r="AK130" s="158">
        <v>1154.17</v>
      </c>
      <c r="AL130" s="158"/>
      <c r="AM130" s="158"/>
      <c r="AN130" s="170"/>
      <c r="AO130" s="1011"/>
      <c r="AP130" s="957"/>
      <c r="AQ130" s="957"/>
      <c r="AR130" s="957"/>
      <c r="AS130" s="957"/>
      <c r="AT130" s="1012"/>
      <c r="AU130" s="1023"/>
      <c r="AV130" s="957"/>
      <c r="AW130" s="957"/>
      <c r="AX130" s="957"/>
      <c r="AY130" s="957"/>
      <c r="AZ130" s="957"/>
      <c r="BA130" s="957"/>
      <c r="BB130" s="957"/>
      <c r="BC130" s="957"/>
      <c r="BD130" s="957"/>
      <c r="BE130" s="957"/>
      <c r="BF130" s="957"/>
      <c r="BG130" s="957"/>
    </row>
    <row r="131" spans="1:59">
      <c r="A131" s="2172"/>
      <c r="B131" s="2206"/>
      <c r="C131" s="2144"/>
      <c r="D131" s="348" t="s">
        <v>758</v>
      </c>
      <c r="E131" s="452">
        <v>2</v>
      </c>
      <c r="F131" s="148" t="s">
        <v>15</v>
      </c>
      <c r="G131" s="148" t="s">
        <v>15</v>
      </c>
      <c r="H131" s="367">
        <v>526.8057</v>
      </c>
      <c r="I131" s="368">
        <v>12.93491</v>
      </c>
      <c r="J131" s="234" t="s">
        <v>15</v>
      </c>
      <c r="K131" s="233" t="s">
        <v>15</v>
      </c>
      <c r="L131" s="234" t="s">
        <v>15</v>
      </c>
      <c r="M131" s="233" t="s">
        <v>15</v>
      </c>
      <c r="N131" s="537">
        <v>-22.018323200000001</v>
      </c>
      <c r="O131" s="536">
        <v>-0.04</v>
      </c>
      <c r="P131" s="536">
        <v>606.71277499999997</v>
      </c>
      <c r="Q131" s="128">
        <f>7.05/$T$133</f>
        <v>1.7612499528459676E-4</v>
      </c>
      <c r="R131" s="2196"/>
      <c r="S131" s="452" t="s">
        <v>73</v>
      </c>
      <c r="T131" s="433"/>
      <c r="U131" s="859"/>
      <c r="V131" s="24"/>
      <c r="W131" s="26"/>
      <c r="X131" s="26"/>
      <c r="Y131" s="41"/>
      <c r="Z131" s="41"/>
      <c r="AA131" s="41"/>
      <c r="AB131" s="846"/>
      <c r="AC131" s="26"/>
      <c r="AD131" s="20" t="s">
        <v>144</v>
      </c>
      <c r="AE131" s="278">
        <v>-0.40359959275467222</v>
      </c>
      <c r="AF131" s="497" t="s">
        <v>49</v>
      </c>
      <c r="AG131" s="494" t="s">
        <v>886</v>
      </c>
      <c r="AH131" s="158">
        <f>T135+N136+N145+SUM(R149:R158)</f>
        <v>908.92795548714798</v>
      </c>
      <c r="AI131" s="158">
        <v>949.99</v>
      </c>
      <c r="AJ131" s="158"/>
      <c r="AK131" s="158">
        <v>947.99</v>
      </c>
      <c r="AL131" s="158">
        <v>1047.99</v>
      </c>
      <c r="AM131" s="158">
        <v>999</v>
      </c>
      <c r="AN131" s="170"/>
      <c r="AO131" s="1011"/>
      <c r="AP131" s="957"/>
      <c r="AQ131" s="957"/>
      <c r="AR131" s="957"/>
      <c r="AS131" s="957"/>
      <c r="AT131" s="1012"/>
      <c r="AU131" s="1023"/>
      <c r="AV131" s="957"/>
      <c r="AW131" s="957"/>
      <c r="AX131" s="957"/>
      <c r="AY131" s="957"/>
      <c r="AZ131" s="957"/>
      <c r="BA131" s="957"/>
      <c r="BB131" s="957"/>
      <c r="BC131" s="957"/>
      <c r="BD131" s="957"/>
      <c r="BE131" s="957"/>
      <c r="BF131" s="957"/>
      <c r="BG131" s="957"/>
    </row>
    <row r="132" spans="1:59">
      <c r="A132" s="2172"/>
      <c r="B132" s="2206"/>
      <c r="C132" s="2144"/>
      <c r="D132" s="348" t="s">
        <v>780</v>
      </c>
      <c r="E132" s="452">
        <v>6</v>
      </c>
      <c r="F132" s="148" t="s">
        <v>15</v>
      </c>
      <c r="G132" s="148" t="s">
        <v>15</v>
      </c>
      <c r="H132" s="367">
        <v>560.3646</v>
      </c>
      <c r="I132" s="368">
        <v>167.61439999999999</v>
      </c>
      <c r="J132" s="234" t="s">
        <v>15</v>
      </c>
      <c r="K132" s="233" t="s">
        <v>15</v>
      </c>
      <c r="L132" s="234" t="s">
        <v>15</v>
      </c>
      <c r="M132" s="233" t="s">
        <v>15</v>
      </c>
      <c r="N132" s="537">
        <v>17.230035099999998</v>
      </c>
      <c r="O132" s="536">
        <v>0.15</v>
      </c>
      <c r="P132" s="536">
        <v>112.78540409999999</v>
      </c>
      <c r="Q132" s="128">
        <f>246/$T$133</f>
        <v>6.1456381333348659E-3</v>
      </c>
      <c r="R132" s="2196"/>
      <c r="S132" s="127" t="s">
        <v>74</v>
      </c>
      <c r="T132" s="129" t="s">
        <v>75</v>
      </c>
      <c r="U132" s="858"/>
      <c r="V132" s="24"/>
      <c r="W132" s="26"/>
      <c r="X132" s="26"/>
      <c r="Y132" s="41"/>
      <c r="Z132" s="41"/>
      <c r="AA132" s="41"/>
      <c r="AB132" s="846"/>
      <c r="AC132" s="26"/>
      <c r="AD132" s="20" t="s">
        <v>145</v>
      </c>
      <c r="AE132" s="278">
        <v>0.10182448118204623</v>
      </c>
      <c r="AF132" s="497" t="s">
        <v>49</v>
      </c>
      <c r="AG132" s="494" t="s">
        <v>977</v>
      </c>
      <c r="AH132" s="158">
        <f>T135+N141+SUM(R149:R158)</f>
        <v>1120.905053387148</v>
      </c>
      <c r="AI132" s="158">
        <v>1299.99</v>
      </c>
      <c r="AJ132" s="158">
        <v>1299.99</v>
      </c>
      <c r="AK132" s="158">
        <v>1297.99</v>
      </c>
      <c r="AL132" s="158">
        <v>1297.99</v>
      </c>
      <c r="AM132" s="158"/>
      <c r="AN132" s="170"/>
      <c r="AO132" s="1011"/>
      <c r="AP132" s="957"/>
      <c r="AQ132" s="957"/>
      <c r="AR132" s="957"/>
      <c r="AS132" s="957"/>
      <c r="AT132" s="1012"/>
      <c r="AU132" s="1023"/>
      <c r="AV132" s="957"/>
      <c r="AW132" s="957"/>
      <c r="AX132" s="957"/>
      <c r="AY132" s="957"/>
      <c r="AZ132" s="957"/>
      <c r="BA132" s="957"/>
      <c r="BB132" s="957"/>
      <c r="BC132" s="957"/>
      <c r="BD132" s="957"/>
      <c r="BE132" s="957"/>
      <c r="BF132" s="957"/>
      <c r="BG132" s="957"/>
    </row>
    <row r="133" spans="1:59">
      <c r="A133" s="2172"/>
      <c r="B133" s="2206"/>
      <c r="C133" s="2144"/>
      <c r="D133" s="348" t="s">
        <v>781</v>
      </c>
      <c r="E133" s="452">
        <v>3</v>
      </c>
      <c r="F133" s="148" t="s">
        <v>15</v>
      </c>
      <c r="G133" s="148" t="s">
        <v>15</v>
      </c>
      <c r="H133" s="367">
        <v>731.92600000000004</v>
      </c>
      <c r="I133" s="368">
        <v>136.108</v>
      </c>
      <c r="J133" s="234" t="s">
        <v>15</v>
      </c>
      <c r="K133" s="233" t="s">
        <v>15</v>
      </c>
      <c r="L133" s="234" t="s">
        <v>15</v>
      </c>
      <c r="M133" s="233" t="s">
        <v>15</v>
      </c>
      <c r="N133" s="537">
        <v>204.97086780000001</v>
      </c>
      <c r="O133" s="536">
        <v>0.28999999999999998</v>
      </c>
      <c r="P133" s="536">
        <v>717.89153910000005</v>
      </c>
      <c r="Q133" s="128">
        <f>5/$T$133</f>
        <v>1.2491134417347288E-4</v>
      </c>
      <c r="R133" s="2196"/>
      <c r="S133" s="445">
        <v>170</v>
      </c>
      <c r="T133" s="446">
        <v>40028.39</v>
      </c>
      <c r="U133" s="865"/>
      <c r="V133" s="24"/>
      <c r="W133" s="26"/>
      <c r="X133" s="26"/>
      <c r="Y133" s="41"/>
      <c r="Z133" s="41"/>
      <c r="AA133" s="41"/>
      <c r="AB133" s="846"/>
      <c r="AC133" s="26"/>
      <c r="AD133" s="22"/>
      <c r="AE133" s="27"/>
      <c r="AF133" s="106"/>
      <c r="AG133" s="37"/>
      <c r="AH133" s="957"/>
      <c r="AI133" s="1023"/>
      <c r="AJ133" s="1023"/>
      <c r="AK133" s="1023"/>
      <c r="AL133" s="1023"/>
      <c r="AM133" s="1023"/>
      <c r="AN133" s="1023"/>
      <c r="AO133" s="957"/>
      <c r="AP133" s="957"/>
      <c r="AQ133" s="957"/>
      <c r="AR133" s="957"/>
      <c r="AS133" s="957"/>
      <c r="AT133" s="957"/>
      <c r="AU133" s="957"/>
      <c r="AV133" s="957"/>
      <c r="AW133" s="957"/>
      <c r="AX133" s="957"/>
      <c r="AY133" s="957"/>
      <c r="AZ133" s="957"/>
      <c r="BA133" s="957"/>
      <c r="BB133" s="957"/>
      <c r="BC133" s="957"/>
      <c r="BD133" s="957"/>
      <c r="BE133" s="957"/>
      <c r="BF133" s="957"/>
      <c r="BG133" s="957"/>
    </row>
    <row r="134" spans="1:59">
      <c r="A134" s="2172"/>
      <c r="B134" s="2206"/>
      <c r="C134" s="2144"/>
      <c r="D134" s="348" t="s">
        <v>782</v>
      </c>
      <c r="E134" s="452">
        <v>3</v>
      </c>
      <c r="F134" s="148" t="s">
        <v>15</v>
      </c>
      <c r="G134" s="148" t="s">
        <v>15</v>
      </c>
      <c r="H134" s="367">
        <v>1117.261</v>
      </c>
      <c r="I134" s="368">
        <v>141.8535</v>
      </c>
      <c r="J134" s="234" t="s">
        <v>15</v>
      </c>
      <c r="K134" s="233" t="s">
        <v>15</v>
      </c>
      <c r="L134" s="234" t="s">
        <v>15</v>
      </c>
      <c r="M134" s="233" t="s">
        <v>15</v>
      </c>
      <c r="N134" s="537">
        <v>541.40600280000001</v>
      </c>
      <c r="O134" s="536">
        <v>1.1000000000000001</v>
      </c>
      <c r="P134" s="536">
        <v>492.85746669999997</v>
      </c>
      <c r="Q134" s="128">
        <f>10.68/$T$133</f>
        <v>2.6681063115453806E-4</v>
      </c>
      <c r="R134" s="2196"/>
      <c r="S134" s="127" t="s">
        <v>41</v>
      </c>
      <c r="T134" s="129" t="s">
        <v>42</v>
      </c>
      <c r="U134" s="858"/>
      <c r="V134" s="24"/>
      <c r="W134" s="26"/>
      <c r="X134" s="26"/>
      <c r="Y134" s="41"/>
      <c r="Z134" s="41"/>
      <c r="AA134" s="41"/>
      <c r="AB134" s="846"/>
      <c r="AC134" s="26"/>
      <c r="AD134" s="24"/>
      <c r="AE134" s="26"/>
      <c r="AF134" s="106"/>
      <c r="AG134" s="37"/>
      <c r="AH134" s="957"/>
      <c r="AI134" s="1023"/>
      <c r="AJ134" s="1023"/>
      <c r="AK134" s="1023"/>
      <c r="AL134" s="1023"/>
      <c r="AM134" s="1023"/>
      <c r="AN134" s="1023"/>
      <c r="AO134" s="957"/>
      <c r="AP134" s="957"/>
      <c r="AQ134" s="957"/>
      <c r="AR134" s="957"/>
      <c r="AS134" s="957"/>
      <c r="AT134" s="957"/>
      <c r="AU134" s="957"/>
      <c r="AV134" s="957"/>
      <c r="AW134" s="957"/>
      <c r="AX134" s="957"/>
      <c r="AY134" s="957"/>
      <c r="AZ134" s="957"/>
      <c r="BA134" s="957"/>
      <c r="BB134" s="957"/>
      <c r="BC134" s="957"/>
      <c r="BD134" s="957"/>
      <c r="BE134" s="957"/>
      <c r="BF134" s="957"/>
      <c r="BG134" s="957"/>
    </row>
    <row r="135" spans="1:59">
      <c r="A135" s="2172"/>
      <c r="B135" s="2206"/>
      <c r="C135" s="2144"/>
      <c r="D135" s="348" t="s">
        <v>763</v>
      </c>
      <c r="E135" s="452">
        <v>3</v>
      </c>
      <c r="F135" s="148" t="s">
        <v>15</v>
      </c>
      <c r="G135" s="148" t="s">
        <v>15</v>
      </c>
      <c r="H135" s="367">
        <v>645.29849999999999</v>
      </c>
      <c r="I135" s="368">
        <v>55.89667</v>
      </c>
      <c r="J135" s="234" t="s">
        <v>15</v>
      </c>
      <c r="K135" s="233" t="s">
        <v>15</v>
      </c>
      <c r="L135" s="234" t="s">
        <v>15</v>
      </c>
      <c r="M135" s="233" t="s">
        <v>15</v>
      </c>
      <c r="N135" s="537">
        <v>-97.148777800000005</v>
      </c>
      <c r="O135" s="536">
        <v>-0.56000000000000005</v>
      </c>
      <c r="P135" s="536">
        <v>172.79666689999999</v>
      </c>
      <c r="Q135" s="128">
        <f>511.11/$T$133</f>
        <v>1.2768687424100745E-2</v>
      </c>
      <c r="R135" s="2196"/>
      <c r="S135" s="443">
        <v>0.88043400000000005</v>
      </c>
      <c r="T135" s="444">
        <v>674.96972340000002</v>
      </c>
      <c r="U135" s="866"/>
      <c r="V135" s="24"/>
      <c r="W135" s="26"/>
      <c r="X135" s="26"/>
      <c r="Y135" s="41"/>
      <c r="Z135" s="41"/>
      <c r="AA135" s="41"/>
      <c r="AB135" s="846"/>
      <c r="AC135" s="26"/>
      <c r="AD135" s="24"/>
      <c r="AE135" s="26"/>
      <c r="AF135" s="106"/>
      <c r="AG135" s="37"/>
      <c r="AH135" s="957"/>
      <c r="AI135" s="1023"/>
      <c r="AJ135" s="1023"/>
      <c r="AK135" s="1023"/>
      <c r="AL135" s="1023"/>
      <c r="AM135" s="1023"/>
      <c r="AN135" s="1023"/>
      <c r="AO135" s="957"/>
      <c r="AP135" s="957"/>
      <c r="AQ135" s="957"/>
      <c r="AR135" s="957"/>
      <c r="AS135" s="957"/>
      <c r="AT135" s="957"/>
      <c r="AU135" s="957"/>
      <c r="AV135" s="957"/>
      <c r="AW135" s="957"/>
      <c r="AX135" s="957"/>
      <c r="AY135" s="957"/>
      <c r="AZ135" s="957"/>
      <c r="BA135" s="957"/>
      <c r="BB135" s="957"/>
      <c r="BC135" s="957"/>
      <c r="BD135" s="957"/>
      <c r="BE135" s="957"/>
      <c r="BF135" s="957"/>
      <c r="BG135" s="957"/>
    </row>
    <row r="136" spans="1:59">
      <c r="A136" s="2172"/>
      <c r="B136" s="2206"/>
      <c r="C136" s="2144"/>
      <c r="D136" s="348" t="s">
        <v>688</v>
      </c>
      <c r="E136" s="452">
        <v>56</v>
      </c>
      <c r="F136" s="148" t="s">
        <v>15</v>
      </c>
      <c r="G136" s="148" t="s">
        <v>15</v>
      </c>
      <c r="H136" s="367">
        <v>1102.9159999999999</v>
      </c>
      <c r="I136" s="368">
        <v>193.0505</v>
      </c>
      <c r="J136" s="234" t="s">
        <v>15</v>
      </c>
      <c r="K136" s="233" t="s">
        <v>15</v>
      </c>
      <c r="L136" s="234" t="s">
        <v>15</v>
      </c>
      <c r="M136" s="233" t="s">
        <v>15</v>
      </c>
      <c r="N136" s="537">
        <v>213.88926839999999</v>
      </c>
      <c r="O136" s="536">
        <v>1.48</v>
      </c>
      <c r="P136" s="536">
        <v>144.67458400000001</v>
      </c>
      <c r="Q136" s="128">
        <f>21637.87/$T$133</f>
        <v>0.54056308535017272</v>
      </c>
      <c r="R136" s="2196"/>
      <c r="S136" s="118" t="s">
        <v>235</v>
      </c>
      <c r="T136" s="119" t="s">
        <v>391</v>
      </c>
      <c r="U136" s="855"/>
      <c r="V136" s="24"/>
      <c r="W136" s="26"/>
      <c r="X136" s="26"/>
      <c r="Y136" s="41"/>
      <c r="Z136" s="41"/>
      <c r="AA136" s="41"/>
      <c r="AB136" s="846"/>
      <c r="AC136" s="26"/>
      <c r="AD136" s="24"/>
      <c r="AE136" s="26"/>
      <c r="AF136" s="106"/>
      <c r="AG136" s="37"/>
      <c r="AH136" s="957"/>
      <c r="AI136" s="1023"/>
      <c r="AJ136" s="1023"/>
      <c r="AK136" s="1023"/>
      <c r="AL136" s="1023"/>
      <c r="AM136" s="1023"/>
      <c r="AN136" s="1023"/>
      <c r="AO136" s="957"/>
      <c r="AP136" s="957"/>
      <c r="AQ136" s="957"/>
      <c r="AR136" s="957"/>
      <c r="AS136" s="957"/>
      <c r="AT136" s="957"/>
      <c r="AU136" s="957"/>
      <c r="AV136" s="957"/>
      <c r="AW136" s="957"/>
      <c r="AX136" s="957"/>
      <c r="AY136" s="957"/>
      <c r="AZ136" s="957"/>
      <c r="BA136" s="957"/>
      <c r="BB136" s="957"/>
      <c r="BC136" s="957"/>
      <c r="BD136" s="957"/>
      <c r="BE136" s="957"/>
      <c r="BF136" s="957"/>
      <c r="BG136" s="957"/>
    </row>
    <row r="137" spans="1:59">
      <c r="A137" s="2172"/>
      <c r="B137" s="2206"/>
      <c r="C137" s="2144"/>
      <c r="D137" s="348" t="s">
        <v>783</v>
      </c>
      <c r="E137" s="452">
        <v>3</v>
      </c>
      <c r="F137" s="148" t="s">
        <v>15</v>
      </c>
      <c r="G137" s="148" t="s">
        <v>15</v>
      </c>
      <c r="H137" s="367">
        <v>613.0729</v>
      </c>
      <c r="I137" s="368">
        <v>9.2579890000000002</v>
      </c>
      <c r="J137" s="234" t="s">
        <v>15</v>
      </c>
      <c r="K137" s="233" t="s">
        <v>15</v>
      </c>
      <c r="L137" s="234" t="s">
        <v>15</v>
      </c>
      <c r="M137" s="233" t="s">
        <v>15</v>
      </c>
      <c r="N137" s="537">
        <v>-24.255702100000001</v>
      </c>
      <c r="O137" s="536">
        <v>-0.05</v>
      </c>
      <c r="P137" s="536">
        <v>536.53949160000002</v>
      </c>
      <c r="Q137" s="128">
        <f>9.05/$T$133</f>
        <v>2.2608953295398594E-4</v>
      </c>
      <c r="R137" s="2196"/>
      <c r="S137" s="443">
        <v>163.19399999999999</v>
      </c>
      <c r="T137" s="151" t="s">
        <v>15</v>
      </c>
      <c r="U137" s="862"/>
      <c r="V137" s="24"/>
      <c r="W137" s="26"/>
      <c r="X137" s="26"/>
      <c r="Y137" s="41"/>
      <c r="Z137" s="41"/>
      <c r="AA137" s="41"/>
      <c r="AB137" s="846"/>
      <c r="AC137" s="26"/>
      <c r="AD137" s="24"/>
      <c r="AE137" s="26"/>
      <c r="AF137" s="106"/>
      <c r="AG137" s="37"/>
      <c r="AH137" s="957"/>
      <c r="AI137" s="1023"/>
      <c r="AJ137" s="1023"/>
      <c r="AK137" s="1023"/>
      <c r="AL137" s="1023"/>
      <c r="AM137" s="1023"/>
      <c r="AN137" s="1023"/>
      <c r="AO137" s="957"/>
      <c r="AP137" s="957"/>
      <c r="AQ137" s="957"/>
      <c r="AR137" s="957"/>
      <c r="AS137" s="957"/>
      <c r="AT137" s="957"/>
      <c r="AU137" s="957"/>
      <c r="AV137" s="957"/>
      <c r="AW137" s="957"/>
      <c r="AX137" s="957"/>
      <c r="AY137" s="957"/>
      <c r="AZ137" s="957"/>
      <c r="BA137" s="957"/>
      <c r="BB137" s="957"/>
      <c r="BC137" s="957"/>
      <c r="BD137" s="957"/>
      <c r="BE137" s="957"/>
      <c r="BF137" s="957"/>
      <c r="BG137" s="957"/>
    </row>
    <row r="138" spans="1:59">
      <c r="A138" s="2172"/>
      <c r="B138" s="2206"/>
      <c r="C138" s="2144"/>
      <c r="D138" s="348" t="s">
        <v>784</v>
      </c>
      <c r="E138" s="452">
        <v>14</v>
      </c>
      <c r="F138" s="148" t="s">
        <v>15</v>
      </c>
      <c r="G138" s="148" t="s">
        <v>15</v>
      </c>
      <c r="H138" s="367">
        <v>908.92280000000005</v>
      </c>
      <c r="I138" s="368">
        <v>56.270670000000003</v>
      </c>
      <c r="J138" s="234" t="s">
        <v>15</v>
      </c>
      <c r="K138" s="233" t="s">
        <v>15</v>
      </c>
      <c r="L138" s="234" t="s">
        <v>15</v>
      </c>
      <c r="M138" s="233" t="s">
        <v>15</v>
      </c>
      <c r="N138" s="537">
        <v>196.88421819999999</v>
      </c>
      <c r="O138" s="536">
        <v>1.28</v>
      </c>
      <c r="P138" s="536">
        <v>154.0941397</v>
      </c>
      <c r="Q138" s="128">
        <f>791.25/$T$133</f>
        <v>1.9767220215452082E-2</v>
      </c>
      <c r="R138" s="2196"/>
      <c r="S138" s="22"/>
      <c r="T138" s="27"/>
      <c r="V138" s="24"/>
      <c r="W138" s="26"/>
      <c r="X138" s="26"/>
      <c r="Y138" s="41"/>
      <c r="Z138" s="41"/>
      <c r="AA138" s="41"/>
      <c r="AB138" s="846"/>
      <c r="AC138" s="26"/>
      <c r="AD138" s="24"/>
      <c r="AE138" s="26"/>
      <c r="AF138" s="106"/>
      <c r="AG138" s="37"/>
      <c r="AH138" s="957"/>
      <c r="AI138" s="1023"/>
      <c r="AJ138" s="1023"/>
      <c r="AK138" s="1023"/>
      <c r="AL138" s="1023"/>
      <c r="AM138" s="1023"/>
      <c r="AN138" s="1023"/>
      <c r="AO138" s="957"/>
      <c r="AP138" s="957"/>
      <c r="AQ138" s="957"/>
      <c r="AR138" s="957"/>
      <c r="AS138" s="957"/>
      <c r="AT138" s="957"/>
      <c r="AU138" s="957"/>
      <c r="AV138" s="957"/>
      <c r="AW138" s="957"/>
      <c r="AX138" s="957"/>
      <c r="AY138" s="957"/>
      <c r="AZ138" s="957"/>
      <c r="BA138" s="957"/>
      <c r="BB138" s="957"/>
      <c r="BC138" s="957"/>
      <c r="BD138" s="957"/>
      <c r="BE138" s="957"/>
      <c r="BF138" s="957"/>
      <c r="BG138" s="957"/>
    </row>
    <row r="139" spans="1:59">
      <c r="A139" s="2172"/>
      <c r="B139" s="2206"/>
      <c r="C139" s="2144"/>
      <c r="D139" s="348" t="s">
        <v>764</v>
      </c>
      <c r="E139" s="452">
        <v>49</v>
      </c>
      <c r="F139" s="148" t="s">
        <v>15</v>
      </c>
      <c r="G139" s="148" t="s">
        <v>15</v>
      </c>
      <c r="H139" s="367">
        <v>1019.202</v>
      </c>
      <c r="I139" s="368">
        <v>263.63330000000002</v>
      </c>
      <c r="J139" s="234" t="s">
        <v>15</v>
      </c>
      <c r="K139" s="233" t="s">
        <v>15</v>
      </c>
      <c r="L139" s="234" t="s">
        <v>15</v>
      </c>
      <c r="M139" s="233" t="s">
        <v>15</v>
      </c>
      <c r="N139" s="537">
        <v>86.040348600000002</v>
      </c>
      <c r="O139" s="536">
        <v>0.59</v>
      </c>
      <c r="P139" s="536">
        <v>145.45791560000001</v>
      </c>
      <c r="Q139" s="128">
        <f>5846.23/$T$133</f>
        <v>0.14605208952945645</v>
      </c>
      <c r="R139" s="2196"/>
      <c r="S139" s="24"/>
      <c r="T139" s="26"/>
      <c r="V139" s="24"/>
      <c r="W139" s="26"/>
      <c r="X139" s="26"/>
      <c r="Y139" s="41"/>
      <c r="Z139" s="41"/>
      <c r="AA139" s="41"/>
      <c r="AB139" s="846"/>
      <c r="AC139" s="26"/>
      <c r="AD139" s="24"/>
      <c r="AE139" s="26"/>
      <c r="AF139" s="106"/>
      <c r="AG139" s="37"/>
      <c r="AH139" s="957"/>
      <c r="AI139" s="1023"/>
      <c r="AJ139" s="1023"/>
      <c r="AK139" s="1023"/>
      <c r="AL139" s="1023"/>
      <c r="AM139" s="1023"/>
      <c r="AN139" s="1023"/>
      <c r="AO139" s="957"/>
      <c r="AP139" s="957"/>
      <c r="AQ139" s="957"/>
      <c r="AR139" s="957"/>
      <c r="AS139" s="957"/>
      <c r="AT139" s="957"/>
      <c r="AU139" s="957"/>
      <c r="AV139" s="957"/>
      <c r="AW139" s="957"/>
      <c r="AX139" s="957"/>
      <c r="AY139" s="957"/>
      <c r="AZ139" s="957"/>
      <c r="BA139" s="957"/>
      <c r="BB139" s="957"/>
      <c r="BC139" s="957"/>
      <c r="BD139" s="957"/>
      <c r="BE139" s="957"/>
      <c r="BF139" s="957"/>
      <c r="BG139" s="957"/>
    </row>
    <row r="140" spans="1:59">
      <c r="A140" s="2172"/>
      <c r="B140" s="2206"/>
      <c r="C140" s="2144"/>
      <c r="D140" s="348" t="s">
        <v>765</v>
      </c>
      <c r="E140" s="452">
        <v>4</v>
      </c>
      <c r="F140" s="148" t="s">
        <v>15</v>
      </c>
      <c r="G140" s="148" t="s">
        <v>15</v>
      </c>
      <c r="H140" s="367">
        <v>507.43239999999997</v>
      </c>
      <c r="I140" s="368">
        <v>32.796129999999998</v>
      </c>
      <c r="J140" s="234" t="s">
        <v>15</v>
      </c>
      <c r="K140" s="233" t="s">
        <v>15</v>
      </c>
      <c r="L140" s="234" t="s">
        <v>15</v>
      </c>
      <c r="M140" s="233" t="s">
        <v>15</v>
      </c>
      <c r="N140" s="537">
        <v>-1.7296902000000001</v>
      </c>
      <c r="O140" s="536">
        <v>-0.01</v>
      </c>
      <c r="P140" s="536">
        <v>248.41313249999999</v>
      </c>
      <c r="Q140" s="128">
        <f>46/$T$133</f>
        <v>1.1491843663959504E-3</v>
      </c>
      <c r="R140" s="2196"/>
      <c r="S140" s="24"/>
      <c r="T140" s="26"/>
      <c r="V140" s="24"/>
      <c r="W140" s="26"/>
      <c r="X140" s="26"/>
      <c r="Y140" s="41"/>
      <c r="Z140" s="41"/>
      <c r="AA140" s="41"/>
      <c r="AB140" s="846"/>
      <c r="AC140" s="26"/>
      <c r="AD140" s="24"/>
      <c r="AE140" s="26"/>
      <c r="AF140" s="106"/>
      <c r="AG140" s="37"/>
      <c r="AH140" s="957"/>
      <c r="AI140" s="1023"/>
      <c r="AJ140" s="1023"/>
      <c r="AK140" s="1023"/>
      <c r="AL140" s="1023"/>
      <c r="AM140" s="1023"/>
      <c r="AN140" s="1023"/>
      <c r="AO140" s="957"/>
      <c r="AP140" s="957"/>
      <c r="AQ140" s="957"/>
      <c r="AR140" s="957"/>
      <c r="AS140" s="957"/>
      <c r="AT140" s="957"/>
      <c r="AU140" s="957"/>
      <c r="AV140" s="957"/>
      <c r="AW140" s="957"/>
      <c r="AX140" s="957"/>
      <c r="AY140" s="957"/>
      <c r="AZ140" s="957"/>
      <c r="BA140" s="957"/>
      <c r="BB140" s="957"/>
      <c r="BC140" s="957"/>
      <c r="BD140" s="957"/>
      <c r="BE140" s="957"/>
      <c r="BF140" s="957"/>
      <c r="BG140" s="957"/>
    </row>
    <row r="141" spans="1:59">
      <c r="A141" s="2172"/>
      <c r="B141" s="2206"/>
      <c r="C141" s="2144"/>
      <c r="D141" s="348" t="s">
        <v>766</v>
      </c>
      <c r="E141" s="452">
        <v>13</v>
      </c>
      <c r="F141" s="148" t="s">
        <v>15</v>
      </c>
      <c r="G141" s="148" t="s">
        <v>15</v>
      </c>
      <c r="H141" s="367">
        <v>750.60699999999997</v>
      </c>
      <c r="I141" s="368">
        <v>53.689839999999997</v>
      </c>
      <c r="J141" s="234" t="s">
        <v>15</v>
      </c>
      <c r="K141" s="233" t="s">
        <v>15</v>
      </c>
      <c r="L141" s="234" t="s">
        <v>15</v>
      </c>
      <c r="M141" s="233" t="s">
        <v>15</v>
      </c>
      <c r="N141" s="537">
        <v>151.3727844</v>
      </c>
      <c r="O141" s="536">
        <v>2.4300000000000002</v>
      </c>
      <c r="P141" s="536">
        <v>62.256279200000002</v>
      </c>
      <c r="Q141" s="128">
        <f>3228.92/$T$133</f>
        <v>8.0665747485722014E-2</v>
      </c>
      <c r="R141" s="2196"/>
      <c r="S141" s="24"/>
      <c r="T141" s="26"/>
      <c r="V141" s="24"/>
      <c r="W141" s="26"/>
      <c r="X141" s="26"/>
      <c r="Y141" s="41"/>
      <c r="Z141" s="41"/>
      <c r="AA141" s="41"/>
      <c r="AB141" s="846"/>
      <c r="AC141" s="26"/>
      <c r="AD141" s="24"/>
      <c r="AE141" s="26"/>
      <c r="AF141" s="106"/>
      <c r="AG141" s="37"/>
      <c r="AH141" s="957"/>
      <c r="AI141" s="1023"/>
      <c r="AJ141" s="1023"/>
      <c r="AK141" s="1023"/>
      <c r="AL141" s="1023"/>
      <c r="AM141" s="1023"/>
      <c r="AN141" s="1023"/>
      <c r="AO141" s="957"/>
      <c r="AP141" s="957"/>
      <c r="AQ141" s="957"/>
      <c r="AR141" s="957"/>
      <c r="AS141" s="957"/>
      <c r="AT141" s="957"/>
      <c r="AU141" s="957"/>
      <c r="AV141" s="957"/>
      <c r="AW141" s="957"/>
      <c r="AX141" s="957"/>
      <c r="AY141" s="957"/>
      <c r="AZ141" s="957"/>
      <c r="BA141" s="957"/>
      <c r="BB141" s="957"/>
      <c r="BC141" s="957"/>
      <c r="BD141" s="957"/>
      <c r="BE141" s="957"/>
      <c r="BF141" s="957"/>
      <c r="BG141" s="957"/>
    </row>
    <row r="142" spans="1:59">
      <c r="A142" s="2172"/>
      <c r="B142" s="2206"/>
      <c r="C142" s="2144"/>
      <c r="D142" s="348" t="s">
        <v>767</v>
      </c>
      <c r="E142" s="452">
        <v>3</v>
      </c>
      <c r="F142" s="148" t="s">
        <v>15</v>
      </c>
      <c r="G142" s="148" t="s">
        <v>15</v>
      </c>
      <c r="H142" s="367">
        <v>885.98540000000003</v>
      </c>
      <c r="I142" s="368">
        <v>54.583620000000003</v>
      </c>
      <c r="J142" s="234" t="s">
        <v>15</v>
      </c>
      <c r="K142" s="233" t="s">
        <v>15</v>
      </c>
      <c r="L142" s="234" t="s">
        <v>15</v>
      </c>
      <c r="M142" s="233" t="s">
        <v>15</v>
      </c>
      <c r="N142" s="537">
        <v>-227.4518904</v>
      </c>
      <c r="O142" s="536">
        <v>-1.43</v>
      </c>
      <c r="P142" s="536">
        <v>158.8604163</v>
      </c>
      <c r="Q142" s="128">
        <f>544/$T$133</f>
        <v>1.3590354246073849E-2</v>
      </c>
      <c r="R142" s="2196"/>
      <c r="S142" s="24"/>
      <c r="T142" s="26"/>
      <c r="V142" s="24"/>
      <c r="W142" s="26"/>
      <c r="X142" s="26"/>
      <c r="Y142" s="41"/>
      <c r="Z142" s="41"/>
      <c r="AA142" s="41"/>
      <c r="AB142" s="846"/>
      <c r="AC142" s="26"/>
      <c r="AD142" s="24"/>
      <c r="AE142" s="26"/>
      <c r="AF142" s="106"/>
      <c r="AG142" s="37"/>
      <c r="AH142" s="957"/>
      <c r="AI142" s="1023"/>
      <c r="AJ142" s="1023"/>
      <c r="AK142" s="1023"/>
      <c r="AL142" s="1023"/>
      <c r="AM142" s="1023"/>
      <c r="AN142" s="1023"/>
      <c r="AO142" s="957"/>
      <c r="AP142" s="957"/>
      <c r="AQ142" s="957"/>
      <c r="AR142" s="957"/>
      <c r="AS142" s="957"/>
      <c r="AT142" s="957"/>
      <c r="AU142" s="957"/>
      <c r="AV142" s="957"/>
      <c r="AW142" s="957"/>
      <c r="AX142" s="957"/>
      <c r="AY142" s="957"/>
      <c r="AZ142" s="957"/>
      <c r="BA142" s="957"/>
      <c r="BB142" s="957"/>
      <c r="BC142" s="957"/>
      <c r="BD142" s="957"/>
      <c r="BE142" s="957"/>
      <c r="BF142" s="957"/>
      <c r="BG142" s="957"/>
    </row>
    <row r="143" spans="1:59">
      <c r="A143" s="2172"/>
      <c r="B143" s="2206"/>
      <c r="C143" s="2144"/>
      <c r="D143" s="348" t="s">
        <v>768</v>
      </c>
      <c r="E143" s="452">
        <v>5</v>
      </c>
      <c r="F143" s="148" t="s">
        <v>15</v>
      </c>
      <c r="G143" s="148" t="s">
        <v>15</v>
      </c>
      <c r="H143" s="367">
        <v>548.13099999999997</v>
      </c>
      <c r="I143" s="368">
        <v>14.715210000000001</v>
      </c>
      <c r="J143" s="234" t="s">
        <v>15</v>
      </c>
      <c r="K143" s="233" t="s">
        <v>15</v>
      </c>
      <c r="L143" s="234" t="s">
        <v>15</v>
      </c>
      <c r="M143" s="233" t="s">
        <v>15</v>
      </c>
      <c r="N143" s="537">
        <v>0</v>
      </c>
      <c r="O143" s="536" t="s">
        <v>574</v>
      </c>
      <c r="P143" s="536" t="s">
        <v>574</v>
      </c>
      <c r="Q143" s="128">
        <f>4591.02/$T$133</f>
        <v>0.11469409586545951</v>
      </c>
      <c r="R143" s="2155"/>
      <c r="S143" s="24"/>
      <c r="T143" s="26"/>
      <c r="V143" s="24"/>
      <c r="W143" s="26"/>
      <c r="X143" s="26"/>
      <c r="Y143" s="41"/>
      <c r="Z143" s="41"/>
      <c r="AA143" s="41"/>
      <c r="AB143" s="846"/>
      <c r="AC143" s="26"/>
      <c r="AD143" s="24"/>
      <c r="AE143" s="26"/>
      <c r="AF143" s="106"/>
      <c r="AG143" s="37"/>
      <c r="AH143" s="957"/>
      <c r="AI143" s="1023"/>
      <c r="AJ143" s="1023"/>
      <c r="AK143" s="1023"/>
      <c r="AL143" s="1023"/>
      <c r="AM143" s="1023"/>
      <c r="AN143" s="1023"/>
      <c r="AO143" s="957"/>
      <c r="AP143" s="957"/>
      <c r="AQ143" s="957"/>
      <c r="AR143" s="957"/>
      <c r="AS143" s="957"/>
      <c r="AT143" s="957"/>
      <c r="AU143" s="957"/>
      <c r="AV143" s="957"/>
      <c r="AW143" s="957"/>
      <c r="AX143" s="957"/>
      <c r="AY143" s="957"/>
      <c r="AZ143" s="957"/>
      <c r="BA143" s="957"/>
      <c r="BB143" s="957"/>
      <c r="BC143" s="957"/>
      <c r="BD143" s="957"/>
      <c r="BE143" s="957"/>
      <c r="BF143" s="957"/>
      <c r="BG143" s="957"/>
    </row>
    <row r="144" spans="1:59">
      <c r="A144" s="2172"/>
      <c r="B144" s="2206" t="s">
        <v>769</v>
      </c>
      <c r="C144" s="2144" t="s">
        <v>13</v>
      </c>
      <c r="D144" s="348">
        <v>60</v>
      </c>
      <c r="E144" s="452">
        <v>30</v>
      </c>
      <c r="F144" s="148" t="s">
        <v>15</v>
      </c>
      <c r="G144" s="148" t="s">
        <v>15</v>
      </c>
      <c r="H144" s="367">
        <v>683.53610000000003</v>
      </c>
      <c r="I144" s="368">
        <v>130.28020000000001</v>
      </c>
      <c r="J144" s="234" t="s">
        <v>15</v>
      </c>
      <c r="K144" s="233" t="s">
        <v>15</v>
      </c>
      <c r="L144" s="234" t="s">
        <v>15</v>
      </c>
      <c r="M144" s="233" t="s">
        <v>15</v>
      </c>
      <c r="N144" s="537">
        <v>-268.32148740000002</v>
      </c>
      <c r="O144" s="536">
        <v>-4.03</v>
      </c>
      <c r="P144" s="536">
        <v>66.604173000000003</v>
      </c>
      <c r="Q144" s="128">
        <f>2332.76/$T$133</f>
        <v>5.8277637446822121E-2</v>
      </c>
      <c r="R144" s="2130">
        <f>SUMPRODUCT(N144:N146,Q144:Q146)</f>
        <v>-241.08045812613017</v>
      </c>
      <c r="S144" s="24"/>
      <c r="T144" s="26"/>
      <c r="V144" s="24"/>
      <c r="W144" s="26"/>
      <c r="X144" s="26"/>
      <c r="Y144" s="41"/>
      <c r="Z144" s="41"/>
      <c r="AA144" s="41"/>
      <c r="AB144" s="846"/>
      <c r="AC144" s="26"/>
      <c r="AD144" s="24"/>
      <c r="AE144" s="26"/>
      <c r="AF144" s="106"/>
      <c r="AG144" s="37"/>
      <c r="AH144" s="957"/>
      <c r="AI144" s="1023"/>
      <c r="AJ144" s="1023"/>
      <c r="AK144" s="1023"/>
      <c r="AL144" s="1023"/>
      <c r="AM144" s="1023"/>
      <c r="AN144" s="1023"/>
      <c r="AO144" s="957"/>
      <c r="AP144" s="957"/>
      <c r="AQ144" s="957"/>
      <c r="AR144" s="957"/>
      <c r="AS144" s="957"/>
      <c r="AT144" s="957"/>
      <c r="AU144" s="957"/>
      <c r="AV144" s="957"/>
      <c r="AW144" s="957"/>
      <c r="AX144" s="957"/>
      <c r="AY144" s="957"/>
      <c r="AZ144" s="957"/>
      <c r="BA144" s="957"/>
      <c r="BB144" s="957"/>
      <c r="BC144" s="957"/>
      <c r="BD144" s="957"/>
      <c r="BE144" s="957"/>
      <c r="BF144" s="957"/>
      <c r="BG144" s="957"/>
    </row>
    <row r="145" spans="1:59">
      <c r="A145" s="2172"/>
      <c r="B145" s="2206"/>
      <c r="C145" s="2144"/>
      <c r="D145" s="348">
        <v>120</v>
      </c>
      <c r="E145" s="452">
        <v>98</v>
      </c>
      <c r="F145" s="148" t="s">
        <v>15</v>
      </c>
      <c r="G145" s="148" t="s">
        <v>15</v>
      </c>
      <c r="H145" s="367">
        <v>908.37429999999995</v>
      </c>
      <c r="I145" s="368">
        <v>222.1182</v>
      </c>
      <c r="J145" s="234" t="s">
        <v>15</v>
      </c>
      <c r="K145" s="233" t="s">
        <v>15</v>
      </c>
      <c r="L145" s="234" t="s">
        <v>15</v>
      </c>
      <c r="M145" s="233" t="s">
        <v>15</v>
      </c>
      <c r="N145" s="537">
        <v>-274.49358189999998</v>
      </c>
      <c r="O145" s="536">
        <v>-6.84</v>
      </c>
      <c r="P145" s="536">
        <v>40.135316400000001</v>
      </c>
      <c r="Q145" s="128">
        <f>32875.57/$T$133</f>
        <v>0.82130632783381996</v>
      </c>
      <c r="R145" s="2196"/>
      <c r="S145" s="24"/>
      <c r="T145" s="26"/>
      <c r="V145" s="24"/>
      <c r="W145" s="26"/>
      <c r="X145" s="26"/>
      <c r="Y145" s="41"/>
      <c r="Z145" s="41"/>
      <c r="AA145" s="41"/>
      <c r="AB145" s="846"/>
      <c r="AC145" s="26"/>
      <c r="AD145" s="24"/>
      <c r="AE145" s="26"/>
      <c r="AF145" s="106"/>
      <c r="AG145" s="37"/>
      <c r="AH145" s="957"/>
      <c r="AI145" s="1023"/>
      <c r="AJ145" s="1023"/>
      <c r="AK145" s="1023"/>
      <c r="AL145" s="1023"/>
      <c r="AM145" s="1023"/>
      <c r="AN145" s="1023"/>
      <c r="AO145" s="957"/>
      <c r="AP145" s="957"/>
      <c r="AQ145" s="957"/>
      <c r="AR145" s="957"/>
      <c r="AS145" s="957"/>
      <c r="AT145" s="957"/>
      <c r="AU145" s="957"/>
      <c r="AV145" s="957"/>
      <c r="AW145" s="957"/>
      <c r="AX145" s="957"/>
      <c r="AY145" s="957"/>
      <c r="AZ145" s="957"/>
      <c r="BA145" s="957"/>
      <c r="BB145" s="957"/>
      <c r="BC145" s="957"/>
      <c r="BD145" s="957"/>
      <c r="BE145" s="957"/>
      <c r="BF145" s="957"/>
      <c r="BG145" s="957"/>
    </row>
    <row r="146" spans="1:59">
      <c r="A146" s="2172"/>
      <c r="B146" s="2206"/>
      <c r="C146" s="2144"/>
      <c r="D146" s="348">
        <v>240</v>
      </c>
      <c r="E146" s="452">
        <v>42</v>
      </c>
      <c r="F146" s="148" t="s">
        <v>15</v>
      </c>
      <c r="G146" s="148" t="s">
        <v>15</v>
      </c>
      <c r="H146" s="367">
        <v>1357.097</v>
      </c>
      <c r="I146" s="368">
        <v>280.7971</v>
      </c>
      <c r="J146" s="234" t="s">
        <v>15</v>
      </c>
      <c r="K146" s="233" t="s">
        <v>15</v>
      </c>
      <c r="L146" s="234" t="s">
        <v>15</v>
      </c>
      <c r="M146" s="233" t="s">
        <v>15</v>
      </c>
      <c r="N146" s="537">
        <v>0</v>
      </c>
      <c r="O146" s="536" t="s">
        <v>574</v>
      </c>
      <c r="P146" s="536" t="s">
        <v>574</v>
      </c>
      <c r="Q146" s="128">
        <f>4820.06/$T$133</f>
        <v>0.12041603471935795</v>
      </c>
      <c r="R146" s="2196"/>
      <c r="S146" s="24"/>
      <c r="T146" s="26"/>
      <c r="V146" s="24"/>
      <c r="W146" s="26"/>
      <c r="X146" s="26"/>
      <c r="Y146" s="41"/>
      <c r="Z146" s="41"/>
      <c r="AA146" s="41"/>
      <c r="AB146" s="846"/>
      <c r="AC146" s="26"/>
      <c r="AD146" s="24"/>
      <c r="AE146" s="26"/>
      <c r="AF146" s="106"/>
      <c r="AG146" s="37"/>
      <c r="AH146" s="957"/>
      <c r="AI146" s="1023"/>
      <c r="AJ146" s="1023"/>
      <c r="AK146" s="1023"/>
      <c r="AL146" s="1023"/>
      <c r="AM146" s="1023"/>
      <c r="AN146" s="1023"/>
      <c r="AO146" s="957"/>
      <c r="AP146" s="957"/>
      <c r="AQ146" s="957"/>
      <c r="AR146" s="957"/>
      <c r="AS146" s="957"/>
      <c r="AT146" s="957"/>
      <c r="AU146" s="957"/>
      <c r="AV146" s="957"/>
      <c r="AW146" s="957"/>
      <c r="AX146" s="957"/>
      <c r="AY146" s="957"/>
      <c r="AZ146" s="957"/>
      <c r="BA146" s="957"/>
      <c r="BB146" s="957"/>
      <c r="BC146" s="957"/>
      <c r="BD146" s="957"/>
      <c r="BE146" s="957"/>
      <c r="BF146" s="957"/>
      <c r="BG146" s="957"/>
    </row>
    <row r="147" spans="1:59">
      <c r="A147" s="2172"/>
      <c r="B147" s="2206" t="s">
        <v>770</v>
      </c>
      <c r="C147" s="2144" t="s">
        <v>13</v>
      </c>
      <c r="D147" s="348" t="s">
        <v>771</v>
      </c>
      <c r="E147" s="452">
        <v>107</v>
      </c>
      <c r="F147" s="148" t="s">
        <v>15</v>
      </c>
      <c r="G147" s="148" t="s">
        <v>15</v>
      </c>
      <c r="H147" s="367">
        <v>756.25229999999999</v>
      </c>
      <c r="I147" s="368">
        <v>172.7046</v>
      </c>
      <c r="J147" s="234" t="s">
        <v>15</v>
      </c>
      <c r="K147" s="233" t="s">
        <v>15</v>
      </c>
      <c r="L147" s="234" t="s">
        <v>15</v>
      </c>
      <c r="M147" s="233" t="s">
        <v>15</v>
      </c>
      <c r="N147" s="537">
        <v>-193.84386720000001</v>
      </c>
      <c r="O147" s="536">
        <v>-4.67</v>
      </c>
      <c r="P147" s="536">
        <v>41.5038014</v>
      </c>
      <c r="Q147" s="128">
        <f>21087.13/$T$133</f>
        <v>0.52680435061215303</v>
      </c>
      <c r="R147" s="2130">
        <f>SUMPRODUCT(N147:N148,Q147:Q148)</f>
        <v>-102.11779258044443</v>
      </c>
      <c r="S147" s="24"/>
      <c r="T147" s="26"/>
      <c r="V147" s="24"/>
      <c r="W147" s="26"/>
      <c r="X147" s="26"/>
      <c r="Y147" s="41"/>
      <c r="Z147" s="41"/>
      <c r="AA147" s="41"/>
      <c r="AB147" s="846"/>
      <c r="AC147" s="26"/>
      <c r="AD147" s="24"/>
      <c r="AE147" s="26"/>
      <c r="AF147" s="106"/>
      <c r="AG147" s="37"/>
      <c r="AH147" s="957"/>
      <c r="AI147" s="1023"/>
      <c r="AJ147" s="1023"/>
      <c r="AK147" s="1023"/>
      <c r="AL147" s="1023"/>
      <c r="AM147" s="1023"/>
      <c r="AN147" s="1023"/>
      <c r="AO147" s="957"/>
      <c r="AP147" s="957"/>
      <c r="AQ147" s="957"/>
      <c r="AR147" s="957"/>
      <c r="AS147" s="957"/>
      <c r="AT147" s="957"/>
      <c r="AU147" s="957"/>
      <c r="AV147" s="957"/>
      <c r="AW147" s="957"/>
      <c r="AX147" s="957"/>
      <c r="AY147" s="957"/>
      <c r="AZ147" s="957"/>
      <c r="BA147" s="957"/>
      <c r="BB147" s="957"/>
      <c r="BC147" s="957"/>
      <c r="BD147" s="957"/>
      <c r="BE147" s="957"/>
      <c r="BF147" s="957"/>
      <c r="BG147" s="957"/>
    </row>
    <row r="148" spans="1:59">
      <c r="A148" s="2172"/>
      <c r="B148" s="2206"/>
      <c r="C148" s="2144"/>
      <c r="D148" s="348" t="s">
        <v>772</v>
      </c>
      <c r="E148" s="452">
        <v>63</v>
      </c>
      <c r="F148" s="148" t="s">
        <v>15</v>
      </c>
      <c r="G148" s="148" t="s">
        <v>15</v>
      </c>
      <c r="H148" s="367">
        <v>1164.2280000000001</v>
      </c>
      <c r="I148" s="368">
        <v>202.0421</v>
      </c>
      <c r="J148" s="234" t="s">
        <v>15</v>
      </c>
      <c r="K148" s="233" t="s">
        <v>15</v>
      </c>
      <c r="L148" s="234" t="s">
        <v>15</v>
      </c>
      <c r="M148" s="233" t="s">
        <v>15</v>
      </c>
      <c r="N148" s="537">
        <v>0</v>
      </c>
      <c r="O148" s="536" t="s">
        <v>574</v>
      </c>
      <c r="P148" s="536" t="s">
        <v>574</v>
      </c>
      <c r="Q148" s="128">
        <f>18941.26/$T$133</f>
        <v>0.47319564938784692</v>
      </c>
      <c r="R148" s="2155"/>
      <c r="S148" s="24"/>
      <c r="T148" s="26"/>
      <c r="V148" s="24"/>
      <c r="W148" s="26"/>
      <c r="X148" s="26"/>
      <c r="Y148" s="41"/>
      <c r="Z148" s="41"/>
      <c r="AA148" s="41"/>
      <c r="AB148" s="846"/>
      <c r="AC148" s="26"/>
      <c r="AD148" s="24"/>
      <c r="AE148" s="26"/>
      <c r="AF148" s="106"/>
      <c r="AG148" s="37"/>
      <c r="AH148" s="957"/>
      <c r="AI148" s="1023"/>
      <c r="AJ148" s="1023"/>
      <c r="AK148" s="1023"/>
      <c r="AL148" s="1023"/>
      <c r="AM148" s="1023"/>
      <c r="AN148" s="1023"/>
      <c r="AO148" s="957"/>
      <c r="AP148" s="957"/>
      <c r="AQ148" s="957"/>
      <c r="AR148" s="957"/>
      <c r="AS148" s="957"/>
      <c r="AT148" s="957"/>
      <c r="AU148" s="957"/>
      <c r="AV148" s="957"/>
      <c r="AW148" s="957"/>
      <c r="AX148" s="957"/>
      <c r="AY148" s="957"/>
      <c r="AZ148" s="957"/>
      <c r="BA148" s="957"/>
      <c r="BB148" s="957"/>
      <c r="BC148" s="957"/>
      <c r="BD148" s="957"/>
      <c r="BE148" s="957"/>
      <c r="BF148" s="957"/>
      <c r="BG148" s="957"/>
    </row>
    <row r="149" spans="1:59">
      <c r="A149" s="2172"/>
      <c r="B149" s="2207" t="s">
        <v>773</v>
      </c>
      <c r="C149" s="2360" t="s">
        <v>13</v>
      </c>
      <c r="D149" s="338" t="s">
        <v>774</v>
      </c>
      <c r="E149" s="452">
        <v>42</v>
      </c>
      <c r="F149" s="148" t="s">
        <v>15</v>
      </c>
      <c r="G149" s="148" t="s">
        <v>15</v>
      </c>
      <c r="H149" s="367">
        <v>617.97900000000004</v>
      </c>
      <c r="I149" s="368">
        <v>95.081999999999994</v>
      </c>
      <c r="J149" s="234" t="s">
        <v>15</v>
      </c>
      <c r="K149" s="233" t="s">
        <v>15</v>
      </c>
      <c r="L149" s="234" t="s">
        <v>15</v>
      </c>
      <c r="M149" s="233" t="s">
        <v>15</v>
      </c>
      <c r="N149" s="537">
        <v>0</v>
      </c>
      <c r="O149" s="536" t="s">
        <v>574</v>
      </c>
      <c r="P149" s="536" t="s">
        <v>574</v>
      </c>
      <c r="Q149" s="128">
        <f>10556.86/$T$133</f>
        <v>0.26373431457023377</v>
      </c>
      <c r="R149" s="2130">
        <f>SUMPRODUCT(N149:N152,Q149:Q152)</f>
        <v>38.441703049712395</v>
      </c>
      <c r="S149" s="24"/>
      <c r="T149" s="26"/>
      <c r="V149" s="24"/>
      <c r="W149" s="26"/>
      <c r="X149" s="26"/>
      <c r="Y149" s="41"/>
      <c r="Z149" s="41"/>
      <c r="AA149" s="41"/>
      <c r="AB149" s="846"/>
      <c r="AC149" s="26"/>
      <c r="AD149" s="24"/>
      <c r="AE149" s="26"/>
      <c r="AF149" s="106"/>
      <c r="AG149" s="37"/>
      <c r="AH149" s="957"/>
      <c r="AI149" s="1023"/>
      <c r="AJ149" s="1023"/>
      <c r="AK149" s="1023"/>
      <c r="AL149" s="1023"/>
      <c r="AM149" s="1023"/>
      <c r="AN149" s="1023"/>
      <c r="AO149" s="957"/>
      <c r="AP149" s="957"/>
      <c r="AQ149" s="957"/>
      <c r="AR149" s="957"/>
      <c r="AS149" s="957"/>
      <c r="AT149" s="957"/>
      <c r="AU149" s="957"/>
      <c r="AV149" s="957"/>
      <c r="AW149" s="957"/>
      <c r="AX149" s="957"/>
      <c r="AY149" s="957"/>
      <c r="AZ149" s="957"/>
      <c r="BA149" s="957"/>
      <c r="BB149" s="957"/>
      <c r="BC149" s="957"/>
      <c r="BD149" s="957"/>
      <c r="BE149" s="957"/>
      <c r="BF149" s="957"/>
      <c r="BG149" s="957"/>
    </row>
    <row r="150" spans="1:59">
      <c r="A150" s="2172"/>
      <c r="B150" s="2208"/>
      <c r="C150" s="2361"/>
      <c r="D150" s="338" t="s">
        <v>775</v>
      </c>
      <c r="E150" s="452">
        <v>65</v>
      </c>
      <c r="F150" s="148" t="s">
        <v>15</v>
      </c>
      <c r="G150" s="148" t="s">
        <v>15</v>
      </c>
      <c r="H150" s="367">
        <v>1005.638</v>
      </c>
      <c r="I150" s="368">
        <v>155.68969999999999</v>
      </c>
      <c r="J150" s="234" t="s">
        <v>15</v>
      </c>
      <c r="K150" s="233" t="s">
        <v>15</v>
      </c>
      <c r="L150" s="234" t="s">
        <v>15</v>
      </c>
      <c r="M150" s="233" t="s">
        <v>15</v>
      </c>
      <c r="N150" s="537">
        <v>55.261018900000003</v>
      </c>
      <c r="O150" s="536">
        <v>0.19</v>
      </c>
      <c r="P150" s="536">
        <v>294.96583959999998</v>
      </c>
      <c r="Q150" s="128">
        <f>12744.99/$T$133</f>
        <v>0.31839876647549403</v>
      </c>
      <c r="R150" s="2196"/>
      <c r="S150" s="24"/>
      <c r="T150" s="26"/>
      <c r="V150" s="24"/>
      <c r="W150" s="26"/>
      <c r="X150" s="26"/>
      <c r="Y150" s="41"/>
      <c r="Z150" s="41"/>
      <c r="AA150" s="41"/>
      <c r="AB150" s="846"/>
      <c r="AC150" s="26"/>
      <c r="AD150" s="24"/>
      <c r="AE150" s="26"/>
      <c r="AF150" s="106"/>
      <c r="AG150" s="37"/>
      <c r="AH150" s="957"/>
      <c r="AI150" s="1023"/>
      <c r="AJ150" s="1023"/>
      <c r="AK150" s="1023"/>
      <c r="AL150" s="1023"/>
      <c r="AM150" s="1023"/>
      <c r="AN150" s="1023"/>
      <c r="AO150" s="957"/>
      <c r="AP150" s="957"/>
      <c r="AQ150" s="957"/>
      <c r="AR150" s="957"/>
      <c r="AS150" s="957"/>
      <c r="AT150" s="957"/>
      <c r="AU150" s="957"/>
      <c r="AV150" s="957"/>
      <c r="AW150" s="957"/>
      <c r="AX150" s="957"/>
      <c r="AY150" s="957"/>
      <c r="AZ150" s="957"/>
      <c r="BA150" s="957"/>
      <c r="BB150" s="957"/>
      <c r="BC150" s="957"/>
      <c r="BD150" s="957"/>
      <c r="BE150" s="957"/>
      <c r="BF150" s="957"/>
      <c r="BG150" s="957"/>
    </row>
    <row r="151" spans="1:59">
      <c r="A151" s="2172"/>
      <c r="B151" s="2208"/>
      <c r="C151" s="2361"/>
      <c r="D151" s="338" t="s">
        <v>776</v>
      </c>
      <c r="E151" s="452">
        <v>61</v>
      </c>
      <c r="F151" s="148" t="s">
        <v>15</v>
      </c>
      <c r="G151" s="148" t="s">
        <v>15</v>
      </c>
      <c r="H151" s="367">
        <v>1115.6859999999999</v>
      </c>
      <c r="I151" s="368">
        <v>244.01060000000001</v>
      </c>
      <c r="J151" s="234" t="s">
        <v>15</v>
      </c>
      <c r="K151" s="233" t="s">
        <v>15</v>
      </c>
      <c r="L151" s="234" t="s">
        <v>15</v>
      </c>
      <c r="M151" s="233" t="s">
        <v>15</v>
      </c>
      <c r="N151" s="537">
        <v>49.969717899999999</v>
      </c>
      <c r="O151" s="536">
        <v>0.17</v>
      </c>
      <c r="P151" s="536">
        <v>301.30593190000002</v>
      </c>
      <c r="Q151" s="128">
        <f>16720.39/$T$133</f>
        <v>0.41771327800093883</v>
      </c>
      <c r="R151" s="2196"/>
      <c r="S151" s="24"/>
      <c r="T151" s="26"/>
      <c r="V151" s="24"/>
      <c r="W151" s="26"/>
      <c r="X151" s="26"/>
      <c r="Y151" s="41"/>
      <c r="Z151" s="41"/>
      <c r="AA151" s="41"/>
      <c r="AB151" s="846"/>
      <c r="AC151" s="26"/>
      <c r="AD151" s="24"/>
      <c r="AE151" s="26"/>
      <c r="AF151" s="106"/>
      <c r="AG151" s="37"/>
      <c r="AH151" s="957"/>
      <c r="AI151" s="1023"/>
      <c r="AJ151" s="1023"/>
      <c r="AK151" s="1023"/>
      <c r="AL151" s="1023"/>
      <c r="AM151" s="1023"/>
      <c r="AN151" s="1023"/>
      <c r="AO151" s="957"/>
      <c r="AP151" s="957"/>
      <c r="AQ151" s="957"/>
      <c r="AR151" s="957"/>
      <c r="AS151" s="957"/>
      <c r="AT151" s="957"/>
      <c r="AU151" s="957"/>
      <c r="AV151" s="957"/>
      <c r="AW151" s="957"/>
      <c r="AX151" s="957"/>
      <c r="AY151" s="957"/>
      <c r="AZ151" s="957"/>
      <c r="BA151" s="957"/>
      <c r="BB151" s="957"/>
      <c r="BC151" s="957"/>
      <c r="BD151" s="957"/>
      <c r="BE151" s="957"/>
      <c r="BF151" s="957"/>
      <c r="BG151" s="957"/>
    </row>
    <row r="152" spans="1:59">
      <c r="A152" s="2172"/>
      <c r="B152" s="2209"/>
      <c r="C152" s="2362"/>
      <c r="D152" s="338" t="s">
        <v>777</v>
      </c>
      <c r="E152" s="452">
        <v>2</v>
      </c>
      <c r="F152" s="148" t="s">
        <v>15</v>
      </c>
      <c r="G152" s="148" t="s">
        <v>15</v>
      </c>
      <c r="H152" s="367">
        <v>598.3252</v>
      </c>
      <c r="I152" s="368">
        <v>138.19900000000001</v>
      </c>
      <c r="J152" s="234" t="s">
        <v>15</v>
      </c>
      <c r="K152" s="233" t="s">
        <v>15</v>
      </c>
      <c r="L152" s="234" t="s">
        <v>15</v>
      </c>
      <c r="M152" s="233" t="s">
        <v>15</v>
      </c>
      <c r="N152" s="537">
        <v>-171.5159041</v>
      </c>
      <c r="O152" s="536">
        <v>-0.26</v>
      </c>
      <c r="P152" s="536">
        <v>664.31579910000005</v>
      </c>
      <c r="Q152" s="128">
        <f>6.15/$T$133</f>
        <v>1.5364095333337166E-4</v>
      </c>
      <c r="R152" s="2155"/>
      <c r="S152" s="24"/>
      <c r="T152" s="26"/>
      <c r="V152" s="24"/>
      <c r="W152" s="26"/>
      <c r="X152" s="26"/>
      <c r="Y152" s="41"/>
      <c r="Z152" s="41"/>
      <c r="AA152" s="41"/>
      <c r="AB152" s="846"/>
      <c r="AC152" s="26"/>
      <c r="AD152" s="24"/>
      <c r="AE152" s="26"/>
      <c r="AF152" s="106"/>
      <c r="AG152" s="37"/>
      <c r="AH152" s="957"/>
      <c r="AI152" s="1023"/>
      <c r="AJ152" s="1023"/>
      <c r="AK152" s="1023"/>
      <c r="AL152" s="1023"/>
      <c r="AM152" s="1023"/>
      <c r="AN152" s="1023"/>
      <c r="AO152" s="957"/>
      <c r="AP152" s="957"/>
      <c r="AQ152" s="957"/>
      <c r="AR152" s="957"/>
      <c r="AS152" s="957"/>
      <c r="AT152" s="957"/>
      <c r="AU152" s="957"/>
      <c r="AV152" s="957"/>
      <c r="AW152" s="957"/>
      <c r="AX152" s="957"/>
      <c r="AY152" s="957"/>
      <c r="AZ152" s="957"/>
      <c r="BA152" s="957"/>
      <c r="BB152" s="957"/>
      <c r="BC152" s="957"/>
      <c r="BD152" s="957"/>
      <c r="BE152" s="957"/>
      <c r="BF152" s="957"/>
      <c r="BG152" s="957"/>
    </row>
    <row r="153" spans="1:59">
      <c r="A153" s="2172"/>
      <c r="B153" s="2206" t="s">
        <v>785</v>
      </c>
      <c r="C153" s="2205" t="s">
        <v>11</v>
      </c>
      <c r="D153" s="338" t="s">
        <v>33</v>
      </c>
      <c r="E153" s="452">
        <v>75</v>
      </c>
      <c r="F153" s="148" t="s">
        <v>15</v>
      </c>
      <c r="G153" s="148" t="s">
        <v>15</v>
      </c>
      <c r="H153" s="367">
        <v>1178.518</v>
      </c>
      <c r="I153" s="368">
        <v>235.9067</v>
      </c>
      <c r="J153" s="234" t="s">
        <v>15</v>
      </c>
      <c r="K153" s="233" t="s">
        <v>15</v>
      </c>
      <c r="L153" s="234" t="s">
        <v>15</v>
      </c>
      <c r="M153" s="233" t="s">
        <v>15</v>
      </c>
      <c r="N153" s="537">
        <v>37.8797359</v>
      </c>
      <c r="O153" s="536">
        <v>0.97</v>
      </c>
      <c r="P153" s="536">
        <v>39.1014987</v>
      </c>
      <c r="Q153" s="128">
        <f>13248.1/$T$133</f>
        <v>0.33096759574891721</v>
      </c>
      <c r="R153" s="2130">
        <f>SUMPRODUCT(N153:N154,Q153:Q154)</f>
        <v>12.536965118426947</v>
      </c>
      <c r="S153" s="24"/>
      <c r="T153" s="26"/>
      <c r="V153" s="24"/>
      <c r="W153" s="26"/>
      <c r="X153" s="26"/>
      <c r="Y153" s="41"/>
      <c r="Z153" s="41"/>
      <c r="AA153" s="41"/>
      <c r="AB153" s="846"/>
      <c r="AC153" s="26"/>
      <c r="AD153" s="24"/>
      <c r="AE153" s="26"/>
      <c r="AF153" s="106"/>
      <c r="AG153" s="37"/>
      <c r="AH153" s="957"/>
      <c r="AI153" s="1023"/>
      <c r="AJ153" s="1023"/>
      <c r="AK153" s="1023"/>
      <c r="AL153" s="1023"/>
      <c r="AM153" s="1023"/>
      <c r="AN153" s="1023"/>
      <c r="AO153" s="957"/>
      <c r="AP153" s="957"/>
      <c r="AQ153" s="957"/>
      <c r="AR153" s="957"/>
      <c r="AS153" s="957"/>
      <c r="AT153" s="957"/>
      <c r="AU153" s="957"/>
      <c r="AV153" s="957"/>
      <c r="AW153" s="957"/>
      <c r="AX153" s="957"/>
      <c r="AY153" s="957"/>
      <c r="AZ153" s="957"/>
      <c r="BA153" s="957"/>
      <c r="BB153" s="957"/>
      <c r="BC153" s="957"/>
      <c r="BD153" s="957"/>
      <c r="BE153" s="957"/>
      <c r="BF153" s="957"/>
      <c r="BG153" s="957"/>
    </row>
    <row r="154" spans="1:59">
      <c r="A154" s="2172"/>
      <c r="B154" s="2206"/>
      <c r="C154" s="2205"/>
      <c r="D154" s="338" t="s">
        <v>32</v>
      </c>
      <c r="E154" s="452">
        <v>95</v>
      </c>
      <c r="F154" s="148" t="s">
        <v>15</v>
      </c>
      <c r="G154" s="148" t="s">
        <v>15</v>
      </c>
      <c r="H154" s="367">
        <v>835.91399999999999</v>
      </c>
      <c r="I154" s="368">
        <v>219.08080000000001</v>
      </c>
      <c r="J154" s="234" t="s">
        <v>15</v>
      </c>
      <c r="K154" s="233" t="s">
        <v>15</v>
      </c>
      <c r="L154" s="234" t="s">
        <v>15</v>
      </c>
      <c r="M154" s="233" t="s">
        <v>15</v>
      </c>
      <c r="N154" s="537">
        <v>0</v>
      </c>
      <c r="O154" s="536" t="s">
        <v>574</v>
      </c>
      <c r="P154" s="536" t="s">
        <v>574</v>
      </c>
      <c r="Q154" s="128">
        <f>26780.29/$T$133</f>
        <v>0.66903240425108279</v>
      </c>
      <c r="R154" s="2155"/>
      <c r="S154" s="24"/>
      <c r="T154" s="26"/>
      <c r="V154" s="24"/>
      <c r="W154" s="26"/>
      <c r="X154" s="26"/>
      <c r="Y154" s="41"/>
      <c r="Z154" s="41"/>
      <c r="AA154" s="41"/>
      <c r="AB154" s="846"/>
      <c r="AC154" s="26"/>
      <c r="AD154" s="24"/>
      <c r="AE154" s="26"/>
      <c r="AF154" s="106"/>
      <c r="AG154" s="37"/>
      <c r="AH154" s="957"/>
      <c r="AI154" s="1023"/>
      <c r="AJ154" s="1023"/>
      <c r="AK154" s="1023"/>
      <c r="AL154" s="1023"/>
      <c r="AM154" s="1023"/>
      <c r="AN154" s="1023"/>
      <c r="AO154" s="957"/>
      <c r="AP154" s="957"/>
      <c r="AQ154" s="957"/>
      <c r="AR154" s="957"/>
      <c r="AS154" s="957"/>
      <c r="AT154" s="957"/>
      <c r="AU154" s="957"/>
      <c r="AV154" s="957"/>
      <c r="AW154" s="957"/>
      <c r="AX154" s="957"/>
      <c r="AY154" s="957"/>
      <c r="AZ154" s="957"/>
      <c r="BA154" s="957"/>
      <c r="BB154" s="957"/>
      <c r="BC154" s="957"/>
      <c r="BD154" s="957"/>
      <c r="BE154" s="957"/>
      <c r="BF154" s="957"/>
      <c r="BG154" s="957"/>
    </row>
    <row r="155" spans="1:59">
      <c r="A155" s="2172"/>
      <c r="B155" s="2206" t="s">
        <v>786</v>
      </c>
      <c r="C155" s="2205" t="s">
        <v>11</v>
      </c>
      <c r="D155" s="338" t="s">
        <v>33</v>
      </c>
      <c r="E155" s="452">
        <v>162</v>
      </c>
      <c r="F155" s="148" t="s">
        <v>15</v>
      </c>
      <c r="G155" s="148" t="s">
        <v>15</v>
      </c>
      <c r="H155" s="367">
        <v>948.50660000000005</v>
      </c>
      <c r="I155" s="368">
        <v>276.5256</v>
      </c>
      <c r="J155" s="234" t="s">
        <v>15</v>
      </c>
      <c r="K155" s="233" t="s">
        <v>15</v>
      </c>
      <c r="L155" s="234" t="s">
        <v>15</v>
      </c>
      <c r="M155" s="233" t="s">
        <v>15</v>
      </c>
      <c r="N155" s="537">
        <v>209.82738130000001</v>
      </c>
      <c r="O155" s="536">
        <v>1.42</v>
      </c>
      <c r="P155" s="536">
        <v>147.42121760000001</v>
      </c>
      <c r="Q155" s="128">
        <f>39904/$T$133</f>
        <v>0.99689245557965234</v>
      </c>
      <c r="R155" s="2130">
        <f>SUMPRODUCT(N155:N156,Q155:Q156)</f>
        <v>209.17533339200503</v>
      </c>
      <c r="S155" s="24"/>
      <c r="T155" s="26"/>
      <c r="V155" s="24"/>
      <c r="W155" s="26"/>
      <c r="X155" s="26"/>
      <c r="Y155" s="41"/>
      <c r="Z155" s="41"/>
      <c r="AA155" s="41"/>
      <c r="AB155" s="846"/>
      <c r="AC155" s="26"/>
      <c r="AD155" s="24"/>
      <c r="AE155" s="26"/>
      <c r="AF155" s="106"/>
      <c r="AG155" s="37"/>
      <c r="AH155" s="957"/>
      <c r="AI155" s="1023"/>
      <c r="AJ155" s="1023"/>
      <c r="AK155" s="1023"/>
      <c r="AL155" s="1023"/>
      <c r="AM155" s="1023"/>
      <c r="AN155" s="1023"/>
      <c r="AO155" s="957"/>
      <c r="AP155" s="957"/>
      <c r="AQ155" s="957"/>
      <c r="AR155" s="957"/>
      <c r="AS155" s="957"/>
      <c r="AT155" s="957"/>
      <c r="AU155" s="957"/>
      <c r="AV155" s="957"/>
      <c r="AW155" s="957"/>
      <c r="AX155" s="957"/>
      <c r="AY155" s="957"/>
      <c r="AZ155" s="957"/>
      <c r="BA155" s="957"/>
      <c r="BB155" s="957"/>
      <c r="BC155" s="957"/>
      <c r="BD155" s="957"/>
      <c r="BE155" s="957"/>
      <c r="BF155" s="957"/>
      <c r="BG155" s="957"/>
    </row>
    <row r="156" spans="1:59">
      <c r="A156" s="2172"/>
      <c r="B156" s="2206"/>
      <c r="C156" s="2205"/>
      <c r="D156" s="338" t="s">
        <v>32</v>
      </c>
      <c r="E156" s="452">
        <v>8</v>
      </c>
      <c r="F156" s="148" t="s">
        <v>15</v>
      </c>
      <c r="G156" s="148" t="s">
        <v>15</v>
      </c>
      <c r="H156" s="367">
        <v>1205.5329999999999</v>
      </c>
      <c r="I156" s="368">
        <v>167.66220000000001</v>
      </c>
      <c r="J156" s="234" t="s">
        <v>15</v>
      </c>
      <c r="K156" s="233" t="s">
        <v>15</v>
      </c>
      <c r="L156" s="234" t="s">
        <v>15</v>
      </c>
      <c r="M156" s="233" t="s">
        <v>15</v>
      </c>
      <c r="N156" s="537">
        <v>0</v>
      </c>
      <c r="O156" s="536" t="s">
        <v>574</v>
      </c>
      <c r="P156" s="536" t="s">
        <v>574</v>
      </c>
      <c r="Q156" s="128">
        <f>124.389999999999/$T$133</f>
        <v>3.1075444203476333E-3</v>
      </c>
      <c r="R156" s="2155"/>
      <c r="S156" s="24"/>
      <c r="T156" s="26"/>
      <c r="V156" s="24"/>
      <c r="W156" s="26"/>
      <c r="X156" s="26"/>
      <c r="Y156" s="41"/>
      <c r="Z156" s="41"/>
      <c r="AA156" s="41"/>
      <c r="AB156" s="846"/>
      <c r="AC156" s="26"/>
      <c r="AD156" s="24"/>
      <c r="AE156" s="26"/>
      <c r="AF156" s="106"/>
      <c r="AG156" s="37"/>
      <c r="AH156" s="957"/>
      <c r="AI156" s="1023"/>
      <c r="AJ156" s="1023"/>
      <c r="AK156" s="1023"/>
      <c r="AL156" s="1023"/>
      <c r="AM156" s="1023"/>
      <c r="AN156" s="1023"/>
      <c r="AO156" s="957"/>
      <c r="AP156" s="957"/>
      <c r="AQ156" s="957"/>
      <c r="AR156" s="957"/>
      <c r="AS156" s="957"/>
      <c r="AT156" s="957"/>
      <c r="AU156" s="957"/>
      <c r="AV156" s="957"/>
      <c r="AW156" s="957"/>
      <c r="AX156" s="957"/>
      <c r="AY156" s="957"/>
      <c r="AZ156" s="957"/>
      <c r="BA156" s="957"/>
      <c r="BB156" s="957"/>
      <c r="BC156" s="957"/>
      <c r="BD156" s="957"/>
      <c r="BE156" s="957"/>
      <c r="BF156" s="957"/>
      <c r="BG156" s="957"/>
    </row>
    <row r="157" spans="1:59">
      <c r="A157" s="2172"/>
      <c r="B157" s="2206" t="s">
        <v>787</v>
      </c>
      <c r="C157" s="2205" t="s">
        <v>11</v>
      </c>
      <c r="D157" s="338" t="s">
        <v>33</v>
      </c>
      <c r="E157" s="452">
        <v>119</v>
      </c>
      <c r="F157" s="148" t="s">
        <v>15</v>
      </c>
      <c r="G157" s="148" t="s">
        <v>15</v>
      </c>
      <c r="H157" s="367">
        <v>1068.431</v>
      </c>
      <c r="I157" s="368">
        <v>217.1771</v>
      </c>
      <c r="J157" s="234" t="s">
        <v>15</v>
      </c>
      <c r="K157" s="233" t="s">
        <v>15</v>
      </c>
      <c r="L157" s="234" t="s">
        <v>15</v>
      </c>
      <c r="M157" s="233" t="s">
        <v>15</v>
      </c>
      <c r="N157" s="537">
        <v>46.801184800000001</v>
      </c>
      <c r="O157" s="536">
        <v>0.18</v>
      </c>
      <c r="P157" s="536">
        <v>258.57912809999999</v>
      </c>
      <c r="Q157" s="128">
        <f>29429.14/$T$133</f>
        <v>0.73520668705386349</v>
      </c>
      <c r="R157" s="2130">
        <f>SUMPRODUCT(N157:N158,Q157:Q158)</f>
        <v>34.408544027003636</v>
      </c>
      <c r="S157" s="24"/>
      <c r="T157" s="26"/>
      <c r="V157" s="24"/>
      <c r="W157" s="26"/>
      <c r="X157" s="26"/>
      <c r="Y157" s="41"/>
      <c r="Z157" s="41"/>
      <c r="AA157" s="41"/>
      <c r="AB157" s="846"/>
      <c r="AC157" s="26"/>
      <c r="AD157" s="24"/>
      <c r="AE157" s="26"/>
      <c r="AF157" s="106"/>
      <c r="AG157" s="37"/>
      <c r="AH157" s="957"/>
      <c r="AI157" s="1023"/>
      <c r="AJ157" s="1023"/>
      <c r="AK157" s="1023"/>
      <c r="AL157" s="1023"/>
      <c r="AM157" s="1023"/>
      <c r="AN157" s="1023"/>
      <c r="AO157" s="957"/>
      <c r="AP157" s="957"/>
      <c r="AQ157" s="957"/>
      <c r="AR157" s="957"/>
      <c r="AS157" s="957"/>
      <c r="AT157" s="957"/>
      <c r="AU157" s="957"/>
      <c r="AV157" s="957"/>
      <c r="AW157" s="957"/>
      <c r="AX157" s="957"/>
      <c r="AY157" s="957"/>
      <c r="AZ157" s="957"/>
      <c r="BA157" s="957"/>
      <c r="BB157" s="957"/>
      <c r="BC157" s="957"/>
      <c r="BD157" s="957"/>
      <c r="BE157" s="957"/>
      <c r="BF157" s="957"/>
      <c r="BG157" s="957"/>
    </row>
    <row r="158" spans="1:59">
      <c r="A158" s="2172"/>
      <c r="B158" s="2206"/>
      <c r="C158" s="2205"/>
      <c r="D158" s="338" t="s">
        <v>32</v>
      </c>
      <c r="E158" s="452">
        <v>51</v>
      </c>
      <c r="F158" s="148" t="s">
        <v>15</v>
      </c>
      <c r="G158" s="148" t="s">
        <v>15</v>
      </c>
      <c r="H158" s="367">
        <v>618.54570000000001</v>
      </c>
      <c r="I158" s="368">
        <v>96.029499999999999</v>
      </c>
      <c r="J158" s="234" t="s">
        <v>15</v>
      </c>
      <c r="K158" s="233" t="s">
        <v>15</v>
      </c>
      <c r="L158" s="234" t="s">
        <v>15</v>
      </c>
      <c r="M158" s="233" t="s">
        <v>15</v>
      </c>
      <c r="N158" s="537">
        <v>0</v>
      </c>
      <c r="O158" s="536" t="s">
        <v>574</v>
      </c>
      <c r="P158" s="536" t="s">
        <v>574</v>
      </c>
      <c r="Q158" s="128">
        <f>10599.25/$T$133</f>
        <v>0.26479331294613651</v>
      </c>
      <c r="R158" s="2155"/>
      <c r="S158" s="24"/>
      <c r="T158" s="26"/>
      <c r="V158" s="24"/>
      <c r="W158" s="26"/>
      <c r="X158" s="26"/>
      <c r="Y158" s="41"/>
      <c r="Z158" s="41"/>
      <c r="AA158" s="41"/>
      <c r="AB158" s="846"/>
      <c r="AC158" s="26"/>
      <c r="AD158" s="24"/>
      <c r="AE158" s="26"/>
      <c r="AF158" s="106"/>
      <c r="AG158" s="37"/>
      <c r="AH158" s="957"/>
      <c r="AI158" s="1023"/>
      <c r="AJ158" s="1023"/>
      <c r="AK158" s="1023"/>
      <c r="AL158" s="1023"/>
      <c r="AM158" s="1023"/>
      <c r="AN158" s="1023"/>
      <c r="AO158" s="957"/>
      <c r="AP158" s="957"/>
      <c r="AQ158" s="957"/>
      <c r="AR158" s="957"/>
      <c r="AS158" s="957"/>
      <c r="AT158" s="957"/>
      <c r="AU158" s="957"/>
      <c r="AV158" s="957"/>
      <c r="AW158" s="957"/>
      <c r="AX158" s="957"/>
      <c r="AY158" s="957"/>
      <c r="AZ158" s="957"/>
      <c r="BA158" s="957"/>
      <c r="BB158" s="957"/>
      <c r="BC158" s="957"/>
      <c r="BD158" s="957"/>
      <c r="BE158" s="957"/>
      <c r="BF158" s="957"/>
      <c r="BG158" s="957"/>
    </row>
    <row r="159" spans="1:59">
      <c r="A159" s="2172"/>
      <c r="B159" s="2206" t="s">
        <v>7</v>
      </c>
      <c r="C159" s="2144" t="s">
        <v>13</v>
      </c>
      <c r="D159" s="348">
        <v>1</v>
      </c>
      <c r="E159" s="452">
        <v>60</v>
      </c>
      <c r="F159" s="148" t="s">
        <v>15</v>
      </c>
      <c r="G159" s="148" t="s">
        <v>15</v>
      </c>
      <c r="H159" s="367">
        <v>962.30110000000002</v>
      </c>
      <c r="I159" s="368">
        <v>272.8365</v>
      </c>
      <c r="J159" s="234" t="s">
        <v>15</v>
      </c>
      <c r="K159" s="233" t="s">
        <v>15</v>
      </c>
      <c r="L159" s="234" t="s">
        <v>15</v>
      </c>
      <c r="M159" s="233" t="s">
        <v>15</v>
      </c>
      <c r="N159" s="537">
        <v>123.6439149</v>
      </c>
      <c r="O159" s="536">
        <v>4.29</v>
      </c>
      <c r="P159" s="536">
        <v>28.848594800000001</v>
      </c>
      <c r="Q159" s="128">
        <f>26459.71/$T$133</f>
        <v>0.66102358850805643</v>
      </c>
      <c r="R159" s="2130">
        <f>SUMPRODUCT(N159:N161,Q159:Q161)</f>
        <v>96.550412023651134</v>
      </c>
      <c r="S159" s="24"/>
      <c r="T159" s="26"/>
      <c r="V159" s="24"/>
      <c r="W159" s="26"/>
      <c r="X159" s="26"/>
      <c r="Y159" s="41"/>
      <c r="Z159" s="41"/>
      <c r="AA159" s="41"/>
      <c r="AB159" s="846"/>
      <c r="AC159" s="26"/>
      <c r="AD159" s="24"/>
      <c r="AE159" s="26"/>
      <c r="AF159" s="106"/>
      <c r="AG159" s="37"/>
      <c r="AH159" s="957"/>
      <c r="AI159" s="1023"/>
      <c r="AJ159" s="1023"/>
      <c r="AK159" s="1023"/>
      <c r="AL159" s="1023"/>
      <c r="AM159" s="1023"/>
      <c r="AN159" s="1023"/>
      <c r="AO159" s="957"/>
      <c r="AP159" s="957"/>
      <c r="AQ159" s="957"/>
      <c r="AR159" s="957"/>
      <c r="AS159" s="957"/>
      <c r="AT159" s="957"/>
      <c r="AU159" s="957"/>
      <c r="AV159" s="957"/>
      <c r="AW159" s="957"/>
      <c r="AX159" s="957"/>
      <c r="AY159" s="957"/>
      <c r="AZ159" s="957"/>
      <c r="BA159" s="957"/>
      <c r="BB159" s="957"/>
      <c r="BC159" s="957"/>
      <c r="BD159" s="957"/>
      <c r="BE159" s="957"/>
      <c r="BF159" s="957"/>
      <c r="BG159" s="957"/>
    </row>
    <row r="160" spans="1:59">
      <c r="A160" s="2172"/>
      <c r="B160" s="2206"/>
      <c r="C160" s="2144"/>
      <c r="D160" s="348">
        <v>2</v>
      </c>
      <c r="E160" s="452">
        <v>60</v>
      </c>
      <c r="F160" s="148" t="s">
        <v>15</v>
      </c>
      <c r="G160" s="148" t="s">
        <v>15</v>
      </c>
      <c r="H160" s="367">
        <v>948.81949999999995</v>
      </c>
      <c r="I160" s="368">
        <v>306.08</v>
      </c>
      <c r="J160" s="234" t="s">
        <v>15</v>
      </c>
      <c r="K160" s="233" t="s">
        <v>15</v>
      </c>
      <c r="L160" s="234" t="s">
        <v>15</v>
      </c>
      <c r="M160" s="233" t="s">
        <v>15</v>
      </c>
      <c r="N160" s="537">
        <v>73.895129299999994</v>
      </c>
      <c r="O160" s="536">
        <v>2.5099999999999998</v>
      </c>
      <c r="P160" s="536">
        <v>29.391245699999999</v>
      </c>
      <c r="Q160" s="128">
        <f>8027.26/$T$133</f>
        <v>0.20053916732599039</v>
      </c>
      <c r="R160" s="2196"/>
      <c r="S160" s="24"/>
      <c r="T160" s="26"/>
      <c r="V160" s="24"/>
      <c r="W160" s="26"/>
      <c r="X160" s="26"/>
      <c r="Y160" s="41"/>
      <c r="Z160" s="41"/>
      <c r="AA160" s="41"/>
      <c r="AB160" s="846"/>
      <c r="AC160" s="26"/>
      <c r="AD160" s="24"/>
      <c r="AE160" s="26"/>
      <c r="AF160" s="106"/>
      <c r="AG160" s="37"/>
      <c r="AH160" s="957"/>
      <c r="AI160" s="1023"/>
      <c r="AJ160" s="1023"/>
      <c r="AK160" s="1023"/>
      <c r="AL160" s="1023"/>
      <c r="AM160" s="1023"/>
      <c r="AN160" s="1023"/>
      <c r="AO160" s="957"/>
      <c r="AP160" s="957"/>
      <c r="AQ160" s="957"/>
      <c r="AR160" s="957"/>
      <c r="AS160" s="957"/>
      <c r="AT160" s="957"/>
      <c r="AU160" s="957"/>
      <c r="AV160" s="957"/>
      <c r="AW160" s="957"/>
      <c r="AX160" s="957"/>
      <c r="AY160" s="957"/>
      <c r="AZ160" s="957"/>
      <c r="BA160" s="957"/>
      <c r="BB160" s="957"/>
      <c r="BC160" s="957"/>
      <c r="BD160" s="957"/>
      <c r="BE160" s="957"/>
      <c r="BF160" s="957"/>
      <c r="BG160" s="957"/>
    </row>
    <row r="161" spans="1:113" ht="15.75" thickBot="1">
      <c r="A161" s="2188"/>
      <c r="B161" s="2206"/>
      <c r="C161" s="2144"/>
      <c r="D161" s="205">
        <v>3</v>
      </c>
      <c r="E161" s="25">
        <v>50</v>
      </c>
      <c r="F161" s="197" t="s">
        <v>15</v>
      </c>
      <c r="G161" s="197" t="s">
        <v>15</v>
      </c>
      <c r="H161" s="367">
        <v>887.95150000000001</v>
      </c>
      <c r="I161" s="368">
        <v>238.79339999999999</v>
      </c>
      <c r="J161" s="409" t="s">
        <v>15</v>
      </c>
      <c r="K161" s="122" t="s">
        <v>15</v>
      </c>
      <c r="L161" s="409" t="s">
        <v>15</v>
      </c>
      <c r="M161" s="122" t="s">
        <v>15</v>
      </c>
      <c r="N161" s="1201">
        <v>0</v>
      </c>
      <c r="O161" s="133" t="s">
        <v>574</v>
      </c>
      <c r="P161" s="133" t="s">
        <v>574</v>
      </c>
      <c r="Q161" s="286">
        <f>5541.42/$T$133</f>
        <v>0.13843724416595321</v>
      </c>
      <c r="R161" s="2196"/>
      <c r="S161" s="24"/>
      <c r="T161" s="26"/>
      <c r="V161" s="24"/>
      <c r="W161" s="26"/>
      <c r="X161" s="26"/>
      <c r="Y161" s="41"/>
      <c r="Z161" s="41"/>
      <c r="AA161" s="41"/>
      <c r="AB161" s="846"/>
      <c r="AC161" s="26"/>
      <c r="AD161" s="240"/>
      <c r="AE161" s="764"/>
      <c r="AF161" s="106"/>
      <c r="AG161" s="37"/>
      <c r="AH161" s="957"/>
      <c r="AI161" s="1023"/>
      <c r="AJ161" s="1023"/>
      <c r="AK161" s="1023"/>
      <c r="AL161" s="1023"/>
      <c r="AM161" s="1023"/>
      <c r="AN161" s="1023"/>
      <c r="AO161" s="957"/>
      <c r="AP161" s="957"/>
      <c r="AQ161" s="957"/>
      <c r="AR161" s="957"/>
      <c r="AS161" s="957"/>
      <c r="AT161" s="957"/>
      <c r="AU161" s="957"/>
      <c r="AV161" s="957"/>
      <c r="AW161" s="957"/>
      <c r="AX161" s="957"/>
      <c r="AY161" s="957"/>
      <c r="AZ161" s="957"/>
      <c r="BA161" s="957"/>
      <c r="BB161" s="957"/>
      <c r="BC161" s="957"/>
      <c r="BD161" s="957"/>
      <c r="BE161" s="957"/>
      <c r="BF161" s="957"/>
      <c r="BG161" s="957"/>
    </row>
    <row r="162" spans="1:113" s="692" customFormat="1" ht="9" customHeight="1" thickBot="1">
      <c r="A162" s="695"/>
      <c r="B162" s="815"/>
      <c r="C162" s="684"/>
      <c r="D162" s="683"/>
      <c r="E162" s="684"/>
      <c r="F162" s="684"/>
      <c r="G162" s="684"/>
      <c r="H162" s="684"/>
      <c r="I162" s="684"/>
      <c r="J162" s="682"/>
      <c r="K162" s="683"/>
      <c r="L162" s="682"/>
      <c r="M162" s="685"/>
      <c r="N162" s="1189"/>
      <c r="O162" s="686"/>
      <c r="P162" s="686"/>
      <c r="Q162" s="687"/>
      <c r="R162" s="687"/>
      <c r="S162" s="688"/>
      <c r="T162" s="688"/>
      <c r="U162" s="854"/>
      <c r="V162" s="893"/>
      <c r="W162" s="685"/>
      <c r="X162" s="685"/>
      <c r="Y162" s="688"/>
      <c r="Z162" s="688"/>
      <c r="AA162" s="688"/>
      <c r="AB162" s="846"/>
      <c r="AC162" s="685"/>
      <c r="AD162" s="685"/>
      <c r="AE162" s="685"/>
      <c r="AF162" s="689"/>
      <c r="AG162" s="685"/>
      <c r="AH162" s="959"/>
      <c r="AI162" s="959"/>
      <c r="AJ162" s="959"/>
      <c r="AK162" s="959"/>
      <c r="AL162" s="959"/>
      <c r="AM162" s="959"/>
      <c r="AN162" s="959"/>
      <c r="AO162" s="958"/>
      <c r="AP162" s="958"/>
      <c r="AQ162" s="958"/>
      <c r="AR162" s="958"/>
      <c r="AS162" s="958"/>
      <c r="AT162" s="958"/>
      <c r="AU162" s="958"/>
      <c r="AV162" s="958"/>
      <c r="AW162" s="958"/>
      <c r="AX162" s="958"/>
      <c r="AY162" s="958"/>
      <c r="AZ162" s="958"/>
      <c r="BA162" s="958"/>
      <c r="BB162" s="958"/>
      <c r="BC162" s="958"/>
      <c r="BD162" s="958"/>
      <c r="BE162" s="958"/>
      <c r="BF162" s="958"/>
      <c r="BG162" s="958"/>
      <c r="BH162" s="1125"/>
      <c r="DI162" s="693"/>
    </row>
    <row r="163" spans="1:113" s="7" customFormat="1" ht="15" customHeight="1">
      <c r="A163" s="2171" t="s">
        <v>1281</v>
      </c>
      <c r="B163" s="1057" t="s">
        <v>754</v>
      </c>
      <c r="C163" s="809" t="s">
        <v>12</v>
      </c>
      <c r="D163" s="232" t="s">
        <v>812</v>
      </c>
      <c r="E163" s="534">
        <v>115</v>
      </c>
      <c r="F163" s="258">
        <v>64.39958</v>
      </c>
      <c r="G163" s="258">
        <v>11.16513</v>
      </c>
      <c r="H163" s="367">
        <v>599.39580000000001</v>
      </c>
      <c r="I163" s="368">
        <v>187.87180000000001</v>
      </c>
      <c r="J163" s="268" t="s">
        <v>15</v>
      </c>
      <c r="K163" s="132" t="s">
        <v>15</v>
      </c>
      <c r="L163" s="1165" t="s">
        <v>14</v>
      </c>
      <c r="M163" s="1150" t="s">
        <v>788</v>
      </c>
      <c r="N163" s="1190">
        <v>3.4023507</v>
      </c>
      <c r="O163" s="442">
        <v>3.08</v>
      </c>
      <c r="P163" s="442">
        <v>1.1046678000000001</v>
      </c>
      <c r="Q163" s="254" t="s">
        <v>15</v>
      </c>
      <c r="R163" s="258">
        <f>N163</f>
        <v>3.4023507</v>
      </c>
      <c r="S163" s="124" t="s">
        <v>68</v>
      </c>
      <c r="T163" s="125" t="s">
        <v>69</v>
      </c>
      <c r="U163" s="858"/>
      <c r="V163" s="2232" t="s">
        <v>863</v>
      </c>
      <c r="W163" s="295" t="s">
        <v>47</v>
      </c>
      <c r="X163" s="295" t="s">
        <v>870</v>
      </c>
      <c r="Y163" s="220">
        <f>T170+SUM(R165:R186)+N163*106.8+N164*1</f>
        <v>639.05119676497179</v>
      </c>
      <c r="Z163" s="282" t="s">
        <v>40</v>
      </c>
      <c r="AA163" s="575" t="s">
        <v>40</v>
      </c>
      <c r="AB163" s="846"/>
      <c r="AC163" s="26"/>
      <c r="AD163" s="2131" t="s">
        <v>142</v>
      </c>
      <c r="AE163" s="2133"/>
      <c r="AF163" s="497" t="s">
        <v>49</v>
      </c>
      <c r="AG163" s="494" t="s">
        <v>968</v>
      </c>
      <c r="AH163" s="158">
        <f>T170+SUM(R179:R183)+N175</f>
        <v>414.13666389244986</v>
      </c>
      <c r="AI163" s="158">
        <v>359.99</v>
      </c>
      <c r="AJ163" s="158">
        <v>446.99</v>
      </c>
      <c r="AK163" s="158">
        <v>479</v>
      </c>
      <c r="AL163" s="158">
        <v>404.99</v>
      </c>
      <c r="AM163" s="158">
        <v>699</v>
      </c>
      <c r="AN163" s="170"/>
      <c r="AO163" s="1011"/>
      <c r="AP163" s="957"/>
      <c r="AQ163" s="957"/>
      <c r="AR163" s="957"/>
      <c r="AS163" s="957"/>
      <c r="AT163" s="1012"/>
      <c r="AU163" s="1023"/>
      <c r="AV163" s="957"/>
      <c r="AW163" s="957"/>
      <c r="AX163" s="957"/>
      <c r="AY163" s="957"/>
      <c r="AZ163" s="957"/>
      <c r="BA163" s="957"/>
      <c r="BB163" s="957"/>
      <c r="BC163" s="957"/>
      <c r="BD163" s="957"/>
      <c r="BE163" s="957"/>
      <c r="BF163" s="957"/>
      <c r="BG163" s="957"/>
      <c r="BH163" s="1125"/>
      <c r="DI163" s="566"/>
    </row>
    <row r="164" spans="1:113">
      <c r="A164" s="2172"/>
      <c r="B164" s="1056" t="s">
        <v>756</v>
      </c>
      <c r="C164" s="356" t="s">
        <v>12</v>
      </c>
      <c r="D164" s="291" t="s">
        <v>813</v>
      </c>
      <c r="E164" s="452">
        <v>115</v>
      </c>
      <c r="F164" s="128">
        <v>0.27462799999999998</v>
      </c>
      <c r="G164" s="128">
        <v>0.18789800000000001</v>
      </c>
      <c r="H164" s="367">
        <v>599.39580000000001</v>
      </c>
      <c r="I164" s="368">
        <v>187.87180000000001</v>
      </c>
      <c r="J164" s="234" t="s">
        <v>15</v>
      </c>
      <c r="K164" s="233" t="s">
        <v>15</v>
      </c>
      <c r="L164" s="234" t="s">
        <v>15</v>
      </c>
      <c r="M164" s="233" t="s">
        <v>15</v>
      </c>
      <c r="N164" s="537">
        <v>-144.20974799999999</v>
      </c>
      <c r="O164" s="536">
        <v>-1.24</v>
      </c>
      <c r="P164" s="536">
        <v>116.6873946</v>
      </c>
      <c r="Q164" s="195" t="s">
        <v>15</v>
      </c>
      <c r="R164" s="128">
        <f>N164</f>
        <v>-144.20974799999999</v>
      </c>
      <c r="S164" s="31" t="s">
        <v>70</v>
      </c>
      <c r="T164" s="117" t="s">
        <v>71</v>
      </c>
      <c r="U164" s="854"/>
      <c r="V164" s="2233"/>
      <c r="W164" s="983" t="s">
        <v>49</v>
      </c>
      <c r="X164" s="338" t="s">
        <v>871</v>
      </c>
      <c r="Y164" s="169">
        <f>T170+SUM(R165:R186)+N163*60.2+N164*1</f>
        <v>480.50165414497189</v>
      </c>
      <c r="Z164" s="169">
        <f>Y164-Y163</f>
        <v>-158.5495426199999</v>
      </c>
      <c r="AA164" s="576">
        <f>(106.8-60.2)*P163</f>
        <v>51.477519479999998</v>
      </c>
      <c r="AB164" s="918"/>
      <c r="AC164" s="26"/>
      <c r="AD164" s="20" t="s">
        <v>98</v>
      </c>
      <c r="AE164" s="278">
        <v>-8.4539671101506592E-2</v>
      </c>
      <c r="AF164" s="497" t="s">
        <v>49</v>
      </c>
      <c r="AG164" s="494" t="s">
        <v>965</v>
      </c>
      <c r="AH164" s="158">
        <f>T170+SUM(R179:R183)+N171</f>
        <v>496.83488939244984</v>
      </c>
      <c r="AI164" s="158">
        <v>479.99</v>
      </c>
      <c r="AJ164" s="158">
        <v>699.99</v>
      </c>
      <c r="AK164" s="158">
        <v>549.95000000000005</v>
      </c>
      <c r="AL164" s="158">
        <v>697</v>
      </c>
      <c r="AM164" s="158">
        <v>649</v>
      </c>
      <c r="AN164" s="170">
        <v>549.99</v>
      </c>
      <c r="AO164" s="1011"/>
      <c r="AP164" s="957"/>
      <c r="AQ164" s="957"/>
      <c r="AR164" s="957"/>
      <c r="AS164" s="957"/>
      <c r="AT164" s="1012"/>
      <c r="AU164" s="1023"/>
      <c r="AV164" s="957"/>
      <c r="AW164" s="957"/>
      <c r="AX164" s="957"/>
      <c r="AY164" s="957"/>
      <c r="AZ164" s="957"/>
      <c r="BA164" s="957"/>
      <c r="BB164" s="957"/>
      <c r="BC164" s="957"/>
      <c r="BD164" s="957"/>
      <c r="BE164" s="957"/>
      <c r="BF164" s="957"/>
      <c r="BG164" s="957"/>
    </row>
    <row r="165" spans="1:113">
      <c r="A165" s="2172"/>
      <c r="B165" s="2206" t="s">
        <v>153</v>
      </c>
      <c r="C165" s="2144" t="s">
        <v>13</v>
      </c>
      <c r="D165" s="434" t="s">
        <v>757</v>
      </c>
      <c r="E165" s="452">
        <v>2</v>
      </c>
      <c r="F165" s="148" t="s">
        <v>15</v>
      </c>
      <c r="G165" s="148" t="s">
        <v>15</v>
      </c>
      <c r="H165" s="367">
        <v>371.51769999999999</v>
      </c>
      <c r="I165" s="368">
        <v>5.821447</v>
      </c>
      <c r="J165" s="234" t="s">
        <v>15</v>
      </c>
      <c r="K165" s="233" t="s">
        <v>15</v>
      </c>
      <c r="L165" s="234" t="s">
        <v>15</v>
      </c>
      <c r="M165" s="233" t="s">
        <v>15</v>
      </c>
      <c r="N165" s="537">
        <v>-145.22102390000001</v>
      </c>
      <c r="O165" s="536">
        <v>-0.32</v>
      </c>
      <c r="P165" s="536">
        <v>450.4159745</v>
      </c>
      <c r="Q165" s="128">
        <f>4.23/$T$168</f>
        <v>1.6623261483903143E-4</v>
      </c>
      <c r="R165" s="2130">
        <f>SUMPRODUCT(N165:N176,Q165:Q176)</f>
        <v>64.750578222944597</v>
      </c>
      <c r="S165" s="127" t="s">
        <v>72</v>
      </c>
      <c r="T165" s="119" t="s">
        <v>119</v>
      </c>
      <c r="U165" s="855"/>
      <c r="V165" s="2233"/>
      <c r="W165" s="983" t="s">
        <v>49</v>
      </c>
      <c r="X165" s="338" t="s">
        <v>875</v>
      </c>
      <c r="Y165" s="169">
        <f>T170+SUM(R165:R186)+N163*49+N164*1</f>
        <v>442.39532630497183</v>
      </c>
      <c r="Z165" s="169">
        <f>Y165-Y163</f>
        <v>-196.65587045999996</v>
      </c>
      <c r="AA165" s="576">
        <f>(106.8-49)*P163</f>
        <v>63.849798840000005</v>
      </c>
      <c r="AB165" s="918"/>
      <c r="AC165" s="26"/>
      <c r="AD165" s="20" t="s">
        <v>143</v>
      </c>
      <c r="AE165" s="278">
        <v>0.19795181914917956</v>
      </c>
      <c r="AF165" s="497" t="s">
        <v>49</v>
      </c>
      <c r="AG165" s="494" t="s">
        <v>969</v>
      </c>
      <c r="AH165" s="158">
        <f>T170+SUM(R179:R183)+N175+N178</f>
        <v>620.89889309244984</v>
      </c>
      <c r="AI165" s="158"/>
      <c r="AJ165" s="158"/>
      <c r="AK165" s="158"/>
      <c r="AL165" s="158"/>
      <c r="AM165" s="158"/>
      <c r="AN165" s="170"/>
      <c r="AO165" s="1011"/>
      <c r="AP165" s="957"/>
      <c r="AQ165" s="957"/>
      <c r="AR165" s="957"/>
      <c r="AS165" s="957"/>
      <c r="AT165" s="1012"/>
      <c r="AU165" s="1023"/>
      <c r="AV165" s="957"/>
      <c r="AW165" s="957"/>
      <c r="AX165" s="957"/>
      <c r="AY165" s="957"/>
      <c r="AZ165" s="957"/>
      <c r="BA165" s="957"/>
      <c r="BB165" s="957"/>
      <c r="BC165" s="957"/>
      <c r="BD165" s="957"/>
      <c r="BE165" s="957"/>
      <c r="BF165" s="957"/>
      <c r="BG165" s="957"/>
    </row>
    <row r="166" spans="1:113">
      <c r="A166" s="2172"/>
      <c r="B166" s="2206"/>
      <c r="C166" s="2144"/>
      <c r="D166" s="348" t="s">
        <v>758</v>
      </c>
      <c r="E166" s="452">
        <v>3</v>
      </c>
      <c r="F166" s="148" t="s">
        <v>15</v>
      </c>
      <c r="G166" s="148" t="s">
        <v>15</v>
      </c>
      <c r="H166" s="367">
        <v>417.52190000000002</v>
      </c>
      <c r="I166" s="368">
        <v>38.465580000000003</v>
      </c>
      <c r="J166" s="234" t="s">
        <v>15</v>
      </c>
      <c r="K166" s="233" t="s">
        <v>15</v>
      </c>
      <c r="L166" s="234" t="s">
        <v>15</v>
      </c>
      <c r="M166" s="233" t="s">
        <v>15</v>
      </c>
      <c r="N166" s="537">
        <v>-33.310768899999999</v>
      </c>
      <c r="O166" s="536">
        <v>-0.23</v>
      </c>
      <c r="P166" s="536">
        <v>142.62793550000001</v>
      </c>
      <c r="Q166" s="128">
        <f>44.13/$T$168</f>
        <v>1.7342423860157109E-3</v>
      </c>
      <c r="R166" s="2196"/>
      <c r="S166" s="452" t="s">
        <v>73</v>
      </c>
      <c r="T166" s="433"/>
      <c r="U166" s="859"/>
      <c r="V166" s="24"/>
      <c r="W166" s="26"/>
      <c r="X166" s="26"/>
      <c r="Y166" s="41"/>
      <c r="Z166" s="41"/>
      <c r="AA166" s="41"/>
      <c r="AB166" s="846"/>
      <c r="AC166" s="26"/>
      <c r="AD166" s="20" t="s">
        <v>144</v>
      </c>
      <c r="AE166" s="278">
        <v>-0.40752980845143083</v>
      </c>
      <c r="AF166" s="497" t="s">
        <v>49</v>
      </c>
      <c r="AG166" s="494" t="s">
        <v>970</v>
      </c>
      <c r="AH166" s="158">
        <f>T170+SUM(R179:R183)+N171+N178</f>
        <v>703.59711859244987</v>
      </c>
      <c r="AI166" s="158">
        <v>549.99</v>
      </c>
      <c r="AJ166" s="158">
        <v>549.99</v>
      </c>
      <c r="AK166" s="158">
        <v>797.99</v>
      </c>
      <c r="AL166" s="158">
        <v>815.15</v>
      </c>
      <c r="AM166" s="158">
        <v>929</v>
      </c>
      <c r="AN166" s="170"/>
      <c r="AO166" s="1011"/>
      <c r="AP166" s="957"/>
      <c r="AQ166" s="957"/>
      <c r="AR166" s="957"/>
      <c r="AS166" s="957"/>
      <c r="AT166" s="1012"/>
      <c r="AU166" s="1023"/>
      <c r="AV166" s="957"/>
      <c r="AW166" s="957"/>
      <c r="AX166" s="957"/>
      <c r="AY166" s="957"/>
      <c r="AZ166" s="957"/>
      <c r="BA166" s="957"/>
      <c r="BB166" s="957"/>
      <c r="BC166" s="957"/>
      <c r="BD166" s="957"/>
      <c r="BE166" s="957"/>
      <c r="BF166" s="957"/>
      <c r="BG166" s="957"/>
    </row>
    <row r="167" spans="1:113">
      <c r="A167" s="2172"/>
      <c r="B167" s="2206"/>
      <c r="C167" s="2144"/>
      <c r="D167" s="348" t="s">
        <v>780</v>
      </c>
      <c r="E167" s="452">
        <v>13</v>
      </c>
      <c r="F167" s="148" t="s">
        <v>15</v>
      </c>
      <c r="G167" s="148" t="s">
        <v>15</v>
      </c>
      <c r="H167" s="367">
        <v>345.92450000000002</v>
      </c>
      <c r="I167" s="368">
        <v>71.116200000000006</v>
      </c>
      <c r="J167" s="234" t="s">
        <v>15</v>
      </c>
      <c r="K167" s="233" t="s">
        <v>15</v>
      </c>
      <c r="L167" s="234" t="s">
        <v>15</v>
      </c>
      <c r="M167" s="233" t="s">
        <v>15</v>
      </c>
      <c r="N167" s="537">
        <v>-41.488216799999996</v>
      </c>
      <c r="O167" s="536">
        <v>-1.53</v>
      </c>
      <c r="P167" s="536">
        <v>27.1546418</v>
      </c>
      <c r="Q167" s="128">
        <f>1591.83/$T$168</f>
        <v>6.2556516141658483E-2</v>
      </c>
      <c r="R167" s="2196"/>
      <c r="S167" s="127" t="s">
        <v>74</v>
      </c>
      <c r="T167" s="129" t="s">
        <v>75</v>
      </c>
      <c r="U167" s="858"/>
      <c r="V167" s="24"/>
      <c r="W167" s="26"/>
      <c r="X167" s="26"/>
      <c r="Y167" s="41"/>
      <c r="Z167" s="41"/>
      <c r="AA167" s="41"/>
      <c r="AB167" s="846"/>
      <c r="AC167" s="26"/>
      <c r="AD167" s="20" t="s">
        <v>145</v>
      </c>
      <c r="AE167" s="278">
        <v>0.27929074818169397</v>
      </c>
      <c r="AF167" s="106"/>
      <c r="AG167" s="37"/>
      <c r="AH167" s="957"/>
      <c r="AI167" s="1023"/>
      <c r="AJ167" s="1023"/>
      <c r="AK167" s="1023"/>
      <c r="AL167" s="1023"/>
      <c r="AM167" s="1023"/>
      <c r="AN167" s="1023"/>
      <c r="AO167" s="957"/>
      <c r="AP167" s="957"/>
      <c r="AQ167" s="957"/>
      <c r="AR167" s="957"/>
      <c r="AS167" s="957"/>
      <c r="AT167" s="957"/>
      <c r="AU167" s="957"/>
      <c r="AV167" s="957"/>
      <c r="AW167" s="957"/>
      <c r="AX167" s="957"/>
      <c r="AY167" s="957"/>
      <c r="AZ167" s="957"/>
      <c r="BA167" s="957"/>
      <c r="BB167" s="957"/>
      <c r="BC167" s="957"/>
      <c r="BD167" s="957"/>
      <c r="BE167" s="957"/>
      <c r="BF167" s="957"/>
      <c r="BG167" s="957"/>
    </row>
    <row r="168" spans="1:113">
      <c r="A168" s="2172"/>
      <c r="B168" s="2206"/>
      <c r="C168" s="2144"/>
      <c r="D168" s="348" t="s">
        <v>759</v>
      </c>
      <c r="E168" s="452">
        <v>2</v>
      </c>
      <c r="F168" s="148" t="s">
        <v>15</v>
      </c>
      <c r="G168" s="148" t="s">
        <v>15</v>
      </c>
      <c r="H168" s="367">
        <v>367.71089999999998</v>
      </c>
      <c r="I168" s="368">
        <v>10.75243</v>
      </c>
      <c r="J168" s="234" t="s">
        <v>15</v>
      </c>
      <c r="K168" s="233" t="s">
        <v>15</v>
      </c>
      <c r="L168" s="234" t="s">
        <v>15</v>
      </c>
      <c r="M168" s="233" t="s">
        <v>15</v>
      </c>
      <c r="N168" s="537">
        <v>55.494942000000002</v>
      </c>
      <c r="O168" s="536">
        <v>0.39</v>
      </c>
      <c r="P168" s="536">
        <v>143.85063959999999</v>
      </c>
      <c r="Q168" s="128">
        <f>45/$T$168</f>
        <v>1.7684320727556534E-3</v>
      </c>
      <c r="R168" s="2196"/>
      <c r="S168" s="445">
        <v>115</v>
      </c>
      <c r="T168" s="446">
        <v>25446.27</v>
      </c>
      <c r="U168" s="865"/>
      <c r="V168" s="24"/>
      <c r="W168" s="26"/>
      <c r="X168" s="26"/>
      <c r="Y168" s="41"/>
      <c r="Z168" s="41"/>
      <c r="AA168" s="41"/>
      <c r="AB168" s="846"/>
      <c r="AC168" s="26"/>
      <c r="AD168" s="22"/>
      <c r="AE168" s="27"/>
      <c r="AF168" s="106"/>
      <c r="AG168" s="37"/>
      <c r="AH168" s="957"/>
      <c r="AI168" s="1023"/>
      <c r="AJ168" s="1023"/>
      <c r="AK168" s="1023"/>
      <c r="AL168" s="1023"/>
      <c r="AM168" s="1023"/>
      <c r="AN168" s="1023"/>
      <c r="AO168" s="957"/>
      <c r="AP168" s="957"/>
      <c r="AQ168" s="957"/>
      <c r="AR168" s="957"/>
      <c r="AS168" s="957"/>
      <c r="AT168" s="957"/>
      <c r="AU168" s="957"/>
      <c r="AV168" s="957"/>
      <c r="AW168" s="957"/>
      <c r="AX168" s="957"/>
      <c r="AY168" s="957"/>
      <c r="AZ168" s="957"/>
      <c r="BA168" s="957"/>
      <c r="BB168" s="957"/>
      <c r="BC168" s="957"/>
      <c r="BD168" s="957"/>
      <c r="BE168" s="957"/>
      <c r="BF168" s="957"/>
      <c r="BG168" s="957"/>
    </row>
    <row r="169" spans="1:113">
      <c r="A169" s="2172"/>
      <c r="B169" s="2206"/>
      <c r="C169" s="2144"/>
      <c r="D169" s="348" t="s">
        <v>763</v>
      </c>
      <c r="E169" s="452">
        <v>6</v>
      </c>
      <c r="F169" s="148" t="s">
        <v>15</v>
      </c>
      <c r="G169" s="148" t="s">
        <v>15</v>
      </c>
      <c r="H169" s="367">
        <v>539.66</v>
      </c>
      <c r="I169" s="368">
        <v>16.472100000000001</v>
      </c>
      <c r="J169" s="234" t="s">
        <v>15</v>
      </c>
      <c r="K169" s="233" t="s">
        <v>15</v>
      </c>
      <c r="L169" s="234" t="s">
        <v>15</v>
      </c>
      <c r="M169" s="233" t="s">
        <v>15</v>
      </c>
      <c r="N169" s="537">
        <v>-142.22113880000001</v>
      </c>
      <c r="O169" s="536">
        <v>-1.72</v>
      </c>
      <c r="P169" s="536">
        <v>82.462909400000001</v>
      </c>
      <c r="Q169" s="128">
        <f>2754.11/$T$168</f>
        <v>0.10823236568660162</v>
      </c>
      <c r="R169" s="2196"/>
      <c r="S169" s="127" t="s">
        <v>41</v>
      </c>
      <c r="T169" s="129" t="s">
        <v>42</v>
      </c>
      <c r="U169" s="858"/>
      <c r="V169" s="24"/>
      <c r="W169" s="26"/>
      <c r="X169" s="26"/>
      <c r="Y169" s="41"/>
      <c r="Z169" s="41"/>
      <c r="AA169" s="41"/>
      <c r="AB169" s="846"/>
      <c r="AC169" s="26"/>
      <c r="AD169" s="24"/>
      <c r="AE169" s="26"/>
      <c r="AF169" s="106"/>
      <c r="AG169" s="37"/>
      <c r="AH169" s="957"/>
      <c r="AI169" s="1023"/>
      <c r="AJ169" s="1023"/>
      <c r="AK169" s="1023"/>
      <c r="AL169" s="1023"/>
      <c r="AM169" s="1023"/>
      <c r="AN169" s="1023"/>
      <c r="AO169" s="957"/>
      <c r="AP169" s="957"/>
      <c r="AQ169" s="957"/>
      <c r="AR169" s="957"/>
      <c r="AS169" s="957"/>
      <c r="AT169" s="957"/>
      <c r="AU169" s="957"/>
      <c r="AV169" s="957"/>
      <c r="AW169" s="957"/>
      <c r="AX169" s="957"/>
      <c r="AY169" s="957"/>
      <c r="AZ169" s="957"/>
      <c r="BA169" s="957"/>
      <c r="BB169" s="957"/>
      <c r="BC169" s="957"/>
      <c r="BD169" s="957"/>
      <c r="BE169" s="957"/>
      <c r="BF169" s="957"/>
      <c r="BG169" s="957"/>
    </row>
    <row r="170" spans="1:113">
      <c r="A170" s="2172"/>
      <c r="B170" s="2206"/>
      <c r="C170" s="2144"/>
      <c r="D170" s="348" t="s">
        <v>789</v>
      </c>
      <c r="E170" s="452">
        <v>2</v>
      </c>
      <c r="F170" s="148" t="s">
        <v>15</v>
      </c>
      <c r="G170" s="148" t="s">
        <v>15</v>
      </c>
      <c r="H170" s="367">
        <v>343.9796</v>
      </c>
      <c r="I170" s="368">
        <v>28.052240000000001</v>
      </c>
      <c r="J170" s="234" t="s">
        <v>15</v>
      </c>
      <c r="K170" s="233" t="s">
        <v>15</v>
      </c>
      <c r="L170" s="234" t="s">
        <v>15</v>
      </c>
      <c r="M170" s="233" t="s">
        <v>15</v>
      </c>
      <c r="N170" s="537">
        <v>-59.565288199999998</v>
      </c>
      <c r="O170" s="536">
        <v>-0.33</v>
      </c>
      <c r="P170" s="536">
        <v>179.55374660000001</v>
      </c>
      <c r="Q170" s="128">
        <f>27/$T$168</f>
        <v>1.061059243653392E-3</v>
      </c>
      <c r="R170" s="2196"/>
      <c r="S170" s="443">
        <v>0.91000800000000004</v>
      </c>
      <c r="T170" s="444">
        <v>238.74408729999999</v>
      </c>
      <c r="U170" s="866"/>
      <c r="V170" s="24"/>
      <c r="W170" s="26"/>
      <c r="X170" s="26"/>
      <c r="Y170" s="41"/>
      <c r="Z170" s="41"/>
      <c r="AA170" s="41"/>
      <c r="AB170" s="846"/>
      <c r="AC170" s="26"/>
      <c r="AD170" s="24"/>
      <c r="AE170" s="26"/>
      <c r="AF170" s="106"/>
      <c r="AG170" s="37"/>
      <c r="AH170" s="957"/>
      <c r="AI170" s="1023"/>
      <c r="AJ170" s="1023"/>
      <c r="AK170" s="1023"/>
      <c r="AL170" s="1023"/>
      <c r="AM170" s="1023"/>
      <c r="AN170" s="1023"/>
      <c r="AO170" s="957"/>
      <c r="AP170" s="957"/>
      <c r="AQ170" s="957"/>
      <c r="AR170" s="957"/>
      <c r="AS170" s="957"/>
      <c r="AT170" s="957"/>
      <c r="AU170" s="957"/>
      <c r="AV170" s="957"/>
      <c r="AW170" s="957"/>
      <c r="AX170" s="957"/>
      <c r="AY170" s="957"/>
      <c r="AZ170" s="957"/>
      <c r="BA170" s="957"/>
      <c r="BB170" s="957"/>
      <c r="BC170" s="957"/>
      <c r="BD170" s="957"/>
      <c r="BE170" s="957"/>
      <c r="BF170" s="957"/>
      <c r="BG170" s="957"/>
    </row>
    <row r="171" spans="1:113">
      <c r="A171" s="2172"/>
      <c r="B171" s="2206"/>
      <c r="C171" s="2144"/>
      <c r="D171" s="348" t="s">
        <v>688</v>
      </c>
      <c r="E171" s="452">
        <v>34</v>
      </c>
      <c r="F171" s="148" t="s">
        <v>15</v>
      </c>
      <c r="G171" s="148" t="s">
        <v>15</v>
      </c>
      <c r="H171" s="367">
        <v>805.04390000000001</v>
      </c>
      <c r="I171" s="368">
        <v>147.65639999999999</v>
      </c>
      <c r="J171" s="234" t="s">
        <v>15</v>
      </c>
      <c r="K171" s="233" t="s">
        <v>15</v>
      </c>
      <c r="L171" s="234" t="s">
        <v>15</v>
      </c>
      <c r="M171" s="233" t="s">
        <v>15</v>
      </c>
      <c r="N171" s="537">
        <v>186.8950557</v>
      </c>
      <c r="O171" s="536">
        <v>2.4</v>
      </c>
      <c r="P171" s="536">
        <v>77.884635000000003</v>
      </c>
      <c r="Q171" s="128">
        <f>7620.89/$T$168</f>
        <v>0.29948947330984071</v>
      </c>
      <c r="R171" s="2196"/>
      <c r="S171" s="118" t="s">
        <v>235</v>
      </c>
      <c r="T171" s="119" t="s">
        <v>391</v>
      </c>
      <c r="U171" s="855"/>
      <c r="V171" s="24"/>
      <c r="W171" s="26"/>
      <c r="X171" s="26"/>
      <c r="Y171" s="41"/>
      <c r="Z171" s="41"/>
      <c r="AA171" s="41"/>
      <c r="AB171" s="846"/>
      <c r="AC171" s="26"/>
      <c r="AD171" s="24"/>
      <c r="AE171" s="26"/>
      <c r="AF171" s="106"/>
      <c r="AG171" s="37"/>
      <c r="AH171" s="957"/>
      <c r="AI171" s="1023"/>
      <c r="AJ171" s="1023"/>
      <c r="AK171" s="1023"/>
      <c r="AL171" s="1023"/>
      <c r="AM171" s="1023"/>
      <c r="AN171" s="1023"/>
      <c r="AO171" s="957"/>
      <c r="AP171" s="957"/>
      <c r="AQ171" s="957"/>
      <c r="AR171" s="957"/>
      <c r="AS171" s="957"/>
      <c r="AT171" s="957"/>
      <c r="AU171" s="957"/>
      <c r="AV171" s="957"/>
      <c r="AW171" s="957"/>
      <c r="AX171" s="957"/>
      <c r="AY171" s="957"/>
      <c r="AZ171" s="957"/>
      <c r="BA171" s="957"/>
      <c r="BB171" s="957"/>
      <c r="BC171" s="957"/>
      <c r="BD171" s="957"/>
      <c r="BE171" s="957"/>
      <c r="BF171" s="957"/>
      <c r="BG171" s="957"/>
    </row>
    <row r="172" spans="1:113">
      <c r="A172" s="2172"/>
      <c r="B172" s="2206"/>
      <c r="C172" s="2144"/>
      <c r="D172" s="348" t="s">
        <v>784</v>
      </c>
      <c r="E172" s="452">
        <v>10</v>
      </c>
      <c r="F172" s="148" t="s">
        <v>15</v>
      </c>
      <c r="G172" s="148" t="s">
        <v>15</v>
      </c>
      <c r="H172" s="367">
        <v>588.29510000000005</v>
      </c>
      <c r="I172" s="368">
        <v>101.7259</v>
      </c>
      <c r="J172" s="234" t="s">
        <v>15</v>
      </c>
      <c r="K172" s="233" t="s">
        <v>15</v>
      </c>
      <c r="L172" s="234" t="s">
        <v>15</v>
      </c>
      <c r="M172" s="233" t="s">
        <v>15</v>
      </c>
      <c r="N172" s="537">
        <v>73.707228000000001</v>
      </c>
      <c r="O172" s="536">
        <v>0.89</v>
      </c>
      <c r="P172" s="536">
        <v>83.079024000000004</v>
      </c>
      <c r="Q172" s="128">
        <f>416.06/$T$168</f>
        <v>1.6350529959793716E-2</v>
      </c>
      <c r="R172" s="2196"/>
      <c r="S172" s="443">
        <v>103.551</v>
      </c>
      <c r="T172" s="151" t="s">
        <v>15</v>
      </c>
      <c r="U172" s="862"/>
      <c r="V172" s="24"/>
      <c r="W172" s="26"/>
      <c r="X172" s="26"/>
      <c r="Y172" s="41"/>
      <c r="Z172" s="41"/>
      <c r="AA172" s="41"/>
      <c r="AB172" s="846"/>
      <c r="AC172" s="26"/>
      <c r="AD172" s="24"/>
      <c r="AE172" s="26"/>
      <c r="AF172" s="106"/>
      <c r="AG172" s="37"/>
      <c r="AH172" s="957"/>
      <c r="AI172" s="1023"/>
      <c r="AJ172" s="1023"/>
      <c r="AK172" s="1023"/>
      <c r="AL172" s="1023"/>
      <c r="AM172" s="1023"/>
      <c r="AN172" s="1023"/>
      <c r="AO172" s="957"/>
      <c r="AP172" s="957"/>
      <c r="AQ172" s="957"/>
      <c r="AR172" s="957"/>
      <c r="AS172" s="957"/>
      <c r="AT172" s="957"/>
      <c r="AU172" s="957"/>
      <c r="AV172" s="957"/>
      <c r="AW172" s="957"/>
      <c r="AX172" s="957"/>
      <c r="AY172" s="957"/>
      <c r="AZ172" s="957"/>
      <c r="BA172" s="957"/>
      <c r="BB172" s="957"/>
      <c r="BC172" s="957"/>
      <c r="BD172" s="957"/>
      <c r="BE172" s="957"/>
      <c r="BF172" s="957"/>
      <c r="BG172" s="957"/>
    </row>
    <row r="173" spans="1:113">
      <c r="A173" s="2172"/>
      <c r="B173" s="2206"/>
      <c r="C173" s="2144"/>
      <c r="D173" s="348" t="s">
        <v>764</v>
      </c>
      <c r="E173" s="452">
        <v>26</v>
      </c>
      <c r="F173" s="148" t="s">
        <v>15</v>
      </c>
      <c r="G173" s="148" t="s">
        <v>15</v>
      </c>
      <c r="H173" s="367">
        <v>694.56060000000002</v>
      </c>
      <c r="I173" s="368">
        <v>62.043219999999998</v>
      </c>
      <c r="J173" s="234" t="s">
        <v>15</v>
      </c>
      <c r="K173" s="233" t="s">
        <v>15</v>
      </c>
      <c r="L173" s="234" t="s">
        <v>15</v>
      </c>
      <c r="M173" s="233" t="s">
        <v>15</v>
      </c>
      <c r="N173" s="537">
        <v>74.877458500000003</v>
      </c>
      <c r="O173" s="536">
        <v>1</v>
      </c>
      <c r="P173" s="536">
        <v>75.034848800000006</v>
      </c>
      <c r="Q173" s="128">
        <f>3344.19/$T$168</f>
        <v>0.13142161896419396</v>
      </c>
      <c r="R173" s="2196"/>
      <c r="S173" s="22"/>
      <c r="T173" s="27"/>
      <c r="V173" s="24"/>
      <c r="W173" s="26"/>
      <c r="X173" s="26"/>
      <c r="Y173" s="41"/>
      <c r="Z173" s="41"/>
      <c r="AA173" s="41"/>
      <c r="AB173" s="846"/>
      <c r="AC173" s="26"/>
      <c r="AD173" s="24"/>
      <c r="AE173" s="26"/>
      <c r="AF173" s="106"/>
      <c r="AG173" s="37"/>
      <c r="AH173" s="957"/>
      <c r="AI173" s="1023"/>
      <c r="AJ173" s="1023"/>
      <c r="AK173" s="1023"/>
      <c r="AL173" s="1023"/>
      <c r="AM173" s="1023"/>
      <c r="AN173" s="1023"/>
      <c r="AO173" s="957"/>
      <c r="AP173" s="957"/>
      <c r="AQ173" s="957"/>
      <c r="AR173" s="957"/>
      <c r="AS173" s="957"/>
      <c r="AT173" s="957"/>
      <c r="AU173" s="957"/>
      <c r="AV173" s="957"/>
      <c r="AW173" s="957"/>
      <c r="AX173" s="957"/>
      <c r="AY173" s="957"/>
      <c r="AZ173" s="957"/>
      <c r="BA173" s="957"/>
      <c r="BB173" s="957"/>
      <c r="BC173" s="957"/>
      <c r="BD173" s="957"/>
      <c r="BE173" s="957"/>
      <c r="BF173" s="957"/>
      <c r="BG173" s="957"/>
    </row>
    <row r="174" spans="1:113">
      <c r="A174" s="2172"/>
      <c r="B174" s="2206"/>
      <c r="C174" s="2144"/>
      <c r="D174" s="348" t="s">
        <v>765</v>
      </c>
      <c r="E174" s="452">
        <v>1</v>
      </c>
      <c r="F174" s="148" t="s">
        <v>15</v>
      </c>
      <c r="G174" s="148" t="s">
        <v>15</v>
      </c>
      <c r="H174" s="367">
        <v>334.7</v>
      </c>
      <c r="I174" s="368">
        <v>0</v>
      </c>
      <c r="J174" s="234" t="s">
        <v>15</v>
      </c>
      <c r="K174" s="233" t="s">
        <v>15</v>
      </c>
      <c r="L174" s="234" t="s">
        <v>15</v>
      </c>
      <c r="M174" s="233" t="s">
        <v>15</v>
      </c>
      <c r="N174" s="537">
        <v>-67.695162600000003</v>
      </c>
      <c r="O174" s="536">
        <v>-0.1</v>
      </c>
      <c r="P174" s="536">
        <v>653.16944899999999</v>
      </c>
      <c r="Q174" s="128">
        <f>2/$T$168</f>
        <v>7.8596981011362372E-5</v>
      </c>
      <c r="R174" s="2196"/>
      <c r="S174" s="24"/>
      <c r="T174" s="26"/>
      <c r="V174" s="24"/>
      <c r="W174" s="26"/>
      <c r="X174" s="26"/>
      <c r="Y174" s="41"/>
      <c r="Z174" s="41"/>
      <c r="AA174" s="41"/>
      <c r="AB174" s="846"/>
      <c r="AC174" s="26"/>
      <c r="AD174" s="24"/>
      <c r="AE174" s="26"/>
      <c r="AF174" s="106"/>
      <c r="AG174" s="37"/>
      <c r="AH174" s="957"/>
      <c r="AI174" s="1023"/>
      <c r="AJ174" s="1023"/>
      <c r="AK174" s="1023"/>
      <c r="AL174" s="1023"/>
      <c r="AM174" s="1023"/>
      <c r="AN174" s="1023"/>
      <c r="AO174" s="957"/>
      <c r="AP174" s="957"/>
      <c r="AQ174" s="957"/>
      <c r="AR174" s="957"/>
      <c r="AS174" s="957"/>
      <c r="AT174" s="957"/>
      <c r="AU174" s="957"/>
      <c r="AV174" s="957"/>
      <c r="AW174" s="957"/>
      <c r="AX174" s="957"/>
      <c r="AY174" s="957"/>
      <c r="AZ174" s="957"/>
      <c r="BA174" s="957"/>
      <c r="BB174" s="957"/>
      <c r="BC174" s="957"/>
      <c r="BD174" s="957"/>
      <c r="BE174" s="957"/>
      <c r="BF174" s="957"/>
      <c r="BG174" s="957"/>
    </row>
    <row r="175" spans="1:113">
      <c r="A175" s="2172"/>
      <c r="B175" s="2206"/>
      <c r="C175" s="2144"/>
      <c r="D175" s="348" t="s">
        <v>766</v>
      </c>
      <c r="E175" s="452">
        <v>7</v>
      </c>
      <c r="F175" s="148" t="s">
        <v>15</v>
      </c>
      <c r="G175" s="148" t="s">
        <v>15</v>
      </c>
      <c r="H175" s="367">
        <v>558.72450000000003</v>
      </c>
      <c r="I175" s="368">
        <v>39.136130000000001</v>
      </c>
      <c r="J175" s="234" t="s">
        <v>15</v>
      </c>
      <c r="K175" s="233" t="s">
        <v>15</v>
      </c>
      <c r="L175" s="234" t="s">
        <v>15</v>
      </c>
      <c r="M175" s="233" t="s">
        <v>15</v>
      </c>
      <c r="N175" s="537">
        <v>104.19683019999999</v>
      </c>
      <c r="O175" s="536">
        <v>2.5099999999999998</v>
      </c>
      <c r="P175" s="536">
        <v>41.532611699999997</v>
      </c>
      <c r="Q175" s="128">
        <f>3851.83/$T$168</f>
        <v>0.15137110468449796</v>
      </c>
      <c r="R175" s="2196"/>
      <c r="S175" s="24"/>
      <c r="T175" s="26"/>
      <c r="V175" s="24"/>
      <c r="W175" s="26"/>
      <c r="X175" s="26"/>
      <c r="Y175" s="41"/>
      <c r="Z175" s="41"/>
      <c r="AA175" s="41"/>
      <c r="AB175" s="846"/>
      <c r="AC175" s="26"/>
      <c r="AD175" s="24"/>
      <c r="AE175" s="26"/>
      <c r="AF175" s="106"/>
      <c r="AG175" s="37"/>
      <c r="AH175" s="957"/>
      <c r="AI175" s="1023"/>
      <c r="AJ175" s="1023"/>
      <c r="AK175" s="1023"/>
      <c r="AL175" s="1023"/>
      <c r="AM175" s="1023"/>
      <c r="AN175" s="1023"/>
      <c r="AO175" s="957"/>
      <c r="AP175" s="957"/>
      <c r="AQ175" s="957"/>
      <c r="AR175" s="957"/>
      <c r="AS175" s="957"/>
      <c r="AT175" s="957"/>
      <c r="AU175" s="957"/>
      <c r="AV175" s="957"/>
      <c r="AW175" s="957"/>
      <c r="AX175" s="957"/>
      <c r="AY175" s="957"/>
      <c r="AZ175" s="957"/>
      <c r="BA175" s="957"/>
      <c r="BB175" s="957"/>
      <c r="BC175" s="957"/>
      <c r="BD175" s="957"/>
      <c r="BE175" s="957"/>
      <c r="BF175" s="957"/>
      <c r="BG175" s="957"/>
    </row>
    <row r="176" spans="1:113">
      <c r="A176" s="2172"/>
      <c r="B176" s="2206"/>
      <c r="C176" s="2144"/>
      <c r="D176" s="348" t="s">
        <v>768</v>
      </c>
      <c r="E176" s="452">
        <v>9</v>
      </c>
      <c r="F176" s="148" t="s">
        <v>15</v>
      </c>
      <c r="G176" s="148" t="s">
        <v>15</v>
      </c>
      <c r="H176" s="367">
        <v>402.81630000000001</v>
      </c>
      <c r="I176" s="368">
        <v>12.64044</v>
      </c>
      <c r="J176" s="234" t="s">
        <v>15</v>
      </c>
      <c r="K176" s="233" t="s">
        <v>15</v>
      </c>
      <c r="L176" s="234" t="s">
        <v>15</v>
      </c>
      <c r="M176" s="233" t="s">
        <v>15</v>
      </c>
      <c r="N176" s="537">
        <v>0</v>
      </c>
      <c r="O176" s="536" t="s">
        <v>574</v>
      </c>
      <c r="P176" s="536" t="s">
        <v>574</v>
      </c>
      <c r="Q176" s="128">
        <f>5745/$T$168</f>
        <v>0.22576982795513842</v>
      </c>
      <c r="R176" s="2155"/>
      <c r="S176" s="24"/>
      <c r="T176" s="26"/>
      <c r="V176" s="24"/>
      <c r="W176" s="26"/>
      <c r="X176" s="26"/>
      <c r="Y176" s="41"/>
      <c r="Z176" s="41"/>
      <c r="AA176" s="41"/>
      <c r="AB176" s="846"/>
      <c r="AC176" s="26"/>
      <c r="AD176" s="24"/>
      <c r="AE176" s="26"/>
      <c r="AF176" s="106"/>
      <c r="AG176" s="37"/>
      <c r="AH176" s="957"/>
      <c r="AI176" s="1023"/>
      <c r="AJ176" s="1023"/>
      <c r="AK176" s="1023"/>
      <c r="AL176" s="1023"/>
      <c r="AM176" s="1023"/>
      <c r="AN176" s="1023"/>
      <c r="AO176" s="957"/>
      <c r="AP176" s="957"/>
      <c r="AQ176" s="957"/>
      <c r="AR176" s="957"/>
      <c r="AS176" s="957"/>
      <c r="AT176" s="957"/>
      <c r="AU176" s="957"/>
      <c r="AV176" s="957"/>
      <c r="AW176" s="957"/>
      <c r="AX176" s="957"/>
      <c r="AY176" s="957"/>
      <c r="AZ176" s="957"/>
      <c r="BA176" s="957"/>
      <c r="BB176" s="957"/>
      <c r="BC176" s="957"/>
      <c r="BD176" s="957"/>
      <c r="BE176" s="957"/>
      <c r="BF176" s="957"/>
      <c r="BG176" s="957"/>
    </row>
    <row r="177" spans="1:113">
      <c r="A177" s="2172"/>
      <c r="B177" s="2206" t="s">
        <v>770</v>
      </c>
      <c r="C177" s="2144" t="s">
        <v>13</v>
      </c>
      <c r="D177" s="348" t="s">
        <v>771</v>
      </c>
      <c r="E177" s="452">
        <v>94</v>
      </c>
      <c r="F177" s="148" t="s">
        <v>15</v>
      </c>
      <c r="G177" s="148" t="s">
        <v>15</v>
      </c>
      <c r="H177" s="367">
        <v>570.17729999999995</v>
      </c>
      <c r="I177" s="368">
        <v>161.38120000000001</v>
      </c>
      <c r="J177" s="234" t="s">
        <v>15</v>
      </c>
      <c r="K177" s="233" t="s">
        <v>15</v>
      </c>
      <c r="L177" s="234" t="s">
        <v>15</v>
      </c>
      <c r="M177" s="233" t="s">
        <v>15</v>
      </c>
      <c r="N177" s="537">
        <v>0</v>
      </c>
      <c r="O177" s="536" t="s">
        <v>574</v>
      </c>
      <c r="P177" s="536" t="s">
        <v>574</v>
      </c>
      <c r="Q177" s="128">
        <f>23453.59/$T$168</f>
        <v>0.92169068393913922</v>
      </c>
      <c r="R177" s="2130">
        <f>SUMPRODUCT(N177:N178,Q177:Q178)</f>
        <v>16.191408755870942</v>
      </c>
      <c r="S177" s="24"/>
      <c r="T177" s="26"/>
      <c r="V177" s="24"/>
      <c r="W177" s="26"/>
      <c r="X177" s="26"/>
      <c r="Y177" s="41"/>
      <c r="Z177" s="41"/>
      <c r="AA177" s="41"/>
      <c r="AB177" s="846"/>
      <c r="AC177" s="26"/>
      <c r="AD177" s="24"/>
      <c r="AE177" s="26"/>
      <c r="AF177" s="106"/>
      <c r="AG177" s="37"/>
      <c r="AH177" s="957"/>
      <c r="AI177" s="1023"/>
      <c r="AJ177" s="1023"/>
      <c r="AK177" s="1023"/>
      <c r="AL177" s="1023"/>
      <c r="AM177" s="1023"/>
      <c r="AN177" s="1023"/>
      <c r="AO177" s="957"/>
      <c r="AP177" s="957"/>
      <c r="AQ177" s="957"/>
      <c r="AR177" s="957"/>
      <c r="AS177" s="957"/>
      <c r="AT177" s="957"/>
      <c r="AU177" s="957"/>
      <c r="AV177" s="957"/>
      <c r="AW177" s="957"/>
      <c r="AX177" s="957"/>
      <c r="AY177" s="957"/>
      <c r="AZ177" s="957"/>
      <c r="BA177" s="957"/>
      <c r="BB177" s="957"/>
      <c r="BC177" s="957"/>
      <c r="BD177" s="957"/>
      <c r="BE177" s="957"/>
      <c r="BF177" s="957"/>
      <c r="BG177" s="957"/>
    </row>
    <row r="178" spans="1:113">
      <c r="A178" s="2172"/>
      <c r="B178" s="2206"/>
      <c r="C178" s="2144"/>
      <c r="D178" s="348" t="s">
        <v>772</v>
      </c>
      <c r="E178" s="452">
        <v>21</v>
      </c>
      <c r="F178" s="148" t="s">
        <v>15</v>
      </c>
      <c r="G178" s="148" t="s">
        <v>15</v>
      </c>
      <c r="H178" s="367">
        <v>943.29369999999994</v>
      </c>
      <c r="I178" s="368">
        <v>125.99930000000001</v>
      </c>
      <c r="J178" s="234" t="s">
        <v>15</v>
      </c>
      <c r="K178" s="233" t="s">
        <v>15</v>
      </c>
      <c r="L178" s="234" t="s">
        <v>15</v>
      </c>
      <c r="M178" s="233" t="s">
        <v>15</v>
      </c>
      <c r="N178" s="537">
        <v>206.76222920000001</v>
      </c>
      <c r="O178" s="536">
        <v>7.06</v>
      </c>
      <c r="P178" s="536">
        <v>29.266961800000001</v>
      </c>
      <c r="Q178" s="128">
        <f>1992.68/$T$168</f>
        <v>7.8309316060860792E-2</v>
      </c>
      <c r="R178" s="2155"/>
      <c r="S178" s="24"/>
      <c r="T178" s="26"/>
      <c r="V178" s="24"/>
      <c r="W178" s="26"/>
      <c r="X178" s="26"/>
      <c r="Y178" s="41"/>
      <c r="Z178" s="41"/>
      <c r="AA178" s="41"/>
      <c r="AB178" s="846"/>
      <c r="AC178" s="26"/>
      <c r="AD178" s="24"/>
      <c r="AE178" s="26"/>
      <c r="AF178" s="106"/>
      <c r="AG178" s="37"/>
      <c r="AH178" s="957"/>
      <c r="AI178" s="1023"/>
      <c r="AJ178" s="1023"/>
      <c r="AK178" s="1023"/>
      <c r="AL178" s="1023"/>
      <c r="AM178" s="1023"/>
      <c r="AN178" s="1023"/>
      <c r="AO178" s="957"/>
      <c r="AP178" s="957"/>
      <c r="AQ178" s="957"/>
      <c r="AR178" s="957"/>
      <c r="AS178" s="957"/>
      <c r="AT178" s="957"/>
      <c r="AU178" s="957"/>
      <c r="AV178" s="957"/>
      <c r="AW178" s="957"/>
      <c r="AX178" s="957"/>
      <c r="AY178" s="957"/>
      <c r="AZ178" s="957"/>
      <c r="BA178" s="957"/>
      <c r="BB178" s="957"/>
      <c r="BC178" s="957"/>
      <c r="BD178" s="957"/>
      <c r="BE178" s="957"/>
      <c r="BF178" s="957"/>
      <c r="BG178" s="957"/>
    </row>
    <row r="179" spans="1:113">
      <c r="A179" s="2172"/>
      <c r="B179" s="2207" t="s">
        <v>773</v>
      </c>
      <c r="C179" s="2278" t="s">
        <v>13</v>
      </c>
      <c r="D179" s="338" t="s">
        <v>774</v>
      </c>
      <c r="E179" s="452">
        <v>47</v>
      </c>
      <c r="F179" s="148" t="s">
        <v>15</v>
      </c>
      <c r="G179" s="148" t="s">
        <v>15</v>
      </c>
      <c r="H179" s="367">
        <v>450.52949999999998</v>
      </c>
      <c r="I179" s="368">
        <v>93.403279999999995</v>
      </c>
      <c r="J179" s="234" t="s">
        <v>15</v>
      </c>
      <c r="K179" s="233" t="s">
        <v>15</v>
      </c>
      <c r="L179" s="234" t="s">
        <v>15</v>
      </c>
      <c r="M179" s="233" t="s">
        <v>15</v>
      </c>
      <c r="N179" s="537">
        <v>0</v>
      </c>
      <c r="O179" s="536" t="s">
        <v>574</v>
      </c>
      <c r="P179" s="536" t="s">
        <v>574</v>
      </c>
      <c r="Q179" s="128">
        <f>11485.38/$T$168</f>
        <v>0.45135809688414052</v>
      </c>
      <c r="R179" s="2130">
        <f>SUMPRODUCT(N179:N181,Q179:Q181)</f>
        <v>-0.35081358448271605</v>
      </c>
      <c r="S179" s="24"/>
      <c r="T179" s="26"/>
      <c r="V179" s="24"/>
      <c r="W179" s="26"/>
      <c r="X179" s="26"/>
      <c r="Y179" s="41"/>
      <c r="Z179" s="41"/>
      <c r="AA179" s="41"/>
      <c r="AB179" s="846"/>
      <c r="AC179" s="26"/>
      <c r="AD179" s="24"/>
      <c r="AE179" s="26"/>
      <c r="AF179" s="106"/>
      <c r="AG179" s="37"/>
      <c r="AH179" s="957"/>
      <c r="AI179" s="1023"/>
      <c r="AJ179" s="1023"/>
      <c r="AK179" s="1023"/>
      <c r="AL179" s="1023"/>
      <c r="AM179" s="1023"/>
      <c r="AN179" s="1023"/>
      <c r="AO179" s="957"/>
      <c r="AP179" s="957"/>
      <c r="AQ179" s="957"/>
      <c r="AR179" s="957"/>
      <c r="AS179" s="957"/>
      <c r="AT179" s="957"/>
      <c r="AU179" s="957"/>
      <c r="AV179" s="957"/>
      <c r="AW179" s="957"/>
      <c r="AX179" s="957"/>
      <c r="AY179" s="957"/>
      <c r="AZ179" s="957"/>
      <c r="BA179" s="957"/>
      <c r="BB179" s="957"/>
      <c r="BC179" s="957"/>
      <c r="BD179" s="957"/>
      <c r="BE179" s="957"/>
      <c r="BF179" s="957"/>
      <c r="BG179" s="957"/>
    </row>
    <row r="180" spans="1:113">
      <c r="A180" s="2172"/>
      <c r="B180" s="2208"/>
      <c r="C180" s="2279"/>
      <c r="D180" s="338" t="s">
        <v>775</v>
      </c>
      <c r="E180" s="452">
        <v>32</v>
      </c>
      <c r="F180" s="148" t="s">
        <v>15</v>
      </c>
      <c r="G180" s="148" t="s">
        <v>15</v>
      </c>
      <c r="H180" s="367">
        <v>701.57349999999997</v>
      </c>
      <c r="I180" s="368">
        <v>153.29050000000001</v>
      </c>
      <c r="J180" s="234" t="s">
        <v>15</v>
      </c>
      <c r="K180" s="233" t="s">
        <v>15</v>
      </c>
      <c r="L180" s="234" t="s">
        <v>15</v>
      </c>
      <c r="M180" s="233" t="s">
        <v>15</v>
      </c>
      <c r="N180" s="537">
        <v>28.819742099999999</v>
      </c>
      <c r="O180" s="536">
        <v>0.23</v>
      </c>
      <c r="P180" s="536">
        <v>125.41986060000001</v>
      </c>
      <c r="Q180" s="128">
        <f>6628.37/$T$168</f>
        <v>0.260484935513142</v>
      </c>
      <c r="R180" s="2196"/>
      <c r="S180" s="24"/>
      <c r="T180" s="26"/>
      <c r="V180" s="24"/>
      <c r="W180" s="26"/>
      <c r="X180" s="26"/>
      <c r="Y180" s="41"/>
      <c r="Z180" s="41"/>
      <c r="AA180" s="41"/>
      <c r="AB180" s="846"/>
      <c r="AC180" s="26"/>
      <c r="AD180" s="24"/>
      <c r="AE180" s="26"/>
      <c r="AF180" s="106"/>
      <c r="AG180" s="37"/>
      <c r="AH180" s="957"/>
      <c r="AI180" s="1023"/>
      <c r="AJ180" s="1023"/>
      <c r="AK180" s="1023"/>
      <c r="AL180" s="1023"/>
      <c r="AM180" s="1023"/>
      <c r="AN180" s="1023"/>
      <c r="AO180" s="957"/>
      <c r="AP180" s="957"/>
      <c r="AQ180" s="957"/>
      <c r="AR180" s="957"/>
      <c r="AS180" s="957"/>
      <c r="AT180" s="957"/>
      <c r="AU180" s="957"/>
      <c r="AV180" s="957"/>
      <c r="AW180" s="957"/>
      <c r="AX180" s="957"/>
      <c r="AY180" s="957"/>
      <c r="AZ180" s="957"/>
      <c r="BA180" s="957"/>
      <c r="BB180" s="957"/>
      <c r="BC180" s="957"/>
      <c r="BD180" s="957"/>
      <c r="BE180" s="957"/>
      <c r="BF180" s="957"/>
      <c r="BG180" s="957"/>
    </row>
    <row r="181" spans="1:113">
      <c r="A181" s="2172"/>
      <c r="B181" s="2208"/>
      <c r="C181" s="2279"/>
      <c r="D181" s="338" t="s">
        <v>776</v>
      </c>
      <c r="E181" s="452">
        <v>36</v>
      </c>
      <c r="F181" s="148" t="s">
        <v>15</v>
      </c>
      <c r="G181" s="148" t="s">
        <v>15</v>
      </c>
      <c r="H181" s="367">
        <v>740.2088</v>
      </c>
      <c r="I181" s="368">
        <v>153.63310000000001</v>
      </c>
      <c r="J181" s="234" t="s">
        <v>15</v>
      </c>
      <c r="K181" s="233" t="s">
        <v>15</v>
      </c>
      <c r="L181" s="234" t="s">
        <v>15</v>
      </c>
      <c r="M181" s="233" t="s">
        <v>15</v>
      </c>
      <c r="N181" s="537">
        <v>-27.2695896</v>
      </c>
      <c r="O181" s="536">
        <v>-0.22</v>
      </c>
      <c r="P181" s="536">
        <v>122.05335789999999</v>
      </c>
      <c r="Q181" s="128">
        <f>7332.52/$T$168</f>
        <v>0.28815696760271742</v>
      </c>
      <c r="R181" s="2196"/>
      <c r="S181" s="24"/>
      <c r="T181" s="26"/>
      <c r="V181" s="24"/>
      <c r="W181" s="26"/>
      <c r="X181" s="26"/>
      <c r="Y181" s="41"/>
      <c r="Z181" s="41"/>
      <c r="AA181" s="41"/>
      <c r="AB181" s="846"/>
      <c r="AC181" s="26"/>
      <c r="AD181" s="24"/>
      <c r="AE181" s="26"/>
      <c r="AF181" s="106"/>
      <c r="AG181" s="37"/>
      <c r="AH181" s="957"/>
      <c r="AI181" s="1023"/>
      <c r="AJ181" s="1023"/>
      <c r="AK181" s="1023"/>
      <c r="AL181" s="1023"/>
      <c r="AM181" s="1023"/>
      <c r="AN181" s="1023"/>
      <c r="AO181" s="957"/>
      <c r="AP181" s="957"/>
      <c r="AQ181" s="957"/>
      <c r="AR181" s="957"/>
      <c r="AS181" s="957"/>
      <c r="AT181" s="957"/>
      <c r="AU181" s="957"/>
      <c r="AV181" s="957"/>
      <c r="AW181" s="957"/>
      <c r="AX181" s="957"/>
      <c r="AY181" s="957"/>
      <c r="AZ181" s="957"/>
      <c r="BA181" s="957"/>
      <c r="BB181" s="957"/>
      <c r="BC181" s="957"/>
      <c r="BD181" s="957"/>
      <c r="BE181" s="957"/>
      <c r="BF181" s="957"/>
      <c r="BG181" s="957"/>
    </row>
    <row r="182" spans="1:113">
      <c r="A182" s="2172"/>
      <c r="B182" s="2206" t="s">
        <v>787</v>
      </c>
      <c r="C182" s="2205" t="s">
        <v>11</v>
      </c>
      <c r="D182" s="338" t="s">
        <v>33</v>
      </c>
      <c r="E182" s="452">
        <v>61</v>
      </c>
      <c r="F182" s="148" t="s">
        <v>15</v>
      </c>
      <c r="G182" s="148" t="s">
        <v>15</v>
      </c>
      <c r="H182" s="367">
        <v>722.51210000000003</v>
      </c>
      <c r="I182" s="368">
        <v>154.7929</v>
      </c>
      <c r="J182" s="234" t="s">
        <v>15</v>
      </c>
      <c r="K182" s="233" t="s">
        <v>15</v>
      </c>
      <c r="L182" s="234" t="s">
        <v>15</v>
      </c>
      <c r="M182" s="233" t="s">
        <v>15</v>
      </c>
      <c r="N182" s="537">
        <v>131.2744677</v>
      </c>
      <c r="O182" s="536">
        <v>1.31</v>
      </c>
      <c r="P182" s="536">
        <v>100.1695536</v>
      </c>
      <c r="Q182" s="128">
        <f>13868.6/$T$168</f>
        <v>0.54501504542709012</v>
      </c>
      <c r="R182" s="2130">
        <f>SUMPRODUCT(N182:N183,Q182:Q183)</f>
        <v>71.546559976932571</v>
      </c>
      <c r="S182" s="24"/>
      <c r="T182" s="26"/>
      <c r="V182" s="24"/>
      <c r="W182" s="26"/>
      <c r="X182" s="26"/>
      <c r="Y182" s="41"/>
      <c r="Z182" s="41"/>
      <c r="AA182" s="41"/>
      <c r="AB182" s="846"/>
      <c r="AC182" s="26"/>
      <c r="AD182" s="24"/>
      <c r="AE182" s="26"/>
      <c r="AF182" s="106"/>
      <c r="AG182" s="37"/>
      <c r="AH182" s="957"/>
      <c r="AI182" s="1023"/>
      <c r="AJ182" s="1023"/>
      <c r="AK182" s="1023"/>
      <c r="AL182" s="1023"/>
      <c r="AM182" s="1023"/>
      <c r="AN182" s="1023"/>
      <c r="AO182" s="957"/>
      <c r="AP182" s="957"/>
      <c r="AQ182" s="957"/>
      <c r="AR182" s="957"/>
      <c r="AS182" s="957"/>
      <c r="AT182" s="957"/>
      <c r="AU182" s="957"/>
      <c r="AV182" s="957"/>
      <c r="AW182" s="957"/>
      <c r="AX182" s="957"/>
      <c r="AY182" s="957"/>
      <c r="AZ182" s="957"/>
      <c r="BA182" s="957"/>
      <c r="BB182" s="957"/>
      <c r="BC182" s="957"/>
      <c r="BD182" s="957"/>
      <c r="BE182" s="957"/>
      <c r="BF182" s="957"/>
      <c r="BG182" s="957"/>
    </row>
    <row r="183" spans="1:113">
      <c r="A183" s="2172"/>
      <c r="B183" s="2206"/>
      <c r="C183" s="2205"/>
      <c r="D183" s="338" t="s">
        <v>32</v>
      </c>
      <c r="E183" s="452">
        <v>54</v>
      </c>
      <c r="F183" s="148" t="s">
        <v>15</v>
      </c>
      <c r="G183" s="148" t="s">
        <v>15</v>
      </c>
      <c r="H183" s="367">
        <v>451.91789999999997</v>
      </c>
      <c r="I183" s="368">
        <v>94.69435</v>
      </c>
      <c r="J183" s="234" t="s">
        <v>15</v>
      </c>
      <c r="K183" s="233" t="s">
        <v>15</v>
      </c>
      <c r="L183" s="234" t="s">
        <v>15</v>
      </c>
      <c r="M183" s="233" t="s">
        <v>15</v>
      </c>
      <c r="N183" s="537">
        <v>0</v>
      </c>
      <c r="O183" s="536" t="s">
        <v>574</v>
      </c>
      <c r="P183" s="536" t="s">
        <v>574</v>
      </c>
      <c r="Q183" s="128">
        <f>11577.67/$T$168</f>
        <v>0.45498495457290988</v>
      </c>
      <c r="R183" s="2155"/>
      <c r="S183" s="24"/>
      <c r="T183" s="26"/>
      <c r="V183" s="24"/>
      <c r="W183" s="26"/>
      <c r="X183" s="26"/>
      <c r="Y183" s="41"/>
      <c r="Z183" s="41"/>
      <c r="AA183" s="41"/>
      <c r="AB183" s="846"/>
      <c r="AC183" s="26"/>
      <c r="AD183" s="24"/>
      <c r="AE183" s="26"/>
      <c r="AF183" s="106"/>
      <c r="AG183" s="37"/>
      <c r="AH183" s="957"/>
      <c r="AI183" s="1023"/>
      <c r="AJ183" s="1023"/>
      <c r="AK183" s="1023"/>
      <c r="AL183" s="1023"/>
      <c r="AM183" s="1023"/>
      <c r="AN183" s="1023"/>
      <c r="AO183" s="957"/>
      <c r="AP183" s="957"/>
      <c r="AQ183" s="957"/>
      <c r="AR183" s="957"/>
      <c r="AS183" s="957"/>
      <c r="AT183" s="957"/>
      <c r="AU183" s="957"/>
      <c r="AV183" s="957"/>
      <c r="AW183" s="957"/>
      <c r="AX183" s="957"/>
      <c r="AY183" s="957"/>
      <c r="AZ183" s="957"/>
      <c r="BA183" s="957"/>
      <c r="BB183" s="957"/>
      <c r="BC183" s="957"/>
      <c r="BD183" s="957"/>
      <c r="BE183" s="957"/>
      <c r="BF183" s="957"/>
      <c r="BG183" s="957"/>
    </row>
    <row r="184" spans="1:113">
      <c r="A184" s="2172"/>
      <c r="B184" s="2206" t="s">
        <v>7</v>
      </c>
      <c r="C184" s="2144" t="s">
        <v>13</v>
      </c>
      <c r="D184" s="348">
        <v>1</v>
      </c>
      <c r="E184" s="452">
        <v>44</v>
      </c>
      <c r="F184" s="148" t="s">
        <v>15</v>
      </c>
      <c r="G184" s="148" t="s">
        <v>15</v>
      </c>
      <c r="H184" s="367">
        <v>690.2328</v>
      </c>
      <c r="I184" s="368">
        <v>192.94900000000001</v>
      </c>
      <c r="J184" s="234" t="s">
        <v>15</v>
      </c>
      <c r="K184" s="233" t="s">
        <v>15</v>
      </c>
      <c r="L184" s="234" t="s">
        <v>15</v>
      </c>
      <c r="M184" s="233" t="s">
        <v>15</v>
      </c>
      <c r="N184" s="537">
        <v>55.910244400000003</v>
      </c>
      <c r="O184" s="536">
        <v>2.97</v>
      </c>
      <c r="P184" s="536">
        <v>18.8334391</v>
      </c>
      <c r="Q184" s="128">
        <f>13395.5/$T$168</f>
        <v>0.52642292956885228</v>
      </c>
      <c r="R184" s="2130">
        <f>SUMPRODUCT(N184:N186,Q184:Q186)</f>
        <v>29.008069333706473</v>
      </c>
      <c r="S184" s="24"/>
      <c r="T184" s="26"/>
      <c r="V184" s="24"/>
      <c r="W184" s="26"/>
      <c r="X184" s="26"/>
      <c r="Y184" s="41"/>
      <c r="Z184" s="41"/>
      <c r="AA184" s="41"/>
      <c r="AB184" s="846"/>
      <c r="AC184" s="26"/>
      <c r="AD184" s="24"/>
      <c r="AE184" s="26"/>
      <c r="AF184" s="106"/>
      <c r="AG184" s="37"/>
      <c r="AH184" s="957"/>
      <c r="AI184" s="1023"/>
      <c r="AJ184" s="1023"/>
      <c r="AK184" s="1023"/>
      <c r="AL184" s="1023"/>
      <c r="AM184" s="1023"/>
      <c r="AN184" s="1023"/>
      <c r="AO184" s="957"/>
      <c r="AP184" s="957"/>
      <c r="AQ184" s="957"/>
      <c r="AR184" s="957"/>
      <c r="AS184" s="957"/>
      <c r="AT184" s="957"/>
      <c r="AU184" s="957"/>
      <c r="AV184" s="957"/>
      <c r="AW184" s="957"/>
      <c r="AX184" s="957"/>
      <c r="AY184" s="957"/>
      <c r="AZ184" s="957"/>
      <c r="BA184" s="957"/>
      <c r="BB184" s="957"/>
      <c r="BC184" s="957"/>
      <c r="BD184" s="957"/>
      <c r="BE184" s="957"/>
      <c r="BF184" s="957"/>
      <c r="BG184" s="957"/>
    </row>
    <row r="185" spans="1:113">
      <c r="A185" s="2172"/>
      <c r="B185" s="2206"/>
      <c r="C185" s="2144"/>
      <c r="D185" s="348">
        <v>2</v>
      </c>
      <c r="E185" s="452">
        <v>40</v>
      </c>
      <c r="F185" s="148" t="s">
        <v>15</v>
      </c>
      <c r="G185" s="148" t="s">
        <v>15</v>
      </c>
      <c r="H185" s="367">
        <v>497.26049999999998</v>
      </c>
      <c r="I185" s="368">
        <v>125.0767</v>
      </c>
      <c r="J185" s="234" t="s">
        <v>15</v>
      </c>
      <c r="K185" s="233" t="s">
        <v>15</v>
      </c>
      <c r="L185" s="234" t="s">
        <v>15</v>
      </c>
      <c r="M185" s="233" t="s">
        <v>15</v>
      </c>
      <c r="N185" s="537">
        <v>-1.4409643000000001</v>
      </c>
      <c r="O185" s="536">
        <v>-0.08</v>
      </c>
      <c r="P185" s="536">
        <v>18.454551500000001</v>
      </c>
      <c r="Q185" s="128">
        <f>7493.95/$T$168</f>
        <v>0.29450092292504954</v>
      </c>
      <c r="R185" s="2196"/>
      <c r="S185" s="24"/>
      <c r="T185" s="26"/>
      <c r="V185" s="24"/>
      <c r="W185" s="26"/>
      <c r="X185" s="26"/>
      <c r="Y185" s="41"/>
      <c r="Z185" s="41"/>
      <c r="AA185" s="41"/>
      <c r="AB185" s="846"/>
      <c r="AC185" s="26"/>
      <c r="AD185" s="24"/>
      <c r="AE185" s="26"/>
      <c r="AF185" s="106"/>
      <c r="AG185" s="37"/>
      <c r="AH185" s="957"/>
      <c r="AI185" s="1023"/>
      <c r="AJ185" s="1023"/>
      <c r="AK185" s="1023"/>
      <c r="AL185" s="1023"/>
      <c r="AM185" s="1023"/>
      <c r="AN185" s="1023"/>
      <c r="AO185" s="957"/>
      <c r="AP185" s="957"/>
      <c r="AQ185" s="957"/>
      <c r="AR185" s="957"/>
      <c r="AS185" s="957"/>
      <c r="AT185" s="957"/>
      <c r="AU185" s="957"/>
      <c r="AV185" s="957"/>
      <c r="AW185" s="957"/>
      <c r="AX185" s="957"/>
      <c r="AY185" s="957"/>
      <c r="AZ185" s="957"/>
      <c r="BA185" s="957"/>
      <c r="BB185" s="957"/>
      <c r="BC185" s="957"/>
      <c r="BD185" s="957"/>
      <c r="BE185" s="957"/>
      <c r="BF185" s="957"/>
      <c r="BG185" s="957"/>
    </row>
    <row r="186" spans="1:113" ht="15.75" thickBot="1">
      <c r="A186" s="2172"/>
      <c r="B186" s="2206"/>
      <c r="C186" s="2144"/>
      <c r="D186" s="205">
        <v>3</v>
      </c>
      <c r="E186" s="25">
        <v>31</v>
      </c>
      <c r="F186" s="197" t="s">
        <v>15</v>
      </c>
      <c r="G186" s="197" t="s">
        <v>15</v>
      </c>
      <c r="H186" s="367">
        <v>500.33319999999998</v>
      </c>
      <c r="I186" s="368">
        <v>103.46599999999999</v>
      </c>
      <c r="J186" s="409" t="s">
        <v>15</v>
      </c>
      <c r="K186" s="122" t="s">
        <v>15</v>
      </c>
      <c r="L186" s="409" t="s">
        <v>15</v>
      </c>
      <c r="M186" s="122" t="s">
        <v>15</v>
      </c>
      <c r="N186" s="1201">
        <v>0</v>
      </c>
      <c r="O186" s="133" t="s">
        <v>574</v>
      </c>
      <c r="P186" s="133" t="s">
        <v>574</v>
      </c>
      <c r="Q186" s="286">
        <f>4556.82/$T$168</f>
        <v>0.17907614750609813</v>
      </c>
      <c r="R186" s="2196"/>
      <c r="S186" s="24"/>
      <c r="T186" s="26"/>
      <c r="V186" s="24"/>
      <c r="W186" s="26"/>
      <c r="X186" s="26"/>
      <c r="Y186" s="41"/>
      <c r="Z186" s="41"/>
      <c r="AA186" s="41"/>
      <c r="AB186" s="846"/>
      <c r="AC186" s="26"/>
      <c r="AD186" s="240"/>
      <c r="AE186" s="764"/>
      <c r="AF186" s="106"/>
      <c r="AG186" s="37"/>
      <c r="AH186" s="957"/>
      <c r="AI186" s="1023"/>
      <c r="AJ186" s="1023"/>
      <c r="AK186" s="1023"/>
      <c r="AL186" s="1023"/>
      <c r="AM186" s="1023"/>
      <c r="AN186" s="1023"/>
      <c r="AO186" s="957"/>
      <c r="AP186" s="957"/>
      <c r="AQ186" s="957"/>
      <c r="AR186" s="957"/>
      <c r="AS186" s="957"/>
      <c r="AT186" s="957"/>
      <c r="AU186" s="957"/>
      <c r="AV186" s="957"/>
      <c r="AW186" s="957"/>
      <c r="AX186" s="957"/>
      <c r="AY186" s="957"/>
      <c r="AZ186" s="957"/>
      <c r="BA186" s="957"/>
      <c r="BB186" s="957"/>
      <c r="BC186" s="957"/>
      <c r="BD186" s="957"/>
      <c r="BE186" s="957"/>
      <c r="BF186" s="957"/>
      <c r="BG186" s="957"/>
    </row>
    <row r="187" spans="1:113" s="692" customFormat="1" ht="9" customHeight="1" thickBot="1">
      <c r="A187" s="695"/>
      <c r="B187" s="815"/>
      <c r="C187" s="684"/>
      <c r="D187" s="683"/>
      <c r="E187" s="684"/>
      <c r="F187" s="684"/>
      <c r="G187" s="684"/>
      <c r="H187" s="684"/>
      <c r="I187" s="684"/>
      <c r="J187" s="682"/>
      <c r="K187" s="683"/>
      <c r="L187" s="682"/>
      <c r="M187" s="685"/>
      <c r="N187" s="1189"/>
      <c r="O187" s="686"/>
      <c r="P187" s="686"/>
      <c r="Q187" s="687"/>
      <c r="R187" s="687"/>
      <c r="S187" s="688"/>
      <c r="T187" s="688"/>
      <c r="U187" s="854"/>
      <c r="V187" s="893"/>
      <c r="W187" s="685"/>
      <c r="X187" s="685"/>
      <c r="Y187" s="688"/>
      <c r="Z187" s="688"/>
      <c r="AA187" s="688"/>
      <c r="AB187" s="846"/>
      <c r="AC187" s="685"/>
      <c r="AD187" s="685"/>
      <c r="AE187" s="685"/>
      <c r="AF187" s="689"/>
      <c r="AG187" s="685"/>
      <c r="AH187" s="959"/>
      <c r="AI187" s="959"/>
      <c r="AJ187" s="959"/>
      <c r="AK187" s="959"/>
      <c r="AL187" s="959"/>
      <c r="AM187" s="959"/>
      <c r="AN187" s="959"/>
      <c r="AO187" s="958"/>
      <c r="AP187" s="958"/>
      <c r="AQ187" s="958"/>
      <c r="AR187" s="958"/>
      <c r="AS187" s="958"/>
      <c r="AT187" s="958"/>
      <c r="AU187" s="958"/>
      <c r="AV187" s="958"/>
      <c r="AW187" s="958"/>
      <c r="AX187" s="958"/>
      <c r="AY187" s="958"/>
      <c r="AZ187" s="958"/>
      <c r="BA187" s="958"/>
      <c r="BB187" s="958"/>
      <c r="BC187" s="958"/>
      <c r="BD187" s="958"/>
      <c r="BE187" s="958"/>
      <c r="BF187" s="958"/>
      <c r="BG187" s="958"/>
      <c r="BH187" s="1125"/>
      <c r="DI187" s="693"/>
    </row>
    <row r="188" spans="1:113" s="7" customFormat="1" ht="15" customHeight="1">
      <c r="A188" s="2171" t="s">
        <v>1282</v>
      </c>
      <c r="B188" s="1057" t="s">
        <v>754</v>
      </c>
      <c r="C188" s="809" t="s">
        <v>12</v>
      </c>
      <c r="D188" s="232" t="s">
        <v>825</v>
      </c>
      <c r="E188" s="534">
        <v>139</v>
      </c>
      <c r="F188" s="258">
        <v>43.799149999999997</v>
      </c>
      <c r="G188" s="258">
        <v>9.8238719999999997</v>
      </c>
      <c r="H188" s="367">
        <v>336.21089999999998</v>
      </c>
      <c r="I188" s="368">
        <v>117.87090000000001</v>
      </c>
      <c r="J188" s="268" t="s">
        <v>15</v>
      </c>
      <c r="K188" s="132" t="s">
        <v>15</v>
      </c>
      <c r="L188" s="1165" t="s">
        <v>14</v>
      </c>
      <c r="M188" s="1150" t="s">
        <v>790</v>
      </c>
      <c r="N188" s="1190">
        <v>1.6484422999999999</v>
      </c>
      <c r="O188" s="442">
        <v>1.31</v>
      </c>
      <c r="P188" s="442">
        <v>1.2593943999999999</v>
      </c>
      <c r="Q188" s="254" t="s">
        <v>15</v>
      </c>
      <c r="R188" s="258">
        <f>N188</f>
        <v>1.6484422999999999</v>
      </c>
      <c r="S188" s="124" t="s">
        <v>68</v>
      </c>
      <c r="T188" s="125" t="s">
        <v>69</v>
      </c>
      <c r="U188" s="858"/>
      <c r="V188" s="2232" t="s">
        <v>863</v>
      </c>
      <c r="W188" s="295" t="s">
        <v>47</v>
      </c>
      <c r="X188" s="295" t="s">
        <v>873</v>
      </c>
      <c r="Y188" s="220">
        <f>T195+SUM(R190:R225)+N188*76+N189*1</f>
        <v>321.64617665126104</v>
      </c>
      <c r="Z188" s="282" t="s">
        <v>40</v>
      </c>
      <c r="AA188" s="575" t="s">
        <v>40</v>
      </c>
      <c r="AB188" s="846"/>
      <c r="AC188" s="26"/>
      <c r="AD188" s="2131" t="s">
        <v>142</v>
      </c>
      <c r="AE188" s="2133"/>
      <c r="AF188" s="497" t="s">
        <v>49</v>
      </c>
      <c r="AG188" s="494" t="s">
        <v>971</v>
      </c>
      <c r="AH188" s="158">
        <f>T195+SUM(R212:R215,R218:R222)+N216+N205</f>
        <v>392.39243267090023</v>
      </c>
      <c r="AI188" s="158">
        <v>369.99</v>
      </c>
      <c r="AJ188" s="158"/>
      <c r="AK188" s="158">
        <v>369</v>
      </c>
      <c r="AL188" s="158">
        <v>389</v>
      </c>
      <c r="AM188" s="158">
        <v>349.99</v>
      </c>
      <c r="AN188" s="170"/>
      <c r="AO188" s="1011"/>
      <c r="AP188" s="957"/>
      <c r="AQ188" s="957"/>
      <c r="AR188" s="957"/>
      <c r="AS188" s="957"/>
      <c r="AT188" s="1012"/>
      <c r="AU188" s="1023"/>
      <c r="AV188" s="957"/>
      <c r="AW188" s="957"/>
      <c r="AX188" s="957"/>
      <c r="AY188" s="957"/>
      <c r="AZ188" s="957"/>
      <c r="BA188" s="957"/>
      <c r="BB188" s="957"/>
      <c r="BC188" s="957"/>
      <c r="BD188" s="957"/>
      <c r="BE188" s="957"/>
      <c r="BF188" s="957"/>
      <c r="BG188" s="957"/>
      <c r="BH188" s="1125"/>
      <c r="DI188" s="566"/>
    </row>
    <row r="189" spans="1:113">
      <c r="A189" s="2172"/>
      <c r="B189" s="1056" t="s">
        <v>756</v>
      </c>
      <c r="C189" s="356" t="s">
        <v>12</v>
      </c>
      <c r="D189" s="291" t="s">
        <v>826</v>
      </c>
      <c r="E189" s="452">
        <v>139</v>
      </c>
      <c r="F189" s="128">
        <v>0.34015499999999999</v>
      </c>
      <c r="G189" s="128">
        <v>0.19439999999999999</v>
      </c>
      <c r="H189" s="367">
        <v>336.21089999999998</v>
      </c>
      <c r="I189" s="368">
        <v>117.87090000000001</v>
      </c>
      <c r="J189" s="234" t="s">
        <v>15</v>
      </c>
      <c r="K189" s="233" t="s">
        <v>15</v>
      </c>
      <c r="L189" s="234" t="s">
        <v>15</v>
      </c>
      <c r="M189" s="233" t="s">
        <v>15</v>
      </c>
      <c r="N189" s="537">
        <v>-115.3104348</v>
      </c>
      <c r="O189" s="536">
        <v>-2.93</v>
      </c>
      <c r="P189" s="536">
        <v>39.404142100000001</v>
      </c>
      <c r="Q189" s="195" t="s">
        <v>15</v>
      </c>
      <c r="R189" s="128">
        <f>N189</f>
        <v>-115.3104348</v>
      </c>
      <c r="S189" s="31" t="s">
        <v>70</v>
      </c>
      <c r="T189" s="117" t="s">
        <v>71</v>
      </c>
      <c r="U189" s="854"/>
      <c r="V189" s="2233"/>
      <c r="W189" s="983" t="s">
        <v>49</v>
      </c>
      <c r="X189" s="338" t="s">
        <v>876</v>
      </c>
      <c r="Y189" s="169">
        <f>T195+SUM(R190:R225)+N188*43+N189*1</f>
        <v>267.24758075126107</v>
      </c>
      <c r="Z189" s="169">
        <f>Y189-Y188</f>
        <v>-54.398595899999975</v>
      </c>
      <c r="AA189" s="576">
        <f>(76-43)*P188</f>
        <v>41.560015199999995</v>
      </c>
      <c r="AB189" s="918"/>
      <c r="AC189" s="26"/>
      <c r="AD189" s="20" t="s">
        <v>98</v>
      </c>
      <c r="AE189" s="278">
        <v>0.190270370537685</v>
      </c>
      <c r="AF189" s="497" t="s">
        <v>49</v>
      </c>
      <c r="AG189" s="494" t="s">
        <v>972</v>
      </c>
      <c r="AH189" s="158">
        <f>T195+SUM(R212:R215,R218:R222)+N216+N199</f>
        <v>464.01074277090026</v>
      </c>
      <c r="AI189" s="158">
        <v>399.99</v>
      </c>
      <c r="AJ189" s="158">
        <v>379.99</v>
      </c>
      <c r="AK189" s="158">
        <v>334.12</v>
      </c>
      <c r="AL189" s="158">
        <v>327.99</v>
      </c>
      <c r="AM189" s="158"/>
      <c r="AN189" s="170">
        <v>449.99</v>
      </c>
      <c r="AO189" s="1011"/>
      <c r="AP189" s="957"/>
      <c r="AQ189" s="957"/>
      <c r="AR189" s="957"/>
      <c r="AS189" s="957"/>
      <c r="AT189" s="1012"/>
      <c r="AU189" s="1023"/>
      <c r="AV189" s="957"/>
      <c r="AW189" s="957"/>
      <c r="AX189" s="957"/>
      <c r="AY189" s="957"/>
      <c r="AZ189" s="957"/>
      <c r="BA189" s="957"/>
      <c r="BB189" s="957"/>
      <c r="BC189" s="957"/>
      <c r="BD189" s="957"/>
      <c r="BE189" s="957"/>
      <c r="BF189" s="957"/>
      <c r="BG189" s="957"/>
    </row>
    <row r="190" spans="1:113">
      <c r="A190" s="2172"/>
      <c r="B190" s="2206" t="s">
        <v>153</v>
      </c>
      <c r="C190" s="2144" t="s">
        <v>13</v>
      </c>
      <c r="D190" s="348" t="s">
        <v>791</v>
      </c>
      <c r="E190" s="452">
        <v>1</v>
      </c>
      <c r="F190" s="148" t="s">
        <v>15</v>
      </c>
      <c r="G190" s="148" t="s">
        <v>15</v>
      </c>
      <c r="H190" s="367">
        <v>245.4023</v>
      </c>
      <c r="I190" s="368">
        <v>0</v>
      </c>
      <c r="J190" s="234" t="s">
        <v>15</v>
      </c>
      <c r="K190" s="233" t="s">
        <v>15</v>
      </c>
      <c r="L190" s="234" t="s">
        <v>15</v>
      </c>
      <c r="M190" s="233" t="s">
        <v>15</v>
      </c>
      <c r="N190" s="537">
        <v>33.838967599999997</v>
      </c>
      <c r="O190" s="536">
        <v>0.28000000000000003</v>
      </c>
      <c r="P190" s="536">
        <v>121.6863676</v>
      </c>
      <c r="Q190" s="128">
        <f>91.01/$T$193</f>
        <v>2.266967633750094E-3</v>
      </c>
      <c r="R190" s="2130">
        <f>SUMPRODUCT(N190:N209,Q190:Q209)</f>
        <v>61.950147283449041</v>
      </c>
      <c r="S190" s="127" t="s">
        <v>72</v>
      </c>
      <c r="T190" s="119" t="s">
        <v>119</v>
      </c>
      <c r="U190" s="855"/>
      <c r="V190" s="2233"/>
      <c r="W190" s="983" t="s">
        <v>49</v>
      </c>
      <c r="X190" s="338" t="s">
        <v>874</v>
      </c>
      <c r="Y190" s="169">
        <f>T195+SUM(R190:R225)+N188*34.9+N189*1</f>
        <v>253.89519812126105</v>
      </c>
      <c r="Z190" s="169">
        <f>Y190-Y188</f>
        <v>-67.750978529999998</v>
      </c>
      <c r="AA190" s="576">
        <f>(76-34.9)*P188</f>
        <v>51.761109839999996</v>
      </c>
      <c r="AB190" s="918"/>
      <c r="AC190" s="26"/>
      <c r="AD190" s="20" t="s">
        <v>143</v>
      </c>
      <c r="AE190" s="278">
        <v>0.16552162443151269</v>
      </c>
      <c r="AF190" s="497" t="s">
        <v>49</v>
      </c>
      <c r="AG190" s="494" t="s">
        <v>973</v>
      </c>
      <c r="AH190" s="158">
        <f>T195+SUM(R212:R215,R218:R222)+N205</f>
        <v>571.84137217090029</v>
      </c>
      <c r="AI190" s="158"/>
      <c r="AJ190" s="158"/>
      <c r="AK190" s="158"/>
      <c r="AL190" s="158"/>
      <c r="AM190" s="158"/>
      <c r="AN190" s="170"/>
      <c r="AO190" s="1011"/>
      <c r="AP190" s="957"/>
      <c r="AQ190" s="957"/>
      <c r="AR190" s="957"/>
      <c r="AS190" s="957"/>
      <c r="AT190" s="1012"/>
      <c r="AU190" s="1023"/>
      <c r="AV190" s="957"/>
      <c r="AW190" s="957"/>
      <c r="AX190" s="957"/>
      <c r="AY190" s="957"/>
      <c r="AZ190" s="957"/>
      <c r="BA190" s="957"/>
      <c r="BB190" s="957"/>
      <c r="BC190" s="957"/>
      <c r="BD190" s="957"/>
      <c r="BE190" s="957"/>
      <c r="BF190" s="957"/>
      <c r="BG190" s="957"/>
    </row>
    <row r="191" spans="1:113">
      <c r="A191" s="2172"/>
      <c r="B191" s="2206"/>
      <c r="C191" s="2144"/>
      <c r="D191" s="434" t="s">
        <v>757</v>
      </c>
      <c r="E191" s="452">
        <v>13</v>
      </c>
      <c r="F191" s="148" t="s">
        <v>15</v>
      </c>
      <c r="G191" s="148" t="s">
        <v>15</v>
      </c>
      <c r="H191" s="367">
        <v>292.18610000000001</v>
      </c>
      <c r="I191" s="368">
        <v>38.19764</v>
      </c>
      <c r="J191" s="234" t="s">
        <v>15</v>
      </c>
      <c r="K191" s="233" t="s">
        <v>15</v>
      </c>
      <c r="L191" s="234" t="s">
        <v>15</v>
      </c>
      <c r="M191" s="233" t="s">
        <v>15</v>
      </c>
      <c r="N191" s="537">
        <v>1.6575637999999999</v>
      </c>
      <c r="O191" s="536">
        <v>0.02</v>
      </c>
      <c r="P191" s="536">
        <v>108.98679660000001</v>
      </c>
      <c r="Q191" s="128">
        <f>10249.42/$T$193</f>
        <v>0.25530275139776826</v>
      </c>
      <c r="R191" s="2196"/>
      <c r="S191" s="452" t="s">
        <v>73</v>
      </c>
      <c r="T191" s="433"/>
      <c r="U191" s="859"/>
      <c r="V191" s="24"/>
      <c r="W191" s="26"/>
      <c r="X191" s="26"/>
      <c r="Y191" s="41"/>
      <c r="Z191" s="41"/>
      <c r="AA191" s="41"/>
      <c r="AB191" s="846"/>
      <c r="AC191" s="26"/>
      <c r="AD191" s="20" t="s">
        <v>144</v>
      </c>
      <c r="AE191" s="278">
        <v>8.7209066089980313E-3</v>
      </c>
      <c r="AF191" s="497" t="s">
        <v>49</v>
      </c>
      <c r="AG191" s="494" t="s">
        <v>974</v>
      </c>
      <c r="AH191" s="158">
        <f>T195+SUM(R212:R215,R218:R222)+N199</f>
        <v>643.4596822709002</v>
      </c>
      <c r="AI191" s="158"/>
      <c r="AJ191" s="158"/>
      <c r="AK191" s="158">
        <v>449</v>
      </c>
      <c r="AL191" s="158"/>
      <c r="AM191" s="158"/>
      <c r="AN191" s="170"/>
      <c r="AO191" s="1011"/>
      <c r="AP191" s="957"/>
      <c r="AQ191" s="957"/>
      <c r="AR191" s="957"/>
      <c r="AS191" s="957"/>
      <c r="AT191" s="1012"/>
      <c r="AU191" s="1023"/>
      <c r="AV191" s="957"/>
      <c r="AW191" s="957"/>
      <c r="AX191" s="957"/>
      <c r="AY191" s="957"/>
      <c r="AZ191" s="957"/>
      <c r="BA191" s="957"/>
      <c r="BB191" s="957"/>
      <c r="BC191" s="957"/>
      <c r="BD191" s="957"/>
      <c r="BE191" s="957"/>
      <c r="BF191" s="957"/>
      <c r="BG191" s="957"/>
    </row>
    <row r="192" spans="1:113">
      <c r="A192" s="2172"/>
      <c r="B192" s="2206"/>
      <c r="C192" s="2144"/>
      <c r="D192" s="348" t="s">
        <v>758</v>
      </c>
      <c r="E192" s="452">
        <v>4</v>
      </c>
      <c r="F192" s="148" t="s">
        <v>15</v>
      </c>
      <c r="G192" s="148" t="s">
        <v>15</v>
      </c>
      <c r="H192" s="367">
        <v>289.83440000000002</v>
      </c>
      <c r="I192" s="368">
        <v>4.5424389999999999</v>
      </c>
      <c r="J192" s="234" t="s">
        <v>15</v>
      </c>
      <c r="K192" s="233" t="s">
        <v>15</v>
      </c>
      <c r="L192" s="234" t="s">
        <v>15</v>
      </c>
      <c r="M192" s="233" t="s">
        <v>15</v>
      </c>
      <c r="N192" s="537">
        <v>-118.75865400000001</v>
      </c>
      <c r="O192" s="536">
        <v>-1</v>
      </c>
      <c r="P192" s="536">
        <v>118.8243743</v>
      </c>
      <c r="Q192" s="128">
        <f>589.76/$T$193</f>
        <v>1.4690328883424409E-2</v>
      </c>
      <c r="R192" s="2196"/>
      <c r="S192" s="127" t="s">
        <v>74</v>
      </c>
      <c r="T192" s="129" t="s">
        <v>75</v>
      </c>
      <c r="U192" s="858"/>
      <c r="V192" s="24"/>
      <c r="W192" s="26"/>
      <c r="X192" s="26"/>
      <c r="Y192" s="41"/>
      <c r="Z192" s="41"/>
      <c r="AA192" s="41"/>
      <c r="AB192" s="846"/>
      <c r="AC192" s="26"/>
      <c r="AD192" s="20" t="s">
        <v>145</v>
      </c>
      <c r="AE192" s="278">
        <v>0.43309506073697152</v>
      </c>
      <c r="AF192" s="106"/>
      <c r="AG192" s="37"/>
      <c r="AH192" s="957"/>
      <c r="AI192" s="1023"/>
      <c r="AJ192" s="1023"/>
      <c r="AK192" s="1023"/>
      <c r="AL192" s="1023"/>
      <c r="AM192" s="1023"/>
      <c r="AN192" s="1023"/>
      <c r="AO192" s="957"/>
      <c r="AP192" s="957"/>
      <c r="AQ192" s="957"/>
      <c r="AR192" s="957"/>
      <c r="AS192" s="957"/>
      <c r="AT192" s="957"/>
      <c r="AU192" s="957"/>
      <c r="AV192" s="957"/>
      <c r="AW192" s="957"/>
      <c r="AX192" s="957"/>
      <c r="AY192" s="957"/>
      <c r="AZ192" s="957"/>
      <c r="BA192" s="957"/>
      <c r="BB192" s="957"/>
      <c r="BC192" s="957"/>
      <c r="BD192" s="957"/>
      <c r="BE192" s="957"/>
      <c r="BF192" s="957"/>
      <c r="BG192" s="957"/>
    </row>
    <row r="193" spans="1:59">
      <c r="A193" s="2172"/>
      <c r="B193" s="2206"/>
      <c r="C193" s="2144"/>
      <c r="D193" s="348" t="s">
        <v>759</v>
      </c>
      <c r="E193" s="452">
        <v>3</v>
      </c>
      <c r="F193" s="148" t="s">
        <v>15</v>
      </c>
      <c r="G193" s="148" t="s">
        <v>15</v>
      </c>
      <c r="H193" s="367">
        <v>278.49290000000002</v>
      </c>
      <c r="I193" s="368">
        <v>9.2734100000000002</v>
      </c>
      <c r="J193" s="234" t="s">
        <v>15</v>
      </c>
      <c r="K193" s="233" t="s">
        <v>15</v>
      </c>
      <c r="L193" s="234" t="s">
        <v>15</v>
      </c>
      <c r="M193" s="233" t="s">
        <v>15</v>
      </c>
      <c r="N193" s="537">
        <v>34.131271400000003</v>
      </c>
      <c r="O193" s="536">
        <v>0.19</v>
      </c>
      <c r="P193" s="536">
        <v>182.1417495</v>
      </c>
      <c r="Q193" s="128">
        <f>17/$T$193</f>
        <v>4.2345291477586638E-4</v>
      </c>
      <c r="R193" s="2196"/>
      <c r="S193" s="445">
        <v>139</v>
      </c>
      <c r="T193" s="446">
        <v>40146.14</v>
      </c>
      <c r="U193" s="865"/>
      <c r="V193" s="24"/>
      <c r="W193" s="26"/>
      <c r="X193" s="26"/>
      <c r="Y193" s="41"/>
      <c r="Z193" s="41"/>
      <c r="AA193" s="41"/>
      <c r="AB193" s="846"/>
      <c r="AC193" s="26"/>
      <c r="AD193" s="22"/>
      <c r="AE193" s="27"/>
      <c r="AF193" s="106"/>
      <c r="AG193" s="37"/>
      <c r="AH193" s="957"/>
      <c r="AI193" s="1023"/>
      <c r="AJ193" s="1023"/>
      <c r="AK193" s="1023"/>
      <c r="AL193" s="1023"/>
      <c r="AM193" s="1023"/>
      <c r="AN193" s="1023"/>
      <c r="AO193" s="957"/>
      <c r="AP193" s="957"/>
      <c r="AQ193" s="957"/>
      <c r="AR193" s="957"/>
      <c r="AS193" s="957"/>
      <c r="AT193" s="957"/>
      <c r="AU193" s="957"/>
      <c r="AV193" s="957"/>
      <c r="AW193" s="957"/>
      <c r="AX193" s="957"/>
      <c r="AY193" s="957"/>
      <c r="AZ193" s="957"/>
      <c r="BA193" s="957"/>
      <c r="BB193" s="957"/>
      <c r="BC193" s="957"/>
      <c r="BD193" s="957"/>
      <c r="BE193" s="957"/>
      <c r="BF193" s="957"/>
      <c r="BG193" s="957"/>
    </row>
    <row r="194" spans="1:59">
      <c r="A194" s="2172"/>
      <c r="B194" s="2206"/>
      <c r="C194" s="2144"/>
      <c r="D194" s="348" t="s">
        <v>781</v>
      </c>
      <c r="E194" s="452">
        <v>3</v>
      </c>
      <c r="F194" s="148" t="s">
        <v>15</v>
      </c>
      <c r="G194" s="148" t="s">
        <v>15</v>
      </c>
      <c r="H194" s="367">
        <v>277.06099999999998</v>
      </c>
      <c r="I194" s="368">
        <v>44.436819999999997</v>
      </c>
      <c r="J194" s="234" t="s">
        <v>15</v>
      </c>
      <c r="K194" s="233" t="s">
        <v>15</v>
      </c>
      <c r="L194" s="234" t="s">
        <v>15</v>
      </c>
      <c r="M194" s="233" t="s">
        <v>15</v>
      </c>
      <c r="N194" s="537">
        <v>41.287486000000001</v>
      </c>
      <c r="O194" s="536">
        <v>0.38</v>
      </c>
      <c r="P194" s="536">
        <v>108.7272145</v>
      </c>
      <c r="Q194" s="128">
        <f>286.62/$T$193</f>
        <v>7.139416143121107E-3</v>
      </c>
      <c r="R194" s="2196"/>
      <c r="S194" s="127" t="s">
        <v>41</v>
      </c>
      <c r="T194" s="129" t="s">
        <v>42</v>
      </c>
      <c r="U194" s="858"/>
      <c r="V194" s="24"/>
      <c r="W194" s="26"/>
      <c r="X194" s="26"/>
      <c r="Y194" s="41"/>
      <c r="Z194" s="41"/>
      <c r="AA194" s="41"/>
      <c r="AB194" s="846"/>
      <c r="AC194" s="26"/>
      <c r="AD194" s="24"/>
      <c r="AE194" s="26"/>
      <c r="AF194" s="106"/>
      <c r="AG194" s="37"/>
      <c r="AH194" s="957"/>
      <c r="AI194" s="1023"/>
      <c r="AJ194" s="1023"/>
      <c r="AK194" s="1023"/>
      <c r="AL194" s="1023"/>
      <c r="AM194" s="1023"/>
      <c r="AN194" s="1023"/>
      <c r="AO194" s="957"/>
      <c r="AP194" s="957"/>
      <c r="AQ194" s="957"/>
      <c r="AR194" s="957"/>
      <c r="AS194" s="957"/>
      <c r="AT194" s="957"/>
      <c r="AU194" s="957"/>
      <c r="AV194" s="957"/>
      <c r="AW194" s="957"/>
      <c r="AX194" s="957"/>
      <c r="AY194" s="957"/>
      <c r="AZ194" s="957"/>
      <c r="BA194" s="957"/>
      <c r="BB194" s="957"/>
      <c r="BC194" s="957"/>
      <c r="BD194" s="957"/>
      <c r="BE194" s="957"/>
      <c r="BF194" s="957"/>
      <c r="BG194" s="957"/>
    </row>
    <row r="195" spans="1:59">
      <c r="A195" s="2172"/>
      <c r="B195" s="2206"/>
      <c r="C195" s="2144"/>
      <c r="D195" s="348" t="s">
        <v>760</v>
      </c>
      <c r="E195" s="452">
        <v>12</v>
      </c>
      <c r="F195" s="148" t="s">
        <v>15</v>
      </c>
      <c r="G195" s="148" t="s">
        <v>15</v>
      </c>
      <c r="H195" s="367">
        <v>390.81979999999999</v>
      </c>
      <c r="I195" s="368">
        <v>107.8489</v>
      </c>
      <c r="J195" s="234" t="s">
        <v>15</v>
      </c>
      <c r="K195" s="233" t="s">
        <v>15</v>
      </c>
      <c r="L195" s="234" t="s">
        <v>15</v>
      </c>
      <c r="M195" s="233" t="s">
        <v>15</v>
      </c>
      <c r="N195" s="537">
        <v>62.4029411</v>
      </c>
      <c r="O195" s="536">
        <v>0.52</v>
      </c>
      <c r="P195" s="536">
        <v>120.3480732</v>
      </c>
      <c r="Q195" s="128">
        <f>855.95/$T$193</f>
        <v>2.1320854258964874E-2</v>
      </c>
      <c r="R195" s="2196"/>
      <c r="S195" s="357">
        <v>0.92981800000000003</v>
      </c>
      <c r="T195" s="420">
        <v>435.92995860000002</v>
      </c>
      <c r="U195" s="861"/>
      <c r="V195" s="24"/>
      <c r="W195" s="26"/>
      <c r="X195" s="26"/>
      <c r="Y195" s="41"/>
      <c r="Z195" s="41"/>
      <c r="AA195" s="41"/>
      <c r="AB195" s="846"/>
      <c r="AC195" s="26"/>
      <c r="AD195" s="24"/>
      <c r="AE195" s="26"/>
      <c r="AF195" s="106"/>
      <c r="AG195" s="37"/>
      <c r="AH195" s="957"/>
      <c r="AI195" s="1023"/>
      <c r="AJ195" s="1023"/>
      <c r="AK195" s="1023"/>
      <c r="AL195" s="1023"/>
      <c r="AM195" s="1023"/>
      <c r="AN195" s="1023"/>
      <c r="AO195" s="957"/>
      <c r="AP195" s="957"/>
      <c r="AQ195" s="957"/>
      <c r="AR195" s="957"/>
      <c r="AS195" s="957"/>
      <c r="AT195" s="957"/>
      <c r="AU195" s="957"/>
      <c r="AV195" s="957"/>
      <c r="AW195" s="957"/>
      <c r="AX195" s="957"/>
      <c r="AY195" s="957"/>
      <c r="AZ195" s="957"/>
      <c r="BA195" s="957"/>
      <c r="BB195" s="957"/>
      <c r="BC195" s="957"/>
      <c r="BD195" s="957"/>
      <c r="BE195" s="957"/>
      <c r="BF195" s="957"/>
      <c r="BG195" s="957"/>
    </row>
    <row r="196" spans="1:59">
      <c r="A196" s="2172"/>
      <c r="B196" s="2206"/>
      <c r="C196" s="2144"/>
      <c r="D196" s="348" t="s">
        <v>762</v>
      </c>
      <c r="E196" s="452">
        <v>12</v>
      </c>
      <c r="F196" s="148" t="s">
        <v>15</v>
      </c>
      <c r="G196" s="148" t="s">
        <v>15</v>
      </c>
      <c r="H196" s="367">
        <v>382.34589999999997</v>
      </c>
      <c r="I196" s="368">
        <v>38.462940000000003</v>
      </c>
      <c r="J196" s="234" t="s">
        <v>15</v>
      </c>
      <c r="K196" s="233" t="s">
        <v>15</v>
      </c>
      <c r="L196" s="234" t="s">
        <v>15</v>
      </c>
      <c r="M196" s="233" t="s">
        <v>15</v>
      </c>
      <c r="N196" s="537">
        <v>140.60739000000001</v>
      </c>
      <c r="O196" s="536">
        <v>1.23</v>
      </c>
      <c r="P196" s="536">
        <v>114.080259</v>
      </c>
      <c r="Q196" s="128">
        <f>3310.94/$T$193</f>
        <v>8.2472187861647478E-2</v>
      </c>
      <c r="R196" s="2196"/>
      <c r="S196" s="118" t="s">
        <v>235</v>
      </c>
      <c r="T196" s="119" t="s">
        <v>391</v>
      </c>
      <c r="U196" s="855"/>
      <c r="V196" s="24"/>
      <c r="W196" s="26"/>
      <c r="X196" s="26"/>
      <c r="Y196" s="41"/>
      <c r="Z196" s="41"/>
      <c r="AA196" s="41"/>
      <c r="AB196" s="846"/>
      <c r="AC196" s="26"/>
      <c r="AD196" s="24"/>
      <c r="AE196" s="26"/>
      <c r="AF196" s="106"/>
      <c r="AG196" s="37"/>
      <c r="AH196" s="957"/>
      <c r="AI196" s="1023"/>
      <c r="AJ196" s="1023"/>
      <c r="AK196" s="1023"/>
      <c r="AL196" s="1023"/>
      <c r="AM196" s="1023"/>
      <c r="AN196" s="1023"/>
      <c r="AO196" s="957"/>
      <c r="AP196" s="957"/>
      <c r="AQ196" s="957"/>
      <c r="AR196" s="957"/>
      <c r="AS196" s="957"/>
      <c r="AT196" s="957"/>
      <c r="AU196" s="957"/>
      <c r="AV196" s="957"/>
      <c r="AW196" s="957"/>
      <c r="AX196" s="957"/>
      <c r="AY196" s="957"/>
      <c r="AZ196" s="957"/>
      <c r="BA196" s="957"/>
      <c r="BB196" s="957"/>
      <c r="BC196" s="957"/>
      <c r="BD196" s="957"/>
      <c r="BE196" s="957"/>
      <c r="BF196" s="957"/>
      <c r="BG196" s="957"/>
    </row>
    <row r="197" spans="1:59">
      <c r="A197" s="2172"/>
      <c r="B197" s="2206"/>
      <c r="C197" s="2144"/>
      <c r="D197" s="348" t="s">
        <v>763</v>
      </c>
      <c r="E197" s="452">
        <v>2</v>
      </c>
      <c r="F197" s="148" t="s">
        <v>15</v>
      </c>
      <c r="G197" s="148" t="s">
        <v>15</v>
      </c>
      <c r="H197" s="367">
        <v>280.48160000000001</v>
      </c>
      <c r="I197" s="368">
        <v>2.1741109999999999</v>
      </c>
      <c r="J197" s="234" t="s">
        <v>15</v>
      </c>
      <c r="K197" s="233" t="s">
        <v>15</v>
      </c>
      <c r="L197" s="234" t="s">
        <v>15</v>
      </c>
      <c r="M197" s="233" t="s">
        <v>15</v>
      </c>
      <c r="N197" s="537">
        <v>-114.1754979</v>
      </c>
      <c r="O197" s="536">
        <v>-0.61</v>
      </c>
      <c r="P197" s="536">
        <v>186.5380519</v>
      </c>
      <c r="Q197" s="128">
        <f>16.28/$T$193</f>
        <v>4.055184383853591E-4</v>
      </c>
      <c r="R197" s="2196"/>
      <c r="S197" s="357">
        <v>63.152999999999999</v>
      </c>
      <c r="T197" s="151" t="s">
        <v>15</v>
      </c>
      <c r="U197" s="862"/>
      <c r="V197" s="24"/>
      <c r="W197" s="26"/>
      <c r="X197" s="26"/>
      <c r="Y197" s="41"/>
      <c r="Z197" s="41"/>
      <c r="AA197" s="41"/>
      <c r="AB197" s="846"/>
      <c r="AC197" s="26"/>
      <c r="AD197" s="24"/>
      <c r="AE197" s="26"/>
      <c r="AF197" s="106"/>
      <c r="AG197" s="37"/>
      <c r="AH197" s="957"/>
      <c r="AI197" s="1023"/>
      <c r="AJ197" s="1023"/>
      <c r="AK197" s="1023"/>
      <c r="AL197" s="1023"/>
      <c r="AM197" s="1023"/>
      <c r="AN197" s="1023"/>
      <c r="AO197" s="957"/>
      <c r="AP197" s="957"/>
      <c r="AQ197" s="957"/>
      <c r="AR197" s="957"/>
      <c r="AS197" s="957"/>
      <c r="AT197" s="957"/>
      <c r="AU197" s="957"/>
      <c r="AV197" s="957"/>
      <c r="AW197" s="957"/>
      <c r="AX197" s="957"/>
      <c r="AY197" s="957"/>
      <c r="AZ197" s="957"/>
      <c r="BA197" s="957"/>
      <c r="BB197" s="957"/>
      <c r="BC197" s="957"/>
      <c r="BD197" s="957"/>
      <c r="BE197" s="957"/>
      <c r="BF197" s="957"/>
      <c r="BG197" s="957"/>
    </row>
    <row r="198" spans="1:59">
      <c r="A198" s="2172"/>
      <c r="B198" s="2206"/>
      <c r="C198" s="2144"/>
      <c r="D198" s="348" t="s">
        <v>792</v>
      </c>
      <c r="E198" s="452">
        <v>1</v>
      </c>
      <c r="F198" s="148" t="s">
        <v>15</v>
      </c>
      <c r="G198" s="148" t="s">
        <v>15</v>
      </c>
      <c r="H198" s="367">
        <v>207.4913</v>
      </c>
      <c r="I198" s="368">
        <v>0</v>
      </c>
      <c r="J198" s="234" t="s">
        <v>15</v>
      </c>
      <c r="K198" s="233" t="s">
        <v>15</v>
      </c>
      <c r="L198" s="234" t="s">
        <v>15</v>
      </c>
      <c r="M198" s="233" t="s">
        <v>15</v>
      </c>
      <c r="N198" s="537">
        <v>-27.618702200000001</v>
      </c>
      <c r="O198" s="536">
        <v>-0.25</v>
      </c>
      <c r="P198" s="536">
        <v>109.89767000000001</v>
      </c>
      <c r="Q198" s="128">
        <f>1428.67/$T$193</f>
        <v>3.5586733867813941E-2</v>
      </c>
      <c r="R198" s="2196"/>
      <c r="S198" s="24"/>
      <c r="T198" s="26"/>
      <c r="V198" s="24"/>
      <c r="W198" s="26"/>
      <c r="X198" s="26"/>
      <c r="Y198" s="41"/>
      <c r="Z198" s="41"/>
      <c r="AA198" s="41"/>
      <c r="AB198" s="846"/>
      <c r="AC198" s="26"/>
      <c r="AD198" s="24"/>
      <c r="AE198" s="26"/>
      <c r="AF198" s="106"/>
      <c r="AG198" s="37"/>
      <c r="AH198" s="957"/>
      <c r="AI198" s="1023"/>
      <c r="AJ198" s="1023"/>
      <c r="AK198" s="1023"/>
      <c r="AL198" s="1023"/>
      <c r="AM198" s="1023"/>
      <c r="AN198" s="1023"/>
      <c r="AO198" s="957"/>
      <c r="AP198" s="957"/>
      <c r="AQ198" s="957"/>
      <c r="AR198" s="957"/>
      <c r="AS198" s="957"/>
      <c r="AT198" s="957"/>
      <c r="AU198" s="957"/>
      <c r="AV198" s="957"/>
      <c r="AW198" s="957"/>
      <c r="AX198" s="957"/>
      <c r="AY198" s="957"/>
      <c r="AZ198" s="957"/>
      <c r="BA198" s="957"/>
      <c r="BB198" s="957"/>
      <c r="BC198" s="957"/>
      <c r="BD198" s="957"/>
      <c r="BE198" s="957"/>
      <c r="BF198" s="957"/>
      <c r="BG198" s="957"/>
    </row>
    <row r="199" spans="1:59">
      <c r="A199" s="2172"/>
      <c r="B199" s="2206"/>
      <c r="C199" s="2144"/>
      <c r="D199" s="348" t="s">
        <v>688</v>
      </c>
      <c r="E199" s="452">
        <v>24</v>
      </c>
      <c r="F199" s="148" t="s">
        <v>15</v>
      </c>
      <c r="G199" s="148" t="s">
        <v>15</v>
      </c>
      <c r="H199" s="367">
        <v>514.55420000000004</v>
      </c>
      <c r="I199" s="368">
        <v>127.25700000000001</v>
      </c>
      <c r="J199" s="234" t="s">
        <v>15</v>
      </c>
      <c r="K199" s="233" t="s">
        <v>15</v>
      </c>
      <c r="L199" s="234" t="s">
        <v>15</v>
      </c>
      <c r="M199" s="233" t="s">
        <v>15</v>
      </c>
      <c r="N199" s="537">
        <v>183.9450501</v>
      </c>
      <c r="O199" s="536">
        <v>1.54</v>
      </c>
      <c r="P199" s="536">
        <v>119.3077387</v>
      </c>
      <c r="Q199" s="128">
        <f>7303.17/$T$193</f>
        <v>0.18191462491786259</v>
      </c>
      <c r="R199" s="2196"/>
      <c r="S199" s="24"/>
      <c r="T199" s="26"/>
      <c r="V199" s="24"/>
      <c r="W199" s="26"/>
      <c r="X199" s="26"/>
      <c r="Y199" s="41"/>
      <c r="Z199" s="41"/>
      <c r="AA199" s="41"/>
      <c r="AB199" s="846"/>
      <c r="AC199" s="26"/>
      <c r="AD199" s="24"/>
      <c r="AE199" s="26"/>
      <c r="AF199" s="106"/>
      <c r="AG199" s="37"/>
      <c r="AH199" s="957"/>
      <c r="AI199" s="1023"/>
      <c r="AJ199" s="1023"/>
      <c r="AK199" s="1023"/>
      <c r="AL199" s="1023"/>
      <c r="AM199" s="1023"/>
      <c r="AN199" s="1023"/>
      <c r="AO199" s="957"/>
      <c r="AP199" s="957"/>
      <c r="AQ199" s="957"/>
      <c r="AR199" s="957"/>
      <c r="AS199" s="957"/>
      <c r="AT199" s="957"/>
      <c r="AU199" s="957"/>
      <c r="AV199" s="957"/>
      <c r="AW199" s="957"/>
      <c r="AX199" s="957"/>
      <c r="AY199" s="957"/>
      <c r="AZ199" s="957"/>
      <c r="BA199" s="957"/>
      <c r="BB199" s="957"/>
      <c r="BC199" s="957"/>
      <c r="BD199" s="957"/>
      <c r="BE199" s="957"/>
      <c r="BF199" s="957"/>
      <c r="BG199" s="957"/>
    </row>
    <row r="200" spans="1:59">
      <c r="A200" s="2172"/>
      <c r="B200" s="2206"/>
      <c r="C200" s="2144"/>
      <c r="D200" s="348" t="s">
        <v>783</v>
      </c>
      <c r="E200" s="452">
        <v>3</v>
      </c>
      <c r="F200" s="148" t="s">
        <v>15</v>
      </c>
      <c r="G200" s="148" t="s">
        <v>15</v>
      </c>
      <c r="H200" s="367">
        <v>347.44589999999999</v>
      </c>
      <c r="I200" s="368">
        <v>5.8842679999999996</v>
      </c>
      <c r="J200" s="234" t="s">
        <v>15</v>
      </c>
      <c r="K200" s="233" t="s">
        <v>15</v>
      </c>
      <c r="L200" s="234" t="s">
        <v>15</v>
      </c>
      <c r="M200" s="233" t="s">
        <v>15</v>
      </c>
      <c r="N200" s="537">
        <v>2.9398081</v>
      </c>
      <c r="O200" s="536">
        <v>0.02</v>
      </c>
      <c r="P200" s="536">
        <v>118.1816872</v>
      </c>
      <c r="Q200" s="128">
        <f>111.92/$T$193</f>
        <v>2.7878147189244096E-3</v>
      </c>
      <c r="R200" s="2196"/>
      <c r="S200" s="24"/>
      <c r="T200" s="26"/>
      <c r="V200" s="24"/>
      <c r="W200" s="26"/>
      <c r="X200" s="26"/>
      <c r="Y200" s="41"/>
      <c r="Z200" s="41"/>
      <c r="AA200" s="41"/>
      <c r="AB200" s="846"/>
      <c r="AC200" s="26"/>
      <c r="AD200" s="24"/>
      <c r="AE200" s="26"/>
      <c r="AF200" s="106"/>
      <c r="AG200" s="37"/>
      <c r="AH200" s="957"/>
      <c r="AI200" s="1023"/>
      <c r="AJ200" s="1023"/>
      <c r="AK200" s="1023"/>
      <c r="AL200" s="1023"/>
      <c r="AM200" s="1023"/>
      <c r="AN200" s="1023"/>
      <c r="AO200" s="957"/>
      <c r="AP200" s="957"/>
      <c r="AQ200" s="957"/>
      <c r="AR200" s="957"/>
      <c r="AS200" s="957"/>
      <c r="AT200" s="957"/>
      <c r="AU200" s="957"/>
      <c r="AV200" s="957"/>
      <c r="AW200" s="957"/>
      <c r="AX200" s="957"/>
      <c r="AY200" s="957"/>
      <c r="AZ200" s="957"/>
      <c r="BA200" s="957"/>
      <c r="BB200" s="957"/>
      <c r="BC200" s="957"/>
      <c r="BD200" s="957"/>
      <c r="BE200" s="957"/>
      <c r="BF200" s="957"/>
      <c r="BG200" s="957"/>
    </row>
    <row r="201" spans="1:59">
      <c r="A201" s="2172"/>
      <c r="B201" s="2206"/>
      <c r="C201" s="2144"/>
      <c r="D201" s="348" t="s">
        <v>793</v>
      </c>
      <c r="E201" s="452">
        <v>3</v>
      </c>
      <c r="F201" s="148" t="s">
        <v>15</v>
      </c>
      <c r="G201" s="148" t="s">
        <v>15</v>
      </c>
      <c r="H201" s="367">
        <v>283.36149999999998</v>
      </c>
      <c r="I201" s="368">
        <v>6.6176329999999997</v>
      </c>
      <c r="J201" s="234" t="s">
        <v>15</v>
      </c>
      <c r="K201" s="233" t="s">
        <v>15</v>
      </c>
      <c r="L201" s="234" t="s">
        <v>15</v>
      </c>
      <c r="M201" s="233" t="s">
        <v>15</v>
      </c>
      <c r="N201" s="537">
        <v>42.921206300000001</v>
      </c>
      <c r="O201" s="536">
        <v>0.37</v>
      </c>
      <c r="P201" s="536">
        <v>117.57165329999999</v>
      </c>
      <c r="Q201" s="128">
        <f>1930/$T$193</f>
        <v>4.8074360324554241E-2</v>
      </c>
      <c r="R201" s="2196"/>
      <c r="S201" s="24"/>
      <c r="T201" s="26"/>
      <c r="V201" s="24"/>
      <c r="W201" s="26"/>
      <c r="X201" s="26"/>
      <c r="Y201" s="41"/>
      <c r="Z201" s="41"/>
      <c r="AA201" s="41"/>
      <c r="AB201" s="846"/>
      <c r="AC201" s="26"/>
      <c r="AD201" s="24"/>
      <c r="AE201" s="26"/>
      <c r="AF201" s="106"/>
      <c r="AG201" s="37"/>
      <c r="AH201" s="957"/>
      <c r="AI201" s="1023"/>
      <c r="AJ201" s="1023"/>
      <c r="AK201" s="1023"/>
      <c r="AL201" s="1023"/>
      <c r="AM201" s="1023"/>
      <c r="AN201" s="1023"/>
      <c r="AO201" s="957"/>
      <c r="AP201" s="957"/>
      <c r="AQ201" s="957"/>
      <c r="AR201" s="957"/>
      <c r="AS201" s="957"/>
      <c r="AT201" s="957"/>
      <c r="AU201" s="957"/>
      <c r="AV201" s="957"/>
      <c r="AW201" s="957"/>
      <c r="AX201" s="957"/>
      <c r="AY201" s="957"/>
      <c r="AZ201" s="957"/>
      <c r="BA201" s="957"/>
      <c r="BB201" s="957"/>
      <c r="BC201" s="957"/>
      <c r="BD201" s="957"/>
      <c r="BE201" s="957"/>
      <c r="BF201" s="957"/>
      <c r="BG201" s="957"/>
    </row>
    <row r="202" spans="1:59">
      <c r="A202" s="2172"/>
      <c r="B202" s="2206"/>
      <c r="C202" s="2144"/>
      <c r="D202" s="348" t="s">
        <v>784</v>
      </c>
      <c r="E202" s="452">
        <v>2</v>
      </c>
      <c r="F202" s="148" t="s">
        <v>15</v>
      </c>
      <c r="G202" s="148" t="s">
        <v>15</v>
      </c>
      <c r="H202" s="367">
        <v>329.99340000000001</v>
      </c>
      <c r="I202" s="368">
        <v>14.59426</v>
      </c>
      <c r="J202" s="234" t="s">
        <v>15</v>
      </c>
      <c r="K202" s="233" t="s">
        <v>15</v>
      </c>
      <c r="L202" s="234" t="s">
        <v>15</v>
      </c>
      <c r="M202" s="233" t="s">
        <v>15</v>
      </c>
      <c r="N202" s="537">
        <v>139.97611470000001</v>
      </c>
      <c r="O202" s="536">
        <v>1.2</v>
      </c>
      <c r="P202" s="536">
        <v>116.30605970000001</v>
      </c>
      <c r="Q202" s="128">
        <f>361.23/$T$193</f>
        <v>8.9978762590874253E-3</v>
      </c>
      <c r="R202" s="2196"/>
      <c r="S202" s="24"/>
      <c r="T202" s="26"/>
      <c r="V202" s="24"/>
      <c r="W202" s="26"/>
      <c r="X202" s="26"/>
      <c r="Y202" s="41"/>
      <c r="Z202" s="41"/>
      <c r="AA202" s="41"/>
      <c r="AB202" s="846"/>
      <c r="AC202" s="26"/>
      <c r="AD202" s="24"/>
      <c r="AE202" s="26"/>
      <c r="AF202" s="106"/>
      <c r="AG202" s="37"/>
      <c r="AH202" s="957"/>
      <c r="AI202" s="1023"/>
      <c r="AJ202" s="1023"/>
      <c r="AK202" s="1023"/>
      <c r="AL202" s="1023"/>
      <c r="AM202" s="1023"/>
      <c r="AN202" s="1023"/>
      <c r="AO202" s="957"/>
      <c r="AP202" s="957"/>
      <c r="AQ202" s="957"/>
      <c r="AR202" s="957"/>
      <c r="AS202" s="957"/>
      <c r="AT202" s="957"/>
      <c r="AU202" s="957"/>
      <c r="AV202" s="957"/>
      <c r="AW202" s="957"/>
      <c r="AX202" s="957"/>
      <c r="AY202" s="957"/>
      <c r="AZ202" s="957"/>
      <c r="BA202" s="957"/>
      <c r="BB202" s="957"/>
      <c r="BC202" s="957"/>
      <c r="BD202" s="957"/>
      <c r="BE202" s="957"/>
      <c r="BF202" s="957"/>
      <c r="BG202" s="957"/>
    </row>
    <row r="203" spans="1:59">
      <c r="A203" s="2172"/>
      <c r="B203" s="2206"/>
      <c r="C203" s="2144"/>
      <c r="D203" s="348" t="s">
        <v>764</v>
      </c>
      <c r="E203" s="452">
        <v>9</v>
      </c>
      <c r="F203" s="148" t="s">
        <v>15</v>
      </c>
      <c r="G203" s="148" t="s">
        <v>15</v>
      </c>
      <c r="H203" s="367">
        <v>671.33389999999997</v>
      </c>
      <c r="I203" s="368">
        <v>82.308250000000001</v>
      </c>
      <c r="J203" s="234" t="s">
        <v>15</v>
      </c>
      <c r="K203" s="233" t="s">
        <v>15</v>
      </c>
      <c r="L203" s="234" t="s">
        <v>15</v>
      </c>
      <c r="M203" s="233" t="s">
        <v>15</v>
      </c>
      <c r="N203" s="537">
        <v>126.28927210000001</v>
      </c>
      <c r="O203" s="536">
        <v>1.05</v>
      </c>
      <c r="P203" s="536">
        <v>120.8116551</v>
      </c>
      <c r="Q203" s="128">
        <f>256.35/$T$193</f>
        <v>6.3854208648701973E-3</v>
      </c>
      <c r="R203" s="2196"/>
      <c r="S203" s="24"/>
      <c r="T203" s="26"/>
      <c r="V203" s="24"/>
      <c r="W203" s="26"/>
      <c r="X203" s="26"/>
      <c r="Y203" s="41"/>
      <c r="Z203" s="41"/>
      <c r="AA203" s="41"/>
      <c r="AB203" s="846"/>
      <c r="AC203" s="26"/>
      <c r="AD203" s="24"/>
      <c r="AE203" s="26"/>
      <c r="AF203" s="106"/>
      <c r="AG203" s="37"/>
      <c r="AH203" s="957"/>
      <c r="AI203" s="1023"/>
      <c r="AJ203" s="1023"/>
      <c r="AK203" s="1023"/>
      <c r="AL203" s="1023"/>
      <c r="AM203" s="1023"/>
      <c r="AN203" s="1023"/>
      <c r="AO203" s="957"/>
      <c r="AP203" s="957"/>
      <c r="AQ203" s="957"/>
      <c r="AR203" s="957"/>
      <c r="AS203" s="957"/>
      <c r="AT203" s="957"/>
      <c r="AU203" s="957"/>
      <c r="AV203" s="957"/>
      <c r="AW203" s="957"/>
      <c r="AX203" s="957"/>
      <c r="AY203" s="957"/>
      <c r="AZ203" s="957"/>
      <c r="BA203" s="957"/>
      <c r="BB203" s="957"/>
      <c r="BC203" s="957"/>
      <c r="BD203" s="957"/>
      <c r="BE203" s="957"/>
      <c r="BF203" s="957"/>
      <c r="BG203" s="957"/>
    </row>
    <row r="204" spans="1:59">
      <c r="A204" s="2172"/>
      <c r="B204" s="2206"/>
      <c r="C204" s="2144"/>
      <c r="D204" s="348" t="s">
        <v>765</v>
      </c>
      <c r="E204" s="452">
        <v>5</v>
      </c>
      <c r="F204" s="148" t="s">
        <v>15</v>
      </c>
      <c r="G204" s="148" t="s">
        <v>15</v>
      </c>
      <c r="H204" s="367">
        <v>255.21379999999999</v>
      </c>
      <c r="I204" s="368">
        <v>16.370709999999999</v>
      </c>
      <c r="J204" s="234" t="s">
        <v>15</v>
      </c>
      <c r="K204" s="233" t="s">
        <v>15</v>
      </c>
      <c r="L204" s="234" t="s">
        <v>15</v>
      </c>
      <c r="M204" s="233" t="s">
        <v>15</v>
      </c>
      <c r="N204" s="537">
        <v>28.241515100000001</v>
      </c>
      <c r="O204" s="536">
        <v>0.22</v>
      </c>
      <c r="P204" s="536">
        <v>126.38722559999999</v>
      </c>
      <c r="Q204" s="128">
        <f>113.29/$T$193</f>
        <v>2.8219400420563473E-3</v>
      </c>
      <c r="R204" s="2196"/>
      <c r="S204" s="24"/>
      <c r="T204" s="26"/>
      <c r="V204" s="24"/>
      <c r="W204" s="26"/>
      <c r="X204" s="26"/>
      <c r="Y204" s="41"/>
      <c r="Z204" s="41"/>
      <c r="AA204" s="41"/>
      <c r="AB204" s="846"/>
      <c r="AC204" s="26"/>
      <c r="AD204" s="24"/>
      <c r="AE204" s="26"/>
      <c r="AF204" s="106"/>
      <c r="AG204" s="37"/>
      <c r="AH204" s="957"/>
      <c r="AI204" s="1023"/>
      <c r="AJ204" s="1023"/>
      <c r="AK204" s="1023"/>
      <c r="AL204" s="1023"/>
      <c r="AM204" s="1023"/>
      <c r="AN204" s="1023"/>
      <c r="AO204" s="957"/>
      <c r="AP204" s="957"/>
      <c r="AQ204" s="957"/>
      <c r="AR204" s="957"/>
      <c r="AS204" s="957"/>
      <c r="AT204" s="957"/>
      <c r="AU204" s="957"/>
      <c r="AV204" s="957"/>
      <c r="AW204" s="957"/>
      <c r="AX204" s="957"/>
      <c r="AY204" s="957"/>
      <c r="AZ204" s="957"/>
      <c r="BA204" s="957"/>
      <c r="BB204" s="957"/>
      <c r="BC204" s="957"/>
      <c r="BD204" s="957"/>
      <c r="BE204" s="957"/>
      <c r="BF204" s="957"/>
      <c r="BG204" s="957"/>
    </row>
    <row r="205" spans="1:59">
      <c r="A205" s="2172"/>
      <c r="B205" s="2206"/>
      <c r="C205" s="2144"/>
      <c r="D205" s="348" t="s">
        <v>766</v>
      </c>
      <c r="E205" s="452">
        <v>14</v>
      </c>
      <c r="F205" s="148" t="s">
        <v>15</v>
      </c>
      <c r="G205" s="148" t="s">
        <v>15</v>
      </c>
      <c r="H205" s="367">
        <v>363.58890000000002</v>
      </c>
      <c r="I205" s="368">
        <v>57.782809999999998</v>
      </c>
      <c r="J205" s="234" t="s">
        <v>15</v>
      </c>
      <c r="K205" s="233" t="s">
        <v>15</v>
      </c>
      <c r="L205" s="234" t="s">
        <v>15</v>
      </c>
      <c r="M205" s="233" t="s">
        <v>15</v>
      </c>
      <c r="N205" s="537">
        <v>112.32674</v>
      </c>
      <c r="O205" s="536">
        <v>1.04</v>
      </c>
      <c r="P205" s="536">
        <v>107.8371532</v>
      </c>
      <c r="Q205" s="128">
        <f>2284.7/$T$193</f>
        <v>5.6909580846377754E-2</v>
      </c>
      <c r="R205" s="2196"/>
      <c r="S205" s="24"/>
      <c r="T205" s="26"/>
      <c r="V205" s="24"/>
      <c r="W205" s="26"/>
      <c r="X205" s="26"/>
      <c r="Y205" s="41"/>
      <c r="Z205" s="41"/>
      <c r="AA205" s="41"/>
      <c r="AB205" s="846"/>
      <c r="AC205" s="26"/>
      <c r="AD205" s="24"/>
      <c r="AE205" s="26"/>
      <c r="AF205" s="106"/>
      <c r="AG205" s="37"/>
      <c r="AH205" s="957"/>
      <c r="AI205" s="1023"/>
      <c r="AJ205" s="1023"/>
      <c r="AK205" s="1023"/>
      <c r="AL205" s="1023"/>
      <c r="AM205" s="1023"/>
      <c r="AN205" s="1023"/>
      <c r="AO205" s="957"/>
      <c r="AP205" s="957"/>
      <c r="AQ205" s="957"/>
      <c r="AR205" s="957"/>
      <c r="AS205" s="957"/>
      <c r="AT205" s="957"/>
      <c r="AU205" s="957"/>
      <c r="AV205" s="957"/>
      <c r="AW205" s="957"/>
      <c r="AX205" s="957"/>
      <c r="AY205" s="957"/>
      <c r="AZ205" s="957"/>
      <c r="BA205" s="957"/>
      <c r="BB205" s="957"/>
      <c r="BC205" s="957"/>
      <c r="BD205" s="957"/>
      <c r="BE205" s="957"/>
      <c r="BF205" s="957"/>
      <c r="BG205" s="957"/>
    </row>
    <row r="206" spans="1:59">
      <c r="A206" s="2172"/>
      <c r="B206" s="2206"/>
      <c r="C206" s="2144"/>
      <c r="D206" s="348" t="s">
        <v>794</v>
      </c>
      <c r="E206" s="452">
        <v>2</v>
      </c>
      <c r="F206" s="148" t="s">
        <v>15</v>
      </c>
      <c r="G206" s="148" t="s">
        <v>15</v>
      </c>
      <c r="H206" s="367">
        <v>360.79500000000002</v>
      </c>
      <c r="I206" s="368">
        <v>29.961069999999999</v>
      </c>
      <c r="J206" s="234" t="s">
        <v>15</v>
      </c>
      <c r="K206" s="233" t="s">
        <v>15</v>
      </c>
      <c r="L206" s="234" t="s">
        <v>15</v>
      </c>
      <c r="M206" s="233" t="s">
        <v>15</v>
      </c>
      <c r="N206" s="537">
        <v>117.297006</v>
      </c>
      <c r="O206" s="536">
        <v>0.44</v>
      </c>
      <c r="P206" s="536">
        <v>268.45632799999998</v>
      </c>
      <c r="Q206" s="128">
        <f>6/$T$193</f>
        <v>1.4945396992089403E-4</v>
      </c>
      <c r="R206" s="2196"/>
      <c r="S206" s="24"/>
      <c r="T206" s="26"/>
      <c r="V206" s="24"/>
      <c r="W206" s="26"/>
      <c r="X206" s="26"/>
      <c r="Y206" s="41"/>
      <c r="Z206" s="41"/>
      <c r="AA206" s="41"/>
      <c r="AB206" s="846"/>
      <c r="AC206" s="26"/>
      <c r="AD206" s="24"/>
      <c r="AE206" s="26"/>
      <c r="AF206" s="106"/>
      <c r="AG206" s="37"/>
      <c r="AH206" s="957"/>
      <c r="AI206" s="1023"/>
      <c r="AJ206" s="1023"/>
      <c r="AK206" s="1023"/>
      <c r="AL206" s="1023"/>
      <c r="AM206" s="1023"/>
      <c r="AN206" s="1023"/>
      <c r="AO206" s="957"/>
      <c r="AP206" s="957"/>
      <c r="AQ206" s="957"/>
      <c r="AR206" s="957"/>
      <c r="AS206" s="957"/>
      <c r="AT206" s="957"/>
      <c r="AU206" s="957"/>
      <c r="AV206" s="957"/>
      <c r="AW206" s="957"/>
      <c r="AX206" s="957"/>
      <c r="AY206" s="957"/>
      <c r="AZ206" s="957"/>
      <c r="BA206" s="957"/>
      <c r="BB206" s="957"/>
      <c r="BC206" s="957"/>
      <c r="BD206" s="957"/>
      <c r="BE206" s="957"/>
      <c r="BF206" s="957"/>
      <c r="BG206" s="957"/>
    </row>
    <row r="207" spans="1:59">
      <c r="A207" s="2172"/>
      <c r="B207" s="2206"/>
      <c r="C207" s="2144"/>
      <c r="D207" s="348" t="s">
        <v>767</v>
      </c>
      <c r="E207" s="452">
        <v>11</v>
      </c>
      <c r="F207" s="148" t="s">
        <v>15</v>
      </c>
      <c r="G207" s="148" t="s">
        <v>15</v>
      </c>
      <c r="H207" s="367">
        <v>291.29160000000002</v>
      </c>
      <c r="I207" s="368">
        <v>30.671859999999999</v>
      </c>
      <c r="J207" s="234" t="s">
        <v>15</v>
      </c>
      <c r="K207" s="233" t="s">
        <v>15</v>
      </c>
      <c r="L207" s="234" t="s">
        <v>15</v>
      </c>
      <c r="M207" s="233" t="s">
        <v>15</v>
      </c>
      <c r="N207" s="537">
        <v>45.958218000000002</v>
      </c>
      <c r="O207" s="536">
        <v>0.42</v>
      </c>
      <c r="P207" s="536">
        <v>109.5539642</v>
      </c>
      <c r="Q207" s="128">
        <f>2632.12/$T$193</f>
        <v>6.5563463884697262E-2</v>
      </c>
      <c r="R207" s="2196"/>
      <c r="S207" s="24"/>
      <c r="T207" s="26"/>
      <c r="V207" s="24"/>
      <c r="W207" s="26"/>
      <c r="X207" s="26"/>
      <c r="Y207" s="41"/>
      <c r="Z207" s="41"/>
      <c r="AA207" s="41"/>
      <c r="AB207" s="846"/>
      <c r="AC207" s="26"/>
      <c r="AD207" s="24"/>
      <c r="AE207" s="26"/>
      <c r="AF207" s="106"/>
      <c r="AG207" s="37"/>
      <c r="AH207" s="957"/>
      <c r="AI207" s="1023"/>
      <c r="AJ207" s="1023"/>
      <c r="AK207" s="1023"/>
      <c r="AL207" s="1023"/>
      <c r="AM207" s="1023"/>
      <c r="AN207" s="1023"/>
      <c r="AO207" s="957"/>
      <c r="AP207" s="957"/>
      <c r="AQ207" s="957"/>
      <c r="AR207" s="957"/>
      <c r="AS207" s="957"/>
      <c r="AT207" s="957"/>
      <c r="AU207" s="957"/>
      <c r="AV207" s="957"/>
      <c r="AW207" s="957"/>
      <c r="AX207" s="957"/>
      <c r="AY207" s="957"/>
      <c r="AZ207" s="957"/>
      <c r="BA207" s="957"/>
      <c r="BB207" s="957"/>
      <c r="BC207" s="957"/>
      <c r="BD207" s="957"/>
      <c r="BE207" s="957"/>
      <c r="BF207" s="957"/>
      <c r="BG207" s="957"/>
    </row>
    <row r="208" spans="1:59">
      <c r="A208" s="2172"/>
      <c r="B208" s="2206"/>
      <c r="C208" s="2144"/>
      <c r="D208" s="348" t="s">
        <v>768</v>
      </c>
      <c r="E208" s="452">
        <v>11</v>
      </c>
      <c r="F208" s="148" t="s">
        <v>15</v>
      </c>
      <c r="G208" s="148" t="s">
        <v>15</v>
      </c>
      <c r="H208" s="367">
        <v>248.31549999999999</v>
      </c>
      <c r="I208" s="368">
        <v>16.267749999999999</v>
      </c>
      <c r="J208" s="234" t="s">
        <v>15</v>
      </c>
      <c r="K208" s="233" t="s">
        <v>15</v>
      </c>
      <c r="L208" s="234" t="s">
        <v>15</v>
      </c>
      <c r="M208" s="233" t="s">
        <v>15</v>
      </c>
      <c r="N208" s="537">
        <v>18.869112999999999</v>
      </c>
      <c r="O208" s="536">
        <v>0.18</v>
      </c>
      <c r="P208" s="536">
        <v>103.8435558</v>
      </c>
      <c r="Q208" s="128">
        <f>8266.71/$T$193</f>
        <v>0.20591543794745895</v>
      </c>
      <c r="R208" s="2196"/>
      <c r="S208" s="24"/>
      <c r="T208" s="26"/>
      <c r="V208" s="24"/>
      <c r="W208" s="26"/>
      <c r="X208" s="26"/>
      <c r="Y208" s="41"/>
      <c r="Z208" s="41"/>
      <c r="AA208" s="41"/>
      <c r="AB208" s="846"/>
      <c r="AC208" s="26"/>
      <c r="AD208" s="24"/>
      <c r="AE208" s="26"/>
      <c r="AF208" s="106"/>
      <c r="AG208" s="37"/>
      <c r="AH208" s="957"/>
      <c r="AI208" s="1023"/>
      <c r="AJ208" s="1023"/>
      <c r="AK208" s="1023"/>
      <c r="AL208" s="1023"/>
      <c r="AM208" s="1023"/>
      <c r="AN208" s="1023"/>
      <c r="AO208" s="957"/>
      <c r="AP208" s="957"/>
      <c r="AQ208" s="957"/>
      <c r="AR208" s="957"/>
      <c r="AS208" s="957"/>
      <c r="AT208" s="957"/>
      <c r="AU208" s="957"/>
      <c r="AV208" s="957"/>
      <c r="AW208" s="957"/>
      <c r="AX208" s="957"/>
      <c r="AY208" s="957"/>
      <c r="AZ208" s="957"/>
      <c r="BA208" s="957"/>
      <c r="BB208" s="957"/>
      <c r="BC208" s="957"/>
      <c r="BD208" s="957"/>
      <c r="BE208" s="957"/>
      <c r="BF208" s="957"/>
      <c r="BG208" s="957"/>
    </row>
    <row r="209" spans="1:59">
      <c r="A209" s="2172"/>
      <c r="B209" s="2206"/>
      <c r="C209" s="2144"/>
      <c r="D209" s="348" t="s">
        <v>795</v>
      </c>
      <c r="E209" s="452">
        <v>4</v>
      </c>
      <c r="F209" s="148" t="s">
        <v>15</v>
      </c>
      <c r="G209" s="148" t="s">
        <v>15</v>
      </c>
      <c r="H209" s="367">
        <v>222.36259999999999</v>
      </c>
      <c r="I209" s="368">
        <v>30.942689999999999</v>
      </c>
      <c r="J209" s="234" t="s">
        <v>15</v>
      </c>
      <c r="K209" s="233" t="s">
        <v>15</v>
      </c>
      <c r="L209" s="234" t="s">
        <v>15</v>
      </c>
      <c r="M209" s="233" t="s">
        <v>15</v>
      </c>
      <c r="N209" s="537">
        <v>0</v>
      </c>
      <c r="O209" s="536" t="s">
        <v>574</v>
      </c>
      <c r="P209" s="536" t="s">
        <v>574</v>
      </c>
      <c r="Q209" s="128">
        <f>35/$T$193</f>
        <v>8.7181482453854839E-4</v>
      </c>
      <c r="R209" s="2155"/>
      <c r="S209" s="24"/>
      <c r="T209" s="26"/>
      <c r="V209" s="24"/>
      <c r="W209" s="26"/>
      <c r="X209" s="26"/>
      <c r="Y209" s="41"/>
      <c r="Z209" s="41"/>
      <c r="AA209" s="41"/>
      <c r="AB209" s="846"/>
      <c r="AC209" s="26"/>
      <c r="AD209" s="24"/>
      <c r="AE209" s="26"/>
      <c r="AF209" s="106"/>
      <c r="AG209" s="37"/>
      <c r="AH209" s="957"/>
      <c r="AI209" s="1023"/>
      <c r="AJ209" s="1023"/>
      <c r="AK209" s="1023"/>
      <c r="AL209" s="1023"/>
      <c r="AM209" s="1023"/>
      <c r="AN209" s="1023"/>
      <c r="AO209" s="957"/>
      <c r="AP209" s="957"/>
      <c r="AQ209" s="957"/>
      <c r="AR209" s="957"/>
      <c r="AS209" s="957"/>
      <c r="AT209" s="957"/>
      <c r="AU209" s="957"/>
      <c r="AV209" s="957"/>
      <c r="AW209" s="957"/>
      <c r="AX209" s="957"/>
      <c r="AY209" s="957"/>
      <c r="AZ209" s="957"/>
      <c r="BA209" s="957"/>
      <c r="BB209" s="957"/>
      <c r="BC209" s="957"/>
      <c r="BD209" s="957"/>
      <c r="BE209" s="957"/>
      <c r="BF209" s="957"/>
      <c r="BG209" s="957"/>
    </row>
    <row r="210" spans="1:59">
      <c r="A210" s="2172"/>
      <c r="B210" s="2207" t="s">
        <v>796</v>
      </c>
      <c r="C210" s="2179" t="s">
        <v>13</v>
      </c>
      <c r="D210" s="348" t="s">
        <v>797</v>
      </c>
      <c r="E210" s="452">
        <v>72</v>
      </c>
      <c r="F210" s="148" t="s">
        <v>15</v>
      </c>
      <c r="G210" s="148" t="s">
        <v>15</v>
      </c>
      <c r="H210" s="367">
        <v>298.65809999999999</v>
      </c>
      <c r="I210" s="368">
        <v>60.928359999999998</v>
      </c>
      <c r="J210" s="234" t="s">
        <v>15</v>
      </c>
      <c r="K210" s="233" t="s">
        <v>15</v>
      </c>
      <c r="L210" s="234" t="s">
        <v>15</v>
      </c>
      <c r="M210" s="233" t="s">
        <v>15</v>
      </c>
      <c r="N210" s="537">
        <v>-79.8888587</v>
      </c>
      <c r="O210" s="536">
        <v>-5.8</v>
      </c>
      <c r="P210" s="536">
        <v>13.7852826</v>
      </c>
      <c r="Q210" s="128">
        <f>29885.9/$T$193</f>
        <v>0.74442773327647449</v>
      </c>
      <c r="R210" s="2129">
        <f>SUMPRODUCT(N210:N211,Q210:Q211)</f>
        <v>-59.471481996085558</v>
      </c>
      <c r="S210" s="24"/>
      <c r="T210" s="26"/>
      <c r="V210" s="24"/>
      <c r="W210" s="26"/>
      <c r="X210" s="26"/>
      <c r="Y210" s="41"/>
      <c r="Z210" s="41"/>
      <c r="AA210" s="41"/>
      <c r="AB210" s="846"/>
      <c r="AC210" s="26"/>
      <c r="AD210" s="24"/>
      <c r="AE210" s="26"/>
      <c r="AF210" s="106"/>
      <c r="AG210" s="37"/>
      <c r="AH210" s="957"/>
      <c r="AI210" s="1023"/>
      <c r="AJ210" s="1023"/>
      <c r="AK210" s="1023"/>
      <c r="AL210" s="1023"/>
      <c r="AM210" s="1023"/>
      <c r="AN210" s="1023"/>
      <c r="AO210" s="957"/>
      <c r="AP210" s="957"/>
      <c r="AQ210" s="957"/>
      <c r="AR210" s="957"/>
      <c r="AS210" s="957"/>
      <c r="AT210" s="957"/>
      <c r="AU210" s="957"/>
      <c r="AV210" s="957"/>
      <c r="AW210" s="957"/>
      <c r="AX210" s="957"/>
      <c r="AY210" s="957"/>
      <c r="AZ210" s="957"/>
      <c r="BA210" s="957"/>
      <c r="BB210" s="957"/>
      <c r="BC210" s="957"/>
      <c r="BD210" s="957"/>
      <c r="BE210" s="957"/>
      <c r="BF210" s="957"/>
      <c r="BG210" s="957"/>
    </row>
    <row r="211" spans="1:59">
      <c r="A211" s="2172"/>
      <c r="B211" s="2209"/>
      <c r="C211" s="2180"/>
      <c r="D211" s="348" t="s">
        <v>798</v>
      </c>
      <c r="E211" s="452">
        <v>67</v>
      </c>
      <c r="F211" s="148" t="s">
        <v>15</v>
      </c>
      <c r="G211" s="148" t="s">
        <v>15</v>
      </c>
      <c r="H211" s="367">
        <v>445.59399999999999</v>
      </c>
      <c r="I211" s="368">
        <v>165.76230000000001</v>
      </c>
      <c r="J211" s="234" t="s">
        <v>15</v>
      </c>
      <c r="K211" s="233" t="s">
        <v>15</v>
      </c>
      <c r="L211" s="234" t="s">
        <v>15</v>
      </c>
      <c r="M211" s="233" t="s">
        <v>15</v>
      </c>
      <c r="N211" s="537">
        <v>0</v>
      </c>
      <c r="O211" s="536" t="s">
        <v>574</v>
      </c>
      <c r="P211" s="536" t="s">
        <v>574</v>
      </c>
      <c r="Q211" s="128">
        <f>10260.24/$T$193</f>
        <v>0.25557226672352562</v>
      </c>
      <c r="R211" s="2129"/>
      <c r="S211" s="24"/>
      <c r="T211" s="26"/>
      <c r="V211" s="24"/>
      <c r="W211" s="26"/>
      <c r="X211" s="26"/>
      <c r="Y211" s="41"/>
      <c r="Z211" s="41"/>
      <c r="AA211" s="41"/>
      <c r="AB211" s="846"/>
      <c r="AC211" s="26"/>
      <c r="AD211" s="24"/>
      <c r="AE211" s="26"/>
      <c r="AF211" s="106"/>
      <c r="AG211" s="37"/>
      <c r="AH211" s="957"/>
      <c r="AI211" s="1023"/>
      <c r="AJ211" s="1023"/>
      <c r="AK211" s="1023"/>
      <c r="AL211" s="1023"/>
      <c r="AM211" s="1023"/>
      <c r="AN211" s="1023"/>
      <c r="AO211" s="957"/>
      <c r="AP211" s="957"/>
      <c r="AQ211" s="957"/>
      <c r="AR211" s="957"/>
      <c r="AS211" s="957"/>
      <c r="AT211" s="957"/>
      <c r="AU211" s="957"/>
      <c r="AV211" s="957"/>
      <c r="AW211" s="957"/>
      <c r="AX211" s="957"/>
      <c r="AY211" s="957"/>
      <c r="AZ211" s="957"/>
      <c r="BA211" s="957"/>
      <c r="BB211" s="957"/>
      <c r="BC211" s="957"/>
      <c r="BD211" s="957"/>
      <c r="BE211" s="957"/>
      <c r="BF211" s="957"/>
      <c r="BG211" s="957"/>
    </row>
    <row r="212" spans="1:59">
      <c r="A212" s="2172"/>
      <c r="B212" s="2207" t="s">
        <v>799</v>
      </c>
      <c r="C212" s="2205" t="s">
        <v>11</v>
      </c>
      <c r="D212" s="338" t="s">
        <v>33</v>
      </c>
      <c r="E212" s="452">
        <v>3</v>
      </c>
      <c r="F212" s="148" t="s">
        <v>15</v>
      </c>
      <c r="G212" s="148" t="s">
        <v>15</v>
      </c>
      <c r="H212" s="367">
        <v>450.01080000000002</v>
      </c>
      <c r="I212" s="368">
        <v>23.105789999999999</v>
      </c>
      <c r="J212" s="234" t="s">
        <v>15</v>
      </c>
      <c r="K212" s="233" t="s">
        <v>15</v>
      </c>
      <c r="L212" s="234" t="s">
        <v>15</v>
      </c>
      <c r="M212" s="233" t="s">
        <v>15</v>
      </c>
      <c r="N212" s="537">
        <v>55.552039100000002</v>
      </c>
      <c r="O212" s="536">
        <v>0.95</v>
      </c>
      <c r="P212" s="536">
        <v>58.746234899999997</v>
      </c>
      <c r="Q212" s="128">
        <f>129.08/$T$193</f>
        <v>3.2152530728981671E-3</v>
      </c>
      <c r="R212" s="2129">
        <f>SUMPRODUCT(N212:N213,Q212:Q213)</f>
        <v>0.17861386442203414</v>
      </c>
      <c r="S212" s="24"/>
      <c r="T212" s="26"/>
      <c r="V212" s="24"/>
      <c r="W212" s="26"/>
      <c r="X212" s="26"/>
      <c r="Y212" s="41"/>
      <c r="Z212" s="41"/>
      <c r="AA212" s="41"/>
      <c r="AB212" s="846"/>
      <c r="AC212" s="26"/>
      <c r="AD212" s="24"/>
      <c r="AE212" s="26"/>
      <c r="AF212" s="106"/>
      <c r="AG212" s="37"/>
      <c r="AH212" s="957"/>
      <c r="AI212" s="1023"/>
      <c r="AJ212" s="1023"/>
      <c r="AK212" s="1023"/>
      <c r="AL212" s="1023"/>
      <c r="AM212" s="1023"/>
      <c r="AN212" s="1023"/>
      <c r="AO212" s="957"/>
      <c r="AP212" s="957"/>
      <c r="AQ212" s="957"/>
      <c r="AR212" s="957"/>
      <c r="AS212" s="957"/>
      <c r="AT212" s="957"/>
      <c r="AU212" s="957"/>
      <c r="AV212" s="957"/>
      <c r="AW212" s="957"/>
      <c r="AX212" s="957"/>
      <c r="AY212" s="957"/>
      <c r="AZ212" s="957"/>
      <c r="BA212" s="957"/>
      <c r="BB212" s="957"/>
      <c r="BC212" s="957"/>
      <c r="BD212" s="957"/>
      <c r="BE212" s="957"/>
      <c r="BF212" s="957"/>
      <c r="BG212" s="957"/>
    </row>
    <row r="213" spans="1:59">
      <c r="A213" s="2172"/>
      <c r="B213" s="2209"/>
      <c r="C213" s="2205"/>
      <c r="D213" s="338" t="s">
        <v>32</v>
      </c>
      <c r="E213" s="452">
        <v>136</v>
      </c>
      <c r="F213" s="148" t="s">
        <v>15</v>
      </c>
      <c r="G213" s="148" t="s">
        <v>15</v>
      </c>
      <c r="H213" s="367">
        <v>335.84379999999999</v>
      </c>
      <c r="I213" s="368">
        <v>117.8759</v>
      </c>
      <c r="J213" s="234" t="s">
        <v>15</v>
      </c>
      <c r="K213" s="233" t="s">
        <v>15</v>
      </c>
      <c r="L213" s="234" t="s">
        <v>15</v>
      </c>
      <c r="M213" s="233" t="s">
        <v>15</v>
      </c>
      <c r="N213" s="537">
        <v>0</v>
      </c>
      <c r="O213" s="536" t="s">
        <v>574</v>
      </c>
      <c r="P213" s="536" t="s">
        <v>574</v>
      </c>
      <c r="Q213" s="128">
        <f>40017.06/$T$193</f>
        <v>0.99678474692710184</v>
      </c>
      <c r="R213" s="2129"/>
      <c r="S213" s="24"/>
      <c r="T213" s="26"/>
      <c r="V213" s="24"/>
      <c r="W213" s="26"/>
      <c r="X213" s="26"/>
      <c r="Y213" s="41"/>
      <c r="Z213" s="41"/>
      <c r="AA213" s="41"/>
      <c r="AB213" s="846"/>
      <c r="AC213" s="26"/>
      <c r="AD213" s="24"/>
      <c r="AE213" s="26"/>
      <c r="AF213" s="106"/>
      <c r="AG213" s="37"/>
      <c r="AH213" s="957"/>
      <c r="AI213" s="1023"/>
      <c r="AJ213" s="1023"/>
      <c r="AK213" s="1023"/>
      <c r="AL213" s="1023"/>
      <c r="AM213" s="1023"/>
      <c r="AN213" s="1023"/>
      <c r="AO213" s="957"/>
      <c r="AP213" s="957"/>
      <c r="AQ213" s="957"/>
      <c r="AR213" s="957"/>
      <c r="AS213" s="957"/>
      <c r="AT213" s="957"/>
      <c r="AU213" s="957"/>
      <c r="AV213" s="957"/>
      <c r="AW213" s="957"/>
      <c r="AX213" s="957"/>
      <c r="AY213" s="957"/>
      <c r="AZ213" s="957"/>
      <c r="BA213" s="957"/>
      <c r="BB213" s="957"/>
      <c r="BC213" s="957"/>
      <c r="BD213" s="957"/>
      <c r="BE213" s="957"/>
      <c r="BF213" s="957"/>
      <c r="BG213" s="957"/>
    </row>
    <row r="214" spans="1:59">
      <c r="A214" s="2172"/>
      <c r="B214" s="2207" t="s">
        <v>800</v>
      </c>
      <c r="C214" s="2205" t="s">
        <v>11</v>
      </c>
      <c r="D214" s="338" t="s">
        <v>33</v>
      </c>
      <c r="E214" s="452">
        <v>112</v>
      </c>
      <c r="F214" s="148" t="s">
        <v>15</v>
      </c>
      <c r="G214" s="148" t="s">
        <v>15</v>
      </c>
      <c r="H214" s="367">
        <v>351.39940000000001</v>
      </c>
      <c r="I214" s="368">
        <v>122.5515</v>
      </c>
      <c r="J214" s="234" t="s">
        <v>15</v>
      </c>
      <c r="K214" s="233" t="s">
        <v>15</v>
      </c>
      <c r="L214" s="234" t="s">
        <v>15</v>
      </c>
      <c r="M214" s="233" t="s">
        <v>15</v>
      </c>
      <c r="N214" s="537">
        <v>14.6450859</v>
      </c>
      <c r="O214" s="536">
        <v>0.61</v>
      </c>
      <c r="P214" s="536">
        <v>23.966332900000001</v>
      </c>
      <c r="Q214" s="128">
        <f>33481.67/$T$193</f>
        <v>0.83399475018021652</v>
      </c>
      <c r="R214" s="2129">
        <f>SUMPRODUCT(N214:N215,Q214:Q215)</f>
        <v>12.213924756538312</v>
      </c>
      <c r="S214" s="24"/>
      <c r="T214" s="26"/>
      <c r="V214" s="24"/>
      <c r="W214" s="26"/>
      <c r="X214" s="26"/>
      <c r="Y214" s="41"/>
      <c r="Z214" s="41"/>
      <c r="AA214" s="41"/>
      <c r="AB214" s="846"/>
      <c r="AC214" s="26"/>
      <c r="AD214" s="24"/>
      <c r="AE214" s="26"/>
      <c r="AF214" s="106"/>
      <c r="AG214" s="37"/>
      <c r="AH214" s="957"/>
      <c r="AI214" s="1023"/>
      <c r="AJ214" s="1023"/>
      <c r="AK214" s="1023"/>
      <c r="AL214" s="1023"/>
      <c r="AM214" s="1023"/>
      <c r="AN214" s="1023"/>
      <c r="AO214" s="957"/>
      <c r="AP214" s="957"/>
      <c r="AQ214" s="957"/>
      <c r="AR214" s="957"/>
      <c r="AS214" s="957"/>
      <c r="AT214" s="957"/>
      <c r="AU214" s="957"/>
      <c r="AV214" s="957"/>
      <c r="AW214" s="957"/>
      <c r="AX214" s="957"/>
      <c r="AY214" s="957"/>
      <c r="AZ214" s="957"/>
      <c r="BA214" s="957"/>
      <c r="BB214" s="957"/>
      <c r="BC214" s="957"/>
      <c r="BD214" s="957"/>
      <c r="BE214" s="957"/>
      <c r="BF214" s="957"/>
      <c r="BG214" s="957"/>
    </row>
    <row r="215" spans="1:59">
      <c r="A215" s="2172"/>
      <c r="B215" s="2209"/>
      <c r="C215" s="2205"/>
      <c r="D215" s="338" t="s">
        <v>32</v>
      </c>
      <c r="E215" s="452">
        <v>27</v>
      </c>
      <c r="F215" s="148" t="s">
        <v>15</v>
      </c>
      <c r="G215" s="148" t="s">
        <v>15</v>
      </c>
      <c r="H215" s="367">
        <v>259.9051</v>
      </c>
      <c r="I215" s="368">
        <v>35.474989999999998</v>
      </c>
      <c r="J215" s="234" t="s">
        <v>15</v>
      </c>
      <c r="K215" s="233" t="s">
        <v>15</v>
      </c>
      <c r="L215" s="234" t="s">
        <v>15</v>
      </c>
      <c r="M215" s="233" t="s">
        <v>15</v>
      </c>
      <c r="N215" s="537">
        <v>0</v>
      </c>
      <c r="O215" s="536" t="s">
        <v>574</v>
      </c>
      <c r="P215" s="536" t="s">
        <v>574</v>
      </c>
      <c r="Q215" s="128">
        <f>6664.47/$T$193</f>
        <v>0.16600524981978343</v>
      </c>
      <c r="R215" s="2129"/>
      <c r="S215" s="24"/>
      <c r="T215" s="26"/>
      <c r="V215" s="24"/>
      <c r="W215" s="26"/>
      <c r="X215" s="26"/>
      <c r="Y215" s="41"/>
      <c r="Z215" s="41"/>
      <c r="AA215" s="41"/>
      <c r="AB215" s="846"/>
      <c r="AC215" s="26"/>
      <c r="AD215" s="24"/>
      <c r="AE215" s="26"/>
      <c r="AF215" s="106"/>
      <c r="AG215" s="37"/>
      <c r="AH215" s="957"/>
      <c r="AI215" s="1023"/>
      <c r="AJ215" s="1023"/>
      <c r="AK215" s="1023"/>
      <c r="AL215" s="1023"/>
      <c r="AM215" s="1023"/>
      <c r="AN215" s="1023"/>
      <c r="AO215" s="957"/>
      <c r="AP215" s="957"/>
      <c r="AQ215" s="957"/>
      <c r="AR215" s="957"/>
      <c r="AS215" s="957"/>
      <c r="AT215" s="957"/>
      <c r="AU215" s="957"/>
      <c r="AV215" s="957"/>
      <c r="AW215" s="957"/>
      <c r="AX215" s="957"/>
      <c r="AY215" s="957"/>
      <c r="AZ215" s="957"/>
      <c r="BA215" s="957"/>
      <c r="BB215" s="957"/>
      <c r="BC215" s="957"/>
      <c r="BD215" s="957"/>
      <c r="BE215" s="957"/>
      <c r="BF215" s="957"/>
      <c r="BG215" s="957"/>
    </row>
    <row r="216" spans="1:59">
      <c r="A216" s="2172"/>
      <c r="B216" s="2206" t="s">
        <v>770</v>
      </c>
      <c r="C216" s="2144" t="s">
        <v>13</v>
      </c>
      <c r="D216" s="348" t="s">
        <v>771</v>
      </c>
      <c r="E216" s="452">
        <v>126</v>
      </c>
      <c r="F216" s="148" t="s">
        <v>15</v>
      </c>
      <c r="G216" s="148" t="s">
        <v>15</v>
      </c>
      <c r="H216" s="367">
        <v>322.6936</v>
      </c>
      <c r="I216" s="368">
        <v>95.222020000000001</v>
      </c>
      <c r="J216" s="234" t="s">
        <v>15</v>
      </c>
      <c r="K216" s="233" t="s">
        <v>15</v>
      </c>
      <c r="L216" s="234" t="s">
        <v>15</v>
      </c>
      <c r="M216" s="233" t="s">
        <v>15</v>
      </c>
      <c r="N216" s="537">
        <v>-179.44893949999999</v>
      </c>
      <c r="O216" s="536">
        <v>-7.34</v>
      </c>
      <c r="P216" s="536">
        <v>24.454300499999999</v>
      </c>
      <c r="Q216" s="128">
        <f>38662.54/$T$193</f>
        <v>0.96304501503756035</v>
      </c>
      <c r="R216" s="2129">
        <f>SUMPRODUCT(N216:N217,Q216:Q217)</f>
        <v>-172.81740663925174</v>
      </c>
      <c r="S216" s="24"/>
      <c r="T216" s="26"/>
      <c r="V216" s="24"/>
      <c r="W216" s="26"/>
      <c r="X216" s="26"/>
      <c r="Y216" s="41"/>
      <c r="Z216" s="41"/>
      <c r="AA216" s="41"/>
      <c r="AB216" s="846"/>
      <c r="AC216" s="26"/>
      <c r="AD216" s="24"/>
      <c r="AE216" s="26"/>
      <c r="AF216" s="106"/>
      <c r="AG216" s="37"/>
      <c r="AH216" s="957"/>
      <c r="AI216" s="1023"/>
      <c r="AJ216" s="1023"/>
      <c r="AK216" s="1023"/>
      <c r="AL216" s="1023"/>
      <c r="AM216" s="1023"/>
      <c r="AN216" s="1023"/>
      <c r="AO216" s="957"/>
      <c r="AP216" s="957"/>
      <c r="AQ216" s="957"/>
      <c r="AR216" s="957"/>
      <c r="AS216" s="957"/>
      <c r="AT216" s="957"/>
      <c r="AU216" s="957"/>
      <c r="AV216" s="957"/>
      <c r="AW216" s="957"/>
      <c r="AX216" s="957"/>
      <c r="AY216" s="957"/>
      <c r="AZ216" s="957"/>
      <c r="BA216" s="957"/>
      <c r="BB216" s="957"/>
      <c r="BC216" s="957"/>
      <c r="BD216" s="957"/>
      <c r="BE216" s="957"/>
      <c r="BF216" s="957"/>
      <c r="BG216" s="957"/>
    </row>
    <row r="217" spans="1:59">
      <c r="A217" s="2172"/>
      <c r="B217" s="2206"/>
      <c r="C217" s="2144"/>
      <c r="D217" s="348" t="s">
        <v>772</v>
      </c>
      <c r="E217" s="452">
        <v>13</v>
      </c>
      <c r="F217" s="148" t="s">
        <v>15</v>
      </c>
      <c r="G217" s="148" t="s">
        <v>15</v>
      </c>
      <c r="H217" s="367">
        <v>688.47</v>
      </c>
      <c r="I217" s="368">
        <v>104.0138</v>
      </c>
      <c r="J217" s="234" t="s">
        <v>15</v>
      </c>
      <c r="K217" s="233" t="s">
        <v>15</v>
      </c>
      <c r="L217" s="234" t="s">
        <v>15</v>
      </c>
      <c r="M217" s="233" t="s">
        <v>15</v>
      </c>
      <c r="N217" s="537">
        <v>0</v>
      </c>
      <c r="O217" s="536" t="s">
        <v>574</v>
      </c>
      <c r="P217" s="536" t="s">
        <v>574</v>
      </c>
      <c r="Q217" s="128">
        <f>1483.6/$T$193</f>
        <v>3.6954984962439721E-2</v>
      </c>
      <c r="R217" s="2129"/>
      <c r="S217" s="24"/>
      <c r="T217" s="26"/>
      <c r="V217" s="24"/>
      <c r="W217" s="26"/>
      <c r="X217" s="26"/>
      <c r="Y217" s="41"/>
      <c r="Z217" s="41"/>
      <c r="AA217" s="41"/>
      <c r="AB217" s="846"/>
      <c r="AC217" s="26"/>
      <c r="AD217" s="24"/>
      <c r="AE217" s="26"/>
      <c r="AF217" s="106"/>
      <c r="AG217" s="37"/>
      <c r="AH217" s="957"/>
      <c r="AI217" s="1023"/>
      <c r="AJ217" s="1023"/>
      <c r="AK217" s="1023"/>
      <c r="AL217" s="1023"/>
      <c r="AM217" s="1023"/>
      <c r="AN217" s="1023"/>
      <c r="AO217" s="957"/>
      <c r="AP217" s="957"/>
      <c r="AQ217" s="957"/>
      <c r="AR217" s="957"/>
      <c r="AS217" s="957"/>
      <c r="AT217" s="957"/>
      <c r="AU217" s="957"/>
      <c r="AV217" s="957"/>
      <c r="AW217" s="957"/>
      <c r="AX217" s="957"/>
      <c r="AY217" s="957"/>
      <c r="AZ217" s="957"/>
      <c r="BA217" s="957"/>
      <c r="BB217" s="957"/>
      <c r="BC217" s="957"/>
      <c r="BD217" s="957"/>
      <c r="BE217" s="957"/>
      <c r="BF217" s="957"/>
      <c r="BG217" s="957"/>
    </row>
    <row r="218" spans="1:59">
      <c r="A218" s="2172"/>
      <c r="B218" s="2207" t="s">
        <v>773</v>
      </c>
      <c r="C218" s="2360" t="s">
        <v>13</v>
      </c>
      <c r="D218" s="338" t="s">
        <v>774</v>
      </c>
      <c r="E218" s="452">
        <v>89</v>
      </c>
      <c r="F218" s="148" t="s">
        <v>15</v>
      </c>
      <c r="G218" s="148" t="s">
        <v>15</v>
      </c>
      <c r="H218" s="367">
        <v>307.18630000000002</v>
      </c>
      <c r="I218" s="368">
        <v>78.613730000000004</v>
      </c>
      <c r="J218" s="234" t="s">
        <v>15</v>
      </c>
      <c r="K218" s="233" t="s">
        <v>15</v>
      </c>
      <c r="L218" s="234" t="s">
        <v>15</v>
      </c>
      <c r="M218" s="233" t="s">
        <v>15</v>
      </c>
      <c r="N218" s="537">
        <v>0</v>
      </c>
      <c r="O218" s="536" t="s">
        <v>574</v>
      </c>
      <c r="P218" s="536" t="s">
        <v>574</v>
      </c>
      <c r="Q218" s="128">
        <f>2873.9/$T$193</f>
        <v>7.1585960692609557E-2</v>
      </c>
      <c r="R218" s="2130">
        <f>SUMPRODUCT(N218:N220,Q218:Q220)</f>
        <v>10.057597063862179</v>
      </c>
      <c r="S218" s="24"/>
      <c r="T218" s="26"/>
      <c r="V218" s="24"/>
      <c r="W218" s="26"/>
      <c r="X218" s="26"/>
      <c r="Y218" s="41"/>
      <c r="Z218" s="41"/>
      <c r="AA218" s="41"/>
      <c r="AB218" s="846"/>
      <c r="AC218" s="26"/>
      <c r="AD218" s="24"/>
      <c r="AE218" s="26"/>
      <c r="AF218" s="106"/>
      <c r="AG218" s="37"/>
      <c r="AH218" s="957"/>
      <c r="AI218" s="1023"/>
      <c r="AJ218" s="1023"/>
      <c r="AK218" s="1023"/>
      <c r="AL218" s="1023"/>
      <c r="AM218" s="1023"/>
      <c r="AN218" s="1023"/>
      <c r="AO218" s="957"/>
      <c r="AP218" s="957"/>
      <c r="AQ218" s="957"/>
      <c r="AR218" s="957"/>
      <c r="AS218" s="957"/>
      <c r="AT218" s="957"/>
      <c r="AU218" s="957"/>
      <c r="AV218" s="957"/>
      <c r="AW218" s="957"/>
      <c r="AX218" s="957"/>
      <c r="AY218" s="957"/>
      <c r="AZ218" s="957"/>
      <c r="BA218" s="957"/>
      <c r="BB218" s="957"/>
      <c r="BC218" s="957"/>
      <c r="BD218" s="957"/>
      <c r="BE218" s="957"/>
      <c r="BF218" s="957"/>
      <c r="BG218" s="957"/>
    </row>
    <row r="219" spans="1:59">
      <c r="A219" s="2172"/>
      <c r="B219" s="2208"/>
      <c r="C219" s="2361"/>
      <c r="D219" s="338" t="s">
        <v>775</v>
      </c>
      <c r="E219" s="452">
        <v>37</v>
      </c>
      <c r="F219" s="148" t="s">
        <v>15</v>
      </c>
      <c r="G219" s="148" t="s">
        <v>15</v>
      </c>
      <c r="H219" s="367">
        <v>475.55619999999999</v>
      </c>
      <c r="I219" s="368">
        <v>127.43940000000001</v>
      </c>
      <c r="J219" s="234" t="s">
        <v>15</v>
      </c>
      <c r="K219" s="233" t="s">
        <v>15</v>
      </c>
      <c r="L219" s="234" t="s">
        <v>15</v>
      </c>
      <c r="M219" s="233" t="s">
        <v>15</v>
      </c>
      <c r="N219" s="537">
        <v>10.533431</v>
      </c>
      <c r="O219" s="536">
        <v>0.49</v>
      </c>
      <c r="P219" s="536">
        <v>21.486617899999999</v>
      </c>
      <c r="Q219" s="128">
        <f>35045.56/$T$193</f>
        <v>0.8729496783501477</v>
      </c>
      <c r="R219" s="2196"/>
      <c r="S219" s="24"/>
      <c r="T219" s="26"/>
      <c r="V219" s="24"/>
      <c r="W219" s="26"/>
      <c r="X219" s="26"/>
      <c r="Y219" s="41"/>
      <c r="Z219" s="41"/>
      <c r="AA219" s="41"/>
      <c r="AB219" s="846"/>
      <c r="AC219" s="26"/>
      <c r="AD219" s="24"/>
      <c r="AE219" s="26"/>
      <c r="AF219" s="106"/>
      <c r="AG219" s="37"/>
      <c r="AH219" s="957"/>
      <c r="AI219" s="1023"/>
      <c r="AJ219" s="1023"/>
      <c r="AK219" s="1023"/>
      <c r="AL219" s="1023"/>
      <c r="AM219" s="1023"/>
      <c r="AN219" s="1023"/>
      <c r="AO219" s="957"/>
      <c r="AP219" s="957"/>
      <c r="AQ219" s="957"/>
      <c r="AR219" s="957"/>
      <c r="AS219" s="957"/>
      <c r="AT219" s="957"/>
      <c r="AU219" s="957"/>
      <c r="AV219" s="957"/>
      <c r="AW219" s="957"/>
      <c r="AX219" s="957"/>
      <c r="AY219" s="957"/>
      <c r="AZ219" s="957"/>
      <c r="BA219" s="957"/>
      <c r="BB219" s="957"/>
      <c r="BC219" s="957"/>
      <c r="BD219" s="957"/>
      <c r="BE219" s="957"/>
      <c r="BF219" s="957"/>
      <c r="BG219" s="957"/>
    </row>
    <row r="220" spans="1:59">
      <c r="A220" s="2172"/>
      <c r="B220" s="2208"/>
      <c r="C220" s="2362"/>
      <c r="D220" s="338" t="s">
        <v>776</v>
      </c>
      <c r="E220" s="452">
        <v>126</v>
      </c>
      <c r="F220" s="148" t="s">
        <v>15</v>
      </c>
      <c r="G220" s="148" t="s">
        <v>15</v>
      </c>
      <c r="H220" s="367">
        <v>319.947</v>
      </c>
      <c r="I220" s="368">
        <v>94.489639999999994</v>
      </c>
      <c r="J220" s="234" t="s">
        <v>15</v>
      </c>
      <c r="K220" s="233" t="s">
        <v>15</v>
      </c>
      <c r="L220" s="234" t="s">
        <v>15</v>
      </c>
      <c r="M220" s="233" t="s">
        <v>15</v>
      </c>
      <c r="N220" s="537">
        <v>15.549478000000001</v>
      </c>
      <c r="O220" s="536">
        <v>0.67</v>
      </c>
      <c r="P220" s="536">
        <v>23.091831899999999</v>
      </c>
      <c r="Q220" s="128">
        <f>2226.68/$T$193</f>
        <v>5.5464360957242713E-2</v>
      </c>
      <c r="R220" s="2196"/>
      <c r="S220" s="24"/>
      <c r="T220" s="26"/>
      <c r="V220" s="24"/>
      <c r="W220" s="26"/>
      <c r="X220" s="26"/>
      <c r="Y220" s="41"/>
      <c r="Z220" s="41"/>
      <c r="AA220" s="41"/>
      <c r="AB220" s="846"/>
      <c r="AC220" s="26"/>
      <c r="AD220" s="24"/>
      <c r="AE220" s="26"/>
      <c r="AF220" s="106"/>
      <c r="AG220" s="37"/>
      <c r="AH220" s="957"/>
      <c r="AI220" s="1023"/>
      <c r="AJ220" s="1023"/>
      <c r="AK220" s="1023"/>
      <c r="AL220" s="1023"/>
      <c r="AM220" s="1023"/>
      <c r="AN220" s="1023"/>
      <c r="AO220" s="957"/>
      <c r="AP220" s="957"/>
      <c r="AQ220" s="957"/>
      <c r="AR220" s="957"/>
      <c r="AS220" s="957"/>
      <c r="AT220" s="957"/>
      <c r="AU220" s="957"/>
      <c r="AV220" s="957"/>
      <c r="AW220" s="957"/>
      <c r="AX220" s="957"/>
      <c r="AY220" s="957"/>
      <c r="AZ220" s="957"/>
      <c r="BA220" s="957"/>
      <c r="BB220" s="957"/>
      <c r="BC220" s="957"/>
      <c r="BD220" s="957"/>
      <c r="BE220" s="957"/>
      <c r="BF220" s="957"/>
      <c r="BG220" s="957"/>
    </row>
    <row r="221" spans="1:59">
      <c r="A221" s="2172"/>
      <c r="B221" s="2206" t="s">
        <v>778</v>
      </c>
      <c r="C221" s="2205" t="s">
        <v>11</v>
      </c>
      <c r="D221" s="338" t="s">
        <v>33</v>
      </c>
      <c r="E221" s="452">
        <v>8</v>
      </c>
      <c r="F221" s="148" t="s">
        <v>15</v>
      </c>
      <c r="G221" s="148" t="s">
        <v>15</v>
      </c>
      <c r="H221" s="367">
        <v>302.14339999999999</v>
      </c>
      <c r="I221" s="368">
        <v>25.099620000000002</v>
      </c>
      <c r="J221" s="234" t="s">
        <v>15</v>
      </c>
      <c r="K221" s="233" t="s">
        <v>15</v>
      </c>
      <c r="L221" s="234" t="s">
        <v>15</v>
      </c>
      <c r="M221" s="233" t="s">
        <v>15</v>
      </c>
      <c r="N221" s="537">
        <v>44.1949513</v>
      </c>
      <c r="O221" s="536">
        <v>1</v>
      </c>
      <c r="P221" s="536">
        <v>44.416376</v>
      </c>
      <c r="Q221" s="128">
        <f>1030.6/$T$193</f>
        <v>2.5671210233412227E-2</v>
      </c>
      <c r="R221" s="2129">
        <f>SUMPRODUCT(N221:N222,Q221:Q222)</f>
        <v>1.1345378860777149</v>
      </c>
      <c r="S221" s="24"/>
      <c r="T221" s="26"/>
      <c r="V221" s="24"/>
      <c r="W221" s="26"/>
      <c r="X221" s="26"/>
      <c r="Y221" s="41"/>
      <c r="Z221" s="41"/>
      <c r="AA221" s="41"/>
      <c r="AB221" s="846"/>
      <c r="AC221" s="26"/>
      <c r="AD221" s="24"/>
      <c r="AE221" s="26"/>
      <c r="AF221" s="106"/>
      <c r="AG221" s="37"/>
      <c r="AH221" s="957"/>
      <c r="AI221" s="1023"/>
      <c r="AJ221" s="1023"/>
      <c r="AK221" s="1023"/>
      <c r="AL221" s="1023"/>
      <c r="AM221" s="1023"/>
      <c r="AN221" s="1023"/>
      <c r="AO221" s="957"/>
      <c r="AP221" s="957"/>
      <c r="AQ221" s="957"/>
      <c r="AR221" s="957"/>
      <c r="AS221" s="957"/>
      <c r="AT221" s="957"/>
      <c r="AU221" s="957"/>
      <c r="AV221" s="957"/>
      <c r="AW221" s="957"/>
      <c r="AX221" s="957"/>
      <c r="AY221" s="957"/>
      <c r="AZ221" s="957"/>
      <c r="BA221" s="957"/>
      <c r="BB221" s="957"/>
      <c r="BC221" s="957"/>
      <c r="BD221" s="957"/>
      <c r="BE221" s="957"/>
      <c r="BF221" s="957"/>
      <c r="BG221" s="957"/>
    </row>
    <row r="222" spans="1:59">
      <c r="A222" s="2172"/>
      <c r="B222" s="2206"/>
      <c r="C222" s="2205"/>
      <c r="D222" s="338" t="s">
        <v>32</v>
      </c>
      <c r="E222" s="452">
        <v>131</v>
      </c>
      <c r="F222" s="148" t="s">
        <v>15</v>
      </c>
      <c r="G222" s="148" t="s">
        <v>15</v>
      </c>
      <c r="H222" s="367">
        <v>337.10849999999999</v>
      </c>
      <c r="I222" s="368">
        <v>119.21250000000001</v>
      </c>
      <c r="J222" s="234" t="s">
        <v>15</v>
      </c>
      <c r="K222" s="233" t="s">
        <v>15</v>
      </c>
      <c r="L222" s="234" t="s">
        <v>15</v>
      </c>
      <c r="M222" s="233" t="s">
        <v>15</v>
      </c>
      <c r="N222" s="537">
        <v>0</v>
      </c>
      <c r="O222" s="536" t="s">
        <v>574</v>
      </c>
      <c r="P222" s="536" t="s">
        <v>574</v>
      </c>
      <c r="Q222" s="128">
        <f>39115.54/$T$193</f>
        <v>0.97432878976658777</v>
      </c>
      <c r="R222" s="2129"/>
      <c r="S222" s="24"/>
      <c r="T222" s="26"/>
      <c r="V222" s="24"/>
      <c r="W222" s="26"/>
      <c r="X222" s="26"/>
      <c r="Y222" s="41"/>
      <c r="Z222" s="41"/>
      <c r="AA222" s="41"/>
      <c r="AB222" s="846"/>
      <c r="AC222" s="26"/>
      <c r="AD222" s="24"/>
      <c r="AE222" s="26"/>
      <c r="AF222" s="106"/>
      <c r="AG222" s="37"/>
      <c r="AH222" s="957"/>
      <c r="AI222" s="1023"/>
      <c r="AJ222" s="1023"/>
      <c r="AK222" s="1023"/>
      <c r="AL222" s="1023"/>
      <c r="AM222" s="1023"/>
      <c r="AN222" s="1023"/>
      <c r="AO222" s="957"/>
      <c r="AP222" s="957"/>
      <c r="AQ222" s="957"/>
      <c r="AR222" s="957"/>
      <c r="AS222" s="957"/>
      <c r="AT222" s="957"/>
      <c r="AU222" s="957"/>
      <c r="AV222" s="957"/>
      <c r="AW222" s="957"/>
      <c r="AX222" s="957"/>
      <c r="AY222" s="957"/>
      <c r="AZ222" s="957"/>
      <c r="BA222" s="957"/>
      <c r="BB222" s="957"/>
      <c r="BC222" s="957"/>
      <c r="BD222" s="957"/>
      <c r="BE222" s="957"/>
      <c r="BF222" s="957"/>
      <c r="BG222" s="957"/>
    </row>
    <row r="223" spans="1:59">
      <c r="A223" s="2172"/>
      <c r="B223" s="2206" t="s">
        <v>7</v>
      </c>
      <c r="C223" s="2144" t="s">
        <v>13</v>
      </c>
      <c r="D223" s="348">
        <v>1</v>
      </c>
      <c r="E223" s="452">
        <v>43</v>
      </c>
      <c r="F223" s="148" t="s">
        <v>15</v>
      </c>
      <c r="G223" s="148" t="s">
        <v>15</v>
      </c>
      <c r="H223" s="367">
        <v>372.73520000000002</v>
      </c>
      <c r="I223" s="368">
        <v>116.6435</v>
      </c>
      <c r="J223" s="234" t="s">
        <v>15</v>
      </c>
      <c r="K223" s="233" t="s">
        <v>15</v>
      </c>
      <c r="L223" s="234" t="s">
        <v>15</v>
      </c>
      <c r="M223" s="233" t="s">
        <v>15</v>
      </c>
      <c r="N223" s="537">
        <v>39.640740399999999</v>
      </c>
      <c r="O223" s="536">
        <v>3.65</v>
      </c>
      <c r="P223" s="536">
        <v>10.869981900000001</v>
      </c>
      <c r="Q223" s="128">
        <f>17247.12/$T$193</f>
        <v>0.42960842561700824</v>
      </c>
      <c r="R223" s="2130">
        <f>SUMPRODUCT(N223:N225,Q223:Q225)</f>
        <v>22.499105832249079</v>
      </c>
      <c r="S223" s="24"/>
      <c r="T223" s="26"/>
      <c r="V223" s="24"/>
      <c r="W223" s="26"/>
      <c r="X223" s="26"/>
      <c r="Y223" s="41"/>
      <c r="Z223" s="41"/>
      <c r="AA223" s="41"/>
      <c r="AB223" s="846"/>
      <c r="AC223" s="26"/>
      <c r="AD223" s="24"/>
      <c r="AE223" s="26"/>
      <c r="AF223" s="106"/>
      <c r="AG223" s="37"/>
      <c r="AH223" s="957"/>
      <c r="AI223" s="1023"/>
      <c r="AJ223" s="1023"/>
      <c r="AK223" s="1023"/>
      <c r="AL223" s="1023"/>
      <c r="AM223" s="1023"/>
      <c r="AN223" s="1023"/>
      <c r="AO223" s="957"/>
      <c r="AP223" s="957"/>
      <c r="AQ223" s="957"/>
      <c r="AR223" s="957"/>
      <c r="AS223" s="957"/>
      <c r="AT223" s="957"/>
      <c r="AU223" s="957"/>
      <c r="AV223" s="957"/>
      <c r="AW223" s="957"/>
      <c r="AX223" s="957"/>
      <c r="AY223" s="957"/>
      <c r="AZ223" s="957"/>
      <c r="BA223" s="957"/>
      <c r="BB223" s="957"/>
      <c r="BC223" s="957"/>
      <c r="BD223" s="957"/>
      <c r="BE223" s="957"/>
      <c r="BF223" s="957"/>
      <c r="BG223" s="957"/>
    </row>
    <row r="224" spans="1:59">
      <c r="A224" s="2172"/>
      <c r="B224" s="2206"/>
      <c r="C224" s="2144"/>
      <c r="D224" s="348">
        <v>2</v>
      </c>
      <c r="E224" s="452">
        <v>48</v>
      </c>
      <c r="F224" s="148" t="s">
        <v>15</v>
      </c>
      <c r="G224" s="148" t="s">
        <v>15</v>
      </c>
      <c r="H224" s="367">
        <v>306.5009</v>
      </c>
      <c r="I224" s="368">
        <v>107.33750000000001</v>
      </c>
      <c r="J224" s="234" t="s">
        <v>15</v>
      </c>
      <c r="K224" s="233" t="s">
        <v>15</v>
      </c>
      <c r="L224" s="234" t="s">
        <v>15</v>
      </c>
      <c r="M224" s="233" t="s">
        <v>15</v>
      </c>
      <c r="N224" s="537">
        <v>25.6015072</v>
      </c>
      <c r="O224" s="536">
        <v>2.5299999999999998</v>
      </c>
      <c r="P224" s="536">
        <v>10.1325292</v>
      </c>
      <c r="Q224" s="128">
        <f>8576.2/$T$193</f>
        <v>0.21362452280592856</v>
      </c>
      <c r="R224" s="2196"/>
      <c r="S224" s="24"/>
      <c r="T224" s="26"/>
      <c r="V224" s="24"/>
      <c r="W224" s="26"/>
      <c r="X224" s="26"/>
      <c r="Y224" s="41"/>
      <c r="Z224" s="41"/>
      <c r="AA224" s="41"/>
      <c r="AB224" s="846"/>
      <c r="AC224" s="26"/>
      <c r="AD224" s="24"/>
      <c r="AE224" s="26"/>
      <c r="AF224" s="106"/>
      <c r="AG224" s="37"/>
      <c r="AH224" s="957"/>
      <c r="AI224" s="1023"/>
      <c r="AJ224" s="1023"/>
      <c r="AK224" s="1023"/>
      <c r="AL224" s="1023"/>
      <c r="AM224" s="1023"/>
      <c r="AN224" s="1023"/>
      <c r="AO224" s="957"/>
      <c r="AP224" s="957"/>
      <c r="AQ224" s="957"/>
      <c r="AR224" s="957"/>
      <c r="AS224" s="957"/>
      <c r="AT224" s="957"/>
      <c r="AU224" s="957"/>
      <c r="AV224" s="957"/>
      <c r="AW224" s="957"/>
      <c r="AX224" s="957"/>
      <c r="AY224" s="957"/>
      <c r="AZ224" s="957"/>
      <c r="BA224" s="957"/>
      <c r="BB224" s="957"/>
      <c r="BC224" s="957"/>
      <c r="BD224" s="957"/>
      <c r="BE224" s="957"/>
      <c r="BF224" s="957"/>
      <c r="BG224" s="957"/>
    </row>
    <row r="225" spans="1:113" ht="15.75" thickBot="1">
      <c r="A225" s="2172"/>
      <c r="B225" s="2206"/>
      <c r="C225" s="2144"/>
      <c r="D225" s="205">
        <v>3</v>
      </c>
      <c r="E225" s="25">
        <v>48</v>
      </c>
      <c r="F225" s="197" t="s">
        <v>15</v>
      </c>
      <c r="G225" s="197" t="s">
        <v>15</v>
      </c>
      <c r="H225" s="367">
        <v>310.01909999999998</v>
      </c>
      <c r="I225" s="368">
        <v>113.3121</v>
      </c>
      <c r="J225" s="409" t="s">
        <v>15</v>
      </c>
      <c r="K225" s="122" t="s">
        <v>15</v>
      </c>
      <c r="L225" s="409" t="s">
        <v>15</v>
      </c>
      <c r="M225" s="122" t="s">
        <v>15</v>
      </c>
      <c r="N225" s="1201">
        <v>0</v>
      </c>
      <c r="O225" s="133" t="s">
        <v>574</v>
      </c>
      <c r="P225" s="133" t="s">
        <v>574</v>
      </c>
      <c r="Q225" s="286">
        <f>14322.82/$T$193</f>
        <v>0.35676705157706318</v>
      </c>
      <c r="R225" s="2196"/>
      <c r="S225" s="24"/>
      <c r="T225" s="26"/>
      <c r="V225" s="24"/>
      <c r="W225" s="26"/>
      <c r="X225" s="26"/>
      <c r="Y225" s="41"/>
      <c r="Z225" s="41"/>
      <c r="AA225" s="41"/>
      <c r="AB225" s="846"/>
      <c r="AC225" s="26"/>
      <c r="AD225" s="240"/>
      <c r="AE225" s="764"/>
      <c r="AF225" s="106"/>
      <c r="AG225" s="37"/>
      <c r="AH225" s="957"/>
      <c r="AI225" s="1023"/>
      <c r="AJ225" s="1023"/>
      <c r="AK225" s="1023"/>
      <c r="AL225" s="1023"/>
      <c r="AM225" s="1023"/>
      <c r="AN225" s="1023"/>
      <c r="AO225" s="957"/>
      <c r="AP225" s="957"/>
      <c r="AQ225" s="957"/>
      <c r="AR225" s="957"/>
      <c r="AS225" s="957"/>
      <c r="AT225" s="957"/>
      <c r="AU225" s="957"/>
      <c r="AV225" s="957"/>
      <c r="AW225" s="957"/>
      <c r="AX225" s="957"/>
      <c r="AY225" s="957"/>
      <c r="AZ225" s="957"/>
      <c r="BA225" s="957"/>
      <c r="BB225" s="957"/>
      <c r="BC225" s="957"/>
      <c r="BD225" s="957"/>
      <c r="BE225" s="957"/>
      <c r="BF225" s="957"/>
      <c r="BG225" s="957"/>
    </row>
    <row r="226" spans="1:113" s="692" customFormat="1" ht="9" customHeight="1" thickBot="1">
      <c r="A226" s="695"/>
      <c r="B226" s="815"/>
      <c r="C226" s="684"/>
      <c r="D226" s="683"/>
      <c r="E226" s="684"/>
      <c r="F226" s="684"/>
      <c r="G226" s="684"/>
      <c r="H226" s="684"/>
      <c r="I226" s="684"/>
      <c r="J226" s="682"/>
      <c r="K226" s="683"/>
      <c r="L226" s="682"/>
      <c r="M226" s="685"/>
      <c r="N226" s="1189"/>
      <c r="O226" s="686"/>
      <c r="P226" s="686"/>
      <c r="Q226" s="687"/>
      <c r="R226" s="687"/>
      <c r="S226" s="688"/>
      <c r="T226" s="688"/>
      <c r="U226" s="854"/>
      <c r="V226" s="893"/>
      <c r="W226" s="685"/>
      <c r="X226" s="685"/>
      <c r="Y226" s="688"/>
      <c r="Z226" s="688"/>
      <c r="AA226" s="688"/>
      <c r="AB226" s="846"/>
      <c r="AC226" s="685"/>
      <c r="AD226" s="685"/>
      <c r="AE226" s="685"/>
      <c r="AF226" s="689"/>
      <c r="AG226" s="685"/>
      <c r="AH226" s="959"/>
      <c r="AI226" s="959"/>
      <c r="AJ226" s="959"/>
      <c r="AK226" s="959"/>
      <c r="AL226" s="959"/>
      <c r="AM226" s="959"/>
      <c r="AN226" s="959"/>
      <c r="AO226" s="958"/>
      <c r="AP226" s="958"/>
      <c r="AQ226" s="958"/>
      <c r="AR226" s="958"/>
      <c r="AS226" s="958"/>
      <c r="AT226" s="958"/>
      <c r="AU226" s="958"/>
      <c r="AV226" s="958"/>
      <c r="AW226" s="958"/>
      <c r="AX226" s="958"/>
      <c r="AY226" s="958"/>
      <c r="AZ226" s="958"/>
      <c r="BA226" s="958"/>
      <c r="BB226" s="958"/>
      <c r="BC226" s="958"/>
      <c r="BD226" s="958"/>
      <c r="BE226" s="958"/>
      <c r="BF226" s="958"/>
      <c r="BG226" s="958"/>
      <c r="BH226" s="1125"/>
      <c r="DI226" s="693"/>
    </row>
    <row r="227" spans="1:113" s="7" customFormat="1" ht="15" customHeight="1">
      <c r="A227" s="2171" t="s">
        <v>1283</v>
      </c>
      <c r="B227" s="1057" t="s">
        <v>754</v>
      </c>
      <c r="C227" s="809" t="s">
        <v>12</v>
      </c>
      <c r="D227" s="232" t="s">
        <v>827</v>
      </c>
      <c r="E227" s="534">
        <v>75</v>
      </c>
      <c r="F227" s="258">
        <v>25.161750000000001</v>
      </c>
      <c r="G227" s="258">
        <v>5.5313439999999998</v>
      </c>
      <c r="H227" s="367">
        <v>191.34309999999999</v>
      </c>
      <c r="I227" s="368">
        <v>27.51962</v>
      </c>
      <c r="J227" s="268" t="s">
        <v>15</v>
      </c>
      <c r="K227" s="132" t="s">
        <v>15</v>
      </c>
      <c r="L227" s="1165" t="s">
        <v>14</v>
      </c>
      <c r="M227" s="1150" t="s">
        <v>801</v>
      </c>
      <c r="N227" s="1190">
        <v>1.0978351</v>
      </c>
      <c r="O227" s="442">
        <v>2.65</v>
      </c>
      <c r="P227" s="442">
        <v>0.41436699999999999</v>
      </c>
      <c r="Q227" s="254" t="s">
        <v>15</v>
      </c>
      <c r="R227" s="258">
        <f>N227</f>
        <v>1.0978351</v>
      </c>
      <c r="S227" s="124" t="s">
        <v>68</v>
      </c>
      <c r="T227" s="125" t="s">
        <v>69</v>
      </c>
      <c r="U227" s="858"/>
      <c r="V227" s="2232" t="s">
        <v>863</v>
      </c>
      <c r="W227" s="295" t="s">
        <v>47</v>
      </c>
      <c r="X227" s="295" t="s">
        <v>877</v>
      </c>
      <c r="Y227" s="220">
        <f>T234+SUM(R229:R255)+N227*48.7+N228*1</f>
        <v>153.10765401509099</v>
      </c>
      <c r="Z227" s="282" t="s">
        <v>40</v>
      </c>
      <c r="AA227" s="575" t="s">
        <v>40</v>
      </c>
      <c r="AB227" s="846"/>
      <c r="AC227" s="26"/>
      <c r="AD227" s="2131" t="s">
        <v>142</v>
      </c>
      <c r="AE227" s="2133"/>
      <c r="AF227" s="497" t="s">
        <v>49</v>
      </c>
      <c r="AG227" s="494" t="s">
        <v>981</v>
      </c>
      <c r="AH227" s="158">
        <f>T234+SUM(R247:R252)</f>
        <v>130.88617185308422</v>
      </c>
      <c r="AI227" s="158">
        <v>159.99</v>
      </c>
      <c r="AJ227" s="158"/>
      <c r="AK227" s="158">
        <v>209.99</v>
      </c>
      <c r="AL227" s="158">
        <v>190.99</v>
      </c>
      <c r="AM227" s="158"/>
      <c r="AN227" s="170">
        <v>169.99</v>
      </c>
      <c r="AO227" s="1011"/>
      <c r="AP227" s="957"/>
      <c r="AQ227" s="957"/>
      <c r="AR227" s="957"/>
      <c r="AS227" s="957"/>
      <c r="AT227" s="1012"/>
      <c r="AU227" s="1023"/>
      <c r="AV227" s="957"/>
      <c r="AW227" s="957"/>
      <c r="AX227" s="957"/>
      <c r="AY227" s="957"/>
      <c r="AZ227" s="957"/>
      <c r="BA227" s="957"/>
      <c r="BB227" s="957"/>
      <c r="BC227" s="957"/>
      <c r="BD227" s="957"/>
      <c r="BE227" s="957"/>
      <c r="BF227" s="957"/>
      <c r="BG227" s="957"/>
      <c r="BH227" s="1125"/>
      <c r="DI227" s="566"/>
    </row>
    <row r="228" spans="1:113">
      <c r="A228" s="2172"/>
      <c r="B228" s="1056" t="s">
        <v>756</v>
      </c>
      <c r="C228" s="356" t="s">
        <v>12</v>
      </c>
      <c r="D228" s="291" t="s">
        <v>826</v>
      </c>
      <c r="E228" s="452">
        <v>75</v>
      </c>
      <c r="F228" s="128">
        <v>0.28876000000000002</v>
      </c>
      <c r="G228" s="128">
        <v>0.16869799999999999</v>
      </c>
      <c r="H228" s="367">
        <v>191.34309999999999</v>
      </c>
      <c r="I228" s="368">
        <v>27.51962</v>
      </c>
      <c r="J228" s="234" t="s">
        <v>15</v>
      </c>
      <c r="K228" s="233" t="s">
        <v>15</v>
      </c>
      <c r="L228" s="234" t="s">
        <v>15</v>
      </c>
      <c r="M228" s="233" t="s">
        <v>15</v>
      </c>
      <c r="N228" s="537">
        <v>-90.091311500000003</v>
      </c>
      <c r="O228" s="536">
        <v>-2.76</v>
      </c>
      <c r="P228" s="536">
        <v>32.653421899999998</v>
      </c>
      <c r="Q228" s="195" t="s">
        <v>15</v>
      </c>
      <c r="R228" s="128">
        <f>N228</f>
        <v>-90.091311500000003</v>
      </c>
      <c r="S228" s="31" t="s">
        <v>70</v>
      </c>
      <c r="T228" s="117" t="s">
        <v>71</v>
      </c>
      <c r="U228" s="854"/>
      <c r="V228" s="2233"/>
      <c r="W228" s="983" t="s">
        <v>49</v>
      </c>
      <c r="X228" s="338" t="s">
        <v>878</v>
      </c>
      <c r="Y228" s="169">
        <f>T234+SUM(R229:R255)+N227*24.5+N228*1</f>
        <v>126.540044595091</v>
      </c>
      <c r="Z228" s="169">
        <f>Y228-Y227</f>
        <v>-26.567609419999982</v>
      </c>
      <c r="AA228" s="576">
        <f>(48.7-24.5)*P227</f>
        <v>10.027681400000001</v>
      </c>
      <c r="AB228" s="918"/>
      <c r="AC228" s="26"/>
      <c r="AD228" s="20" t="s">
        <v>98</v>
      </c>
      <c r="AE228" s="278">
        <v>-0.1027868836281102</v>
      </c>
      <c r="AF228" s="497" t="s">
        <v>49</v>
      </c>
      <c r="AG228" s="494" t="s">
        <v>975</v>
      </c>
      <c r="AH228" s="158">
        <f>T234+SUM(R247:R252)+N238+N244</f>
        <v>177.36578565308423</v>
      </c>
      <c r="AI228" s="158">
        <v>179.99</v>
      </c>
      <c r="AJ228" s="158">
        <v>179.99</v>
      </c>
      <c r="AK228" s="158">
        <v>177.99</v>
      </c>
      <c r="AL228" s="158">
        <v>177.99</v>
      </c>
      <c r="AM228" s="158"/>
      <c r="AN228" s="170">
        <v>179.99</v>
      </c>
      <c r="AO228" s="1011"/>
      <c r="AP228" s="957"/>
      <c r="AQ228" s="957"/>
      <c r="AR228" s="957"/>
      <c r="AS228" s="957"/>
      <c r="AT228" s="1012"/>
      <c r="AU228" s="1023"/>
      <c r="AV228" s="957"/>
      <c r="AW228" s="957"/>
      <c r="AX228" s="957"/>
      <c r="AY228" s="957"/>
      <c r="AZ228" s="957"/>
      <c r="BA228" s="957"/>
      <c r="BB228" s="957"/>
      <c r="BC228" s="957"/>
      <c r="BD228" s="957"/>
      <c r="BE228" s="957"/>
      <c r="BF228" s="957"/>
      <c r="BG228" s="957"/>
    </row>
    <row r="229" spans="1:113">
      <c r="A229" s="2172"/>
      <c r="B229" s="2206" t="s">
        <v>153</v>
      </c>
      <c r="C229" s="2144" t="s">
        <v>13</v>
      </c>
      <c r="D229" s="348" t="s">
        <v>802</v>
      </c>
      <c r="E229" s="452">
        <v>1</v>
      </c>
      <c r="F229" s="148" t="s">
        <v>15</v>
      </c>
      <c r="G229" s="148" t="s">
        <v>15</v>
      </c>
      <c r="H229" s="367">
        <v>149.92080000000001</v>
      </c>
      <c r="I229" s="368">
        <v>0</v>
      </c>
      <c r="J229" s="234" t="s">
        <v>15</v>
      </c>
      <c r="K229" s="233" t="s">
        <v>15</v>
      </c>
      <c r="L229" s="234" t="s">
        <v>15</v>
      </c>
      <c r="M229" s="233" t="s">
        <v>15</v>
      </c>
      <c r="N229" s="537">
        <v>-3.6023418</v>
      </c>
      <c r="O229" s="536">
        <v>-7.0000000000000007E-2</v>
      </c>
      <c r="P229" s="536">
        <v>48.634384500000003</v>
      </c>
      <c r="Q229" s="128">
        <f>13/$T$232</f>
        <v>7.9865629150708899E-4</v>
      </c>
      <c r="R229" s="2130">
        <f>SUMPRODUCT(N229:N242,Q229:Q242)</f>
        <v>1.0337859489678898</v>
      </c>
      <c r="S229" s="127" t="s">
        <v>72</v>
      </c>
      <c r="T229" s="119" t="s">
        <v>119</v>
      </c>
      <c r="U229" s="855"/>
      <c r="V229" s="2233"/>
      <c r="W229" s="983" t="s">
        <v>49</v>
      </c>
      <c r="X229" s="338" t="s">
        <v>879</v>
      </c>
      <c r="Y229" s="169">
        <f>T234+SUM(R229:R255)+N227*19.9+N228*1</f>
        <v>121.49000313509102</v>
      </c>
      <c r="Z229" s="169">
        <f>Y229-Y227</f>
        <v>-31.617650879999971</v>
      </c>
      <c r="AA229" s="576">
        <f>(48.7-19.9)*P227</f>
        <v>11.933769600000002</v>
      </c>
      <c r="AB229" s="918"/>
      <c r="AC229" s="26"/>
      <c r="AD229" s="20" t="s">
        <v>143</v>
      </c>
      <c r="AE229" s="278">
        <v>0.15491738183656542</v>
      </c>
      <c r="AF229" s="497" t="s">
        <v>49</v>
      </c>
      <c r="AG229" s="494" t="s">
        <v>980</v>
      </c>
      <c r="AH229" s="158">
        <f>T234+SUM(R247:R252)+N245+R229</f>
        <v>161.43940750205212</v>
      </c>
      <c r="AI229" s="158"/>
      <c r="AJ229" s="158"/>
      <c r="AK229" s="158"/>
      <c r="AL229" s="158"/>
      <c r="AM229" s="158"/>
      <c r="AN229" s="170"/>
      <c r="AO229" s="1011"/>
      <c r="AP229" s="957"/>
      <c r="AQ229" s="957"/>
      <c r="AR229" s="957"/>
      <c r="AS229" s="957"/>
      <c r="AT229" s="1012"/>
      <c r="AU229" s="1023"/>
      <c r="AV229" s="957"/>
      <c r="AW229" s="957"/>
      <c r="AX229" s="957"/>
      <c r="AY229" s="957"/>
      <c r="AZ229" s="957"/>
      <c r="BA229" s="957"/>
      <c r="BB229" s="957"/>
      <c r="BC229" s="957"/>
      <c r="BD229" s="957"/>
      <c r="BE229" s="957"/>
      <c r="BF229" s="957"/>
      <c r="BG229" s="957"/>
    </row>
    <row r="230" spans="1:113">
      <c r="A230" s="2172"/>
      <c r="B230" s="2206"/>
      <c r="C230" s="2144"/>
      <c r="D230" s="434" t="s">
        <v>757</v>
      </c>
      <c r="E230" s="452">
        <v>8</v>
      </c>
      <c r="F230" s="148" t="s">
        <v>15</v>
      </c>
      <c r="G230" s="148" t="s">
        <v>15</v>
      </c>
      <c r="H230" s="367">
        <v>145.5625</v>
      </c>
      <c r="I230" s="368">
        <v>11.85215</v>
      </c>
      <c r="J230" s="234" t="s">
        <v>15</v>
      </c>
      <c r="K230" s="233" t="s">
        <v>15</v>
      </c>
      <c r="L230" s="234" t="s">
        <v>15</v>
      </c>
      <c r="M230" s="233" t="s">
        <v>15</v>
      </c>
      <c r="N230" s="537">
        <v>-2.0895120999999999</v>
      </c>
      <c r="O230" s="536">
        <v>-0.23</v>
      </c>
      <c r="P230" s="536">
        <v>9.1774409000000006</v>
      </c>
      <c r="Q230" s="128">
        <f>1033.6/$T$232</f>
        <v>6.3499318684748243E-2</v>
      </c>
      <c r="R230" s="2196"/>
      <c r="S230" s="452" t="s">
        <v>73</v>
      </c>
      <c r="T230" s="433"/>
      <c r="U230" s="859"/>
      <c r="V230" s="24"/>
      <c r="W230" s="26"/>
      <c r="X230" s="26"/>
      <c r="Y230" s="41"/>
      <c r="Z230" s="41"/>
      <c r="AA230" s="41"/>
      <c r="AB230" s="846"/>
      <c r="AC230" s="26"/>
      <c r="AD230" s="20" t="s">
        <v>144</v>
      </c>
      <c r="AE230" s="278">
        <v>-0.37670283416789269</v>
      </c>
      <c r="AF230" s="497" t="s">
        <v>49</v>
      </c>
      <c r="AG230" s="494" t="s">
        <v>979</v>
      </c>
      <c r="AH230" s="158">
        <f>T234+SUM(R247:R252)+N245+N244+R229</f>
        <v>203.5203688020521</v>
      </c>
      <c r="AI230" s="158"/>
      <c r="AJ230" s="158"/>
      <c r="AK230" s="158">
        <v>227.98</v>
      </c>
      <c r="AL230" s="158">
        <v>179.99</v>
      </c>
      <c r="AM230" s="158"/>
      <c r="AN230" s="170"/>
      <c r="AO230" s="1011"/>
      <c r="AP230" s="957"/>
      <c r="AQ230" s="957"/>
      <c r="AR230" s="957"/>
      <c r="AS230" s="957"/>
      <c r="AT230" s="1012"/>
      <c r="AU230" s="1023"/>
      <c r="AV230" s="957"/>
      <c r="AW230" s="957"/>
      <c r="AX230" s="957"/>
      <c r="AY230" s="957"/>
      <c r="AZ230" s="957"/>
      <c r="BA230" s="957"/>
      <c r="BB230" s="957"/>
      <c r="BC230" s="957"/>
      <c r="BD230" s="957"/>
      <c r="BE230" s="957"/>
      <c r="BF230" s="957"/>
      <c r="BG230" s="957"/>
    </row>
    <row r="231" spans="1:113">
      <c r="A231" s="2172"/>
      <c r="B231" s="2206"/>
      <c r="C231" s="2144"/>
      <c r="D231" s="348" t="s">
        <v>758</v>
      </c>
      <c r="E231" s="452">
        <v>2</v>
      </c>
      <c r="F231" s="148" t="s">
        <v>15</v>
      </c>
      <c r="G231" s="148" t="s">
        <v>15</v>
      </c>
      <c r="H231" s="367">
        <v>170.3295</v>
      </c>
      <c r="I231" s="368">
        <v>17.706720000000001</v>
      </c>
      <c r="J231" s="234" t="s">
        <v>15</v>
      </c>
      <c r="K231" s="233" t="s">
        <v>15</v>
      </c>
      <c r="L231" s="234" t="s">
        <v>15</v>
      </c>
      <c r="M231" s="233" t="s">
        <v>15</v>
      </c>
      <c r="N231" s="537">
        <v>-22.769812699999999</v>
      </c>
      <c r="O231" s="536">
        <v>-0.81</v>
      </c>
      <c r="P231" s="536">
        <v>27.992903399999999</v>
      </c>
      <c r="Q231" s="128">
        <f>39/$T$232</f>
        <v>2.3959688745212671E-3</v>
      </c>
      <c r="R231" s="2196"/>
      <c r="S231" s="127" t="s">
        <v>74</v>
      </c>
      <c r="T231" s="129" t="s">
        <v>75</v>
      </c>
      <c r="U231" s="858"/>
      <c r="V231" s="24"/>
      <c r="W231" s="26"/>
      <c r="X231" s="26"/>
      <c r="Y231" s="41"/>
      <c r="Z231" s="41"/>
      <c r="AA231" s="41"/>
      <c r="AB231" s="846"/>
      <c r="AC231" s="26"/>
      <c r="AD231" s="20" t="s">
        <v>145</v>
      </c>
      <c r="AE231" s="278">
        <v>0.13073153398551082</v>
      </c>
      <c r="AF231" s="106"/>
      <c r="AG231" s="37"/>
      <c r="AH231" s="957"/>
      <c r="AI231" s="1023"/>
      <c r="AJ231" s="1023"/>
      <c r="AK231" s="1023"/>
      <c r="AL231" s="1023"/>
      <c r="AM231" s="1023"/>
      <c r="AN231" s="1023"/>
      <c r="AO231" s="957"/>
      <c r="AP231" s="957"/>
      <c r="AQ231" s="957"/>
      <c r="AR231" s="957"/>
      <c r="AS231" s="957"/>
      <c r="AT231" s="957"/>
      <c r="AU231" s="957"/>
      <c r="AV231" s="957"/>
      <c r="AW231" s="957"/>
      <c r="AX231" s="957"/>
      <c r="AY231" s="957"/>
      <c r="AZ231" s="957"/>
      <c r="BA231" s="957"/>
      <c r="BB231" s="957"/>
      <c r="BC231" s="957"/>
      <c r="BD231" s="957"/>
      <c r="BE231" s="957"/>
      <c r="BF231" s="957"/>
      <c r="BG231" s="957"/>
    </row>
    <row r="232" spans="1:113">
      <c r="A232" s="2172"/>
      <c r="B232" s="2206"/>
      <c r="C232" s="2144"/>
      <c r="D232" s="348" t="s">
        <v>759</v>
      </c>
      <c r="E232" s="452">
        <v>7</v>
      </c>
      <c r="F232" s="148" t="s">
        <v>15</v>
      </c>
      <c r="G232" s="148" t="s">
        <v>15</v>
      </c>
      <c r="H232" s="367">
        <v>180.66640000000001</v>
      </c>
      <c r="I232" s="368">
        <v>7.4234540000000004</v>
      </c>
      <c r="J232" s="234" t="s">
        <v>15</v>
      </c>
      <c r="K232" s="233" t="s">
        <v>15</v>
      </c>
      <c r="L232" s="234" t="s">
        <v>15</v>
      </c>
      <c r="M232" s="233" t="s">
        <v>15</v>
      </c>
      <c r="N232" s="537">
        <v>-26.239950400000001</v>
      </c>
      <c r="O232" s="536">
        <v>-1.99</v>
      </c>
      <c r="P232" s="536">
        <v>13.1600637</v>
      </c>
      <c r="Q232" s="128">
        <f>211.58/$T$232</f>
        <v>1.2998438319774607E-2</v>
      </c>
      <c r="R232" s="2196"/>
      <c r="S232" s="86">
        <v>75</v>
      </c>
      <c r="T232" s="426">
        <v>16277.34</v>
      </c>
      <c r="U232" s="860"/>
      <c r="V232" s="24"/>
      <c r="W232" s="26"/>
      <c r="X232" s="26"/>
      <c r="Y232" s="41"/>
      <c r="Z232" s="41"/>
      <c r="AA232" s="41"/>
      <c r="AB232" s="846"/>
      <c r="AC232" s="26"/>
      <c r="AD232" s="22"/>
      <c r="AE232" s="27"/>
      <c r="AF232" s="106"/>
      <c r="AG232" s="37"/>
      <c r="AH232" s="957"/>
      <c r="AI232" s="1023"/>
      <c r="AJ232" s="1023"/>
      <c r="AK232" s="1023"/>
      <c r="AL232" s="1023"/>
      <c r="AM232" s="1023"/>
      <c r="AN232" s="1023"/>
      <c r="AO232" s="957"/>
      <c r="AP232" s="957"/>
      <c r="AQ232" s="957"/>
      <c r="AR232" s="957"/>
      <c r="AS232" s="957"/>
      <c r="AT232" s="957"/>
      <c r="AU232" s="957"/>
      <c r="AV232" s="957"/>
      <c r="AW232" s="957"/>
      <c r="AX232" s="957"/>
      <c r="AY232" s="957"/>
      <c r="AZ232" s="957"/>
      <c r="BA232" s="957"/>
      <c r="BB232" s="957"/>
      <c r="BC232" s="957"/>
      <c r="BD232" s="957"/>
      <c r="BE232" s="957"/>
      <c r="BF232" s="957"/>
      <c r="BG232" s="957"/>
    </row>
    <row r="233" spans="1:113">
      <c r="A233" s="2172"/>
      <c r="B233" s="2206"/>
      <c r="C233" s="2144"/>
      <c r="D233" s="348" t="s">
        <v>782</v>
      </c>
      <c r="E233" s="452">
        <v>6</v>
      </c>
      <c r="F233" s="148" t="s">
        <v>15</v>
      </c>
      <c r="G233" s="148" t="s">
        <v>15</v>
      </c>
      <c r="H233" s="367">
        <v>193.02449999999999</v>
      </c>
      <c r="I233" s="368">
        <v>18.202249999999999</v>
      </c>
      <c r="J233" s="234" t="s">
        <v>15</v>
      </c>
      <c r="K233" s="233" t="s">
        <v>15</v>
      </c>
      <c r="L233" s="234" t="s">
        <v>15</v>
      </c>
      <c r="M233" s="233" t="s">
        <v>15</v>
      </c>
      <c r="N233" s="537">
        <v>-21.101731300000001</v>
      </c>
      <c r="O233" s="536">
        <v>-2.17</v>
      </c>
      <c r="P233" s="536">
        <v>9.7270766000000002</v>
      </c>
      <c r="Q233" s="128">
        <f>2925/$T$232</f>
        <v>0.17969766558909503</v>
      </c>
      <c r="R233" s="2196"/>
      <c r="S233" s="127" t="s">
        <v>41</v>
      </c>
      <c r="T233" s="129" t="s">
        <v>42</v>
      </c>
      <c r="U233" s="858"/>
      <c r="V233" s="24"/>
      <c r="W233" s="26"/>
      <c r="X233" s="26"/>
      <c r="Y233" s="41"/>
      <c r="Z233" s="41"/>
      <c r="AA233" s="41"/>
      <c r="AB233" s="846"/>
      <c r="AC233" s="26"/>
      <c r="AD233" s="24"/>
      <c r="AE233" s="26"/>
      <c r="AF233" s="106"/>
      <c r="AG233" s="37"/>
      <c r="AH233" s="957"/>
      <c r="AI233" s="1023"/>
      <c r="AJ233" s="1023"/>
      <c r="AK233" s="1023"/>
      <c r="AL233" s="1023"/>
      <c r="AM233" s="1023"/>
      <c r="AN233" s="1023"/>
      <c r="AO233" s="957"/>
      <c r="AP233" s="957"/>
      <c r="AQ233" s="957"/>
      <c r="AR233" s="957"/>
      <c r="AS233" s="957"/>
      <c r="AT233" s="957"/>
      <c r="AU233" s="957"/>
      <c r="AV233" s="957"/>
      <c r="AW233" s="957"/>
      <c r="AX233" s="957"/>
      <c r="AY233" s="957"/>
      <c r="AZ233" s="957"/>
      <c r="BA233" s="957"/>
      <c r="BB233" s="957"/>
      <c r="BC233" s="957"/>
      <c r="BD233" s="957"/>
      <c r="BE233" s="957"/>
      <c r="BF233" s="957"/>
      <c r="BG233" s="957"/>
    </row>
    <row r="234" spans="1:113">
      <c r="A234" s="2172"/>
      <c r="B234" s="2206"/>
      <c r="C234" s="2144"/>
      <c r="D234" s="348" t="s">
        <v>760</v>
      </c>
      <c r="E234" s="452">
        <v>1</v>
      </c>
      <c r="F234" s="148" t="s">
        <v>15</v>
      </c>
      <c r="G234" s="148" t="s">
        <v>15</v>
      </c>
      <c r="H234" s="367">
        <v>278.95</v>
      </c>
      <c r="I234" s="368">
        <v>0</v>
      </c>
      <c r="J234" s="234" t="s">
        <v>15</v>
      </c>
      <c r="K234" s="233" t="s">
        <v>15</v>
      </c>
      <c r="L234" s="234" t="s">
        <v>15</v>
      </c>
      <c r="M234" s="233" t="s">
        <v>15</v>
      </c>
      <c r="N234" s="537">
        <v>149.29097870000001</v>
      </c>
      <c r="O234" s="536">
        <v>1.19</v>
      </c>
      <c r="P234" s="536">
        <v>125.2133223</v>
      </c>
      <c r="Q234" s="128">
        <f>2/$T$232</f>
        <v>1.2287019869339832E-4</v>
      </c>
      <c r="R234" s="2196"/>
      <c r="S234" s="357">
        <v>0.872618</v>
      </c>
      <c r="T234" s="420">
        <v>130.3383718</v>
      </c>
      <c r="U234" s="861"/>
      <c r="V234" s="24"/>
      <c r="W234" s="26"/>
      <c r="X234" s="26"/>
      <c r="Y234" s="41"/>
      <c r="Z234" s="41"/>
      <c r="AA234" s="41"/>
      <c r="AB234" s="846"/>
      <c r="AC234" s="26"/>
      <c r="AD234" s="24"/>
      <c r="AE234" s="26"/>
      <c r="AF234" s="106"/>
      <c r="AG234" s="37"/>
      <c r="AH234" s="957"/>
      <c r="AI234" s="1023"/>
      <c r="AJ234" s="1023"/>
      <c r="AK234" s="1023"/>
      <c r="AL234" s="1023"/>
      <c r="AM234" s="1023"/>
      <c r="AN234" s="1023"/>
      <c r="AO234" s="957"/>
      <c r="AP234" s="957"/>
      <c r="AQ234" s="957"/>
      <c r="AR234" s="957"/>
      <c r="AS234" s="957"/>
      <c r="AT234" s="957"/>
      <c r="AU234" s="957"/>
      <c r="AV234" s="957"/>
      <c r="AW234" s="957"/>
      <c r="AX234" s="957"/>
      <c r="AY234" s="957"/>
      <c r="AZ234" s="957"/>
      <c r="BA234" s="957"/>
      <c r="BB234" s="957"/>
      <c r="BC234" s="957"/>
      <c r="BD234" s="957"/>
      <c r="BE234" s="957"/>
      <c r="BF234" s="957"/>
      <c r="BG234" s="957"/>
    </row>
    <row r="235" spans="1:113">
      <c r="A235" s="2172"/>
      <c r="B235" s="2206"/>
      <c r="C235" s="2144"/>
      <c r="D235" s="348" t="s">
        <v>803</v>
      </c>
      <c r="E235" s="452">
        <v>6</v>
      </c>
      <c r="F235" s="148" t="s">
        <v>15</v>
      </c>
      <c r="G235" s="148" t="s">
        <v>15</v>
      </c>
      <c r="H235" s="367">
        <v>191.87710000000001</v>
      </c>
      <c r="I235" s="368">
        <v>20.387540000000001</v>
      </c>
      <c r="J235" s="234" t="s">
        <v>15</v>
      </c>
      <c r="K235" s="233" t="s">
        <v>15</v>
      </c>
      <c r="L235" s="234" t="s">
        <v>15</v>
      </c>
      <c r="M235" s="233" t="s">
        <v>15</v>
      </c>
      <c r="N235" s="537">
        <v>31.3864853</v>
      </c>
      <c r="O235" s="536">
        <v>1.28</v>
      </c>
      <c r="P235" s="536">
        <v>24.612605500000001</v>
      </c>
      <c r="Q235" s="128">
        <f>2367.57/$T$232</f>
        <v>0.14545189816026452</v>
      </c>
      <c r="R235" s="2196"/>
      <c r="S235" s="118" t="s">
        <v>235</v>
      </c>
      <c r="T235" s="119" t="s">
        <v>391</v>
      </c>
      <c r="U235" s="855"/>
      <c r="V235" s="24"/>
      <c r="W235" s="26"/>
      <c r="X235" s="26"/>
      <c r="Y235" s="41"/>
      <c r="Z235" s="41"/>
      <c r="AA235" s="41"/>
      <c r="AB235" s="846"/>
      <c r="AC235" s="26"/>
      <c r="AD235" s="24"/>
      <c r="AE235" s="26"/>
      <c r="AF235" s="106"/>
      <c r="AG235" s="37"/>
      <c r="AH235" s="957"/>
      <c r="AI235" s="1023"/>
      <c r="AJ235" s="1023"/>
      <c r="AK235" s="1023"/>
      <c r="AL235" s="1023"/>
      <c r="AM235" s="1023"/>
      <c r="AN235" s="1023"/>
      <c r="AO235" s="957"/>
      <c r="AP235" s="957"/>
      <c r="AQ235" s="957"/>
      <c r="AR235" s="957"/>
      <c r="AS235" s="957"/>
      <c r="AT235" s="957"/>
      <c r="AU235" s="957"/>
      <c r="AV235" s="957"/>
      <c r="AW235" s="957"/>
      <c r="AX235" s="957"/>
      <c r="AY235" s="957"/>
      <c r="AZ235" s="957"/>
      <c r="BA235" s="957"/>
      <c r="BB235" s="957"/>
      <c r="BC235" s="957"/>
      <c r="BD235" s="957"/>
      <c r="BE235" s="957"/>
      <c r="BF235" s="957"/>
      <c r="BG235" s="957"/>
    </row>
    <row r="236" spans="1:113">
      <c r="A236" s="2172"/>
      <c r="B236" s="2206"/>
      <c r="C236" s="2144"/>
      <c r="D236" s="348" t="s">
        <v>804</v>
      </c>
      <c r="E236" s="452">
        <v>5</v>
      </c>
      <c r="F236" s="148" t="s">
        <v>15</v>
      </c>
      <c r="G236" s="148" t="s">
        <v>15</v>
      </c>
      <c r="H236" s="367">
        <v>228.93539999999999</v>
      </c>
      <c r="I236" s="368">
        <v>24.643370000000001</v>
      </c>
      <c r="J236" s="234" t="s">
        <v>15</v>
      </c>
      <c r="K236" s="233" t="s">
        <v>15</v>
      </c>
      <c r="L236" s="234" t="s">
        <v>15</v>
      </c>
      <c r="M236" s="233" t="s">
        <v>15</v>
      </c>
      <c r="N236" s="537">
        <v>12.255323000000001</v>
      </c>
      <c r="O236" s="536">
        <v>0.12</v>
      </c>
      <c r="P236" s="536">
        <v>106.066503</v>
      </c>
      <c r="Q236" s="128">
        <f>13/$T$232</f>
        <v>7.9865629150708899E-4</v>
      </c>
      <c r="R236" s="2196"/>
      <c r="S236" s="357">
        <v>20.097999999999999</v>
      </c>
      <c r="T236" s="151" t="s">
        <v>15</v>
      </c>
      <c r="U236" s="862"/>
      <c r="V236" s="24"/>
      <c r="W236" s="26"/>
      <c r="X236" s="26"/>
      <c r="Y236" s="41"/>
      <c r="Z236" s="41"/>
      <c r="AA236" s="41"/>
      <c r="AB236" s="846"/>
      <c r="AC236" s="26"/>
      <c r="AD236" s="24"/>
      <c r="AE236" s="26"/>
      <c r="AF236" s="106"/>
      <c r="AG236" s="37"/>
      <c r="AH236" s="957"/>
      <c r="AI236" s="1023"/>
      <c r="AJ236" s="1023"/>
      <c r="AK236" s="1023"/>
      <c r="AL236" s="1023"/>
      <c r="AM236" s="1023"/>
      <c r="AN236" s="1023"/>
      <c r="AO236" s="957"/>
      <c r="AP236" s="957"/>
      <c r="AQ236" s="957"/>
      <c r="AR236" s="957"/>
      <c r="AS236" s="957"/>
      <c r="AT236" s="957"/>
      <c r="AU236" s="957"/>
      <c r="AV236" s="957"/>
      <c r="AW236" s="957"/>
      <c r="AX236" s="957"/>
      <c r="AY236" s="957"/>
      <c r="AZ236" s="957"/>
      <c r="BA236" s="957"/>
      <c r="BB236" s="957"/>
      <c r="BC236" s="957"/>
      <c r="BD236" s="957"/>
      <c r="BE236" s="957"/>
      <c r="BF236" s="957"/>
      <c r="BG236" s="957"/>
    </row>
    <row r="237" spans="1:113">
      <c r="A237" s="2172"/>
      <c r="B237" s="2206"/>
      <c r="C237" s="2144"/>
      <c r="D237" s="348" t="s">
        <v>763</v>
      </c>
      <c r="E237" s="452">
        <v>3</v>
      </c>
      <c r="F237" s="148" t="s">
        <v>15</v>
      </c>
      <c r="G237" s="148" t="s">
        <v>15</v>
      </c>
      <c r="H237" s="367">
        <v>173.2929</v>
      </c>
      <c r="I237" s="368">
        <v>16.641829999999999</v>
      </c>
      <c r="J237" s="234" t="s">
        <v>15</v>
      </c>
      <c r="K237" s="233" t="s">
        <v>15</v>
      </c>
      <c r="L237" s="234" t="s">
        <v>15</v>
      </c>
      <c r="M237" s="233" t="s">
        <v>15</v>
      </c>
      <c r="N237" s="537">
        <v>-0.25876329999999997</v>
      </c>
      <c r="O237" s="536">
        <v>-0.01</v>
      </c>
      <c r="P237" s="536">
        <v>24.825925699999999</v>
      </c>
      <c r="Q237" s="128">
        <f>1857.52/$T$232</f>
        <v>0.1141169257384806</v>
      </c>
      <c r="R237" s="2196"/>
      <c r="S237" s="22"/>
      <c r="T237" s="27"/>
      <c r="V237" s="24"/>
      <c r="W237" s="26"/>
      <c r="X237" s="26"/>
      <c r="Y237" s="41"/>
      <c r="Z237" s="41"/>
      <c r="AA237" s="41"/>
      <c r="AB237" s="846"/>
      <c r="AC237" s="26"/>
      <c r="AD237" s="24"/>
      <c r="AE237" s="26"/>
      <c r="AF237" s="106"/>
      <c r="AG237" s="37"/>
      <c r="AH237" s="957"/>
      <c r="AI237" s="1023"/>
      <c r="AJ237" s="1023"/>
      <c r="AK237" s="1023"/>
      <c r="AL237" s="1023"/>
      <c r="AM237" s="1023"/>
      <c r="AN237" s="1023"/>
      <c r="AO237" s="957"/>
      <c r="AP237" s="957"/>
      <c r="AQ237" s="957"/>
      <c r="AR237" s="957"/>
      <c r="AS237" s="957"/>
      <c r="AT237" s="957"/>
      <c r="AU237" s="957"/>
      <c r="AV237" s="957"/>
      <c r="AW237" s="957"/>
      <c r="AX237" s="957"/>
      <c r="AY237" s="957"/>
      <c r="AZ237" s="957"/>
      <c r="BA237" s="957"/>
      <c r="BB237" s="957"/>
      <c r="BC237" s="957"/>
      <c r="BD237" s="957"/>
      <c r="BE237" s="957"/>
      <c r="BF237" s="957"/>
      <c r="BG237" s="957"/>
    </row>
    <row r="238" spans="1:113">
      <c r="A238" s="2172"/>
      <c r="B238" s="2206"/>
      <c r="C238" s="2144"/>
      <c r="D238" s="348" t="s">
        <v>688</v>
      </c>
      <c r="E238" s="452">
        <v>7</v>
      </c>
      <c r="F238" s="148" t="s">
        <v>15</v>
      </c>
      <c r="G238" s="148" t="s">
        <v>15</v>
      </c>
      <c r="H238" s="367">
        <v>227.5752</v>
      </c>
      <c r="I238" s="368">
        <v>17.29318</v>
      </c>
      <c r="J238" s="234" t="s">
        <v>15</v>
      </c>
      <c r="K238" s="233" t="s">
        <v>15</v>
      </c>
      <c r="L238" s="234" t="s">
        <v>15</v>
      </c>
      <c r="M238" s="233" t="s">
        <v>15</v>
      </c>
      <c r="N238" s="537">
        <v>4.3986524999999999</v>
      </c>
      <c r="O238" s="536">
        <v>0.37</v>
      </c>
      <c r="P238" s="536">
        <v>11.826753500000001</v>
      </c>
      <c r="Q238" s="128">
        <f>3056.31/$T$232</f>
        <v>0.18776470848431009</v>
      </c>
      <c r="R238" s="2196"/>
      <c r="S238" s="24"/>
      <c r="T238" s="26"/>
      <c r="V238" s="24"/>
      <c r="W238" s="26"/>
      <c r="X238" s="26"/>
      <c r="Y238" s="41"/>
      <c r="Z238" s="41"/>
      <c r="AA238" s="41"/>
      <c r="AB238" s="846"/>
      <c r="AC238" s="26"/>
      <c r="AD238" s="24"/>
      <c r="AE238" s="26"/>
      <c r="AF238" s="106"/>
      <c r="AG238" s="37"/>
      <c r="AH238" s="957"/>
      <c r="AI238" s="1023"/>
      <c r="AJ238" s="1023"/>
      <c r="AK238" s="1023"/>
      <c r="AL238" s="1023"/>
      <c r="AM238" s="1023"/>
      <c r="AN238" s="1023"/>
      <c r="AO238" s="957"/>
      <c r="AP238" s="957"/>
      <c r="AQ238" s="957"/>
      <c r="AR238" s="957"/>
      <c r="AS238" s="957"/>
      <c r="AT238" s="957"/>
      <c r="AU238" s="957"/>
      <c r="AV238" s="957"/>
      <c r="AW238" s="957"/>
      <c r="AX238" s="957"/>
      <c r="AY238" s="957"/>
      <c r="AZ238" s="957"/>
      <c r="BA238" s="957"/>
      <c r="BB238" s="957"/>
      <c r="BC238" s="957"/>
      <c r="BD238" s="957"/>
      <c r="BE238" s="957"/>
      <c r="BF238" s="957"/>
      <c r="BG238" s="957"/>
    </row>
    <row r="239" spans="1:113">
      <c r="A239" s="2172"/>
      <c r="B239" s="2206"/>
      <c r="C239" s="2144"/>
      <c r="D239" s="348" t="s">
        <v>783</v>
      </c>
      <c r="E239" s="452">
        <v>8</v>
      </c>
      <c r="F239" s="148" t="s">
        <v>15</v>
      </c>
      <c r="G239" s="148" t="s">
        <v>15</v>
      </c>
      <c r="H239" s="367">
        <v>210.0599</v>
      </c>
      <c r="I239" s="368">
        <v>20.335719999999998</v>
      </c>
      <c r="J239" s="234" t="s">
        <v>15</v>
      </c>
      <c r="K239" s="233" t="s">
        <v>15</v>
      </c>
      <c r="L239" s="234" t="s">
        <v>15</v>
      </c>
      <c r="M239" s="233" t="s">
        <v>15</v>
      </c>
      <c r="N239" s="537">
        <v>-2.7587853999999998</v>
      </c>
      <c r="O239" s="536">
        <v>-0.19</v>
      </c>
      <c r="P239" s="536">
        <v>14.878981899999999</v>
      </c>
      <c r="Q239" s="128">
        <f>198.15/$T$232</f>
        <v>1.2173364935548438E-2</v>
      </c>
      <c r="R239" s="2196"/>
      <c r="S239" s="24"/>
      <c r="T239" s="26"/>
      <c r="V239" s="24"/>
      <c r="W239" s="26"/>
      <c r="X239" s="26"/>
      <c r="Y239" s="41"/>
      <c r="Z239" s="41"/>
      <c r="AA239" s="41"/>
      <c r="AB239" s="846"/>
      <c r="AC239" s="26"/>
      <c r="AD239" s="24"/>
      <c r="AE239" s="26"/>
      <c r="AF239" s="106"/>
      <c r="AG239" s="37"/>
      <c r="AH239" s="957"/>
      <c r="AI239" s="1023"/>
      <c r="AJ239" s="1023"/>
      <c r="AK239" s="1023"/>
      <c r="AL239" s="1023"/>
      <c r="AM239" s="1023"/>
      <c r="AN239" s="1023"/>
      <c r="AO239" s="957"/>
      <c r="AP239" s="957"/>
      <c r="AQ239" s="957"/>
      <c r="AR239" s="957"/>
      <c r="AS239" s="957"/>
      <c r="AT239" s="957"/>
      <c r="AU239" s="957"/>
      <c r="AV239" s="957"/>
      <c r="AW239" s="957"/>
      <c r="AX239" s="957"/>
      <c r="AY239" s="957"/>
      <c r="AZ239" s="957"/>
      <c r="BA239" s="957"/>
      <c r="BB239" s="957"/>
      <c r="BC239" s="957"/>
      <c r="BD239" s="957"/>
      <c r="BE239" s="957"/>
      <c r="BF239" s="957"/>
      <c r="BG239" s="957"/>
    </row>
    <row r="240" spans="1:113">
      <c r="A240" s="2172"/>
      <c r="B240" s="2206"/>
      <c r="C240" s="2144"/>
      <c r="D240" s="348" t="s">
        <v>805</v>
      </c>
      <c r="E240" s="452">
        <v>3</v>
      </c>
      <c r="F240" s="148" t="s">
        <v>15</v>
      </c>
      <c r="G240" s="148" t="s">
        <v>15</v>
      </c>
      <c r="H240" s="367">
        <v>247.85</v>
      </c>
      <c r="I240" s="368">
        <v>30.640689999999999</v>
      </c>
      <c r="J240" s="234" t="s">
        <v>15</v>
      </c>
      <c r="K240" s="233" t="s">
        <v>15</v>
      </c>
      <c r="L240" s="234" t="s">
        <v>15</v>
      </c>
      <c r="M240" s="233" t="s">
        <v>15</v>
      </c>
      <c r="N240" s="537">
        <v>44.753683000000002</v>
      </c>
      <c r="O240" s="536">
        <v>0.37</v>
      </c>
      <c r="P240" s="536">
        <v>120.78360050000001</v>
      </c>
      <c r="Q240" s="128">
        <f>4/$T$232</f>
        <v>2.4574039738679663E-4</v>
      </c>
      <c r="R240" s="2196"/>
      <c r="S240" s="24"/>
      <c r="T240" s="26"/>
      <c r="V240" s="24"/>
      <c r="W240" s="26"/>
      <c r="X240" s="26"/>
      <c r="Y240" s="41"/>
      <c r="Z240" s="41"/>
      <c r="AA240" s="41"/>
      <c r="AB240" s="846"/>
      <c r="AC240" s="26"/>
      <c r="AD240" s="24"/>
      <c r="AE240" s="26"/>
      <c r="AF240" s="106"/>
      <c r="AG240" s="37"/>
      <c r="AH240" s="957"/>
      <c r="AI240" s="1023"/>
      <c r="AJ240" s="1023"/>
      <c r="AK240" s="1023"/>
      <c r="AL240" s="1023"/>
      <c r="AM240" s="1023"/>
      <c r="AN240" s="1023"/>
      <c r="AO240" s="957"/>
      <c r="AP240" s="957"/>
      <c r="AQ240" s="957"/>
      <c r="AR240" s="957"/>
      <c r="AS240" s="957"/>
      <c r="AT240" s="957"/>
      <c r="AU240" s="957"/>
      <c r="AV240" s="957"/>
      <c r="AW240" s="957"/>
      <c r="AX240" s="957"/>
      <c r="AY240" s="957"/>
      <c r="AZ240" s="957"/>
      <c r="BA240" s="957"/>
      <c r="BB240" s="957"/>
      <c r="BC240" s="957"/>
      <c r="BD240" s="957"/>
      <c r="BE240" s="957"/>
      <c r="BF240" s="957"/>
      <c r="BG240" s="957"/>
    </row>
    <row r="241" spans="1:113">
      <c r="A241" s="2172"/>
      <c r="B241" s="2206"/>
      <c r="C241" s="2144"/>
      <c r="D241" s="348" t="s">
        <v>806</v>
      </c>
      <c r="E241" s="452">
        <v>1</v>
      </c>
      <c r="F241" s="148" t="s">
        <v>15</v>
      </c>
      <c r="G241" s="148" t="s">
        <v>15</v>
      </c>
      <c r="H241" s="367">
        <v>100.419</v>
      </c>
      <c r="I241" s="368">
        <v>0</v>
      </c>
      <c r="J241" s="234" t="s">
        <v>15</v>
      </c>
      <c r="K241" s="233" t="s">
        <v>15</v>
      </c>
      <c r="L241" s="234" t="s">
        <v>15</v>
      </c>
      <c r="M241" s="233" t="s">
        <v>15</v>
      </c>
      <c r="N241" s="537">
        <v>-52.914348699999998</v>
      </c>
      <c r="O241" s="536">
        <v>-0.52</v>
      </c>
      <c r="P241" s="536">
        <v>101.06364619999999</v>
      </c>
      <c r="Q241" s="128">
        <f>3.15/$T$232</f>
        <v>1.9352056294210233E-4</v>
      </c>
      <c r="R241" s="2196"/>
      <c r="S241" s="24"/>
      <c r="T241" s="26"/>
      <c r="V241" s="24"/>
      <c r="W241" s="26"/>
      <c r="X241" s="26"/>
      <c r="Y241" s="41"/>
      <c r="Z241" s="41"/>
      <c r="AA241" s="41"/>
      <c r="AB241" s="846"/>
      <c r="AC241" s="26"/>
      <c r="AD241" s="24"/>
      <c r="AE241" s="26"/>
      <c r="AF241" s="106"/>
      <c r="AG241" s="37"/>
      <c r="AH241" s="957"/>
      <c r="AI241" s="1023"/>
      <c r="AJ241" s="1023"/>
      <c r="AK241" s="1023"/>
      <c r="AL241" s="1023"/>
      <c r="AM241" s="1023"/>
      <c r="AN241" s="1023"/>
      <c r="AO241" s="957"/>
      <c r="AP241" s="957"/>
      <c r="AQ241" s="957"/>
      <c r="AR241" s="957"/>
      <c r="AS241" s="957"/>
      <c r="AT241" s="957"/>
      <c r="AU241" s="957"/>
      <c r="AV241" s="957"/>
      <c r="AW241" s="957"/>
      <c r="AX241" s="957"/>
      <c r="AY241" s="957"/>
      <c r="AZ241" s="957"/>
      <c r="BA241" s="957"/>
      <c r="BB241" s="957"/>
      <c r="BC241" s="957"/>
      <c r="BD241" s="957"/>
      <c r="BE241" s="957"/>
      <c r="BF241" s="957"/>
      <c r="BG241" s="957"/>
    </row>
    <row r="242" spans="1:113">
      <c r="A242" s="2172"/>
      <c r="B242" s="2206"/>
      <c r="C242" s="2144"/>
      <c r="D242" s="348" t="s">
        <v>767</v>
      </c>
      <c r="E242" s="452">
        <v>17</v>
      </c>
      <c r="F242" s="148" t="s">
        <v>15</v>
      </c>
      <c r="G242" s="148" t="s">
        <v>15</v>
      </c>
      <c r="H242" s="367">
        <v>183.26849999999999</v>
      </c>
      <c r="I242" s="368">
        <v>17.458320000000001</v>
      </c>
      <c r="J242" s="234" t="s">
        <v>15</v>
      </c>
      <c r="K242" s="233" t="s">
        <v>15</v>
      </c>
      <c r="L242" s="234" t="s">
        <v>15</v>
      </c>
      <c r="M242" s="233" t="s">
        <v>15</v>
      </c>
      <c r="N242" s="537">
        <v>0</v>
      </c>
      <c r="O242" s="536" t="s">
        <v>574</v>
      </c>
      <c r="P242" s="536" t="s">
        <v>574</v>
      </c>
      <c r="Q242" s="128">
        <f>4553.46/$T$232</f>
        <v>0.27974226747122072</v>
      </c>
      <c r="R242" s="2155"/>
      <c r="S242" s="24"/>
      <c r="T242" s="26"/>
      <c r="V242" s="24"/>
      <c r="W242" s="26"/>
      <c r="X242" s="26"/>
      <c r="Y242" s="41"/>
      <c r="Z242" s="41"/>
      <c r="AA242" s="41"/>
      <c r="AB242" s="846"/>
      <c r="AC242" s="26"/>
      <c r="AD242" s="24"/>
      <c r="AE242" s="26"/>
      <c r="AF242" s="106"/>
      <c r="AG242" s="37"/>
      <c r="AH242" s="957"/>
      <c r="AI242" s="1023"/>
      <c r="AJ242" s="1023"/>
      <c r="AK242" s="1023"/>
      <c r="AL242" s="1023"/>
      <c r="AM242" s="1023"/>
      <c r="AN242" s="1023"/>
      <c r="AO242" s="957"/>
      <c r="AP242" s="957"/>
      <c r="AQ242" s="957"/>
      <c r="AR242" s="957"/>
      <c r="AS242" s="957"/>
      <c r="AT242" s="957"/>
      <c r="AU242" s="957"/>
      <c r="AV242" s="957"/>
      <c r="AW242" s="957"/>
      <c r="AX242" s="957"/>
      <c r="AY242" s="957"/>
      <c r="AZ242" s="957"/>
      <c r="BA242" s="957"/>
      <c r="BB242" s="957"/>
      <c r="BC242" s="957"/>
      <c r="BD242" s="957"/>
      <c r="BE242" s="957"/>
      <c r="BF242" s="957"/>
      <c r="BG242" s="957"/>
    </row>
    <row r="243" spans="1:113">
      <c r="A243" s="2172"/>
      <c r="B243" s="2207" t="s">
        <v>796</v>
      </c>
      <c r="C243" s="2179" t="s">
        <v>13</v>
      </c>
      <c r="D243" s="348" t="s">
        <v>797</v>
      </c>
      <c r="E243" s="452">
        <v>13</v>
      </c>
      <c r="F243" s="148" t="s">
        <v>15</v>
      </c>
      <c r="G243" s="148" t="s">
        <v>15</v>
      </c>
      <c r="H243" s="367">
        <v>183.2784</v>
      </c>
      <c r="I243" s="368">
        <v>21.723649999999999</v>
      </c>
      <c r="J243" s="234" t="s">
        <v>15</v>
      </c>
      <c r="K243" s="233" t="s">
        <v>15</v>
      </c>
      <c r="L243" s="234" t="s">
        <v>15</v>
      </c>
      <c r="M243" s="233" t="s">
        <v>15</v>
      </c>
      <c r="N243" s="537">
        <v>0</v>
      </c>
      <c r="O243" s="536" t="s">
        <v>574</v>
      </c>
      <c r="P243" s="536" t="s">
        <v>574</v>
      </c>
      <c r="Q243" s="128">
        <f>4285.63/$T$232</f>
        <v>0.26328810481319431</v>
      </c>
      <c r="R243" s="2129">
        <f>SUMPRODUCT(N243:N244,Q243:Q244)</f>
        <v>31.001544750605625</v>
      </c>
      <c r="S243" s="24"/>
      <c r="T243" s="26"/>
      <c r="V243" s="24"/>
      <c r="W243" s="26"/>
      <c r="X243" s="26"/>
      <c r="Y243" s="41"/>
      <c r="Z243" s="41"/>
      <c r="AA243" s="41"/>
      <c r="AB243" s="846"/>
      <c r="AC243" s="26"/>
      <c r="AD243" s="24"/>
      <c r="AE243" s="26"/>
      <c r="AF243" s="106"/>
      <c r="AG243" s="37"/>
      <c r="AH243" s="957"/>
      <c r="AI243" s="1023"/>
      <c r="AJ243" s="1023"/>
      <c r="AK243" s="1023"/>
      <c r="AL243" s="1023"/>
      <c r="AM243" s="1023"/>
      <c r="AN243" s="1023"/>
      <c r="AO243" s="957"/>
      <c r="AP243" s="957"/>
      <c r="AQ243" s="957"/>
      <c r="AR243" s="957"/>
      <c r="AS243" s="957"/>
      <c r="AT243" s="957"/>
      <c r="AU243" s="957"/>
      <c r="AV243" s="957"/>
      <c r="AW243" s="957"/>
      <c r="AX243" s="957"/>
      <c r="AY243" s="957"/>
      <c r="AZ243" s="957"/>
      <c r="BA243" s="957"/>
      <c r="BB243" s="957"/>
      <c r="BC243" s="957"/>
      <c r="BD243" s="957"/>
      <c r="BE243" s="957"/>
      <c r="BF243" s="957"/>
      <c r="BG243" s="957"/>
    </row>
    <row r="244" spans="1:113">
      <c r="A244" s="2172"/>
      <c r="B244" s="2209"/>
      <c r="C244" s="2180"/>
      <c r="D244" s="348" t="s">
        <v>798</v>
      </c>
      <c r="E244" s="452">
        <v>62</v>
      </c>
      <c r="F244" s="148" t="s">
        <v>15</v>
      </c>
      <c r="G244" s="148" t="s">
        <v>15</v>
      </c>
      <c r="H244" s="367">
        <v>194.2252</v>
      </c>
      <c r="I244" s="368">
        <v>28.771159999999998</v>
      </c>
      <c r="J244" s="234" t="s">
        <v>15</v>
      </c>
      <c r="K244" s="233" t="s">
        <v>15</v>
      </c>
      <c r="L244" s="234" t="s">
        <v>15</v>
      </c>
      <c r="M244" s="233" t="s">
        <v>15</v>
      </c>
      <c r="N244" s="537">
        <v>42.080961299999998</v>
      </c>
      <c r="O244" s="536">
        <v>1.71</v>
      </c>
      <c r="P244" s="536">
        <v>24.546987900000001</v>
      </c>
      <c r="Q244" s="128">
        <f>11991.71/$T$232</f>
        <v>0.73671189518680569</v>
      </c>
      <c r="R244" s="2129"/>
      <c r="S244" s="24"/>
      <c r="T244" s="26"/>
      <c r="V244" s="24"/>
      <c r="W244" s="26"/>
      <c r="X244" s="26"/>
      <c r="Y244" s="41"/>
      <c r="Z244" s="41"/>
      <c r="AA244" s="41"/>
      <c r="AB244" s="846"/>
      <c r="AC244" s="26"/>
      <c r="AD244" s="24"/>
      <c r="AE244" s="26"/>
      <c r="AF244" s="106"/>
      <c r="AG244" s="37"/>
      <c r="AH244" s="957"/>
      <c r="AI244" s="1023"/>
      <c r="AJ244" s="1023"/>
      <c r="AK244" s="1023"/>
      <c r="AL244" s="1023"/>
      <c r="AM244" s="1023"/>
      <c r="AN244" s="1023"/>
      <c r="AO244" s="957"/>
      <c r="AP244" s="957"/>
      <c r="AQ244" s="957"/>
      <c r="AR244" s="957"/>
      <c r="AS244" s="957"/>
      <c r="AT244" s="957"/>
      <c r="AU244" s="957"/>
      <c r="AV244" s="957"/>
      <c r="AW244" s="957"/>
      <c r="AX244" s="957"/>
      <c r="AY244" s="957"/>
      <c r="AZ244" s="957"/>
      <c r="BA244" s="957"/>
      <c r="BB244" s="957"/>
      <c r="BC244" s="957"/>
      <c r="BD244" s="957"/>
      <c r="BE244" s="957"/>
      <c r="BF244" s="957"/>
      <c r="BG244" s="957"/>
    </row>
    <row r="245" spans="1:113">
      <c r="A245" s="2172"/>
      <c r="B245" s="2207" t="s">
        <v>799</v>
      </c>
      <c r="C245" s="2205" t="s">
        <v>11</v>
      </c>
      <c r="D245" s="338" t="s">
        <v>33</v>
      </c>
      <c r="E245" s="452">
        <v>58</v>
      </c>
      <c r="F245" s="148" t="s">
        <v>15</v>
      </c>
      <c r="G245" s="148" t="s">
        <v>15</v>
      </c>
      <c r="H245" s="367">
        <v>188.0754</v>
      </c>
      <c r="I245" s="368">
        <v>29.712569999999999</v>
      </c>
      <c r="J245" s="234" t="s">
        <v>15</v>
      </c>
      <c r="K245" s="233" t="s">
        <v>15</v>
      </c>
      <c r="L245" s="234" t="s">
        <v>15</v>
      </c>
      <c r="M245" s="233" t="s">
        <v>15</v>
      </c>
      <c r="N245" s="537">
        <v>29.519449699999999</v>
      </c>
      <c r="O245" s="536">
        <v>4.5599999999999996</v>
      </c>
      <c r="P245" s="536">
        <v>6.4764916000000001</v>
      </c>
      <c r="Q245" s="128">
        <f>3581.06/$T$232</f>
        <v>0.22000277686649047</v>
      </c>
      <c r="R245" s="2129">
        <f>SUMPRODUCT(N245:N246,Q245:Q246)</f>
        <v>6.494360905570689</v>
      </c>
      <c r="S245" s="24"/>
      <c r="T245" s="26"/>
      <c r="V245" s="24"/>
      <c r="W245" s="26"/>
      <c r="X245" s="26"/>
      <c r="Y245" s="41"/>
      <c r="Z245" s="41"/>
      <c r="AA245" s="41"/>
      <c r="AB245" s="846"/>
      <c r="AC245" s="26"/>
      <c r="AD245" s="24"/>
      <c r="AE245" s="26"/>
      <c r="AF245" s="106"/>
      <c r="AG245" s="37"/>
      <c r="AH245" s="957"/>
      <c r="AI245" s="1023"/>
      <c r="AJ245" s="1023"/>
      <c r="AK245" s="1023"/>
      <c r="AL245" s="1023"/>
      <c r="AM245" s="1023"/>
      <c r="AN245" s="1023"/>
      <c r="AO245" s="957"/>
      <c r="AP245" s="957"/>
      <c r="AQ245" s="957"/>
      <c r="AR245" s="957"/>
      <c r="AS245" s="957"/>
      <c r="AT245" s="957"/>
      <c r="AU245" s="957"/>
      <c r="AV245" s="957"/>
      <c r="AW245" s="957"/>
      <c r="AX245" s="957"/>
      <c r="AY245" s="957"/>
      <c r="AZ245" s="957"/>
      <c r="BA245" s="957"/>
      <c r="BB245" s="957"/>
      <c r="BC245" s="957"/>
      <c r="BD245" s="957"/>
      <c r="BE245" s="957"/>
      <c r="BF245" s="957"/>
      <c r="BG245" s="957"/>
    </row>
    <row r="246" spans="1:113">
      <c r="A246" s="2172"/>
      <c r="B246" s="2209"/>
      <c r="C246" s="2205"/>
      <c r="D246" s="338" t="s">
        <v>32</v>
      </c>
      <c r="E246" s="452">
        <v>17</v>
      </c>
      <c r="F246" s="148" t="s">
        <v>15</v>
      </c>
      <c r="G246" s="148" t="s">
        <v>15</v>
      </c>
      <c r="H246" s="367">
        <v>202.9282</v>
      </c>
      <c r="I246" s="368">
        <v>11.844189999999999</v>
      </c>
      <c r="J246" s="234" t="s">
        <v>15</v>
      </c>
      <c r="K246" s="233" t="s">
        <v>15</v>
      </c>
      <c r="L246" s="234" t="s">
        <v>15</v>
      </c>
      <c r="M246" s="233" t="s">
        <v>15</v>
      </c>
      <c r="N246" s="537">
        <v>0</v>
      </c>
      <c r="O246" s="536" t="s">
        <v>574</v>
      </c>
      <c r="P246" s="536" t="s">
        <v>574</v>
      </c>
      <c r="Q246" s="128">
        <f>12696.28/$T$232</f>
        <v>0.77999722313350961</v>
      </c>
      <c r="R246" s="2129"/>
      <c r="S246" s="24"/>
      <c r="T246" s="26"/>
      <c r="V246" s="24"/>
      <c r="W246" s="26"/>
      <c r="X246" s="26"/>
      <c r="Y246" s="41"/>
      <c r="Z246" s="41"/>
      <c r="AA246" s="41"/>
      <c r="AB246" s="846"/>
      <c r="AC246" s="26"/>
      <c r="AD246" s="24"/>
      <c r="AE246" s="26"/>
      <c r="AF246" s="106"/>
      <c r="AG246" s="37"/>
      <c r="AH246" s="957"/>
      <c r="AI246" s="1023"/>
      <c r="AJ246" s="1023"/>
      <c r="AK246" s="1023"/>
      <c r="AL246" s="1023"/>
      <c r="AM246" s="1023"/>
      <c r="AN246" s="1023"/>
      <c r="AO246" s="957"/>
      <c r="AP246" s="957"/>
      <c r="AQ246" s="957"/>
      <c r="AR246" s="957"/>
      <c r="AS246" s="957"/>
      <c r="AT246" s="957"/>
      <c r="AU246" s="957"/>
      <c r="AV246" s="957"/>
      <c r="AW246" s="957"/>
      <c r="AX246" s="957"/>
      <c r="AY246" s="957"/>
      <c r="AZ246" s="957"/>
      <c r="BA246" s="957"/>
      <c r="BB246" s="957"/>
      <c r="BC246" s="957"/>
      <c r="BD246" s="957"/>
      <c r="BE246" s="957"/>
      <c r="BF246" s="957"/>
      <c r="BG246" s="957"/>
    </row>
    <row r="247" spans="1:113">
      <c r="A247" s="2172"/>
      <c r="B247" s="2207" t="s">
        <v>807</v>
      </c>
      <c r="C247" s="2205" t="s">
        <v>11</v>
      </c>
      <c r="D247" s="338" t="s">
        <v>33</v>
      </c>
      <c r="E247" s="452">
        <v>5</v>
      </c>
      <c r="F247" s="148" t="s">
        <v>15</v>
      </c>
      <c r="G247" s="148" t="s">
        <v>15</v>
      </c>
      <c r="H247" s="367">
        <v>241.2586</v>
      </c>
      <c r="I247" s="368">
        <v>18.82912</v>
      </c>
      <c r="J247" s="234" t="s">
        <v>15</v>
      </c>
      <c r="K247" s="233" t="s">
        <v>15</v>
      </c>
      <c r="L247" s="234" t="s">
        <v>15</v>
      </c>
      <c r="M247" s="233" t="s">
        <v>15</v>
      </c>
      <c r="N247" s="537">
        <v>3.3595131999999999</v>
      </c>
      <c r="O247" s="536">
        <v>0.03</v>
      </c>
      <c r="P247" s="536">
        <v>111.34145030000001</v>
      </c>
      <c r="Q247" s="128">
        <f>14/$T$232</f>
        <v>8.6009139085378814E-4</v>
      </c>
      <c r="R247" s="2129">
        <f>SUMPRODUCT(N247:N248,Q247:Q248)</f>
        <v>2.8894883807796604E-3</v>
      </c>
      <c r="S247" s="24"/>
      <c r="T247" s="26"/>
      <c r="V247" s="24"/>
      <c r="W247" s="26"/>
      <c r="X247" s="26"/>
      <c r="Y247" s="41"/>
      <c r="Z247" s="41"/>
      <c r="AA247" s="41"/>
      <c r="AB247" s="846"/>
      <c r="AC247" s="26"/>
      <c r="AD247" s="24"/>
      <c r="AE247" s="26"/>
      <c r="AF247" s="106"/>
      <c r="AG247" s="37"/>
      <c r="AH247" s="957"/>
      <c r="AI247" s="1023"/>
      <c r="AJ247" s="1023"/>
      <c r="AK247" s="1023"/>
      <c r="AL247" s="1023"/>
      <c r="AM247" s="1023"/>
      <c r="AN247" s="1023"/>
      <c r="AO247" s="957"/>
      <c r="AP247" s="957"/>
      <c r="AQ247" s="957"/>
      <c r="AR247" s="957"/>
      <c r="AS247" s="957"/>
      <c r="AT247" s="957"/>
      <c r="AU247" s="957"/>
      <c r="AV247" s="957"/>
      <c r="AW247" s="957"/>
      <c r="AX247" s="957"/>
      <c r="AY247" s="957"/>
      <c r="AZ247" s="957"/>
      <c r="BA247" s="957"/>
      <c r="BB247" s="957"/>
      <c r="BC247" s="957"/>
      <c r="BD247" s="957"/>
      <c r="BE247" s="957"/>
      <c r="BF247" s="957"/>
      <c r="BG247" s="957"/>
    </row>
    <row r="248" spans="1:113">
      <c r="A248" s="2172"/>
      <c r="B248" s="2209"/>
      <c r="C248" s="2205"/>
      <c r="D248" s="338" t="s">
        <v>32</v>
      </c>
      <c r="E248" s="452">
        <v>70</v>
      </c>
      <c r="F248" s="148" t="s">
        <v>15</v>
      </c>
      <c r="G248" s="148" t="s">
        <v>15</v>
      </c>
      <c r="H248" s="367">
        <v>191.30009999999999</v>
      </c>
      <c r="I248" s="368">
        <v>27.486889999999999</v>
      </c>
      <c r="J248" s="234" t="s">
        <v>15</v>
      </c>
      <c r="K248" s="233" t="s">
        <v>15</v>
      </c>
      <c r="L248" s="234" t="s">
        <v>15</v>
      </c>
      <c r="M248" s="233" t="s">
        <v>15</v>
      </c>
      <c r="N248" s="537">
        <v>0</v>
      </c>
      <c r="O248" s="536" t="s">
        <v>574</v>
      </c>
      <c r="P248" s="536" t="s">
        <v>574</v>
      </c>
      <c r="Q248" s="128">
        <f>16263.34/$T$232</f>
        <v>0.99913990860914625</v>
      </c>
      <c r="R248" s="2129"/>
      <c r="S248" s="24"/>
      <c r="T248" s="26"/>
      <c r="V248" s="24"/>
      <c r="W248" s="26"/>
      <c r="X248" s="26"/>
      <c r="Y248" s="41"/>
      <c r="Z248" s="41"/>
      <c r="AA248" s="41"/>
      <c r="AB248" s="846"/>
      <c r="AC248" s="26"/>
      <c r="AD248" s="24"/>
      <c r="AE248" s="26"/>
      <c r="AF248" s="106"/>
      <c r="AG248" s="37"/>
      <c r="AH248" s="957"/>
      <c r="AI248" s="1023"/>
      <c r="AJ248" s="1023"/>
      <c r="AK248" s="1023"/>
      <c r="AL248" s="1023"/>
      <c r="AM248" s="1023"/>
      <c r="AN248" s="1023"/>
      <c r="AO248" s="957"/>
      <c r="AP248" s="957"/>
      <c r="AQ248" s="957"/>
      <c r="AR248" s="957"/>
      <c r="AS248" s="957"/>
      <c r="AT248" s="957"/>
      <c r="AU248" s="957"/>
      <c r="AV248" s="957"/>
      <c r="AW248" s="957"/>
      <c r="AX248" s="957"/>
      <c r="AY248" s="957"/>
      <c r="AZ248" s="957"/>
      <c r="BA248" s="957"/>
      <c r="BB248" s="957"/>
      <c r="BC248" s="957"/>
      <c r="BD248" s="957"/>
      <c r="BE248" s="957"/>
      <c r="BF248" s="957"/>
      <c r="BG248" s="957"/>
    </row>
    <row r="249" spans="1:113">
      <c r="A249" s="2172"/>
      <c r="B249" s="2207" t="s">
        <v>773</v>
      </c>
      <c r="C249" s="2278" t="s">
        <v>13</v>
      </c>
      <c r="D249" s="338" t="s">
        <v>774</v>
      </c>
      <c r="E249" s="452">
        <v>7</v>
      </c>
      <c r="F249" s="148" t="s">
        <v>15</v>
      </c>
      <c r="G249" s="148" t="s">
        <v>15</v>
      </c>
      <c r="H249" s="367">
        <v>238.0136</v>
      </c>
      <c r="I249" s="368">
        <v>36.343710000000002</v>
      </c>
      <c r="J249" s="234" t="s">
        <v>15</v>
      </c>
      <c r="K249" s="233" t="s">
        <v>15</v>
      </c>
      <c r="L249" s="234" t="s">
        <v>15</v>
      </c>
      <c r="M249" s="233" t="s">
        <v>15</v>
      </c>
      <c r="N249" s="537">
        <v>0</v>
      </c>
      <c r="O249" s="536" t="s">
        <v>574</v>
      </c>
      <c r="P249" s="536" t="s">
        <v>574</v>
      </c>
      <c r="Q249" s="128">
        <f>16104.35/$T$232</f>
        <v>0.98937234216401448</v>
      </c>
      <c r="R249" s="2129">
        <f>SUMPRODUCT(N249:N250,Q249:Q250)</f>
        <v>0.4965083707700399</v>
      </c>
      <c r="S249" s="24"/>
      <c r="T249" s="26"/>
      <c r="V249" s="24"/>
      <c r="W249" s="26"/>
      <c r="X249" s="26"/>
      <c r="Y249" s="41"/>
      <c r="Z249" s="41"/>
      <c r="AA249" s="41"/>
      <c r="AB249" s="846"/>
      <c r="AC249" s="26"/>
      <c r="AD249" s="24"/>
      <c r="AE249" s="26"/>
      <c r="AF249" s="106"/>
      <c r="AG249" s="37"/>
      <c r="AH249" s="957"/>
      <c r="AI249" s="1023"/>
      <c r="AJ249" s="1023"/>
      <c r="AK249" s="1023"/>
      <c r="AL249" s="1023"/>
      <c r="AM249" s="1023"/>
      <c r="AN249" s="1023"/>
      <c r="AO249" s="957"/>
      <c r="AP249" s="957"/>
      <c r="AQ249" s="957"/>
      <c r="AR249" s="957"/>
      <c r="AS249" s="957"/>
      <c r="AT249" s="957"/>
      <c r="AU249" s="957"/>
      <c r="AV249" s="957"/>
      <c r="AW249" s="957"/>
      <c r="AX249" s="957"/>
      <c r="AY249" s="957"/>
      <c r="AZ249" s="957"/>
      <c r="BA249" s="957"/>
      <c r="BB249" s="957"/>
      <c r="BC249" s="957"/>
      <c r="BD249" s="957"/>
      <c r="BE249" s="957"/>
      <c r="BF249" s="957"/>
      <c r="BG249" s="957"/>
    </row>
    <row r="250" spans="1:113">
      <c r="A250" s="2172"/>
      <c r="B250" s="2208"/>
      <c r="C250" s="2279"/>
      <c r="D250" s="338" t="s">
        <v>775</v>
      </c>
      <c r="E250" s="452">
        <v>68</v>
      </c>
      <c r="F250" s="148" t="s">
        <v>15</v>
      </c>
      <c r="G250" s="148" t="s">
        <v>15</v>
      </c>
      <c r="H250" s="367">
        <v>190.8417</v>
      </c>
      <c r="I250" s="368">
        <v>26.97457</v>
      </c>
      <c r="J250" s="234" t="s">
        <v>15</v>
      </c>
      <c r="K250" s="233" t="s">
        <v>15</v>
      </c>
      <c r="L250" s="234" t="s">
        <v>15</v>
      </c>
      <c r="M250" s="233" t="s">
        <v>15</v>
      </c>
      <c r="N250" s="537">
        <v>46.718513000000002</v>
      </c>
      <c r="O250" s="536">
        <v>2.37</v>
      </c>
      <c r="P250" s="536">
        <v>19.6901996</v>
      </c>
      <c r="Q250" s="128">
        <f>172.99/$T$232</f>
        <v>1.0627657835985488E-2</v>
      </c>
      <c r="R250" s="2129"/>
      <c r="S250" s="24"/>
      <c r="T250" s="26"/>
      <c r="V250" s="24"/>
      <c r="W250" s="26"/>
      <c r="X250" s="26"/>
      <c r="Y250" s="41"/>
      <c r="Z250" s="41"/>
      <c r="AA250" s="41"/>
      <c r="AB250" s="846"/>
      <c r="AC250" s="26"/>
      <c r="AD250" s="24"/>
      <c r="AE250" s="26"/>
      <c r="AF250" s="106"/>
      <c r="AG250" s="37"/>
      <c r="AH250" s="957"/>
      <c r="AI250" s="1023"/>
      <c r="AJ250" s="1023"/>
      <c r="AK250" s="1023"/>
      <c r="AL250" s="1023"/>
      <c r="AM250" s="1023"/>
      <c r="AN250" s="1023"/>
      <c r="AO250" s="957"/>
      <c r="AP250" s="957"/>
      <c r="AQ250" s="957"/>
      <c r="AR250" s="957"/>
      <c r="AS250" s="957"/>
      <c r="AT250" s="957"/>
      <c r="AU250" s="957"/>
      <c r="AV250" s="957"/>
      <c r="AW250" s="957"/>
      <c r="AX250" s="957"/>
      <c r="AY250" s="957"/>
      <c r="AZ250" s="957"/>
      <c r="BA250" s="957"/>
      <c r="BB250" s="957"/>
      <c r="BC250" s="957"/>
      <c r="BD250" s="957"/>
      <c r="BE250" s="957"/>
      <c r="BF250" s="957"/>
      <c r="BG250" s="957"/>
    </row>
    <row r="251" spans="1:113">
      <c r="A251" s="2172"/>
      <c r="B251" s="2206" t="s">
        <v>787</v>
      </c>
      <c r="C251" s="2205" t="s">
        <v>11</v>
      </c>
      <c r="D251" s="338" t="s">
        <v>33</v>
      </c>
      <c r="E251" s="452">
        <v>4</v>
      </c>
      <c r="F251" s="148" t="s">
        <v>15</v>
      </c>
      <c r="G251" s="148" t="s">
        <v>15</v>
      </c>
      <c r="H251" s="367">
        <v>207.16200000000001</v>
      </c>
      <c r="I251" s="368">
        <v>19.7227</v>
      </c>
      <c r="J251" s="234" t="s">
        <v>15</v>
      </c>
      <c r="K251" s="233" t="s">
        <v>15</v>
      </c>
      <c r="L251" s="234" t="s">
        <v>15</v>
      </c>
      <c r="M251" s="233" t="s">
        <v>15</v>
      </c>
      <c r="N251" s="537">
        <v>8.4716018000000002</v>
      </c>
      <c r="O251" s="536">
        <v>0.28999999999999998</v>
      </c>
      <c r="P251" s="536">
        <v>29.355615799999999</v>
      </c>
      <c r="Q251" s="128">
        <f>93/$T$232</f>
        <v>5.7134642392430209E-3</v>
      </c>
      <c r="R251" s="2129">
        <f>SUMPRODUCT(N251:N252,Q251:Q252)</f>
        <v>4.8402193933406806E-2</v>
      </c>
      <c r="S251" s="24"/>
      <c r="T251" s="26"/>
      <c r="V251" s="24"/>
      <c r="W251" s="26"/>
      <c r="X251" s="26"/>
      <c r="Y251" s="41"/>
      <c r="Z251" s="41"/>
      <c r="AA251" s="41"/>
      <c r="AB251" s="846"/>
      <c r="AC251" s="26"/>
      <c r="AD251" s="24"/>
      <c r="AE251" s="26"/>
      <c r="AF251" s="106"/>
      <c r="AG251" s="37"/>
      <c r="AH251" s="957"/>
      <c r="AI251" s="1023"/>
      <c r="AJ251" s="1023"/>
      <c r="AK251" s="1023"/>
      <c r="AL251" s="1023"/>
      <c r="AM251" s="1023"/>
      <c r="AN251" s="1023"/>
      <c r="AO251" s="957"/>
      <c r="AP251" s="957"/>
      <c r="AQ251" s="957"/>
      <c r="AR251" s="957"/>
      <c r="AS251" s="957"/>
      <c r="AT251" s="957"/>
      <c r="AU251" s="957"/>
      <c r="AV251" s="957"/>
      <c r="AW251" s="957"/>
      <c r="AX251" s="957"/>
      <c r="AY251" s="957"/>
      <c r="AZ251" s="957"/>
      <c r="BA251" s="957"/>
      <c r="BB251" s="957"/>
      <c r="BC251" s="957"/>
      <c r="BD251" s="957"/>
      <c r="BE251" s="957"/>
      <c r="BF251" s="957"/>
      <c r="BG251" s="957"/>
    </row>
    <row r="252" spans="1:113">
      <c r="A252" s="2172"/>
      <c r="B252" s="2206"/>
      <c r="C252" s="2205"/>
      <c r="D252" s="338" t="s">
        <v>32</v>
      </c>
      <c r="E252" s="452">
        <v>71</v>
      </c>
      <c r="F252" s="148" t="s">
        <v>15</v>
      </c>
      <c r="G252" s="148" t="s">
        <v>15</v>
      </c>
      <c r="H252" s="367">
        <v>191.25219999999999</v>
      </c>
      <c r="I252" s="368">
        <v>27.531790000000001</v>
      </c>
      <c r="J252" s="234" t="s">
        <v>15</v>
      </c>
      <c r="K252" s="233" t="s">
        <v>15</v>
      </c>
      <c r="L252" s="234" t="s">
        <v>15</v>
      </c>
      <c r="M252" s="233" t="s">
        <v>15</v>
      </c>
      <c r="N252" s="537">
        <v>0</v>
      </c>
      <c r="O252" s="536" t="s">
        <v>574</v>
      </c>
      <c r="P252" s="536" t="s">
        <v>574</v>
      </c>
      <c r="Q252" s="128">
        <f>16184.34/$T$232</f>
        <v>0.99428653576075698</v>
      </c>
      <c r="R252" s="2129"/>
      <c r="S252" s="24"/>
      <c r="T252" s="26"/>
      <c r="V252" s="24"/>
      <c r="W252" s="26"/>
      <c r="X252" s="26"/>
      <c r="Y252" s="41"/>
      <c r="Z252" s="41"/>
      <c r="AA252" s="41"/>
      <c r="AB252" s="846"/>
      <c r="AC252" s="26"/>
      <c r="AD252" s="24"/>
      <c r="AE252" s="26"/>
      <c r="AF252" s="106"/>
      <c r="AG252" s="37"/>
      <c r="AH252" s="957"/>
      <c r="AI252" s="1023"/>
      <c r="AJ252" s="1023"/>
      <c r="AK252" s="1023"/>
      <c r="AL252" s="1023"/>
      <c r="AM252" s="1023"/>
      <c r="AN252" s="1023"/>
      <c r="AO252" s="957"/>
      <c r="AP252" s="957"/>
      <c r="AQ252" s="957"/>
      <c r="AR252" s="957"/>
      <c r="AS252" s="957"/>
      <c r="AT252" s="957"/>
      <c r="AU252" s="957"/>
      <c r="AV252" s="957"/>
      <c r="AW252" s="957"/>
      <c r="AX252" s="957"/>
      <c r="AY252" s="957"/>
      <c r="AZ252" s="957"/>
      <c r="BA252" s="957"/>
      <c r="BB252" s="957"/>
      <c r="BC252" s="957"/>
      <c r="BD252" s="957"/>
      <c r="BE252" s="957"/>
      <c r="BF252" s="957"/>
      <c r="BG252" s="957"/>
    </row>
    <row r="253" spans="1:113">
      <c r="A253" s="2172"/>
      <c r="B253" s="2206" t="s">
        <v>7</v>
      </c>
      <c r="C253" s="2144" t="s">
        <v>13</v>
      </c>
      <c r="D253" s="348">
        <v>1</v>
      </c>
      <c r="E253" s="452">
        <v>24</v>
      </c>
      <c r="F253" s="148" t="s">
        <v>15</v>
      </c>
      <c r="G253" s="148" t="s">
        <v>15</v>
      </c>
      <c r="H253" s="367">
        <v>202.43459999999999</v>
      </c>
      <c r="I253" s="368">
        <v>24.40504</v>
      </c>
      <c r="J253" s="234" t="s">
        <v>15</v>
      </c>
      <c r="K253" s="233" t="s">
        <v>15</v>
      </c>
      <c r="L253" s="234" t="s">
        <v>15</v>
      </c>
      <c r="M253" s="233" t="s">
        <v>15</v>
      </c>
      <c r="N253" s="537">
        <v>31.8121212</v>
      </c>
      <c r="O253" s="536">
        <v>7.15</v>
      </c>
      <c r="P253" s="536">
        <v>4.4505157000000004</v>
      </c>
      <c r="Q253" s="128">
        <f>9300.53/$T$232</f>
        <v>0.5713789845269559</v>
      </c>
      <c r="R253" s="2130">
        <f>SUMPRODUCT(N253:N255,Q253:Q255)</f>
        <v>20.318532686862596</v>
      </c>
      <c r="S253" s="24"/>
      <c r="T253" s="26"/>
      <c r="V253" s="24"/>
      <c r="W253" s="26"/>
      <c r="X253" s="26"/>
      <c r="Y253" s="41"/>
      <c r="Z253" s="41"/>
      <c r="AA253" s="41"/>
      <c r="AB253" s="846"/>
      <c r="AC253" s="26"/>
      <c r="AD253" s="24"/>
      <c r="AE253" s="26"/>
      <c r="AF253" s="106"/>
      <c r="AG253" s="37"/>
      <c r="AH253" s="957"/>
      <c r="AI253" s="1023"/>
      <c r="AJ253" s="1023"/>
      <c r="AK253" s="1023"/>
      <c r="AL253" s="1023"/>
      <c r="AM253" s="1023"/>
      <c r="AN253" s="1023"/>
      <c r="AO253" s="957"/>
      <c r="AP253" s="957"/>
      <c r="AQ253" s="957"/>
      <c r="AR253" s="957"/>
      <c r="AS253" s="957"/>
      <c r="AT253" s="957"/>
      <c r="AU253" s="957"/>
      <c r="AV253" s="957"/>
      <c r="AW253" s="957"/>
      <c r="AX253" s="957"/>
      <c r="AY253" s="957"/>
      <c r="AZ253" s="957"/>
      <c r="BA253" s="957"/>
      <c r="BB253" s="957"/>
      <c r="BC253" s="957"/>
      <c r="BD253" s="957"/>
      <c r="BE253" s="957"/>
      <c r="BF253" s="957"/>
      <c r="BG253" s="957"/>
    </row>
    <row r="254" spans="1:113">
      <c r="A254" s="2172"/>
      <c r="B254" s="2206"/>
      <c r="C254" s="2144"/>
      <c r="D254" s="348">
        <v>2</v>
      </c>
      <c r="E254" s="452">
        <v>27</v>
      </c>
      <c r="F254" s="148" t="s">
        <v>15</v>
      </c>
      <c r="G254" s="148" t="s">
        <v>15</v>
      </c>
      <c r="H254" s="367">
        <v>175.59790000000001</v>
      </c>
      <c r="I254" s="368">
        <v>25.114879999999999</v>
      </c>
      <c r="J254" s="234" t="s">
        <v>15</v>
      </c>
      <c r="K254" s="233" t="s">
        <v>15</v>
      </c>
      <c r="L254" s="234" t="s">
        <v>15</v>
      </c>
      <c r="M254" s="233" t="s">
        <v>15</v>
      </c>
      <c r="N254" s="537">
        <v>8.1518209000000006</v>
      </c>
      <c r="O254" s="536">
        <v>1.81</v>
      </c>
      <c r="P254" s="536">
        <v>4.5006839999999997</v>
      </c>
      <c r="Q254" s="128">
        <f>4276.6/$T$232</f>
        <v>0.26273334586609359</v>
      </c>
      <c r="R254" s="2196"/>
      <c r="S254" s="24"/>
      <c r="T254" s="26"/>
      <c r="V254" s="24"/>
      <c r="W254" s="26"/>
      <c r="X254" s="26"/>
      <c r="Y254" s="41"/>
      <c r="Z254" s="41"/>
      <c r="AA254" s="41"/>
      <c r="AB254" s="846"/>
      <c r="AC254" s="26"/>
      <c r="AD254" s="24"/>
      <c r="AE254" s="26"/>
      <c r="AF254" s="106"/>
      <c r="AG254" s="37"/>
      <c r="AH254" s="957"/>
      <c r="AI254" s="1023"/>
      <c r="AJ254" s="1023"/>
      <c r="AK254" s="1023"/>
      <c r="AL254" s="1023"/>
      <c r="AM254" s="1023"/>
      <c r="AN254" s="1023"/>
      <c r="AO254" s="957"/>
      <c r="AP254" s="957"/>
      <c r="AQ254" s="957"/>
      <c r="AR254" s="957"/>
      <c r="AS254" s="957"/>
      <c r="AT254" s="957"/>
      <c r="AU254" s="957"/>
      <c r="AV254" s="957"/>
      <c r="AW254" s="957"/>
      <c r="AX254" s="957"/>
      <c r="AY254" s="957"/>
      <c r="AZ254" s="957"/>
      <c r="BA254" s="957"/>
      <c r="BB254" s="957"/>
      <c r="BC254" s="957"/>
      <c r="BD254" s="957"/>
      <c r="BE254" s="957"/>
      <c r="BF254" s="957"/>
      <c r="BG254" s="957"/>
    </row>
    <row r="255" spans="1:113" ht="15.75" thickBot="1">
      <c r="A255" s="2188"/>
      <c r="B255" s="2206"/>
      <c r="C255" s="2144"/>
      <c r="D255" s="205">
        <v>3</v>
      </c>
      <c r="E255" s="25">
        <v>24</v>
      </c>
      <c r="F255" s="197" t="s">
        <v>15</v>
      </c>
      <c r="G255" s="197" t="s">
        <v>15</v>
      </c>
      <c r="H255" s="367">
        <v>178.07689999999999</v>
      </c>
      <c r="I255" s="368">
        <v>22.857489999999999</v>
      </c>
      <c r="J255" s="409" t="s">
        <v>15</v>
      </c>
      <c r="K255" s="122" t="s">
        <v>15</v>
      </c>
      <c r="L255" s="409" t="s">
        <v>15</v>
      </c>
      <c r="M255" s="122" t="s">
        <v>15</v>
      </c>
      <c r="N255" s="1201">
        <v>0</v>
      </c>
      <c r="O255" s="133" t="s">
        <v>574</v>
      </c>
      <c r="P255" s="133" t="s">
        <v>574</v>
      </c>
      <c r="Q255" s="286">
        <f>2700.21/$T$232</f>
        <v>0.16588766960695053</v>
      </c>
      <c r="R255" s="2155"/>
      <c r="S255" s="24"/>
      <c r="T255" s="26"/>
      <c r="V255" s="24"/>
      <c r="W255" s="26"/>
      <c r="X255" s="26"/>
      <c r="Y255" s="41"/>
      <c r="Z255" s="41"/>
      <c r="AA255" s="41"/>
      <c r="AB255" s="846"/>
      <c r="AC255" s="26"/>
      <c r="AD255" s="240"/>
      <c r="AE255" s="764"/>
      <c r="AF255" s="106"/>
      <c r="AG255" s="37"/>
      <c r="AH255" s="957"/>
      <c r="AI255" s="1023"/>
      <c r="AJ255" s="1023"/>
      <c r="AK255" s="1023"/>
      <c r="AL255" s="1023"/>
      <c r="AM255" s="1023"/>
      <c r="AN255" s="1023"/>
      <c r="AO255" s="957"/>
      <c r="AP255" s="957"/>
      <c r="AQ255" s="957"/>
      <c r="AR255" s="957"/>
      <c r="AS255" s="957"/>
      <c r="AT255" s="957"/>
      <c r="AU255" s="957"/>
      <c r="AV255" s="957"/>
      <c r="AW255" s="957"/>
      <c r="AX255" s="957"/>
      <c r="AY255" s="957"/>
      <c r="AZ255" s="957"/>
      <c r="BA255" s="957"/>
      <c r="BB255" s="957"/>
      <c r="BC255" s="957"/>
      <c r="BD255" s="957"/>
      <c r="BE255" s="957"/>
      <c r="BF255" s="957"/>
      <c r="BG255" s="957"/>
    </row>
    <row r="256" spans="1:113" s="692" customFormat="1" ht="9" customHeight="1" thickBot="1">
      <c r="A256" s="695"/>
      <c r="B256" s="815"/>
      <c r="C256" s="684"/>
      <c r="D256" s="683"/>
      <c r="E256" s="684"/>
      <c r="F256" s="684"/>
      <c r="G256" s="684"/>
      <c r="H256" s="684"/>
      <c r="I256" s="684"/>
      <c r="J256" s="682"/>
      <c r="K256" s="683"/>
      <c r="L256" s="682"/>
      <c r="M256" s="685"/>
      <c r="N256" s="1189"/>
      <c r="O256" s="686"/>
      <c r="P256" s="686"/>
      <c r="Q256" s="687"/>
      <c r="R256" s="687"/>
      <c r="S256" s="688"/>
      <c r="T256" s="688"/>
      <c r="U256" s="854"/>
      <c r="V256" s="893"/>
      <c r="W256" s="685"/>
      <c r="X256" s="685"/>
      <c r="Y256" s="688"/>
      <c r="Z256" s="688"/>
      <c r="AA256" s="688"/>
      <c r="AB256" s="846"/>
      <c r="AC256" s="685"/>
      <c r="AD256" s="685"/>
      <c r="AE256" s="685"/>
      <c r="AF256" s="689"/>
      <c r="AG256" s="685"/>
      <c r="AH256" s="959"/>
      <c r="AI256" s="959"/>
      <c r="AJ256" s="959"/>
      <c r="AK256" s="959"/>
      <c r="AL256" s="959"/>
      <c r="AM256" s="959"/>
      <c r="AN256" s="959"/>
      <c r="AO256" s="958"/>
      <c r="AP256" s="958"/>
      <c r="AQ256" s="958"/>
      <c r="AR256" s="958"/>
      <c r="AS256" s="958"/>
      <c r="AT256" s="958"/>
      <c r="AU256" s="958"/>
      <c r="AV256" s="958"/>
      <c r="AW256" s="958"/>
      <c r="AX256" s="958"/>
      <c r="AY256" s="958"/>
      <c r="AZ256" s="958"/>
      <c r="BA256" s="958"/>
      <c r="BB256" s="958"/>
      <c r="BC256" s="958"/>
      <c r="BD256" s="958"/>
      <c r="BE256" s="958"/>
      <c r="BF256" s="958"/>
      <c r="BG256" s="958"/>
      <c r="BH256" s="1125"/>
      <c r="DI256" s="693"/>
    </row>
    <row r="257" spans="1:113" s="7" customFormat="1" ht="15" customHeight="1">
      <c r="A257" s="2171" t="s">
        <v>1284</v>
      </c>
      <c r="B257" s="1057" t="s">
        <v>754</v>
      </c>
      <c r="C257" s="809" t="s">
        <v>12</v>
      </c>
      <c r="D257" s="232" t="s">
        <v>829</v>
      </c>
      <c r="E257" s="534">
        <v>94</v>
      </c>
      <c r="F257" s="258">
        <v>17.943680000000001</v>
      </c>
      <c r="G257" s="258">
        <v>2.3155290000000002</v>
      </c>
      <c r="H257" s="367">
        <v>127.7458</v>
      </c>
      <c r="I257" s="368">
        <v>20.692720000000001</v>
      </c>
      <c r="J257" s="268" t="s">
        <v>15</v>
      </c>
      <c r="K257" s="132" t="s">
        <v>15</v>
      </c>
      <c r="L257" s="1165" t="s">
        <v>14</v>
      </c>
      <c r="M257" s="1150" t="s">
        <v>801</v>
      </c>
      <c r="N257" s="1190">
        <v>1.0290014999999999</v>
      </c>
      <c r="O257" s="442">
        <v>1.63</v>
      </c>
      <c r="P257" s="442">
        <v>0.63280780000000003</v>
      </c>
      <c r="Q257" s="254" t="s">
        <v>15</v>
      </c>
      <c r="R257" s="258">
        <f>N257</f>
        <v>1.0290014999999999</v>
      </c>
      <c r="S257" s="124" t="s">
        <v>68</v>
      </c>
      <c r="T257" s="125" t="s">
        <v>69</v>
      </c>
      <c r="U257" s="858"/>
      <c r="V257" s="2232" t="s">
        <v>863</v>
      </c>
      <c r="W257" s="295" t="s">
        <v>47</v>
      </c>
      <c r="X257" s="295" t="s">
        <v>880</v>
      </c>
      <c r="Y257" s="220">
        <f>T264+SUM(R259:R286)+N257*42.7+N258*1</f>
        <v>149.54754381693132</v>
      </c>
      <c r="Z257" s="282" t="s">
        <v>40</v>
      </c>
      <c r="AA257" s="575" t="s">
        <v>40</v>
      </c>
      <c r="AB257" s="846"/>
      <c r="AC257" s="26"/>
      <c r="AD257" s="2131" t="s">
        <v>142</v>
      </c>
      <c r="AE257" s="2133"/>
      <c r="AF257" s="497" t="s">
        <v>49</v>
      </c>
      <c r="AG257" s="494" t="s">
        <v>976</v>
      </c>
      <c r="AH257" s="158">
        <f>T264+R282+N271</f>
        <v>152.88558349337546</v>
      </c>
      <c r="AI257" s="158">
        <v>153.99</v>
      </c>
      <c r="AJ257" s="158">
        <v>169.99</v>
      </c>
      <c r="AK257" s="158">
        <v>137.21</v>
      </c>
      <c r="AL257" s="158">
        <v>167.99</v>
      </c>
      <c r="AM257" s="158"/>
      <c r="AN257" s="170"/>
      <c r="AO257" s="1011"/>
      <c r="AP257" s="957"/>
      <c r="AQ257" s="957"/>
      <c r="AR257" s="957"/>
      <c r="AS257" s="957"/>
      <c r="AT257" s="1012"/>
      <c r="AU257" s="1023"/>
      <c r="AV257" s="957"/>
      <c r="AW257" s="957"/>
      <c r="AX257" s="957"/>
      <c r="AY257" s="957"/>
      <c r="AZ257" s="957"/>
      <c r="BA257" s="957"/>
      <c r="BB257" s="957"/>
      <c r="BC257" s="957"/>
      <c r="BD257" s="957"/>
      <c r="BE257" s="957"/>
      <c r="BF257" s="957"/>
      <c r="BG257" s="957"/>
      <c r="BH257" s="1125"/>
      <c r="DI257" s="566"/>
    </row>
    <row r="258" spans="1:113">
      <c r="A258" s="2172"/>
      <c r="B258" s="1056" t="s">
        <v>756</v>
      </c>
      <c r="C258" s="356" t="s">
        <v>12</v>
      </c>
      <c r="D258" s="291" t="s">
        <v>826</v>
      </c>
      <c r="E258" s="452">
        <v>94</v>
      </c>
      <c r="F258" s="128">
        <v>0.41517399999999999</v>
      </c>
      <c r="G258" s="128">
        <v>0.12088400000000001</v>
      </c>
      <c r="H258" s="367">
        <v>127.7458</v>
      </c>
      <c r="I258" s="368">
        <v>20.692720000000001</v>
      </c>
      <c r="J258" s="234" t="s">
        <v>15</v>
      </c>
      <c r="K258" s="233" t="s">
        <v>15</v>
      </c>
      <c r="L258" s="234" t="s">
        <v>15</v>
      </c>
      <c r="M258" s="233" t="s">
        <v>15</v>
      </c>
      <c r="N258" s="537">
        <v>-6.2797270000000003</v>
      </c>
      <c r="O258" s="536">
        <v>-0.15</v>
      </c>
      <c r="P258" s="536">
        <v>41.843067900000001</v>
      </c>
      <c r="Q258" s="195" t="s">
        <v>15</v>
      </c>
      <c r="R258" s="128">
        <f>N258</f>
        <v>-6.2797270000000003</v>
      </c>
      <c r="S258" s="31" t="s">
        <v>70</v>
      </c>
      <c r="T258" s="117" t="s">
        <v>71</v>
      </c>
      <c r="U258" s="854"/>
      <c r="V258" s="2233"/>
      <c r="W258" s="983" t="s">
        <v>49</v>
      </c>
      <c r="X258" s="338" t="s">
        <v>882</v>
      </c>
      <c r="Y258" s="169">
        <f>T264+SUM(R259:R286)+N257*19.3+N258*1</f>
        <v>125.46890871693132</v>
      </c>
      <c r="Z258" s="169">
        <f>Y258-Y257</f>
        <v>-24.0786351</v>
      </c>
      <c r="AA258" s="576">
        <f>(42.7-19.3)*P257</f>
        <v>14.807702520000001</v>
      </c>
      <c r="AB258" s="918"/>
      <c r="AC258" s="26"/>
      <c r="AD258" s="20" t="s">
        <v>98</v>
      </c>
      <c r="AE258" s="278">
        <v>-0.1138855173995887</v>
      </c>
      <c r="AF258" s="497" t="s">
        <v>49</v>
      </c>
      <c r="AG258" s="494" t="s">
        <v>978</v>
      </c>
      <c r="AH258" s="158">
        <f>T264+N280+R282+R259</f>
        <v>142.09254838772338</v>
      </c>
      <c r="AI258" s="158">
        <v>169.99</v>
      </c>
      <c r="AJ258" s="158">
        <v>179.99</v>
      </c>
      <c r="AK258" s="158"/>
      <c r="AL258" s="158">
        <v>214.99</v>
      </c>
      <c r="AM258" s="158"/>
      <c r="AN258" s="170"/>
      <c r="AO258" s="1011"/>
      <c r="AP258" s="957"/>
      <c r="AQ258" s="957"/>
      <c r="AR258" s="957"/>
      <c r="AS258" s="957"/>
      <c r="AT258" s="1012"/>
      <c r="AU258" s="1023"/>
      <c r="AV258" s="957"/>
      <c r="AW258" s="957"/>
      <c r="AX258" s="957"/>
      <c r="AY258" s="957"/>
      <c r="AZ258" s="957"/>
      <c r="BA258" s="957"/>
      <c r="BB258" s="957"/>
      <c r="BC258" s="957"/>
      <c r="BD258" s="957"/>
      <c r="BE258" s="957"/>
      <c r="BF258" s="957"/>
      <c r="BG258" s="957"/>
    </row>
    <row r="259" spans="1:113">
      <c r="A259" s="2172"/>
      <c r="B259" s="2206" t="s">
        <v>153</v>
      </c>
      <c r="C259" s="2144" t="s">
        <v>13</v>
      </c>
      <c r="D259" s="348" t="s">
        <v>791</v>
      </c>
      <c r="E259" s="452">
        <v>2</v>
      </c>
      <c r="F259" s="148" t="s">
        <v>15</v>
      </c>
      <c r="G259" s="148" t="s">
        <v>15</v>
      </c>
      <c r="H259" s="367">
        <v>120.4207</v>
      </c>
      <c r="I259" s="368">
        <v>1.369739</v>
      </c>
      <c r="J259" s="234" t="s">
        <v>15</v>
      </c>
      <c r="K259" s="233" t="s">
        <v>15</v>
      </c>
      <c r="L259" s="234" t="s">
        <v>15</v>
      </c>
      <c r="M259" s="233" t="s">
        <v>15</v>
      </c>
      <c r="N259" s="537">
        <v>33.775560800000001</v>
      </c>
      <c r="O259" s="536">
        <v>0.82</v>
      </c>
      <c r="P259" s="536">
        <v>41.344275199999998</v>
      </c>
      <c r="Q259" s="128">
        <f>694.95/$T$262</f>
        <v>1.3387413384909086E-2</v>
      </c>
      <c r="R259" s="2130">
        <f>SUMPRODUCT(N259:N279,Q259:Q279)</f>
        <v>0.98958329434790948</v>
      </c>
      <c r="S259" s="127" t="s">
        <v>72</v>
      </c>
      <c r="T259" s="119" t="s">
        <v>119</v>
      </c>
      <c r="U259" s="855"/>
      <c r="V259" s="2233"/>
      <c r="W259" s="983" t="s">
        <v>49</v>
      </c>
      <c r="X259" s="338" t="s">
        <v>881</v>
      </c>
      <c r="Y259" s="169">
        <f>T264+SUM(R259:R286)+N257*15.7+N258*1</f>
        <v>121.76450331693134</v>
      </c>
      <c r="Z259" s="169">
        <f>Y259-Y257</f>
        <v>-27.783040499999984</v>
      </c>
      <c r="AA259" s="576">
        <f>(42.7-15.7)*P257</f>
        <v>17.085810600000002</v>
      </c>
      <c r="AB259" s="918"/>
      <c r="AC259" s="26"/>
      <c r="AD259" s="20" t="s">
        <v>143</v>
      </c>
      <c r="AE259" s="278">
        <v>0.14534965381860296</v>
      </c>
      <c r="AF259" s="106"/>
      <c r="AG259" s="37"/>
      <c r="AH259" s="957"/>
      <c r="AI259" s="1023"/>
      <c r="AJ259" s="1023"/>
      <c r="AK259" s="1023"/>
      <c r="AL259" s="1023"/>
      <c r="AM259" s="1023"/>
      <c r="AN259" s="1023"/>
      <c r="AO259" s="957"/>
      <c r="AP259" s="957"/>
      <c r="AQ259" s="957"/>
      <c r="AR259" s="957"/>
      <c r="AS259" s="957"/>
      <c r="AT259" s="957"/>
      <c r="AU259" s="957"/>
      <c r="AV259" s="957"/>
      <c r="AW259" s="957"/>
      <c r="AX259" s="957"/>
      <c r="AY259" s="957"/>
      <c r="AZ259" s="957"/>
      <c r="BA259" s="957"/>
      <c r="BB259" s="957"/>
      <c r="BC259" s="957"/>
      <c r="BD259" s="957"/>
      <c r="BE259" s="957"/>
      <c r="BF259" s="957"/>
      <c r="BG259" s="957"/>
    </row>
    <row r="260" spans="1:113">
      <c r="A260" s="2172"/>
      <c r="B260" s="2206"/>
      <c r="C260" s="2144"/>
      <c r="D260" s="434" t="s">
        <v>757</v>
      </c>
      <c r="E260" s="452">
        <v>10</v>
      </c>
      <c r="F260" s="148" t="s">
        <v>15</v>
      </c>
      <c r="G260" s="148" t="s">
        <v>15</v>
      </c>
      <c r="H260" s="367">
        <v>118.4036</v>
      </c>
      <c r="I260" s="368">
        <v>7.8863250000000003</v>
      </c>
      <c r="J260" s="234" t="s">
        <v>15</v>
      </c>
      <c r="K260" s="233" t="s">
        <v>15</v>
      </c>
      <c r="L260" s="234" t="s">
        <v>15</v>
      </c>
      <c r="M260" s="233" t="s">
        <v>15</v>
      </c>
      <c r="N260" s="537">
        <v>-10.289578799999999</v>
      </c>
      <c r="O260" s="536">
        <v>-0.69</v>
      </c>
      <c r="P260" s="536">
        <v>14.9501554</v>
      </c>
      <c r="Q260" s="128">
        <f>20073.5/$T$262</f>
        <v>0.38669291687455576</v>
      </c>
      <c r="R260" s="2196"/>
      <c r="S260" s="452" t="s">
        <v>73</v>
      </c>
      <c r="T260" s="433"/>
      <c r="U260" s="859"/>
      <c r="V260" s="24"/>
      <c r="W260" s="26"/>
      <c r="X260" s="26"/>
      <c r="Y260" s="41"/>
      <c r="Z260" s="41"/>
      <c r="AA260" s="41"/>
      <c r="AB260" s="846"/>
      <c r="AC260" s="26"/>
      <c r="AD260" s="20" t="s">
        <v>144</v>
      </c>
      <c r="AE260" s="278">
        <v>-0.33907368534479104</v>
      </c>
      <c r="AF260" s="106"/>
      <c r="AG260" s="37"/>
      <c r="AH260" s="957"/>
      <c r="AI260" s="1023"/>
      <c r="AJ260" s="1023"/>
      <c r="AK260" s="1023"/>
      <c r="AL260" s="1023"/>
      <c r="AM260" s="1023"/>
      <c r="AN260" s="1023"/>
      <c r="AO260" s="957"/>
      <c r="AP260" s="957"/>
      <c r="AQ260" s="957"/>
      <c r="AR260" s="957"/>
      <c r="AS260" s="957"/>
      <c r="AT260" s="957"/>
      <c r="AU260" s="957"/>
      <c r="AV260" s="957"/>
      <c r="AW260" s="957"/>
      <c r="AX260" s="957"/>
      <c r="AY260" s="957"/>
      <c r="AZ260" s="957"/>
      <c r="BA260" s="957"/>
      <c r="BB260" s="957"/>
      <c r="BC260" s="957"/>
      <c r="BD260" s="957"/>
      <c r="BE260" s="957"/>
      <c r="BF260" s="957"/>
      <c r="BG260" s="957"/>
    </row>
    <row r="261" spans="1:113">
      <c r="A261" s="2172"/>
      <c r="B261" s="2206"/>
      <c r="C261" s="2144"/>
      <c r="D261" s="348" t="s">
        <v>808</v>
      </c>
      <c r="E261" s="452">
        <v>2</v>
      </c>
      <c r="F261" s="148" t="s">
        <v>15</v>
      </c>
      <c r="G261" s="148" t="s">
        <v>15</v>
      </c>
      <c r="H261" s="367">
        <v>95.459360000000004</v>
      </c>
      <c r="I261" s="368">
        <v>7.3585320000000003</v>
      </c>
      <c r="J261" s="234" t="s">
        <v>15</v>
      </c>
      <c r="K261" s="233" t="s">
        <v>15</v>
      </c>
      <c r="L261" s="234" t="s">
        <v>15</v>
      </c>
      <c r="M261" s="233" t="s">
        <v>15</v>
      </c>
      <c r="N261" s="537">
        <v>-27.89723</v>
      </c>
      <c r="O261" s="536">
        <v>-1.48</v>
      </c>
      <c r="P261" s="536">
        <v>18.868278499999999</v>
      </c>
      <c r="Q261" s="128">
        <f>993/$T$262</f>
        <v>1.9129004232268109E-2</v>
      </c>
      <c r="R261" s="2196"/>
      <c r="S261" s="127" t="s">
        <v>74</v>
      </c>
      <c r="T261" s="129" t="s">
        <v>75</v>
      </c>
      <c r="U261" s="858"/>
      <c r="V261" s="24"/>
      <c r="W261" s="26"/>
      <c r="X261" s="26"/>
      <c r="Y261" s="41"/>
      <c r="Z261" s="41"/>
      <c r="AA261" s="41"/>
      <c r="AB261" s="846"/>
      <c r="AC261" s="26"/>
      <c r="AD261" s="20" t="s">
        <v>145</v>
      </c>
      <c r="AE261" s="278">
        <v>0.11424519709478503</v>
      </c>
      <c r="AF261" s="106"/>
      <c r="AG261" s="37"/>
      <c r="AH261" s="957"/>
      <c r="AI261" s="1023"/>
      <c r="AJ261" s="1023"/>
      <c r="AK261" s="1023"/>
      <c r="AL261" s="1023"/>
      <c r="AM261" s="1023"/>
      <c r="AN261" s="1023"/>
      <c r="AO261" s="957"/>
      <c r="AP261" s="957"/>
      <c r="AQ261" s="957"/>
      <c r="AR261" s="957"/>
      <c r="AS261" s="957"/>
      <c r="AT261" s="957"/>
      <c r="AU261" s="957"/>
      <c r="AV261" s="957"/>
      <c r="AW261" s="957"/>
      <c r="AX261" s="957"/>
      <c r="AY261" s="957"/>
      <c r="AZ261" s="957"/>
      <c r="BA261" s="957"/>
      <c r="BB261" s="957"/>
      <c r="BC261" s="957"/>
      <c r="BD261" s="957"/>
      <c r="BE261" s="957"/>
      <c r="BF261" s="957"/>
      <c r="BG261" s="957"/>
    </row>
    <row r="262" spans="1:113">
      <c r="A262" s="2172"/>
      <c r="B262" s="2206"/>
      <c r="C262" s="2144"/>
      <c r="D262" s="348" t="s">
        <v>758</v>
      </c>
      <c r="E262" s="452">
        <v>5</v>
      </c>
      <c r="F262" s="148" t="s">
        <v>15</v>
      </c>
      <c r="G262" s="148" t="s">
        <v>15</v>
      </c>
      <c r="H262" s="367">
        <v>130.57679999999999</v>
      </c>
      <c r="I262" s="368">
        <v>26.244800000000001</v>
      </c>
      <c r="J262" s="234" t="s">
        <v>15</v>
      </c>
      <c r="K262" s="233" t="s">
        <v>15</v>
      </c>
      <c r="L262" s="234" t="s">
        <v>15</v>
      </c>
      <c r="M262" s="233" t="s">
        <v>15</v>
      </c>
      <c r="N262" s="537">
        <v>31.566776699999998</v>
      </c>
      <c r="O262" s="536">
        <v>0.91</v>
      </c>
      <c r="P262" s="536">
        <v>34.689621799999998</v>
      </c>
      <c r="Q262" s="128">
        <f>1038.99/$T$262</f>
        <v>2.0014948748523907E-2</v>
      </c>
      <c r="R262" s="2196"/>
      <c r="S262" s="445">
        <v>94</v>
      </c>
      <c r="T262" s="446">
        <v>51910.7</v>
      </c>
      <c r="U262" s="865"/>
      <c r="V262" s="24"/>
      <c r="W262" s="26"/>
      <c r="X262" s="26"/>
      <c r="Y262" s="41"/>
      <c r="Z262" s="41"/>
      <c r="AA262" s="41"/>
      <c r="AB262" s="846"/>
      <c r="AC262" s="26"/>
      <c r="AD262" s="22"/>
      <c r="AE262" s="27"/>
      <c r="AF262" s="106"/>
      <c r="AG262" s="37"/>
      <c r="AH262" s="957"/>
      <c r="AI262" s="1023"/>
      <c r="AJ262" s="1023"/>
      <c r="AK262" s="1023"/>
      <c r="AL262" s="1023"/>
      <c r="AM262" s="1023"/>
      <c r="AN262" s="1023"/>
      <c r="AO262" s="957"/>
      <c r="AP262" s="957"/>
      <c r="AQ262" s="957"/>
      <c r="AR262" s="957"/>
      <c r="AS262" s="957"/>
      <c r="AT262" s="957"/>
      <c r="AU262" s="957"/>
      <c r="AV262" s="957"/>
      <c r="AW262" s="957"/>
      <c r="AX262" s="957"/>
      <c r="AY262" s="957"/>
      <c r="AZ262" s="957"/>
      <c r="BA262" s="957"/>
      <c r="BB262" s="957"/>
      <c r="BC262" s="957"/>
      <c r="BD262" s="957"/>
      <c r="BE262" s="957"/>
      <c r="BF262" s="957"/>
      <c r="BG262" s="957"/>
    </row>
    <row r="263" spans="1:113">
      <c r="A263" s="2172"/>
      <c r="B263" s="2206"/>
      <c r="C263" s="2144"/>
      <c r="D263" s="348" t="s">
        <v>780</v>
      </c>
      <c r="E263" s="452">
        <v>6</v>
      </c>
      <c r="F263" s="148" t="s">
        <v>15</v>
      </c>
      <c r="G263" s="148" t="s">
        <v>15</v>
      </c>
      <c r="H263" s="367">
        <v>111.01949999999999</v>
      </c>
      <c r="I263" s="368">
        <v>7.1687919999999998</v>
      </c>
      <c r="J263" s="234" t="s">
        <v>15</v>
      </c>
      <c r="K263" s="233" t="s">
        <v>15</v>
      </c>
      <c r="L263" s="234" t="s">
        <v>15</v>
      </c>
      <c r="M263" s="233" t="s">
        <v>15</v>
      </c>
      <c r="N263" s="537">
        <v>-22.300146099999999</v>
      </c>
      <c r="O263" s="536">
        <v>-1.29</v>
      </c>
      <c r="P263" s="536">
        <v>17.3431468</v>
      </c>
      <c r="Q263" s="128">
        <f>8175.49/$T$262</f>
        <v>0.15749142277025738</v>
      </c>
      <c r="R263" s="2196"/>
      <c r="S263" s="127" t="s">
        <v>41</v>
      </c>
      <c r="T263" s="129" t="s">
        <v>42</v>
      </c>
      <c r="U263" s="858"/>
      <c r="V263" s="24"/>
      <c r="W263" s="26"/>
      <c r="X263" s="26"/>
      <c r="Y263" s="41"/>
      <c r="Z263" s="41"/>
      <c r="AA263" s="41"/>
      <c r="AB263" s="846"/>
      <c r="AC263" s="26"/>
      <c r="AD263" s="24"/>
      <c r="AE263" s="26"/>
      <c r="AF263" s="106"/>
      <c r="AG263" s="37"/>
      <c r="AH263" s="957"/>
      <c r="AI263" s="1023"/>
      <c r="AJ263" s="1023"/>
      <c r="AK263" s="1023"/>
      <c r="AL263" s="1023"/>
      <c r="AM263" s="1023"/>
      <c r="AN263" s="1023"/>
      <c r="AO263" s="957"/>
      <c r="AP263" s="957"/>
      <c r="AQ263" s="957"/>
      <c r="AR263" s="957"/>
      <c r="AS263" s="957"/>
      <c r="AT263" s="957"/>
      <c r="AU263" s="957"/>
      <c r="AV263" s="957"/>
      <c r="AW263" s="957"/>
      <c r="AX263" s="957"/>
      <c r="AY263" s="957"/>
      <c r="AZ263" s="957"/>
      <c r="BA263" s="957"/>
      <c r="BB263" s="957"/>
      <c r="BC263" s="957"/>
      <c r="BD263" s="957"/>
      <c r="BE263" s="957"/>
      <c r="BF263" s="957"/>
      <c r="BG263" s="957"/>
    </row>
    <row r="264" spans="1:113">
      <c r="A264" s="2172"/>
      <c r="B264" s="2206"/>
      <c r="C264" s="2144"/>
      <c r="D264" s="348" t="s">
        <v>759</v>
      </c>
      <c r="E264" s="452">
        <v>3</v>
      </c>
      <c r="F264" s="148" t="s">
        <v>15</v>
      </c>
      <c r="G264" s="148" t="s">
        <v>15</v>
      </c>
      <c r="H264" s="367">
        <v>144.24170000000001</v>
      </c>
      <c r="I264" s="368">
        <v>12.8759</v>
      </c>
      <c r="J264" s="234" t="s">
        <v>15</v>
      </c>
      <c r="K264" s="233" t="s">
        <v>15</v>
      </c>
      <c r="L264" s="234" t="s">
        <v>15</v>
      </c>
      <c r="M264" s="233" t="s">
        <v>15</v>
      </c>
      <c r="N264" s="537">
        <v>50.810743100000003</v>
      </c>
      <c r="O264" s="536">
        <v>1.1399999999999999</v>
      </c>
      <c r="P264" s="536">
        <v>44.566419099999997</v>
      </c>
      <c r="Q264" s="128">
        <f>28.09/$T$262</f>
        <v>5.4112157994401922E-4</v>
      </c>
      <c r="R264" s="2196"/>
      <c r="S264" s="357">
        <v>0.90363400000000005</v>
      </c>
      <c r="T264" s="420">
        <v>64.887208799999996</v>
      </c>
      <c r="U264" s="861"/>
      <c r="V264" s="24"/>
      <c r="W264" s="26"/>
      <c r="X264" s="26"/>
      <c r="Y264" s="41"/>
      <c r="Z264" s="41"/>
      <c r="AA264" s="41"/>
      <c r="AB264" s="846"/>
      <c r="AC264" s="26"/>
      <c r="AD264" s="24"/>
      <c r="AE264" s="26"/>
      <c r="AF264" s="106"/>
      <c r="AG264" s="37"/>
      <c r="AH264" s="957"/>
      <c r="AI264" s="1023"/>
      <c r="AJ264" s="1023"/>
      <c r="AK264" s="1023"/>
      <c r="AL264" s="1023"/>
      <c r="AM264" s="1023"/>
      <c r="AN264" s="1023"/>
      <c r="AO264" s="957"/>
      <c r="AP264" s="957"/>
      <c r="AQ264" s="957"/>
      <c r="AR264" s="957"/>
      <c r="AS264" s="957"/>
      <c r="AT264" s="957"/>
      <c r="AU264" s="957"/>
      <c r="AV264" s="957"/>
      <c r="AW264" s="957"/>
      <c r="AX264" s="957"/>
      <c r="AY264" s="957"/>
      <c r="AZ264" s="957"/>
      <c r="BA264" s="957"/>
      <c r="BB264" s="957"/>
      <c r="BC264" s="957"/>
      <c r="BD264" s="957"/>
      <c r="BE264" s="957"/>
      <c r="BF264" s="957"/>
      <c r="BG264" s="957"/>
    </row>
    <row r="265" spans="1:113">
      <c r="A265" s="2172"/>
      <c r="B265" s="2206"/>
      <c r="C265" s="2144"/>
      <c r="D265" s="348" t="s">
        <v>781</v>
      </c>
      <c r="E265" s="452">
        <v>3</v>
      </c>
      <c r="F265" s="148" t="s">
        <v>15</v>
      </c>
      <c r="G265" s="148" t="s">
        <v>15</v>
      </c>
      <c r="H265" s="367">
        <v>134.71799999999999</v>
      </c>
      <c r="I265" s="368">
        <v>7.6623409999999996</v>
      </c>
      <c r="J265" s="234" t="s">
        <v>15</v>
      </c>
      <c r="K265" s="233" t="s">
        <v>15</v>
      </c>
      <c r="L265" s="234" t="s">
        <v>15</v>
      </c>
      <c r="M265" s="233" t="s">
        <v>15</v>
      </c>
      <c r="N265" s="537">
        <v>44.761385199999999</v>
      </c>
      <c r="O265" s="536">
        <v>1.08</v>
      </c>
      <c r="P265" s="536">
        <v>41.402938800000001</v>
      </c>
      <c r="Q265" s="128">
        <f>1068.44/$T$262</f>
        <v>2.0582269166087148E-2</v>
      </c>
      <c r="R265" s="2196"/>
      <c r="S265" s="118" t="s">
        <v>235</v>
      </c>
      <c r="T265" s="119" t="s">
        <v>391</v>
      </c>
      <c r="U265" s="855"/>
      <c r="V265" s="24"/>
      <c r="W265" s="26"/>
      <c r="X265" s="26"/>
      <c r="Y265" s="41"/>
      <c r="Z265" s="41"/>
      <c r="AA265" s="41"/>
      <c r="AB265" s="846"/>
      <c r="AC265" s="26"/>
      <c r="AD265" s="24"/>
      <c r="AE265" s="26"/>
      <c r="AF265" s="106"/>
      <c r="AG265" s="37"/>
      <c r="AH265" s="957"/>
      <c r="AI265" s="1023"/>
      <c r="AJ265" s="1023"/>
      <c r="AK265" s="1023"/>
      <c r="AL265" s="1023"/>
      <c r="AM265" s="1023"/>
      <c r="AN265" s="1023"/>
      <c r="AO265" s="957"/>
      <c r="AP265" s="957"/>
      <c r="AQ265" s="957"/>
      <c r="AR265" s="957"/>
      <c r="AS265" s="957"/>
      <c r="AT265" s="957"/>
      <c r="AU265" s="957"/>
      <c r="AV265" s="957"/>
      <c r="AW265" s="957"/>
      <c r="AX265" s="957"/>
      <c r="AY265" s="957"/>
      <c r="AZ265" s="957"/>
      <c r="BA265" s="957"/>
      <c r="BB265" s="957"/>
      <c r="BC265" s="957"/>
      <c r="BD265" s="957"/>
      <c r="BE265" s="957"/>
      <c r="BF265" s="957"/>
      <c r="BG265" s="957"/>
    </row>
    <row r="266" spans="1:113">
      <c r="A266" s="2172"/>
      <c r="B266" s="2206"/>
      <c r="C266" s="2144"/>
      <c r="D266" s="348" t="s">
        <v>782</v>
      </c>
      <c r="E266" s="452">
        <v>3</v>
      </c>
      <c r="F266" s="148" t="s">
        <v>15</v>
      </c>
      <c r="G266" s="148" t="s">
        <v>15</v>
      </c>
      <c r="H266" s="367">
        <v>189.21</v>
      </c>
      <c r="I266" s="368">
        <v>25.868749999999999</v>
      </c>
      <c r="J266" s="234" t="s">
        <v>15</v>
      </c>
      <c r="K266" s="233" t="s">
        <v>15</v>
      </c>
      <c r="L266" s="234" t="s">
        <v>15</v>
      </c>
      <c r="M266" s="233" t="s">
        <v>15</v>
      </c>
      <c r="N266" s="537">
        <v>85.361041099999994</v>
      </c>
      <c r="O266" s="536">
        <v>1.01</v>
      </c>
      <c r="P266" s="536">
        <v>84.841526900000005</v>
      </c>
      <c r="Q266" s="128">
        <f>5/$T$262</f>
        <v>9.6319255953011617E-5</v>
      </c>
      <c r="R266" s="2196"/>
      <c r="S266" s="357">
        <v>12.106999999999999</v>
      </c>
      <c r="T266" s="151" t="s">
        <v>15</v>
      </c>
      <c r="U266" s="862"/>
      <c r="V266" s="24"/>
      <c r="W266" s="26"/>
      <c r="X266" s="26"/>
      <c r="Y266" s="41"/>
      <c r="Z266" s="41"/>
      <c r="AA266" s="41"/>
      <c r="AB266" s="846"/>
      <c r="AC266" s="26"/>
      <c r="AD266" s="24"/>
      <c r="AE266" s="26"/>
      <c r="AF266" s="106"/>
      <c r="AG266" s="37"/>
      <c r="AH266" s="957"/>
      <c r="AI266" s="1023"/>
      <c r="AJ266" s="1023"/>
      <c r="AK266" s="1023"/>
      <c r="AL266" s="1023"/>
      <c r="AM266" s="1023"/>
      <c r="AN266" s="1023"/>
      <c r="AO266" s="957"/>
      <c r="AP266" s="957"/>
      <c r="AQ266" s="957"/>
      <c r="AR266" s="957"/>
      <c r="AS266" s="957"/>
      <c r="AT266" s="957"/>
      <c r="AU266" s="957"/>
      <c r="AV266" s="957"/>
      <c r="AW266" s="957"/>
      <c r="AX266" s="957"/>
      <c r="AY266" s="957"/>
      <c r="AZ266" s="957"/>
      <c r="BA266" s="957"/>
      <c r="BB266" s="957"/>
      <c r="BC266" s="957"/>
      <c r="BD266" s="957"/>
      <c r="BE266" s="957"/>
      <c r="BF266" s="957"/>
      <c r="BG266" s="957"/>
    </row>
    <row r="267" spans="1:113">
      <c r="A267" s="2172"/>
      <c r="B267" s="2206"/>
      <c r="C267" s="2144"/>
      <c r="D267" s="348" t="s">
        <v>803</v>
      </c>
      <c r="E267" s="452">
        <v>3</v>
      </c>
      <c r="F267" s="148" t="s">
        <v>15</v>
      </c>
      <c r="G267" s="148" t="s">
        <v>15</v>
      </c>
      <c r="H267" s="367">
        <v>140.13570000000001</v>
      </c>
      <c r="I267" s="368">
        <v>6.1319429999999997</v>
      </c>
      <c r="J267" s="234" t="s">
        <v>15</v>
      </c>
      <c r="K267" s="233" t="s">
        <v>15</v>
      </c>
      <c r="L267" s="234" t="s">
        <v>15</v>
      </c>
      <c r="M267" s="233" t="s">
        <v>15</v>
      </c>
      <c r="N267" s="537">
        <v>7.7500434</v>
      </c>
      <c r="O267" s="536">
        <v>0.38</v>
      </c>
      <c r="P267" s="536">
        <v>20.490184500000002</v>
      </c>
      <c r="Q267" s="128">
        <f>1806.58/$T$262</f>
        <v>3.4801688283918344E-2</v>
      </c>
      <c r="R267" s="2196"/>
      <c r="S267" s="22"/>
      <c r="T267" s="27"/>
      <c r="V267" s="24"/>
      <c r="W267" s="26"/>
      <c r="X267" s="26"/>
      <c r="Y267" s="41"/>
      <c r="Z267" s="41"/>
      <c r="AA267" s="41"/>
      <c r="AB267" s="846"/>
      <c r="AC267" s="26"/>
      <c r="AD267" s="24"/>
      <c r="AE267" s="26"/>
      <c r="AF267" s="106"/>
      <c r="AG267" s="37"/>
      <c r="AH267" s="957"/>
      <c r="AI267" s="1023"/>
      <c r="AJ267" s="1023"/>
      <c r="AK267" s="1023"/>
      <c r="AL267" s="1023"/>
      <c r="AM267" s="1023"/>
      <c r="AN267" s="1023"/>
      <c r="AO267" s="957"/>
      <c r="AP267" s="957"/>
      <c r="AQ267" s="957"/>
      <c r="AR267" s="957"/>
      <c r="AS267" s="957"/>
      <c r="AT267" s="957"/>
      <c r="AU267" s="957"/>
      <c r="AV267" s="957"/>
      <c r="AW267" s="957"/>
      <c r="AX267" s="957"/>
      <c r="AY267" s="957"/>
      <c r="AZ267" s="957"/>
      <c r="BA267" s="957"/>
      <c r="BB267" s="957"/>
      <c r="BC267" s="957"/>
      <c r="BD267" s="957"/>
      <c r="BE267" s="957"/>
      <c r="BF267" s="957"/>
      <c r="BG267" s="957"/>
    </row>
    <row r="268" spans="1:113">
      <c r="A268" s="2172"/>
      <c r="B268" s="2206"/>
      <c r="C268" s="2144"/>
      <c r="D268" s="348" t="s">
        <v>804</v>
      </c>
      <c r="E268" s="452">
        <v>3</v>
      </c>
      <c r="F268" s="148" t="s">
        <v>15</v>
      </c>
      <c r="G268" s="148" t="s">
        <v>15</v>
      </c>
      <c r="H268" s="367">
        <v>178.63249999999999</v>
      </c>
      <c r="I268" s="368">
        <v>22.334910000000001</v>
      </c>
      <c r="J268" s="234" t="s">
        <v>15</v>
      </c>
      <c r="K268" s="233" t="s">
        <v>15</v>
      </c>
      <c r="L268" s="234" t="s">
        <v>15</v>
      </c>
      <c r="M268" s="233" t="s">
        <v>15</v>
      </c>
      <c r="N268" s="537">
        <v>29.474411100000001</v>
      </c>
      <c r="O268" s="536">
        <v>0.32</v>
      </c>
      <c r="P268" s="536">
        <v>93.091039499999994</v>
      </c>
      <c r="Q268" s="128">
        <f>4/$T$262</f>
        <v>7.7055404762409299E-5</v>
      </c>
      <c r="R268" s="2196"/>
      <c r="S268" s="24"/>
      <c r="T268" s="26"/>
      <c r="V268" s="24"/>
      <c r="W268" s="26"/>
      <c r="X268" s="26"/>
      <c r="Y268" s="41"/>
      <c r="Z268" s="41"/>
      <c r="AA268" s="41"/>
      <c r="AB268" s="846"/>
      <c r="AC268" s="26"/>
      <c r="AD268" s="24"/>
      <c r="AE268" s="26"/>
      <c r="AF268" s="106"/>
      <c r="AG268" s="37"/>
      <c r="AH268" s="957"/>
      <c r="AI268" s="1023"/>
      <c r="AJ268" s="1023"/>
      <c r="AK268" s="1023"/>
      <c r="AL268" s="1023"/>
      <c r="AM268" s="1023"/>
      <c r="AN268" s="1023"/>
      <c r="AO268" s="957"/>
      <c r="AP268" s="957"/>
      <c r="AQ268" s="957"/>
      <c r="AR268" s="957"/>
      <c r="AS268" s="957"/>
      <c r="AT268" s="957"/>
      <c r="AU268" s="957"/>
      <c r="AV268" s="957"/>
      <c r="AW268" s="957"/>
      <c r="AX268" s="957"/>
      <c r="AY268" s="957"/>
      <c r="AZ268" s="957"/>
      <c r="BA268" s="957"/>
      <c r="BB268" s="957"/>
      <c r="BC268" s="957"/>
      <c r="BD268" s="957"/>
      <c r="BE268" s="957"/>
      <c r="BF268" s="957"/>
      <c r="BG268" s="957"/>
    </row>
    <row r="269" spans="1:113">
      <c r="A269" s="2172"/>
      <c r="B269" s="2206"/>
      <c r="C269" s="2144"/>
      <c r="D269" s="348" t="s">
        <v>762</v>
      </c>
      <c r="E269" s="452">
        <v>1</v>
      </c>
      <c r="F269" s="148" t="s">
        <v>15</v>
      </c>
      <c r="G269" s="148" t="s">
        <v>15</v>
      </c>
      <c r="H269" s="367">
        <v>221.01900000000001</v>
      </c>
      <c r="I269" s="368">
        <v>0</v>
      </c>
      <c r="J269" s="234" t="s">
        <v>15</v>
      </c>
      <c r="K269" s="233" t="s">
        <v>15</v>
      </c>
      <c r="L269" s="234" t="s">
        <v>15</v>
      </c>
      <c r="M269" s="233" t="s">
        <v>15</v>
      </c>
      <c r="N269" s="537">
        <v>119.7412865</v>
      </c>
      <c r="O269" s="536">
        <v>0.67</v>
      </c>
      <c r="P269" s="536">
        <v>178.85275960000001</v>
      </c>
      <c r="Q269" s="128">
        <f>1.05/$T$262</f>
        <v>2.0227043750132441E-5</v>
      </c>
      <c r="R269" s="2196"/>
      <c r="S269" s="24"/>
      <c r="T269" s="26"/>
      <c r="V269" s="24"/>
      <c r="W269" s="26"/>
      <c r="X269" s="26"/>
      <c r="Y269" s="41"/>
      <c r="Z269" s="41"/>
      <c r="AA269" s="41"/>
      <c r="AB269" s="846"/>
      <c r="AC269" s="26"/>
      <c r="AD269" s="24"/>
      <c r="AE269" s="26"/>
      <c r="AF269" s="106"/>
      <c r="AG269" s="37"/>
      <c r="AH269" s="957"/>
      <c r="AI269" s="1023"/>
      <c r="AJ269" s="1023"/>
      <c r="AK269" s="1023"/>
      <c r="AL269" s="1023"/>
      <c r="AM269" s="1023"/>
      <c r="AN269" s="1023"/>
      <c r="AO269" s="957"/>
      <c r="AP269" s="957"/>
      <c r="AQ269" s="957"/>
      <c r="AR269" s="957"/>
      <c r="AS269" s="957"/>
      <c r="AT269" s="957"/>
      <c r="AU269" s="957"/>
      <c r="AV269" s="957"/>
      <c r="AW269" s="957"/>
      <c r="AX269" s="957"/>
      <c r="AY269" s="957"/>
      <c r="AZ269" s="957"/>
      <c r="BA269" s="957"/>
      <c r="BB269" s="957"/>
      <c r="BC269" s="957"/>
      <c r="BD269" s="957"/>
      <c r="BE269" s="957"/>
      <c r="BF269" s="957"/>
      <c r="BG269" s="957"/>
    </row>
    <row r="270" spans="1:113">
      <c r="A270" s="2172"/>
      <c r="B270" s="2206"/>
      <c r="C270" s="2144"/>
      <c r="D270" s="348" t="s">
        <v>763</v>
      </c>
      <c r="E270" s="452">
        <v>3</v>
      </c>
      <c r="F270" s="148" t="s">
        <v>15</v>
      </c>
      <c r="G270" s="148" t="s">
        <v>15</v>
      </c>
      <c r="H270" s="367">
        <v>146.672</v>
      </c>
      <c r="I270" s="368">
        <v>13.04097</v>
      </c>
      <c r="J270" s="234" t="s">
        <v>15</v>
      </c>
      <c r="K270" s="233" t="s">
        <v>15</v>
      </c>
      <c r="L270" s="234" t="s">
        <v>15</v>
      </c>
      <c r="M270" s="233" t="s">
        <v>15</v>
      </c>
      <c r="N270" s="537">
        <v>8.4607641999999998</v>
      </c>
      <c r="O270" s="536">
        <v>0.3</v>
      </c>
      <c r="P270" s="536">
        <v>28.030194000000002</v>
      </c>
      <c r="Q270" s="128">
        <f>2028.97/$T$262</f>
        <v>3.90857761501964E-2</v>
      </c>
      <c r="R270" s="2196"/>
      <c r="S270" s="24"/>
      <c r="T270" s="26"/>
      <c r="V270" s="24"/>
      <c r="W270" s="26"/>
      <c r="X270" s="26"/>
      <c r="Y270" s="41"/>
      <c r="Z270" s="41"/>
      <c r="AA270" s="41"/>
      <c r="AB270" s="846"/>
      <c r="AC270" s="26"/>
      <c r="AD270" s="24"/>
      <c r="AE270" s="26"/>
      <c r="AF270" s="106"/>
      <c r="AG270" s="37"/>
      <c r="AH270" s="957"/>
      <c r="AI270" s="1023"/>
      <c r="AJ270" s="1023"/>
      <c r="AK270" s="1023"/>
      <c r="AL270" s="1023"/>
      <c r="AM270" s="1023"/>
      <c r="AN270" s="1023"/>
      <c r="AO270" s="957"/>
      <c r="AP270" s="957"/>
      <c r="AQ270" s="957"/>
      <c r="AR270" s="957"/>
      <c r="AS270" s="957"/>
      <c r="AT270" s="957"/>
      <c r="AU270" s="957"/>
      <c r="AV270" s="957"/>
      <c r="AW270" s="957"/>
      <c r="AX270" s="957"/>
      <c r="AY270" s="957"/>
      <c r="AZ270" s="957"/>
      <c r="BA270" s="957"/>
      <c r="BB270" s="957"/>
      <c r="BC270" s="957"/>
      <c r="BD270" s="957"/>
      <c r="BE270" s="957"/>
      <c r="BF270" s="957"/>
      <c r="BG270" s="957"/>
    </row>
    <row r="271" spans="1:113">
      <c r="A271" s="2172"/>
      <c r="B271" s="2206"/>
      <c r="C271" s="2144"/>
      <c r="D271" s="348" t="s">
        <v>688</v>
      </c>
      <c r="E271" s="452">
        <v>4</v>
      </c>
      <c r="F271" s="148" t="s">
        <v>15</v>
      </c>
      <c r="G271" s="148" t="s">
        <v>15</v>
      </c>
      <c r="H271" s="367">
        <v>191.21960000000001</v>
      </c>
      <c r="I271" s="368">
        <v>25.478909999999999</v>
      </c>
      <c r="J271" s="234" t="s">
        <v>15</v>
      </c>
      <c r="K271" s="233" t="s">
        <v>15</v>
      </c>
      <c r="L271" s="234" t="s">
        <v>15</v>
      </c>
      <c r="M271" s="233" t="s">
        <v>15</v>
      </c>
      <c r="N271" s="537">
        <v>52.491371600000001</v>
      </c>
      <c r="O271" s="536">
        <v>1.79</v>
      </c>
      <c r="P271" s="536">
        <v>29.243971200000001</v>
      </c>
      <c r="Q271" s="128">
        <f>526.41/$T$262</f>
        <v>1.0140683905244969E-2</v>
      </c>
      <c r="R271" s="2196"/>
      <c r="S271" s="24"/>
      <c r="T271" s="26"/>
      <c r="V271" s="24"/>
      <c r="W271" s="26"/>
      <c r="X271" s="26"/>
      <c r="Y271" s="41"/>
      <c r="Z271" s="41"/>
      <c r="AA271" s="41"/>
      <c r="AB271" s="846"/>
      <c r="AC271" s="26"/>
      <c r="AD271" s="24"/>
      <c r="AE271" s="26"/>
      <c r="AF271" s="106"/>
      <c r="AG271" s="37"/>
      <c r="AH271" s="957"/>
      <c r="AI271" s="1023"/>
      <c r="AJ271" s="1023"/>
      <c r="AK271" s="1023"/>
      <c r="AL271" s="1023"/>
      <c r="AM271" s="1023"/>
      <c r="AN271" s="1023"/>
      <c r="AO271" s="957"/>
      <c r="AP271" s="957"/>
      <c r="AQ271" s="957"/>
      <c r="AR271" s="957"/>
      <c r="AS271" s="957"/>
      <c r="AT271" s="957"/>
      <c r="AU271" s="957"/>
      <c r="AV271" s="957"/>
      <c r="AW271" s="957"/>
      <c r="AX271" s="957"/>
      <c r="AY271" s="957"/>
      <c r="AZ271" s="957"/>
      <c r="BA271" s="957"/>
      <c r="BB271" s="957"/>
      <c r="BC271" s="957"/>
      <c r="BD271" s="957"/>
      <c r="BE271" s="957"/>
      <c r="BF271" s="957"/>
      <c r="BG271" s="957"/>
    </row>
    <row r="272" spans="1:113">
      <c r="A272" s="2172"/>
      <c r="B272" s="2206"/>
      <c r="C272" s="2144"/>
      <c r="D272" s="348" t="s">
        <v>783</v>
      </c>
      <c r="E272" s="452">
        <v>11</v>
      </c>
      <c r="F272" s="148" t="s">
        <v>15</v>
      </c>
      <c r="G272" s="148" t="s">
        <v>15</v>
      </c>
      <c r="H272" s="367">
        <v>166.1985</v>
      </c>
      <c r="I272" s="368">
        <v>14.438029999999999</v>
      </c>
      <c r="J272" s="234" t="s">
        <v>15</v>
      </c>
      <c r="K272" s="233" t="s">
        <v>15</v>
      </c>
      <c r="L272" s="234" t="s">
        <v>15</v>
      </c>
      <c r="M272" s="233" t="s">
        <v>15</v>
      </c>
      <c r="N272" s="537">
        <v>62.317176099999998</v>
      </c>
      <c r="O272" s="536">
        <v>1.48</v>
      </c>
      <c r="P272" s="536">
        <v>42.137598199999999</v>
      </c>
      <c r="Q272" s="128">
        <f>240.51/$T$262</f>
        <v>4.6331488498517646E-3</v>
      </c>
      <c r="R272" s="2196"/>
      <c r="S272" s="24"/>
      <c r="T272" s="26"/>
      <c r="V272" s="24"/>
      <c r="W272" s="26"/>
      <c r="X272" s="26"/>
      <c r="Y272" s="41"/>
      <c r="Z272" s="41"/>
      <c r="AA272" s="41"/>
      <c r="AB272" s="846"/>
      <c r="AC272" s="26"/>
      <c r="AD272" s="24"/>
      <c r="AE272" s="26"/>
      <c r="AF272" s="106"/>
      <c r="AG272" s="37"/>
      <c r="AH272" s="957"/>
      <c r="AI272" s="1023"/>
      <c r="AJ272" s="1023"/>
      <c r="AK272" s="1023"/>
      <c r="AL272" s="1023"/>
      <c r="AM272" s="1023"/>
      <c r="AN272" s="1023"/>
      <c r="AO272" s="957"/>
      <c r="AP272" s="957"/>
      <c r="AQ272" s="957"/>
      <c r="AR272" s="957"/>
      <c r="AS272" s="957"/>
      <c r="AT272" s="957"/>
      <c r="AU272" s="957"/>
      <c r="AV272" s="957"/>
      <c r="AW272" s="957"/>
      <c r="AX272" s="957"/>
      <c r="AY272" s="957"/>
      <c r="AZ272" s="957"/>
      <c r="BA272" s="957"/>
      <c r="BB272" s="957"/>
      <c r="BC272" s="957"/>
      <c r="BD272" s="957"/>
      <c r="BE272" s="957"/>
      <c r="BF272" s="957"/>
      <c r="BG272" s="957"/>
    </row>
    <row r="273" spans="1:113">
      <c r="A273" s="2172"/>
      <c r="B273" s="2206"/>
      <c r="C273" s="2144"/>
      <c r="D273" s="348" t="s">
        <v>784</v>
      </c>
      <c r="E273" s="452">
        <v>1</v>
      </c>
      <c r="F273" s="148" t="s">
        <v>15</v>
      </c>
      <c r="G273" s="148" t="s">
        <v>15</v>
      </c>
      <c r="H273" s="367">
        <v>135.59049999999999</v>
      </c>
      <c r="I273" s="368">
        <v>0</v>
      </c>
      <c r="J273" s="234" t="s">
        <v>15</v>
      </c>
      <c r="K273" s="233" t="s">
        <v>15</v>
      </c>
      <c r="L273" s="234" t="s">
        <v>15</v>
      </c>
      <c r="M273" s="233" t="s">
        <v>15</v>
      </c>
      <c r="N273" s="537">
        <v>-11.5374643</v>
      </c>
      <c r="O273" s="536">
        <v>-7.0000000000000007E-2</v>
      </c>
      <c r="P273" s="536">
        <v>175.93862129999999</v>
      </c>
      <c r="Q273" s="128">
        <f>1.05/$T$262</f>
        <v>2.0227043750132441E-5</v>
      </c>
      <c r="R273" s="2196"/>
      <c r="S273" s="24"/>
      <c r="T273" s="26"/>
      <c r="V273" s="24"/>
      <c r="W273" s="26"/>
      <c r="X273" s="26"/>
      <c r="Y273" s="41"/>
      <c r="Z273" s="41"/>
      <c r="AA273" s="41"/>
      <c r="AB273" s="846"/>
      <c r="AC273" s="26"/>
      <c r="AD273" s="24"/>
      <c r="AE273" s="26"/>
      <c r="AF273" s="106"/>
      <c r="AG273" s="37"/>
      <c r="AH273" s="957"/>
      <c r="AI273" s="1023"/>
      <c r="AJ273" s="1023"/>
      <c r="AK273" s="1023"/>
      <c r="AL273" s="1023"/>
      <c r="AM273" s="1023"/>
      <c r="AN273" s="1023"/>
      <c r="AO273" s="957"/>
      <c r="AP273" s="957"/>
      <c r="AQ273" s="957"/>
      <c r="AR273" s="957"/>
      <c r="AS273" s="957"/>
      <c r="AT273" s="957"/>
      <c r="AU273" s="957"/>
      <c r="AV273" s="957"/>
      <c r="AW273" s="957"/>
      <c r="AX273" s="957"/>
      <c r="AY273" s="957"/>
      <c r="AZ273" s="957"/>
      <c r="BA273" s="957"/>
      <c r="BB273" s="957"/>
      <c r="BC273" s="957"/>
      <c r="BD273" s="957"/>
      <c r="BE273" s="957"/>
      <c r="BF273" s="957"/>
      <c r="BG273" s="957"/>
    </row>
    <row r="274" spans="1:113">
      <c r="A274" s="2172"/>
      <c r="B274" s="2206"/>
      <c r="C274" s="2144"/>
      <c r="D274" s="348" t="s">
        <v>805</v>
      </c>
      <c r="E274" s="452">
        <v>5</v>
      </c>
      <c r="F274" s="148" t="s">
        <v>15</v>
      </c>
      <c r="G274" s="148" t="s">
        <v>15</v>
      </c>
      <c r="H274" s="367">
        <v>146.8432</v>
      </c>
      <c r="I274" s="368">
        <v>28.996700000000001</v>
      </c>
      <c r="J274" s="234" t="s">
        <v>15</v>
      </c>
      <c r="K274" s="233" t="s">
        <v>15</v>
      </c>
      <c r="L274" s="234" t="s">
        <v>15</v>
      </c>
      <c r="M274" s="233" t="s">
        <v>15</v>
      </c>
      <c r="N274" s="537">
        <v>46.624846099999999</v>
      </c>
      <c r="O274" s="536">
        <v>0.87</v>
      </c>
      <c r="P274" s="536">
        <v>53.901145900000003</v>
      </c>
      <c r="Q274" s="128">
        <f>31/$T$262</f>
        <v>5.9717938690867208E-4</v>
      </c>
      <c r="R274" s="2196"/>
      <c r="S274" s="24"/>
      <c r="T274" s="26"/>
      <c r="V274" s="24"/>
      <c r="W274" s="26"/>
      <c r="X274" s="26"/>
      <c r="Y274" s="41"/>
      <c r="Z274" s="41"/>
      <c r="AA274" s="41"/>
      <c r="AB274" s="846"/>
      <c r="AC274" s="26"/>
      <c r="AD274" s="24"/>
      <c r="AE274" s="26"/>
      <c r="AF274" s="106"/>
      <c r="AG274" s="37"/>
      <c r="AH274" s="957"/>
      <c r="AI274" s="1023"/>
      <c r="AJ274" s="1023"/>
      <c r="AK274" s="1023"/>
      <c r="AL274" s="1023"/>
      <c r="AM274" s="1023"/>
      <c r="AN274" s="1023"/>
      <c r="AO274" s="957"/>
      <c r="AP274" s="957"/>
      <c r="AQ274" s="957"/>
      <c r="AR274" s="957"/>
      <c r="AS274" s="957"/>
      <c r="AT274" s="957"/>
      <c r="AU274" s="957"/>
      <c r="AV274" s="957"/>
      <c r="AW274" s="957"/>
      <c r="AX274" s="957"/>
      <c r="AY274" s="957"/>
      <c r="AZ274" s="957"/>
      <c r="BA274" s="957"/>
      <c r="BB274" s="957"/>
      <c r="BC274" s="957"/>
      <c r="BD274" s="957"/>
      <c r="BE274" s="957"/>
      <c r="BF274" s="957"/>
      <c r="BG274" s="957"/>
    </row>
    <row r="275" spans="1:113">
      <c r="A275" s="2172"/>
      <c r="B275" s="2206"/>
      <c r="C275" s="2144"/>
      <c r="D275" s="348" t="s">
        <v>766</v>
      </c>
      <c r="E275" s="452">
        <v>6</v>
      </c>
      <c r="F275" s="148" t="s">
        <v>15</v>
      </c>
      <c r="G275" s="148" t="s">
        <v>15</v>
      </c>
      <c r="H275" s="367">
        <v>159.65690000000001</v>
      </c>
      <c r="I275" s="368">
        <v>21.356629999999999</v>
      </c>
      <c r="J275" s="234" t="s">
        <v>15</v>
      </c>
      <c r="K275" s="233" t="s">
        <v>15</v>
      </c>
      <c r="L275" s="234" t="s">
        <v>15</v>
      </c>
      <c r="M275" s="233" t="s">
        <v>15</v>
      </c>
      <c r="N275" s="537">
        <v>27.725644200000001</v>
      </c>
      <c r="O275" s="536">
        <v>1.1100000000000001</v>
      </c>
      <c r="P275" s="536">
        <v>24.883516799999999</v>
      </c>
      <c r="Q275" s="128">
        <f>2827.61/$T$262</f>
        <v>5.4470658265059042E-2</v>
      </c>
      <c r="R275" s="2196"/>
      <c r="S275" s="24"/>
      <c r="T275" s="26"/>
      <c r="V275" s="24"/>
      <c r="W275" s="26"/>
      <c r="X275" s="26"/>
      <c r="Y275" s="41"/>
      <c r="Z275" s="41"/>
      <c r="AA275" s="41"/>
      <c r="AB275" s="846"/>
      <c r="AC275" s="26"/>
      <c r="AD275" s="24"/>
      <c r="AE275" s="26"/>
      <c r="AF275" s="106"/>
      <c r="AG275" s="37"/>
      <c r="AH275" s="957"/>
      <c r="AI275" s="1023"/>
      <c r="AJ275" s="1023"/>
      <c r="AK275" s="1023"/>
      <c r="AL275" s="1023"/>
      <c r="AM275" s="1023"/>
      <c r="AN275" s="1023"/>
      <c r="AO275" s="957"/>
      <c r="AP275" s="957"/>
      <c r="AQ275" s="957"/>
      <c r="AR275" s="957"/>
      <c r="AS275" s="957"/>
      <c r="AT275" s="957"/>
      <c r="AU275" s="957"/>
      <c r="AV275" s="957"/>
      <c r="AW275" s="957"/>
      <c r="AX275" s="957"/>
      <c r="AY275" s="957"/>
      <c r="AZ275" s="957"/>
      <c r="BA275" s="957"/>
      <c r="BB275" s="957"/>
      <c r="BC275" s="957"/>
      <c r="BD275" s="957"/>
      <c r="BE275" s="957"/>
      <c r="BF275" s="957"/>
      <c r="BG275" s="957"/>
    </row>
    <row r="276" spans="1:113">
      <c r="A276" s="2172"/>
      <c r="B276" s="2206"/>
      <c r="C276" s="2144"/>
      <c r="D276" s="348" t="s">
        <v>806</v>
      </c>
      <c r="E276" s="452">
        <v>4</v>
      </c>
      <c r="F276" s="148" t="s">
        <v>15</v>
      </c>
      <c r="G276" s="148" t="s">
        <v>15</v>
      </c>
      <c r="H276" s="367">
        <v>145.8306</v>
      </c>
      <c r="I276" s="368">
        <v>11.186019999999999</v>
      </c>
      <c r="J276" s="234" t="s">
        <v>15</v>
      </c>
      <c r="K276" s="233" t="s">
        <v>15</v>
      </c>
      <c r="L276" s="234" t="s">
        <v>15</v>
      </c>
      <c r="M276" s="233" t="s">
        <v>15</v>
      </c>
      <c r="N276" s="537">
        <v>-20.815914899999999</v>
      </c>
      <c r="O276" s="536">
        <v>-1.17</v>
      </c>
      <c r="P276" s="536">
        <v>17.718254399999999</v>
      </c>
      <c r="Q276" s="128">
        <f>172.72/$T$262</f>
        <v>3.3272523776408333E-3</v>
      </c>
      <c r="R276" s="2196"/>
      <c r="S276" s="24"/>
      <c r="T276" s="26"/>
      <c r="V276" s="24"/>
      <c r="W276" s="26"/>
      <c r="X276" s="26"/>
      <c r="Y276" s="41"/>
      <c r="Z276" s="41"/>
      <c r="AA276" s="41"/>
      <c r="AB276" s="846"/>
      <c r="AC276" s="26"/>
      <c r="AD276" s="24"/>
      <c r="AE276" s="26"/>
      <c r="AF276" s="106"/>
      <c r="AG276" s="37"/>
      <c r="AH276" s="957"/>
      <c r="AI276" s="1023"/>
      <c r="AJ276" s="1023"/>
      <c r="AK276" s="1023"/>
      <c r="AL276" s="1023"/>
      <c r="AM276" s="1023"/>
      <c r="AN276" s="1023"/>
      <c r="AO276" s="957"/>
      <c r="AP276" s="957"/>
      <c r="AQ276" s="957"/>
      <c r="AR276" s="957"/>
      <c r="AS276" s="957"/>
      <c r="AT276" s="957"/>
      <c r="AU276" s="957"/>
      <c r="AV276" s="957"/>
      <c r="AW276" s="957"/>
      <c r="AX276" s="957"/>
      <c r="AY276" s="957"/>
      <c r="AZ276" s="957"/>
      <c r="BA276" s="957"/>
      <c r="BB276" s="957"/>
      <c r="BC276" s="957"/>
      <c r="BD276" s="957"/>
      <c r="BE276" s="957"/>
      <c r="BF276" s="957"/>
      <c r="BG276" s="957"/>
    </row>
    <row r="277" spans="1:113">
      <c r="A277" s="2172"/>
      <c r="B277" s="2206"/>
      <c r="C277" s="2144"/>
      <c r="D277" s="348" t="s">
        <v>767</v>
      </c>
      <c r="E277" s="452">
        <v>11</v>
      </c>
      <c r="F277" s="148" t="s">
        <v>15</v>
      </c>
      <c r="G277" s="148" t="s">
        <v>15</v>
      </c>
      <c r="H277" s="367">
        <v>147.5693</v>
      </c>
      <c r="I277" s="368">
        <v>10.03243</v>
      </c>
      <c r="J277" s="234" t="s">
        <v>15</v>
      </c>
      <c r="K277" s="233" t="s">
        <v>15</v>
      </c>
      <c r="L277" s="234" t="s">
        <v>15</v>
      </c>
      <c r="M277" s="233" t="s">
        <v>15</v>
      </c>
      <c r="N277" s="537">
        <v>16.548130400000002</v>
      </c>
      <c r="O277" s="536">
        <v>1.03</v>
      </c>
      <c r="P277" s="536">
        <v>16.070495900000001</v>
      </c>
      <c r="Q277" s="128">
        <f>9463.02/$T$262</f>
        <v>0.18229420909369362</v>
      </c>
      <c r="R277" s="2196"/>
      <c r="S277" s="24"/>
      <c r="T277" s="26"/>
      <c r="V277" s="24"/>
      <c r="W277" s="26"/>
      <c r="X277" s="26"/>
      <c r="Y277" s="41"/>
      <c r="Z277" s="41"/>
      <c r="AA277" s="41"/>
      <c r="AB277" s="846"/>
      <c r="AC277" s="26"/>
      <c r="AD277" s="24"/>
      <c r="AE277" s="26"/>
      <c r="AF277" s="106"/>
      <c r="AG277" s="37"/>
      <c r="AH277" s="957"/>
      <c r="AI277" s="1023"/>
      <c r="AJ277" s="1023"/>
      <c r="AK277" s="1023"/>
      <c r="AL277" s="1023"/>
      <c r="AM277" s="1023"/>
      <c r="AN277" s="1023"/>
      <c r="AO277" s="957"/>
      <c r="AP277" s="957"/>
      <c r="AQ277" s="957"/>
      <c r="AR277" s="957"/>
      <c r="AS277" s="957"/>
      <c r="AT277" s="957"/>
      <c r="AU277" s="957"/>
      <c r="AV277" s="957"/>
      <c r="AW277" s="957"/>
      <c r="AX277" s="957"/>
      <c r="AY277" s="957"/>
      <c r="AZ277" s="957"/>
      <c r="BA277" s="957"/>
      <c r="BB277" s="957"/>
      <c r="BC277" s="957"/>
      <c r="BD277" s="957"/>
      <c r="BE277" s="957"/>
      <c r="BF277" s="957"/>
      <c r="BG277" s="957"/>
    </row>
    <row r="278" spans="1:113">
      <c r="A278" s="2172"/>
      <c r="B278" s="2206"/>
      <c r="C278" s="2144"/>
      <c r="D278" s="348" t="s">
        <v>768</v>
      </c>
      <c r="E278" s="452">
        <v>2</v>
      </c>
      <c r="F278" s="148" t="s">
        <v>15</v>
      </c>
      <c r="G278" s="148" t="s">
        <v>15</v>
      </c>
      <c r="H278" s="367">
        <v>110.6006</v>
      </c>
      <c r="I278" s="368">
        <v>11.050800000000001</v>
      </c>
      <c r="J278" s="234" t="s">
        <v>15</v>
      </c>
      <c r="K278" s="233" t="s">
        <v>15</v>
      </c>
      <c r="L278" s="234" t="s">
        <v>15</v>
      </c>
      <c r="M278" s="233" t="s">
        <v>15</v>
      </c>
      <c r="N278" s="537">
        <v>22.300450999999999</v>
      </c>
      <c r="O278" s="536">
        <v>0.56999999999999995</v>
      </c>
      <c r="P278" s="536">
        <v>39.070047799999998</v>
      </c>
      <c r="Q278" s="128">
        <f>2471.87/$T$262</f>
        <v>4.7617735842514164E-2</v>
      </c>
      <c r="R278" s="2196"/>
      <c r="S278" s="24"/>
      <c r="T278" s="26"/>
      <c r="V278" s="24"/>
      <c r="W278" s="26"/>
      <c r="X278" s="26"/>
      <c r="Y278" s="41"/>
      <c r="Z278" s="41"/>
      <c r="AA278" s="41"/>
      <c r="AB278" s="846"/>
      <c r="AC278" s="26"/>
      <c r="AD278" s="24"/>
      <c r="AE278" s="26"/>
      <c r="AF278" s="106"/>
      <c r="AG278" s="37"/>
      <c r="AH278" s="957"/>
      <c r="AI278" s="1023"/>
      <c r="AJ278" s="1023"/>
      <c r="AK278" s="1023"/>
      <c r="AL278" s="1023"/>
      <c r="AM278" s="1023"/>
      <c r="AN278" s="1023"/>
      <c r="AO278" s="957"/>
      <c r="AP278" s="957"/>
      <c r="AQ278" s="957"/>
      <c r="AR278" s="957"/>
      <c r="AS278" s="957"/>
      <c r="AT278" s="957"/>
      <c r="AU278" s="957"/>
      <c r="AV278" s="957"/>
      <c r="AW278" s="957"/>
      <c r="AX278" s="957"/>
      <c r="AY278" s="957"/>
      <c r="AZ278" s="957"/>
      <c r="BA278" s="957"/>
      <c r="BB278" s="957"/>
      <c r="BC278" s="957"/>
      <c r="BD278" s="957"/>
      <c r="BE278" s="957"/>
      <c r="BF278" s="957"/>
      <c r="BG278" s="957"/>
    </row>
    <row r="279" spans="1:113">
      <c r="A279" s="2172"/>
      <c r="B279" s="2206"/>
      <c r="C279" s="2144"/>
      <c r="D279" s="348" t="s">
        <v>795</v>
      </c>
      <c r="E279" s="452">
        <v>6</v>
      </c>
      <c r="F279" s="148" t="s">
        <v>15</v>
      </c>
      <c r="G279" s="148" t="s">
        <v>15</v>
      </c>
      <c r="H279" s="367">
        <v>156.2002</v>
      </c>
      <c r="I279" s="368">
        <v>8.4923040000000007</v>
      </c>
      <c r="J279" s="234" t="s">
        <v>15</v>
      </c>
      <c r="K279" s="233" t="s">
        <v>15</v>
      </c>
      <c r="L279" s="234" t="s">
        <v>15</v>
      </c>
      <c r="M279" s="233" t="s">
        <v>15</v>
      </c>
      <c r="N279" s="537">
        <v>0</v>
      </c>
      <c r="O279" s="536" t="s">
        <v>574</v>
      </c>
      <c r="P279" s="536" t="s">
        <v>574</v>
      </c>
      <c r="Q279" s="128">
        <f>258.45/$T$262</f>
        <v>4.9787423402111704E-3</v>
      </c>
      <c r="R279" s="2155"/>
      <c r="S279" s="24"/>
      <c r="T279" s="26"/>
      <c r="V279" s="24"/>
      <c r="W279" s="26"/>
      <c r="X279" s="26"/>
      <c r="Y279" s="41"/>
      <c r="Z279" s="41"/>
      <c r="AA279" s="41"/>
      <c r="AB279" s="846"/>
      <c r="AC279" s="26"/>
      <c r="AD279" s="24"/>
      <c r="AE279" s="26"/>
      <c r="AF279" s="106"/>
      <c r="AG279" s="37"/>
      <c r="AH279" s="957"/>
      <c r="AI279" s="1023"/>
      <c r="AJ279" s="1023"/>
      <c r="AK279" s="1023"/>
      <c r="AL279" s="1023"/>
      <c r="AM279" s="1023"/>
      <c r="AN279" s="1023"/>
      <c r="AO279" s="957"/>
      <c r="AP279" s="957"/>
      <c r="AQ279" s="957"/>
      <c r="AR279" s="957"/>
      <c r="AS279" s="957"/>
      <c r="AT279" s="957"/>
      <c r="AU279" s="957"/>
      <c r="AV279" s="957"/>
      <c r="AW279" s="957"/>
      <c r="AX279" s="957"/>
      <c r="AY279" s="957"/>
      <c r="AZ279" s="957"/>
      <c r="BA279" s="957"/>
      <c r="BB279" s="957"/>
      <c r="BC279" s="957"/>
      <c r="BD279" s="957"/>
      <c r="BE279" s="957"/>
      <c r="BF279" s="957"/>
      <c r="BG279" s="957"/>
    </row>
    <row r="280" spans="1:113">
      <c r="A280" s="2172"/>
      <c r="B280" s="2207" t="s">
        <v>799</v>
      </c>
      <c r="C280" s="2205" t="s">
        <v>11</v>
      </c>
      <c r="D280" s="338" t="s">
        <v>33</v>
      </c>
      <c r="E280" s="452">
        <v>18</v>
      </c>
      <c r="F280" s="148" t="s">
        <v>15</v>
      </c>
      <c r="G280" s="148" t="s">
        <v>15</v>
      </c>
      <c r="H280" s="367">
        <v>188.89169999999999</v>
      </c>
      <c r="I280" s="368">
        <v>26.054580000000001</v>
      </c>
      <c r="J280" s="234" t="s">
        <v>15</v>
      </c>
      <c r="K280" s="233" t="s">
        <v>15</v>
      </c>
      <c r="L280" s="234" t="s">
        <v>15</v>
      </c>
      <c r="M280" s="233" t="s">
        <v>15</v>
      </c>
      <c r="N280" s="537">
        <v>40.708753199999997</v>
      </c>
      <c r="O280" s="536">
        <v>3.79</v>
      </c>
      <c r="P280" s="536">
        <v>10.7325021</v>
      </c>
      <c r="Q280" s="128">
        <f>742.5/$T$262</f>
        <v>1.4303409509022225E-2</v>
      </c>
      <c r="R280" s="2130">
        <f>SUMPRODUCT(N280:N281,Q280:Q281)</f>
        <v>0.58227396762131889</v>
      </c>
      <c r="S280" s="24"/>
      <c r="T280" s="26"/>
      <c r="V280" s="24"/>
      <c r="W280" s="26"/>
      <c r="X280" s="26"/>
      <c r="Y280" s="41"/>
      <c r="Z280" s="41"/>
      <c r="AA280" s="41"/>
      <c r="AB280" s="846"/>
      <c r="AC280" s="26"/>
      <c r="AD280" s="24"/>
      <c r="AE280" s="26"/>
      <c r="AF280" s="106"/>
      <c r="AG280" s="37"/>
      <c r="AH280" s="957"/>
      <c r="AI280" s="1023"/>
      <c r="AJ280" s="1023"/>
      <c r="AK280" s="1023"/>
      <c r="AL280" s="1023"/>
      <c r="AM280" s="1023"/>
      <c r="AN280" s="1023"/>
      <c r="AO280" s="957"/>
      <c r="AP280" s="957"/>
      <c r="AQ280" s="957"/>
      <c r="AR280" s="957"/>
      <c r="AS280" s="957"/>
      <c r="AT280" s="957"/>
      <c r="AU280" s="957"/>
      <c r="AV280" s="957"/>
      <c r="AW280" s="957"/>
      <c r="AX280" s="957"/>
      <c r="AY280" s="957"/>
      <c r="AZ280" s="957"/>
      <c r="BA280" s="957"/>
      <c r="BB280" s="957"/>
      <c r="BC280" s="957"/>
      <c r="BD280" s="957"/>
      <c r="BE280" s="957"/>
      <c r="BF280" s="957"/>
      <c r="BG280" s="957"/>
    </row>
    <row r="281" spans="1:113">
      <c r="A281" s="2172"/>
      <c r="B281" s="2209"/>
      <c r="C281" s="2205"/>
      <c r="D281" s="338" t="s">
        <v>32</v>
      </c>
      <c r="E281" s="452">
        <v>76</v>
      </c>
      <c r="F281" s="148" t="s">
        <v>15</v>
      </c>
      <c r="G281" s="148" t="s">
        <v>15</v>
      </c>
      <c r="H281" s="367">
        <v>126.85850000000001</v>
      </c>
      <c r="I281" s="368">
        <v>19.222650000000002</v>
      </c>
      <c r="J281" s="234" t="s">
        <v>15</v>
      </c>
      <c r="K281" s="233" t="s">
        <v>15</v>
      </c>
      <c r="L281" s="234" t="s">
        <v>15</v>
      </c>
      <c r="M281" s="233" t="s">
        <v>15</v>
      </c>
      <c r="N281" s="537">
        <v>0</v>
      </c>
      <c r="O281" s="536" t="s">
        <v>574</v>
      </c>
      <c r="P281" s="536" t="s">
        <v>574</v>
      </c>
      <c r="Q281" s="128">
        <f>51168.2/$T$262</f>
        <v>0.9856965904909778</v>
      </c>
      <c r="R281" s="2155"/>
      <c r="S281" s="24"/>
      <c r="T281" s="26"/>
      <c r="V281" s="24"/>
      <c r="W281" s="26"/>
      <c r="X281" s="26"/>
      <c r="Y281" s="41"/>
      <c r="Z281" s="41"/>
      <c r="AA281" s="41"/>
      <c r="AB281" s="846"/>
      <c r="AC281" s="26"/>
      <c r="AD281" s="24"/>
      <c r="AE281" s="26"/>
      <c r="AF281" s="106"/>
      <c r="AG281" s="37"/>
      <c r="AH281" s="957"/>
      <c r="AI281" s="1023"/>
      <c r="AJ281" s="1023"/>
      <c r="AK281" s="1023"/>
      <c r="AL281" s="1023"/>
      <c r="AM281" s="1023"/>
      <c r="AN281" s="1023"/>
      <c r="AO281" s="957"/>
      <c r="AP281" s="957"/>
      <c r="AQ281" s="957"/>
      <c r="AR281" s="957"/>
      <c r="AS281" s="957"/>
      <c r="AT281" s="957"/>
      <c r="AU281" s="957"/>
      <c r="AV281" s="957"/>
      <c r="AW281" s="957"/>
      <c r="AX281" s="957"/>
      <c r="AY281" s="957"/>
      <c r="AZ281" s="957"/>
      <c r="BA281" s="957"/>
      <c r="BB281" s="957"/>
      <c r="BC281" s="957"/>
      <c r="BD281" s="957"/>
      <c r="BE281" s="957"/>
      <c r="BF281" s="957"/>
      <c r="BG281" s="957"/>
    </row>
    <row r="282" spans="1:113">
      <c r="A282" s="2172"/>
      <c r="B282" s="2207" t="s">
        <v>800</v>
      </c>
      <c r="C282" s="2205" t="s">
        <v>11</v>
      </c>
      <c r="D282" s="338" t="s">
        <v>33</v>
      </c>
      <c r="E282" s="452">
        <v>61</v>
      </c>
      <c r="F282" s="148" t="s">
        <v>15</v>
      </c>
      <c r="G282" s="148" t="s">
        <v>15</v>
      </c>
      <c r="H282" s="367">
        <v>128.5086</v>
      </c>
      <c r="I282" s="368">
        <v>20.988700000000001</v>
      </c>
      <c r="J282" s="234" t="s">
        <v>15</v>
      </c>
      <c r="K282" s="233" t="s">
        <v>15</v>
      </c>
      <c r="L282" s="234" t="s">
        <v>15</v>
      </c>
      <c r="M282" s="233" t="s">
        <v>15</v>
      </c>
      <c r="N282" s="537">
        <v>39.676170200000001</v>
      </c>
      <c r="O282" s="536">
        <v>1.56</v>
      </c>
      <c r="P282" s="536">
        <v>25.390954700000002</v>
      </c>
      <c r="Q282" s="128">
        <f>46455.93/$T$262</f>
        <v>0.89492012244103825</v>
      </c>
      <c r="R282" s="2130">
        <f>SUMPRODUCT(N282:N283,Q282:Q283)</f>
        <v>35.507003093375474</v>
      </c>
      <c r="S282" s="24"/>
      <c r="T282" s="26"/>
      <c r="V282" s="24"/>
      <c r="W282" s="26"/>
      <c r="X282" s="26"/>
      <c r="Y282" s="41"/>
      <c r="Z282" s="41"/>
      <c r="AA282" s="41"/>
      <c r="AB282" s="846"/>
      <c r="AC282" s="26"/>
      <c r="AD282" s="24"/>
      <c r="AE282" s="26"/>
      <c r="AF282" s="106"/>
      <c r="AG282" s="37"/>
      <c r="AH282" s="957"/>
      <c r="AI282" s="1023"/>
      <c r="AJ282" s="1023"/>
      <c r="AK282" s="1023"/>
      <c r="AL282" s="1023"/>
      <c r="AM282" s="1023"/>
      <c r="AN282" s="1023"/>
      <c r="AO282" s="957"/>
      <c r="AP282" s="957"/>
      <c r="AQ282" s="957"/>
      <c r="AR282" s="957"/>
      <c r="AS282" s="957"/>
      <c r="AT282" s="957"/>
      <c r="AU282" s="957"/>
      <c r="AV282" s="957"/>
      <c r="AW282" s="957"/>
      <c r="AX282" s="957"/>
      <c r="AY282" s="957"/>
      <c r="AZ282" s="957"/>
      <c r="BA282" s="957"/>
      <c r="BB282" s="957"/>
      <c r="BC282" s="957"/>
      <c r="BD282" s="957"/>
      <c r="BE282" s="957"/>
      <c r="BF282" s="957"/>
      <c r="BG282" s="957"/>
    </row>
    <row r="283" spans="1:113">
      <c r="A283" s="2172"/>
      <c r="B283" s="2209"/>
      <c r="C283" s="2205"/>
      <c r="D283" s="338" t="s">
        <v>32</v>
      </c>
      <c r="E283" s="452">
        <v>33</v>
      </c>
      <c r="F283" s="148" t="s">
        <v>15</v>
      </c>
      <c r="G283" s="148" t="s">
        <v>15</v>
      </c>
      <c r="H283" s="367">
        <v>121.249</v>
      </c>
      <c r="I283" s="368">
        <v>16.611979999999999</v>
      </c>
      <c r="J283" s="234" t="s">
        <v>15</v>
      </c>
      <c r="K283" s="233" t="s">
        <v>15</v>
      </c>
      <c r="L283" s="234" t="s">
        <v>15</v>
      </c>
      <c r="M283" s="233" t="s">
        <v>15</v>
      </c>
      <c r="N283" s="537">
        <v>0</v>
      </c>
      <c r="O283" s="536" t="s">
        <v>574</v>
      </c>
      <c r="P283" s="536" t="s">
        <v>574</v>
      </c>
      <c r="Q283" s="128">
        <f>5454.77/$T$262</f>
        <v>0.10507987755896185</v>
      </c>
      <c r="R283" s="2155"/>
      <c r="S283" s="24"/>
      <c r="T283" s="26"/>
      <c r="V283" s="24"/>
      <c r="W283" s="26"/>
      <c r="X283" s="26"/>
      <c r="Y283" s="41"/>
      <c r="Z283" s="41"/>
      <c r="AA283" s="41"/>
      <c r="AB283" s="846"/>
      <c r="AC283" s="26"/>
      <c r="AD283" s="24"/>
      <c r="AE283" s="26"/>
      <c r="AF283" s="106"/>
      <c r="AG283" s="37"/>
      <c r="AH283" s="957"/>
      <c r="AI283" s="1023"/>
      <c r="AJ283" s="1023"/>
      <c r="AK283" s="1023"/>
      <c r="AL283" s="1023"/>
      <c r="AM283" s="1023"/>
      <c r="AN283" s="1023"/>
      <c r="AO283" s="957"/>
      <c r="AP283" s="957"/>
      <c r="AQ283" s="957"/>
      <c r="AR283" s="957"/>
      <c r="AS283" s="957"/>
      <c r="AT283" s="957"/>
      <c r="AU283" s="957"/>
      <c r="AV283" s="957"/>
      <c r="AW283" s="957"/>
      <c r="AX283" s="957"/>
      <c r="AY283" s="957"/>
      <c r="AZ283" s="957"/>
      <c r="BA283" s="957"/>
      <c r="BB283" s="957"/>
      <c r="BC283" s="957"/>
      <c r="BD283" s="957"/>
      <c r="BE283" s="957"/>
      <c r="BF283" s="957"/>
      <c r="BG283" s="957"/>
    </row>
    <row r="284" spans="1:113">
      <c r="A284" s="2172"/>
      <c r="B284" s="2206" t="s">
        <v>7</v>
      </c>
      <c r="C284" s="2144" t="s">
        <v>13</v>
      </c>
      <c r="D284" s="348">
        <v>1</v>
      </c>
      <c r="E284" s="452">
        <v>30</v>
      </c>
      <c r="F284" s="148" t="s">
        <v>15</v>
      </c>
      <c r="G284" s="148" t="s">
        <v>15</v>
      </c>
      <c r="H284" s="367">
        <v>132.30289999999999</v>
      </c>
      <c r="I284" s="368">
        <v>23.12208</v>
      </c>
      <c r="J284" s="234" t="s">
        <v>15</v>
      </c>
      <c r="K284" s="233" t="s">
        <v>15</v>
      </c>
      <c r="L284" s="234" t="s">
        <v>15</v>
      </c>
      <c r="M284" s="233" t="s">
        <v>15</v>
      </c>
      <c r="N284" s="537">
        <v>15.636437000000001</v>
      </c>
      <c r="O284" s="536">
        <v>5.5</v>
      </c>
      <c r="P284" s="536">
        <v>2.8441895000000001</v>
      </c>
      <c r="Q284" s="128">
        <f>19873.38/$T$262</f>
        <v>0.38283783497429241</v>
      </c>
      <c r="R284" s="2130">
        <f>SUMPRODUCT(N284:N286,Q284:Q286)</f>
        <v>9.9228376115866297</v>
      </c>
      <c r="S284" s="24"/>
      <c r="T284" s="26"/>
      <c r="V284" s="24"/>
      <c r="W284" s="26"/>
      <c r="X284" s="26"/>
      <c r="Y284" s="41"/>
      <c r="Z284" s="41"/>
      <c r="AA284" s="41"/>
      <c r="AB284" s="846"/>
      <c r="AC284" s="26"/>
      <c r="AD284" s="24"/>
      <c r="AE284" s="26"/>
      <c r="AF284" s="106"/>
      <c r="AG284" s="37"/>
      <c r="AH284" s="957"/>
      <c r="AI284" s="1023"/>
      <c r="AJ284" s="1023"/>
      <c r="AK284" s="1023"/>
      <c r="AL284" s="1023"/>
      <c r="AM284" s="1023"/>
      <c r="AN284" s="1023"/>
      <c r="AO284" s="957"/>
      <c r="AP284" s="957"/>
      <c r="AQ284" s="957"/>
      <c r="AR284" s="957"/>
      <c r="AS284" s="957"/>
      <c r="AT284" s="957"/>
      <c r="AU284" s="957"/>
      <c r="AV284" s="957"/>
      <c r="AW284" s="957"/>
      <c r="AX284" s="957"/>
      <c r="AY284" s="957"/>
      <c r="AZ284" s="957"/>
      <c r="BA284" s="957"/>
      <c r="BB284" s="957"/>
      <c r="BC284" s="957"/>
      <c r="BD284" s="957"/>
      <c r="BE284" s="957"/>
      <c r="BF284" s="957"/>
      <c r="BG284" s="957"/>
    </row>
    <row r="285" spans="1:113">
      <c r="A285" s="2172"/>
      <c r="B285" s="2206"/>
      <c r="C285" s="2144"/>
      <c r="D285" s="348">
        <v>2</v>
      </c>
      <c r="E285" s="452">
        <v>34</v>
      </c>
      <c r="F285" s="148" t="s">
        <v>15</v>
      </c>
      <c r="G285" s="148" t="s">
        <v>15</v>
      </c>
      <c r="H285" s="367">
        <v>128.67240000000001</v>
      </c>
      <c r="I285" s="368">
        <v>17.84376</v>
      </c>
      <c r="J285" s="234" t="s">
        <v>15</v>
      </c>
      <c r="K285" s="233" t="s">
        <v>15</v>
      </c>
      <c r="L285" s="234" t="s">
        <v>15</v>
      </c>
      <c r="M285" s="233" t="s">
        <v>15</v>
      </c>
      <c r="N285" s="537">
        <v>12.201393100000001</v>
      </c>
      <c r="O285" s="536">
        <v>5.65</v>
      </c>
      <c r="P285" s="536">
        <v>2.1576298</v>
      </c>
      <c r="Q285" s="128">
        <f>16748.3/$T$262</f>
        <v>0.32263675889556487</v>
      </c>
      <c r="R285" s="2196"/>
      <c r="S285" s="24"/>
      <c r="T285" s="26"/>
      <c r="V285" s="24"/>
      <c r="W285" s="26"/>
      <c r="X285" s="26"/>
      <c r="Y285" s="41"/>
      <c r="Z285" s="41"/>
      <c r="AA285" s="41"/>
      <c r="AB285" s="846"/>
      <c r="AC285" s="26"/>
      <c r="AD285" s="24"/>
      <c r="AE285" s="26"/>
      <c r="AF285" s="106"/>
      <c r="AG285" s="37"/>
      <c r="AH285" s="957"/>
      <c r="AI285" s="1023"/>
      <c r="AJ285" s="1023"/>
      <c r="AK285" s="1023"/>
      <c r="AL285" s="1023"/>
      <c r="AM285" s="1023"/>
      <c r="AN285" s="1023"/>
      <c r="AO285" s="957"/>
      <c r="AP285" s="957"/>
      <c r="AQ285" s="957"/>
      <c r="AR285" s="957"/>
      <c r="AS285" s="957"/>
      <c r="AT285" s="957"/>
      <c r="AU285" s="957"/>
      <c r="AV285" s="957"/>
      <c r="AW285" s="957"/>
      <c r="AX285" s="957"/>
      <c r="AY285" s="957"/>
      <c r="AZ285" s="957"/>
      <c r="BA285" s="957"/>
      <c r="BB285" s="957"/>
      <c r="BC285" s="957"/>
      <c r="BD285" s="957"/>
      <c r="BE285" s="957"/>
      <c r="BF285" s="957"/>
      <c r="BG285" s="957"/>
    </row>
    <row r="286" spans="1:113" ht="15.75" thickBot="1">
      <c r="A286" s="2172"/>
      <c r="B286" s="2290"/>
      <c r="C286" s="2144"/>
      <c r="D286" s="205">
        <v>3</v>
      </c>
      <c r="E286" s="25">
        <v>30</v>
      </c>
      <c r="F286" s="197" t="s">
        <v>15</v>
      </c>
      <c r="G286" s="197" t="s">
        <v>15</v>
      </c>
      <c r="H286" s="367">
        <v>120.80710000000001</v>
      </c>
      <c r="I286" s="368">
        <v>18.27617</v>
      </c>
      <c r="J286" s="269" t="s">
        <v>15</v>
      </c>
      <c r="K286" s="1134" t="s">
        <v>15</v>
      </c>
      <c r="L286" s="409" t="s">
        <v>15</v>
      </c>
      <c r="M286" s="122" t="s">
        <v>15</v>
      </c>
      <c r="N286" s="537">
        <v>0</v>
      </c>
      <c r="O286" s="536" t="s">
        <v>574</v>
      </c>
      <c r="P286" s="536" t="s">
        <v>574</v>
      </c>
      <c r="Q286" s="286">
        <f>15289.02/$T$262</f>
        <v>0.29452540613014278</v>
      </c>
      <c r="R286" s="2155"/>
      <c r="S286" s="24"/>
      <c r="T286" s="26"/>
      <c r="V286" s="24"/>
      <c r="W286" s="26"/>
      <c r="X286" s="26"/>
      <c r="Y286" s="41"/>
      <c r="Z286" s="41"/>
      <c r="AA286" s="41"/>
      <c r="AB286" s="846"/>
      <c r="AC286" s="26"/>
      <c r="AD286" s="240"/>
      <c r="AE286" s="764"/>
      <c r="AF286" s="106"/>
      <c r="AG286" s="37"/>
      <c r="AH286" s="957"/>
      <c r="AI286" s="1023"/>
      <c r="AJ286" s="1023"/>
      <c r="AK286" s="1023"/>
      <c r="AL286" s="1023"/>
      <c r="AM286" s="1023"/>
      <c r="AN286" s="1023"/>
      <c r="AO286" s="957"/>
      <c r="AP286" s="957"/>
      <c r="AQ286" s="957"/>
      <c r="AR286" s="957"/>
      <c r="AS286" s="957"/>
      <c r="AT286" s="957"/>
      <c r="AU286" s="957"/>
      <c r="AV286" s="957"/>
      <c r="AW286" s="957"/>
      <c r="AX286" s="957"/>
      <c r="AY286" s="957"/>
      <c r="AZ286" s="957"/>
      <c r="BA286" s="957"/>
      <c r="BB286" s="957"/>
      <c r="BC286" s="957"/>
      <c r="BD286" s="957"/>
      <c r="BE286" s="957"/>
      <c r="BF286" s="957"/>
      <c r="BG286" s="957"/>
    </row>
    <row r="287" spans="1:113" s="692" customFormat="1" ht="9" customHeight="1" thickBot="1">
      <c r="A287" s="695"/>
      <c r="B287" s="815"/>
      <c r="C287" s="684"/>
      <c r="D287" s="683"/>
      <c r="E287" s="684"/>
      <c r="F287" s="684"/>
      <c r="G287" s="684"/>
      <c r="H287" s="684"/>
      <c r="I287" s="684"/>
      <c r="J287" s="682"/>
      <c r="K287" s="683"/>
      <c r="L287" s="682"/>
      <c r="M287" s="685"/>
      <c r="N287" s="1189"/>
      <c r="O287" s="686"/>
      <c r="P287" s="686"/>
      <c r="Q287" s="687"/>
      <c r="R287" s="687"/>
      <c r="S287" s="688"/>
      <c r="T287" s="688"/>
      <c r="U287" s="854"/>
      <c r="V287" s="893"/>
      <c r="W287" s="685"/>
      <c r="X287" s="685"/>
      <c r="Y287" s="688"/>
      <c r="Z287" s="688"/>
      <c r="AA287" s="688"/>
      <c r="AB287" s="846"/>
      <c r="AC287" s="685"/>
      <c r="AD287" s="685"/>
      <c r="AE287" s="685"/>
      <c r="AF287" s="689"/>
      <c r="AG287" s="685"/>
      <c r="AH287" s="959"/>
      <c r="AI287" s="958"/>
      <c r="AJ287" s="958"/>
      <c r="AK287" s="958"/>
      <c r="AL287" s="958"/>
      <c r="AM287" s="958"/>
      <c r="AN287" s="958"/>
      <c r="AO287" s="958"/>
      <c r="AP287" s="958"/>
      <c r="AQ287" s="958"/>
      <c r="AR287" s="958"/>
      <c r="AS287" s="958"/>
      <c r="AT287" s="958"/>
      <c r="AU287" s="958"/>
      <c r="AV287" s="958"/>
      <c r="AW287" s="958"/>
      <c r="AX287" s="958"/>
      <c r="AY287" s="958"/>
      <c r="AZ287" s="958"/>
      <c r="BA287" s="958"/>
      <c r="BB287" s="958"/>
      <c r="BC287" s="958"/>
      <c r="BD287" s="958"/>
      <c r="BE287" s="958"/>
      <c r="BF287" s="958"/>
      <c r="BG287" s="958"/>
      <c r="BH287" s="1125"/>
      <c r="DI287" s="693"/>
    </row>
    <row r="288" spans="1:113" ht="15" customHeight="1">
      <c r="A288" s="2171" t="s">
        <v>1285</v>
      </c>
      <c r="B288" s="1055" t="s">
        <v>754</v>
      </c>
      <c r="C288" s="810" t="s">
        <v>12</v>
      </c>
      <c r="D288" s="219" t="s">
        <v>830</v>
      </c>
      <c r="E288" s="77">
        <v>86</v>
      </c>
      <c r="F288" s="259">
        <v>127.9952</v>
      </c>
      <c r="G288" s="259">
        <v>19.940760000000001</v>
      </c>
      <c r="H288" s="367">
        <v>891.89850000000001</v>
      </c>
      <c r="I288" s="368">
        <v>133.85050000000001</v>
      </c>
      <c r="J288" s="298" t="s">
        <v>15</v>
      </c>
      <c r="K288" s="1135" t="s">
        <v>15</v>
      </c>
      <c r="L288" s="1165" t="s">
        <v>14</v>
      </c>
      <c r="M288" s="1150" t="s">
        <v>755</v>
      </c>
      <c r="N288" s="441">
        <v>-1.1790879999999999</v>
      </c>
      <c r="O288" s="442">
        <v>-2.73</v>
      </c>
      <c r="P288" s="442">
        <v>0.43191299999999999</v>
      </c>
      <c r="Q288" s="254" t="s">
        <v>15</v>
      </c>
      <c r="R288" s="258">
        <f>N288</f>
        <v>-1.1790879999999999</v>
      </c>
      <c r="S288" s="149" t="s">
        <v>68</v>
      </c>
      <c r="T288" s="150" t="s">
        <v>69</v>
      </c>
      <c r="U288" s="858"/>
      <c r="V288" s="2232" t="s">
        <v>863</v>
      </c>
      <c r="W288" s="295" t="s">
        <v>47</v>
      </c>
      <c r="X288" s="295" t="s">
        <v>864</v>
      </c>
      <c r="Y288" s="220">
        <f>$T$295+SUM($R$290:$R$318)+$N$288*177.4+$N$289*1</f>
        <v>742.27209103423786</v>
      </c>
      <c r="Z288" s="282" t="s">
        <v>40</v>
      </c>
      <c r="AA288" s="575" t="s">
        <v>40</v>
      </c>
      <c r="AB288" s="846"/>
      <c r="AC288" s="26"/>
      <c r="AD288" s="2131" t="s">
        <v>142</v>
      </c>
      <c r="AE288" s="2133"/>
      <c r="AF288" s="497" t="s">
        <v>49</v>
      </c>
      <c r="AG288" s="494" t="s">
        <v>982</v>
      </c>
      <c r="AH288" s="170">
        <f>T295+R304+N307+R309+R311+R313+N293</f>
        <v>1322.0250775556649</v>
      </c>
      <c r="AI288" s="1011"/>
      <c r="AJ288" s="957"/>
      <c r="AK288" s="957"/>
      <c r="AL288" s="957"/>
      <c r="AM288" s="957"/>
      <c r="AN288" s="957"/>
      <c r="AO288" s="957"/>
      <c r="AP288" s="957"/>
      <c r="AQ288" s="957"/>
      <c r="AR288" s="957"/>
      <c r="AS288" s="957"/>
      <c r="AT288" s="1012"/>
      <c r="AU288" s="1023"/>
      <c r="AV288" s="957"/>
      <c r="AW288" s="957"/>
      <c r="AX288" s="957"/>
      <c r="AY288" s="957"/>
      <c r="AZ288" s="957"/>
      <c r="BA288" s="957"/>
      <c r="BB288" s="957"/>
      <c r="BC288" s="957"/>
      <c r="BD288" s="957"/>
      <c r="BE288" s="957"/>
      <c r="BF288" s="957"/>
      <c r="BG288" s="957"/>
    </row>
    <row r="289" spans="1:59">
      <c r="A289" s="2172"/>
      <c r="B289" s="1056" t="s">
        <v>756</v>
      </c>
      <c r="C289" s="356" t="s">
        <v>12</v>
      </c>
      <c r="D289" s="291" t="s">
        <v>831</v>
      </c>
      <c r="E289" s="452">
        <v>86</v>
      </c>
      <c r="F289" s="128">
        <v>0.40786099999999997</v>
      </c>
      <c r="G289" s="128">
        <v>0.25551200000000002</v>
      </c>
      <c r="H289" s="367">
        <v>891.89850000000001</v>
      </c>
      <c r="I289" s="368">
        <v>133.85050000000001</v>
      </c>
      <c r="J289" s="234" t="s">
        <v>15</v>
      </c>
      <c r="K289" s="233" t="s">
        <v>15</v>
      </c>
      <c r="L289" s="234" t="s">
        <v>15</v>
      </c>
      <c r="M289" s="233" t="s">
        <v>15</v>
      </c>
      <c r="N289" s="537">
        <v>-161.15811199999999</v>
      </c>
      <c r="O289" s="536">
        <v>-3.14</v>
      </c>
      <c r="P289" s="536">
        <v>51.303167799999997</v>
      </c>
      <c r="Q289" s="195" t="s">
        <v>15</v>
      </c>
      <c r="R289" s="128">
        <f>N289</f>
        <v>-161.15811199999999</v>
      </c>
      <c r="S289" s="31" t="s">
        <v>70</v>
      </c>
      <c r="T289" s="117" t="s">
        <v>71</v>
      </c>
      <c r="U289" s="854"/>
      <c r="V289" s="2233"/>
      <c r="W289" s="983" t="s">
        <v>49</v>
      </c>
      <c r="X289" s="338" t="s">
        <v>865</v>
      </c>
      <c r="Y289" s="169">
        <f>$T$295+SUM($R$290:$R$318)+$N$288*86.4+$N$289*1</f>
        <v>849.56909903423787</v>
      </c>
      <c r="Z289" s="169">
        <f>Y289-Y288</f>
        <v>107.29700800000001</v>
      </c>
      <c r="AA289" s="576">
        <f>(177.4-86.4)*$P$288</f>
        <v>39.304082999999999</v>
      </c>
      <c r="AB289" s="918"/>
      <c r="AC289" s="26"/>
      <c r="AD289" s="20" t="s">
        <v>98</v>
      </c>
      <c r="AE289" s="278"/>
      <c r="AF289" s="497" t="s">
        <v>49</v>
      </c>
      <c r="AG289" s="494" t="s">
        <v>983</v>
      </c>
      <c r="AH289" s="170">
        <f>T295+R304+N307+R309+R311+R313+N300</f>
        <v>1256.8869585556649</v>
      </c>
      <c r="AI289" s="1011"/>
      <c r="AJ289" s="957"/>
      <c r="AK289" s="957"/>
      <c r="AL289" s="957"/>
      <c r="AM289" s="957"/>
      <c r="AN289" s="957"/>
      <c r="AO289" s="957"/>
      <c r="AP289" s="957"/>
      <c r="AQ289" s="957"/>
      <c r="AR289" s="957"/>
      <c r="AS289" s="957"/>
      <c r="AT289" s="1012"/>
      <c r="AU289" s="1023"/>
      <c r="AV289" s="957"/>
      <c r="AW289" s="957"/>
      <c r="AX289" s="957"/>
      <c r="AY289" s="957"/>
      <c r="AZ289" s="957"/>
      <c r="BA289" s="957"/>
      <c r="BB289" s="957"/>
      <c r="BC289" s="957"/>
      <c r="BD289" s="957"/>
      <c r="BE289" s="957"/>
      <c r="BF289" s="957"/>
      <c r="BG289" s="957"/>
    </row>
    <row r="290" spans="1:59">
      <c r="A290" s="2172"/>
      <c r="B290" s="2206" t="s">
        <v>153</v>
      </c>
      <c r="C290" s="2144" t="s">
        <v>13</v>
      </c>
      <c r="D290" s="434" t="s">
        <v>757</v>
      </c>
      <c r="E290" s="452">
        <v>2</v>
      </c>
      <c r="F290" s="148" t="s">
        <v>15</v>
      </c>
      <c r="G290" s="148" t="s">
        <v>15</v>
      </c>
      <c r="H290" s="367">
        <v>459.27140000000003</v>
      </c>
      <c r="I290" s="368">
        <v>47.079720000000002</v>
      </c>
      <c r="J290" s="234" t="s">
        <v>15</v>
      </c>
      <c r="K290" s="233" t="s">
        <v>15</v>
      </c>
      <c r="L290" s="234" t="s">
        <v>15</v>
      </c>
      <c r="M290" s="233" t="s">
        <v>15</v>
      </c>
      <c r="N290" s="537">
        <v>94.371949999999998</v>
      </c>
      <c r="O290" s="536">
        <v>0.25</v>
      </c>
      <c r="P290" s="536">
        <v>371.49816329999999</v>
      </c>
      <c r="Q290" s="128">
        <f>5.38/$T$293</f>
        <v>2.7487771007452352E-4</v>
      </c>
      <c r="R290" s="2130">
        <f>SUMPRODUCT(N290:N301,Q290:Q301)</f>
        <v>118.48286704894201</v>
      </c>
      <c r="S290" s="127" t="s">
        <v>72</v>
      </c>
      <c r="T290" s="119" t="s">
        <v>119</v>
      </c>
      <c r="U290" s="855"/>
      <c r="V290" s="2233"/>
      <c r="W290" s="983" t="s">
        <v>49</v>
      </c>
      <c r="X290" s="338" t="s">
        <v>866</v>
      </c>
      <c r="Y290" s="169">
        <f>$T$295+SUM($R$290:$R$318)+$N$288*70.2+$N$289*1</f>
        <v>868.670324634238</v>
      </c>
      <c r="Z290" s="169">
        <f>Y290-Y288</f>
        <v>126.39823360000014</v>
      </c>
      <c r="AA290" s="576">
        <f>(177.4-70.2)*$P$288</f>
        <v>46.301073600000002</v>
      </c>
      <c r="AB290" s="918"/>
      <c r="AC290" s="26"/>
      <c r="AD290" s="20" t="s">
        <v>143</v>
      </c>
      <c r="AE290" s="278"/>
      <c r="AF290" s="497" t="s">
        <v>49</v>
      </c>
      <c r="AG290" s="494" t="s">
        <v>984</v>
      </c>
      <c r="AH290" s="170">
        <f>T295+R304+R306+R309+R311+R313+N293</f>
        <v>1321.3089759945537</v>
      </c>
      <c r="AI290" s="1011"/>
      <c r="AJ290" s="957"/>
      <c r="AK290" s="957"/>
      <c r="AL290" s="957"/>
      <c r="AM290" s="957"/>
      <c r="AN290" s="957"/>
      <c r="AO290" s="957"/>
      <c r="AP290" s="957"/>
      <c r="AQ290" s="957"/>
      <c r="AR290" s="957"/>
      <c r="AS290" s="957"/>
      <c r="AT290" s="1012"/>
      <c r="AU290" s="1023"/>
      <c r="AV290" s="957"/>
      <c r="AW290" s="957"/>
      <c r="AX290" s="957"/>
      <c r="AY290" s="957"/>
      <c r="AZ290" s="957"/>
      <c r="BA290" s="957"/>
      <c r="BB290" s="957"/>
      <c r="BC290" s="957"/>
      <c r="BD290" s="957"/>
      <c r="BE290" s="957"/>
      <c r="BF290" s="957"/>
      <c r="BG290" s="957"/>
    </row>
    <row r="291" spans="1:59">
      <c r="A291" s="2172"/>
      <c r="B291" s="2206"/>
      <c r="C291" s="2144"/>
      <c r="D291" s="348" t="s">
        <v>780</v>
      </c>
      <c r="E291" s="452">
        <v>2</v>
      </c>
      <c r="F291" s="148" t="s">
        <v>15</v>
      </c>
      <c r="G291" s="148" t="s">
        <v>15</v>
      </c>
      <c r="H291" s="367">
        <v>682.3075</v>
      </c>
      <c r="I291" s="368">
        <v>0.87593299999999996</v>
      </c>
      <c r="J291" s="234" t="s">
        <v>15</v>
      </c>
      <c r="K291" s="233" t="s">
        <v>15</v>
      </c>
      <c r="L291" s="234" t="s">
        <v>15</v>
      </c>
      <c r="M291" s="233" t="s">
        <v>15</v>
      </c>
      <c r="N291" s="537">
        <v>0</v>
      </c>
      <c r="O291" s="536" t="s">
        <v>574</v>
      </c>
      <c r="P291" s="536" t="s">
        <v>574</v>
      </c>
      <c r="Q291" s="128">
        <f>8/$T$293</f>
        <v>4.0874008933014652E-4</v>
      </c>
      <c r="R291" s="2196"/>
      <c r="S291" s="452" t="s">
        <v>73</v>
      </c>
      <c r="T291" s="433"/>
      <c r="U291" s="859"/>
      <c r="V291" s="24"/>
      <c r="W291" s="26"/>
      <c r="X291" s="26"/>
      <c r="Y291" s="41"/>
      <c r="Z291" s="41"/>
      <c r="AA291" s="41"/>
      <c r="AB291" s="846"/>
      <c r="AC291" s="26"/>
      <c r="AD291" s="20" t="s">
        <v>144</v>
      </c>
      <c r="AE291" s="278"/>
      <c r="AF291" s="497" t="s">
        <v>49</v>
      </c>
      <c r="AG291" s="494" t="s">
        <v>985</v>
      </c>
      <c r="AH291" s="170">
        <f>T295+R304+R306+R309+R311+R313+N300</f>
        <v>1256.1708569945538</v>
      </c>
      <c r="AI291" s="1011"/>
      <c r="AJ291" s="957"/>
      <c r="AK291" s="957"/>
      <c r="AL291" s="957"/>
      <c r="AM291" s="957"/>
      <c r="AN291" s="957"/>
      <c r="AO291" s="957"/>
      <c r="AP291" s="957"/>
      <c r="AQ291" s="957"/>
      <c r="AR291" s="957"/>
      <c r="AS291" s="957"/>
      <c r="AT291" s="1012"/>
      <c r="AU291" s="1023"/>
      <c r="AV291" s="957"/>
      <c r="AW291" s="957"/>
      <c r="AX291" s="957"/>
      <c r="AY291" s="957"/>
      <c r="AZ291" s="957"/>
      <c r="BA291" s="957"/>
      <c r="BB291" s="957"/>
      <c r="BC291" s="957"/>
      <c r="BD291" s="957"/>
      <c r="BE291" s="957"/>
      <c r="BF291" s="957"/>
      <c r="BG291" s="957"/>
    </row>
    <row r="292" spans="1:59">
      <c r="A292" s="2172"/>
      <c r="B292" s="2206"/>
      <c r="C292" s="2144"/>
      <c r="D292" s="348" t="s">
        <v>781</v>
      </c>
      <c r="E292" s="452">
        <v>2</v>
      </c>
      <c r="F292" s="148" t="s">
        <v>15</v>
      </c>
      <c r="G292" s="148" t="s">
        <v>15</v>
      </c>
      <c r="H292" s="367">
        <v>398.51499999999999</v>
      </c>
      <c r="I292" s="368">
        <v>1.4950000000000001</v>
      </c>
      <c r="J292" s="234" t="s">
        <v>15</v>
      </c>
      <c r="K292" s="233" t="s">
        <v>15</v>
      </c>
      <c r="L292" s="234" t="s">
        <v>15</v>
      </c>
      <c r="M292" s="233" t="s">
        <v>15</v>
      </c>
      <c r="N292" s="537">
        <v>-186.26367300000001</v>
      </c>
      <c r="O292" s="536">
        <v>-0.4</v>
      </c>
      <c r="P292" s="536">
        <v>464.99183299999999</v>
      </c>
      <c r="Q292" s="128">
        <f>2/$T$293</f>
        <v>1.0218502233253663E-4</v>
      </c>
      <c r="R292" s="2196"/>
      <c r="S292" s="127" t="s">
        <v>74</v>
      </c>
      <c r="T292" s="129" t="s">
        <v>75</v>
      </c>
      <c r="U292" s="858"/>
      <c r="V292" s="24"/>
      <c r="W292" s="26"/>
      <c r="X292" s="26"/>
      <c r="Y292" s="41"/>
      <c r="Z292" s="41"/>
      <c r="AA292" s="41"/>
      <c r="AB292" s="846"/>
      <c r="AC292" s="26"/>
      <c r="AD292" s="20" t="s">
        <v>145</v>
      </c>
      <c r="AE292" s="278"/>
      <c r="AF292" s="106"/>
      <c r="AG292" s="37"/>
      <c r="AH292" s="957"/>
      <c r="AI292" s="1023"/>
      <c r="AJ292" s="1023"/>
      <c r="AK292" s="1023"/>
      <c r="AL292" s="1023"/>
      <c r="AM292" s="1023"/>
      <c r="AN292" s="1023"/>
      <c r="AO292" s="957"/>
      <c r="AP292" s="957"/>
      <c r="AQ292" s="957"/>
      <c r="AR292" s="957"/>
      <c r="AS292" s="957"/>
      <c r="AT292" s="957"/>
      <c r="AU292" s="957"/>
      <c r="AV292" s="957"/>
      <c r="AW292" s="957"/>
      <c r="AX292" s="957"/>
      <c r="AY292" s="957"/>
      <c r="AZ292" s="957"/>
      <c r="BA292" s="957"/>
      <c r="BB292" s="957"/>
      <c r="BC292" s="957"/>
      <c r="BD292" s="957"/>
      <c r="BE292" s="957"/>
      <c r="BF292" s="957"/>
      <c r="BG292" s="957"/>
    </row>
    <row r="293" spans="1:59">
      <c r="A293" s="2172"/>
      <c r="B293" s="2206"/>
      <c r="C293" s="2144"/>
      <c r="D293" s="348" t="s">
        <v>760</v>
      </c>
      <c r="E293" s="452">
        <v>17</v>
      </c>
      <c r="F293" s="148" t="s">
        <v>15</v>
      </c>
      <c r="G293" s="148" t="s">
        <v>15</v>
      </c>
      <c r="H293" s="367">
        <v>1018.861</v>
      </c>
      <c r="I293" s="368">
        <v>101.3968</v>
      </c>
      <c r="J293" s="234" t="s">
        <v>15</v>
      </c>
      <c r="K293" s="233" t="s">
        <v>15</v>
      </c>
      <c r="L293" s="234" t="s">
        <v>15</v>
      </c>
      <c r="M293" s="233" t="s">
        <v>15</v>
      </c>
      <c r="N293" s="537">
        <v>255.44045</v>
      </c>
      <c r="O293" s="536">
        <v>10.38</v>
      </c>
      <c r="P293" s="536">
        <v>24.601707300000001</v>
      </c>
      <c r="Q293" s="128">
        <f>3495.16/$T$293</f>
        <v>0.17857650132789435</v>
      </c>
      <c r="R293" s="2196"/>
      <c r="S293" s="447">
        <v>86</v>
      </c>
      <c r="T293" s="574">
        <v>19572.34</v>
      </c>
      <c r="U293" s="860"/>
      <c r="V293" s="24"/>
      <c r="W293" s="26"/>
      <c r="X293" s="26"/>
      <c r="Y293" s="41"/>
      <c r="Z293" s="41"/>
      <c r="AA293" s="41"/>
      <c r="AB293" s="846"/>
      <c r="AC293" s="26"/>
      <c r="AD293" s="22"/>
      <c r="AE293" s="27"/>
      <c r="AF293" s="106"/>
      <c r="AG293" s="37"/>
      <c r="AH293" s="957"/>
      <c r="AI293" s="1023"/>
      <c r="AJ293" s="1023"/>
      <c r="AK293" s="1023"/>
      <c r="AL293" s="1023"/>
      <c r="AM293" s="1023"/>
      <c r="AN293" s="1023"/>
      <c r="AO293" s="957"/>
      <c r="AP293" s="957"/>
      <c r="AQ293" s="957"/>
      <c r="AR293" s="957"/>
      <c r="AS293" s="957"/>
      <c r="AT293" s="957"/>
      <c r="AU293" s="957"/>
      <c r="AV293" s="957"/>
      <c r="AW293" s="957"/>
      <c r="AX293" s="957"/>
      <c r="AY293" s="957"/>
      <c r="AZ293" s="957"/>
      <c r="BA293" s="957"/>
      <c r="BB293" s="957"/>
      <c r="BC293" s="957"/>
      <c r="BD293" s="957"/>
      <c r="BE293" s="957"/>
      <c r="BF293" s="957"/>
      <c r="BG293" s="957"/>
    </row>
    <row r="294" spans="1:59">
      <c r="A294" s="2172"/>
      <c r="B294" s="2206"/>
      <c r="C294" s="2144"/>
      <c r="D294" s="348" t="s">
        <v>763</v>
      </c>
      <c r="E294" s="452">
        <v>12</v>
      </c>
      <c r="F294" s="148" t="s">
        <v>15</v>
      </c>
      <c r="G294" s="148" t="s">
        <v>15</v>
      </c>
      <c r="H294" s="367">
        <v>885.46339999999998</v>
      </c>
      <c r="I294" s="368">
        <v>84.440309999999997</v>
      </c>
      <c r="J294" s="234" t="s">
        <v>15</v>
      </c>
      <c r="K294" s="233" t="s">
        <v>15</v>
      </c>
      <c r="L294" s="234" t="s">
        <v>15</v>
      </c>
      <c r="M294" s="233" t="s">
        <v>15</v>
      </c>
      <c r="N294" s="537">
        <v>20.954971</v>
      </c>
      <c r="O294" s="536">
        <v>0.33</v>
      </c>
      <c r="P294" s="536">
        <v>63.295236699999997</v>
      </c>
      <c r="Q294" s="128">
        <f>2657.14/$T$293</f>
        <v>0.13575995512033817</v>
      </c>
      <c r="R294" s="2196"/>
      <c r="S294" s="127" t="s">
        <v>41</v>
      </c>
      <c r="T294" s="129" t="s">
        <v>42</v>
      </c>
      <c r="U294" s="858"/>
      <c r="V294" s="24"/>
      <c r="W294" s="26"/>
      <c r="X294" s="26"/>
      <c r="Y294" s="41"/>
      <c r="Z294" s="41"/>
      <c r="AA294" s="41"/>
      <c r="AB294" s="846"/>
      <c r="AC294" s="26"/>
      <c r="AD294" s="24"/>
      <c r="AE294" s="26"/>
      <c r="AF294" s="106"/>
      <c r="AG294" s="37"/>
      <c r="AH294" s="957"/>
      <c r="AI294" s="1023"/>
      <c r="AJ294" s="1023"/>
      <c r="AK294" s="1023"/>
      <c r="AL294" s="1023"/>
      <c r="AM294" s="1023"/>
      <c r="AN294" s="1023"/>
      <c r="AO294" s="957"/>
      <c r="AP294" s="957"/>
      <c r="AQ294" s="957"/>
      <c r="AR294" s="957"/>
      <c r="AS294" s="957"/>
      <c r="AT294" s="957"/>
      <c r="AU294" s="957"/>
      <c r="AV294" s="957"/>
      <c r="AW294" s="957"/>
      <c r="AX294" s="957"/>
      <c r="AY294" s="957"/>
      <c r="AZ294" s="957"/>
      <c r="BA294" s="957"/>
      <c r="BB294" s="957"/>
      <c r="BC294" s="957"/>
      <c r="BD294" s="957"/>
      <c r="BE294" s="957"/>
      <c r="BF294" s="957"/>
      <c r="BG294" s="957"/>
    </row>
    <row r="295" spans="1:59">
      <c r="A295" s="2172"/>
      <c r="B295" s="2206"/>
      <c r="C295" s="2144"/>
      <c r="D295" s="348" t="s">
        <v>792</v>
      </c>
      <c r="E295" s="452">
        <v>7</v>
      </c>
      <c r="F295" s="148" t="s">
        <v>15</v>
      </c>
      <c r="G295" s="148" t="s">
        <v>15</v>
      </c>
      <c r="H295" s="367">
        <v>644.28189999999995</v>
      </c>
      <c r="I295" s="368">
        <v>40.15166</v>
      </c>
      <c r="J295" s="234" t="s">
        <v>15</v>
      </c>
      <c r="K295" s="233" t="s">
        <v>15</v>
      </c>
      <c r="L295" s="234" t="s">
        <v>15</v>
      </c>
      <c r="M295" s="233" t="s">
        <v>15</v>
      </c>
      <c r="N295" s="537">
        <v>-527.07646899999997</v>
      </c>
      <c r="O295" s="536">
        <v>-1.1399999999999999</v>
      </c>
      <c r="P295" s="536">
        <v>461.01057379999997</v>
      </c>
      <c r="Q295" s="128">
        <f>408.14/$T$293</f>
        <v>2.0852897507400749E-2</v>
      </c>
      <c r="R295" s="2196"/>
      <c r="S295" s="357">
        <v>0.922481</v>
      </c>
      <c r="T295" s="420">
        <v>1048.4490290000001</v>
      </c>
      <c r="U295" s="861"/>
      <c r="V295" s="24"/>
      <c r="W295" s="26"/>
      <c r="X295" s="26"/>
      <c r="Y295" s="41"/>
      <c r="Z295" s="41"/>
      <c r="AA295" s="41"/>
      <c r="AB295" s="846"/>
      <c r="AC295" s="26"/>
      <c r="AD295" s="24"/>
      <c r="AE295" s="26"/>
      <c r="AF295" s="106"/>
      <c r="AG295" s="37"/>
      <c r="AH295" s="957"/>
      <c r="AI295" s="1023"/>
      <c r="AJ295" s="1023"/>
      <c r="AK295" s="1023"/>
      <c r="AL295" s="1023"/>
      <c r="AM295" s="1023"/>
      <c r="AN295" s="1023"/>
      <c r="AO295" s="957"/>
      <c r="AP295" s="957"/>
      <c r="AQ295" s="957"/>
      <c r="AR295" s="957"/>
      <c r="AS295" s="957"/>
      <c r="AT295" s="957"/>
      <c r="AU295" s="957"/>
      <c r="AV295" s="957"/>
      <c r="AW295" s="957"/>
      <c r="AX295" s="957"/>
      <c r="AY295" s="957"/>
      <c r="AZ295" s="957"/>
      <c r="BA295" s="957"/>
      <c r="BB295" s="957"/>
      <c r="BC295" s="957"/>
      <c r="BD295" s="957"/>
      <c r="BE295" s="957"/>
      <c r="BF295" s="957"/>
      <c r="BG295" s="957"/>
    </row>
    <row r="296" spans="1:59">
      <c r="A296" s="2172"/>
      <c r="B296" s="2206"/>
      <c r="C296" s="2144"/>
      <c r="D296" s="348" t="s">
        <v>688</v>
      </c>
      <c r="E296" s="452">
        <v>10</v>
      </c>
      <c r="F296" s="148" t="s">
        <v>15</v>
      </c>
      <c r="G296" s="148" t="s">
        <v>15</v>
      </c>
      <c r="H296" s="367">
        <v>935.16980000000001</v>
      </c>
      <c r="I296" s="368">
        <v>127.09139999999999</v>
      </c>
      <c r="J296" s="234" t="s">
        <v>15</v>
      </c>
      <c r="K296" s="233" t="s">
        <v>15</v>
      </c>
      <c r="L296" s="234" t="s">
        <v>15</v>
      </c>
      <c r="M296" s="233" t="s">
        <v>15</v>
      </c>
      <c r="N296" s="537">
        <v>114.93808</v>
      </c>
      <c r="O296" s="536">
        <v>0.59</v>
      </c>
      <c r="P296" s="536">
        <v>193.5147834</v>
      </c>
      <c r="Q296" s="128">
        <f>42.16/$T$293</f>
        <v>2.154060270769872E-3</v>
      </c>
      <c r="R296" s="2196"/>
      <c r="S296" s="118" t="s">
        <v>235</v>
      </c>
      <c r="T296" s="119" t="s">
        <v>391</v>
      </c>
      <c r="U296" s="855"/>
      <c r="V296" s="24"/>
      <c r="W296" s="26"/>
      <c r="X296" s="26"/>
      <c r="Y296" s="41"/>
      <c r="Z296" s="41"/>
      <c r="AA296" s="41"/>
      <c r="AB296" s="846"/>
      <c r="AC296" s="26"/>
      <c r="AD296" s="24"/>
      <c r="AE296" s="26"/>
      <c r="AF296" s="106"/>
      <c r="AG296" s="37"/>
      <c r="AH296" s="957"/>
      <c r="AI296" s="1023"/>
      <c r="AJ296" s="1023"/>
      <c r="AK296" s="1023"/>
      <c r="AL296" s="1023"/>
      <c r="AM296" s="1023"/>
      <c r="AN296" s="1023"/>
      <c r="AO296" s="957"/>
      <c r="AP296" s="957"/>
      <c r="AQ296" s="957"/>
      <c r="AR296" s="957"/>
      <c r="AS296" s="957"/>
      <c r="AT296" s="957"/>
      <c r="AU296" s="957"/>
      <c r="AV296" s="957"/>
      <c r="AW296" s="957"/>
      <c r="AX296" s="957"/>
      <c r="AY296" s="957"/>
      <c r="AZ296" s="957"/>
      <c r="BA296" s="957"/>
      <c r="BB296" s="957"/>
      <c r="BC296" s="957"/>
      <c r="BD296" s="957"/>
      <c r="BE296" s="957"/>
      <c r="BF296" s="957"/>
      <c r="BG296" s="957"/>
    </row>
    <row r="297" spans="1:59">
      <c r="A297" s="2172"/>
      <c r="B297" s="2206"/>
      <c r="C297" s="2144"/>
      <c r="D297" s="348" t="s">
        <v>764</v>
      </c>
      <c r="E297" s="452">
        <v>4</v>
      </c>
      <c r="F297" s="148" t="s">
        <v>15</v>
      </c>
      <c r="G297" s="148" t="s">
        <v>15</v>
      </c>
      <c r="H297" s="367">
        <v>949.99339999999995</v>
      </c>
      <c r="I297" s="368">
        <v>61.359679999999997</v>
      </c>
      <c r="J297" s="234" t="s">
        <v>15</v>
      </c>
      <c r="K297" s="233" t="s">
        <v>15</v>
      </c>
      <c r="L297" s="234" t="s">
        <v>15</v>
      </c>
      <c r="M297" s="233" t="s">
        <v>15</v>
      </c>
      <c r="N297" s="537">
        <v>-218.020061</v>
      </c>
      <c r="O297" s="536">
        <v>-0.47</v>
      </c>
      <c r="P297" s="536">
        <v>459.2301324</v>
      </c>
      <c r="Q297" s="128">
        <f>580.95/$T$293</f>
        <v>2.9682194362043581E-2</v>
      </c>
      <c r="R297" s="2196"/>
      <c r="S297" s="357">
        <v>105.361</v>
      </c>
      <c r="T297" s="151" t="s">
        <v>15</v>
      </c>
      <c r="U297" s="862"/>
      <c r="V297" s="24"/>
      <c r="W297" s="26"/>
      <c r="X297" s="26"/>
      <c r="Y297" s="41"/>
      <c r="Z297" s="41"/>
      <c r="AA297" s="41"/>
      <c r="AB297" s="846"/>
      <c r="AC297" s="26"/>
      <c r="AD297" s="24"/>
      <c r="AE297" s="26"/>
      <c r="AF297" s="106"/>
      <c r="AG297" s="37"/>
      <c r="AH297" s="957"/>
      <c r="AI297" s="1023"/>
      <c r="AJ297" s="1023"/>
      <c r="AK297" s="1023"/>
      <c r="AL297" s="1023"/>
      <c r="AM297" s="1023"/>
      <c r="AN297" s="1023"/>
      <c r="AO297" s="957"/>
      <c r="AP297" s="957"/>
      <c r="AQ297" s="957"/>
      <c r="AR297" s="957"/>
      <c r="AS297" s="957"/>
      <c r="AT297" s="957"/>
      <c r="AU297" s="957"/>
      <c r="AV297" s="957"/>
      <c r="AW297" s="957"/>
      <c r="AX297" s="957"/>
      <c r="AY297" s="957"/>
      <c r="AZ297" s="957"/>
      <c r="BA297" s="957"/>
      <c r="BB297" s="957"/>
      <c r="BC297" s="957"/>
      <c r="BD297" s="957"/>
      <c r="BE297" s="957"/>
      <c r="BF297" s="957"/>
      <c r="BG297" s="957"/>
    </row>
    <row r="298" spans="1:59">
      <c r="A298" s="2172"/>
      <c r="B298" s="2206"/>
      <c r="C298" s="2144"/>
      <c r="D298" s="348" t="s">
        <v>766</v>
      </c>
      <c r="E298" s="452">
        <v>1</v>
      </c>
      <c r="F298" s="148" t="s">
        <v>15</v>
      </c>
      <c r="G298" s="148" t="s">
        <v>15</v>
      </c>
      <c r="H298" s="367">
        <v>1347.5329999999999</v>
      </c>
      <c r="I298" s="368">
        <v>0</v>
      </c>
      <c r="J298" s="234" t="s">
        <v>15</v>
      </c>
      <c r="K298" s="233" t="s">
        <v>15</v>
      </c>
      <c r="L298" s="234" t="s">
        <v>15</v>
      </c>
      <c r="M298" s="233" t="s">
        <v>15</v>
      </c>
      <c r="N298" s="537">
        <v>723.361223</v>
      </c>
      <c r="O298" s="536">
        <v>1.6</v>
      </c>
      <c r="P298" s="536">
        <v>452.62817710000002</v>
      </c>
      <c r="Q298" s="128">
        <f>2.14/$T$293</f>
        <v>1.093379738958142E-4</v>
      </c>
      <c r="R298" s="2196"/>
      <c r="S298" s="22"/>
      <c r="T298" s="27"/>
      <c r="V298" s="24"/>
      <c r="W298" s="26"/>
      <c r="X298" s="26"/>
      <c r="Y298" s="41"/>
      <c r="Z298" s="41"/>
      <c r="AA298" s="41"/>
      <c r="AB298" s="846"/>
      <c r="AC298" s="26"/>
      <c r="AD298" s="24"/>
      <c r="AE298" s="26"/>
      <c r="AF298" s="106"/>
      <c r="AG298" s="37"/>
      <c r="AH298" s="957"/>
      <c r="AI298" s="1023"/>
      <c r="AJ298" s="1023"/>
      <c r="AK298" s="1023"/>
      <c r="AL298" s="1023"/>
      <c r="AM298" s="1023"/>
      <c r="AN298" s="1023"/>
      <c r="AO298" s="957"/>
      <c r="AP298" s="957"/>
      <c r="AQ298" s="957"/>
      <c r="AR298" s="957"/>
      <c r="AS298" s="957"/>
      <c r="AT298" s="957"/>
      <c r="AU298" s="957"/>
      <c r="AV298" s="957"/>
      <c r="AW298" s="957"/>
      <c r="AX298" s="957"/>
      <c r="AY298" s="957"/>
      <c r="AZ298" s="957"/>
      <c r="BA298" s="957"/>
      <c r="BB298" s="957"/>
      <c r="BC298" s="957"/>
      <c r="BD298" s="957"/>
      <c r="BE298" s="957"/>
      <c r="BF298" s="957"/>
      <c r="BG298" s="957"/>
    </row>
    <row r="299" spans="1:59">
      <c r="A299" s="2172"/>
      <c r="B299" s="2206"/>
      <c r="C299" s="2144"/>
      <c r="D299" s="348" t="s">
        <v>806</v>
      </c>
      <c r="E299" s="452">
        <v>3</v>
      </c>
      <c r="F299" s="148" t="s">
        <v>15</v>
      </c>
      <c r="G299" s="148" t="s">
        <v>15</v>
      </c>
      <c r="H299" s="367">
        <v>698.69910000000004</v>
      </c>
      <c r="I299" s="368">
        <v>25.90953</v>
      </c>
      <c r="J299" s="234" t="s">
        <v>15</v>
      </c>
      <c r="K299" s="233" t="s">
        <v>15</v>
      </c>
      <c r="L299" s="234" t="s">
        <v>15</v>
      </c>
      <c r="M299" s="233" t="s">
        <v>15</v>
      </c>
      <c r="N299" s="537">
        <v>-365.827247</v>
      </c>
      <c r="O299" s="536">
        <v>-0.77</v>
      </c>
      <c r="P299" s="536">
        <v>473.81837919999998</v>
      </c>
      <c r="Q299" s="128">
        <f>30.14/$T$293</f>
        <v>1.539928286551327E-3</v>
      </c>
      <c r="R299" s="2196"/>
      <c r="S299" s="24"/>
      <c r="T299" s="26"/>
      <c r="V299" s="24"/>
      <c r="W299" s="26"/>
      <c r="X299" s="26"/>
      <c r="Y299" s="41"/>
      <c r="Z299" s="41"/>
      <c r="AA299" s="41"/>
      <c r="AB299" s="846"/>
      <c r="AC299" s="26"/>
      <c r="AD299" s="24"/>
      <c r="AE299" s="26"/>
      <c r="AF299" s="106"/>
      <c r="AG299" s="37"/>
      <c r="AH299" s="957"/>
      <c r="AI299" s="1023"/>
      <c r="AJ299" s="1023"/>
      <c r="AK299" s="1023"/>
      <c r="AL299" s="1023"/>
      <c r="AM299" s="1023"/>
      <c r="AN299" s="1023"/>
      <c r="AO299" s="957"/>
      <c r="AP299" s="957"/>
      <c r="AQ299" s="957"/>
      <c r="AR299" s="957"/>
      <c r="AS299" s="957"/>
      <c r="AT299" s="957"/>
      <c r="AU299" s="957"/>
      <c r="AV299" s="957"/>
      <c r="AW299" s="957"/>
      <c r="AX299" s="957"/>
      <c r="AY299" s="957"/>
      <c r="AZ299" s="957"/>
      <c r="BA299" s="957"/>
      <c r="BB299" s="957"/>
      <c r="BC299" s="957"/>
      <c r="BD299" s="957"/>
      <c r="BE299" s="957"/>
      <c r="BF299" s="957"/>
      <c r="BG299" s="957"/>
    </row>
    <row r="300" spans="1:59">
      <c r="A300" s="2172"/>
      <c r="B300" s="2206"/>
      <c r="C300" s="2144"/>
      <c r="D300" s="348" t="s">
        <v>767</v>
      </c>
      <c r="E300" s="452">
        <v>16</v>
      </c>
      <c r="F300" s="148" t="s">
        <v>15</v>
      </c>
      <c r="G300" s="148" t="s">
        <v>15</v>
      </c>
      <c r="H300" s="367">
        <v>932.41489999999999</v>
      </c>
      <c r="I300" s="368">
        <v>49.691029999999998</v>
      </c>
      <c r="J300" s="234" t="s">
        <v>15</v>
      </c>
      <c r="K300" s="233" t="s">
        <v>15</v>
      </c>
      <c r="L300" s="234" t="s">
        <v>15</v>
      </c>
      <c r="M300" s="233" t="s">
        <v>15</v>
      </c>
      <c r="N300" s="537">
        <v>190.30233100000001</v>
      </c>
      <c r="O300" s="536">
        <v>3.93</v>
      </c>
      <c r="P300" s="536">
        <v>48.482877899999998</v>
      </c>
      <c r="Q300" s="128">
        <f>9021.32/$T$293</f>
        <v>0.46092189283447965</v>
      </c>
      <c r="R300" s="2196"/>
      <c r="S300" s="24"/>
      <c r="T300" s="26"/>
      <c r="V300" s="24"/>
      <c r="W300" s="26"/>
      <c r="X300" s="26"/>
      <c r="Y300" s="41"/>
      <c r="Z300" s="41"/>
      <c r="AA300" s="41"/>
      <c r="AB300" s="846"/>
      <c r="AC300" s="26"/>
      <c r="AD300" s="24"/>
      <c r="AE300" s="26"/>
      <c r="AF300" s="106"/>
      <c r="AG300" s="37"/>
      <c r="AH300" s="957"/>
      <c r="AI300" s="1023"/>
      <c r="AJ300" s="1023"/>
      <c r="AK300" s="1023"/>
      <c r="AL300" s="1023"/>
      <c r="AM300" s="1023"/>
      <c r="AN300" s="1023"/>
      <c r="AO300" s="957"/>
      <c r="AP300" s="957"/>
      <c r="AQ300" s="957"/>
      <c r="AR300" s="957"/>
      <c r="AS300" s="957"/>
      <c r="AT300" s="957"/>
      <c r="AU300" s="957"/>
      <c r="AV300" s="957"/>
      <c r="AW300" s="957"/>
      <c r="AX300" s="957"/>
      <c r="AY300" s="957"/>
      <c r="AZ300" s="957"/>
      <c r="BA300" s="957"/>
      <c r="BB300" s="957"/>
      <c r="BC300" s="957"/>
      <c r="BD300" s="957"/>
      <c r="BE300" s="957"/>
      <c r="BF300" s="957"/>
      <c r="BG300" s="957"/>
    </row>
    <row r="301" spans="1:59">
      <c r="A301" s="2172"/>
      <c r="B301" s="2206"/>
      <c r="C301" s="2144"/>
      <c r="D301" s="348" t="s">
        <v>768</v>
      </c>
      <c r="E301" s="452">
        <v>10</v>
      </c>
      <c r="F301" s="148" t="s">
        <v>15</v>
      </c>
      <c r="G301" s="148" t="s">
        <v>15</v>
      </c>
      <c r="H301" s="367">
        <v>675.97059999999999</v>
      </c>
      <c r="I301" s="368">
        <v>63.576079999999997</v>
      </c>
      <c r="J301" s="234" t="s">
        <v>15</v>
      </c>
      <c r="K301" s="233" t="s">
        <v>15</v>
      </c>
      <c r="L301" s="234" t="s">
        <v>15</v>
      </c>
      <c r="M301" s="233" t="s">
        <v>15</v>
      </c>
      <c r="N301" s="537">
        <v>0</v>
      </c>
      <c r="O301" s="536" t="s">
        <v>574</v>
      </c>
      <c r="P301" s="536" t="s">
        <v>574</v>
      </c>
      <c r="Q301" s="128">
        <f>3319.81/$T$293</f>
        <v>0.1696174294948892</v>
      </c>
      <c r="R301" s="2155"/>
      <c r="S301" s="24"/>
      <c r="T301" s="26"/>
      <c r="V301" s="24"/>
      <c r="W301" s="26"/>
      <c r="X301" s="26"/>
      <c r="Y301" s="41"/>
      <c r="Z301" s="41"/>
      <c r="AA301" s="41"/>
      <c r="AB301" s="846"/>
      <c r="AC301" s="26"/>
      <c r="AD301" s="24"/>
      <c r="AE301" s="26"/>
      <c r="AF301" s="106"/>
      <c r="AG301" s="37"/>
      <c r="AH301" s="957"/>
      <c r="AI301" s="1023"/>
      <c r="AJ301" s="1023"/>
      <c r="AK301" s="1023"/>
      <c r="AL301" s="1023"/>
      <c r="AM301" s="1023"/>
      <c r="AN301" s="1023"/>
      <c r="AO301" s="957"/>
      <c r="AP301" s="957"/>
      <c r="AQ301" s="957"/>
      <c r="AR301" s="957"/>
      <c r="AS301" s="957"/>
      <c r="AT301" s="957"/>
      <c r="AU301" s="957"/>
      <c r="AV301" s="957"/>
      <c r="AW301" s="957"/>
      <c r="AX301" s="957"/>
      <c r="AY301" s="957"/>
      <c r="AZ301" s="957"/>
      <c r="BA301" s="957"/>
      <c r="BB301" s="957"/>
      <c r="BC301" s="957"/>
      <c r="BD301" s="957"/>
      <c r="BE301" s="957"/>
      <c r="BF301" s="957"/>
      <c r="BG301" s="957"/>
    </row>
    <row r="302" spans="1:59">
      <c r="A302" s="2172"/>
      <c r="B302" s="2206" t="s">
        <v>769</v>
      </c>
      <c r="C302" s="2144" t="s">
        <v>13</v>
      </c>
      <c r="D302" s="348" t="s">
        <v>832</v>
      </c>
      <c r="E302" s="452">
        <v>69</v>
      </c>
      <c r="F302" s="148" t="s">
        <v>15</v>
      </c>
      <c r="G302" s="148" t="s">
        <v>15</v>
      </c>
      <c r="H302" s="367">
        <v>891.18799999999999</v>
      </c>
      <c r="I302" s="368">
        <v>133.3348</v>
      </c>
      <c r="J302" s="234" t="s">
        <v>15</v>
      </c>
      <c r="K302" s="233" t="s">
        <v>15</v>
      </c>
      <c r="L302" s="234" t="s">
        <v>15</v>
      </c>
      <c r="M302" s="233" t="s">
        <v>15</v>
      </c>
      <c r="N302" s="537">
        <v>0</v>
      </c>
      <c r="O302" s="536" t="s">
        <v>574</v>
      </c>
      <c r="P302" s="536" t="s">
        <v>574</v>
      </c>
      <c r="Q302" s="128">
        <f>1021.33/$T$293</f>
        <v>5.218231442944482E-2</v>
      </c>
      <c r="R302" s="2130">
        <f>SUMPRODUCT(N302:N303,Q302:Q303)</f>
        <v>4.103029778873144</v>
      </c>
      <c r="S302" s="24"/>
      <c r="T302" s="26"/>
      <c r="V302" s="24"/>
      <c r="W302" s="26"/>
      <c r="X302" s="26"/>
      <c r="Y302" s="41"/>
      <c r="Z302" s="41"/>
      <c r="AA302" s="41"/>
      <c r="AB302" s="846"/>
      <c r="AC302" s="26"/>
      <c r="AD302" s="24"/>
      <c r="AE302" s="26"/>
      <c r="AF302" s="106"/>
      <c r="AG302" s="37"/>
      <c r="AH302" s="957"/>
      <c r="AI302" s="1023"/>
      <c r="AJ302" s="1023"/>
      <c r="AK302" s="1023"/>
      <c r="AL302" s="1023"/>
      <c r="AM302" s="1023"/>
      <c r="AN302" s="1023"/>
      <c r="AO302" s="957"/>
      <c r="AP302" s="957"/>
      <c r="AQ302" s="957"/>
      <c r="AR302" s="957"/>
      <c r="AS302" s="957"/>
      <c r="AT302" s="957"/>
      <c r="AU302" s="957"/>
      <c r="AV302" s="957"/>
      <c r="AW302" s="957"/>
      <c r="AX302" s="957"/>
      <c r="AY302" s="957"/>
      <c r="AZ302" s="957"/>
      <c r="BA302" s="957"/>
      <c r="BB302" s="957"/>
      <c r="BC302" s="957"/>
      <c r="BD302" s="957"/>
      <c r="BE302" s="957"/>
      <c r="BF302" s="957"/>
      <c r="BG302" s="957"/>
    </row>
    <row r="303" spans="1:59">
      <c r="A303" s="2172"/>
      <c r="B303" s="2206"/>
      <c r="C303" s="2144"/>
      <c r="D303" s="348">
        <v>240</v>
      </c>
      <c r="E303" s="452">
        <v>17</v>
      </c>
      <c r="F303" s="148" t="s">
        <v>15</v>
      </c>
      <c r="G303" s="148" t="s">
        <v>15</v>
      </c>
      <c r="H303" s="367">
        <v>954.25329999999997</v>
      </c>
      <c r="I303" s="368">
        <v>161.47829999999999</v>
      </c>
      <c r="J303" s="234" t="s">
        <v>15</v>
      </c>
      <c r="K303" s="233" t="s">
        <v>15</v>
      </c>
      <c r="L303" s="234" t="s">
        <v>15</v>
      </c>
      <c r="M303" s="233" t="s">
        <v>15</v>
      </c>
      <c r="N303" s="537">
        <v>4.3289229999999996</v>
      </c>
      <c r="O303" s="536">
        <v>0.09</v>
      </c>
      <c r="P303" s="536">
        <v>47.186585000000001</v>
      </c>
      <c r="Q303" s="128">
        <f>18551.01/$T$293</f>
        <v>0.94781768557055512</v>
      </c>
      <c r="R303" s="2196"/>
      <c r="S303" s="24"/>
      <c r="T303" s="26"/>
      <c r="V303" s="24"/>
      <c r="W303" s="26"/>
      <c r="X303" s="26"/>
      <c r="Y303" s="41"/>
      <c r="Z303" s="41"/>
      <c r="AA303" s="41"/>
      <c r="AB303" s="846"/>
      <c r="AC303" s="26"/>
      <c r="AD303" s="24"/>
      <c r="AE303" s="26"/>
      <c r="AF303" s="106"/>
      <c r="AG303" s="37"/>
      <c r="AH303" s="957"/>
      <c r="AI303" s="1023"/>
      <c r="AJ303" s="1023"/>
      <c r="AK303" s="1023"/>
      <c r="AL303" s="1023"/>
      <c r="AM303" s="1023"/>
      <c r="AN303" s="1023"/>
      <c r="AO303" s="957"/>
      <c r="AP303" s="957"/>
      <c r="AQ303" s="957"/>
      <c r="AR303" s="957"/>
      <c r="AS303" s="957"/>
      <c r="AT303" s="957"/>
      <c r="AU303" s="957"/>
      <c r="AV303" s="957"/>
      <c r="AW303" s="957"/>
      <c r="AX303" s="957"/>
      <c r="AY303" s="957"/>
      <c r="AZ303" s="957"/>
      <c r="BA303" s="957"/>
      <c r="BB303" s="957"/>
      <c r="BC303" s="957"/>
      <c r="BD303" s="957"/>
      <c r="BE303" s="957"/>
      <c r="BF303" s="957"/>
      <c r="BG303" s="957"/>
    </row>
    <row r="304" spans="1:59">
      <c r="A304" s="2172"/>
      <c r="B304" s="2206" t="s">
        <v>770</v>
      </c>
      <c r="C304" s="2144" t="s">
        <v>13</v>
      </c>
      <c r="D304" s="348" t="s">
        <v>771</v>
      </c>
      <c r="E304" s="452">
        <v>84</v>
      </c>
      <c r="F304" s="148" t="s">
        <v>15</v>
      </c>
      <c r="G304" s="148" t="s">
        <v>15</v>
      </c>
      <c r="H304" s="367">
        <v>891.86760000000004</v>
      </c>
      <c r="I304" s="368">
        <v>133.82400000000001</v>
      </c>
      <c r="J304" s="234" t="s">
        <v>15</v>
      </c>
      <c r="K304" s="233" t="s">
        <v>15</v>
      </c>
      <c r="L304" s="234" t="s">
        <v>15</v>
      </c>
      <c r="M304" s="233" t="s">
        <v>15</v>
      </c>
      <c r="N304" s="537">
        <v>-218.388014</v>
      </c>
      <c r="O304" s="536">
        <v>-0.44</v>
      </c>
      <c r="P304" s="536">
        <v>492.11899510000001</v>
      </c>
      <c r="Q304" s="128">
        <f>19570.24/$T$293</f>
        <v>0.99989270572655087</v>
      </c>
      <c r="R304" s="2130">
        <f>SUMPRODUCT(N304:N305,Q304:Q305)</f>
        <v>-218.36458221670787</v>
      </c>
      <c r="S304" s="24"/>
      <c r="T304" s="26"/>
      <c r="V304" s="24"/>
      <c r="W304" s="26"/>
      <c r="X304" s="26"/>
      <c r="Y304" s="41"/>
      <c r="Z304" s="41"/>
      <c r="AA304" s="41"/>
      <c r="AB304" s="846"/>
      <c r="AC304" s="26"/>
      <c r="AD304" s="24"/>
      <c r="AE304" s="26"/>
      <c r="AF304" s="106"/>
      <c r="AG304" s="37"/>
      <c r="AH304" s="957"/>
      <c r="AI304" s="1023"/>
      <c r="AJ304" s="1023"/>
      <c r="AK304" s="1023"/>
      <c r="AL304" s="1023"/>
      <c r="AM304" s="1023"/>
      <c r="AN304" s="1023"/>
      <c r="AO304" s="957"/>
      <c r="AP304" s="957"/>
      <c r="AQ304" s="957"/>
      <c r="AR304" s="957"/>
      <c r="AS304" s="957"/>
      <c r="AT304" s="957"/>
      <c r="AU304" s="957"/>
      <c r="AV304" s="957"/>
      <c r="AW304" s="957"/>
      <c r="AX304" s="957"/>
      <c r="AY304" s="957"/>
      <c r="AZ304" s="957"/>
      <c r="BA304" s="957"/>
      <c r="BB304" s="957"/>
      <c r="BC304" s="957"/>
      <c r="BD304" s="957"/>
      <c r="BE304" s="957"/>
      <c r="BF304" s="957"/>
      <c r="BG304" s="957"/>
    </row>
    <row r="305" spans="1:113">
      <c r="A305" s="2172"/>
      <c r="B305" s="2206"/>
      <c r="C305" s="2144"/>
      <c r="D305" s="348" t="s">
        <v>772</v>
      </c>
      <c r="E305" s="452">
        <v>2</v>
      </c>
      <c r="F305" s="148" t="s">
        <v>15</v>
      </c>
      <c r="G305" s="148" t="s">
        <v>15</v>
      </c>
      <c r="H305" s="367">
        <v>1180.4760000000001</v>
      </c>
      <c r="I305" s="368">
        <v>25.114239999999999</v>
      </c>
      <c r="J305" s="234" t="s">
        <v>15</v>
      </c>
      <c r="K305" s="233" t="s">
        <v>15</v>
      </c>
      <c r="L305" s="234" t="s">
        <v>15</v>
      </c>
      <c r="M305" s="233" t="s">
        <v>15</v>
      </c>
      <c r="N305" s="537">
        <v>0</v>
      </c>
      <c r="O305" s="536" t="s">
        <v>574</v>
      </c>
      <c r="P305" s="536" t="s">
        <v>574</v>
      </c>
      <c r="Q305" s="128">
        <f>2.1/$T$293</f>
        <v>1.0729427344916347E-4</v>
      </c>
      <c r="R305" s="2155"/>
      <c r="S305" s="24"/>
      <c r="T305" s="26"/>
      <c r="V305" s="24"/>
      <c r="W305" s="26"/>
      <c r="X305" s="26"/>
      <c r="Y305" s="41"/>
      <c r="Z305" s="41"/>
      <c r="AA305" s="41"/>
      <c r="AB305" s="846"/>
      <c r="AC305" s="26"/>
      <c r="AD305" s="24"/>
      <c r="AE305" s="26"/>
      <c r="AF305" s="106"/>
      <c r="AG305" s="37"/>
      <c r="AH305" s="957"/>
      <c r="AI305" s="1023"/>
      <c r="AJ305" s="1023"/>
      <c r="AK305" s="1023"/>
      <c r="AL305" s="1023"/>
      <c r="AM305" s="1023"/>
      <c r="AN305" s="1023"/>
      <c r="AO305" s="957"/>
      <c r="AP305" s="957"/>
      <c r="AQ305" s="957"/>
      <c r="AR305" s="957"/>
      <c r="AS305" s="957"/>
      <c r="AT305" s="957"/>
      <c r="AU305" s="957"/>
      <c r="AV305" s="957"/>
      <c r="AW305" s="957"/>
      <c r="AX305" s="957"/>
      <c r="AY305" s="957"/>
      <c r="AZ305" s="957"/>
      <c r="BA305" s="957"/>
      <c r="BB305" s="957"/>
      <c r="BC305" s="957"/>
      <c r="BD305" s="957"/>
      <c r="BE305" s="957"/>
      <c r="BF305" s="957"/>
      <c r="BG305" s="957"/>
    </row>
    <row r="306" spans="1:113">
      <c r="A306" s="2172"/>
      <c r="B306" s="2207" t="s">
        <v>773</v>
      </c>
      <c r="C306" s="2278" t="s">
        <v>13</v>
      </c>
      <c r="D306" s="338" t="s">
        <v>774</v>
      </c>
      <c r="E306" s="452">
        <v>52</v>
      </c>
      <c r="F306" s="148" t="s">
        <v>15</v>
      </c>
      <c r="G306" s="148" t="s">
        <v>15</v>
      </c>
      <c r="H306" s="367">
        <v>840.85069999999996</v>
      </c>
      <c r="I306" s="368">
        <v>174.22669999999999</v>
      </c>
      <c r="J306" s="234" t="s">
        <v>15</v>
      </c>
      <c r="K306" s="233" t="s">
        <v>15</v>
      </c>
      <c r="L306" s="234" t="s">
        <v>15</v>
      </c>
      <c r="M306" s="233" t="s">
        <v>15</v>
      </c>
      <c r="N306" s="537">
        <v>0</v>
      </c>
      <c r="O306" s="536" t="s">
        <v>574</v>
      </c>
      <c r="P306" s="536" t="s">
        <v>574</v>
      </c>
      <c r="Q306" s="128">
        <f>7967.8/$T$293</f>
        <v>0.40709491047059271</v>
      </c>
      <c r="R306" s="2130">
        <f>SUMPRODUCT(N306:N308,Q306:Q308)</f>
        <v>6.3380354388887588</v>
      </c>
      <c r="S306" s="24"/>
      <c r="T306" s="26"/>
      <c r="V306" s="24"/>
      <c r="W306" s="26"/>
      <c r="X306" s="26"/>
      <c r="Y306" s="41"/>
      <c r="Z306" s="41"/>
      <c r="AA306" s="41"/>
      <c r="AB306" s="846"/>
      <c r="AC306" s="26"/>
      <c r="AD306" s="24"/>
      <c r="AE306" s="26"/>
      <c r="AF306" s="106"/>
      <c r="AG306" s="37"/>
      <c r="AH306" s="957"/>
      <c r="AI306" s="1023"/>
      <c r="AJ306" s="1023"/>
      <c r="AK306" s="1023"/>
      <c r="AL306" s="1023"/>
      <c r="AM306" s="1023"/>
      <c r="AN306" s="1023"/>
      <c r="AO306" s="957"/>
      <c r="AP306" s="957"/>
      <c r="AQ306" s="957"/>
      <c r="AR306" s="957"/>
      <c r="AS306" s="957"/>
      <c r="AT306" s="957"/>
      <c r="AU306" s="957"/>
      <c r="AV306" s="957"/>
      <c r="AW306" s="957"/>
      <c r="AX306" s="957"/>
      <c r="AY306" s="957"/>
      <c r="AZ306" s="957"/>
      <c r="BA306" s="957"/>
      <c r="BB306" s="957"/>
      <c r="BC306" s="957"/>
      <c r="BD306" s="957"/>
      <c r="BE306" s="957"/>
      <c r="BF306" s="957"/>
      <c r="BG306" s="957"/>
    </row>
    <row r="307" spans="1:113">
      <c r="A307" s="2172"/>
      <c r="B307" s="2208"/>
      <c r="C307" s="2279"/>
      <c r="D307" s="338" t="s">
        <v>775</v>
      </c>
      <c r="E307" s="452">
        <v>30</v>
      </c>
      <c r="F307" s="148" t="s">
        <v>15</v>
      </c>
      <c r="G307" s="148" t="s">
        <v>15</v>
      </c>
      <c r="H307" s="367">
        <v>922.59849999999994</v>
      </c>
      <c r="I307" s="368">
        <v>63.260150000000003</v>
      </c>
      <c r="J307" s="234" t="s">
        <v>15</v>
      </c>
      <c r="K307" s="233" t="s">
        <v>15</v>
      </c>
      <c r="L307" s="234" t="s">
        <v>15</v>
      </c>
      <c r="M307" s="233" t="s">
        <v>15</v>
      </c>
      <c r="N307" s="537">
        <v>7.0541369999999999</v>
      </c>
      <c r="O307" s="536">
        <v>0.03</v>
      </c>
      <c r="P307" s="536">
        <v>229.39212079999999</v>
      </c>
      <c r="Q307" s="128">
        <f>11509.54/$T$293</f>
        <v>0.58805130096861191</v>
      </c>
      <c r="R307" s="2196"/>
      <c r="S307" s="24"/>
      <c r="T307" s="26"/>
      <c r="V307" s="24"/>
      <c r="W307" s="26"/>
      <c r="X307" s="26"/>
      <c r="Y307" s="41"/>
      <c r="Z307" s="41"/>
      <c r="AA307" s="41"/>
      <c r="AB307" s="846"/>
      <c r="AC307" s="26"/>
      <c r="AD307" s="24"/>
      <c r="AE307" s="26"/>
      <c r="AF307" s="106"/>
      <c r="AG307" s="37"/>
      <c r="AH307" s="957"/>
      <c r="AI307" s="1023"/>
      <c r="AJ307" s="1023"/>
      <c r="AK307" s="1023"/>
      <c r="AL307" s="1023"/>
      <c r="AM307" s="1023"/>
      <c r="AN307" s="1023"/>
      <c r="AO307" s="957"/>
      <c r="AP307" s="957"/>
      <c r="AQ307" s="957"/>
      <c r="AR307" s="957"/>
      <c r="AS307" s="957"/>
      <c r="AT307" s="957"/>
      <c r="AU307" s="957"/>
      <c r="AV307" s="957"/>
      <c r="AW307" s="957"/>
      <c r="AX307" s="957"/>
      <c r="AY307" s="957"/>
      <c r="AZ307" s="957"/>
      <c r="BA307" s="957"/>
      <c r="BB307" s="957"/>
      <c r="BC307" s="957"/>
      <c r="BD307" s="957"/>
      <c r="BE307" s="957"/>
      <c r="BF307" s="957"/>
      <c r="BG307" s="957"/>
    </row>
    <row r="308" spans="1:113">
      <c r="A308" s="2172"/>
      <c r="B308" s="2209"/>
      <c r="C308" s="2284"/>
      <c r="D308" s="338" t="s">
        <v>777</v>
      </c>
      <c r="E308" s="452">
        <v>4</v>
      </c>
      <c r="F308" s="148" t="s">
        <v>15</v>
      </c>
      <c r="G308" s="148" t="s">
        <v>15</v>
      </c>
      <c r="H308" s="367">
        <v>1453.971</v>
      </c>
      <c r="I308" s="368">
        <v>108.1799</v>
      </c>
      <c r="J308" s="234" t="s">
        <v>15</v>
      </c>
      <c r="K308" s="233" t="s">
        <v>15</v>
      </c>
      <c r="L308" s="234" t="s">
        <v>15</v>
      </c>
      <c r="M308" s="233" t="s">
        <v>15</v>
      </c>
      <c r="N308" s="537">
        <v>451.16118499999999</v>
      </c>
      <c r="O308" s="536">
        <v>6.59</v>
      </c>
      <c r="P308" s="536">
        <v>68.461315099999993</v>
      </c>
      <c r="Q308" s="128">
        <f>95/$T$293</f>
        <v>4.8537885607954903E-3</v>
      </c>
      <c r="R308" s="2155"/>
      <c r="S308" s="24"/>
      <c r="T308" s="26"/>
      <c r="V308" s="24"/>
      <c r="W308" s="26"/>
      <c r="X308" s="26"/>
      <c r="Y308" s="41"/>
      <c r="Z308" s="41"/>
      <c r="AA308" s="41"/>
      <c r="AB308" s="846"/>
      <c r="AC308" s="26"/>
      <c r="AD308" s="24"/>
      <c r="AE308" s="26"/>
      <c r="AF308" s="106"/>
      <c r="AG308" s="37"/>
      <c r="AH308" s="957"/>
      <c r="AI308" s="1023"/>
      <c r="AJ308" s="1023"/>
      <c r="AK308" s="1023"/>
      <c r="AL308" s="1023"/>
      <c r="AM308" s="1023"/>
      <c r="AN308" s="1023"/>
      <c r="AO308" s="957"/>
      <c r="AP308" s="957"/>
      <c r="AQ308" s="957"/>
      <c r="AR308" s="957"/>
      <c r="AS308" s="957"/>
      <c r="AT308" s="957"/>
      <c r="AU308" s="957"/>
      <c r="AV308" s="957"/>
      <c r="AW308" s="957"/>
      <c r="AX308" s="957"/>
      <c r="AY308" s="957"/>
      <c r="AZ308" s="957"/>
      <c r="BA308" s="957"/>
      <c r="BB308" s="957"/>
      <c r="BC308" s="957"/>
      <c r="BD308" s="957"/>
      <c r="BE308" s="957"/>
      <c r="BF308" s="957"/>
      <c r="BG308" s="957"/>
    </row>
    <row r="309" spans="1:113">
      <c r="A309" s="2172"/>
      <c r="B309" s="2206" t="s">
        <v>778</v>
      </c>
      <c r="C309" s="2205" t="s">
        <v>11</v>
      </c>
      <c r="D309" s="338" t="s">
        <v>33</v>
      </c>
      <c r="E309" s="452">
        <v>16</v>
      </c>
      <c r="F309" s="148" t="s">
        <v>15</v>
      </c>
      <c r="G309" s="148" t="s">
        <v>15</v>
      </c>
      <c r="H309" s="367">
        <v>821.55550000000005</v>
      </c>
      <c r="I309" s="368">
        <v>164.03020000000001</v>
      </c>
      <c r="J309" s="234" t="s">
        <v>15</v>
      </c>
      <c r="K309" s="233" t="s">
        <v>15</v>
      </c>
      <c r="L309" s="234" t="s">
        <v>15</v>
      </c>
      <c r="M309" s="233" t="s">
        <v>15</v>
      </c>
      <c r="N309" s="537">
        <v>453.862932</v>
      </c>
      <c r="O309" s="536">
        <v>0.99</v>
      </c>
      <c r="P309" s="536">
        <v>458.79190779999999</v>
      </c>
      <c r="Q309" s="128">
        <f>1021.33/$T$293</f>
        <v>5.218231442944482E-2</v>
      </c>
      <c r="R309" s="2130">
        <f>SUMPRODUCT(N309:N310,Q309:Q310)</f>
        <v>23.683618225493735</v>
      </c>
      <c r="S309" s="24"/>
      <c r="T309" s="26"/>
      <c r="V309" s="24"/>
      <c r="W309" s="26"/>
      <c r="X309" s="26"/>
      <c r="Y309" s="41"/>
      <c r="Z309" s="41"/>
      <c r="AA309" s="41"/>
      <c r="AB309" s="846"/>
      <c r="AC309" s="26"/>
      <c r="AD309" s="24"/>
      <c r="AE309" s="26"/>
      <c r="AF309" s="106"/>
      <c r="AG309" s="37"/>
      <c r="AH309" s="957"/>
      <c r="AI309" s="1023"/>
      <c r="AJ309" s="1023"/>
      <c r="AK309" s="1023"/>
      <c r="AL309" s="1023"/>
      <c r="AM309" s="1023"/>
      <c r="AN309" s="1023"/>
      <c r="AO309" s="957"/>
      <c r="AP309" s="957"/>
      <c r="AQ309" s="957"/>
      <c r="AR309" s="957"/>
      <c r="AS309" s="957"/>
      <c r="AT309" s="957"/>
      <c r="AU309" s="957"/>
      <c r="AV309" s="957"/>
      <c r="AW309" s="957"/>
      <c r="AX309" s="957"/>
      <c r="AY309" s="957"/>
      <c r="AZ309" s="957"/>
      <c r="BA309" s="957"/>
      <c r="BB309" s="957"/>
      <c r="BC309" s="957"/>
      <c r="BD309" s="957"/>
      <c r="BE309" s="957"/>
      <c r="BF309" s="957"/>
      <c r="BG309" s="957"/>
    </row>
    <row r="310" spans="1:113">
      <c r="A310" s="2172"/>
      <c r="B310" s="2206"/>
      <c r="C310" s="2205"/>
      <c r="D310" s="338" t="s">
        <v>32</v>
      </c>
      <c r="E310" s="452">
        <v>70</v>
      </c>
      <c r="F310" s="148" t="s">
        <v>15</v>
      </c>
      <c r="G310" s="148" t="s">
        <v>15</v>
      </c>
      <c r="H310" s="367">
        <v>895.7713</v>
      </c>
      <c r="I310" s="368">
        <v>130.89529999999999</v>
      </c>
      <c r="J310" s="234" t="s">
        <v>15</v>
      </c>
      <c r="K310" s="233" t="s">
        <v>15</v>
      </c>
      <c r="L310" s="234" t="s">
        <v>15</v>
      </c>
      <c r="M310" s="233" t="s">
        <v>15</v>
      </c>
      <c r="N310" s="537">
        <v>0</v>
      </c>
      <c r="O310" s="536" t="s">
        <v>574</v>
      </c>
      <c r="P310" s="536" t="s">
        <v>574</v>
      </c>
      <c r="Q310" s="128">
        <f>18551.01/$T$293</f>
        <v>0.94781768557055512</v>
      </c>
      <c r="R310" s="2155"/>
      <c r="S310" s="24"/>
      <c r="T310" s="26"/>
      <c r="V310" s="24"/>
      <c r="W310" s="26"/>
      <c r="X310" s="26"/>
      <c r="Y310" s="41"/>
      <c r="Z310" s="41"/>
      <c r="AA310" s="41"/>
      <c r="AB310" s="846"/>
      <c r="AC310" s="26"/>
      <c r="AD310" s="24"/>
      <c r="AE310" s="26"/>
      <c r="AF310" s="106"/>
      <c r="AG310" s="37"/>
      <c r="AH310" s="957"/>
      <c r="AI310" s="1023"/>
      <c r="AJ310" s="1023"/>
      <c r="AK310" s="1023"/>
      <c r="AL310" s="1023"/>
      <c r="AM310" s="1023"/>
      <c r="AN310" s="1023"/>
      <c r="AO310" s="957"/>
      <c r="AP310" s="957"/>
      <c r="AQ310" s="957"/>
      <c r="AR310" s="957"/>
      <c r="AS310" s="957"/>
      <c r="AT310" s="957"/>
      <c r="AU310" s="957"/>
      <c r="AV310" s="957"/>
      <c r="AW310" s="957"/>
      <c r="AX310" s="957"/>
      <c r="AY310" s="957"/>
      <c r="AZ310" s="957"/>
      <c r="BA310" s="957"/>
      <c r="BB310" s="957"/>
      <c r="BC310" s="957"/>
      <c r="BD310" s="957"/>
      <c r="BE310" s="957"/>
      <c r="BF310" s="957"/>
      <c r="BG310" s="957"/>
    </row>
    <row r="311" spans="1:113">
      <c r="A311" s="2172"/>
      <c r="B311" s="2206" t="s">
        <v>787</v>
      </c>
      <c r="C311" s="2205" t="s">
        <v>11</v>
      </c>
      <c r="D311" s="338" t="s">
        <v>33</v>
      </c>
      <c r="E311" s="452">
        <v>25</v>
      </c>
      <c r="F311" s="148" t="s">
        <v>15</v>
      </c>
      <c r="G311" s="148" t="s">
        <v>15</v>
      </c>
      <c r="H311" s="367">
        <v>922.68759999999997</v>
      </c>
      <c r="I311" s="368">
        <v>63.05001</v>
      </c>
      <c r="J311" s="234" t="s">
        <v>15</v>
      </c>
      <c r="K311" s="233" t="s">
        <v>15</v>
      </c>
      <c r="L311" s="234" t="s">
        <v>15</v>
      </c>
      <c r="M311" s="233" t="s">
        <v>15</v>
      </c>
      <c r="N311" s="537">
        <v>103.09558199999999</v>
      </c>
      <c r="O311" s="536">
        <v>0.46</v>
      </c>
      <c r="P311" s="536">
        <v>223.61961959999999</v>
      </c>
      <c r="Q311" s="128">
        <f>11482.06/$T$293</f>
        <v>0.5866472787617627</v>
      </c>
      <c r="R311" s="2129">
        <f>SUMPRODUCT(N311:N312,Q311:Q312)</f>
        <v>60.48074263266016</v>
      </c>
      <c r="S311" s="24"/>
      <c r="T311" s="26"/>
      <c r="V311" s="24"/>
      <c r="W311" s="26"/>
      <c r="X311" s="26"/>
      <c r="Y311" s="41"/>
      <c r="Z311" s="41"/>
      <c r="AA311" s="41"/>
      <c r="AB311" s="846"/>
      <c r="AC311" s="26"/>
      <c r="AD311" s="24"/>
      <c r="AE311" s="26"/>
      <c r="AF311" s="106"/>
      <c r="AG311" s="37"/>
      <c r="AH311" s="957"/>
      <c r="AI311" s="1023"/>
      <c r="AJ311" s="1023"/>
      <c r="AK311" s="1023"/>
      <c r="AL311" s="1023"/>
      <c r="AM311" s="1023"/>
      <c r="AN311" s="1023"/>
      <c r="AO311" s="957"/>
      <c r="AP311" s="957"/>
      <c r="AQ311" s="957"/>
      <c r="AR311" s="957"/>
      <c r="AS311" s="957"/>
      <c r="AT311" s="957"/>
      <c r="AU311" s="957"/>
      <c r="AV311" s="957"/>
      <c r="AW311" s="957"/>
      <c r="AX311" s="957"/>
      <c r="AY311" s="957"/>
      <c r="AZ311" s="957"/>
      <c r="BA311" s="957"/>
      <c r="BB311" s="957"/>
      <c r="BC311" s="957"/>
      <c r="BD311" s="957"/>
      <c r="BE311" s="957"/>
      <c r="BF311" s="957"/>
      <c r="BG311" s="957"/>
    </row>
    <row r="312" spans="1:113">
      <c r="A312" s="2172"/>
      <c r="B312" s="2206"/>
      <c r="C312" s="2205"/>
      <c r="D312" s="338" t="s">
        <v>32</v>
      </c>
      <c r="E312" s="452">
        <v>61</v>
      </c>
      <c r="F312" s="148" t="s">
        <v>15</v>
      </c>
      <c r="G312" s="148" t="s">
        <v>15</v>
      </c>
      <c r="H312" s="367">
        <v>848.20140000000004</v>
      </c>
      <c r="I312" s="368">
        <v>185.59700000000001</v>
      </c>
      <c r="J312" s="234" t="s">
        <v>15</v>
      </c>
      <c r="K312" s="233" t="s">
        <v>15</v>
      </c>
      <c r="L312" s="234" t="s">
        <v>15</v>
      </c>
      <c r="M312" s="233" t="s">
        <v>15</v>
      </c>
      <c r="N312" s="537">
        <v>0</v>
      </c>
      <c r="O312" s="536" t="s">
        <v>574</v>
      </c>
      <c r="P312" s="536" t="s">
        <v>574</v>
      </c>
      <c r="Q312" s="128">
        <f>8090.28/$T$293</f>
        <v>0.41335272123823719</v>
      </c>
      <c r="R312" s="2129"/>
      <c r="S312" s="24"/>
      <c r="T312" s="26"/>
      <c r="V312" s="24"/>
      <c r="W312" s="26"/>
      <c r="X312" s="26"/>
      <c r="Y312" s="41"/>
      <c r="Z312" s="41"/>
      <c r="AA312" s="41"/>
      <c r="AB312" s="846"/>
      <c r="AC312" s="26"/>
      <c r="AD312" s="24"/>
      <c r="AE312" s="26"/>
      <c r="AF312" s="106"/>
      <c r="AG312" s="37"/>
      <c r="AH312" s="957"/>
      <c r="AI312" s="1023"/>
      <c r="AJ312" s="1023"/>
      <c r="AK312" s="1023"/>
      <c r="AL312" s="1023"/>
      <c r="AM312" s="1023"/>
      <c r="AN312" s="1023"/>
      <c r="AO312" s="957"/>
      <c r="AP312" s="957"/>
      <c r="AQ312" s="957"/>
      <c r="AR312" s="957"/>
      <c r="AS312" s="957"/>
      <c r="AT312" s="957"/>
      <c r="AU312" s="957"/>
      <c r="AV312" s="957"/>
      <c r="AW312" s="957"/>
      <c r="AX312" s="957"/>
      <c r="AY312" s="957"/>
      <c r="AZ312" s="957"/>
      <c r="BA312" s="957"/>
      <c r="BB312" s="957"/>
      <c r="BC312" s="957"/>
      <c r="BD312" s="957"/>
      <c r="BE312" s="957"/>
      <c r="BF312" s="957"/>
      <c r="BG312" s="957"/>
    </row>
    <row r="313" spans="1:113">
      <c r="A313" s="2172"/>
      <c r="B313" s="2207" t="s">
        <v>800</v>
      </c>
      <c r="C313" s="2205" t="s">
        <v>11</v>
      </c>
      <c r="D313" s="338" t="s">
        <v>33</v>
      </c>
      <c r="E313" s="452">
        <v>82</v>
      </c>
      <c r="F313" s="148" t="s">
        <v>15</v>
      </c>
      <c r="G313" s="148" t="s">
        <v>15</v>
      </c>
      <c r="H313" s="367">
        <v>892.10329999999999</v>
      </c>
      <c r="I313" s="368">
        <v>133.63419999999999</v>
      </c>
      <c r="J313" s="234" t="s">
        <v>15</v>
      </c>
      <c r="K313" s="233" t="s">
        <v>15</v>
      </c>
      <c r="L313" s="234" t="s">
        <v>15</v>
      </c>
      <c r="M313" s="233" t="s">
        <v>15</v>
      </c>
      <c r="N313" s="537">
        <v>145.381068</v>
      </c>
      <c r="O313" s="536">
        <v>0.62</v>
      </c>
      <c r="P313" s="536">
        <v>234.2015347</v>
      </c>
      <c r="Q313" s="128">
        <f>19558.96/$T$293</f>
        <v>0.99931638220059527</v>
      </c>
      <c r="R313" s="2130">
        <f>SUMPRODUCT(N313:N314,Q313:Q314)</f>
        <v>145.28168291421872</v>
      </c>
      <c r="S313" s="24"/>
      <c r="T313" s="26"/>
      <c r="V313" s="24"/>
      <c r="W313" s="26"/>
      <c r="X313" s="26"/>
      <c r="Y313" s="41"/>
      <c r="Z313" s="41"/>
      <c r="AA313" s="41"/>
      <c r="AB313" s="846"/>
      <c r="AC313" s="26"/>
      <c r="AD313" s="24"/>
      <c r="AE313" s="26"/>
      <c r="AF313" s="106"/>
      <c r="AG313" s="37"/>
      <c r="AH313" s="957"/>
      <c r="AI313" s="1023"/>
      <c r="AJ313" s="1023"/>
      <c r="AK313" s="1023"/>
      <c r="AL313" s="1023"/>
      <c r="AM313" s="1023"/>
      <c r="AN313" s="1023"/>
      <c r="AO313" s="957"/>
      <c r="AP313" s="957"/>
      <c r="AQ313" s="957"/>
      <c r="AR313" s="957"/>
      <c r="AS313" s="957"/>
      <c r="AT313" s="957"/>
      <c r="AU313" s="957"/>
      <c r="AV313" s="957"/>
      <c r="AW313" s="957"/>
      <c r="AX313" s="957"/>
      <c r="AY313" s="957"/>
      <c r="AZ313" s="957"/>
      <c r="BA313" s="957"/>
      <c r="BB313" s="957"/>
      <c r="BC313" s="957"/>
      <c r="BD313" s="957"/>
      <c r="BE313" s="957"/>
      <c r="BF313" s="957"/>
      <c r="BG313" s="957"/>
    </row>
    <row r="314" spans="1:113">
      <c r="A314" s="2172"/>
      <c r="B314" s="2209"/>
      <c r="C314" s="2205"/>
      <c r="D314" s="338" t="s">
        <v>32</v>
      </c>
      <c r="E314" s="452">
        <v>4</v>
      </c>
      <c r="F314" s="148" t="s">
        <v>15</v>
      </c>
      <c r="G314" s="148" t="s">
        <v>15</v>
      </c>
      <c r="H314" s="367">
        <v>592.62630000000001</v>
      </c>
      <c r="I314" s="368">
        <v>113.36279999999999</v>
      </c>
      <c r="J314" s="234" t="s">
        <v>15</v>
      </c>
      <c r="K314" s="233" t="s">
        <v>15</v>
      </c>
      <c r="L314" s="234" t="s">
        <v>15</v>
      </c>
      <c r="M314" s="233" t="s">
        <v>15</v>
      </c>
      <c r="N314" s="537">
        <v>0</v>
      </c>
      <c r="O314" s="536" t="s">
        <v>574</v>
      </c>
      <c r="P314" s="536" t="s">
        <v>574</v>
      </c>
      <c r="Q314" s="128">
        <f>13.38/$T$293</f>
        <v>6.8361779940467014E-4</v>
      </c>
      <c r="R314" s="2155"/>
      <c r="S314" s="24"/>
      <c r="T314" s="26"/>
      <c r="V314" s="24"/>
      <c r="W314" s="26"/>
      <c r="X314" s="26"/>
      <c r="Y314" s="41"/>
      <c r="Z314" s="41"/>
      <c r="AA314" s="41"/>
      <c r="AB314" s="846"/>
      <c r="AC314" s="26"/>
      <c r="AD314" s="24"/>
      <c r="AE314" s="26"/>
      <c r="AF314" s="106"/>
      <c r="AG314" s="37"/>
      <c r="AH314" s="957"/>
      <c r="AI314" s="1023"/>
      <c r="AJ314" s="1023"/>
      <c r="AK314" s="1023"/>
      <c r="AL314" s="1023"/>
      <c r="AM314" s="1023"/>
      <c r="AN314" s="1023"/>
      <c r="AO314" s="957"/>
      <c r="AP314" s="957"/>
      <c r="AQ314" s="957"/>
      <c r="AR314" s="957"/>
      <c r="AS314" s="957"/>
      <c r="AT314" s="957"/>
      <c r="AU314" s="957"/>
      <c r="AV314" s="957"/>
      <c r="AW314" s="957"/>
      <c r="AX314" s="957"/>
      <c r="AY314" s="957"/>
      <c r="AZ314" s="957"/>
      <c r="BA314" s="957"/>
      <c r="BB314" s="957"/>
      <c r="BC314" s="957"/>
      <c r="BD314" s="957"/>
      <c r="BE314" s="957"/>
      <c r="BF314" s="957"/>
      <c r="BG314" s="957"/>
    </row>
    <row r="315" spans="1:113">
      <c r="A315" s="2172"/>
      <c r="B315" s="2206" t="s">
        <v>7</v>
      </c>
      <c r="C315" s="2144" t="s">
        <v>13</v>
      </c>
      <c r="D315" s="348">
        <v>1</v>
      </c>
      <c r="E315" s="452">
        <v>28</v>
      </c>
      <c r="F315" s="148" t="s">
        <v>15</v>
      </c>
      <c r="G315" s="148" t="s">
        <v>15</v>
      </c>
      <c r="H315" s="367">
        <v>864.79240000000004</v>
      </c>
      <c r="I315" s="368">
        <v>145.66329999999999</v>
      </c>
      <c r="J315" s="234" t="s">
        <v>15</v>
      </c>
      <c r="K315" s="233" t="s">
        <v>15</v>
      </c>
      <c r="L315" s="234" t="s">
        <v>15</v>
      </c>
      <c r="M315" s="233" t="s">
        <v>15</v>
      </c>
      <c r="N315" s="537">
        <v>-54.139609999999998</v>
      </c>
      <c r="O315" s="536">
        <v>-4.62</v>
      </c>
      <c r="P315" s="536">
        <v>11.7156147</v>
      </c>
      <c r="Q315" s="128">
        <f>7208.08/$T$293</f>
        <v>0.36827890788735529</v>
      </c>
      <c r="R315" s="2130">
        <f>SUMPRODUCT(N315:N318,Q315:Q318)</f>
        <v>-75.854008588130995</v>
      </c>
      <c r="S315" s="24"/>
      <c r="T315" s="26"/>
      <c r="V315" s="24"/>
      <c r="W315" s="26"/>
      <c r="X315" s="26"/>
      <c r="Y315" s="41"/>
      <c r="Z315" s="41"/>
      <c r="AA315" s="41"/>
      <c r="AB315" s="846"/>
      <c r="AC315" s="26"/>
      <c r="AD315" s="24"/>
      <c r="AE315" s="26"/>
      <c r="AF315" s="106"/>
      <c r="AG315" s="37"/>
      <c r="AH315" s="957"/>
      <c r="AI315" s="1023"/>
      <c r="AJ315" s="1023"/>
      <c r="AK315" s="1023"/>
      <c r="AL315" s="1023"/>
      <c r="AM315" s="1023"/>
      <c r="AN315" s="1023"/>
      <c r="AO315" s="957"/>
      <c r="AP315" s="957"/>
      <c r="AQ315" s="957"/>
      <c r="AR315" s="957"/>
      <c r="AS315" s="957"/>
      <c r="AT315" s="957"/>
      <c r="AU315" s="957"/>
      <c r="AV315" s="957"/>
      <c r="AW315" s="957"/>
      <c r="AX315" s="957"/>
      <c r="AY315" s="957"/>
      <c r="AZ315" s="957"/>
      <c r="BA315" s="957"/>
      <c r="BB315" s="957"/>
      <c r="BC315" s="957"/>
      <c r="BD315" s="957"/>
      <c r="BE315" s="957"/>
      <c r="BF315" s="957"/>
      <c r="BG315" s="957"/>
    </row>
    <row r="316" spans="1:113">
      <c r="A316" s="2172"/>
      <c r="B316" s="2206"/>
      <c r="C316" s="2144"/>
      <c r="D316" s="348">
        <v>2</v>
      </c>
      <c r="E316" s="452">
        <v>21</v>
      </c>
      <c r="F316" s="148" t="s">
        <v>15</v>
      </c>
      <c r="G316" s="148" t="s">
        <v>15</v>
      </c>
      <c r="H316" s="367">
        <v>854.12239999999997</v>
      </c>
      <c r="I316" s="368">
        <v>145.6859</v>
      </c>
      <c r="J316" s="234" t="s">
        <v>15</v>
      </c>
      <c r="K316" s="233" t="s">
        <v>15</v>
      </c>
      <c r="L316" s="234" t="s">
        <v>15</v>
      </c>
      <c r="M316" s="233" t="s">
        <v>15</v>
      </c>
      <c r="N316" s="537">
        <v>-142.03046800000001</v>
      </c>
      <c r="O316" s="536">
        <v>-7.65</v>
      </c>
      <c r="P316" s="536">
        <v>18.559051100000001</v>
      </c>
      <c r="Q316" s="128">
        <f>3157.25/$T$293</f>
        <v>0.16131183087970064</v>
      </c>
      <c r="R316" s="2196"/>
      <c r="S316" s="24"/>
      <c r="T316" s="26"/>
      <c r="V316" s="24"/>
      <c r="W316" s="26"/>
      <c r="X316" s="26"/>
      <c r="Y316" s="41"/>
      <c r="Z316" s="41"/>
      <c r="AA316" s="41"/>
      <c r="AB316" s="846"/>
      <c r="AC316" s="26"/>
      <c r="AD316" s="24"/>
      <c r="AE316" s="26"/>
      <c r="AF316" s="106"/>
      <c r="AG316" s="37"/>
      <c r="AH316" s="957"/>
      <c r="AI316" s="1023"/>
      <c r="AJ316" s="1023"/>
      <c r="AK316" s="1023"/>
      <c r="AL316" s="1023"/>
      <c r="AM316" s="1023"/>
      <c r="AN316" s="1023"/>
      <c r="AO316" s="957"/>
      <c r="AP316" s="957"/>
      <c r="AQ316" s="957"/>
      <c r="AR316" s="957"/>
      <c r="AS316" s="957"/>
      <c r="AT316" s="957"/>
      <c r="AU316" s="957"/>
      <c r="AV316" s="957"/>
      <c r="AW316" s="957"/>
      <c r="AX316" s="957"/>
      <c r="AY316" s="957"/>
      <c r="AZ316" s="957"/>
      <c r="BA316" s="957"/>
      <c r="BB316" s="957"/>
      <c r="BC316" s="957"/>
      <c r="BD316" s="957"/>
      <c r="BE316" s="957"/>
      <c r="BF316" s="957"/>
      <c r="BG316" s="957"/>
    </row>
    <row r="317" spans="1:113">
      <c r="A317" s="2172"/>
      <c r="B317" s="2206"/>
      <c r="C317" s="2179"/>
      <c r="D317" s="205">
        <v>3</v>
      </c>
      <c r="E317" s="25">
        <v>16</v>
      </c>
      <c r="F317" s="148" t="s">
        <v>15</v>
      </c>
      <c r="G317" s="148" t="s">
        <v>15</v>
      </c>
      <c r="H317" s="367">
        <v>838.65750000000003</v>
      </c>
      <c r="I317" s="368">
        <v>88.463120000000004</v>
      </c>
      <c r="J317" s="234" t="s">
        <v>15</v>
      </c>
      <c r="K317" s="233" t="s">
        <v>15</v>
      </c>
      <c r="L317" s="234" t="s">
        <v>15</v>
      </c>
      <c r="M317" s="233" t="s">
        <v>15</v>
      </c>
      <c r="N317" s="1201">
        <v>-224.067914</v>
      </c>
      <c r="O317" s="133">
        <v>-9.7799999999999994</v>
      </c>
      <c r="P317" s="133">
        <v>22.9175954</v>
      </c>
      <c r="Q317" s="128">
        <f>2882.93/$T$293</f>
        <v>0.1472961332165699</v>
      </c>
      <c r="R317" s="2196"/>
      <c r="S317" s="24"/>
      <c r="T317" s="26"/>
      <c r="V317" s="24"/>
      <c r="W317" s="26"/>
      <c r="X317" s="26"/>
      <c r="Y317" s="41"/>
      <c r="Z317" s="41"/>
      <c r="AA317" s="41"/>
      <c r="AB317" s="846"/>
      <c r="AC317" s="26"/>
      <c r="AD317" s="24"/>
      <c r="AE317" s="26"/>
      <c r="AF317" s="106"/>
      <c r="AG317" s="37"/>
      <c r="AH317" s="957"/>
      <c r="AI317" s="1023"/>
      <c r="AJ317" s="1023"/>
      <c r="AK317" s="1023"/>
      <c r="AL317" s="1023"/>
      <c r="AM317" s="1023"/>
      <c r="AN317" s="1023"/>
      <c r="AO317" s="957"/>
      <c r="AP317" s="957"/>
      <c r="AQ317" s="957"/>
      <c r="AR317" s="957"/>
      <c r="AS317" s="957"/>
      <c r="AT317" s="957"/>
      <c r="AU317" s="957"/>
      <c r="AV317" s="957"/>
      <c r="AW317" s="957"/>
      <c r="AX317" s="957"/>
      <c r="AY317" s="957"/>
      <c r="AZ317" s="957"/>
      <c r="BA317" s="957"/>
      <c r="BB317" s="957"/>
      <c r="BC317" s="957"/>
      <c r="BD317" s="957"/>
      <c r="BE317" s="957"/>
      <c r="BF317" s="957"/>
      <c r="BG317" s="957"/>
    </row>
    <row r="318" spans="1:113" s="7" customFormat="1" ht="15.75" thickBot="1">
      <c r="A318" s="2188"/>
      <c r="B318" s="2206"/>
      <c r="C318" s="2204"/>
      <c r="D318" s="432">
        <v>4</v>
      </c>
      <c r="E318" s="439">
        <v>21</v>
      </c>
      <c r="F318" s="270" t="s">
        <v>15</v>
      </c>
      <c r="G318" s="270" t="s">
        <v>15</v>
      </c>
      <c r="H318" s="367">
        <v>965.9239</v>
      </c>
      <c r="I318" s="368">
        <v>93.69511</v>
      </c>
      <c r="J318" s="409" t="s">
        <v>15</v>
      </c>
      <c r="K318" s="122" t="s">
        <v>15</v>
      </c>
      <c r="L318" s="409" t="s">
        <v>15</v>
      </c>
      <c r="M318" s="122" t="s">
        <v>15</v>
      </c>
      <c r="N318" s="1200">
        <v>0</v>
      </c>
      <c r="O318" s="133" t="s">
        <v>574</v>
      </c>
      <c r="P318" s="133" t="s">
        <v>574</v>
      </c>
      <c r="Q318" s="286">
        <f>6324.08/$T$293</f>
        <v>0.3231131280163741</v>
      </c>
      <c r="R318" s="2155"/>
      <c r="S318" s="240"/>
      <c r="T318" s="764"/>
      <c r="U318" s="864"/>
      <c r="V318" s="24"/>
      <c r="W318" s="26"/>
      <c r="X318" s="26"/>
      <c r="Y318" s="41"/>
      <c r="Z318" s="41"/>
      <c r="AA318" s="41"/>
      <c r="AB318" s="846"/>
      <c r="AC318" s="26"/>
      <c r="AD318" s="240"/>
      <c r="AE318" s="764"/>
      <c r="AF318" s="106"/>
      <c r="AG318" s="37"/>
      <c r="AH318" s="957"/>
      <c r="AI318" s="1023"/>
      <c r="AJ318" s="1023"/>
      <c r="AK318" s="1023"/>
      <c r="AL318" s="1023"/>
      <c r="AM318" s="1023"/>
      <c r="AN318" s="1023"/>
      <c r="AO318" s="957"/>
      <c r="AP318" s="957"/>
      <c r="AQ318" s="957"/>
      <c r="AR318" s="957"/>
      <c r="AS318" s="957"/>
      <c r="AT318" s="957"/>
      <c r="AU318" s="957"/>
      <c r="AV318" s="957"/>
      <c r="AW318" s="957"/>
      <c r="AX318" s="957"/>
      <c r="AY318" s="957"/>
      <c r="AZ318" s="957"/>
      <c r="BA318" s="957"/>
      <c r="BB318" s="957"/>
      <c r="BC318" s="957"/>
      <c r="BD318" s="957"/>
      <c r="BE318" s="957"/>
      <c r="BF318" s="957"/>
      <c r="BG318" s="957"/>
      <c r="BH318" s="1125"/>
      <c r="DI318" s="566"/>
    </row>
    <row r="319" spans="1:113" s="692" customFormat="1" ht="9" customHeight="1" thickBot="1">
      <c r="A319" s="695"/>
      <c r="B319" s="815"/>
      <c r="C319" s="684"/>
      <c r="D319" s="683"/>
      <c r="E319" s="684"/>
      <c r="F319" s="684"/>
      <c r="G319" s="684"/>
      <c r="H319" s="684"/>
      <c r="I319" s="684"/>
      <c r="J319" s="682"/>
      <c r="K319" s="683"/>
      <c r="L319" s="682"/>
      <c r="M319" s="685"/>
      <c r="N319" s="1189"/>
      <c r="O319" s="686"/>
      <c r="P319" s="686"/>
      <c r="Q319" s="687"/>
      <c r="R319" s="687"/>
      <c r="S319" s="688"/>
      <c r="T319" s="688"/>
      <c r="U319" s="854"/>
      <c r="V319" s="893"/>
      <c r="W319" s="685"/>
      <c r="X319" s="685"/>
      <c r="Y319" s="688"/>
      <c r="Z319" s="688"/>
      <c r="AA319" s="688"/>
      <c r="AB319" s="846"/>
      <c r="AC319" s="685"/>
      <c r="AD319" s="685"/>
      <c r="AE319" s="685"/>
      <c r="AF319" s="689"/>
      <c r="AG319" s="685"/>
      <c r="AH319" s="959"/>
      <c r="AI319" s="959"/>
      <c r="AJ319" s="959"/>
      <c r="AK319" s="959"/>
      <c r="AL319" s="959"/>
      <c r="AM319" s="959"/>
      <c r="AN319" s="959"/>
      <c r="AO319" s="958"/>
      <c r="AP319" s="958"/>
      <c r="AQ319" s="958"/>
      <c r="AR319" s="958"/>
      <c r="AS319" s="958"/>
      <c r="AT319" s="958"/>
      <c r="AU319" s="958"/>
      <c r="AV319" s="958"/>
      <c r="AW319" s="958"/>
      <c r="AX319" s="958"/>
      <c r="AY319" s="958"/>
      <c r="AZ319" s="958"/>
      <c r="BA319" s="958"/>
      <c r="BB319" s="958"/>
      <c r="BC319" s="958"/>
      <c r="BD319" s="958"/>
      <c r="BE319" s="958"/>
      <c r="BF319" s="958"/>
      <c r="BG319" s="958"/>
      <c r="BH319" s="1125"/>
      <c r="DI319" s="693"/>
    </row>
    <row r="320" spans="1:113" s="7" customFormat="1" ht="15" customHeight="1">
      <c r="A320" s="2171" t="s">
        <v>1286</v>
      </c>
      <c r="B320" s="1057" t="s">
        <v>754</v>
      </c>
      <c r="C320" s="809" t="s">
        <v>12</v>
      </c>
      <c r="D320" s="232" t="s">
        <v>833</v>
      </c>
      <c r="E320" s="534">
        <v>128</v>
      </c>
      <c r="F320" s="258">
        <v>95.519099999999995</v>
      </c>
      <c r="G320" s="258">
        <v>16.37472</v>
      </c>
      <c r="H320" s="367">
        <v>635.71069999999997</v>
      </c>
      <c r="I320" s="368">
        <v>148.2988</v>
      </c>
      <c r="J320" s="268" t="s">
        <v>15</v>
      </c>
      <c r="K320" s="132" t="s">
        <v>15</v>
      </c>
      <c r="L320" s="1165" t="s">
        <v>14</v>
      </c>
      <c r="M320" s="1150" t="s">
        <v>779</v>
      </c>
      <c r="N320" s="1190">
        <v>-0.25310270000000001</v>
      </c>
      <c r="O320" s="442">
        <v>-0.34</v>
      </c>
      <c r="P320" s="442">
        <v>0.74124809999999997</v>
      </c>
      <c r="Q320" s="254" t="s">
        <v>15</v>
      </c>
      <c r="R320" s="258">
        <f>N320</f>
        <v>-0.25310270000000001</v>
      </c>
      <c r="S320" s="124" t="s">
        <v>68</v>
      </c>
      <c r="T320" s="125" t="s">
        <v>69</v>
      </c>
      <c r="U320" s="858"/>
      <c r="V320" s="2232" t="s">
        <v>863</v>
      </c>
      <c r="W320" s="295" t="s">
        <v>47</v>
      </c>
      <c r="X320" s="295" t="s">
        <v>867</v>
      </c>
      <c r="Y320" s="220">
        <f>T327+SUM(R322:R358)+N320*129.2+N321*1</f>
        <v>510.03991975918734</v>
      </c>
      <c r="Z320" s="282" t="s">
        <v>40</v>
      </c>
      <c r="AA320" s="575" t="s">
        <v>40</v>
      </c>
      <c r="AB320" s="846"/>
      <c r="AC320" s="26"/>
      <c r="AD320" s="2131" t="s">
        <v>142</v>
      </c>
      <c r="AE320" s="2133"/>
      <c r="AF320" s="497" t="s">
        <v>49</v>
      </c>
      <c r="AG320" s="494" t="s">
        <v>986</v>
      </c>
      <c r="AH320" s="158">
        <f>T327+N326+N339+N341+N346+R347+R349+R351+R353</f>
        <v>905.41551040100126</v>
      </c>
      <c r="AI320" s="158">
        <v>709.99</v>
      </c>
      <c r="AJ320" s="158"/>
      <c r="AK320" s="158">
        <v>716.3</v>
      </c>
      <c r="AL320" s="158">
        <v>929</v>
      </c>
      <c r="AM320" s="158"/>
      <c r="AN320" s="170"/>
      <c r="AO320" s="1011"/>
      <c r="AP320" s="957"/>
      <c r="AQ320" s="957"/>
      <c r="AR320" s="957"/>
      <c r="AS320" s="957"/>
      <c r="AT320" s="1012"/>
      <c r="AU320" s="1023"/>
      <c r="AV320" s="957"/>
      <c r="AW320" s="957"/>
      <c r="AX320" s="957"/>
      <c r="AY320" s="957"/>
      <c r="AZ320" s="957"/>
      <c r="BA320" s="957"/>
      <c r="BB320" s="957"/>
      <c r="BC320" s="957"/>
      <c r="BD320" s="957"/>
      <c r="BE320" s="957"/>
      <c r="BF320" s="957"/>
      <c r="BG320" s="957"/>
      <c r="BH320" s="1125"/>
      <c r="DI320" s="566"/>
    </row>
    <row r="321" spans="1:59">
      <c r="A321" s="2172"/>
      <c r="B321" s="1056" t="s">
        <v>756</v>
      </c>
      <c r="C321" s="356" t="s">
        <v>12</v>
      </c>
      <c r="D321" s="291" t="s">
        <v>834</v>
      </c>
      <c r="E321" s="452">
        <v>128</v>
      </c>
      <c r="F321" s="128">
        <v>0.17982999999999999</v>
      </c>
      <c r="G321" s="128">
        <v>0.103171</v>
      </c>
      <c r="H321" s="367">
        <v>635.71069999999997</v>
      </c>
      <c r="I321" s="368">
        <v>148.2988</v>
      </c>
      <c r="J321" s="234" t="s">
        <v>15</v>
      </c>
      <c r="K321" s="233" t="s">
        <v>15</v>
      </c>
      <c r="L321" s="234" t="s">
        <v>15</v>
      </c>
      <c r="M321" s="233" t="s">
        <v>15</v>
      </c>
      <c r="N321" s="537">
        <v>-142.8315049</v>
      </c>
      <c r="O321" s="536">
        <v>-0.9</v>
      </c>
      <c r="P321" s="536">
        <v>158.61360579999999</v>
      </c>
      <c r="Q321" s="195" t="s">
        <v>15</v>
      </c>
      <c r="R321" s="128">
        <f>N321</f>
        <v>-142.8315049</v>
      </c>
      <c r="S321" s="31" t="s">
        <v>70</v>
      </c>
      <c r="T321" s="117" t="s">
        <v>71</v>
      </c>
      <c r="U321" s="854"/>
      <c r="V321" s="2233"/>
      <c r="W321" s="983" t="s">
        <v>49</v>
      </c>
      <c r="X321" s="338" t="s">
        <v>868</v>
      </c>
      <c r="Y321" s="169">
        <f>T327+SUM(R322:R358)+N320*72.7+N321*1</f>
        <v>524.34022230918731</v>
      </c>
      <c r="Z321" s="169">
        <f>Y321-Y320</f>
        <v>14.300302549999969</v>
      </c>
      <c r="AA321" s="576">
        <f>(129.2-72.7)*P320</f>
        <v>41.880517649999987</v>
      </c>
      <c r="AB321" s="918"/>
      <c r="AC321" s="26"/>
      <c r="AD321" s="20" t="s">
        <v>98</v>
      </c>
      <c r="AE321" s="278">
        <v>0.38102310640071724</v>
      </c>
      <c r="AF321" s="497" t="s">
        <v>49</v>
      </c>
      <c r="AG321" s="494" t="s">
        <v>995</v>
      </c>
      <c r="AH321" s="158">
        <f>T327+N335+N338+N341+N346+R347+R349+R351+R353</f>
        <v>963.47690940100142</v>
      </c>
      <c r="AI321" s="158">
        <v>669.99</v>
      </c>
      <c r="AJ321" s="158"/>
      <c r="AK321" s="158"/>
      <c r="AL321" s="158">
        <v>881</v>
      </c>
      <c r="AM321" s="158"/>
      <c r="AN321" s="170"/>
      <c r="AO321" s="1011"/>
      <c r="AP321" s="957"/>
      <c r="AQ321" s="957"/>
      <c r="AR321" s="957"/>
      <c r="AS321" s="957"/>
      <c r="AT321" s="1012"/>
      <c r="AU321" s="1023"/>
      <c r="AV321" s="957"/>
      <c r="AW321" s="957"/>
      <c r="AX321" s="957"/>
      <c r="AY321" s="957"/>
      <c r="AZ321" s="957"/>
      <c r="BA321" s="957"/>
      <c r="BB321" s="957"/>
      <c r="BC321" s="957"/>
      <c r="BD321" s="957"/>
      <c r="BE321" s="957"/>
      <c r="BF321" s="957"/>
      <c r="BG321" s="957"/>
    </row>
    <row r="322" spans="1:59">
      <c r="A322" s="2172"/>
      <c r="B322" s="2206" t="s">
        <v>153</v>
      </c>
      <c r="C322" s="2144" t="s">
        <v>13</v>
      </c>
      <c r="D322" s="434" t="s">
        <v>757</v>
      </c>
      <c r="E322" s="452">
        <v>10</v>
      </c>
      <c r="F322" s="148" t="s">
        <v>15</v>
      </c>
      <c r="G322" s="148" t="s">
        <v>15</v>
      </c>
      <c r="H322" s="367">
        <v>463.78100000000001</v>
      </c>
      <c r="I322" s="368">
        <v>29.39086</v>
      </c>
      <c r="J322" s="234" t="s">
        <v>15</v>
      </c>
      <c r="K322" s="233" t="s">
        <v>15</v>
      </c>
      <c r="L322" s="234" t="s">
        <v>15</v>
      </c>
      <c r="M322" s="233" t="s">
        <v>15</v>
      </c>
      <c r="N322" s="537">
        <v>72.632418000000001</v>
      </c>
      <c r="O322" s="536">
        <v>1.24</v>
      </c>
      <c r="P322" s="536">
        <v>58.668036100000002</v>
      </c>
      <c r="Q322" s="128">
        <f>780.43/$T$325</f>
        <v>1.9792385753073356E-2</v>
      </c>
      <c r="R322" s="2130">
        <f>SUMPRODUCT(N322:N337,Q322:Q337)</f>
        <v>97.387296632341588</v>
      </c>
      <c r="S322" s="127" t="s">
        <v>72</v>
      </c>
      <c r="T322" s="119" t="s">
        <v>119</v>
      </c>
      <c r="U322" s="855"/>
      <c r="V322" s="2233"/>
      <c r="W322" s="983" t="s">
        <v>49</v>
      </c>
      <c r="X322" s="338" t="s">
        <v>869</v>
      </c>
      <c r="Y322" s="169">
        <f>T327+SUM(R322:R358)+N320*59.1+N321*1</f>
        <v>527.78241902918739</v>
      </c>
      <c r="Z322" s="169">
        <f>Y322-Y320</f>
        <v>17.742499270000053</v>
      </c>
      <c r="AA322" s="576">
        <f>(129.2-59.1)*P320</f>
        <v>51.961491809999991</v>
      </c>
      <c r="AB322" s="918"/>
      <c r="AC322" s="26"/>
      <c r="AD322" s="20" t="s">
        <v>143</v>
      </c>
      <c r="AE322" s="278">
        <v>0.32401202491400999</v>
      </c>
      <c r="AF322" s="497" t="s">
        <v>49</v>
      </c>
      <c r="AG322" s="494" t="s">
        <v>998</v>
      </c>
      <c r="AH322" s="158">
        <f>T327+N335+N338+N341+R347+R349+R351+R353</f>
        <v>816.12439150100136</v>
      </c>
      <c r="AI322" s="158"/>
      <c r="AJ322" s="158"/>
      <c r="AK322" s="158">
        <v>698</v>
      </c>
      <c r="AL322" s="158"/>
      <c r="AM322" s="158">
        <v>699</v>
      </c>
      <c r="AN322" s="170"/>
      <c r="AO322" s="1011"/>
      <c r="AP322" s="957"/>
      <c r="AQ322" s="957"/>
      <c r="AR322" s="957"/>
      <c r="AS322" s="957"/>
      <c r="AT322" s="1012"/>
      <c r="AU322" s="1023"/>
      <c r="AV322" s="957"/>
      <c r="AW322" s="957"/>
      <c r="AX322" s="957"/>
      <c r="AY322" s="957"/>
      <c r="AZ322" s="957"/>
      <c r="BA322" s="957"/>
      <c r="BB322" s="957"/>
      <c r="BC322" s="957"/>
      <c r="BD322" s="957"/>
      <c r="BE322" s="957"/>
      <c r="BF322" s="957"/>
      <c r="BG322" s="957"/>
    </row>
    <row r="323" spans="1:59">
      <c r="A323" s="2172"/>
      <c r="B323" s="2206"/>
      <c r="C323" s="2144"/>
      <c r="D323" s="348" t="s">
        <v>808</v>
      </c>
      <c r="E323" s="452">
        <v>4</v>
      </c>
      <c r="F323" s="148" t="s">
        <v>15</v>
      </c>
      <c r="G323" s="148" t="s">
        <v>15</v>
      </c>
      <c r="H323" s="367">
        <v>373.59059999999999</v>
      </c>
      <c r="I323" s="368">
        <v>5.5781799999999997</v>
      </c>
      <c r="J323" s="234" t="s">
        <v>15</v>
      </c>
      <c r="K323" s="233" t="s">
        <v>15</v>
      </c>
      <c r="L323" s="234" t="s">
        <v>15</v>
      </c>
      <c r="M323" s="233" t="s">
        <v>15</v>
      </c>
      <c r="N323" s="537">
        <v>-132.44613960000001</v>
      </c>
      <c r="O323" s="536">
        <v>-2.27</v>
      </c>
      <c r="P323" s="536">
        <v>58.236811699999997</v>
      </c>
      <c r="Q323" s="128">
        <f>4381.69/$T$325</f>
        <v>0.11112348158115909</v>
      </c>
      <c r="R323" s="2196"/>
      <c r="S323" s="452" t="s">
        <v>73</v>
      </c>
      <c r="T323" s="433"/>
      <c r="U323" s="859"/>
      <c r="V323" s="24"/>
      <c r="W323" s="26"/>
      <c r="X323" s="26"/>
      <c r="Y323" s="41"/>
      <c r="Z323" s="41"/>
      <c r="AA323" s="41"/>
      <c r="AB323" s="846"/>
      <c r="AC323" s="26"/>
      <c r="AD323" s="20" t="s">
        <v>144</v>
      </c>
      <c r="AE323" s="278">
        <v>-2.5386964046284977E-2</v>
      </c>
      <c r="AF323" s="497" t="s">
        <v>49</v>
      </c>
      <c r="AG323" s="494" t="s">
        <v>996</v>
      </c>
      <c r="AH323" s="158">
        <f>T327+N326+N338+N343+R347+R349+R351+R353</f>
        <v>1082.9669241010013</v>
      </c>
      <c r="AI323" s="158">
        <v>549.99</v>
      </c>
      <c r="AJ323" s="158"/>
      <c r="AK323" s="158">
        <v>699.99</v>
      </c>
      <c r="AL323" s="158">
        <v>559</v>
      </c>
      <c r="AM323" s="158">
        <v>799</v>
      </c>
      <c r="AN323" s="170"/>
      <c r="AO323" s="1011"/>
      <c r="AP323" s="957"/>
      <c r="AQ323" s="957"/>
      <c r="AR323" s="957"/>
      <c r="AS323" s="957"/>
      <c r="AT323" s="1012"/>
      <c r="AU323" s="1023"/>
      <c r="AV323" s="957"/>
      <c r="AW323" s="957"/>
      <c r="AX323" s="957"/>
      <c r="AY323" s="957"/>
      <c r="AZ323" s="957"/>
      <c r="BA323" s="957"/>
      <c r="BB323" s="957"/>
      <c r="BC323" s="957"/>
      <c r="BD323" s="957"/>
      <c r="BE323" s="957"/>
      <c r="BF323" s="957"/>
      <c r="BG323" s="957"/>
    </row>
    <row r="324" spans="1:59">
      <c r="A324" s="2172"/>
      <c r="B324" s="2206"/>
      <c r="C324" s="2144"/>
      <c r="D324" s="348" t="s">
        <v>781</v>
      </c>
      <c r="E324" s="452">
        <v>1</v>
      </c>
      <c r="F324" s="148" t="s">
        <v>15</v>
      </c>
      <c r="G324" s="148" t="s">
        <v>15</v>
      </c>
      <c r="H324" s="367">
        <v>454.33030000000002</v>
      </c>
      <c r="I324" s="368">
        <v>0</v>
      </c>
      <c r="J324" s="234" t="s">
        <v>15</v>
      </c>
      <c r="K324" s="233" t="s">
        <v>15</v>
      </c>
      <c r="L324" s="234" t="s">
        <v>15</v>
      </c>
      <c r="M324" s="233" t="s">
        <v>15</v>
      </c>
      <c r="N324" s="537">
        <v>43.991466600000003</v>
      </c>
      <c r="O324" s="536">
        <v>0.08</v>
      </c>
      <c r="P324" s="536">
        <v>518.48567400000002</v>
      </c>
      <c r="Q324" s="128">
        <f>1.09/$T$325</f>
        <v>2.7643351063964689E-5</v>
      </c>
      <c r="R324" s="2196"/>
      <c r="S324" s="127" t="s">
        <v>74</v>
      </c>
      <c r="T324" s="129" t="s">
        <v>75</v>
      </c>
      <c r="U324" s="858"/>
      <c r="V324" s="24"/>
      <c r="W324" s="26"/>
      <c r="X324" s="26"/>
      <c r="Y324" s="41"/>
      <c r="Z324" s="41"/>
      <c r="AA324" s="41"/>
      <c r="AB324" s="846"/>
      <c r="AC324" s="26"/>
      <c r="AD324" s="20" t="s">
        <v>145</v>
      </c>
      <c r="AE324" s="278">
        <v>0.96906657230313509</v>
      </c>
      <c r="AF324" s="497" t="s">
        <v>49</v>
      </c>
      <c r="AG324" s="494" t="s">
        <v>987</v>
      </c>
      <c r="AH324" s="158">
        <f>T327+N335+N339+N346+R347+R349+R351+R353</f>
        <v>1375.8019604010015</v>
      </c>
      <c r="AI324" s="158"/>
      <c r="AJ324" s="158"/>
      <c r="AK324" s="158"/>
      <c r="AL324" s="158"/>
      <c r="AM324" s="158"/>
      <c r="AN324" s="170"/>
      <c r="AO324" s="1011"/>
      <c r="AP324" s="957"/>
      <c r="AQ324" s="957"/>
      <c r="AR324" s="957"/>
      <c r="AS324" s="957"/>
      <c r="AT324" s="1012"/>
      <c r="AU324" s="1023"/>
      <c r="AV324" s="957"/>
      <c r="AW324" s="957"/>
      <c r="AX324" s="957"/>
      <c r="AY324" s="957"/>
      <c r="AZ324" s="957"/>
      <c r="BA324" s="957"/>
      <c r="BB324" s="957"/>
      <c r="BC324" s="957"/>
      <c r="BD324" s="957"/>
      <c r="BE324" s="957"/>
      <c r="BF324" s="957"/>
      <c r="BG324" s="957"/>
    </row>
    <row r="325" spans="1:59">
      <c r="A325" s="2172"/>
      <c r="B325" s="2206"/>
      <c r="C325" s="2144"/>
      <c r="D325" s="348" t="s">
        <v>782</v>
      </c>
      <c r="E325" s="452">
        <v>3</v>
      </c>
      <c r="F325" s="148" t="s">
        <v>15</v>
      </c>
      <c r="G325" s="148" t="s">
        <v>15</v>
      </c>
      <c r="H325" s="367">
        <v>647.5095</v>
      </c>
      <c r="I325" s="368">
        <v>71.900480000000002</v>
      </c>
      <c r="J325" s="234" t="s">
        <v>15</v>
      </c>
      <c r="K325" s="233" t="s">
        <v>15</v>
      </c>
      <c r="L325" s="234" t="s">
        <v>15</v>
      </c>
      <c r="M325" s="233" t="s">
        <v>15</v>
      </c>
      <c r="N325" s="537">
        <v>218.43248940000001</v>
      </c>
      <c r="O325" s="536">
        <v>0.82</v>
      </c>
      <c r="P325" s="536">
        <v>267.67448430000002</v>
      </c>
      <c r="Q325" s="128">
        <f>4.2/$T$325</f>
        <v>1.0651566465013916E-4</v>
      </c>
      <c r="R325" s="2196"/>
      <c r="S325" s="445">
        <v>128</v>
      </c>
      <c r="T325" s="490">
        <v>39430.82</v>
      </c>
      <c r="U325" s="865"/>
      <c r="V325" s="24"/>
      <c r="W325" s="26"/>
      <c r="X325" s="26"/>
      <c r="Y325" s="41"/>
      <c r="Z325" s="41"/>
      <c r="AA325" s="41"/>
      <c r="AB325" s="846"/>
      <c r="AC325" s="26"/>
      <c r="AD325" s="22"/>
      <c r="AE325" s="27"/>
      <c r="AF325" s="106"/>
      <c r="AG325" s="37"/>
      <c r="AH325" s="957"/>
      <c r="AI325" s="1023"/>
      <c r="AJ325" s="1023"/>
      <c r="AK325" s="1023"/>
      <c r="AL325" s="1023"/>
      <c r="AM325" s="1023"/>
      <c r="AN325" s="1023"/>
      <c r="AO325" s="957"/>
      <c r="AP325" s="957"/>
      <c r="AQ325" s="957"/>
      <c r="AR325" s="957"/>
      <c r="AS325" s="957"/>
      <c r="AT325" s="957"/>
      <c r="AU325" s="957"/>
      <c r="AV325" s="957"/>
      <c r="AW325" s="957"/>
      <c r="AX325" s="957"/>
      <c r="AY325" s="957"/>
      <c r="AZ325" s="957"/>
      <c r="BA325" s="957"/>
      <c r="BB325" s="957"/>
      <c r="BC325" s="957"/>
      <c r="BD325" s="957"/>
      <c r="BE325" s="957"/>
      <c r="BF325" s="957"/>
      <c r="BG325" s="957"/>
    </row>
    <row r="326" spans="1:59">
      <c r="A326" s="2172"/>
      <c r="B326" s="2206"/>
      <c r="C326" s="2144"/>
      <c r="D326" s="348" t="s">
        <v>760</v>
      </c>
      <c r="E326" s="452">
        <v>4</v>
      </c>
      <c r="F326" s="148" t="s">
        <v>15</v>
      </c>
      <c r="G326" s="148" t="s">
        <v>15</v>
      </c>
      <c r="H326" s="367">
        <v>622.12779999999998</v>
      </c>
      <c r="I326" s="368">
        <v>27.571580000000001</v>
      </c>
      <c r="J326" s="234" t="s">
        <v>15</v>
      </c>
      <c r="K326" s="233" t="s">
        <v>15</v>
      </c>
      <c r="L326" s="234" t="s">
        <v>15</v>
      </c>
      <c r="M326" s="233" t="s">
        <v>15</v>
      </c>
      <c r="N326" s="537">
        <v>191.20856570000001</v>
      </c>
      <c r="O326" s="536">
        <v>1.1499999999999999</v>
      </c>
      <c r="P326" s="536">
        <v>166.23452270000001</v>
      </c>
      <c r="Q326" s="128">
        <f>24.57/$T$325</f>
        <v>6.2311663820331404E-4</v>
      </c>
      <c r="R326" s="2196"/>
      <c r="S326" s="127" t="s">
        <v>41</v>
      </c>
      <c r="T326" s="129" t="s">
        <v>42</v>
      </c>
      <c r="U326" s="858"/>
      <c r="V326" s="24"/>
      <c r="W326" s="26"/>
      <c r="X326" s="26"/>
      <c r="Y326" s="41"/>
      <c r="Z326" s="41"/>
      <c r="AA326" s="41"/>
      <c r="AB326" s="846"/>
      <c r="AC326" s="26"/>
      <c r="AD326" s="24"/>
      <c r="AE326" s="26"/>
      <c r="AF326" s="106"/>
      <c r="AG326" s="37"/>
      <c r="AH326" s="957"/>
      <c r="AI326" s="1023"/>
      <c r="AJ326" s="1023"/>
      <c r="AK326" s="1023"/>
      <c r="AL326" s="1023"/>
      <c r="AM326" s="1023"/>
      <c r="AN326" s="1023"/>
      <c r="AO326" s="957"/>
      <c r="AP326" s="957"/>
      <c r="AQ326" s="957"/>
      <c r="AR326" s="957"/>
      <c r="AS326" s="957"/>
      <c r="AT326" s="957"/>
      <c r="AU326" s="957"/>
      <c r="AV326" s="957"/>
      <c r="AW326" s="957"/>
      <c r="AX326" s="957"/>
      <c r="AY326" s="957"/>
      <c r="AZ326" s="957"/>
      <c r="BA326" s="957"/>
      <c r="BB326" s="957"/>
      <c r="BC326" s="957"/>
      <c r="BD326" s="957"/>
      <c r="BE326" s="957"/>
      <c r="BF326" s="957"/>
      <c r="BG326" s="957"/>
    </row>
    <row r="327" spans="1:59">
      <c r="A327" s="2172"/>
      <c r="B327" s="2206"/>
      <c r="C327" s="2144"/>
      <c r="D327" s="348" t="s">
        <v>803</v>
      </c>
      <c r="E327" s="452">
        <v>4</v>
      </c>
      <c r="F327" s="148" t="s">
        <v>15</v>
      </c>
      <c r="G327" s="148" t="s">
        <v>15</v>
      </c>
      <c r="H327" s="367">
        <v>533.89329999999995</v>
      </c>
      <c r="I327" s="368">
        <v>71.340029999999999</v>
      </c>
      <c r="J327" s="234" t="s">
        <v>15</v>
      </c>
      <c r="K327" s="233" t="s">
        <v>15</v>
      </c>
      <c r="L327" s="234" t="s">
        <v>15</v>
      </c>
      <c r="M327" s="233" t="s">
        <v>15</v>
      </c>
      <c r="N327" s="537">
        <v>19.881720600000001</v>
      </c>
      <c r="O327" s="536">
        <v>0.27</v>
      </c>
      <c r="P327" s="536">
        <v>73.583490499999996</v>
      </c>
      <c r="Q327" s="128">
        <f>1342.93/$T$325</f>
        <v>3.4057876554431279E-2</v>
      </c>
      <c r="R327" s="2196"/>
      <c r="S327" s="443">
        <v>0.968024</v>
      </c>
      <c r="T327" s="444">
        <v>994.11333430000002</v>
      </c>
      <c r="U327" s="866"/>
      <c r="V327" s="24"/>
      <c r="W327" s="26"/>
      <c r="X327" s="26"/>
      <c r="Y327" s="41"/>
      <c r="Z327" s="41"/>
      <c r="AA327" s="41"/>
      <c r="AB327" s="846"/>
      <c r="AC327" s="26"/>
      <c r="AD327" s="24"/>
      <c r="AE327" s="26"/>
      <c r="AF327" s="106"/>
      <c r="AG327" s="37"/>
      <c r="AH327" s="957"/>
      <c r="AI327" s="1023"/>
      <c r="AJ327" s="1023"/>
      <c r="AK327" s="1023"/>
      <c r="AL327" s="1023"/>
      <c r="AM327" s="1023"/>
      <c r="AN327" s="1023"/>
      <c r="AO327" s="957"/>
      <c r="AP327" s="957"/>
      <c r="AQ327" s="957"/>
      <c r="AR327" s="957"/>
      <c r="AS327" s="957"/>
      <c r="AT327" s="957"/>
      <c r="AU327" s="957"/>
      <c r="AV327" s="957"/>
      <c r="AW327" s="957"/>
      <c r="AX327" s="957"/>
      <c r="AY327" s="957"/>
      <c r="AZ327" s="957"/>
      <c r="BA327" s="957"/>
      <c r="BB327" s="957"/>
      <c r="BC327" s="957"/>
      <c r="BD327" s="957"/>
      <c r="BE327" s="957"/>
      <c r="BF327" s="957"/>
      <c r="BG327" s="957"/>
    </row>
    <row r="328" spans="1:59">
      <c r="A328" s="2172"/>
      <c r="B328" s="2206"/>
      <c r="C328" s="2144"/>
      <c r="D328" s="348" t="s">
        <v>761</v>
      </c>
      <c r="E328" s="452">
        <v>1</v>
      </c>
      <c r="F328" s="148" t="s">
        <v>15</v>
      </c>
      <c r="G328" s="148" t="s">
        <v>15</v>
      </c>
      <c r="H328" s="367">
        <v>366.41</v>
      </c>
      <c r="I328" s="368">
        <v>0</v>
      </c>
      <c r="J328" s="234" t="s">
        <v>15</v>
      </c>
      <c r="K328" s="233" t="s">
        <v>15</v>
      </c>
      <c r="L328" s="234" t="s">
        <v>15</v>
      </c>
      <c r="M328" s="233" t="s">
        <v>15</v>
      </c>
      <c r="N328" s="537">
        <v>-73.089507900000001</v>
      </c>
      <c r="O328" s="536">
        <v>-0.18</v>
      </c>
      <c r="P328" s="536">
        <v>414.15493270000002</v>
      </c>
      <c r="Q328" s="128">
        <f>2/$T$325</f>
        <v>5.0721745071494835E-5</v>
      </c>
      <c r="R328" s="2196"/>
      <c r="S328" s="118" t="s">
        <v>235</v>
      </c>
      <c r="T328" s="119" t="s">
        <v>391</v>
      </c>
      <c r="U328" s="855"/>
      <c r="V328" s="24"/>
      <c r="W328" s="26"/>
      <c r="X328" s="26"/>
      <c r="Y328" s="41"/>
      <c r="Z328" s="41"/>
      <c r="AA328" s="41"/>
      <c r="AB328" s="846"/>
      <c r="AC328" s="26"/>
      <c r="AD328" s="24"/>
      <c r="AE328" s="26"/>
      <c r="AF328" s="106"/>
      <c r="AG328" s="37"/>
      <c r="AH328" s="957"/>
      <c r="AI328" s="1023"/>
      <c r="AJ328" s="1023"/>
      <c r="AK328" s="1023"/>
      <c r="AL328" s="1023"/>
      <c r="AM328" s="1023"/>
      <c r="AN328" s="1023"/>
      <c r="AO328" s="957"/>
      <c r="AP328" s="957"/>
      <c r="AQ328" s="957"/>
      <c r="AR328" s="957"/>
      <c r="AS328" s="957"/>
      <c r="AT328" s="957"/>
      <c r="AU328" s="957"/>
      <c r="AV328" s="957"/>
      <c r="AW328" s="957"/>
      <c r="AX328" s="957"/>
      <c r="AY328" s="957"/>
      <c r="AZ328" s="957"/>
      <c r="BA328" s="957"/>
      <c r="BB328" s="957"/>
      <c r="BC328" s="957"/>
      <c r="BD328" s="957"/>
      <c r="BE328" s="957"/>
      <c r="BF328" s="957"/>
      <c r="BG328" s="957"/>
    </row>
    <row r="329" spans="1:59">
      <c r="A329" s="2172"/>
      <c r="B329" s="2206"/>
      <c r="C329" s="2144"/>
      <c r="D329" s="348" t="s">
        <v>763</v>
      </c>
      <c r="E329" s="452">
        <v>15</v>
      </c>
      <c r="F329" s="148" t="s">
        <v>15</v>
      </c>
      <c r="G329" s="148" t="s">
        <v>15</v>
      </c>
      <c r="H329" s="367">
        <v>532.99710000000005</v>
      </c>
      <c r="I329" s="368">
        <v>62.456699999999998</v>
      </c>
      <c r="J329" s="234" t="s">
        <v>15</v>
      </c>
      <c r="K329" s="233" t="s">
        <v>15</v>
      </c>
      <c r="L329" s="234" t="s">
        <v>15</v>
      </c>
      <c r="M329" s="233" t="s">
        <v>15</v>
      </c>
      <c r="N329" s="537">
        <v>-20.287861700000001</v>
      </c>
      <c r="O329" s="536">
        <v>-0.28000000000000003</v>
      </c>
      <c r="P329" s="536">
        <v>71.408959800000005</v>
      </c>
      <c r="Q329" s="128">
        <f>3114.21/$T$325</f>
        <v>7.8979082859549965E-2</v>
      </c>
      <c r="R329" s="2196"/>
      <c r="S329" s="443">
        <v>121.538</v>
      </c>
      <c r="T329" s="151" t="s">
        <v>15</v>
      </c>
      <c r="U329" s="862"/>
      <c r="V329" s="24"/>
      <c r="W329" s="26"/>
      <c r="X329" s="26"/>
      <c r="Y329" s="41"/>
      <c r="Z329" s="41"/>
      <c r="AA329" s="41"/>
      <c r="AB329" s="846"/>
      <c r="AC329" s="26"/>
      <c r="AD329" s="24"/>
      <c r="AE329" s="26"/>
      <c r="AF329" s="106"/>
      <c r="AG329" s="37"/>
      <c r="AH329" s="957"/>
      <c r="AI329" s="1023"/>
      <c r="AJ329" s="1023"/>
      <c r="AK329" s="1023"/>
      <c r="AL329" s="1023"/>
      <c r="AM329" s="1023"/>
      <c r="AN329" s="1023"/>
      <c r="AO329" s="957"/>
      <c r="AP329" s="957"/>
      <c r="AQ329" s="957"/>
      <c r="AR329" s="957"/>
      <c r="AS329" s="957"/>
      <c r="AT329" s="957"/>
      <c r="AU329" s="957"/>
      <c r="AV329" s="957"/>
      <c r="AW329" s="957"/>
      <c r="AX329" s="957"/>
      <c r="AY329" s="957"/>
      <c r="AZ329" s="957"/>
      <c r="BA329" s="957"/>
      <c r="BB329" s="957"/>
      <c r="BC329" s="957"/>
      <c r="BD329" s="957"/>
      <c r="BE329" s="957"/>
      <c r="BF329" s="957"/>
      <c r="BG329" s="957"/>
    </row>
    <row r="330" spans="1:59">
      <c r="A330" s="2172"/>
      <c r="B330" s="2206"/>
      <c r="C330" s="2144"/>
      <c r="D330" s="348" t="s">
        <v>792</v>
      </c>
      <c r="E330" s="452">
        <v>3</v>
      </c>
      <c r="F330" s="148" t="s">
        <v>15</v>
      </c>
      <c r="G330" s="148" t="s">
        <v>15</v>
      </c>
      <c r="H330" s="367">
        <v>462.22190000000001</v>
      </c>
      <c r="I330" s="368">
        <v>6.9675929999999999</v>
      </c>
      <c r="J330" s="234" t="s">
        <v>15</v>
      </c>
      <c r="K330" s="233" t="s">
        <v>15</v>
      </c>
      <c r="L330" s="234" t="s">
        <v>15</v>
      </c>
      <c r="M330" s="233" t="s">
        <v>15</v>
      </c>
      <c r="N330" s="537">
        <v>21.3118573</v>
      </c>
      <c r="O330" s="536">
        <v>0.2</v>
      </c>
      <c r="P330" s="536">
        <v>109.0952345</v>
      </c>
      <c r="Q330" s="128">
        <f>33.39/$T$325</f>
        <v>8.4679953396860628E-4</v>
      </c>
      <c r="R330" s="2196"/>
      <c r="S330" s="24"/>
      <c r="T330" s="26"/>
      <c r="V330" s="24"/>
      <c r="W330" s="26"/>
      <c r="X330" s="26"/>
      <c r="Y330" s="41"/>
      <c r="Z330" s="41"/>
      <c r="AA330" s="41"/>
      <c r="AB330" s="846"/>
      <c r="AC330" s="26"/>
      <c r="AD330" s="24"/>
      <c r="AE330" s="26"/>
      <c r="AF330" s="106"/>
      <c r="AG330" s="37"/>
      <c r="AH330" s="957"/>
      <c r="AI330" s="1023"/>
      <c r="AJ330" s="1023"/>
      <c r="AK330" s="1023"/>
      <c r="AL330" s="1023"/>
      <c r="AM330" s="1023"/>
      <c r="AN330" s="1023"/>
      <c r="AO330" s="957"/>
      <c r="AP330" s="957"/>
      <c r="AQ330" s="957"/>
      <c r="AR330" s="957"/>
      <c r="AS330" s="957"/>
      <c r="AT330" s="957"/>
      <c r="AU330" s="957"/>
      <c r="AV330" s="957"/>
      <c r="AW330" s="957"/>
      <c r="AX330" s="957"/>
      <c r="AY330" s="957"/>
      <c r="AZ330" s="957"/>
      <c r="BA330" s="957"/>
      <c r="BB330" s="957"/>
      <c r="BC330" s="957"/>
      <c r="BD330" s="957"/>
      <c r="BE330" s="957"/>
      <c r="BF330" s="957"/>
      <c r="BG330" s="957"/>
    </row>
    <row r="331" spans="1:59">
      <c r="A331" s="2172"/>
      <c r="B331" s="2206"/>
      <c r="C331" s="2144"/>
      <c r="D331" s="348" t="s">
        <v>688</v>
      </c>
      <c r="E331" s="452">
        <v>39</v>
      </c>
      <c r="F331" s="148" t="s">
        <v>15</v>
      </c>
      <c r="G331" s="148" t="s">
        <v>15</v>
      </c>
      <c r="H331" s="367">
        <v>757.21749999999997</v>
      </c>
      <c r="I331" s="368">
        <v>76.881339999999994</v>
      </c>
      <c r="J331" s="234" t="s">
        <v>15</v>
      </c>
      <c r="K331" s="233" t="s">
        <v>15</v>
      </c>
      <c r="L331" s="234" t="s">
        <v>15</v>
      </c>
      <c r="M331" s="233" t="s">
        <v>15</v>
      </c>
      <c r="N331" s="537">
        <v>117.6034798</v>
      </c>
      <c r="O331" s="536">
        <v>1.44</v>
      </c>
      <c r="P331" s="536">
        <v>81.862357700000004</v>
      </c>
      <c r="Q331" s="128">
        <f>17154.66/$T$325</f>
        <v>0.43505714565408482</v>
      </c>
      <c r="R331" s="2196"/>
      <c r="S331" s="24"/>
      <c r="T331" s="26"/>
      <c r="V331" s="24"/>
      <c r="W331" s="26"/>
      <c r="X331" s="26"/>
      <c r="Y331" s="41"/>
      <c r="Z331" s="41"/>
      <c r="AA331" s="41"/>
      <c r="AB331" s="846"/>
      <c r="AC331" s="26"/>
      <c r="AD331" s="24"/>
      <c r="AE331" s="26"/>
      <c r="AF331" s="106"/>
      <c r="AG331" s="37"/>
      <c r="AH331" s="957"/>
      <c r="AI331" s="1023"/>
      <c r="AJ331" s="1023"/>
      <c r="AK331" s="1023"/>
      <c r="AL331" s="1023"/>
      <c r="AM331" s="1023"/>
      <c r="AN331" s="1023"/>
      <c r="AO331" s="957"/>
      <c r="AP331" s="957"/>
      <c r="AQ331" s="957"/>
      <c r="AR331" s="957"/>
      <c r="AS331" s="957"/>
      <c r="AT331" s="957"/>
      <c r="AU331" s="957"/>
      <c r="AV331" s="957"/>
      <c r="AW331" s="957"/>
      <c r="AX331" s="957"/>
      <c r="AY331" s="957"/>
      <c r="AZ331" s="957"/>
      <c r="BA331" s="957"/>
      <c r="BB331" s="957"/>
      <c r="BC331" s="957"/>
      <c r="BD331" s="957"/>
      <c r="BE331" s="957"/>
      <c r="BF331" s="957"/>
      <c r="BG331" s="957"/>
    </row>
    <row r="332" spans="1:59">
      <c r="A332" s="2172"/>
      <c r="B332" s="2206"/>
      <c r="C332" s="2144"/>
      <c r="D332" s="348" t="s">
        <v>783</v>
      </c>
      <c r="E332" s="452">
        <v>2</v>
      </c>
      <c r="F332" s="148" t="s">
        <v>15</v>
      </c>
      <c r="G332" s="148" t="s">
        <v>15</v>
      </c>
      <c r="H332" s="367">
        <v>498.9812</v>
      </c>
      <c r="I332" s="368">
        <v>19.763400000000001</v>
      </c>
      <c r="J332" s="234" t="s">
        <v>15</v>
      </c>
      <c r="K332" s="233" t="s">
        <v>15</v>
      </c>
      <c r="L332" s="234" t="s">
        <v>15</v>
      </c>
      <c r="M332" s="233" t="s">
        <v>15</v>
      </c>
      <c r="N332" s="537">
        <v>67.561086299999999</v>
      </c>
      <c r="O332" s="536">
        <v>0.18</v>
      </c>
      <c r="P332" s="536">
        <v>370.74516699999998</v>
      </c>
      <c r="Q332" s="128">
        <f>2.13/$T$325</f>
        <v>5.4018658501141998E-5</v>
      </c>
      <c r="R332" s="2196"/>
      <c r="S332" s="24"/>
      <c r="T332" s="26"/>
      <c r="V332" s="24"/>
      <c r="W332" s="26"/>
      <c r="X332" s="26"/>
      <c r="Y332" s="41"/>
      <c r="Z332" s="41"/>
      <c r="AA332" s="41"/>
      <c r="AB332" s="846"/>
      <c r="AC332" s="26"/>
      <c r="AD332" s="24"/>
      <c r="AE332" s="26"/>
      <c r="AF332" s="106"/>
      <c r="AG332" s="37"/>
      <c r="AH332" s="957"/>
      <c r="AI332" s="1023"/>
      <c r="AJ332" s="1023"/>
      <c r="AK332" s="1023"/>
      <c r="AL332" s="1023"/>
      <c r="AM332" s="1023"/>
      <c r="AN332" s="1023"/>
      <c r="AO332" s="957"/>
      <c r="AP332" s="957"/>
      <c r="AQ332" s="957"/>
      <c r="AR332" s="957"/>
      <c r="AS332" s="957"/>
      <c r="AT332" s="957"/>
      <c r="AU332" s="957"/>
      <c r="AV332" s="957"/>
      <c r="AW332" s="957"/>
      <c r="AX332" s="957"/>
      <c r="AY332" s="957"/>
      <c r="AZ332" s="957"/>
      <c r="BA332" s="957"/>
      <c r="BB332" s="957"/>
      <c r="BC332" s="957"/>
      <c r="BD332" s="957"/>
      <c r="BE332" s="957"/>
      <c r="BF332" s="957"/>
      <c r="BG332" s="957"/>
    </row>
    <row r="333" spans="1:59">
      <c r="A333" s="2172"/>
      <c r="B333" s="2206"/>
      <c r="C333" s="2144"/>
      <c r="D333" s="348" t="s">
        <v>793</v>
      </c>
      <c r="E333" s="452">
        <v>7</v>
      </c>
      <c r="F333" s="148" t="s">
        <v>15</v>
      </c>
      <c r="G333" s="148" t="s">
        <v>15</v>
      </c>
      <c r="H333" s="367">
        <v>521.93259999999998</v>
      </c>
      <c r="I333" s="368">
        <v>48.445129999999999</v>
      </c>
      <c r="J333" s="234" t="s">
        <v>15</v>
      </c>
      <c r="K333" s="233" t="s">
        <v>15</v>
      </c>
      <c r="L333" s="234" t="s">
        <v>15</v>
      </c>
      <c r="M333" s="233" t="s">
        <v>15</v>
      </c>
      <c r="N333" s="537">
        <v>65.153060300000007</v>
      </c>
      <c r="O333" s="536">
        <v>1.18</v>
      </c>
      <c r="P333" s="536">
        <v>54.983993599999998</v>
      </c>
      <c r="Q333" s="128">
        <f>5622/$T$325</f>
        <v>0.142578825395972</v>
      </c>
      <c r="R333" s="2196"/>
      <c r="S333" s="24"/>
      <c r="T333" s="26"/>
      <c r="V333" s="24"/>
      <c r="W333" s="26"/>
      <c r="X333" s="26"/>
      <c r="Y333" s="41"/>
      <c r="Z333" s="41"/>
      <c r="AA333" s="41"/>
      <c r="AB333" s="846"/>
      <c r="AC333" s="26"/>
      <c r="AD333" s="24"/>
      <c r="AE333" s="26"/>
      <c r="AF333" s="106"/>
      <c r="AG333" s="37"/>
      <c r="AH333" s="957"/>
      <c r="AI333" s="1023"/>
      <c r="AJ333" s="1023"/>
      <c r="AK333" s="1023"/>
      <c r="AL333" s="1023"/>
      <c r="AM333" s="1023"/>
      <c r="AN333" s="1023"/>
      <c r="AO333" s="957"/>
      <c r="AP333" s="957"/>
      <c r="AQ333" s="957"/>
      <c r="AR333" s="957"/>
      <c r="AS333" s="957"/>
      <c r="AT333" s="957"/>
      <c r="AU333" s="957"/>
      <c r="AV333" s="957"/>
      <c r="AW333" s="957"/>
      <c r="AX333" s="957"/>
      <c r="AY333" s="957"/>
      <c r="AZ333" s="957"/>
      <c r="BA333" s="957"/>
      <c r="BB333" s="957"/>
      <c r="BC333" s="957"/>
      <c r="BD333" s="957"/>
      <c r="BE333" s="957"/>
      <c r="BF333" s="957"/>
      <c r="BG333" s="957"/>
    </row>
    <row r="334" spans="1:59">
      <c r="A334" s="2172"/>
      <c r="B334" s="2206"/>
      <c r="C334" s="2144"/>
      <c r="D334" s="348" t="s">
        <v>784</v>
      </c>
      <c r="E334" s="452">
        <v>5</v>
      </c>
      <c r="F334" s="148" t="s">
        <v>15</v>
      </c>
      <c r="G334" s="148" t="s">
        <v>15</v>
      </c>
      <c r="H334" s="367">
        <v>579.40060000000005</v>
      </c>
      <c r="I334" s="368">
        <v>152.19380000000001</v>
      </c>
      <c r="J334" s="234" t="s">
        <v>15</v>
      </c>
      <c r="K334" s="233" t="s">
        <v>15</v>
      </c>
      <c r="L334" s="234" t="s">
        <v>15</v>
      </c>
      <c r="M334" s="233" t="s">
        <v>15</v>
      </c>
      <c r="N334" s="537">
        <v>109.06464339999999</v>
      </c>
      <c r="O334" s="536">
        <v>0.7</v>
      </c>
      <c r="P334" s="536">
        <v>156.2675261</v>
      </c>
      <c r="Q334" s="128">
        <f>13.68/$T$325</f>
        <v>3.4693673628902465E-4</v>
      </c>
      <c r="R334" s="2196"/>
      <c r="S334" s="24"/>
      <c r="T334" s="26"/>
      <c r="V334" s="24"/>
      <c r="W334" s="26"/>
      <c r="X334" s="26"/>
      <c r="Y334" s="41"/>
      <c r="Z334" s="41"/>
      <c r="AA334" s="41"/>
      <c r="AB334" s="846"/>
      <c r="AC334" s="26"/>
      <c r="AD334" s="24"/>
      <c r="AE334" s="26"/>
      <c r="AF334" s="106"/>
      <c r="AG334" s="37"/>
      <c r="AH334" s="957"/>
      <c r="AI334" s="1023"/>
      <c r="AJ334" s="1023"/>
      <c r="AK334" s="1023"/>
      <c r="AL334" s="1023"/>
      <c r="AM334" s="1023"/>
      <c r="AN334" s="1023"/>
      <c r="AO334" s="957"/>
      <c r="AP334" s="957"/>
      <c r="AQ334" s="957"/>
      <c r="AR334" s="957"/>
      <c r="AS334" s="957"/>
      <c r="AT334" s="957"/>
      <c r="AU334" s="957"/>
      <c r="AV334" s="957"/>
      <c r="AW334" s="957"/>
      <c r="AX334" s="957"/>
      <c r="AY334" s="957"/>
      <c r="AZ334" s="957"/>
      <c r="BA334" s="957"/>
      <c r="BB334" s="957"/>
      <c r="BC334" s="957"/>
      <c r="BD334" s="957"/>
      <c r="BE334" s="957"/>
      <c r="BF334" s="957"/>
      <c r="BG334" s="957"/>
    </row>
    <row r="335" spans="1:59">
      <c r="A335" s="2172"/>
      <c r="B335" s="2206"/>
      <c r="C335" s="2144"/>
      <c r="D335" s="348" t="s">
        <v>764</v>
      </c>
      <c r="E335" s="452">
        <v>27</v>
      </c>
      <c r="F335" s="148" t="s">
        <v>15</v>
      </c>
      <c r="G335" s="148" t="s">
        <v>15</v>
      </c>
      <c r="H335" s="367">
        <v>683.14340000000004</v>
      </c>
      <c r="I335" s="368">
        <v>44.35266</v>
      </c>
      <c r="J335" s="234" t="s">
        <v>15</v>
      </c>
      <c r="K335" s="233" t="s">
        <v>15</v>
      </c>
      <c r="L335" s="234" t="s">
        <v>15</v>
      </c>
      <c r="M335" s="233" t="s">
        <v>15</v>
      </c>
      <c r="N335" s="537">
        <v>292.98052439999998</v>
      </c>
      <c r="O335" s="536">
        <v>4.59</v>
      </c>
      <c r="P335" s="536">
        <v>63.798221400000003</v>
      </c>
      <c r="Q335" s="128">
        <f>6854.79/$T$325</f>
        <v>0.17384345544931604</v>
      </c>
      <c r="R335" s="2196"/>
      <c r="S335" s="24"/>
      <c r="T335" s="26"/>
      <c r="V335" s="24"/>
      <c r="W335" s="26"/>
      <c r="X335" s="26"/>
      <c r="Y335" s="41"/>
      <c r="Z335" s="41"/>
      <c r="AA335" s="41"/>
      <c r="AB335" s="846"/>
      <c r="AC335" s="26"/>
      <c r="AD335" s="24"/>
      <c r="AE335" s="26"/>
      <c r="AF335" s="106"/>
      <c r="AG335" s="37"/>
      <c r="AH335" s="957"/>
      <c r="AI335" s="1023"/>
      <c r="AJ335" s="1023"/>
      <c r="AK335" s="1023"/>
      <c r="AL335" s="1023"/>
      <c r="AM335" s="1023"/>
      <c r="AN335" s="1023"/>
      <c r="AO335" s="957"/>
      <c r="AP335" s="957"/>
      <c r="AQ335" s="957"/>
      <c r="AR335" s="957"/>
      <c r="AS335" s="957"/>
      <c r="AT335" s="957"/>
      <c r="AU335" s="957"/>
      <c r="AV335" s="957"/>
      <c r="AW335" s="957"/>
      <c r="AX335" s="957"/>
      <c r="AY335" s="957"/>
      <c r="AZ335" s="957"/>
      <c r="BA335" s="957"/>
      <c r="BB335" s="957"/>
      <c r="BC335" s="957"/>
      <c r="BD335" s="957"/>
      <c r="BE335" s="957"/>
      <c r="BF335" s="957"/>
      <c r="BG335" s="957"/>
    </row>
    <row r="336" spans="1:59">
      <c r="A336" s="2172"/>
      <c r="B336" s="2206"/>
      <c r="C336" s="2144"/>
      <c r="D336" s="348" t="s">
        <v>766</v>
      </c>
      <c r="E336" s="452">
        <v>1</v>
      </c>
      <c r="F336" s="148" t="s">
        <v>15</v>
      </c>
      <c r="G336" s="148" t="s">
        <v>15</v>
      </c>
      <c r="H336" s="367">
        <v>723.35239999999999</v>
      </c>
      <c r="I336" s="368">
        <v>0</v>
      </c>
      <c r="J336" s="234" t="s">
        <v>15</v>
      </c>
      <c r="K336" s="233" t="s">
        <v>15</v>
      </c>
      <c r="L336" s="234" t="s">
        <v>15</v>
      </c>
      <c r="M336" s="233" t="s">
        <v>15</v>
      </c>
      <c r="N336" s="537">
        <v>259.42322610000002</v>
      </c>
      <c r="O336" s="536">
        <v>0.49</v>
      </c>
      <c r="P336" s="536">
        <v>525.86359730000004</v>
      </c>
      <c r="Q336" s="128">
        <f>1.05/$T$325</f>
        <v>2.662891616253479E-5</v>
      </c>
      <c r="R336" s="2196"/>
      <c r="S336" s="24"/>
      <c r="T336" s="26"/>
      <c r="V336" s="24"/>
      <c r="W336" s="26"/>
      <c r="X336" s="26"/>
      <c r="Y336" s="41"/>
      <c r="Z336" s="41"/>
      <c r="AA336" s="41"/>
      <c r="AB336" s="846"/>
      <c r="AC336" s="26"/>
      <c r="AD336" s="24"/>
      <c r="AE336" s="26"/>
      <c r="AF336" s="106"/>
      <c r="AG336" s="37"/>
      <c r="AH336" s="957"/>
      <c r="AI336" s="1023"/>
      <c r="AJ336" s="1023"/>
      <c r="AK336" s="1023"/>
      <c r="AL336" s="1023"/>
      <c r="AM336" s="1023"/>
      <c r="AN336" s="1023"/>
      <c r="AO336" s="957"/>
      <c r="AP336" s="957"/>
      <c r="AQ336" s="957"/>
      <c r="AR336" s="957"/>
      <c r="AS336" s="957"/>
      <c r="AT336" s="957"/>
      <c r="AU336" s="957"/>
      <c r="AV336" s="957"/>
      <c r="AW336" s="957"/>
      <c r="AX336" s="957"/>
      <c r="AY336" s="957"/>
      <c r="AZ336" s="957"/>
      <c r="BA336" s="957"/>
      <c r="BB336" s="957"/>
      <c r="BC336" s="957"/>
      <c r="BD336" s="957"/>
      <c r="BE336" s="957"/>
      <c r="BF336" s="957"/>
      <c r="BG336" s="957"/>
    </row>
    <row r="337" spans="1:59">
      <c r="A337" s="2172"/>
      <c r="B337" s="2206"/>
      <c r="C337" s="2144"/>
      <c r="D337" s="348" t="s">
        <v>768</v>
      </c>
      <c r="E337" s="452">
        <v>2</v>
      </c>
      <c r="F337" s="148" t="s">
        <v>15</v>
      </c>
      <c r="G337" s="148" t="s">
        <v>15</v>
      </c>
      <c r="H337" s="367">
        <v>403.1352</v>
      </c>
      <c r="I337" s="368">
        <v>3.4768789999999998</v>
      </c>
      <c r="J337" s="234" t="s">
        <v>15</v>
      </c>
      <c r="K337" s="233" t="s">
        <v>15</v>
      </c>
      <c r="L337" s="234" t="s">
        <v>15</v>
      </c>
      <c r="M337" s="233" t="s">
        <v>15</v>
      </c>
      <c r="N337" s="537">
        <v>0</v>
      </c>
      <c r="O337" s="536" t="s">
        <v>574</v>
      </c>
      <c r="P337" s="536" t="s">
        <v>574</v>
      </c>
      <c r="Q337" s="128">
        <f>98/$T$325</f>
        <v>2.4853655085032471E-3</v>
      </c>
      <c r="R337" s="2155"/>
      <c r="S337" s="24"/>
      <c r="T337" s="26"/>
      <c r="V337" s="24"/>
      <c r="W337" s="26"/>
      <c r="X337" s="26"/>
      <c r="Y337" s="41"/>
      <c r="Z337" s="41"/>
      <c r="AA337" s="41"/>
      <c r="AB337" s="846"/>
      <c r="AC337" s="26"/>
      <c r="AD337" s="24"/>
      <c r="AE337" s="26"/>
      <c r="AF337" s="106"/>
      <c r="AG337" s="37"/>
      <c r="AH337" s="957"/>
      <c r="AI337" s="1023"/>
      <c r="AJ337" s="1023"/>
      <c r="AK337" s="1023"/>
      <c r="AL337" s="1023"/>
      <c r="AM337" s="1023"/>
      <c r="AN337" s="1023"/>
      <c r="AO337" s="957"/>
      <c r="AP337" s="957"/>
      <c r="AQ337" s="957"/>
      <c r="AR337" s="957"/>
      <c r="AS337" s="957"/>
      <c r="AT337" s="957"/>
      <c r="AU337" s="957"/>
      <c r="AV337" s="957"/>
      <c r="AW337" s="957"/>
      <c r="AX337" s="957"/>
      <c r="AY337" s="957"/>
      <c r="AZ337" s="957"/>
      <c r="BA337" s="957"/>
      <c r="BB337" s="957"/>
      <c r="BC337" s="957"/>
      <c r="BD337" s="957"/>
      <c r="BE337" s="957"/>
      <c r="BF337" s="957"/>
      <c r="BG337" s="957"/>
    </row>
    <row r="338" spans="1:59">
      <c r="A338" s="2172"/>
      <c r="B338" s="2206" t="s">
        <v>769</v>
      </c>
      <c r="C338" s="2144" t="s">
        <v>13</v>
      </c>
      <c r="D338" s="348">
        <v>60</v>
      </c>
      <c r="E338" s="452">
        <v>61</v>
      </c>
      <c r="F338" s="148" t="s">
        <v>15</v>
      </c>
      <c r="G338" s="148" t="s">
        <v>15</v>
      </c>
      <c r="H338" s="367">
        <v>563.93140000000005</v>
      </c>
      <c r="I338" s="368">
        <v>120.6824</v>
      </c>
      <c r="J338" s="234" t="s">
        <v>15</v>
      </c>
      <c r="K338" s="233" t="s">
        <v>15</v>
      </c>
      <c r="L338" s="234" t="s">
        <v>15</v>
      </c>
      <c r="M338" s="233" t="s">
        <v>15</v>
      </c>
      <c r="N338" s="537">
        <v>-76.833935400000001</v>
      </c>
      <c r="O338" s="536">
        <v>-1.28</v>
      </c>
      <c r="P338" s="536">
        <v>59.863007600000003</v>
      </c>
      <c r="Q338" s="128">
        <f>26256.04/$T$325</f>
        <v>0.66587608373348561</v>
      </c>
      <c r="R338" s="2130">
        <f>SUMPRODUCT(N338:N340,Q338:Q340)</f>
        <v>-62.129756747210763</v>
      </c>
      <c r="S338" s="24"/>
      <c r="T338" s="26"/>
      <c r="V338" s="24"/>
      <c r="W338" s="26"/>
      <c r="X338" s="26"/>
      <c r="Y338" s="41"/>
      <c r="Z338" s="41"/>
      <c r="AA338" s="41"/>
      <c r="AB338" s="846"/>
      <c r="AC338" s="26"/>
      <c r="AD338" s="24"/>
      <c r="AE338" s="26"/>
      <c r="AF338" s="106"/>
      <c r="AG338" s="37"/>
      <c r="AH338" s="957"/>
      <c r="AI338" s="1023"/>
      <c r="AJ338" s="1023"/>
      <c r="AK338" s="1023"/>
      <c r="AL338" s="1023"/>
      <c r="AM338" s="1023"/>
      <c r="AN338" s="1023"/>
      <c r="AO338" s="957"/>
      <c r="AP338" s="957"/>
      <c r="AQ338" s="957"/>
      <c r="AR338" s="957"/>
      <c r="AS338" s="957"/>
      <c r="AT338" s="957"/>
      <c r="AU338" s="957"/>
      <c r="AV338" s="957"/>
      <c r="AW338" s="957"/>
      <c r="AX338" s="957"/>
      <c r="AY338" s="957"/>
      <c r="AZ338" s="957"/>
      <c r="BA338" s="957"/>
      <c r="BB338" s="957"/>
      <c r="BC338" s="957"/>
      <c r="BD338" s="957"/>
      <c r="BE338" s="957"/>
      <c r="BF338" s="957"/>
      <c r="BG338" s="957"/>
    </row>
    <row r="339" spans="1:59">
      <c r="A339" s="2172"/>
      <c r="B339" s="2206"/>
      <c r="C339" s="2144"/>
      <c r="D339" s="348">
        <v>120</v>
      </c>
      <c r="E339" s="452">
        <v>54</v>
      </c>
      <c r="F339" s="148" t="s">
        <v>15</v>
      </c>
      <c r="G339" s="148" t="s">
        <v>15</v>
      </c>
      <c r="H339" s="367">
        <v>780.10569999999996</v>
      </c>
      <c r="I339" s="368">
        <v>76.347149999999999</v>
      </c>
      <c r="J339" s="234" t="s">
        <v>15</v>
      </c>
      <c r="K339" s="233" t="s">
        <v>15</v>
      </c>
      <c r="L339" s="234" t="s">
        <v>15</v>
      </c>
      <c r="M339" s="233" t="s">
        <v>15</v>
      </c>
      <c r="N339" s="537">
        <v>-33.123375699999997</v>
      </c>
      <c r="O339" s="536">
        <v>-0.55000000000000004</v>
      </c>
      <c r="P339" s="536">
        <v>60.532433099999999</v>
      </c>
      <c r="Q339" s="128">
        <f>13056.41/$T$325</f>
        <v>0.33112194978445797</v>
      </c>
      <c r="R339" s="2196"/>
      <c r="S339" s="24"/>
      <c r="T339" s="26"/>
      <c r="V339" s="24"/>
      <c r="W339" s="26"/>
      <c r="X339" s="26"/>
      <c r="Y339" s="41"/>
      <c r="Z339" s="41"/>
      <c r="AA339" s="41"/>
      <c r="AB339" s="846"/>
      <c r="AC339" s="26"/>
      <c r="AD339" s="24"/>
      <c r="AE339" s="26"/>
      <c r="AF339" s="106"/>
      <c r="AG339" s="37"/>
      <c r="AH339" s="957"/>
      <c r="AI339" s="1023"/>
      <c r="AJ339" s="1023"/>
      <c r="AK339" s="1023"/>
      <c r="AL339" s="1023"/>
      <c r="AM339" s="1023"/>
      <c r="AN339" s="1023"/>
      <c r="AO339" s="957"/>
      <c r="AP339" s="957"/>
      <c r="AQ339" s="957"/>
      <c r="AR339" s="957"/>
      <c r="AS339" s="957"/>
      <c r="AT339" s="957"/>
      <c r="AU339" s="957"/>
      <c r="AV339" s="957"/>
      <c r="AW339" s="957"/>
      <c r="AX339" s="957"/>
      <c r="AY339" s="957"/>
      <c r="AZ339" s="957"/>
      <c r="BA339" s="957"/>
      <c r="BB339" s="957"/>
      <c r="BC339" s="957"/>
      <c r="BD339" s="957"/>
      <c r="BE339" s="957"/>
      <c r="BF339" s="957"/>
      <c r="BG339" s="957"/>
    </row>
    <row r="340" spans="1:59">
      <c r="A340" s="2172"/>
      <c r="B340" s="2206"/>
      <c r="C340" s="2144"/>
      <c r="D340" s="348">
        <v>240</v>
      </c>
      <c r="E340" s="452">
        <v>13</v>
      </c>
      <c r="F340" s="148" t="s">
        <v>15</v>
      </c>
      <c r="G340" s="148" t="s">
        <v>15</v>
      </c>
      <c r="H340" s="367">
        <v>630.30399999999997</v>
      </c>
      <c r="I340" s="368">
        <v>99.564340000000001</v>
      </c>
      <c r="J340" s="234" t="s">
        <v>15</v>
      </c>
      <c r="K340" s="233" t="s">
        <v>15</v>
      </c>
      <c r="L340" s="234" t="s">
        <v>15</v>
      </c>
      <c r="M340" s="233" t="s">
        <v>15</v>
      </c>
      <c r="N340" s="537">
        <v>0</v>
      </c>
      <c r="O340" s="536" t="s">
        <v>574</v>
      </c>
      <c r="P340" s="536" t="s">
        <v>574</v>
      </c>
      <c r="Q340" s="128">
        <f>118.37/$T$325</f>
        <v>3.0019664820564221E-3</v>
      </c>
      <c r="R340" s="2196"/>
      <c r="S340" s="24"/>
      <c r="T340" s="26"/>
      <c r="V340" s="24"/>
      <c r="W340" s="26"/>
      <c r="X340" s="26"/>
      <c r="Y340" s="41"/>
      <c r="Z340" s="41"/>
      <c r="AA340" s="41"/>
      <c r="AB340" s="846"/>
      <c r="AC340" s="26"/>
      <c r="AD340" s="24"/>
      <c r="AE340" s="26"/>
      <c r="AF340" s="106"/>
      <c r="AG340" s="37"/>
      <c r="AH340" s="957"/>
      <c r="AI340" s="1023"/>
      <c r="AJ340" s="1023"/>
      <c r="AK340" s="1023"/>
      <c r="AL340" s="1023"/>
      <c r="AM340" s="1023"/>
      <c r="AN340" s="1023"/>
      <c r="AO340" s="957"/>
      <c r="AP340" s="957"/>
      <c r="AQ340" s="957"/>
      <c r="AR340" s="957"/>
      <c r="AS340" s="957"/>
      <c r="AT340" s="957"/>
      <c r="AU340" s="957"/>
      <c r="AV340" s="957"/>
      <c r="AW340" s="957"/>
      <c r="AX340" s="957"/>
      <c r="AY340" s="957"/>
      <c r="AZ340" s="957"/>
      <c r="BA340" s="957"/>
      <c r="BB340" s="957"/>
      <c r="BC340" s="957"/>
      <c r="BD340" s="957"/>
      <c r="BE340" s="957"/>
      <c r="BF340" s="957"/>
      <c r="BG340" s="957"/>
    </row>
    <row r="341" spans="1:59">
      <c r="A341" s="2172"/>
      <c r="B341" s="2206" t="s">
        <v>770</v>
      </c>
      <c r="C341" s="2144" t="s">
        <v>13</v>
      </c>
      <c r="D341" s="348" t="s">
        <v>771</v>
      </c>
      <c r="E341" s="452">
        <v>124</v>
      </c>
      <c r="F341" s="148" t="s">
        <v>15</v>
      </c>
      <c r="G341" s="148" t="s">
        <v>15</v>
      </c>
      <c r="H341" s="367">
        <v>635.62990000000002</v>
      </c>
      <c r="I341" s="368">
        <v>148.26750000000001</v>
      </c>
      <c r="J341" s="234" t="s">
        <v>15</v>
      </c>
      <c r="K341" s="233" t="s">
        <v>15</v>
      </c>
      <c r="L341" s="234" t="s">
        <v>15</v>
      </c>
      <c r="M341" s="233" t="s">
        <v>15</v>
      </c>
      <c r="N341" s="537">
        <v>-368.6144913</v>
      </c>
      <c r="O341" s="536">
        <v>-2.0699999999999998</v>
      </c>
      <c r="P341" s="536">
        <v>178.45997389999999</v>
      </c>
      <c r="Q341" s="128">
        <f>39414.09/$T$325</f>
        <v>0.99957571260247691</v>
      </c>
      <c r="R341" s="2130">
        <f>SUMPRODUCT(N341:N342,Q341:Q342)</f>
        <v>-368.45809281679703</v>
      </c>
      <c r="S341" s="24"/>
      <c r="T341" s="26"/>
      <c r="V341" s="24"/>
      <c r="W341" s="26"/>
      <c r="X341" s="26"/>
      <c r="Y341" s="41"/>
      <c r="Z341" s="41"/>
      <c r="AA341" s="41"/>
      <c r="AB341" s="846"/>
      <c r="AC341" s="26"/>
      <c r="AD341" s="24"/>
      <c r="AE341" s="26"/>
      <c r="AF341" s="106"/>
      <c r="AG341" s="37"/>
      <c r="AH341" s="957"/>
      <c r="AI341" s="1023"/>
      <c r="AJ341" s="1023"/>
      <c r="AK341" s="1023"/>
      <c r="AL341" s="1023"/>
      <c r="AM341" s="1023"/>
      <c r="AN341" s="1023"/>
      <c r="AO341" s="957"/>
      <c r="AP341" s="957"/>
      <c r="AQ341" s="957"/>
      <c r="AR341" s="957"/>
      <c r="AS341" s="957"/>
      <c r="AT341" s="957"/>
      <c r="AU341" s="957"/>
      <c r="AV341" s="957"/>
      <c r="AW341" s="957"/>
      <c r="AX341" s="957"/>
      <c r="AY341" s="957"/>
      <c r="AZ341" s="957"/>
      <c r="BA341" s="957"/>
      <c r="BB341" s="957"/>
      <c r="BC341" s="957"/>
      <c r="BD341" s="957"/>
      <c r="BE341" s="957"/>
      <c r="BF341" s="957"/>
      <c r="BG341" s="957"/>
    </row>
    <row r="342" spans="1:59">
      <c r="A342" s="2172"/>
      <c r="B342" s="2206"/>
      <c r="C342" s="2144"/>
      <c r="D342" s="348" t="s">
        <v>772</v>
      </c>
      <c r="E342" s="452">
        <v>4</v>
      </c>
      <c r="F342" s="148" t="s">
        <v>15</v>
      </c>
      <c r="G342" s="148" t="s">
        <v>15</v>
      </c>
      <c r="H342" s="367">
        <v>826.07529999999997</v>
      </c>
      <c r="I342" s="368">
        <v>87.308229999999995</v>
      </c>
      <c r="J342" s="234" t="s">
        <v>15</v>
      </c>
      <c r="K342" s="233" t="s">
        <v>15</v>
      </c>
      <c r="L342" s="234" t="s">
        <v>15</v>
      </c>
      <c r="M342" s="233" t="s">
        <v>15</v>
      </c>
      <c r="N342" s="537">
        <v>0</v>
      </c>
      <c r="O342" s="536" t="s">
        <v>574</v>
      </c>
      <c r="P342" s="536" t="s">
        <v>574</v>
      </c>
      <c r="Q342" s="128">
        <f>16.73/$T$325</f>
        <v>4.2428739752305432E-4</v>
      </c>
      <c r="R342" s="2155"/>
      <c r="S342" s="24"/>
      <c r="T342" s="26"/>
      <c r="V342" s="24"/>
      <c r="W342" s="26"/>
      <c r="X342" s="26"/>
      <c r="Y342" s="41"/>
      <c r="Z342" s="41"/>
      <c r="AA342" s="41"/>
      <c r="AB342" s="846"/>
      <c r="AC342" s="26"/>
      <c r="AD342" s="24"/>
      <c r="AE342" s="26"/>
      <c r="AF342" s="106"/>
      <c r="AG342" s="37"/>
      <c r="AH342" s="957"/>
      <c r="AI342" s="1023"/>
      <c r="AJ342" s="1023"/>
      <c r="AK342" s="1023"/>
      <c r="AL342" s="1023"/>
      <c r="AM342" s="1023"/>
      <c r="AN342" s="1023"/>
      <c r="AO342" s="957"/>
      <c r="AP342" s="957"/>
      <c r="AQ342" s="957"/>
      <c r="AR342" s="957"/>
      <c r="AS342" s="957"/>
      <c r="AT342" s="957"/>
      <c r="AU342" s="957"/>
      <c r="AV342" s="957"/>
      <c r="AW342" s="957"/>
      <c r="AX342" s="957"/>
      <c r="AY342" s="957"/>
      <c r="AZ342" s="957"/>
      <c r="BA342" s="957"/>
      <c r="BB342" s="957"/>
      <c r="BC342" s="957"/>
      <c r="BD342" s="957"/>
      <c r="BE342" s="957"/>
      <c r="BF342" s="957"/>
      <c r="BG342" s="957"/>
    </row>
    <row r="343" spans="1:59">
      <c r="A343" s="2172"/>
      <c r="B343" s="2207" t="s">
        <v>773</v>
      </c>
      <c r="C343" s="2278" t="s">
        <v>13</v>
      </c>
      <c r="D343" s="338" t="s">
        <v>774</v>
      </c>
      <c r="E343" s="452">
        <v>90</v>
      </c>
      <c r="F343" s="148" t="s">
        <v>15</v>
      </c>
      <c r="G343" s="148" t="s">
        <v>15</v>
      </c>
      <c r="H343" s="367">
        <v>539.71870000000001</v>
      </c>
      <c r="I343" s="368">
        <v>121.6046</v>
      </c>
      <c r="J343" s="234" t="s">
        <v>15</v>
      </c>
      <c r="K343" s="233" t="s">
        <v>15</v>
      </c>
      <c r="L343" s="234" t="s">
        <v>15</v>
      </c>
      <c r="M343" s="233" t="s">
        <v>15</v>
      </c>
      <c r="N343" s="537">
        <v>0</v>
      </c>
      <c r="O343" s="536" t="s">
        <v>574</v>
      </c>
      <c r="P343" s="536" t="s">
        <v>574</v>
      </c>
      <c r="Q343" s="128">
        <f>21332.38/$T$325</f>
        <v>0.54100777006412748</v>
      </c>
      <c r="R343" s="2130">
        <f>SUMPRODUCT(N343:N346,Q343:Q346)</f>
        <v>73.043079943927168</v>
      </c>
      <c r="S343" s="24"/>
      <c r="T343" s="26"/>
      <c r="V343" s="24"/>
      <c r="W343" s="26"/>
      <c r="X343" s="26"/>
      <c r="Y343" s="41"/>
      <c r="Z343" s="41"/>
      <c r="AA343" s="41"/>
      <c r="AB343" s="846"/>
      <c r="AC343" s="26"/>
      <c r="AD343" s="24"/>
      <c r="AE343" s="26"/>
      <c r="AF343" s="106"/>
      <c r="AG343" s="37"/>
      <c r="AH343" s="957"/>
      <c r="AI343" s="1023"/>
      <c r="AJ343" s="1023"/>
      <c r="AK343" s="1023"/>
      <c r="AL343" s="1023"/>
      <c r="AM343" s="1023"/>
      <c r="AN343" s="1023"/>
      <c r="AO343" s="957"/>
      <c r="AP343" s="957"/>
      <c r="AQ343" s="957"/>
      <c r="AR343" s="957"/>
      <c r="AS343" s="957"/>
      <c r="AT343" s="957"/>
      <c r="AU343" s="957"/>
      <c r="AV343" s="957"/>
      <c r="AW343" s="957"/>
      <c r="AX343" s="957"/>
      <c r="AY343" s="957"/>
      <c r="AZ343" s="957"/>
      <c r="BA343" s="957"/>
      <c r="BB343" s="957"/>
      <c r="BC343" s="957"/>
      <c r="BD343" s="957"/>
      <c r="BE343" s="957"/>
      <c r="BF343" s="957"/>
      <c r="BG343" s="957"/>
    </row>
    <row r="344" spans="1:59">
      <c r="A344" s="2172"/>
      <c r="B344" s="2208"/>
      <c r="C344" s="2279"/>
      <c r="D344" s="338" t="s">
        <v>835</v>
      </c>
      <c r="E344" s="452">
        <v>7</v>
      </c>
      <c r="F344" s="148" t="s">
        <v>15</v>
      </c>
      <c r="G344" s="148" t="s">
        <v>15</v>
      </c>
      <c r="H344" s="367">
        <v>604.16070000000002</v>
      </c>
      <c r="I344" s="368">
        <v>50.707979999999999</v>
      </c>
      <c r="J344" s="234" t="s">
        <v>15</v>
      </c>
      <c r="K344" s="233" t="s">
        <v>15</v>
      </c>
      <c r="L344" s="234" t="s">
        <v>15</v>
      </c>
      <c r="M344" s="233" t="s">
        <v>15</v>
      </c>
      <c r="N344" s="537">
        <v>352.22850240000002</v>
      </c>
      <c r="O344" s="536">
        <v>3.28</v>
      </c>
      <c r="P344" s="536">
        <v>107.5052522</v>
      </c>
      <c r="Q344" s="128">
        <f>1033.34/$T$325</f>
        <v>2.6206404026089234E-2</v>
      </c>
      <c r="R344" s="2196"/>
      <c r="S344" s="24"/>
      <c r="T344" s="26"/>
      <c r="V344" s="24"/>
      <c r="W344" s="26"/>
      <c r="X344" s="26"/>
      <c r="Y344" s="41"/>
      <c r="Z344" s="41"/>
      <c r="AA344" s="41"/>
      <c r="AB344" s="846"/>
      <c r="AC344" s="26"/>
      <c r="AD344" s="24"/>
      <c r="AE344" s="26"/>
      <c r="AF344" s="106"/>
      <c r="AG344" s="37"/>
      <c r="AH344" s="957"/>
      <c r="AI344" s="1023"/>
      <c r="AJ344" s="1023"/>
      <c r="AK344" s="1023"/>
      <c r="AL344" s="1023"/>
      <c r="AM344" s="1023"/>
      <c r="AN344" s="1023"/>
      <c r="AO344" s="957"/>
      <c r="AP344" s="957"/>
      <c r="AQ344" s="957"/>
      <c r="AR344" s="957"/>
      <c r="AS344" s="957"/>
      <c r="AT344" s="957"/>
      <c r="AU344" s="957"/>
      <c r="AV344" s="957"/>
      <c r="AW344" s="957"/>
      <c r="AX344" s="957"/>
      <c r="AY344" s="957"/>
      <c r="AZ344" s="957"/>
      <c r="BA344" s="957"/>
      <c r="BB344" s="957"/>
      <c r="BC344" s="957"/>
      <c r="BD344" s="957"/>
      <c r="BE344" s="957"/>
      <c r="BF344" s="957"/>
      <c r="BG344" s="957"/>
    </row>
    <row r="345" spans="1:59">
      <c r="A345" s="2172"/>
      <c r="B345" s="2208"/>
      <c r="C345" s="2279"/>
      <c r="D345" s="338" t="s">
        <v>836</v>
      </c>
      <c r="E345" s="452">
        <v>8</v>
      </c>
      <c r="F345" s="148" t="s">
        <v>15</v>
      </c>
      <c r="G345" s="148" t="s">
        <v>15</v>
      </c>
      <c r="H345" s="367">
        <v>513.5797</v>
      </c>
      <c r="I345" s="368">
        <v>136.01990000000001</v>
      </c>
      <c r="J345" s="234" t="s">
        <v>15</v>
      </c>
      <c r="K345" s="233" t="s">
        <v>15</v>
      </c>
      <c r="L345" s="234" t="s">
        <v>15</v>
      </c>
      <c r="M345" s="233" t="s">
        <v>15</v>
      </c>
      <c r="N345" s="537">
        <v>195.05286649999999</v>
      </c>
      <c r="O345" s="536">
        <v>1.19</v>
      </c>
      <c r="P345" s="536">
        <v>164.09654119999999</v>
      </c>
      <c r="Q345" s="128">
        <f>33.36/$T$325</f>
        <v>8.460387077925338E-4</v>
      </c>
      <c r="R345" s="2196"/>
      <c r="S345" s="24"/>
      <c r="T345" s="26"/>
      <c r="V345" s="24"/>
      <c r="W345" s="26"/>
      <c r="X345" s="26"/>
      <c r="Y345" s="41"/>
      <c r="Z345" s="41"/>
      <c r="AA345" s="41"/>
      <c r="AB345" s="846"/>
      <c r="AC345" s="26"/>
      <c r="AD345" s="24"/>
      <c r="AE345" s="26"/>
      <c r="AF345" s="106"/>
      <c r="AG345" s="37"/>
      <c r="AH345" s="957"/>
      <c r="AI345" s="1023"/>
      <c r="AJ345" s="1023"/>
      <c r="AK345" s="1023"/>
      <c r="AL345" s="1023"/>
      <c r="AM345" s="1023"/>
      <c r="AN345" s="1023"/>
      <c r="AO345" s="957"/>
      <c r="AP345" s="957"/>
      <c r="AQ345" s="957"/>
      <c r="AR345" s="957"/>
      <c r="AS345" s="957"/>
      <c r="AT345" s="957"/>
      <c r="AU345" s="957"/>
      <c r="AV345" s="957"/>
      <c r="AW345" s="957"/>
      <c r="AX345" s="957"/>
      <c r="AY345" s="957"/>
      <c r="AZ345" s="957"/>
      <c r="BA345" s="957"/>
      <c r="BB345" s="957"/>
      <c r="BC345" s="957"/>
      <c r="BD345" s="957"/>
      <c r="BE345" s="957"/>
      <c r="BF345" s="957"/>
      <c r="BG345" s="957"/>
    </row>
    <row r="346" spans="1:59">
      <c r="A346" s="2172"/>
      <c r="B346" s="2209"/>
      <c r="C346" s="2284"/>
      <c r="D346" s="338" t="s">
        <v>837</v>
      </c>
      <c r="E346" s="452">
        <v>23</v>
      </c>
      <c r="F346" s="148" t="s">
        <v>15</v>
      </c>
      <c r="G346" s="148" t="s">
        <v>15</v>
      </c>
      <c r="H346" s="367">
        <v>758.37310000000002</v>
      </c>
      <c r="I346" s="368">
        <v>75.35078</v>
      </c>
      <c r="J346" s="234" t="s">
        <v>15</v>
      </c>
      <c r="K346" s="233" t="s">
        <v>15</v>
      </c>
      <c r="L346" s="234" t="s">
        <v>15</v>
      </c>
      <c r="M346" s="233" t="s">
        <v>15</v>
      </c>
      <c r="N346" s="537">
        <v>147.35251790000001</v>
      </c>
      <c r="O346" s="536">
        <v>2.5099999999999998</v>
      </c>
      <c r="P346" s="536">
        <v>58.758819799999998</v>
      </c>
      <c r="Q346" s="128">
        <f>17031.74/$T$325</f>
        <v>0.43193978720199078</v>
      </c>
      <c r="R346" s="2155"/>
      <c r="S346" s="24"/>
      <c r="T346" s="26"/>
      <c r="V346" s="24"/>
      <c r="W346" s="26"/>
      <c r="X346" s="26"/>
      <c r="Y346" s="41"/>
      <c r="Z346" s="41"/>
      <c r="AA346" s="41"/>
      <c r="AB346" s="846"/>
      <c r="AC346" s="26"/>
      <c r="AD346" s="24"/>
      <c r="AE346" s="26"/>
      <c r="AF346" s="106"/>
      <c r="AG346" s="37"/>
      <c r="AH346" s="957"/>
      <c r="AI346" s="1023"/>
      <c r="AJ346" s="1023"/>
      <c r="AK346" s="1023"/>
      <c r="AL346" s="1023"/>
      <c r="AM346" s="1023"/>
      <c r="AN346" s="1023"/>
      <c r="AO346" s="957"/>
      <c r="AP346" s="957"/>
      <c r="AQ346" s="957"/>
      <c r="AR346" s="957"/>
      <c r="AS346" s="957"/>
      <c r="AT346" s="957"/>
      <c r="AU346" s="957"/>
      <c r="AV346" s="957"/>
      <c r="AW346" s="957"/>
      <c r="AX346" s="957"/>
      <c r="AY346" s="957"/>
      <c r="AZ346" s="957"/>
      <c r="BA346" s="957"/>
      <c r="BB346" s="957"/>
      <c r="BC346" s="957"/>
      <c r="BD346" s="957"/>
      <c r="BE346" s="957"/>
      <c r="BF346" s="957"/>
      <c r="BG346" s="957"/>
    </row>
    <row r="347" spans="1:59">
      <c r="A347" s="2172"/>
      <c r="B347" s="2206" t="s">
        <v>785</v>
      </c>
      <c r="C347" s="2205" t="s">
        <v>11</v>
      </c>
      <c r="D347" s="338" t="s">
        <v>33</v>
      </c>
      <c r="E347" s="452">
        <v>36</v>
      </c>
      <c r="F347" s="148" t="s">
        <v>15</v>
      </c>
      <c r="G347" s="148" t="s">
        <v>15</v>
      </c>
      <c r="H347" s="367">
        <v>680.33190000000002</v>
      </c>
      <c r="I347" s="368">
        <v>46.980980000000002</v>
      </c>
      <c r="J347" s="234" t="s">
        <v>15</v>
      </c>
      <c r="K347" s="233" t="s">
        <v>15</v>
      </c>
      <c r="L347" s="234" t="s">
        <v>15</v>
      </c>
      <c r="M347" s="233" t="s">
        <v>15</v>
      </c>
      <c r="N347" s="537">
        <v>-109.1592914</v>
      </c>
      <c r="O347" s="536">
        <v>-5.5</v>
      </c>
      <c r="P347" s="536">
        <v>19.838208000000002</v>
      </c>
      <c r="Q347" s="128">
        <f>13188.45/$T$325</f>
        <v>0.33447059939407803</v>
      </c>
      <c r="R347" s="2130">
        <f>SUMPRODUCT(N347:N348,Q347:Q348)</f>
        <v>-36.51057362399083</v>
      </c>
      <c r="S347" s="24"/>
      <c r="T347" s="26"/>
      <c r="V347" s="24"/>
      <c r="W347" s="26"/>
      <c r="X347" s="26"/>
      <c r="Y347" s="41"/>
      <c r="Z347" s="41"/>
      <c r="AA347" s="41"/>
      <c r="AB347" s="846"/>
      <c r="AC347" s="26"/>
      <c r="AD347" s="24"/>
      <c r="AE347" s="26"/>
      <c r="AF347" s="106"/>
      <c r="AG347" s="37"/>
      <c r="AH347" s="957"/>
      <c r="AI347" s="1023"/>
      <c r="AJ347" s="1023"/>
      <c r="AK347" s="1023"/>
      <c r="AL347" s="1023"/>
      <c r="AM347" s="1023"/>
      <c r="AN347" s="1023"/>
      <c r="AO347" s="957"/>
      <c r="AP347" s="957"/>
      <c r="AQ347" s="957"/>
      <c r="AR347" s="957"/>
      <c r="AS347" s="957"/>
      <c r="AT347" s="957"/>
      <c r="AU347" s="957"/>
      <c r="AV347" s="957"/>
      <c r="AW347" s="957"/>
      <c r="AX347" s="957"/>
      <c r="AY347" s="957"/>
      <c r="AZ347" s="957"/>
      <c r="BA347" s="957"/>
      <c r="BB347" s="957"/>
      <c r="BC347" s="957"/>
      <c r="BD347" s="957"/>
      <c r="BE347" s="957"/>
      <c r="BF347" s="957"/>
      <c r="BG347" s="957"/>
    </row>
    <row r="348" spans="1:59">
      <c r="A348" s="2172"/>
      <c r="B348" s="2206"/>
      <c r="C348" s="2205"/>
      <c r="D348" s="338" t="s">
        <v>32</v>
      </c>
      <c r="E348" s="452">
        <v>92</v>
      </c>
      <c r="F348" s="148" t="s">
        <v>15</v>
      </c>
      <c r="G348" s="148" t="s">
        <v>15</v>
      </c>
      <c r="H348" s="367">
        <v>613.28579999999999</v>
      </c>
      <c r="I348" s="368">
        <v>174.44880000000001</v>
      </c>
      <c r="J348" s="234" t="s">
        <v>15</v>
      </c>
      <c r="K348" s="233" t="s">
        <v>15</v>
      </c>
      <c r="L348" s="234" t="s">
        <v>15</v>
      </c>
      <c r="M348" s="233" t="s">
        <v>15</v>
      </c>
      <c r="N348" s="537">
        <v>0</v>
      </c>
      <c r="O348" s="536" t="s">
        <v>574</v>
      </c>
      <c r="P348" s="536" t="s">
        <v>574</v>
      </c>
      <c r="Q348" s="128">
        <f>26242.37/$T$325</f>
        <v>0.66552940060592192</v>
      </c>
      <c r="R348" s="2155"/>
      <c r="S348" s="24"/>
      <c r="T348" s="26"/>
      <c r="V348" s="24"/>
      <c r="W348" s="26"/>
      <c r="X348" s="26"/>
      <c r="Y348" s="41"/>
      <c r="Z348" s="41"/>
      <c r="AA348" s="41"/>
      <c r="AB348" s="846"/>
      <c r="AC348" s="26"/>
      <c r="AD348" s="24"/>
      <c r="AE348" s="26"/>
      <c r="AF348" s="106"/>
      <c r="AG348" s="37"/>
      <c r="AH348" s="957"/>
      <c r="AI348" s="1023"/>
      <c r="AJ348" s="1023"/>
      <c r="AK348" s="1023"/>
      <c r="AL348" s="1023"/>
      <c r="AM348" s="1023"/>
      <c r="AN348" s="1023"/>
      <c r="AO348" s="957"/>
      <c r="AP348" s="957"/>
      <c r="AQ348" s="957"/>
      <c r="AR348" s="957"/>
      <c r="AS348" s="957"/>
      <c r="AT348" s="957"/>
      <c r="AU348" s="957"/>
      <c r="AV348" s="957"/>
      <c r="AW348" s="957"/>
      <c r="AX348" s="957"/>
      <c r="AY348" s="957"/>
      <c r="AZ348" s="957"/>
      <c r="BA348" s="957"/>
      <c r="BB348" s="957"/>
      <c r="BC348" s="957"/>
      <c r="BD348" s="957"/>
      <c r="BE348" s="957"/>
      <c r="BF348" s="957"/>
      <c r="BG348" s="957"/>
    </row>
    <row r="349" spans="1:59">
      <c r="A349" s="2172"/>
      <c r="B349" s="2206" t="s">
        <v>786</v>
      </c>
      <c r="C349" s="2205" t="s">
        <v>11</v>
      </c>
      <c r="D349" s="338" t="s">
        <v>33</v>
      </c>
      <c r="E349" s="452">
        <v>117</v>
      </c>
      <c r="F349" s="148" t="s">
        <v>15</v>
      </c>
      <c r="G349" s="148" t="s">
        <v>15</v>
      </c>
      <c r="H349" s="367">
        <v>635.74900000000002</v>
      </c>
      <c r="I349" s="368">
        <v>148.3109</v>
      </c>
      <c r="J349" s="234" t="s">
        <v>15</v>
      </c>
      <c r="K349" s="233" t="s">
        <v>15</v>
      </c>
      <c r="L349" s="234" t="s">
        <v>15</v>
      </c>
      <c r="M349" s="233" t="s">
        <v>15</v>
      </c>
      <c r="N349" s="537">
        <v>18.891206799999999</v>
      </c>
      <c r="O349" s="536">
        <v>0.22</v>
      </c>
      <c r="P349" s="536">
        <v>85.675798999999998</v>
      </c>
      <c r="Q349" s="128">
        <f>39365.75/$T$325</f>
        <v>0.99834976802409892</v>
      </c>
      <c r="R349" s="2130">
        <f>SUMPRODUCT(N349:N350,Q349:Q350)</f>
        <v>18.86003192647528</v>
      </c>
      <c r="S349" s="24"/>
      <c r="T349" s="26"/>
      <c r="V349" s="24"/>
      <c r="W349" s="26"/>
      <c r="X349" s="26"/>
      <c r="Y349" s="41"/>
      <c r="Z349" s="41"/>
      <c r="AA349" s="41"/>
      <c r="AB349" s="846"/>
      <c r="AC349" s="26"/>
      <c r="AD349" s="24"/>
      <c r="AE349" s="26"/>
      <c r="AF349" s="106"/>
      <c r="AG349" s="37"/>
      <c r="AH349" s="957"/>
      <c r="AI349" s="1023"/>
      <c r="AJ349" s="1023"/>
      <c r="AK349" s="1023"/>
      <c r="AL349" s="1023"/>
      <c r="AM349" s="1023"/>
      <c r="AN349" s="1023"/>
      <c r="AO349" s="957"/>
      <c r="AP349" s="957"/>
      <c r="AQ349" s="957"/>
      <c r="AR349" s="957"/>
      <c r="AS349" s="957"/>
      <c r="AT349" s="957"/>
      <c r="AU349" s="957"/>
      <c r="AV349" s="957"/>
      <c r="AW349" s="957"/>
      <c r="AX349" s="957"/>
      <c r="AY349" s="957"/>
      <c r="AZ349" s="957"/>
      <c r="BA349" s="957"/>
      <c r="BB349" s="957"/>
      <c r="BC349" s="957"/>
      <c r="BD349" s="957"/>
      <c r="BE349" s="957"/>
      <c r="BF349" s="957"/>
      <c r="BG349" s="957"/>
    </row>
    <row r="350" spans="1:59">
      <c r="A350" s="2172"/>
      <c r="B350" s="2206"/>
      <c r="C350" s="2205"/>
      <c r="D350" s="338" t="s">
        <v>32</v>
      </c>
      <c r="E350" s="452">
        <v>11</v>
      </c>
      <c r="F350" s="148" t="s">
        <v>15</v>
      </c>
      <c r="G350" s="148" t="s">
        <v>15</v>
      </c>
      <c r="H350" s="367">
        <v>612.53959999999995</v>
      </c>
      <c r="I350" s="368">
        <v>138.88730000000001</v>
      </c>
      <c r="J350" s="234" t="s">
        <v>15</v>
      </c>
      <c r="K350" s="233" t="s">
        <v>15</v>
      </c>
      <c r="L350" s="234" t="s">
        <v>15</v>
      </c>
      <c r="M350" s="233" t="s">
        <v>15</v>
      </c>
      <c r="N350" s="537">
        <v>0</v>
      </c>
      <c r="O350" s="536" t="s">
        <v>574</v>
      </c>
      <c r="P350" s="536" t="s">
        <v>574</v>
      </c>
      <c r="Q350" s="128">
        <f>65.07/$T$325</f>
        <v>1.6502319759010844E-3</v>
      </c>
      <c r="R350" s="2155"/>
      <c r="S350" s="24"/>
      <c r="T350" s="26"/>
      <c r="V350" s="24"/>
      <c r="W350" s="26"/>
      <c r="X350" s="26"/>
      <c r="Y350" s="41"/>
      <c r="Z350" s="41"/>
      <c r="AA350" s="41"/>
      <c r="AB350" s="846"/>
      <c r="AC350" s="26"/>
      <c r="AD350" s="24"/>
      <c r="AE350" s="26"/>
      <c r="AF350" s="106"/>
      <c r="AG350" s="37"/>
      <c r="AH350" s="957"/>
      <c r="AI350" s="1023"/>
      <c r="AJ350" s="1023"/>
      <c r="AK350" s="1023"/>
      <c r="AL350" s="1023"/>
      <c r="AM350" s="1023"/>
      <c r="AN350" s="1023"/>
      <c r="AO350" s="957"/>
      <c r="AP350" s="957"/>
      <c r="AQ350" s="957"/>
      <c r="AR350" s="957"/>
      <c r="AS350" s="957"/>
      <c r="AT350" s="957"/>
      <c r="AU350" s="957"/>
      <c r="AV350" s="957"/>
      <c r="AW350" s="957"/>
      <c r="AX350" s="957"/>
      <c r="AY350" s="957"/>
      <c r="AZ350" s="957"/>
      <c r="BA350" s="957"/>
      <c r="BB350" s="957"/>
      <c r="BC350" s="957"/>
      <c r="BD350" s="957"/>
      <c r="BE350" s="957"/>
      <c r="BF350" s="957"/>
      <c r="BG350" s="957"/>
    </row>
    <row r="351" spans="1:59">
      <c r="A351" s="2172"/>
      <c r="B351" s="2206" t="s">
        <v>787</v>
      </c>
      <c r="C351" s="2205" t="s">
        <v>11</v>
      </c>
      <c r="D351" s="338" t="s">
        <v>33</v>
      </c>
      <c r="E351" s="452">
        <v>24</v>
      </c>
      <c r="F351" s="148" t="s">
        <v>15</v>
      </c>
      <c r="G351" s="148" t="s">
        <v>15</v>
      </c>
      <c r="H351" s="367">
        <v>605.90449999999998</v>
      </c>
      <c r="I351" s="368">
        <v>61.605260000000001</v>
      </c>
      <c r="J351" s="234" t="s">
        <v>15</v>
      </c>
      <c r="K351" s="233" t="s">
        <v>15</v>
      </c>
      <c r="L351" s="234" t="s">
        <v>15</v>
      </c>
      <c r="M351" s="233" t="s">
        <v>15</v>
      </c>
      <c r="N351" s="537">
        <v>-96.435394400000007</v>
      </c>
      <c r="O351" s="536">
        <v>-0.47</v>
      </c>
      <c r="P351" s="536">
        <v>206.39453169999999</v>
      </c>
      <c r="Q351" s="128">
        <f>1118.54/$T$325</f>
        <v>2.8367150366134915E-2</v>
      </c>
      <c r="R351" s="2130">
        <f>SUMPRODUCT(N351:N352,Q351:Q352)</f>
        <v>-2.7355973335623252</v>
      </c>
      <c r="S351" s="24"/>
      <c r="T351" s="26"/>
      <c r="V351" s="24"/>
      <c r="W351" s="26"/>
      <c r="X351" s="26"/>
      <c r="Y351" s="41"/>
      <c r="Z351" s="41"/>
      <c r="AA351" s="41"/>
      <c r="AB351" s="846"/>
      <c r="AC351" s="26"/>
      <c r="AD351" s="24"/>
      <c r="AE351" s="26"/>
      <c r="AF351" s="106"/>
      <c r="AG351" s="37"/>
      <c r="AH351" s="957"/>
      <c r="AI351" s="1023"/>
      <c r="AJ351" s="1023"/>
      <c r="AK351" s="1023"/>
      <c r="AL351" s="1023"/>
      <c r="AM351" s="1023"/>
      <c r="AN351" s="1023"/>
      <c r="AO351" s="957"/>
      <c r="AP351" s="957"/>
      <c r="AQ351" s="957"/>
      <c r="AR351" s="957"/>
      <c r="AS351" s="957"/>
      <c r="AT351" s="957"/>
      <c r="AU351" s="957"/>
      <c r="AV351" s="957"/>
      <c r="AW351" s="957"/>
      <c r="AX351" s="957"/>
      <c r="AY351" s="957"/>
      <c r="AZ351" s="957"/>
      <c r="BA351" s="957"/>
      <c r="BB351" s="957"/>
      <c r="BC351" s="957"/>
      <c r="BD351" s="957"/>
      <c r="BE351" s="957"/>
      <c r="BF351" s="957"/>
      <c r="BG351" s="957"/>
    </row>
    <row r="352" spans="1:59">
      <c r="A352" s="2172"/>
      <c r="B352" s="2206"/>
      <c r="C352" s="2205"/>
      <c r="D352" s="338" t="s">
        <v>32</v>
      </c>
      <c r="E352" s="452">
        <v>104</v>
      </c>
      <c r="F352" s="148" t="s">
        <v>15</v>
      </c>
      <c r="G352" s="148" t="s">
        <v>15</v>
      </c>
      <c r="H352" s="367">
        <v>636.58090000000004</v>
      </c>
      <c r="I352" s="368">
        <v>149.99039999999999</v>
      </c>
      <c r="J352" s="234" t="s">
        <v>15</v>
      </c>
      <c r="K352" s="233" t="s">
        <v>15</v>
      </c>
      <c r="L352" s="234" t="s">
        <v>15</v>
      </c>
      <c r="M352" s="233" t="s">
        <v>15</v>
      </c>
      <c r="N352" s="537">
        <v>0</v>
      </c>
      <c r="O352" s="536" t="s">
        <v>574</v>
      </c>
      <c r="P352" s="536" t="s">
        <v>574</v>
      </c>
      <c r="Q352" s="128">
        <f>38312.28/$T$325</f>
        <v>0.97163284963386509</v>
      </c>
      <c r="R352" s="2155"/>
      <c r="S352" s="24"/>
      <c r="T352" s="26"/>
      <c r="V352" s="24"/>
      <c r="W352" s="26"/>
      <c r="X352" s="26"/>
      <c r="Y352" s="41"/>
      <c r="Z352" s="41"/>
      <c r="AA352" s="41"/>
      <c r="AB352" s="846"/>
      <c r="AC352" s="26"/>
      <c r="AD352" s="24"/>
      <c r="AE352" s="26"/>
      <c r="AF352" s="106"/>
      <c r="AG352" s="37"/>
      <c r="AH352" s="957"/>
      <c r="AI352" s="1023"/>
      <c r="AJ352" s="1023"/>
      <c r="AK352" s="1023"/>
      <c r="AL352" s="1023"/>
      <c r="AM352" s="1023"/>
      <c r="AN352" s="1023"/>
      <c r="AO352" s="957"/>
      <c r="AP352" s="957"/>
      <c r="AQ352" s="957"/>
      <c r="AR352" s="957"/>
      <c r="AS352" s="957"/>
      <c r="AT352" s="957"/>
      <c r="AU352" s="957"/>
      <c r="AV352" s="957"/>
      <c r="AW352" s="957"/>
      <c r="AX352" s="957"/>
      <c r="AY352" s="957"/>
      <c r="AZ352" s="957"/>
      <c r="BA352" s="957"/>
      <c r="BB352" s="957"/>
      <c r="BC352" s="957"/>
      <c r="BD352" s="957"/>
      <c r="BE352" s="957"/>
      <c r="BF352" s="957"/>
      <c r="BG352" s="957"/>
    </row>
    <row r="353" spans="1:113">
      <c r="A353" s="2172"/>
      <c r="B353" s="2206" t="s">
        <v>838</v>
      </c>
      <c r="C353" s="2205" t="s">
        <v>11</v>
      </c>
      <c r="D353" s="338" t="s">
        <v>33</v>
      </c>
      <c r="E353" s="452">
        <v>29</v>
      </c>
      <c r="F353" s="148" t="s">
        <v>15</v>
      </c>
      <c r="G353" s="148" t="s">
        <v>15</v>
      </c>
      <c r="H353" s="367">
        <v>602.97460000000001</v>
      </c>
      <c r="I353" s="368">
        <v>66.602209999999999</v>
      </c>
      <c r="J353" s="234" t="s">
        <v>15</v>
      </c>
      <c r="K353" s="233" t="s">
        <v>15</v>
      </c>
      <c r="L353" s="234" t="s">
        <v>15</v>
      </c>
      <c r="M353" s="233" t="s">
        <v>15</v>
      </c>
      <c r="N353" s="537">
        <v>-178.31051729999999</v>
      </c>
      <c r="O353" s="536">
        <v>-0.81</v>
      </c>
      <c r="P353" s="536">
        <v>219.21810980000001</v>
      </c>
      <c r="Q353" s="128">
        <f>1135.51/$T$325</f>
        <v>2.8797524373066551E-2</v>
      </c>
      <c r="R353" s="2130">
        <f>SUMPRODUCT(N353:N354,Q353:Q354)</f>
        <v>-5.1349014679208542</v>
      </c>
      <c r="S353" s="24"/>
      <c r="T353" s="26"/>
      <c r="V353" s="24"/>
      <c r="W353" s="26"/>
      <c r="X353" s="26"/>
      <c r="Y353" s="41"/>
      <c r="Z353" s="41"/>
      <c r="AA353" s="41"/>
      <c r="AB353" s="846"/>
      <c r="AC353" s="26"/>
      <c r="AD353" s="24"/>
      <c r="AE353" s="26"/>
      <c r="AF353" s="106"/>
      <c r="AG353" s="37"/>
      <c r="AH353" s="957"/>
      <c r="AI353" s="1023"/>
      <c r="AJ353" s="1023"/>
      <c r="AK353" s="1023"/>
      <c r="AL353" s="1023"/>
      <c r="AM353" s="1023"/>
      <c r="AN353" s="1023"/>
      <c r="AO353" s="957"/>
      <c r="AP353" s="957"/>
      <c r="AQ353" s="957"/>
      <c r="AR353" s="957"/>
      <c r="AS353" s="957"/>
      <c r="AT353" s="957"/>
      <c r="AU353" s="957"/>
      <c r="AV353" s="957"/>
      <c r="AW353" s="957"/>
      <c r="AX353" s="957"/>
      <c r="AY353" s="957"/>
      <c r="AZ353" s="957"/>
      <c r="BA353" s="957"/>
      <c r="BB353" s="957"/>
      <c r="BC353" s="957"/>
      <c r="BD353" s="957"/>
      <c r="BE353" s="957"/>
      <c r="BF353" s="957"/>
      <c r="BG353" s="957"/>
    </row>
    <row r="354" spans="1:113">
      <c r="A354" s="2172"/>
      <c r="B354" s="2206"/>
      <c r="C354" s="2205"/>
      <c r="D354" s="338" t="s">
        <v>32</v>
      </c>
      <c r="E354" s="452">
        <v>99</v>
      </c>
      <c r="F354" s="148" t="s">
        <v>15</v>
      </c>
      <c r="G354" s="148" t="s">
        <v>15</v>
      </c>
      <c r="H354" s="367">
        <v>636.68140000000005</v>
      </c>
      <c r="I354" s="368">
        <v>149.93459999999999</v>
      </c>
      <c r="J354" s="234" t="s">
        <v>15</v>
      </c>
      <c r="K354" s="233" t="s">
        <v>15</v>
      </c>
      <c r="L354" s="234" t="s">
        <v>15</v>
      </c>
      <c r="M354" s="233" t="s">
        <v>15</v>
      </c>
      <c r="N354" s="537">
        <v>0</v>
      </c>
      <c r="O354" s="536" t="s">
        <v>574</v>
      </c>
      <c r="P354" s="536" t="s">
        <v>574</v>
      </c>
      <c r="Q354" s="128">
        <f>38295.31/$T$325</f>
        <v>0.9712024756269334</v>
      </c>
      <c r="R354" s="2155"/>
      <c r="S354" s="24"/>
      <c r="T354" s="26"/>
      <c r="V354" s="24"/>
      <c r="W354" s="26"/>
      <c r="X354" s="26"/>
      <c r="Y354" s="41"/>
      <c r="Z354" s="41"/>
      <c r="AA354" s="41"/>
      <c r="AB354" s="846"/>
      <c r="AC354" s="26"/>
      <c r="AD354" s="24"/>
      <c r="AE354" s="26"/>
      <c r="AF354" s="106"/>
      <c r="AG354" s="37"/>
      <c r="AH354" s="957"/>
      <c r="AI354" s="1023"/>
      <c r="AJ354" s="1023"/>
      <c r="AK354" s="1023"/>
      <c r="AL354" s="1023"/>
      <c r="AM354" s="1023"/>
      <c r="AN354" s="1023"/>
      <c r="AO354" s="957"/>
      <c r="AP354" s="957"/>
      <c r="AQ354" s="957"/>
      <c r="AR354" s="957"/>
      <c r="AS354" s="957"/>
      <c r="AT354" s="957"/>
      <c r="AU354" s="957"/>
      <c r="AV354" s="957"/>
      <c r="AW354" s="957"/>
      <c r="AX354" s="957"/>
      <c r="AY354" s="957"/>
      <c r="AZ354" s="957"/>
      <c r="BA354" s="957"/>
      <c r="BB354" s="957"/>
      <c r="BC354" s="957"/>
      <c r="BD354" s="957"/>
      <c r="BE354" s="957"/>
      <c r="BF354" s="957"/>
      <c r="BG354" s="957"/>
    </row>
    <row r="355" spans="1:113">
      <c r="A355" s="2172"/>
      <c r="B355" s="2206" t="s">
        <v>7</v>
      </c>
      <c r="C355" s="2144" t="s">
        <v>13</v>
      </c>
      <c r="D355" s="348">
        <v>1</v>
      </c>
      <c r="E355" s="452">
        <v>36</v>
      </c>
      <c r="F355" s="148" t="s">
        <v>15</v>
      </c>
      <c r="G355" s="148" t="s">
        <v>15</v>
      </c>
      <c r="H355" s="367">
        <v>605.92049999999995</v>
      </c>
      <c r="I355" s="368">
        <v>172.82310000000001</v>
      </c>
      <c r="J355" s="234" t="s">
        <v>15</v>
      </c>
      <c r="K355" s="233" t="s">
        <v>15</v>
      </c>
      <c r="L355" s="234" t="s">
        <v>15</v>
      </c>
      <c r="M355" s="233" t="s">
        <v>15</v>
      </c>
      <c r="N355" s="537">
        <v>-7.2128218999999998</v>
      </c>
      <c r="O355" s="536">
        <v>-1.05</v>
      </c>
      <c r="P355" s="536">
        <v>6.8584101999999998</v>
      </c>
      <c r="Q355" s="128">
        <f>14714.69/$T$325</f>
        <v>0.3731773774930372</v>
      </c>
      <c r="R355" s="2130">
        <f>SUMPRODUCT(N355:N358,Q355:Q358)</f>
        <v>-22.862527314074931</v>
      </c>
      <c r="S355" s="24"/>
      <c r="T355" s="26"/>
      <c r="V355" s="24"/>
      <c r="W355" s="26"/>
      <c r="X355" s="26"/>
      <c r="Y355" s="41"/>
      <c r="Z355" s="41"/>
      <c r="AA355" s="41"/>
      <c r="AB355" s="846"/>
      <c r="AC355" s="26"/>
      <c r="AD355" s="24"/>
      <c r="AE355" s="26"/>
      <c r="AF355" s="106"/>
      <c r="AG355" s="37"/>
      <c r="AH355" s="957"/>
      <c r="AI355" s="1023"/>
      <c r="AJ355" s="1023"/>
      <c r="AK355" s="1023"/>
      <c r="AL355" s="1023"/>
      <c r="AM355" s="1023"/>
      <c r="AN355" s="1023"/>
      <c r="AO355" s="957"/>
      <c r="AP355" s="957"/>
      <c r="AQ355" s="957"/>
      <c r="AR355" s="957"/>
      <c r="AS355" s="957"/>
      <c r="AT355" s="957"/>
      <c r="AU355" s="957"/>
      <c r="AV355" s="957"/>
      <c r="AW355" s="957"/>
      <c r="AX355" s="957"/>
      <c r="AY355" s="957"/>
      <c r="AZ355" s="957"/>
      <c r="BA355" s="957"/>
      <c r="BB355" s="957"/>
      <c r="BC355" s="957"/>
      <c r="BD355" s="957"/>
      <c r="BE355" s="957"/>
      <c r="BF355" s="957"/>
      <c r="BG355" s="957"/>
    </row>
    <row r="356" spans="1:113">
      <c r="A356" s="2172"/>
      <c r="B356" s="2206"/>
      <c r="C356" s="2144"/>
      <c r="D356" s="348">
        <v>2</v>
      </c>
      <c r="E356" s="452">
        <v>33</v>
      </c>
      <c r="F356" s="148" t="s">
        <v>15</v>
      </c>
      <c r="G356" s="148" t="s">
        <v>15</v>
      </c>
      <c r="H356" s="367">
        <v>615.29849999999999</v>
      </c>
      <c r="I356" s="368">
        <v>163.18459999999999</v>
      </c>
      <c r="J356" s="234" t="s">
        <v>15</v>
      </c>
      <c r="K356" s="233" t="s">
        <v>15</v>
      </c>
      <c r="L356" s="234" t="s">
        <v>15</v>
      </c>
      <c r="M356" s="233" t="s">
        <v>15</v>
      </c>
      <c r="N356" s="537">
        <v>-70.775972800000005</v>
      </c>
      <c r="O356" s="536">
        <v>-7.94</v>
      </c>
      <c r="P356" s="536">
        <v>8.9166728000000006</v>
      </c>
      <c r="Q356" s="128">
        <f>5449.95/$T$325</f>
        <v>0.13821548727619665</v>
      </c>
      <c r="R356" s="2196"/>
      <c r="S356" s="24"/>
      <c r="T356" s="26"/>
      <c r="V356" s="24"/>
      <c r="W356" s="26"/>
      <c r="X356" s="26"/>
      <c r="Y356" s="41"/>
      <c r="Z356" s="41"/>
      <c r="AA356" s="41"/>
      <c r="AB356" s="846"/>
      <c r="AC356" s="26"/>
      <c r="AD356" s="24"/>
      <c r="AE356" s="26"/>
      <c r="AF356" s="106"/>
      <c r="AG356" s="37"/>
      <c r="AH356" s="957"/>
      <c r="AI356" s="1023"/>
      <c r="AJ356" s="1023"/>
      <c r="AK356" s="1023"/>
      <c r="AL356" s="1023"/>
      <c r="AM356" s="1023"/>
      <c r="AN356" s="1023"/>
      <c r="AO356" s="957"/>
      <c r="AP356" s="957"/>
      <c r="AQ356" s="957"/>
      <c r="AR356" s="957"/>
      <c r="AS356" s="957"/>
      <c r="AT356" s="957"/>
      <c r="AU356" s="957"/>
      <c r="AV356" s="957"/>
      <c r="AW356" s="957"/>
      <c r="AX356" s="957"/>
      <c r="AY356" s="957"/>
      <c r="AZ356" s="957"/>
      <c r="BA356" s="957"/>
      <c r="BB356" s="957"/>
      <c r="BC356" s="957"/>
      <c r="BD356" s="957"/>
      <c r="BE356" s="957"/>
      <c r="BF356" s="957"/>
      <c r="BG356" s="957"/>
    </row>
    <row r="357" spans="1:113">
      <c r="A357" s="2172"/>
      <c r="B357" s="2206"/>
      <c r="C357" s="2144"/>
      <c r="D357" s="348">
        <v>3</v>
      </c>
      <c r="E357" s="452">
        <v>22</v>
      </c>
      <c r="F357" s="148" t="s">
        <v>15</v>
      </c>
      <c r="G357" s="148" t="s">
        <v>15</v>
      </c>
      <c r="H357" s="367">
        <v>582.95740000000001</v>
      </c>
      <c r="I357" s="368">
        <v>124.83540000000001</v>
      </c>
      <c r="J357" s="234" t="s">
        <v>15</v>
      </c>
      <c r="K357" s="233" t="s">
        <v>15</v>
      </c>
      <c r="L357" s="234" t="s">
        <v>15</v>
      </c>
      <c r="M357" s="233" t="s">
        <v>15</v>
      </c>
      <c r="N357" s="537">
        <v>-100.19549689999999</v>
      </c>
      <c r="O357" s="536">
        <v>-9.41</v>
      </c>
      <c r="P357" s="536">
        <v>10.643938</v>
      </c>
      <c r="Q357" s="128">
        <f>4088.29/$T$325</f>
        <v>0.10368260157917081</v>
      </c>
      <c r="R357" s="2196"/>
      <c r="S357" s="24"/>
      <c r="T357" s="26"/>
      <c r="V357" s="24"/>
      <c r="W357" s="26"/>
      <c r="X357" s="26"/>
      <c r="Y357" s="41"/>
      <c r="Z357" s="41"/>
      <c r="AA357" s="41"/>
      <c r="AB357" s="846"/>
      <c r="AC357" s="26"/>
      <c r="AD357" s="24"/>
      <c r="AE357" s="26"/>
      <c r="AF357" s="106"/>
      <c r="AG357" s="37"/>
      <c r="AH357" s="957"/>
      <c r="AI357" s="1023"/>
      <c r="AJ357" s="1023"/>
      <c r="AK357" s="1023"/>
      <c r="AL357" s="1023"/>
      <c r="AM357" s="1023"/>
      <c r="AN357" s="1023"/>
      <c r="AO357" s="957"/>
      <c r="AP357" s="957"/>
      <c r="AQ357" s="957"/>
      <c r="AR357" s="957"/>
      <c r="AS357" s="957"/>
      <c r="AT357" s="957"/>
      <c r="AU357" s="957"/>
      <c r="AV357" s="957"/>
      <c r="AW357" s="957"/>
      <c r="AX357" s="957"/>
      <c r="AY357" s="957"/>
      <c r="AZ357" s="957"/>
      <c r="BA357" s="957"/>
      <c r="BB357" s="957"/>
      <c r="BC357" s="957"/>
      <c r="BD357" s="957"/>
      <c r="BE357" s="957"/>
      <c r="BF357" s="957"/>
      <c r="BG357" s="957"/>
    </row>
    <row r="358" spans="1:113" ht="15.75" thickBot="1">
      <c r="A358" s="2188"/>
      <c r="B358" s="2206"/>
      <c r="C358" s="2144"/>
      <c r="D358" s="205">
        <v>4</v>
      </c>
      <c r="E358" s="25">
        <v>37</v>
      </c>
      <c r="F358" s="197" t="s">
        <v>15</v>
      </c>
      <c r="G358" s="197" t="s">
        <v>15</v>
      </c>
      <c r="H358" s="367">
        <v>686.13080000000002</v>
      </c>
      <c r="I358" s="368">
        <v>100.5839</v>
      </c>
      <c r="J358" s="409" t="s">
        <v>15</v>
      </c>
      <c r="K358" s="122" t="s">
        <v>15</v>
      </c>
      <c r="L358" s="409" t="s">
        <v>15</v>
      </c>
      <c r="M358" s="122" t="s">
        <v>15</v>
      </c>
      <c r="N358" s="1201">
        <v>0</v>
      </c>
      <c r="O358" s="133" t="s">
        <v>574</v>
      </c>
      <c r="P358" s="133" t="s">
        <v>574</v>
      </c>
      <c r="Q358" s="286">
        <f>15177.89/$T$325</f>
        <v>0.38492453365159535</v>
      </c>
      <c r="R358" s="2196"/>
      <c r="S358" s="24"/>
      <c r="T358" s="26"/>
      <c r="V358" s="24"/>
      <c r="W358" s="26"/>
      <c r="X358" s="26"/>
      <c r="Y358" s="41"/>
      <c r="Z358" s="41"/>
      <c r="AA358" s="41"/>
      <c r="AB358" s="846"/>
      <c r="AC358" s="26"/>
      <c r="AD358" s="240"/>
      <c r="AE358" s="764"/>
      <c r="AF358" s="106"/>
      <c r="AG358" s="37"/>
      <c r="AH358" s="957"/>
      <c r="AI358" s="1023"/>
      <c r="AJ358" s="1023"/>
      <c r="AK358" s="1023"/>
      <c r="AL358" s="1023"/>
      <c r="AM358" s="1023"/>
      <c r="AN358" s="1023"/>
      <c r="AO358" s="957"/>
      <c r="AP358" s="957"/>
      <c r="AQ358" s="957"/>
      <c r="AR358" s="957"/>
      <c r="AS358" s="957"/>
      <c r="AT358" s="957"/>
      <c r="AU358" s="957"/>
      <c r="AV358" s="957"/>
      <c r="AW358" s="957"/>
      <c r="AX358" s="957"/>
      <c r="AY358" s="957"/>
      <c r="AZ358" s="957"/>
      <c r="BA358" s="957"/>
      <c r="BB358" s="957"/>
      <c r="BC358" s="957"/>
      <c r="BD358" s="957"/>
      <c r="BE358" s="957"/>
      <c r="BF358" s="957"/>
      <c r="BG358" s="957"/>
    </row>
    <row r="359" spans="1:113" s="692" customFormat="1" ht="9" customHeight="1" thickBot="1">
      <c r="A359" s="695"/>
      <c r="B359" s="815"/>
      <c r="C359" s="684"/>
      <c r="D359" s="683"/>
      <c r="E359" s="684"/>
      <c r="F359" s="684"/>
      <c r="G359" s="684"/>
      <c r="H359" s="684"/>
      <c r="I359" s="684"/>
      <c r="J359" s="682"/>
      <c r="K359" s="683"/>
      <c r="L359" s="682"/>
      <c r="M359" s="685"/>
      <c r="N359" s="1189"/>
      <c r="O359" s="686"/>
      <c r="P359" s="686"/>
      <c r="Q359" s="687"/>
      <c r="R359" s="687"/>
      <c r="S359" s="688"/>
      <c r="T359" s="688"/>
      <c r="U359" s="854"/>
      <c r="V359" s="893"/>
      <c r="W359" s="685"/>
      <c r="X359" s="685"/>
      <c r="Y359" s="688"/>
      <c r="Z359" s="688"/>
      <c r="AA359" s="688"/>
      <c r="AB359" s="846"/>
      <c r="AC359" s="685"/>
      <c r="AD359" s="685"/>
      <c r="AE359" s="685"/>
      <c r="AF359" s="689"/>
      <c r="AG359" s="685"/>
      <c r="AH359" s="959"/>
      <c r="AI359" s="959"/>
      <c r="AJ359" s="959"/>
      <c r="AK359" s="959"/>
      <c r="AL359" s="959"/>
      <c r="AM359" s="959"/>
      <c r="AN359" s="959"/>
      <c r="AO359" s="958"/>
      <c r="AP359" s="958"/>
      <c r="AQ359" s="958"/>
      <c r="AR359" s="958"/>
      <c r="AS359" s="958"/>
      <c r="AT359" s="958"/>
      <c r="AU359" s="958"/>
      <c r="AV359" s="958"/>
      <c r="AW359" s="958"/>
      <c r="AX359" s="958"/>
      <c r="AY359" s="958"/>
      <c r="AZ359" s="958"/>
      <c r="BA359" s="958"/>
      <c r="BB359" s="958"/>
      <c r="BC359" s="958"/>
      <c r="BD359" s="958"/>
      <c r="BE359" s="958"/>
      <c r="BF359" s="958"/>
      <c r="BG359" s="958"/>
      <c r="BH359" s="1125"/>
      <c r="DI359" s="693"/>
    </row>
    <row r="360" spans="1:113" s="7" customFormat="1" ht="15" customHeight="1">
      <c r="A360" s="2171" t="s">
        <v>1287</v>
      </c>
      <c r="B360" s="1057" t="s">
        <v>754</v>
      </c>
      <c r="C360" s="809" t="s">
        <v>12</v>
      </c>
      <c r="D360" s="232" t="s">
        <v>839</v>
      </c>
      <c r="E360" s="534">
        <v>180</v>
      </c>
      <c r="F360" s="258">
        <v>79.124600000000001</v>
      </c>
      <c r="G360" s="258">
        <v>19.269649999999999</v>
      </c>
      <c r="H360" s="367">
        <v>423.39789999999999</v>
      </c>
      <c r="I360" s="368">
        <v>127.5851</v>
      </c>
      <c r="J360" s="268" t="s">
        <v>15</v>
      </c>
      <c r="K360" s="132" t="s">
        <v>15</v>
      </c>
      <c r="L360" s="1165" t="s">
        <v>14</v>
      </c>
      <c r="M360" s="1150" t="s">
        <v>788</v>
      </c>
      <c r="N360" s="1190">
        <v>-0.14247399999999999</v>
      </c>
      <c r="O360" s="442">
        <v>-0.37</v>
      </c>
      <c r="P360" s="442">
        <v>0.38020929999999997</v>
      </c>
      <c r="Q360" s="254" t="s">
        <v>15</v>
      </c>
      <c r="R360" s="258">
        <f>N360</f>
        <v>-0.14247399999999999</v>
      </c>
      <c r="S360" s="124" t="s">
        <v>68</v>
      </c>
      <c r="T360" s="125" t="s">
        <v>69</v>
      </c>
      <c r="U360" s="858"/>
      <c r="V360" s="2232" t="s">
        <v>863</v>
      </c>
      <c r="W360" s="295" t="s">
        <v>47</v>
      </c>
      <c r="X360" s="295" t="s">
        <v>870</v>
      </c>
      <c r="Y360" s="220">
        <f>T367+SUM(R362:R394)+N360*106.8+N361*1</f>
        <v>354.00348881650893</v>
      </c>
      <c r="Z360" s="282" t="s">
        <v>40</v>
      </c>
      <c r="AA360" s="575" t="s">
        <v>40</v>
      </c>
      <c r="AB360" s="846"/>
      <c r="AC360" s="26"/>
      <c r="AD360" s="2131" t="s">
        <v>142</v>
      </c>
      <c r="AE360" s="2133"/>
      <c r="AF360" s="497" t="s">
        <v>49</v>
      </c>
      <c r="AG360" s="494" t="s">
        <v>997</v>
      </c>
      <c r="AH360" s="158">
        <f>T367+N383+N386+N371+R387+R389</f>
        <v>600.30509739240358</v>
      </c>
      <c r="AI360" s="158">
        <v>399.99</v>
      </c>
      <c r="AJ360" s="158"/>
      <c r="AK360" s="158">
        <v>587.34</v>
      </c>
      <c r="AL360" s="158"/>
      <c r="AM360" s="158"/>
      <c r="AN360" s="170">
        <v>749.99</v>
      </c>
      <c r="AO360" s="1011"/>
      <c r="AP360" s="957"/>
      <c r="AQ360" s="957"/>
      <c r="AR360" s="957"/>
      <c r="AS360" s="957"/>
      <c r="AT360" s="1012"/>
      <c r="AU360" s="1023"/>
      <c r="AV360" s="957"/>
      <c r="AW360" s="957"/>
      <c r="AX360" s="957"/>
      <c r="AY360" s="957"/>
      <c r="AZ360" s="957"/>
      <c r="BA360" s="957"/>
      <c r="BB360" s="957"/>
      <c r="BC360" s="957"/>
      <c r="BD360" s="957"/>
      <c r="BE360" s="957"/>
      <c r="BF360" s="957"/>
      <c r="BG360" s="957"/>
      <c r="BH360" s="1125"/>
      <c r="DI360" s="566"/>
    </row>
    <row r="361" spans="1:113">
      <c r="A361" s="2172"/>
      <c r="B361" s="1056" t="s">
        <v>756</v>
      </c>
      <c r="C361" s="356" t="s">
        <v>12</v>
      </c>
      <c r="D361" s="291" t="s">
        <v>834</v>
      </c>
      <c r="E361" s="452">
        <v>180</v>
      </c>
      <c r="F361" s="128">
        <v>0.24021300000000001</v>
      </c>
      <c r="G361" s="128">
        <v>0.153914</v>
      </c>
      <c r="H361" s="367">
        <v>423.39789999999999</v>
      </c>
      <c r="I361" s="368">
        <v>127.5851</v>
      </c>
      <c r="J361" s="234" t="s">
        <v>15</v>
      </c>
      <c r="K361" s="233" t="s">
        <v>15</v>
      </c>
      <c r="L361" s="234" t="s">
        <v>15</v>
      </c>
      <c r="M361" s="233" t="s">
        <v>15</v>
      </c>
      <c r="N361" s="537">
        <v>-86.108928899999995</v>
      </c>
      <c r="O361" s="536">
        <v>-1.08</v>
      </c>
      <c r="P361" s="536">
        <v>79.494923700000001</v>
      </c>
      <c r="Q361" s="195" t="s">
        <v>15</v>
      </c>
      <c r="R361" s="128">
        <f>N361</f>
        <v>-86.108928899999995</v>
      </c>
      <c r="S361" s="31" t="s">
        <v>70</v>
      </c>
      <c r="T361" s="117" t="s">
        <v>71</v>
      </c>
      <c r="U361" s="854"/>
      <c r="V361" s="2233"/>
      <c r="W361" s="983" t="s">
        <v>49</v>
      </c>
      <c r="X361" s="338" t="s">
        <v>871</v>
      </c>
      <c r="Y361" s="169">
        <f>T367+SUM(R362:R394)+N360*60.2+N361*1</f>
        <v>360.64277721650899</v>
      </c>
      <c r="Z361" s="169">
        <f>Y361-Y360</f>
        <v>6.6392884000000549</v>
      </c>
      <c r="AA361" s="576">
        <f>(106.8-60.2)*P360</f>
        <v>17.717753379999998</v>
      </c>
      <c r="AB361" s="918"/>
      <c r="AC361" s="26"/>
      <c r="AD361" s="20" t="s">
        <v>98</v>
      </c>
      <c r="AE361" s="278">
        <v>8.8646400337652323E-2</v>
      </c>
      <c r="AF361" s="497" t="s">
        <v>49</v>
      </c>
      <c r="AG361" s="494" t="s">
        <v>994</v>
      </c>
      <c r="AH361" s="158">
        <f>T367+N383+N385+N375+R387+R389</f>
        <v>598.39695049240368</v>
      </c>
      <c r="AI361" s="158">
        <v>469</v>
      </c>
      <c r="AJ361" s="158"/>
      <c r="AK361" s="158">
        <v>469</v>
      </c>
      <c r="AL361" s="158">
        <v>449</v>
      </c>
      <c r="AM361" s="158">
        <v>499</v>
      </c>
      <c r="AN361" s="170"/>
      <c r="AO361" s="1011"/>
      <c r="AP361" s="957"/>
      <c r="AQ361" s="957"/>
      <c r="AR361" s="957"/>
      <c r="AS361" s="957"/>
      <c r="AT361" s="1012"/>
      <c r="AU361" s="1023"/>
      <c r="AV361" s="957"/>
      <c r="AW361" s="957"/>
      <c r="AX361" s="957"/>
      <c r="AY361" s="957"/>
      <c r="AZ361" s="957"/>
      <c r="BA361" s="957"/>
      <c r="BB361" s="957"/>
      <c r="BC361" s="957"/>
      <c r="BD361" s="957"/>
      <c r="BE361" s="957"/>
      <c r="BF361" s="957"/>
      <c r="BG361" s="957"/>
    </row>
    <row r="362" spans="1:113">
      <c r="A362" s="2172"/>
      <c r="B362" s="2206" t="s">
        <v>153</v>
      </c>
      <c r="C362" s="2144" t="s">
        <v>13</v>
      </c>
      <c r="D362" s="434" t="s">
        <v>791</v>
      </c>
      <c r="E362" s="452">
        <v>2</v>
      </c>
      <c r="F362" s="148" t="s">
        <v>15</v>
      </c>
      <c r="G362" s="148" t="s">
        <v>15</v>
      </c>
      <c r="H362" s="367">
        <v>313.39589999999998</v>
      </c>
      <c r="I362" s="368">
        <v>5.3745950000000002</v>
      </c>
      <c r="J362" s="234" t="s">
        <v>15</v>
      </c>
      <c r="K362" s="233" t="s">
        <v>15</v>
      </c>
      <c r="L362" s="234" t="s">
        <v>15</v>
      </c>
      <c r="M362" s="233" t="s">
        <v>15</v>
      </c>
      <c r="N362" s="537">
        <v>-39.419577199999999</v>
      </c>
      <c r="O362" s="536">
        <v>-0.14000000000000001</v>
      </c>
      <c r="P362" s="536">
        <v>274.49411329999998</v>
      </c>
      <c r="Q362" s="128">
        <f>41/$T$365</f>
        <v>4.7719474666778398E-4</v>
      </c>
      <c r="R362" s="2130">
        <f>SUMPRODUCT(N362:N381,Q362:Q381)</f>
        <v>-52.180980167631958</v>
      </c>
      <c r="S362" s="127" t="s">
        <v>72</v>
      </c>
      <c r="T362" s="119" t="s">
        <v>119</v>
      </c>
      <c r="U362" s="855"/>
      <c r="V362" s="2233"/>
      <c r="W362" s="983" t="s">
        <v>49</v>
      </c>
      <c r="X362" s="338" t="s">
        <v>872</v>
      </c>
      <c r="Y362" s="169">
        <f>T367+SUM(R362:R394)+N360*48.9+N361*1</f>
        <v>362.25273341650893</v>
      </c>
      <c r="Z362" s="169">
        <f>Y362-Y360</f>
        <v>8.2492445999999973</v>
      </c>
      <c r="AA362" s="576">
        <f>(106.8-48.9)*P360</f>
        <v>22.014118469999996</v>
      </c>
      <c r="AB362" s="918"/>
      <c r="AC362" s="26"/>
      <c r="AD362" s="20" t="s">
        <v>143</v>
      </c>
      <c r="AE362" s="278">
        <v>0.26349557490091885</v>
      </c>
      <c r="AF362" s="497" t="s">
        <v>49</v>
      </c>
      <c r="AG362" s="494" t="s">
        <v>999</v>
      </c>
      <c r="AH362" s="158">
        <f>T367+N383+N385+N371+R387+R389</f>
        <v>523.07775849240363</v>
      </c>
      <c r="AI362" s="158"/>
      <c r="AJ362" s="158"/>
      <c r="AK362" s="158">
        <v>575</v>
      </c>
      <c r="AL362" s="158"/>
      <c r="AM362" s="158"/>
      <c r="AN362" s="170"/>
      <c r="AO362" s="1011"/>
      <c r="AP362" s="957"/>
      <c r="AQ362" s="957"/>
      <c r="AR362" s="957"/>
      <c r="AS362" s="957"/>
      <c r="AT362" s="1012"/>
      <c r="AU362" s="1023"/>
      <c r="AV362" s="957"/>
      <c r="AW362" s="957"/>
      <c r="AX362" s="957"/>
      <c r="AY362" s="957"/>
      <c r="AZ362" s="957"/>
      <c r="BA362" s="957"/>
      <c r="BB362" s="957"/>
      <c r="BC362" s="957"/>
      <c r="BD362" s="957"/>
      <c r="BE362" s="957"/>
      <c r="BF362" s="957"/>
      <c r="BG362" s="957"/>
    </row>
    <row r="363" spans="1:113">
      <c r="A363" s="2172"/>
      <c r="B363" s="2206"/>
      <c r="C363" s="2144"/>
      <c r="D363" s="434" t="s">
        <v>757</v>
      </c>
      <c r="E363" s="452">
        <v>3</v>
      </c>
      <c r="F363" s="148" t="s">
        <v>15</v>
      </c>
      <c r="G363" s="148" t="s">
        <v>15</v>
      </c>
      <c r="H363" s="367">
        <v>309.83370000000002</v>
      </c>
      <c r="I363" s="368">
        <v>41.745080000000002</v>
      </c>
      <c r="J363" s="234" t="s">
        <v>15</v>
      </c>
      <c r="K363" s="233" t="s">
        <v>15</v>
      </c>
      <c r="L363" s="234" t="s">
        <v>15</v>
      </c>
      <c r="M363" s="233" t="s">
        <v>15</v>
      </c>
      <c r="N363" s="537">
        <v>-79.155227199999999</v>
      </c>
      <c r="O363" s="536">
        <v>-0.26</v>
      </c>
      <c r="P363" s="536">
        <v>305.79836139999998</v>
      </c>
      <c r="Q363" s="128">
        <f>13.11/$T$365</f>
        <v>1.5258592997108896E-4</v>
      </c>
      <c r="R363" s="2196"/>
      <c r="S363" s="452" t="s">
        <v>73</v>
      </c>
      <c r="T363" s="433"/>
      <c r="U363" s="859"/>
      <c r="V363" s="24"/>
      <c r="W363" s="26"/>
      <c r="X363" s="26"/>
      <c r="Y363" s="41"/>
      <c r="Z363" s="41"/>
      <c r="AA363" s="41"/>
      <c r="AB363" s="846"/>
      <c r="AC363" s="26"/>
      <c r="AD363" s="20" t="s">
        <v>144</v>
      </c>
      <c r="AE363" s="278">
        <v>-0.28216065709306171</v>
      </c>
      <c r="AF363" s="497" t="s">
        <v>49</v>
      </c>
      <c r="AG363" s="494" t="s">
        <v>988</v>
      </c>
      <c r="AH363" s="158">
        <f>T367+N384+N386+N371+R387+R389</f>
        <v>638.93095419240353</v>
      </c>
      <c r="AI363" s="158"/>
      <c r="AJ363" s="158"/>
      <c r="AK363" s="158">
        <v>750</v>
      </c>
      <c r="AL363" s="158"/>
      <c r="AM363" s="158"/>
      <c r="AN363" s="170"/>
      <c r="AO363" s="1011"/>
      <c r="AP363" s="957"/>
      <c r="AQ363" s="957"/>
      <c r="AR363" s="957"/>
      <c r="AS363" s="957"/>
      <c r="AT363" s="1012"/>
      <c r="AU363" s="1023"/>
      <c r="AV363" s="957"/>
      <c r="AW363" s="957"/>
      <c r="AX363" s="957"/>
      <c r="AY363" s="957"/>
      <c r="AZ363" s="957"/>
      <c r="BA363" s="957"/>
      <c r="BB363" s="957"/>
      <c r="BC363" s="957"/>
      <c r="BD363" s="957"/>
      <c r="BE363" s="957"/>
      <c r="BF363" s="957"/>
      <c r="BG363" s="957"/>
    </row>
    <row r="364" spans="1:113">
      <c r="A364" s="2172"/>
      <c r="B364" s="2206"/>
      <c r="C364" s="2144"/>
      <c r="D364" s="434" t="s">
        <v>808</v>
      </c>
      <c r="E364" s="452">
        <v>2</v>
      </c>
      <c r="F364" s="148" t="s">
        <v>15</v>
      </c>
      <c r="G364" s="148" t="s">
        <v>15</v>
      </c>
      <c r="H364" s="367">
        <v>324.68380000000002</v>
      </c>
      <c r="I364" s="368">
        <v>1.7562450000000001</v>
      </c>
      <c r="J364" s="234" t="s">
        <v>15</v>
      </c>
      <c r="K364" s="233" t="s">
        <v>15</v>
      </c>
      <c r="L364" s="234" t="s">
        <v>15</v>
      </c>
      <c r="M364" s="233" t="s">
        <v>15</v>
      </c>
      <c r="N364" s="537">
        <v>-65.334008600000004</v>
      </c>
      <c r="O364" s="536">
        <v>-0.24</v>
      </c>
      <c r="P364" s="536">
        <v>267.76389499999999</v>
      </c>
      <c r="Q364" s="128">
        <f>71/$T$365</f>
        <v>8.2636163447347957E-4</v>
      </c>
      <c r="R364" s="2196"/>
      <c r="S364" s="127" t="s">
        <v>74</v>
      </c>
      <c r="T364" s="129" t="s">
        <v>75</v>
      </c>
      <c r="U364" s="858"/>
      <c r="V364" s="24"/>
      <c r="W364" s="26"/>
      <c r="X364" s="26"/>
      <c r="Y364" s="41"/>
      <c r="Z364" s="41"/>
      <c r="AA364" s="41"/>
      <c r="AB364" s="846"/>
      <c r="AC364" s="26"/>
      <c r="AD364" s="20" t="s">
        <v>145</v>
      </c>
      <c r="AE364" s="278">
        <v>0.5008002634875961</v>
      </c>
      <c r="AF364" s="497" t="s">
        <v>49</v>
      </c>
      <c r="AG364" s="494" t="s">
        <v>989</v>
      </c>
      <c r="AH364" s="158">
        <f>T367+N384+N386+N375+R387+R389</f>
        <v>714.25014619240358</v>
      </c>
      <c r="AI364" s="158"/>
      <c r="AJ364" s="158"/>
      <c r="AK364" s="158">
        <v>995</v>
      </c>
      <c r="AL364" s="158"/>
      <c r="AM364" s="158"/>
      <c r="AN364" s="170"/>
      <c r="AO364" s="1011"/>
      <c r="AP364" s="957"/>
      <c r="AQ364" s="957"/>
      <c r="AR364" s="957"/>
      <c r="AS364" s="957"/>
      <c r="AT364" s="1012"/>
      <c r="AU364" s="1023"/>
      <c r="AV364" s="957"/>
      <c r="AW364" s="957"/>
      <c r="AX364" s="957"/>
      <c r="AY364" s="957"/>
      <c r="AZ364" s="957"/>
      <c r="BA364" s="957"/>
      <c r="BB364" s="957"/>
      <c r="BC364" s="957"/>
      <c r="BD364" s="957"/>
      <c r="BE364" s="957"/>
      <c r="BF364" s="957"/>
      <c r="BG364" s="957"/>
    </row>
    <row r="365" spans="1:113">
      <c r="A365" s="2172"/>
      <c r="B365" s="2206"/>
      <c r="C365" s="2144"/>
      <c r="D365" s="434" t="s">
        <v>780</v>
      </c>
      <c r="E365" s="452">
        <v>11</v>
      </c>
      <c r="F365" s="148" t="s">
        <v>15</v>
      </c>
      <c r="G365" s="148" t="s">
        <v>15</v>
      </c>
      <c r="H365" s="367">
        <v>265.48500000000001</v>
      </c>
      <c r="I365" s="368">
        <v>9.7490140000000007</v>
      </c>
      <c r="J365" s="234" t="s">
        <v>15</v>
      </c>
      <c r="K365" s="233" t="s">
        <v>15</v>
      </c>
      <c r="L365" s="234" t="s">
        <v>15</v>
      </c>
      <c r="M365" s="233" t="s">
        <v>15</v>
      </c>
      <c r="N365" s="537">
        <v>-180.35461570000001</v>
      </c>
      <c r="O365" s="536">
        <v>-0.69</v>
      </c>
      <c r="P365" s="536">
        <v>259.90623390000002</v>
      </c>
      <c r="Q365" s="128">
        <f>12444.67/$T$365</f>
        <v>0.14484222312229686</v>
      </c>
      <c r="R365" s="2196"/>
      <c r="S365" s="445">
        <v>180</v>
      </c>
      <c r="T365" s="490">
        <v>85918.8</v>
      </c>
      <c r="U365" s="865"/>
      <c r="V365" s="24"/>
      <c r="W365" s="26"/>
      <c r="X365" s="26"/>
      <c r="Y365" s="41"/>
      <c r="Z365" s="41"/>
      <c r="AA365" s="41"/>
      <c r="AB365" s="846"/>
      <c r="AC365" s="26"/>
      <c r="AD365" s="22"/>
      <c r="AE365" s="27"/>
      <c r="AF365" s="106"/>
      <c r="AG365" s="37"/>
      <c r="AH365" s="957"/>
      <c r="AI365" s="1023"/>
      <c r="AJ365" s="1023"/>
      <c r="AK365" s="1023"/>
      <c r="AL365" s="1023"/>
      <c r="AM365" s="1023"/>
      <c r="AN365" s="1023"/>
      <c r="AO365" s="957"/>
      <c r="AP365" s="957"/>
      <c r="AQ365" s="957"/>
      <c r="AR365" s="957"/>
      <c r="AS365" s="957"/>
      <c r="AT365" s="957"/>
      <c r="AU365" s="957"/>
      <c r="AV365" s="957"/>
      <c r="AW365" s="957"/>
      <c r="AX365" s="957"/>
      <c r="AY365" s="957"/>
      <c r="AZ365" s="957"/>
      <c r="BA365" s="957"/>
      <c r="BB365" s="957"/>
      <c r="BC365" s="957"/>
      <c r="BD365" s="957"/>
      <c r="BE365" s="957"/>
      <c r="BF365" s="957"/>
      <c r="BG365" s="957"/>
    </row>
    <row r="366" spans="1:113">
      <c r="A366" s="2172"/>
      <c r="B366" s="2206"/>
      <c r="C366" s="2144"/>
      <c r="D366" s="434" t="s">
        <v>781</v>
      </c>
      <c r="E366" s="452">
        <v>4</v>
      </c>
      <c r="F366" s="148" t="s">
        <v>15</v>
      </c>
      <c r="G366" s="148" t="s">
        <v>15</v>
      </c>
      <c r="H366" s="367">
        <v>383.34460000000001</v>
      </c>
      <c r="I366" s="368">
        <v>6.5018969999999996</v>
      </c>
      <c r="J366" s="234" t="s">
        <v>15</v>
      </c>
      <c r="K366" s="233" t="s">
        <v>15</v>
      </c>
      <c r="L366" s="234" t="s">
        <v>15</v>
      </c>
      <c r="M366" s="233" t="s">
        <v>15</v>
      </c>
      <c r="N366" s="537">
        <v>-25.181928800000001</v>
      </c>
      <c r="O366" s="536">
        <v>-0.1</v>
      </c>
      <c r="P366" s="536">
        <v>258.89271009999999</v>
      </c>
      <c r="Q366" s="128">
        <f>2449/$T$365</f>
        <v>2.850365694120495E-2</v>
      </c>
      <c r="R366" s="2196"/>
      <c r="S366" s="127" t="s">
        <v>41</v>
      </c>
      <c r="T366" s="129" t="s">
        <v>42</v>
      </c>
      <c r="U366" s="858"/>
      <c r="V366" s="24"/>
      <c r="W366" s="26"/>
      <c r="X366" s="26"/>
      <c r="Y366" s="41"/>
      <c r="Z366" s="41"/>
      <c r="AA366" s="41"/>
      <c r="AB366" s="846"/>
      <c r="AC366" s="26"/>
      <c r="AD366" s="24"/>
      <c r="AE366" s="26"/>
      <c r="AF366" s="106"/>
      <c r="AG366" s="37"/>
      <c r="AH366" s="957"/>
      <c r="AI366" s="1023"/>
      <c r="AJ366" s="1023"/>
      <c r="AK366" s="1023"/>
      <c r="AL366" s="1023"/>
      <c r="AM366" s="1023"/>
      <c r="AN366" s="1023"/>
      <c r="AO366" s="957"/>
      <c r="AP366" s="957"/>
      <c r="AQ366" s="957"/>
      <c r="AR366" s="957"/>
      <c r="AS366" s="957"/>
      <c r="AT366" s="957"/>
      <c r="AU366" s="957"/>
      <c r="AV366" s="957"/>
      <c r="AW366" s="957"/>
      <c r="AX366" s="957"/>
      <c r="AY366" s="957"/>
      <c r="AZ366" s="957"/>
      <c r="BA366" s="957"/>
      <c r="BB366" s="957"/>
      <c r="BC366" s="957"/>
      <c r="BD366" s="957"/>
      <c r="BE366" s="957"/>
      <c r="BF366" s="957"/>
      <c r="BG366" s="957"/>
    </row>
    <row r="367" spans="1:113">
      <c r="A367" s="2172"/>
      <c r="B367" s="2206"/>
      <c r="C367" s="2144"/>
      <c r="D367" s="434" t="s">
        <v>803</v>
      </c>
      <c r="E367" s="452">
        <v>4</v>
      </c>
      <c r="F367" s="148" t="s">
        <v>15</v>
      </c>
      <c r="G367" s="148" t="s">
        <v>15</v>
      </c>
      <c r="H367" s="367">
        <v>382.58530000000002</v>
      </c>
      <c r="I367" s="368">
        <v>40.039020000000001</v>
      </c>
      <c r="J367" s="234" t="s">
        <v>15</v>
      </c>
      <c r="K367" s="233" t="s">
        <v>15</v>
      </c>
      <c r="L367" s="234" t="s">
        <v>15</v>
      </c>
      <c r="M367" s="233" t="s">
        <v>15</v>
      </c>
      <c r="N367" s="537">
        <v>-64.354751699999994</v>
      </c>
      <c r="O367" s="536">
        <v>-0.24</v>
      </c>
      <c r="P367" s="536">
        <v>264.29695340000001</v>
      </c>
      <c r="Q367" s="128">
        <f>6533.92/$T$365</f>
        <v>7.6047617052379682E-2</v>
      </c>
      <c r="R367" s="2196"/>
      <c r="S367" s="443">
        <v>0.96240599999999998</v>
      </c>
      <c r="T367" s="444">
        <v>667.19844539999997</v>
      </c>
      <c r="U367" s="866"/>
      <c r="V367" s="24"/>
      <c r="W367" s="26"/>
      <c r="X367" s="26"/>
      <c r="Y367" s="41"/>
      <c r="Z367" s="41"/>
      <c r="AA367" s="41"/>
      <c r="AB367" s="846"/>
      <c r="AC367" s="26"/>
      <c r="AD367" s="24"/>
      <c r="AE367" s="26"/>
      <c r="AF367" s="106"/>
      <c r="AG367" s="37"/>
      <c r="AH367" s="957"/>
      <c r="AI367" s="1023"/>
      <c r="AJ367" s="1023"/>
      <c r="AK367" s="1023"/>
      <c r="AL367" s="1023"/>
      <c r="AM367" s="1023"/>
      <c r="AN367" s="1023"/>
      <c r="AO367" s="957"/>
      <c r="AP367" s="957"/>
      <c r="AQ367" s="957"/>
      <c r="AR367" s="957"/>
      <c r="AS367" s="957"/>
      <c r="AT367" s="957"/>
      <c r="AU367" s="957"/>
      <c r="AV367" s="957"/>
      <c r="AW367" s="957"/>
      <c r="AX367" s="957"/>
      <c r="AY367" s="957"/>
      <c r="AZ367" s="957"/>
      <c r="BA367" s="957"/>
      <c r="BB367" s="957"/>
      <c r="BC367" s="957"/>
      <c r="BD367" s="957"/>
      <c r="BE367" s="957"/>
      <c r="BF367" s="957"/>
      <c r="BG367" s="957"/>
    </row>
    <row r="368" spans="1:113">
      <c r="A368" s="2172"/>
      <c r="B368" s="2206"/>
      <c r="C368" s="2144"/>
      <c r="D368" s="434" t="s">
        <v>763</v>
      </c>
      <c r="E368" s="452">
        <v>22</v>
      </c>
      <c r="F368" s="148" t="s">
        <v>15</v>
      </c>
      <c r="G368" s="148" t="s">
        <v>15</v>
      </c>
      <c r="H368" s="367">
        <v>441.28489999999999</v>
      </c>
      <c r="I368" s="368">
        <v>29.619859999999999</v>
      </c>
      <c r="J368" s="234" t="s">
        <v>15</v>
      </c>
      <c r="K368" s="233" t="s">
        <v>15</v>
      </c>
      <c r="L368" s="234" t="s">
        <v>15</v>
      </c>
      <c r="M368" s="233" t="s">
        <v>15</v>
      </c>
      <c r="N368" s="537">
        <v>-25.791892799999999</v>
      </c>
      <c r="O368" s="536">
        <v>-0.1</v>
      </c>
      <c r="P368" s="536">
        <v>264.20711999999997</v>
      </c>
      <c r="Q368" s="128">
        <f>5993.02/$T$365</f>
        <v>6.9752138065242997E-2</v>
      </c>
      <c r="R368" s="2196"/>
      <c r="S368" s="118" t="s">
        <v>235</v>
      </c>
      <c r="T368" s="119" t="s">
        <v>391</v>
      </c>
      <c r="U368" s="855"/>
      <c r="V368" s="24"/>
      <c r="W368" s="26"/>
      <c r="X368" s="26"/>
      <c r="Y368" s="41"/>
      <c r="Z368" s="41"/>
      <c r="AA368" s="41"/>
      <c r="AB368" s="846"/>
      <c r="AC368" s="26"/>
      <c r="AD368" s="24"/>
      <c r="AE368" s="26"/>
      <c r="AF368" s="106"/>
      <c r="AG368" s="37"/>
      <c r="AH368" s="957"/>
      <c r="AI368" s="1023"/>
      <c r="AJ368" s="1023"/>
      <c r="AK368" s="1023"/>
      <c r="AL368" s="1023"/>
      <c r="AM368" s="1023"/>
      <c r="AN368" s="1023"/>
      <c r="AO368" s="957"/>
      <c r="AP368" s="957"/>
      <c r="AQ368" s="957"/>
      <c r="AR368" s="957"/>
      <c r="AS368" s="957"/>
      <c r="AT368" s="957"/>
      <c r="AU368" s="957"/>
      <c r="AV368" s="957"/>
      <c r="AW368" s="957"/>
      <c r="AX368" s="957"/>
      <c r="AY368" s="957"/>
      <c r="AZ368" s="957"/>
      <c r="BA368" s="957"/>
      <c r="BB368" s="957"/>
      <c r="BC368" s="957"/>
      <c r="BD368" s="957"/>
      <c r="BE368" s="957"/>
      <c r="BF368" s="957"/>
      <c r="BG368" s="957"/>
    </row>
    <row r="369" spans="1:59">
      <c r="A369" s="2172"/>
      <c r="B369" s="2206"/>
      <c r="C369" s="2144"/>
      <c r="D369" s="434" t="s">
        <v>840</v>
      </c>
      <c r="E369" s="452">
        <v>1</v>
      </c>
      <c r="F369" s="148" t="s">
        <v>15</v>
      </c>
      <c r="G369" s="148" t="s">
        <v>15</v>
      </c>
      <c r="H369" s="367">
        <v>350</v>
      </c>
      <c r="I369" s="368">
        <v>0</v>
      </c>
      <c r="J369" s="234" t="s">
        <v>15</v>
      </c>
      <c r="K369" s="233" t="s">
        <v>15</v>
      </c>
      <c r="L369" s="234" t="s">
        <v>15</v>
      </c>
      <c r="M369" s="233" t="s">
        <v>15</v>
      </c>
      <c r="N369" s="537">
        <v>-24.2504153</v>
      </c>
      <c r="O369" s="536">
        <v>-0.04</v>
      </c>
      <c r="P369" s="536">
        <v>646.78167489999998</v>
      </c>
      <c r="Q369" s="128">
        <f>1/$T$365</f>
        <v>1.1638896260189853E-5</v>
      </c>
      <c r="R369" s="2196"/>
      <c r="S369" s="443">
        <v>95.388000000000005</v>
      </c>
      <c r="T369" s="151" t="s">
        <v>15</v>
      </c>
      <c r="U369" s="862"/>
      <c r="V369" s="24"/>
      <c r="W369" s="26"/>
      <c r="X369" s="26"/>
      <c r="Y369" s="41"/>
      <c r="Z369" s="41"/>
      <c r="AA369" s="41"/>
      <c r="AB369" s="846"/>
      <c r="AC369" s="26"/>
      <c r="AD369" s="24"/>
      <c r="AE369" s="26"/>
      <c r="AF369" s="106"/>
      <c r="AG369" s="37"/>
      <c r="AH369" s="957"/>
      <c r="AI369" s="1023"/>
      <c r="AJ369" s="1023"/>
      <c r="AK369" s="1023"/>
      <c r="AL369" s="1023"/>
      <c r="AM369" s="1023"/>
      <c r="AN369" s="1023"/>
      <c r="AO369" s="957"/>
      <c r="AP369" s="957"/>
      <c r="AQ369" s="957"/>
      <c r="AR369" s="957"/>
      <c r="AS369" s="957"/>
      <c r="AT369" s="957"/>
      <c r="AU369" s="957"/>
      <c r="AV369" s="957"/>
      <c r="AW369" s="957"/>
      <c r="AX369" s="957"/>
      <c r="AY369" s="957"/>
      <c r="AZ369" s="957"/>
      <c r="BA369" s="957"/>
      <c r="BB369" s="957"/>
      <c r="BC369" s="957"/>
      <c r="BD369" s="957"/>
      <c r="BE369" s="957"/>
      <c r="BF369" s="957"/>
      <c r="BG369" s="957"/>
    </row>
    <row r="370" spans="1:59">
      <c r="A370" s="2172"/>
      <c r="B370" s="2206"/>
      <c r="C370" s="2144"/>
      <c r="D370" s="434" t="s">
        <v>792</v>
      </c>
      <c r="E370" s="452">
        <v>8</v>
      </c>
      <c r="F370" s="148" t="s">
        <v>15</v>
      </c>
      <c r="G370" s="148" t="s">
        <v>15</v>
      </c>
      <c r="H370" s="367">
        <v>313.93970000000002</v>
      </c>
      <c r="I370" s="368">
        <v>12.0367</v>
      </c>
      <c r="J370" s="234" t="s">
        <v>15</v>
      </c>
      <c r="K370" s="233" t="s">
        <v>15</v>
      </c>
      <c r="L370" s="234" t="s">
        <v>15</v>
      </c>
      <c r="M370" s="233" t="s">
        <v>15</v>
      </c>
      <c r="N370" s="537">
        <v>-108.37519570000001</v>
      </c>
      <c r="O370" s="536">
        <v>-0.42</v>
      </c>
      <c r="P370" s="536">
        <v>260.89840720000001</v>
      </c>
      <c r="Q370" s="128">
        <f>2692.07/$T$365</f>
        <v>3.1332723455169298E-2</v>
      </c>
      <c r="R370" s="2196"/>
      <c r="S370" s="22"/>
      <c r="T370" s="27"/>
      <c r="V370" s="24"/>
      <c r="W370" s="26"/>
      <c r="X370" s="26"/>
      <c r="Y370" s="41"/>
      <c r="Z370" s="41"/>
      <c r="AA370" s="41"/>
      <c r="AB370" s="846"/>
      <c r="AC370" s="26"/>
      <c r="AD370" s="24"/>
      <c r="AE370" s="26"/>
      <c r="AF370" s="106"/>
      <c r="AG370" s="37"/>
      <c r="AH370" s="957"/>
      <c r="AI370" s="1023"/>
      <c r="AJ370" s="1023"/>
      <c r="AK370" s="1023"/>
      <c r="AL370" s="1023"/>
      <c r="AM370" s="1023"/>
      <c r="AN370" s="1023"/>
      <c r="AO370" s="957"/>
      <c r="AP370" s="957"/>
      <c r="AQ370" s="957"/>
      <c r="AR370" s="957"/>
      <c r="AS370" s="957"/>
      <c r="AT370" s="957"/>
      <c r="AU370" s="957"/>
      <c r="AV370" s="957"/>
      <c r="AW370" s="957"/>
      <c r="AX370" s="957"/>
      <c r="AY370" s="957"/>
      <c r="AZ370" s="957"/>
      <c r="BA370" s="957"/>
      <c r="BB370" s="957"/>
      <c r="BC370" s="957"/>
      <c r="BD370" s="957"/>
      <c r="BE370" s="957"/>
      <c r="BF370" s="957"/>
      <c r="BG370" s="957"/>
    </row>
    <row r="371" spans="1:59">
      <c r="A371" s="2172"/>
      <c r="B371" s="2206"/>
      <c r="C371" s="2144"/>
      <c r="D371" s="348" t="s">
        <v>688</v>
      </c>
      <c r="E371" s="452">
        <v>37</v>
      </c>
      <c r="F371" s="148" t="s">
        <v>15</v>
      </c>
      <c r="G371" s="148" t="s">
        <v>15</v>
      </c>
      <c r="H371" s="367">
        <v>582.63490000000002</v>
      </c>
      <c r="I371" s="368">
        <v>60.394120000000001</v>
      </c>
      <c r="J371" s="234" t="s">
        <v>15</v>
      </c>
      <c r="K371" s="233" t="s">
        <v>15</v>
      </c>
      <c r="L371" s="234" t="s">
        <v>15</v>
      </c>
      <c r="M371" s="233" t="s">
        <v>15</v>
      </c>
      <c r="N371" s="537">
        <v>14.3052008</v>
      </c>
      <c r="O371" s="536">
        <v>0.05</v>
      </c>
      <c r="P371" s="536">
        <v>265.06790410000002</v>
      </c>
      <c r="Q371" s="128">
        <f>21282.91/$T$365</f>
        <v>0.24770958160495724</v>
      </c>
      <c r="R371" s="2196"/>
      <c r="S371" s="24"/>
      <c r="T371" s="26"/>
      <c r="V371" s="24"/>
      <c r="W371" s="26"/>
      <c r="X371" s="26"/>
      <c r="Y371" s="41"/>
      <c r="Z371" s="41"/>
      <c r="AA371" s="41"/>
      <c r="AB371" s="846"/>
      <c r="AC371" s="26"/>
      <c r="AD371" s="24"/>
      <c r="AE371" s="26"/>
      <c r="AF371" s="106"/>
      <c r="AG371" s="37"/>
      <c r="AH371" s="957"/>
      <c r="AI371" s="1023"/>
      <c r="AJ371" s="1023"/>
      <c r="AK371" s="1023"/>
      <c r="AL371" s="1023"/>
      <c r="AM371" s="1023"/>
      <c r="AN371" s="1023"/>
      <c r="AO371" s="957"/>
      <c r="AP371" s="957"/>
      <c r="AQ371" s="957"/>
      <c r="AR371" s="957"/>
      <c r="AS371" s="957"/>
      <c r="AT371" s="957"/>
      <c r="AU371" s="957"/>
      <c r="AV371" s="957"/>
      <c r="AW371" s="957"/>
      <c r="AX371" s="957"/>
      <c r="AY371" s="957"/>
      <c r="AZ371" s="957"/>
      <c r="BA371" s="957"/>
      <c r="BB371" s="957"/>
      <c r="BC371" s="957"/>
      <c r="BD371" s="957"/>
      <c r="BE371" s="957"/>
      <c r="BF371" s="957"/>
      <c r="BG371" s="957"/>
    </row>
    <row r="372" spans="1:59">
      <c r="A372" s="2172"/>
      <c r="B372" s="2206"/>
      <c r="C372" s="2144"/>
      <c r="D372" s="348" t="s">
        <v>783</v>
      </c>
      <c r="E372" s="452">
        <v>4</v>
      </c>
      <c r="F372" s="148" t="s">
        <v>15</v>
      </c>
      <c r="G372" s="148" t="s">
        <v>15</v>
      </c>
      <c r="H372" s="367">
        <v>307.37849999999997</v>
      </c>
      <c r="I372" s="368">
        <v>64.643320000000003</v>
      </c>
      <c r="J372" s="234" t="s">
        <v>15</v>
      </c>
      <c r="K372" s="233" t="s">
        <v>15</v>
      </c>
      <c r="L372" s="234" t="s">
        <v>15</v>
      </c>
      <c r="M372" s="233" t="s">
        <v>15</v>
      </c>
      <c r="N372" s="537">
        <v>-139.1385818</v>
      </c>
      <c r="O372" s="536">
        <v>-0.52</v>
      </c>
      <c r="P372" s="536">
        <v>270.13650860000001</v>
      </c>
      <c r="Q372" s="128">
        <f>93.67/$T$365</f>
        <v>1.0902154126919835E-3</v>
      </c>
      <c r="R372" s="2196"/>
      <c r="S372" s="24"/>
      <c r="T372" s="26"/>
      <c r="V372" s="24"/>
      <c r="W372" s="26"/>
      <c r="X372" s="26"/>
      <c r="Y372" s="41"/>
      <c r="Z372" s="41"/>
      <c r="AA372" s="41"/>
      <c r="AB372" s="846"/>
      <c r="AC372" s="26"/>
      <c r="AD372" s="24"/>
      <c r="AE372" s="26"/>
      <c r="AF372" s="106"/>
      <c r="AG372" s="37"/>
      <c r="AH372" s="957"/>
      <c r="AI372" s="1023"/>
      <c r="AJ372" s="1023"/>
      <c r="AK372" s="1023"/>
      <c r="AL372" s="1023"/>
      <c r="AM372" s="1023"/>
      <c r="AN372" s="1023"/>
      <c r="AO372" s="957"/>
      <c r="AP372" s="957"/>
      <c r="AQ372" s="957"/>
      <c r="AR372" s="957"/>
      <c r="AS372" s="957"/>
      <c r="AT372" s="957"/>
      <c r="AU372" s="957"/>
      <c r="AV372" s="957"/>
      <c r="AW372" s="957"/>
      <c r="AX372" s="957"/>
      <c r="AY372" s="957"/>
      <c r="AZ372" s="957"/>
      <c r="BA372" s="957"/>
      <c r="BB372" s="957"/>
      <c r="BC372" s="957"/>
      <c r="BD372" s="957"/>
      <c r="BE372" s="957"/>
      <c r="BF372" s="957"/>
      <c r="BG372" s="957"/>
    </row>
    <row r="373" spans="1:59">
      <c r="A373" s="2172"/>
      <c r="B373" s="2206"/>
      <c r="C373" s="2144"/>
      <c r="D373" s="348" t="s">
        <v>841</v>
      </c>
      <c r="E373" s="452">
        <v>9</v>
      </c>
      <c r="F373" s="148" t="s">
        <v>15</v>
      </c>
      <c r="G373" s="148" t="s">
        <v>15</v>
      </c>
      <c r="H373" s="367">
        <v>313.19560000000001</v>
      </c>
      <c r="I373" s="368">
        <v>18.447929999999999</v>
      </c>
      <c r="J373" s="234" t="s">
        <v>15</v>
      </c>
      <c r="K373" s="233" t="s">
        <v>15</v>
      </c>
      <c r="L373" s="234" t="s">
        <v>15</v>
      </c>
      <c r="M373" s="233" t="s">
        <v>15</v>
      </c>
      <c r="N373" s="537">
        <v>-121.7870587</v>
      </c>
      <c r="O373" s="536">
        <v>-0.46</v>
      </c>
      <c r="P373" s="536">
        <v>263.20840090000002</v>
      </c>
      <c r="Q373" s="128">
        <f>9111/$T$365</f>
        <v>0.10604198382658975</v>
      </c>
      <c r="R373" s="2196"/>
      <c r="S373" s="24"/>
      <c r="T373" s="26"/>
      <c r="V373" s="24"/>
      <c r="W373" s="26"/>
      <c r="X373" s="26"/>
      <c r="Y373" s="41"/>
      <c r="Z373" s="41"/>
      <c r="AA373" s="41"/>
      <c r="AB373" s="846"/>
      <c r="AC373" s="26"/>
      <c r="AD373" s="24"/>
      <c r="AE373" s="26"/>
      <c r="AF373" s="106"/>
      <c r="AG373" s="37"/>
      <c r="AH373" s="957"/>
      <c r="AI373" s="1023"/>
      <c r="AJ373" s="1023"/>
      <c r="AK373" s="1023"/>
      <c r="AL373" s="1023"/>
      <c r="AM373" s="1023"/>
      <c r="AN373" s="1023"/>
      <c r="AO373" s="957"/>
      <c r="AP373" s="957"/>
      <c r="AQ373" s="957"/>
      <c r="AR373" s="957"/>
      <c r="AS373" s="957"/>
      <c r="AT373" s="957"/>
      <c r="AU373" s="957"/>
      <c r="AV373" s="957"/>
      <c r="AW373" s="957"/>
      <c r="AX373" s="957"/>
      <c r="AY373" s="957"/>
      <c r="AZ373" s="957"/>
      <c r="BA373" s="957"/>
      <c r="BB373" s="957"/>
      <c r="BC373" s="957"/>
      <c r="BD373" s="957"/>
      <c r="BE373" s="957"/>
      <c r="BF373" s="957"/>
      <c r="BG373" s="957"/>
    </row>
    <row r="374" spans="1:59">
      <c r="A374" s="2172"/>
      <c r="B374" s="2206"/>
      <c r="C374" s="2144"/>
      <c r="D374" s="348" t="s">
        <v>784</v>
      </c>
      <c r="E374" s="452">
        <v>10</v>
      </c>
      <c r="F374" s="148" t="s">
        <v>15</v>
      </c>
      <c r="G374" s="148" t="s">
        <v>15</v>
      </c>
      <c r="H374" s="367">
        <v>450.39089999999999</v>
      </c>
      <c r="I374" s="368">
        <v>58.10736</v>
      </c>
      <c r="J374" s="234" t="s">
        <v>15</v>
      </c>
      <c r="K374" s="233" t="s">
        <v>15</v>
      </c>
      <c r="L374" s="234" t="s">
        <v>15</v>
      </c>
      <c r="M374" s="233" t="s">
        <v>15</v>
      </c>
      <c r="N374" s="537">
        <v>8.2423865999999997</v>
      </c>
      <c r="O374" s="536">
        <v>0.03</v>
      </c>
      <c r="P374" s="536">
        <v>264.08556170000003</v>
      </c>
      <c r="Q374" s="128">
        <f>165.62/$T$365</f>
        <v>1.9276339986126435E-3</v>
      </c>
      <c r="R374" s="2196"/>
      <c r="S374" s="24"/>
      <c r="T374" s="26"/>
      <c r="V374" s="24"/>
      <c r="W374" s="26"/>
      <c r="X374" s="26"/>
      <c r="Y374" s="41"/>
      <c r="Z374" s="41"/>
      <c r="AA374" s="41"/>
      <c r="AB374" s="846"/>
      <c r="AC374" s="26"/>
      <c r="AD374" s="24"/>
      <c r="AE374" s="26"/>
      <c r="AF374" s="106"/>
      <c r="AG374" s="37"/>
      <c r="AH374" s="957"/>
      <c r="AI374" s="1023"/>
      <c r="AJ374" s="1023"/>
      <c r="AK374" s="1023"/>
      <c r="AL374" s="1023"/>
      <c r="AM374" s="1023"/>
      <c r="AN374" s="1023"/>
      <c r="AO374" s="957"/>
      <c r="AP374" s="957"/>
      <c r="AQ374" s="957"/>
      <c r="AR374" s="957"/>
      <c r="AS374" s="957"/>
      <c r="AT374" s="957"/>
      <c r="AU374" s="957"/>
      <c r="AV374" s="957"/>
      <c r="AW374" s="957"/>
      <c r="AX374" s="957"/>
      <c r="AY374" s="957"/>
      <c r="AZ374" s="957"/>
      <c r="BA374" s="957"/>
      <c r="BB374" s="957"/>
      <c r="BC374" s="957"/>
      <c r="BD374" s="957"/>
      <c r="BE374" s="957"/>
      <c r="BF374" s="957"/>
      <c r="BG374" s="957"/>
    </row>
    <row r="375" spans="1:59">
      <c r="A375" s="2172"/>
      <c r="B375" s="2206"/>
      <c r="C375" s="2144"/>
      <c r="D375" s="348" t="s">
        <v>764</v>
      </c>
      <c r="E375" s="452">
        <v>38</v>
      </c>
      <c r="F375" s="148" t="s">
        <v>15</v>
      </c>
      <c r="G375" s="148" t="s">
        <v>15</v>
      </c>
      <c r="H375" s="367">
        <v>536.47439999999995</v>
      </c>
      <c r="I375" s="368">
        <v>50.382019999999997</v>
      </c>
      <c r="J375" s="234" t="s">
        <v>15</v>
      </c>
      <c r="K375" s="233" t="s">
        <v>15</v>
      </c>
      <c r="L375" s="234" t="s">
        <v>15</v>
      </c>
      <c r="M375" s="233" t="s">
        <v>15</v>
      </c>
      <c r="N375" s="537">
        <v>89.624392799999995</v>
      </c>
      <c r="O375" s="536">
        <v>0.34</v>
      </c>
      <c r="P375" s="536">
        <v>261.27604710000003</v>
      </c>
      <c r="Q375" s="128">
        <f>11607.97/$T$365</f>
        <v>0.13510395862139601</v>
      </c>
      <c r="R375" s="2196"/>
      <c r="S375" s="24"/>
      <c r="T375" s="26"/>
      <c r="V375" s="24"/>
      <c r="W375" s="26"/>
      <c r="X375" s="26"/>
      <c r="Y375" s="41"/>
      <c r="Z375" s="41"/>
      <c r="AA375" s="41"/>
      <c r="AB375" s="846"/>
      <c r="AC375" s="26"/>
      <c r="AD375" s="24"/>
      <c r="AE375" s="26"/>
      <c r="AF375" s="106"/>
      <c r="AG375" s="37"/>
      <c r="AH375" s="957"/>
      <c r="AI375" s="1023"/>
      <c r="AJ375" s="1023"/>
      <c r="AK375" s="1023"/>
      <c r="AL375" s="1023"/>
      <c r="AM375" s="1023"/>
      <c r="AN375" s="1023"/>
      <c r="AO375" s="957"/>
      <c r="AP375" s="957"/>
      <c r="AQ375" s="957"/>
      <c r="AR375" s="957"/>
      <c r="AS375" s="957"/>
      <c r="AT375" s="957"/>
      <c r="AU375" s="957"/>
      <c r="AV375" s="957"/>
      <c r="AW375" s="957"/>
      <c r="AX375" s="957"/>
      <c r="AY375" s="957"/>
      <c r="AZ375" s="957"/>
      <c r="BA375" s="957"/>
      <c r="BB375" s="957"/>
      <c r="BC375" s="957"/>
      <c r="BD375" s="957"/>
      <c r="BE375" s="957"/>
      <c r="BF375" s="957"/>
      <c r="BG375" s="957"/>
    </row>
    <row r="376" spans="1:59">
      <c r="A376" s="2172"/>
      <c r="B376" s="2206"/>
      <c r="C376" s="2144"/>
      <c r="D376" s="348" t="s">
        <v>842</v>
      </c>
      <c r="E376" s="452">
        <v>4</v>
      </c>
      <c r="F376" s="148" t="s">
        <v>15</v>
      </c>
      <c r="G376" s="148" t="s">
        <v>15</v>
      </c>
      <c r="H376" s="367">
        <v>384.6583</v>
      </c>
      <c r="I376" s="368">
        <v>18.197620000000001</v>
      </c>
      <c r="J376" s="234" t="s">
        <v>15</v>
      </c>
      <c r="K376" s="233" t="s">
        <v>15</v>
      </c>
      <c r="L376" s="234" t="s">
        <v>15</v>
      </c>
      <c r="M376" s="233" t="s">
        <v>15</v>
      </c>
      <c r="N376" s="537">
        <v>-81.633593399999995</v>
      </c>
      <c r="O376" s="536">
        <v>-0.3</v>
      </c>
      <c r="P376" s="536">
        <v>273.65413799999999</v>
      </c>
      <c r="Q376" s="128">
        <f>67.99/$T$365</f>
        <v>7.9132855673030812E-4</v>
      </c>
      <c r="R376" s="2196"/>
      <c r="S376" s="24"/>
      <c r="T376" s="26"/>
      <c r="V376" s="24"/>
      <c r="W376" s="26"/>
      <c r="X376" s="26"/>
      <c r="Y376" s="41"/>
      <c r="Z376" s="41"/>
      <c r="AA376" s="41"/>
      <c r="AB376" s="846"/>
      <c r="AC376" s="26"/>
      <c r="AD376" s="24"/>
      <c r="AE376" s="26"/>
      <c r="AF376" s="106"/>
      <c r="AG376" s="37"/>
      <c r="AH376" s="957"/>
      <c r="AI376" s="1023"/>
      <c r="AJ376" s="1023"/>
      <c r="AK376" s="1023"/>
      <c r="AL376" s="1023"/>
      <c r="AM376" s="1023"/>
      <c r="AN376" s="1023"/>
      <c r="AO376" s="957"/>
      <c r="AP376" s="957"/>
      <c r="AQ376" s="957"/>
      <c r="AR376" s="957"/>
      <c r="AS376" s="957"/>
      <c r="AT376" s="957"/>
      <c r="AU376" s="957"/>
      <c r="AV376" s="957"/>
      <c r="AW376" s="957"/>
      <c r="AX376" s="957"/>
      <c r="AY376" s="957"/>
      <c r="AZ376" s="957"/>
      <c r="BA376" s="957"/>
      <c r="BB376" s="957"/>
      <c r="BC376" s="957"/>
      <c r="BD376" s="957"/>
      <c r="BE376" s="957"/>
      <c r="BF376" s="957"/>
      <c r="BG376" s="957"/>
    </row>
    <row r="377" spans="1:59">
      <c r="A377" s="2172"/>
      <c r="B377" s="2206"/>
      <c r="C377" s="2144"/>
      <c r="D377" s="348" t="s">
        <v>765</v>
      </c>
      <c r="E377" s="452">
        <v>4</v>
      </c>
      <c r="F377" s="148" t="s">
        <v>15</v>
      </c>
      <c r="G377" s="148" t="s">
        <v>15</v>
      </c>
      <c r="H377" s="367">
        <v>310.315</v>
      </c>
      <c r="I377" s="368">
        <v>13.46396</v>
      </c>
      <c r="J377" s="234" t="s">
        <v>15</v>
      </c>
      <c r="K377" s="233" t="s">
        <v>15</v>
      </c>
      <c r="L377" s="234" t="s">
        <v>15</v>
      </c>
      <c r="M377" s="233" t="s">
        <v>15</v>
      </c>
      <c r="N377" s="537">
        <v>-133.10671769999999</v>
      </c>
      <c r="O377" s="536">
        <v>-0.51</v>
      </c>
      <c r="P377" s="536">
        <v>261.31790089999998</v>
      </c>
      <c r="Q377" s="128">
        <f>2855.82/$T$365</f>
        <v>3.3238592717775392E-2</v>
      </c>
      <c r="R377" s="2196"/>
      <c r="S377" s="24"/>
      <c r="T377" s="26"/>
      <c r="V377" s="24"/>
      <c r="W377" s="26"/>
      <c r="X377" s="26"/>
      <c r="Y377" s="41"/>
      <c r="Z377" s="41"/>
      <c r="AA377" s="41"/>
      <c r="AB377" s="846"/>
      <c r="AC377" s="26"/>
      <c r="AD377" s="24"/>
      <c r="AE377" s="26"/>
      <c r="AF377" s="106"/>
      <c r="AG377" s="37"/>
      <c r="AH377" s="957"/>
      <c r="AI377" s="1023"/>
      <c r="AJ377" s="1023"/>
      <c r="AK377" s="1023"/>
      <c r="AL377" s="1023"/>
      <c r="AM377" s="1023"/>
      <c r="AN377" s="1023"/>
      <c r="AO377" s="957"/>
      <c r="AP377" s="957"/>
      <c r="AQ377" s="957"/>
      <c r="AR377" s="957"/>
      <c r="AS377" s="957"/>
      <c r="AT377" s="957"/>
      <c r="AU377" s="957"/>
      <c r="AV377" s="957"/>
      <c r="AW377" s="957"/>
      <c r="AX377" s="957"/>
      <c r="AY377" s="957"/>
      <c r="AZ377" s="957"/>
      <c r="BA377" s="957"/>
      <c r="BB377" s="957"/>
      <c r="BC377" s="957"/>
      <c r="BD377" s="957"/>
      <c r="BE377" s="957"/>
      <c r="BF377" s="957"/>
      <c r="BG377" s="957"/>
    </row>
    <row r="378" spans="1:59">
      <c r="A378" s="2172"/>
      <c r="B378" s="2206"/>
      <c r="C378" s="2144"/>
      <c r="D378" s="348" t="s">
        <v>766</v>
      </c>
      <c r="E378" s="452">
        <v>6</v>
      </c>
      <c r="F378" s="148" t="s">
        <v>15</v>
      </c>
      <c r="G378" s="148" t="s">
        <v>15</v>
      </c>
      <c r="H378" s="367">
        <v>523.42970000000003</v>
      </c>
      <c r="I378" s="368">
        <v>232.28569999999999</v>
      </c>
      <c r="J378" s="234" t="s">
        <v>15</v>
      </c>
      <c r="K378" s="233" t="s">
        <v>15</v>
      </c>
      <c r="L378" s="234" t="s">
        <v>15</v>
      </c>
      <c r="M378" s="233" t="s">
        <v>15</v>
      </c>
      <c r="N378" s="537">
        <v>99.495242899999994</v>
      </c>
      <c r="O378" s="536">
        <v>0.32</v>
      </c>
      <c r="P378" s="536">
        <v>307.18187260000002</v>
      </c>
      <c r="Q378" s="128">
        <f>13.15/$T$365</f>
        <v>1.5305148582149658E-4</v>
      </c>
      <c r="R378" s="2196"/>
      <c r="S378" s="24"/>
      <c r="T378" s="26"/>
      <c r="V378" s="24"/>
      <c r="W378" s="26"/>
      <c r="X378" s="26"/>
      <c r="Y378" s="41"/>
      <c r="Z378" s="41"/>
      <c r="AA378" s="41"/>
      <c r="AB378" s="846"/>
      <c r="AC378" s="26"/>
      <c r="AD378" s="24"/>
      <c r="AE378" s="26"/>
      <c r="AF378" s="106"/>
      <c r="AG378" s="37"/>
      <c r="AH378" s="957"/>
      <c r="AI378" s="1023"/>
      <c r="AJ378" s="1023"/>
      <c r="AK378" s="1023"/>
      <c r="AL378" s="1023"/>
      <c r="AM378" s="1023"/>
      <c r="AN378" s="1023"/>
      <c r="AO378" s="957"/>
      <c r="AP378" s="957"/>
      <c r="AQ378" s="957"/>
      <c r="AR378" s="957"/>
      <c r="AS378" s="957"/>
      <c r="AT378" s="957"/>
      <c r="AU378" s="957"/>
      <c r="AV378" s="957"/>
      <c r="AW378" s="957"/>
      <c r="AX378" s="957"/>
      <c r="AY378" s="957"/>
      <c r="AZ378" s="957"/>
      <c r="BA378" s="957"/>
      <c r="BB378" s="957"/>
      <c r="BC378" s="957"/>
      <c r="BD378" s="957"/>
      <c r="BE378" s="957"/>
      <c r="BF378" s="957"/>
      <c r="BG378" s="957"/>
    </row>
    <row r="379" spans="1:59">
      <c r="A379" s="2172"/>
      <c r="B379" s="2206"/>
      <c r="C379" s="2144"/>
      <c r="D379" s="348" t="s">
        <v>806</v>
      </c>
      <c r="E379" s="452">
        <v>4</v>
      </c>
      <c r="F379" s="148" t="s">
        <v>15</v>
      </c>
      <c r="G379" s="148" t="s">
        <v>15</v>
      </c>
      <c r="H379" s="367">
        <v>369.22949999999997</v>
      </c>
      <c r="I379" s="368">
        <v>9.9670710000000007</v>
      </c>
      <c r="J379" s="234" t="s">
        <v>15</v>
      </c>
      <c r="K379" s="233" t="s">
        <v>15</v>
      </c>
      <c r="L379" s="234" t="s">
        <v>15</v>
      </c>
      <c r="M379" s="233" t="s">
        <v>15</v>
      </c>
      <c r="N379" s="537">
        <v>-37.709040299999998</v>
      </c>
      <c r="O379" s="536">
        <v>-0.14000000000000001</v>
      </c>
      <c r="P379" s="536">
        <v>265.17666279999997</v>
      </c>
      <c r="Q379" s="128">
        <f>95.39/$T$365</f>
        <v>1.1102343142595102E-3</v>
      </c>
      <c r="R379" s="2196"/>
      <c r="S379" s="24"/>
      <c r="T379" s="26"/>
      <c r="V379" s="24"/>
      <c r="W379" s="26"/>
      <c r="X379" s="26"/>
      <c r="Y379" s="41"/>
      <c r="Z379" s="41"/>
      <c r="AA379" s="41"/>
      <c r="AB379" s="846"/>
      <c r="AC379" s="26"/>
      <c r="AD379" s="24"/>
      <c r="AE379" s="26"/>
      <c r="AF379" s="106"/>
      <c r="AG379" s="37"/>
      <c r="AH379" s="957"/>
      <c r="AI379" s="1023"/>
      <c r="AJ379" s="1023"/>
      <c r="AK379" s="1023"/>
      <c r="AL379" s="1023"/>
      <c r="AM379" s="1023"/>
      <c r="AN379" s="1023"/>
      <c r="AO379" s="957"/>
      <c r="AP379" s="957"/>
      <c r="AQ379" s="957"/>
      <c r="AR379" s="957"/>
      <c r="AS379" s="957"/>
      <c r="AT379" s="957"/>
      <c r="AU379" s="957"/>
      <c r="AV379" s="957"/>
      <c r="AW379" s="957"/>
      <c r="AX379" s="957"/>
      <c r="AY379" s="957"/>
      <c r="AZ379" s="957"/>
      <c r="BA379" s="957"/>
      <c r="BB379" s="957"/>
      <c r="BC379" s="957"/>
      <c r="BD379" s="957"/>
      <c r="BE379" s="957"/>
      <c r="BF379" s="957"/>
      <c r="BG379" s="957"/>
    </row>
    <row r="380" spans="1:59">
      <c r="A380" s="2172"/>
      <c r="B380" s="2206"/>
      <c r="C380" s="2144"/>
      <c r="D380" s="348" t="s">
        <v>768</v>
      </c>
      <c r="E380" s="452">
        <v>5</v>
      </c>
      <c r="F380" s="148" t="s">
        <v>15</v>
      </c>
      <c r="G380" s="148" t="s">
        <v>15</v>
      </c>
      <c r="H380" s="367">
        <v>343.33670000000001</v>
      </c>
      <c r="I380" s="368">
        <v>20.551880000000001</v>
      </c>
      <c r="J380" s="234" t="s">
        <v>15</v>
      </c>
      <c r="K380" s="233" t="s">
        <v>15</v>
      </c>
      <c r="L380" s="234" t="s">
        <v>15</v>
      </c>
      <c r="M380" s="233" t="s">
        <v>15</v>
      </c>
      <c r="N380" s="537">
        <v>-109.6833625</v>
      </c>
      <c r="O380" s="536">
        <v>-0.41</v>
      </c>
      <c r="P380" s="536">
        <v>265.28463119999998</v>
      </c>
      <c r="Q380" s="128">
        <f>10381.23/$T$365</f>
        <v>0.1208260590231707</v>
      </c>
      <c r="R380" s="2196"/>
      <c r="S380" s="24"/>
      <c r="T380" s="26"/>
      <c r="V380" s="24"/>
      <c r="W380" s="26"/>
      <c r="X380" s="26"/>
      <c r="Y380" s="41"/>
      <c r="Z380" s="41"/>
      <c r="AA380" s="41"/>
      <c r="AB380" s="846"/>
      <c r="AC380" s="26"/>
      <c r="AD380" s="24"/>
      <c r="AE380" s="26"/>
      <c r="AF380" s="106"/>
      <c r="AG380" s="37"/>
      <c r="AH380" s="957"/>
      <c r="AI380" s="1023"/>
      <c r="AJ380" s="1023"/>
      <c r="AK380" s="1023"/>
      <c r="AL380" s="1023"/>
      <c r="AM380" s="1023"/>
      <c r="AN380" s="1023"/>
      <c r="AO380" s="957"/>
      <c r="AP380" s="957"/>
      <c r="AQ380" s="957"/>
      <c r="AR380" s="957"/>
      <c r="AS380" s="957"/>
      <c r="AT380" s="957"/>
      <c r="AU380" s="957"/>
      <c r="AV380" s="957"/>
      <c r="AW380" s="957"/>
      <c r="AX380" s="957"/>
      <c r="AY380" s="957"/>
      <c r="AZ380" s="957"/>
      <c r="BA380" s="957"/>
      <c r="BB380" s="957"/>
      <c r="BC380" s="957"/>
      <c r="BD380" s="957"/>
      <c r="BE380" s="957"/>
      <c r="BF380" s="957"/>
      <c r="BG380" s="957"/>
    </row>
    <row r="381" spans="1:59">
      <c r="A381" s="2172"/>
      <c r="B381" s="2206"/>
      <c r="C381" s="2144"/>
      <c r="D381" s="348" t="s">
        <v>795</v>
      </c>
      <c r="E381" s="452">
        <v>2</v>
      </c>
      <c r="F381" s="148" t="s">
        <v>15</v>
      </c>
      <c r="G381" s="148" t="s">
        <v>15</v>
      </c>
      <c r="H381" s="367">
        <v>401.10079999999999</v>
      </c>
      <c r="I381" s="368">
        <v>0.63213299999999994</v>
      </c>
      <c r="J381" s="234" t="s">
        <v>15</v>
      </c>
      <c r="K381" s="233" t="s">
        <v>15</v>
      </c>
      <c r="L381" s="234" t="s">
        <v>15</v>
      </c>
      <c r="M381" s="233" t="s">
        <v>15</v>
      </c>
      <c r="N381" s="537">
        <v>0</v>
      </c>
      <c r="O381" s="536" t="s">
        <v>574</v>
      </c>
      <c r="P381" s="536" t="s">
        <v>574</v>
      </c>
      <c r="Q381" s="128">
        <f>5.26/$T$365</f>
        <v>6.1220594328598624E-5</v>
      </c>
      <c r="R381" s="2155"/>
      <c r="S381" s="24"/>
      <c r="T381" s="26"/>
      <c r="V381" s="24"/>
      <c r="W381" s="26"/>
      <c r="X381" s="26"/>
      <c r="Y381" s="41"/>
      <c r="Z381" s="41"/>
      <c r="AA381" s="41"/>
      <c r="AB381" s="846"/>
      <c r="AC381" s="26"/>
      <c r="AD381" s="24"/>
      <c r="AE381" s="26"/>
      <c r="AF381" s="106"/>
      <c r="AG381" s="37"/>
      <c r="AH381" s="957"/>
      <c r="AI381" s="1023"/>
      <c r="AJ381" s="1023"/>
      <c r="AK381" s="1023"/>
      <c r="AL381" s="1023"/>
      <c r="AM381" s="1023"/>
      <c r="AN381" s="1023"/>
      <c r="AO381" s="957"/>
      <c r="AP381" s="957"/>
      <c r="AQ381" s="957"/>
      <c r="AR381" s="957"/>
      <c r="AS381" s="957"/>
      <c r="AT381" s="957"/>
      <c r="AU381" s="957"/>
      <c r="AV381" s="957"/>
      <c r="AW381" s="957"/>
      <c r="AX381" s="957"/>
      <c r="AY381" s="957"/>
      <c r="AZ381" s="957"/>
      <c r="BA381" s="957"/>
      <c r="BB381" s="957"/>
      <c r="BC381" s="957"/>
      <c r="BD381" s="957"/>
      <c r="BE381" s="957"/>
      <c r="BF381" s="957"/>
      <c r="BG381" s="957"/>
    </row>
    <row r="382" spans="1:59">
      <c r="A382" s="2172"/>
      <c r="B382" s="2206" t="s">
        <v>769</v>
      </c>
      <c r="C382" s="2144" t="s">
        <v>13</v>
      </c>
      <c r="D382" s="348">
        <v>60</v>
      </c>
      <c r="E382" s="452">
        <v>61</v>
      </c>
      <c r="F382" s="148" t="s">
        <v>15</v>
      </c>
      <c r="G382" s="148" t="s">
        <v>15</v>
      </c>
      <c r="H382" s="367">
        <v>563.93140000000005</v>
      </c>
      <c r="I382" s="368">
        <v>120.6824</v>
      </c>
      <c r="J382" s="234" t="s">
        <v>15</v>
      </c>
      <c r="K382" s="233" t="s">
        <v>15</v>
      </c>
      <c r="L382" s="234" t="s">
        <v>15</v>
      </c>
      <c r="M382" s="233" t="s">
        <v>15</v>
      </c>
      <c r="N382" s="537">
        <v>0</v>
      </c>
      <c r="O382" s="536" t="s">
        <v>574</v>
      </c>
      <c r="P382" s="536" t="s">
        <v>574</v>
      </c>
      <c r="Q382" s="128">
        <f>72979.71/$T$365</f>
        <v>0.84940327378874014</v>
      </c>
      <c r="R382" s="2130">
        <f>SUMPRODUCT(N382:N384,Q382:Q384)</f>
        <v>0.65837243613433838</v>
      </c>
      <c r="S382" s="24"/>
      <c r="T382" s="26"/>
      <c r="V382" s="24"/>
      <c r="W382" s="26"/>
      <c r="X382" s="26"/>
      <c r="Y382" s="41"/>
      <c r="Z382" s="41"/>
      <c r="AA382" s="41"/>
      <c r="AB382" s="846"/>
      <c r="AC382" s="26"/>
      <c r="AD382" s="24"/>
      <c r="AE382" s="26"/>
      <c r="AF382" s="106"/>
      <c r="AG382" s="37"/>
      <c r="AH382" s="957"/>
      <c r="AI382" s="1023"/>
      <c r="AJ382" s="1023"/>
      <c r="AK382" s="1023"/>
      <c r="AL382" s="1023"/>
      <c r="AM382" s="1023"/>
      <c r="AN382" s="1023"/>
      <c r="AO382" s="957"/>
      <c r="AP382" s="957"/>
      <c r="AQ382" s="957"/>
      <c r="AR382" s="957"/>
      <c r="AS382" s="957"/>
      <c r="AT382" s="957"/>
      <c r="AU382" s="957"/>
      <c r="AV382" s="957"/>
      <c r="AW382" s="957"/>
      <c r="AX382" s="957"/>
      <c r="AY382" s="957"/>
      <c r="AZ382" s="957"/>
      <c r="BA382" s="957"/>
      <c r="BB382" s="957"/>
      <c r="BC382" s="957"/>
      <c r="BD382" s="957"/>
      <c r="BE382" s="957"/>
      <c r="BF382" s="957"/>
      <c r="BG382" s="957"/>
    </row>
    <row r="383" spans="1:59">
      <c r="A383" s="2172"/>
      <c r="B383" s="2206"/>
      <c r="C383" s="2144"/>
      <c r="D383" s="348">
        <v>120</v>
      </c>
      <c r="E383" s="452">
        <v>54</v>
      </c>
      <c r="F383" s="148" t="s">
        <v>15</v>
      </c>
      <c r="G383" s="148" t="s">
        <v>15</v>
      </c>
      <c r="H383" s="367">
        <v>780.10569999999996</v>
      </c>
      <c r="I383" s="368">
        <v>76.347149999999999</v>
      </c>
      <c r="J383" s="234" t="s">
        <v>15</v>
      </c>
      <c r="K383" s="233" t="s">
        <v>15</v>
      </c>
      <c r="L383" s="234" t="s">
        <v>15</v>
      </c>
      <c r="M383" s="233" t="s">
        <v>15</v>
      </c>
      <c r="N383" s="537">
        <v>2.9136934999999999</v>
      </c>
      <c r="O383" s="536">
        <v>0.28000000000000003</v>
      </c>
      <c r="P383" s="536">
        <v>10.5597218</v>
      </c>
      <c r="Q383" s="128">
        <f>12450.66/$T$365</f>
        <v>0.14491194011089539</v>
      </c>
      <c r="R383" s="2196"/>
      <c r="S383" s="24"/>
      <c r="T383" s="26"/>
      <c r="V383" s="24"/>
      <c r="W383" s="26"/>
      <c r="X383" s="26"/>
      <c r="Y383" s="41"/>
      <c r="Z383" s="41"/>
      <c r="AA383" s="41"/>
      <c r="AB383" s="846"/>
      <c r="AC383" s="26"/>
      <c r="AD383" s="24"/>
      <c r="AE383" s="26"/>
      <c r="AF383" s="106"/>
      <c r="AG383" s="37"/>
      <c r="AH383" s="957"/>
      <c r="AI383" s="1023"/>
      <c r="AJ383" s="1023"/>
      <c r="AK383" s="1023"/>
      <c r="AL383" s="1023"/>
      <c r="AM383" s="1023"/>
      <c r="AN383" s="1023"/>
      <c r="AO383" s="957"/>
      <c r="AP383" s="957"/>
      <c r="AQ383" s="957"/>
      <c r="AR383" s="957"/>
      <c r="AS383" s="957"/>
      <c r="AT383" s="957"/>
      <c r="AU383" s="957"/>
      <c r="AV383" s="957"/>
      <c r="AW383" s="957"/>
      <c r="AX383" s="957"/>
      <c r="AY383" s="957"/>
      <c r="AZ383" s="957"/>
      <c r="BA383" s="957"/>
      <c r="BB383" s="957"/>
      <c r="BC383" s="957"/>
      <c r="BD383" s="957"/>
      <c r="BE383" s="957"/>
      <c r="BF383" s="957"/>
      <c r="BG383" s="957"/>
    </row>
    <row r="384" spans="1:59">
      <c r="A384" s="2172"/>
      <c r="B384" s="2206"/>
      <c r="C384" s="2144"/>
      <c r="D384" s="348">
        <v>240</v>
      </c>
      <c r="E384" s="452">
        <v>13</v>
      </c>
      <c r="F384" s="148" t="s">
        <v>15</v>
      </c>
      <c r="G384" s="148" t="s">
        <v>15</v>
      </c>
      <c r="H384" s="367">
        <v>630.30399999999997</v>
      </c>
      <c r="I384" s="368">
        <v>99.564340000000001</v>
      </c>
      <c r="J384" s="234" t="s">
        <v>15</v>
      </c>
      <c r="K384" s="233" t="s">
        <v>15</v>
      </c>
      <c r="L384" s="234" t="s">
        <v>15</v>
      </c>
      <c r="M384" s="233" t="s">
        <v>15</v>
      </c>
      <c r="N384" s="537">
        <v>41.539550300000002</v>
      </c>
      <c r="O384" s="536">
        <v>1.42</v>
      </c>
      <c r="P384" s="536">
        <v>29.279622799999999</v>
      </c>
      <c r="Q384" s="128">
        <f>488.43/$T$365</f>
        <v>5.6847861003645299E-3</v>
      </c>
      <c r="R384" s="2196"/>
      <c r="S384" s="24"/>
      <c r="T384" s="26"/>
      <c r="V384" s="24"/>
      <c r="W384" s="26"/>
      <c r="X384" s="26"/>
      <c r="Y384" s="41"/>
      <c r="Z384" s="41"/>
      <c r="AA384" s="41"/>
      <c r="AB384" s="846"/>
      <c r="AC384" s="26"/>
      <c r="AD384" s="24"/>
      <c r="AE384" s="26"/>
      <c r="AF384" s="106"/>
      <c r="AG384" s="37"/>
      <c r="AH384" s="957"/>
      <c r="AI384" s="1023"/>
      <c r="AJ384" s="1023"/>
      <c r="AK384" s="1023"/>
      <c r="AL384" s="1023"/>
      <c r="AM384" s="1023"/>
      <c r="AN384" s="1023"/>
      <c r="AO384" s="957"/>
      <c r="AP384" s="957"/>
      <c r="AQ384" s="957"/>
      <c r="AR384" s="957"/>
      <c r="AS384" s="957"/>
      <c r="AT384" s="957"/>
      <c r="AU384" s="957"/>
      <c r="AV384" s="957"/>
      <c r="AW384" s="957"/>
      <c r="AX384" s="957"/>
      <c r="AY384" s="957"/>
      <c r="AZ384" s="957"/>
      <c r="BA384" s="957"/>
      <c r="BB384" s="957"/>
      <c r="BC384" s="957"/>
      <c r="BD384" s="957"/>
      <c r="BE384" s="957"/>
      <c r="BF384" s="957"/>
      <c r="BG384" s="957"/>
    </row>
    <row r="385" spans="1:113">
      <c r="A385" s="2172"/>
      <c r="B385" s="2207" t="s">
        <v>773</v>
      </c>
      <c r="C385" s="2278" t="s">
        <v>13</v>
      </c>
      <c r="D385" s="338" t="s">
        <v>774</v>
      </c>
      <c r="E385" s="452">
        <v>39</v>
      </c>
      <c r="F385" s="148" t="s">
        <v>15</v>
      </c>
      <c r="G385" s="148" t="s">
        <v>15</v>
      </c>
      <c r="H385" s="367">
        <v>581.59460000000001</v>
      </c>
      <c r="I385" s="368">
        <v>61.190480000000001</v>
      </c>
      <c r="J385" s="234" t="s">
        <v>15</v>
      </c>
      <c r="K385" s="233" t="s">
        <v>15</v>
      </c>
      <c r="L385" s="234" t="s">
        <v>15</v>
      </c>
      <c r="M385" s="233" t="s">
        <v>15</v>
      </c>
      <c r="N385" s="537">
        <v>-77.227338900000007</v>
      </c>
      <c r="O385" s="536">
        <v>-2.7</v>
      </c>
      <c r="P385" s="536">
        <v>28.560320300000001</v>
      </c>
      <c r="Q385" s="128">
        <f>64336.1/$T$365</f>
        <v>0.74880119368520037</v>
      </c>
      <c r="R385" s="2130">
        <f>SUMPRODUCT(N385:N386,Q385:Q386)</f>
        <v>-57.827923553451512</v>
      </c>
      <c r="S385" s="24"/>
      <c r="T385" s="26"/>
      <c r="V385" s="24"/>
      <c r="W385" s="26"/>
      <c r="X385" s="26"/>
      <c r="Y385" s="41"/>
      <c r="Z385" s="41"/>
      <c r="AA385" s="41"/>
      <c r="AB385" s="846"/>
      <c r="AC385" s="26"/>
      <c r="AD385" s="24"/>
      <c r="AE385" s="26"/>
      <c r="AF385" s="106"/>
      <c r="AG385" s="37"/>
      <c r="AH385" s="957"/>
      <c r="AI385" s="1023"/>
      <c r="AJ385" s="1023"/>
      <c r="AK385" s="1023"/>
      <c r="AL385" s="1023"/>
      <c r="AM385" s="1023"/>
      <c r="AN385" s="1023"/>
      <c r="AO385" s="957"/>
      <c r="AP385" s="957"/>
      <c r="AQ385" s="957"/>
      <c r="AR385" s="957"/>
      <c r="AS385" s="957"/>
      <c r="AT385" s="957"/>
      <c r="AU385" s="957"/>
      <c r="AV385" s="957"/>
      <c r="AW385" s="957"/>
      <c r="AX385" s="957"/>
      <c r="AY385" s="957"/>
      <c r="AZ385" s="957"/>
      <c r="BA385" s="957"/>
      <c r="BB385" s="957"/>
      <c r="BC385" s="957"/>
      <c r="BD385" s="957"/>
      <c r="BE385" s="957"/>
      <c r="BF385" s="957"/>
      <c r="BG385" s="957"/>
    </row>
    <row r="386" spans="1:113">
      <c r="A386" s="2172"/>
      <c r="B386" s="2208"/>
      <c r="C386" s="2279"/>
      <c r="D386" s="338" t="s">
        <v>777</v>
      </c>
      <c r="E386" s="452">
        <v>141</v>
      </c>
      <c r="F386" s="148" t="s">
        <v>15</v>
      </c>
      <c r="G386" s="148" t="s">
        <v>15</v>
      </c>
      <c r="H386" s="367">
        <v>370.2294</v>
      </c>
      <c r="I386" s="368">
        <v>96.18974</v>
      </c>
      <c r="J386" s="234" t="s">
        <v>15</v>
      </c>
      <c r="K386" s="233" t="s">
        <v>15</v>
      </c>
      <c r="L386" s="234" t="s">
        <v>15</v>
      </c>
      <c r="M386" s="233" t="s">
        <v>15</v>
      </c>
      <c r="N386" s="537">
        <v>0</v>
      </c>
      <c r="O386" s="536" t="s">
        <v>574</v>
      </c>
      <c r="P386" s="536" t="s">
        <v>574</v>
      </c>
      <c r="Q386" s="128">
        <f>21582.7/$T$365</f>
        <v>0.25119880631479957</v>
      </c>
      <c r="R386" s="2196"/>
      <c r="S386" s="24"/>
      <c r="T386" s="26"/>
      <c r="V386" s="24"/>
      <c r="W386" s="26"/>
      <c r="X386" s="26"/>
      <c r="Y386" s="41"/>
      <c r="Z386" s="41"/>
      <c r="AA386" s="41"/>
      <c r="AB386" s="846"/>
      <c r="AC386" s="26"/>
      <c r="AD386" s="24"/>
      <c r="AE386" s="26"/>
      <c r="AF386" s="106"/>
      <c r="AG386" s="37"/>
      <c r="AH386" s="957"/>
      <c r="AI386" s="1023"/>
      <c r="AJ386" s="1023"/>
      <c r="AK386" s="1023"/>
      <c r="AL386" s="1023"/>
      <c r="AM386" s="1023"/>
      <c r="AN386" s="1023"/>
      <c r="AO386" s="957"/>
      <c r="AP386" s="957"/>
      <c r="AQ386" s="957"/>
      <c r="AR386" s="957"/>
      <c r="AS386" s="957"/>
      <c r="AT386" s="957"/>
      <c r="AU386" s="957"/>
      <c r="AV386" s="957"/>
      <c r="AW386" s="957"/>
      <c r="AX386" s="957"/>
      <c r="AY386" s="957"/>
      <c r="AZ386" s="957"/>
      <c r="BA386" s="957"/>
      <c r="BB386" s="957"/>
      <c r="BC386" s="957"/>
      <c r="BD386" s="957"/>
      <c r="BE386" s="957"/>
      <c r="BF386" s="957"/>
      <c r="BG386" s="957"/>
    </row>
    <row r="387" spans="1:113">
      <c r="A387" s="2172"/>
      <c r="B387" s="2207" t="s">
        <v>799</v>
      </c>
      <c r="C387" s="2205" t="s">
        <v>11</v>
      </c>
      <c r="D387" s="338" t="s">
        <v>33</v>
      </c>
      <c r="E387" s="452">
        <v>4</v>
      </c>
      <c r="F387" s="148" t="s">
        <v>15</v>
      </c>
      <c r="G387" s="148" t="s">
        <v>15</v>
      </c>
      <c r="H387" s="367">
        <v>837.94730000000004</v>
      </c>
      <c r="I387" s="368">
        <v>155.55609999999999</v>
      </c>
      <c r="J387" s="234" t="s">
        <v>15</v>
      </c>
      <c r="K387" s="233" t="s">
        <v>15</v>
      </c>
      <c r="L387" s="234" t="s">
        <v>15</v>
      </c>
      <c r="M387" s="233" t="s">
        <v>15</v>
      </c>
      <c r="N387" s="537">
        <v>228.89014</v>
      </c>
      <c r="O387" s="536">
        <v>1.44</v>
      </c>
      <c r="P387" s="536">
        <v>158.75619409999999</v>
      </c>
      <c r="Q387" s="128">
        <f>14.61/$T$365</f>
        <v>1.7004427436137376E-4</v>
      </c>
      <c r="R387" s="2130">
        <f>SUMPRODUCT(N387:N388,Q387:Q388)</f>
        <v>3.8921457764773251E-2</v>
      </c>
      <c r="S387" s="24"/>
      <c r="T387" s="26"/>
      <c r="V387" s="24"/>
      <c r="W387" s="26"/>
      <c r="X387" s="26"/>
      <c r="Y387" s="41"/>
      <c r="Z387" s="41"/>
      <c r="AA387" s="41"/>
      <c r="AB387" s="846"/>
      <c r="AC387" s="26"/>
      <c r="AD387" s="24"/>
      <c r="AE387" s="26"/>
      <c r="AF387" s="106"/>
      <c r="AG387" s="37"/>
      <c r="AH387" s="957"/>
      <c r="AI387" s="1023"/>
      <c r="AJ387" s="1023"/>
      <c r="AK387" s="1023"/>
      <c r="AL387" s="1023"/>
      <c r="AM387" s="1023"/>
      <c r="AN387" s="1023"/>
      <c r="AO387" s="957"/>
      <c r="AP387" s="957"/>
      <c r="AQ387" s="957"/>
      <c r="AR387" s="957"/>
      <c r="AS387" s="957"/>
      <c r="AT387" s="957"/>
      <c r="AU387" s="957"/>
      <c r="AV387" s="957"/>
      <c r="AW387" s="957"/>
      <c r="AX387" s="957"/>
      <c r="AY387" s="957"/>
      <c r="AZ387" s="957"/>
      <c r="BA387" s="957"/>
      <c r="BB387" s="957"/>
      <c r="BC387" s="957"/>
      <c r="BD387" s="957"/>
      <c r="BE387" s="957"/>
      <c r="BF387" s="957"/>
      <c r="BG387" s="957"/>
    </row>
    <row r="388" spans="1:113">
      <c r="A388" s="2172"/>
      <c r="B388" s="2209"/>
      <c r="C388" s="2205"/>
      <c r="D388" s="338" t="s">
        <v>32</v>
      </c>
      <c r="E388" s="452">
        <v>176</v>
      </c>
      <c r="F388" s="148" t="s">
        <v>15</v>
      </c>
      <c r="G388" s="148" t="s">
        <v>15</v>
      </c>
      <c r="H388" s="367">
        <v>423.32740000000001</v>
      </c>
      <c r="I388" s="368">
        <v>127.4652</v>
      </c>
      <c r="J388" s="234" t="s">
        <v>15</v>
      </c>
      <c r="K388" s="233" t="s">
        <v>15</v>
      </c>
      <c r="L388" s="234" t="s">
        <v>15</v>
      </c>
      <c r="M388" s="233" t="s">
        <v>15</v>
      </c>
      <c r="N388" s="537">
        <v>0</v>
      </c>
      <c r="O388" s="536" t="s">
        <v>574</v>
      </c>
      <c r="P388" s="536" t="s">
        <v>574</v>
      </c>
      <c r="Q388" s="128">
        <f>85904.19/$T$365</f>
        <v>0.9998299557256386</v>
      </c>
      <c r="R388" s="2155"/>
      <c r="S388" s="24"/>
      <c r="T388" s="26"/>
      <c r="V388" s="24"/>
      <c r="W388" s="26"/>
      <c r="X388" s="26"/>
      <c r="Y388" s="41"/>
      <c r="Z388" s="41"/>
      <c r="AA388" s="41"/>
      <c r="AB388" s="846"/>
      <c r="AC388" s="26"/>
      <c r="AD388" s="24"/>
      <c r="AE388" s="26"/>
      <c r="AF388" s="106"/>
      <c r="AG388" s="37"/>
      <c r="AH388" s="957"/>
      <c r="AI388" s="1023"/>
      <c r="AJ388" s="1023"/>
      <c r="AK388" s="1023"/>
      <c r="AL388" s="1023"/>
      <c r="AM388" s="1023"/>
      <c r="AN388" s="1023"/>
      <c r="AO388" s="957"/>
      <c r="AP388" s="957"/>
      <c r="AQ388" s="957"/>
      <c r="AR388" s="957"/>
      <c r="AS388" s="957"/>
      <c r="AT388" s="957"/>
      <c r="AU388" s="957"/>
      <c r="AV388" s="957"/>
      <c r="AW388" s="957"/>
      <c r="AX388" s="957"/>
      <c r="AY388" s="957"/>
      <c r="AZ388" s="957"/>
      <c r="BA388" s="957"/>
      <c r="BB388" s="957"/>
      <c r="BC388" s="957"/>
      <c r="BD388" s="957"/>
      <c r="BE388" s="957"/>
      <c r="BF388" s="957"/>
      <c r="BG388" s="957"/>
    </row>
    <row r="389" spans="1:113">
      <c r="A389" s="2172"/>
      <c r="B389" s="2206" t="s">
        <v>786</v>
      </c>
      <c r="C389" s="2205" t="s">
        <v>11</v>
      </c>
      <c r="D389" s="338" t="s">
        <v>33</v>
      </c>
      <c r="E389" s="452">
        <v>25</v>
      </c>
      <c r="F389" s="148" t="s">
        <v>15</v>
      </c>
      <c r="G389" s="148" t="s">
        <v>15</v>
      </c>
      <c r="H389" s="367">
        <v>403.65870000000001</v>
      </c>
      <c r="I389" s="368">
        <v>110.125</v>
      </c>
      <c r="J389" s="234" t="s">
        <v>15</v>
      </c>
      <c r="K389" s="233" t="s">
        <v>15</v>
      </c>
      <c r="L389" s="234" t="s">
        <v>15</v>
      </c>
      <c r="M389" s="233" t="s">
        <v>15</v>
      </c>
      <c r="N389" s="537">
        <v>-96.653177099999994</v>
      </c>
      <c r="O389" s="536">
        <v>-6.41</v>
      </c>
      <c r="P389" s="536">
        <v>15.083717999999999</v>
      </c>
      <c r="Q389" s="128">
        <f>74805.27/$T$365</f>
        <v>0.87065077724549222</v>
      </c>
      <c r="R389" s="2130">
        <f>SUMPRODUCT(N389:N390,Q389:Q390)</f>
        <v>-84.151163765361204</v>
      </c>
      <c r="S389" s="24"/>
      <c r="T389" s="26"/>
      <c r="V389" s="24"/>
      <c r="W389" s="26"/>
      <c r="X389" s="26"/>
      <c r="Y389" s="41"/>
      <c r="Z389" s="41"/>
      <c r="AA389" s="41"/>
      <c r="AB389" s="846"/>
      <c r="AC389" s="26"/>
      <c r="AD389" s="24"/>
      <c r="AE389" s="26"/>
      <c r="AF389" s="106"/>
      <c r="AG389" s="37"/>
      <c r="AH389" s="957"/>
      <c r="AI389" s="1023"/>
      <c r="AJ389" s="1023"/>
      <c r="AK389" s="1023"/>
      <c r="AL389" s="1023"/>
      <c r="AM389" s="1023"/>
      <c r="AN389" s="1023"/>
      <c r="AO389" s="957"/>
      <c r="AP389" s="957"/>
      <c r="AQ389" s="957"/>
      <c r="AR389" s="957"/>
      <c r="AS389" s="957"/>
      <c r="AT389" s="957"/>
      <c r="AU389" s="957"/>
      <c r="AV389" s="957"/>
      <c r="AW389" s="957"/>
      <c r="AX389" s="957"/>
      <c r="AY389" s="957"/>
      <c r="AZ389" s="957"/>
      <c r="BA389" s="957"/>
      <c r="BB389" s="957"/>
      <c r="BC389" s="957"/>
      <c r="BD389" s="957"/>
      <c r="BE389" s="957"/>
      <c r="BF389" s="957"/>
      <c r="BG389" s="957"/>
    </row>
    <row r="390" spans="1:113">
      <c r="A390" s="2172"/>
      <c r="B390" s="2206"/>
      <c r="C390" s="2205"/>
      <c r="D390" s="338" t="s">
        <v>32</v>
      </c>
      <c r="E390" s="452">
        <v>155</v>
      </c>
      <c r="F390" s="148" t="s">
        <v>15</v>
      </c>
      <c r="G390" s="148" t="s">
        <v>15</v>
      </c>
      <c r="H390" s="367">
        <v>556.26289999999995</v>
      </c>
      <c r="I390" s="368">
        <v>154.72200000000001</v>
      </c>
      <c r="J390" s="234" t="s">
        <v>15</v>
      </c>
      <c r="K390" s="233" t="s">
        <v>15</v>
      </c>
      <c r="L390" s="234" t="s">
        <v>15</v>
      </c>
      <c r="M390" s="233" t="s">
        <v>15</v>
      </c>
      <c r="N390" s="537">
        <v>0</v>
      </c>
      <c r="O390" s="536" t="s">
        <v>574</v>
      </c>
      <c r="P390" s="536" t="s">
        <v>574</v>
      </c>
      <c r="Q390" s="128">
        <f>11113.53/$T$365</f>
        <v>0.12934922275450775</v>
      </c>
      <c r="R390" s="2155"/>
      <c r="S390" s="24"/>
      <c r="T390" s="26"/>
      <c r="V390" s="24"/>
      <c r="W390" s="26"/>
      <c r="X390" s="26"/>
      <c r="Y390" s="41"/>
      <c r="Z390" s="41"/>
      <c r="AA390" s="41"/>
      <c r="AB390" s="846"/>
      <c r="AC390" s="26"/>
      <c r="AD390" s="24"/>
      <c r="AE390" s="26"/>
      <c r="AF390" s="106"/>
      <c r="AG390" s="37"/>
      <c r="AH390" s="957"/>
      <c r="AI390" s="1023"/>
      <c r="AJ390" s="1023"/>
      <c r="AK390" s="1023"/>
      <c r="AL390" s="1023"/>
      <c r="AM390" s="1023"/>
      <c r="AN390" s="1023"/>
      <c r="AO390" s="957"/>
      <c r="AP390" s="957"/>
      <c r="AQ390" s="957"/>
      <c r="AR390" s="957"/>
      <c r="AS390" s="957"/>
      <c r="AT390" s="957"/>
      <c r="AU390" s="957"/>
      <c r="AV390" s="957"/>
      <c r="AW390" s="957"/>
      <c r="AX390" s="957"/>
      <c r="AY390" s="957"/>
      <c r="AZ390" s="957"/>
      <c r="BA390" s="957"/>
      <c r="BB390" s="957"/>
      <c r="BC390" s="957"/>
      <c r="BD390" s="957"/>
      <c r="BE390" s="957"/>
      <c r="BF390" s="957"/>
      <c r="BG390" s="957"/>
    </row>
    <row r="391" spans="1:113">
      <c r="A391" s="2172"/>
      <c r="B391" s="2206" t="s">
        <v>7</v>
      </c>
      <c r="C391" s="2144" t="s">
        <v>13</v>
      </c>
      <c r="D391" s="348">
        <v>1</v>
      </c>
      <c r="E391" s="452">
        <v>52</v>
      </c>
      <c r="F391" s="148" t="s">
        <v>15</v>
      </c>
      <c r="G391" s="148" t="s">
        <v>15</v>
      </c>
      <c r="H391" s="367">
        <v>460.53070000000002</v>
      </c>
      <c r="I391" s="368">
        <v>112.6947</v>
      </c>
      <c r="J391" s="234" t="s">
        <v>15</v>
      </c>
      <c r="K391" s="233" t="s">
        <v>15</v>
      </c>
      <c r="L391" s="234" t="s">
        <v>15</v>
      </c>
      <c r="M391" s="233" t="s">
        <v>15</v>
      </c>
      <c r="N391" s="537">
        <v>-16.494047599999998</v>
      </c>
      <c r="O391" s="536">
        <v>-3.24</v>
      </c>
      <c r="P391" s="536">
        <v>5.0872520999999997</v>
      </c>
      <c r="Q391" s="128">
        <f>25728.63/$T$365</f>
        <v>0.2994528554868085</v>
      </c>
      <c r="R391" s="2130">
        <f>SUMPRODUCT(N391:N394,Q391:Q394)</f>
        <v>-18.40703089094545</v>
      </c>
      <c r="S391" s="24"/>
      <c r="T391" s="26"/>
      <c r="V391" s="24"/>
      <c r="W391" s="26"/>
      <c r="X391" s="26"/>
      <c r="Y391" s="41"/>
      <c r="Z391" s="41"/>
      <c r="AA391" s="41"/>
      <c r="AB391" s="846"/>
      <c r="AC391" s="26"/>
      <c r="AD391" s="24"/>
      <c r="AE391" s="26"/>
      <c r="AF391" s="106"/>
      <c r="AG391" s="37"/>
      <c r="AH391" s="957"/>
      <c r="AI391" s="1023"/>
      <c r="AJ391" s="1023"/>
      <c r="AK391" s="1023"/>
      <c r="AL391" s="1023"/>
      <c r="AM391" s="1023"/>
      <c r="AN391" s="1023"/>
      <c r="AO391" s="957"/>
      <c r="AP391" s="957"/>
      <c r="AQ391" s="957"/>
      <c r="AR391" s="957"/>
      <c r="AS391" s="957"/>
      <c r="AT391" s="957"/>
      <c r="AU391" s="957"/>
      <c r="AV391" s="957"/>
      <c r="AW391" s="957"/>
      <c r="AX391" s="957"/>
      <c r="AY391" s="957"/>
      <c r="AZ391" s="957"/>
      <c r="BA391" s="957"/>
      <c r="BB391" s="957"/>
      <c r="BC391" s="957"/>
      <c r="BD391" s="957"/>
      <c r="BE391" s="957"/>
      <c r="BF391" s="957"/>
      <c r="BG391" s="957"/>
    </row>
    <row r="392" spans="1:113">
      <c r="A392" s="2172"/>
      <c r="B392" s="2206"/>
      <c r="C392" s="2144"/>
      <c r="D392" s="348">
        <v>2</v>
      </c>
      <c r="E392" s="452">
        <v>42</v>
      </c>
      <c r="F392" s="148" t="s">
        <v>15</v>
      </c>
      <c r="G392" s="148" t="s">
        <v>15</v>
      </c>
      <c r="H392" s="367">
        <v>401.58710000000002</v>
      </c>
      <c r="I392" s="368">
        <v>116.3967</v>
      </c>
      <c r="J392" s="234" t="s">
        <v>15</v>
      </c>
      <c r="K392" s="233" t="s">
        <v>15</v>
      </c>
      <c r="L392" s="234" t="s">
        <v>15</v>
      </c>
      <c r="M392" s="233" t="s">
        <v>15</v>
      </c>
      <c r="N392" s="537">
        <v>-49.569945199999999</v>
      </c>
      <c r="O392" s="536">
        <v>-6.89</v>
      </c>
      <c r="P392" s="536">
        <v>7.1892823999999997</v>
      </c>
      <c r="Q392" s="128">
        <f>9588.62/$T$365</f>
        <v>0.11160095345838164</v>
      </c>
      <c r="R392" s="2196"/>
      <c r="S392" s="24"/>
      <c r="T392" s="26"/>
      <c r="V392" s="24"/>
      <c r="W392" s="26"/>
      <c r="X392" s="26"/>
      <c r="Y392" s="41"/>
      <c r="Z392" s="41"/>
      <c r="AA392" s="41"/>
      <c r="AB392" s="846"/>
      <c r="AC392" s="26"/>
      <c r="AD392" s="24"/>
      <c r="AE392" s="26"/>
      <c r="AF392" s="106"/>
      <c r="AG392" s="37"/>
      <c r="AH392" s="957"/>
      <c r="AI392" s="1023"/>
      <c r="AJ392" s="1023"/>
      <c r="AK392" s="1023"/>
      <c r="AL392" s="1023"/>
      <c r="AM392" s="1023"/>
      <c r="AN392" s="1023"/>
      <c r="AO392" s="957"/>
      <c r="AP392" s="957"/>
      <c r="AQ392" s="957"/>
      <c r="AR392" s="957"/>
      <c r="AS392" s="957"/>
      <c r="AT392" s="957"/>
      <c r="AU392" s="957"/>
      <c r="AV392" s="957"/>
      <c r="AW392" s="957"/>
      <c r="AX392" s="957"/>
      <c r="AY392" s="957"/>
      <c r="AZ392" s="957"/>
      <c r="BA392" s="957"/>
      <c r="BB392" s="957"/>
      <c r="BC392" s="957"/>
      <c r="BD392" s="957"/>
      <c r="BE392" s="957"/>
      <c r="BF392" s="957"/>
      <c r="BG392" s="957"/>
    </row>
    <row r="393" spans="1:113">
      <c r="A393" s="2172"/>
      <c r="B393" s="2206"/>
      <c r="C393" s="2144"/>
      <c r="D393" s="348">
        <v>3</v>
      </c>
      <c r="E393" s="452">
        <v>34</v>
      </c>
      <c r="F393" s="148" t="s">
        <v>15</v>
      </c>
      <c r="G393" s="148" t="s">
        <v>15</v>
      </c>
      <c r="H393" s="367">
        <v>334.31349999999998</v>
      </c>
      <c r="I393" s="368">
        <v>86.461960000000005</v>
      </c>
      <c r="J393" s="234" t="s">
        <v>15</v>
      </c>
      <c r="K393" s="233" t="s">
        <v>15</v>
      </c>
      <c r="L393" s="234" t="s">
        <v>15</v>
      </c>
      <c r="M393" s="233" t="s">
        <v>15</v>
      </c>
      <c r="N393" s="537">
        <v>-73.105691399999998</v>
      </c>
      <c r="O393" s="536">
        <v>-8.7899999999999991</v>
      </c>
      <c r="P393" s="536">
        <v>8.3140114000000001</v>
      </c>
      <c r="Q393" s="128">
        <f>9326.68/$T$365</f>
        <v>0.1085522609719875</v>
      </c>
      <c r="R393" s="2196"/>
      <c r="S393" s="24"/>
      <c r="T393" s="26"/>
      <c r="V393" s="24"/>
      <c r="W393" s="26"/>
      <c r="X393" s="26"/>
      <c r="Y393" s="41"/>
      <c r="Z393" s="41"/>
      <c r="AA393" s="41"/>
      <c r="AB393" s="846"/>
      <c r="AC393" s="26"/>
      <c r="AD393" s="24"/>
      <c r="AE393" s="26"/>
      <c r="AF393" s="106"/>
      <c r="AG393" s="37"/>
      <c r="AH393" s="957"/>
      <c r="AI393" s="1023"/>
      <c r="AJ393" s="1023"/>
      <c r="AK393" s="1023"/>
      <c r="AL393" s="1023"/>
      <c r="AM393" s="1023"/>
      <c r="AN393" s="1023"/>
      <c r="AO393" s="957"/>
      <c r="AP393" s="957"/>
      <c r="AQ393" s="957"/>
      <c r="AR393" s="957"/>
      <c r="AS393" s="957"/>
      <c r="AT393" s="957"/>
      <c r="AU393" s="957"/>
      <c r="AV393" s="957"/>
      <c r="AW393" s="957"/>
      <c r="AX393" s="957"/>
      <c r="AY393" s="957"/>
      <c r="AZ393" s="957"/>
      <c r="BA393" s="957"/>
      <c r="BB393" s="957"/>
      <c r="BC393" s="957"/>
      <c r="BD393" s="957"/>
      <c r="BE393" s="957"/>
      <c r="BF393" s="957"/>
      <c r="BG393" s="957"/>
    </row>
    <row r="394" spans="1:113" ht="15.75" thickBot="1">
      <c r="A394" s="2172"/>
      <c r="B394" s="2206"/>
      <c r="C394" s="2144"/>
      <c r="D394" s="205">
        <v>4</v>
      </c>
      <c r="E394" s="25">
        <v>52</v>
      </c>
      <c r="F394" s="197" t="s">
        <v>15</v>
      </c>
      <c r="G394" s="197" t="s">
        <v>15</v>
      </c>
      <c r="H394" s="367">
        <v>425.44810000000001</v>
      </c>
      <c r="I394" s="368">
        <v>135.51349999999999</v>
      </c>
      <c r="J394" s="409" t="s">
        <v>15</v>
      </c>
      <c r="K394" s="122" t="s">
        <v>15</v>
      </c>
      <c r="L394" s="409" t="s">
        <v>15</v>
      </c>
      <c r="M394" s="122" t="s">
        <v>15</v>
      </c>
      <c r="N394" s="537">
        <v>0</v>
      </c>
      <c r="O394" s="536" t="s">
        <v>574</v>
      </c>
      <c r="P394" s="536" t="s">
        <v>574</v>
      </c>
      <c r="Q394" s="286">
        <f>41274.87/$T$365</f>
        <v>0.48039393008282238</v>
      </c>
      <c r="R394" s="2196"/>
      <c r="S394" s="24"/>
      <c r="T394" s="26"/>
      <c r="V394" s="24"/>
      <c r="W394" s="26"/>
      <c r="X394" s="26"/>
      <c r="Y394" s="41"/>
      <c r="Z394" s="41"/>
      <c r="AA394" s="41"/>
      <c r="AB394" s="846"/>
      <c r="AC394" s="26"/>
      <c r="AD394" s="240"/>
      <c r="AE394" s="764"/>
      <c r="AF394" s="106"/>
      <c r="AG394" s="37"/>
      <c r="AH394" s="957"/>
      <c r="AI394" s="1023"/>
      <c r="AJ394" s="1023"/>
      <c r="AK394" s="1023"/>
      <c r="AL394" s="1023"/>
      <c r="AM394" s="1023"/>
      <c r="AN394" s="1023"/>
      <c r="AO394" s="957"/>
      <c r="AP394" s="957"/>
      <c r="AQ394" s="957"/>
      <c r="AR394" s="957"/>
      <c r="AS394" s="957"/>
      <c r="AT394" s="957"/>
      <c r="AU394" s="957"/>
      <c r="AV394" s="957"/>
      <c r="AW394" s="957"/>
      <c r="AX394" s="957"/>
      <c r="AY394" s="957"/>
      <c r="AZ394" s="957"/>
      <c r="BA394" s="957"/>
      <c r="BB394" s="957"/>
      <c r="BC394" s="957"/>
      <c r="BD394" s="957"/>
      <c r="BE394" s="957"/>
      <c r="BF394" s="957"/>
      <c r="BG394" s="957"/>
    </row>
    <row r="395" spans="1:113" s="692" customFormat="1" ht="9" customHeight="1" thickBot="1">
      <c r="A395" s="695"/>
      <c r="B395" s="815"/>
      <c r="C395" s="684"/>
      <c r="D395" s="683"/>
      <c r="E395" s="684"/>
      <c r="F395" s="684"/>
      <c r="G395" s="684"/>
      <c r="H395" s="684"/>
      <c r="I395" s="684"/>
      <c r="J395" s="682"/>
      <c r="K395" s="683"/>
      <c r="L395" s="682"/>
      <c r="M395" s="685"/>
      <c r="N395" s="1189"/>
      <c r="O395" s="686"/>
      <c r="P395" s="686"/>
      <c r="Q395" s="687"/>
      <c r="R395" s="687"/>
      <c r="S395" s="688"/>
      <c r="T395" s="688"/>
      <c r="U395" s="854"/>
      <c r="V395" s="893"/>
      <c r="W395" s="685"/>
      <c r="X395" s="685"/>
      <c r="Y395" s="688"/>
      <c r="Z395" s="688"/>
      <c r="AA395" s="688"/>
      <c r="AB395" s="846"/>
      <c r="AC395" s="685"/>
      <c r="AD395" s="685"/>
      <c r="AE395" s="685"/>
      <c r="AF395" s="689"/>
      <c r="AG395" s="685"/>
      <c r="AH395" s="959"/>
      <c r="AI395" s="959"/>
      <c r="AJ395" s="959"/>
      <c r="AK395" s="959"/>
      <c r="AL395" s="959"/>
      <c r="AM395" s="959"/>
      <c r="AN395" s="959"/>
      <c r="AO395" s="958"/>
      <c r="AP395" s="958"/>
      <c r="AQ395" s="958"/>
      <c r="AR395" s="958"/>
      <c r="AS395" s="958"/>
      <c r="AT395" s="958"/>
      <c r="AU395" s="958"/>
      <c r="AV395" s="958"/>
      <c r="AW395" s="958"/>
      <c r="AX395" s="958"/>
      <c r="AY395" s="958"/>
      <c r="AZ395" s="958"/>
      <c r="BA395" s="958"/>
      <c r="BB395" s="958"/>
      <c r="BC395" s="958"/>
      <c r="BD395" s="958"/>
      <c r="BE395" s="958"/>
      <c r="BF395" s="958"/>
      <c r="BG395" s="958"/>
      <c r="BH395" s="1125"/>
      <c r="DI395" s="693"/>
    </row>
    <row r="396" spans="1:113" s="7" customFormat="1" ht="15" customHeight="1">
      <c r="A396" s="2171" t="s">
        <v>1288</v>
      </c>
      <c r="B396" s="1057" t="s">
        <v>754</v>
      </c>
      <c r="C396" s="809" t="s">
        <v>12</v>
      </c>
      <c r="D396" s="232" t="s">
        <v>846</v>
      </c>
      <c r="E396" s="534">
        <v>329</v>
      </c>
      <c r="F396" s="258">
        <v>55.81109</v>
      </c>
      <c r="G396" s="258">
        <v>8.2741509999999998</v>
      </c>
      <c r="H396" s="367">
        <v>271.3082</v>
      </c>
      <c r="I396" s="368">
        <v>54.231369999999998</v>
      </c>
      <c r="J396" s="268" t="s">
        <v>15</v>
      </c>
      <c r="K396" s="132" t="s">
        <v>15</v>
      </c>
      <c r="L396" s="1165" t="s">
        <v>14</v>
      </c>
      <c r="M396" s="1150" t="s">
        <v>790</v>
      </c>
      <c r="N396" s="1190">
        <v>1.3358460000000001</v>
      </c>
      <c r="O396" s="442">
        <v>3.74</v>
      </c>
      <c r="P396" s="442">
        <v>0.3574233</v>
      </c>
      <c r="Q396" s="254" t="s">
        <v>15</v>
      </c>
      <c r="R396" s="258">
        <f>N396</f>
        <v>1.3358460000000001</v>
      </c>
      <c r="S396" s="124" t="s">
        <v>68</v>
      </c>
      <c r="T396" s="125" t="s">
        <v>69</v>
      </c>
      <c r="U396" s="858"/>
      <c r="V396" s="2232" t="s">
        <v>863</v>
      </c>
      <c r="W396" s="295" t="s">
        <v>47</v>
      </c>
      <c r="X396" s="295" t="s">
        <v>873</v>
      </c>
      <c r="Y396" s="220">
        <f>T403+SUM(R398:R440)+N396*76+N397*1</f>
        <v>200.89141833753786</v>
      </c>
      <c r="Z396" s="282" t="s">
        <v>40</v>
      </c>
      <c r="AA396" s="575" t="s">
        <v>40</v>
      </c>
      <c r="AB396" s="846"/>
      <c r="AC396" s="26"/>
      <c r="AD396" s="2131" t="s">
        <v>142</v>
      </c>
      <c r="AE396" s="2133"/>
      <c r="AF396" s="497" t="s">
        <v>49</v>
      </c>
      <c r="AG396" s="494" t="s">
        <v>1000</v>
      </c>
      <c r="AH396" s="158">
        <f>T403+N424+N430+N419+R426+R428+R432+R435</f>
        <v>291.92367149589393</v>
      </c>
      <c r="AI396" s="158"/>
      <c r="AJ396" s="158">
        <v>279.99</v>
      </c>
      <c r="AK396" s="158">
        <v>219</v>
      </c>
      <c r="AL396" s="158"/>
      <c r="AM396" s="158"/>
      <c r="AN396" s="170"/>
      <c r="AO396" s="1011"/>
      <c r="AP396" s="957"/>
      <c r="AQ396" s="957"/>
      <c r="AR396" s="957"/>
      <c r="AS396" s="957"/>
      <c r="AT396" s="1012"/>
      <c r="AU396" s="1023"/>
      <c r="AV396" s="957"/>
      <c r="AW396" s="957"/>
      <c r="AX396" s="957"/>
      <c r="AY396" s="957"/>
      <c r="AZ396" s="957"/>
      <c r="BA396" s="957"/>
      <c r="BB396" s="957"/>
      <c r="BC396" s="957"/>
      <c r="BD396" s="957"/>
      <c r="BE396" s="957"/>
      <c r="BF396" s="957"/>
      <c r="BG396" s="957"/>
      <c r="BH396" s="1125"/>
      <c r="DI396" s="566"/>
    </row>
    <row r="397" spans="1:113">
      <c r="A397" s="2172"/>
      <c r="B397" s="1056" t="s">
        <v>756</v>
      </c>
      <c r="C397" s="356" t="s">
        <v>12</v>
      </c>
      <c r="D397" s="291" t="s">
        <v>810</v>
      </c>
      <c r="E397" s="452">
        <v>329</v>
      </c>
      <c r="F397" s="128">
        <v>0.34797499999999998</v>
      </c>
      <c r="G397" s="128">
        <v>0.11920600000000001</v>
      </c>
      <c r="H397" s="367">
        <v>271.3082</v>
      </c>
      <c r="I397" s="368">
        <v>54.231369999999998</v>
      </c>
      <c r="J397" s="234" t="s">
        <v>15</v>
      </c>
      <c r="K397" s="233" t="s">
        <v>15</v>
      </c>
      <c r="L397" s="234" t="s">
        <v>15</v>
      </c>
      <c r="M397" s="233" t="s">
        <v>15</v>
      </c>
      <c r="N397" s="537">
        <v>-43.967446500000001</v>
      </c>
      <c r="O397" s="536">
        <v>-1.24</v>
      </c>
      <c r="P397" s="536">
        <v>35.355061800000001</v>
      </c>
      <c r="Q397" s="195" t="s">
        <v>15</v>
      </c>
      <c r="R397" s="128">
        <f>N397</f>
        <v>-43.967446500000001</v>
      </c>
      <c r="S397" s="31" t="s">
        <v>70</v>
      </c>
      <c r="T397" s="117" t="s">
        <v>71</v>
      </c>
      <c r="U397" s="854"/>
      <c r="V397" s="2233"/>
      <c r="W397" s="983" t="s">
        <v>49</v>
      </c>
      <c r="X397" s="338" t="s">
        <v>876</v>
      </c>
      <c r="Y397" s="169">
        <f>T403+SUM(R398:R440)+N396*43+N397*1</f>
        <v>156.80850033753785</v>
      </c>
      <c r="Z397" s="169">
        <f>Y397-Y396</f>
        <v>-44.082918000000006</v>
      </c>
      <c r="AA397" s="576">
        <f>(76-43)*P396</f>
        <v>11.794968900000001</v>
      </c>
      <c r="AB397" s="918"/>
      <c r="AC397" s="26"/>
      <c r="AD397" s="20" t="s">
        <v>98</v>
      </c>
      <c r="AE397" s="278">
        <v>-0.1419358083754941</v>
      </c>
      <c r="AF397" s="497" t="s">
        <v>49</v>
      </c>
      <c r="AG397" s="494" t="s">
        <v>1001</v>
      </c>
      <c r="AH397" s="158">
        <f>T403+N424+N430+N411+R426+R428+R432+R435</f>
        <v>212.36036019589397</v>
      </c>
      <c r="AI397" s="158"/>
      <c r="AJ397" s="158"/>
      <c r="AK397" s="158">
        <v>292</v>
      </c>
      <c r="AL397" s="158">
        <v>330</v>
      </c>
      <c r="AM397" s="158">
        <v>349</v>
      </c>
      <c r="AN397" s="170"/>
      <c r="AO397" s="1011"/>
      <c r="AP397" s="957"/>
      <c r="AQ397" s="957"/>
      <c r="AR397" s="957"/>
      <c r="AS397" s="957"/>
      <c r="AT397" s="1012"/>
      <c r="AU397" s="1023"/>
      <c r="AV397" s="957"/>
      <c r="AW397" s="957"/>
      <c r="AX397" s="957"/>
      <c r="AY397" s="957"/>
      <c r="AZ397" s="957"/>
      <c r="BA397" s="957"/>
      <c r="BB397" s="957"/>
      <c r="BC397" s="957"/>
      <c r="BD397" s="957"/>
      <c r="BE397" s="957"/>
      <c r="BF397" s="957"/>
      <c r="BG397" s="957"/>
    </row>
    <row r="398" spans="1:113">
      <c r="A398" s="2172"/>
      <c r="B398" s="2206" t="s">
        <v>153</v>
      </c>
      <c r="C398" s="2144" t="s">
        <v>13</v>
      </c>
      <c r="D398" s="348" t="s">
        <v>802</v>
      </c>
      <c r="E398" s="452">
        <v>10</v>
      </c>
      <c r="F398" s="148" t="s">
        <v>15</v>
      </c>
      <c r="G398" s="148" t="s">
        <v>15</v>
      </c>
      <c r="H398" s="367">
        <v>215.24719999999999</v>
      </c>
      <c r="I398" s="368">
        <v>30.72955</v>
      </c>
      <c r="J398" s="234" t="s">
        <v>15</v>
      </c>
      <c r="K398" s="233" t="s">
        <v>15</v>
      </c>
      <c r="L398" s="234" t="s">
        <v>15</v>
      </c>
      <c r="M398" s="233" t="s">
        <v>15</v>
      </c>
      <c r="N398" s="537">
        <v>-58.2380292</v>
      </c>
      <c r="O398" s="536">
        <v>-1.44</v>
      </c>
      <c r="P398" s="536">
        <v>40.454028200000003</v>
      </c>
      <c r="Q398" s="128">
        <f>494.99/$T$401</f>
        <v>1.5808629322629664E-3</v>
      </c>
      <c r="R398" s="2130">
        <f>SUMPRODUCT(N398:N423,Q398:Q423)</f>
        <v>0.50758435422627324</v>
      </c>
      <c r="S398" s="127" t="s">
        <v>72</v>
      </c>
      <c r="T398" s="119" t="s">
        <v>119</v>
      </c>
      <c r="U398" s="855"/>
      <c r="V398" s="2233"/>
      <c r="W398" s="983" t="s">
        <v>49</v>
      </c>
      <c r="X398" s="338" t="s">
        <v>874</v>
      </c>
      <c r="Y398" s="169">
        <f>T403+SUM(R398:R440)+N396*34.9+N397*1</f>
        <v>145.98814773753784</v>
      </c>
      <c r="Z398" s="169">
        <f>Y398-Y396</f>
        <v>-54.903270600000013</v>
      </c>
      <c r="AA398" s="576">
        <f>(76-34.9)*P396</f>
        <v>14.69009763</v>
      </c>
      <c r="AB398" s="918"/>
      <c r="AC398" s="26"/>
      <c r="AD398" s="20" t="s">
        <v>143</v>
      </c>
      <c r="AE398" s="278">
        <v>0.25436333424448704</v>
      </c>
      <c r="AF398" s="497" t="s">
        <v>49</v>
      </c>
      <c r="AG398" s="494" t="s">
        <v>1002</v>
      </c>
      <c r="AH398" s="158">
        <f>T403+N425+N430+N405+R426+R428+R432+R435</f>
        <v>264.04418829589395</v>
      </c>
      <c r="AI398" s="158">
        <v>329</v>
      </c>
      <c r="AJ398" s="158"/>
      <c r="AK398" s="158">
        <v>311</v>
      </c>
      <c r="AL398" s="158"/>
      <c r="AM398" s="158"/>
      <c r="AN398" s="170"/>
      <c r="AO398" s="1011"/>
      <c r="AP398" s="957"/>
      <c r="AQ398" s="957"/>
      <c r="AR398" s="957"/>
      <c r="AS398" s="957"/>
      <c r="AT398" s="1012"/>
      <c r="AU398" s="1023"/>
      <c r="AV398" s="957"/>
      <c r="AW398" s="957"/>
      <c r="AX398" s="957"/>
      <c r="AY398" s="957"/>
      <c r="AZ398" s="957"/>
      <c r="BA398" s="957"/>
      <c r="BB398" s="957"/>
      <c r="BC398" s="957"/>
      <c r="BD398" s="957"/>
      <c r="BE398" s="957"/>
      <c r="BF398" s="957"/>
      <c r="BG398" s="957"/>
    </row>
    <row r="399" spans="1:113">
      <c r="A399" s="2172"/>
      <c r="B399" s="2206"/>
      <c r="C399" s="2144"/>
      <c r="D399" s="434" t="s">
        <v>757</v>
      </c>
      <c r="E399" s="452">
        <v>41</v>
      </c>
      <c r="F399" s="148" t="s">
        <v>15</v>
      </c>
      <c r="G399" s="148" t="s">
        <v>15</v>
      </c>
      <c r="H399" s="367">
        <v>239.57980000000001</v>
      </c>
      <c r="I399" s="368">
        <v>10.278079999999999</v>
      </c>
      <c r="J399" s="234" t="s">
        <v>15</v>
      </c>
      <c r="K399" s="233" t="s">
        <v>15</v>
      </c>
      <c r="L399" s="234" t="s">
        <v>15</v>
      </c>
      <c r="M399" s="233" t="s">
        <v>15</v>
      </c>
      <c r="N399" s="537">
        <v>-109.18807099999999</v>
      </c>
      <c r="O399" s="536">
        <v>-2.66</v>
      </c>
      <c r="P399" s="536">
        <v>41.014700699999999</v>
      </c>
      <c r="Q399" s="128">
        <f>37622.34/$T$401</f>
        <v>0.12015548340571383</v>
      </c>
      <c r="R399" s="2196"/>
      <c r="S399" s="452" t="s">
        <v>73</v>
      </c>
      <c r="T399" s="433"/>
      <c r="U399" s="859"/>
      <c r="V399" s="24"/>
      <c r="W399" s="26"/>
      <c r="X399" s="26"/>
      <c r="Y399" s="41"/>
      <c r="Z399" s="41"/>
      <c r="AA399" s="41"/>
      <c r="AB399" s="846"/>
      <c r="AC399" s="26"/>
      <c r="AD399" s="20" t="s">
        <v>144</v>
      </c>
      <c r="AE399" s="278">
        <v>-0.39151759256190838</v>
      </c>
      <c r="AF399" s="497" t="s">
        <v>49</v>
      </c>
      <c r="AG399" s="494" t="s">
        <v>990</v>
      </c>
      <c r="AH399" s="158">
        <f>T403+N425+N431+N411+R426+R428+R432+R435</f>
        <v>303.23446689589395</v>
      </c>
      <c r="AI399" s="158"/>
      <c r="AJ399" s="158"/>
      <c r="AK399" s="158"/>
      <c r="AL399" s="158"/>
      <c r="AM399" s="158"/>
      <c r="AN399" s="170"/>
      <c r="AO399" s="1011"/>
      <c r="AP399" s="957"/>
      <c r="AQ399" s="957"/>
      <c r="AR399" s="957"/>
      <c r="AS399" s="957"/>
      <c r="AT399" s="1012"/>
      <c r="AU399" s="1023"/>
      <c r="AV399" s="957"/>
      <c r="AW399" s="957"/>
      <c r="AX399" s="957"/>
      <c r="AY399" s="957"/>
      <c r="AZ399" s="957"/>
      <c r="BA399" s="957"/>
      <c r="BB399" s="957"/>
      <c r="BC399" s="957"/>
      <c r="BD399" s="957"/>
      <c r="BE399" s="957"/>
      <c r="BF399" s="957"/>
      <c r="BG399" s="957"/>
    </row>
    <row r="400" spans="1:113">
      <c r="A400" s="2172"/>
      <c r="B400" s="2206"/>
      <c r="C400" s="2144"/>
      <c r="D400" s="348" t="s">
        <v>808</v>
      </c>
      <c r="E400" s="452">
        <v>5</v>
      </c>
      <c r="F400" s="148" t="s">
        <v>15</v>
      </c>
      <c r="G400" s="148" t="s">
        <v>15</v>
      </c>
      <c r="H400" s="367">
        <v>207.57570000000001</v>
      </c>
      <c r="I400" s="368">
        <v>3.7614130000000001</v>
      </c>
      <c r="J400" s="234" t="s">
        <v>15</v>
      </c>
      <c r="K400" s="233" t="s">
        <v>15</v>
      </c>
      <c r="L400" s="234" t="s">
        <v>15</v>
      </c>
      <c r="M400" s="233" t="s">
        <v>15</v>
      </c>
      <c r="N400" s="537">
        <v>-17.656216199999999</v>
      </c>
      <c r="O400" s="536">
        <v>-0.47</v>
      </c>
      <c r="P400" s="536">
        <v>37.960429099999999</v>
      </c>
      <c r="Q400" s="128">
        <f>24350.97/$T$401</f>
        <v>7.7770350588188708E-2</v>
      </c>
      <c r="R400" s="2196"/>
      <c r="S400" s="127" t="s">
        <v>74</v>
      </c>
      <c r="T400" s="129" t="s">
        <v>75</v>
      </c>
      <c r="U400" s="858"/>
      <c r="V400" s="24"/>
      <c r="W400" s="26"/>
      <c r="X400" s="26"/>
      <c r="Y400" s="41"/>
      <c r="Z400" s="41"/>
      <c r="AA400" s="41"/>
      <c r="AB400" s="846"/>
      <c r="AC400" s="26"/>
      <c r="AD400" s="20" t="s">
        <v>145</v>
      </c>
      <c r="AE400" s="278">
        <v>0.3329848013511138</v>
      </c>
      <c r="AF400" s="106"/>
      <c r="AG400" s="37"/>
      <c r="AH400" s="957"/>
      <c r="AI400" s="1023"/>
      <c r="AJ400" s="1023"/>
      <c r="AK400" s="1023"/>
      <c r="AL400" s="1023"/>
      <c r="AM400" s="1023"/>
      <c r="AN400" s="1023"/>
      <c r="AO400" s="957"/>
      <c r="AP400" s="957"/>
      <c r="AQ400" s="957"/>
      <c r="AR400" s="957"/>
      <c r="AS400" s="957"/>
      <c r="AT400" s="957"/>
      <c r="AU400" s="957"/>
      <c r="AV400" s="957"/>
      <c r="AW400" s="957"/>
      <c r="AX400" s="957"/>
      <c r="AY400" s="957"/>
      <c r="AZ400" s="957"/>
      <c r="BA400" s="957"/>
      <c r="BB400" s="957"/>
      <c r="BC400" s="957"/>
      <c r="BD400" s="957"/>
      <c r="BE400" s="957"/>
      <c r="BF400" s="957"/>
      <c r="BG400" s="957"/>
    </row>
    <row r="401" spans="1:59">
      <c r="A401" s="2172"/>
      <c r="B401" s="2206"/>
      <c r="C401" s="2144"/>
      <c r="D401" s="348" t="s">
        <v>844</v>
      </c>
      <c r="E401" s="452">
        <v>1</v>
      </c>
      <c r="F401" s="148" t="s">
        <v>15</v>
      </c>
      <c r="G401" s="148" t="s">
        <v>15</v>
      </c>
      <c r="H401" s="367">
        <v>227.08760000000001</v>
      </c>
      <c r="I401" s="368">
        <v>0</v>
      </c>
      <c r="J401" s="234" t="s">
        <v>15</v>
      </c>
      <c r="K401" s="233" t="s">
        <v>15</v>
      </c>
      <c r="L401" s="234" t="s">
        <v>15</v>
      </c>
      <c r="M401" s="233" t="s">
        <v>15</v>
      </c>
      <c r="N401" s="537">
        <v>-116.8890593</v>
      </c>
      <c r="O401" s="536">
        <v>-2.77</v>
      </c>
      <c r="P401" s="536">
        <v>42.128796600000001</v>
      </c>
      <c r="Q401" s="128">
        <f>1527/$T$401</f>
        <v>4.8768211429837975E-3</v>
      </c>
      <c r="R401" s="2196"/>
      <c r="S401" s="445">
        <v>329</v>
      </c>
      <c r="T401" s="446">
        <v>313113.8</v>
      </c>
      <c r="U401" s="865"/>
      <c r="V401" s="24"/>
      <c r="W401" s="26"/>
      <c r="X401" s="26"/>
      <c r="Y401" s="41"/>
      <c r="Z401" s="41"/>
      <c r="AA401" s="41"/>
      <c r="AB401" s="846"/>
      <c r="AC401" s="26"/>
      <c r="AD401" s="22"/>
      <c r="AE401" s="27"/>
      <c r="AF401" s="106"/>
      <c r="AG401" s="37"/>
      <c r="AH401" s="957"/>
      <c r="AI401" s="1023"/>
      <c r="AJ401" s="1023"/>
      <c r="AK401" s="1023"/>
      <c r="AL401" s="1023"/>
      <c r="AM401" s="1023"/>
      <c r="AN401" s="1023"/>
      <c r="AO401" s="957"/>
      <c r="AP401" s="957"/>
      <c r="AQ401" s="957"/>
      <c r="AR401" s="957"/>
      <c r="AS401" s="957"/>
      <c r="AT401" s="957"/>
      <c r="AU401" s="957"/>
      <c r="AV401" s="957"/>
      <c r="AW401" s="957"/>
      <c r="AX401" s="957"/>
      <c r="AY401" s="957"/>
      <c r="AZ401" s="957"/>
      <c r="BA401" s="957"/>
      <c r="BB401" s="957"/>
      <c r="BC401" s="957"/>
      <c r="BD401" s="957"/>
      <c r="BE401" s="957"/>
      <c r="BF401" s="957"/>
      <c r="BG401" s="957"/>
    </row>
    <row r="402" spans="1:59">
      <c r="A402" s="2172"/>
      <c r="B402" s="2206"/>
      <c r="C402" s="2144"/>
      <c r="D402" s="348" t="s">
        <v>759</v>
      </c>
      <c r="E402" s="452">
        <v>4</v>
      </c>
      <c r="F402" s="148" t="s">
        <v>15</v>
      </c>
      <c r="G402" s="148" t="s">
        <v>15</v>
      </c>
      <c r="H402" s="367">
        <v>262.9606</v>
      </c>
      <c r="I402" s="368">
        <v>9.3882989999999999</v>
      </c>
      <c r="J402" s="234" t="s">
        <v>15</v>
      </c>
      <c r="K402" s="233" t="s">
        <v>15</v>
      </c>
      <c r="L402" s="234" t="s">
        <v>15</v>
      </c>
      <c r="M402" s="233" t="s">
        <v>15</v>
      </c>
      <c r="N402" s="537">
        <v>28.5894689</v>
      </c>
      <c r="O402" s="536">
        <v>0.71</v>
      </c>
      <c r="P402" s="536">
        <v>40.0101789</v>
      </c>
      <c r="Q402" s="128">
        <f>813.19/$T$401</f>
        <v>2.5971068665769444E-3</v>
      </c>
      <c r="R402" s="2196"/>
      <c r="S402" s="127" t="s">
        <v>41</v>
      </c>
      <c r="T402" s="129" t="s">
        <v>42</v>
      </c>
      <c r="U402" s="858"/>
      <c r="V402" s="24"/>
      <c r="W402" s="26"/>
      <c r="X402" s="26"/>
      <c r="Y402" s="41"/>
      <c r="Z402" s="41"/>
      <c r="AA402" s="41"/>
      <c r="AB402" s="846"/>
      <c r="AC402" s="26"/>
      <c r="AD402" s="24"/>
      <c r="AE402" s="26"/>
      <c r="AF402" s="106"/>
      <c r="AG402" s="37"/>
      <c r="AH402" s="957"/>
      <c r="AI402" s="1023"/>
      <c r="AJ402" s="1023"/>
      <c r="AK402" s="1023"/>
      <c r="AL402" s="1023"/>
      <c r="AM402" s="1023"/>
      <c r="AN402" s="1023"/>
      <c r="AO402" s="957"/>
      <c r="AP402" s="957"/>
      <c r="AQ402" s="957"/>
      <c r="AR402" s="957"/>
      <c r="AS402" s="957"/>
      <c r="AT402" s="957"/>
      <c r="AU402" s="957"/>
      <c r="AV402" s="957"/>
      <c r="AW402" s="957"/>
      <c r="AX402" s="957"/>
      <c r="AY402" s="957"/>
      <c r="AZ402" s="957"/>
      <c r="BA402" s="957"/>
      <c r="BB402" s="957"/>
      <c r="BC402" s="957"/>
      <c r="BD402" s="957"/>
      <c r="BE402" s="957"/>
      <c r="BF402" s="957"/>
      <c r="BG402" s="957"/>
    </row>
    <row r="403" spans="1:59">
      <c r="A403" s="2172"/>
      <c r="B403" s="2206"/>
      <c r="C403" s="2144"/>
      <c r="D403" s="348" t="s">
        <v>781</v>
      </c>
      <c r="E403" s="452">
        <v>4</v>
      </c>
      <c r="F403" s="148" t="s">
        <v>15</v>
      </c>
      <c r="G403" s="148" t="s">
        <v>15</v>
      </c>
      <c r="H403" s="367">
        <v>251.02209999999999</v>
      </c>
      <c r="I403" s="368">
        <v>16.10746</v>
      </c>
      <c r="J403" s="234" t="s">
        <v>15</v>
      </c>
      <c r="K403" s="233" t="s">
        <v>15</v>
      </c>
      <c r="L403" s="234" t="s">
        <v>15</v>
      </c>
      <c r="M403" s="233" t="s">
        <v>15</v>
      </c>
      <c r="N403" s="537">
        <v>-23.664058799999999</v>
      </c>
      <c r="O403" s="536">
        <v>-0.51</v>
      </c>
      <c r="P403" s="536">
        <v>46.142628500000001</v>
      </c>
      <c r="Q403" s="128">
        <f>229.86/$T$401</f>
        <v>7.3411009032498735E-4</v>
      </c>
      <c r="R403" s="2196"/>
      <c r="S403" s="357">
        <v>0.95641699999999996</v>
      </c>
      <c r="T403" s="420">
        <v>173.27268530000001</v>
      </c>
      <c r="U403" s="861"/>
      <c r="V403" s="24"/>
      <c r="W403" s="26"/>
      <c r="X403" s="26"/>
      <c r="Y403" s="41"/>
      <c r="Z403" s="41"/>
      <c r="AA403" s="41"/>
      <c r="AB403" s="846"/>
      <c r="AC403" s="26"/>
      <c r="AD403" s="24"/>
      <c r="AE403" s="26"/>
      <c r="AF403" s="106"/>
      <c r="AG403" s="37"/>
      <c r="AH403" s="957"/>
      <c r="AI403" s="1023"/>
      <c r="AJ403" s="1023"/>
      <c r="AK403" s="1023"/>
      <c r="AL403" s="1023"/>
      <c r="AM403" s="1023"/>
      <c r="AN403" s="1023"/>
      <c r="AO403" s="957"/>
      <c r="AP403" s="957"/>
      <c r="AQ403" s="957"/>
      <c r="AR403" s="957"/>
      <c r="AS403" s="957"/>
      <c r="AT403" s="957"/>
      <c r="AU403" s="957"/>
      <c r="AV403" s="957"/>
      <c r="AW403" s="957"/>
      <c r="AX403" s="957"/>
      <c r="AY403" s="957"/>
      <c r="AZ403" s="957"/>
      <c r="BA403" s="957"/>
      <c r="BB403" s="957"/>
      <c r="BC403" s="957"/>
      <c r="BD403" s="957"/>
      <c r="BE403" s="957"/>
      <c r="BF403" s="957"/>
      <c r="BG403" s="957"/>
    </row>
    <row r="404" spans="1:59">
      <c r="A404" s="2172"/>
      <c r="B404" s="2206"/>
      <c r="C404" s="2144"/>
      <c r="D404" s="348" t="s">
        <v>782</v>
      </c>
      <c r="E404" s="452">
        <v>17</v>
      </c>
      <c r="F404" s="148" t="s">
        <v>15</v>
      </c>
      <c r="G404" s="148" t="s">
        <v>15</v>
      </c>
      <c r="H404" s="367">
        <v>328.74849999999998</v>
      </c>
      <c r="I404" s="368">
        <v>27.37773</v>
      </c>
      <c r="J404" s="234" t="s">
        <v>15</v>
      </c>
      <c r="K404" s="233" t="s">
        <v>15</v>
      </c>
      <c r="L404" s="234" t="s">
        <v>15</v>
      </c>
      <c r="M404" s="233" t="s">
        <v>15</v>
      </c>
      <c r="N404" s="537">
        <v>47.937356399999999</v>
      </c>
      <c r="O404" s="536">
        <v>1.24</v>
      </c>
      <c r="P404" s="536">
        <v>38.779445600000003</v>
      </c>
      <c r="Q404" s="128">
        <f>4537.87/$T$401</f>
        <v>1.4492717983046419E-2</v>
      </c>
      <c r="R404" s="2196"/>
      <c r="S404" s="118" t="s">
        <v>235</v>
      </c>
      <c r="T404" s="119" t="s">
        <v>391</v>
      </c>
      <c r="U404" s="855"/>
      <c r="V404" s="24"/>
      <c r="W404" s="26"/>
      <c r="X404" s="26"/>
      <c r="Y404" s="41"/>
      <c r="Z404" s="41"/>
      <c r="AA404" s="41"/>
      <c r="AB404" s="846"/>
      <c r="AC404" s="26"/>
      <c r="AD404" s="24"/>
      <c r="AE404" s="26"/>
      <c r="AF404" s="106"/>
      <c r="AG404" s="37"/>
      <c r="AH404" s="957"/>
      <c r="AI404" s="1023"/>
      <c r="AJ404" s="1023"/>
      <c r="AK404" s="1023"/>
      <c r="AL404" s="1023"/>
      <c r="AM404" s="1023"/>
      <c r="AN404" s="1023"/>
      <c r="AO404" s="957"/>
      <c r="AP404" s="957"/>
      <c r="AQ404" s="957"/>
      <c r="AR404" s="957"/>
      <c r="AS404" s="957"/>
      <c r="AT404" s="957"/>
      <c r="AU404" s="957"/>
      <c r="AV404" s="957"/>
      <c r="AW404" s="957"/>
      <c r="AX404" s="957"/>
      <c r="AY404" s="957"/>
      <c r="AZ404" s="957"/>
      <c r="BA404" s="957"/>
      <c r="BB404" s="957"/>
      <c r="BC404" s="957"/>
      <c r="BD404" s="957"/>
      <c r="BE404" s="957"/>
      <c r="BF404" s="957"/>
      <c r="BG404" s="957"/>
    </row>
    <row r="405" spans="1:59">
      <c r="A405" s="2172"/>
      <c r="B405" s="2206"/>
      <c r="C405" s="2144"/>
      <c r="D405" s="348" t="s">
        <v>760</v>
      </c>
      <c r="E405" s="452">
        <v>13</v>
      </c>
      <c r="F405" s="148" t="s">
        <v>15</v>
      </c>
      <c r="G405" s="148" t="s">
        <v>15</v>
      </c>
      <c r="H405" s="367">
        <v>379.13740000000001</v>
      </c>
      <c r="I405" s="368">
        <v>12.2599</v>
      </c>
      <c r="J405" s="234" t="s">
        <v>15</v>
      </c>
      <c r="K405" s="233" t="s">
        <v>15</v>
      </c>
      <c r="L405" s="234" t="s">
        <v>15</v>
      </c>
      <c r="M405" s="233" t="s">
        <v>15</v>
      </c>
      <c r="N405" s="537">
        <v>55.166224499999998</v>
      </c>
      <c r="O405" s="536">
        <v>1.39</v>
      </c>
      <c r="P405" s="536">
        <v>39.621400100000002</v>
      </c>
      <c r="Q405" s="128">
        <f>6835.46/$T$401</f>
        <v>2.1830593222017042E-2</v>
      </c>
      <c r="R405" s="2196"/>
      <c r="S405" s="357">
        <v>73.350999999999999</v>
      </c>
      <c r="T405" s="151" t="s">
        <v>15</v>
      </c>
      <c r="U405" s="862"/>
      <c r="V405" s="24"/>
      <c r="W405" s="26"/>
      <c r="X405" s="26"/>
      <c r="Y405" s="41"/>
      <c r="Z405" s="41"/>
      <c r="AA405" s="41"/>
      <c r="AB405" s="846"/>
      <c r="AC405" s="26"/>
      <c r="AD405" s="24"/>
      <c r="AE405" s="26"/>
      <c r="AF405" s="106"/>
      <c r="AG405" s="37"/>
      <c r="AH405" s="957"/>
      <c r="AI405" s="1023"/>
      <c r="AJ405" s="1023"/>
      <c r="AK405" s="1023"/>
      <c r="AL405" s="1023"/>
      <c r="AM405" s="1023"/>
      <c r="AN405" s="1023"/>
      <c r="AO405" s="957"/>
      <c r="AP405" s="957"/>
      <c r="AQ405" s="957"/>
      <c r="AR405" s="957"/>
      <c r="AS405" s="957"/>
      <c r="AT405" s="957"/>
      <c r="AU405" s="957"/>
      <c r="AV405" s="957"/>
      <c r="AW405" s="957"/>
      <c r="AX405" s="957"/>
      <c r="AY405" s="957"/>
      <c r="AZ405" s="957"/>
      <c r="BA405" s="957"/>
      <c r="BB405" s="957"/>
      <c r="BC405" s="957"/>
      <c r="BD405" s="957"/>
      <c r="BE405" s="957"/>
      <c r="BF405" s="957"/>
      <c r="BG405" s="957"/>
    </row>
    <row r="406" spans="1:59">
      <c r="A406" s="2172"/>
      <c r="B406" s="2206"/>
      <c r="C406" s="2144"/>
      <c r="D406" s="348" t="s">
        <v>803</v>
      </c>
      <c r="E406" s="452">
        <v>11</v>
      </c>
      <c r="F406" s="148" t="s">
        <v>15</v>
      </c>
      <c r="G406" s="148" t="s">
        <v>15</v>
      </c>
      <c r="H406" s="367">
        <v>261.66289999999998</v>
      </c>
      <c r="I406" s="368">
        <v>25.36619</v>
      </c>
      <c r="J406" s="234" t="s">
        <v>15</v>
      </c>
      <c r="K406" s="233" t="s">
        <v>15</v>
      </c>
      <c r="L406" s="234" t="s">
        <v>15</v>
      </c>
      <c r="M406" s="233" t="s">
        <v>15</v>
      </c>
      <c r="N406" s="537">
        <v>9.3035212999999999</v>
      </c>
      <c r="O406" s="536">
        <v>0.25</v>
      </c>
      <c r="P406" s="536">
        <v>37.660432900000004</v>
      </c>
      <c r="Q406" s="128">
        <f>22707.68/$T$401</f>
        <v>7.2522130931309964E-2</v>
      </c>
      <c r="R406" s="2196"/>
      <c r="S406" s="24"/>
      <c r="T406" s="26"/>
      <c r="V406" s="24"/>
      <c r="W406" s="26"/>
      <c r="X406" s="26"/>
      <c r="Y406" s="41"/>
      <c r="Z406" s="41"/>
      <c r="AA406" s="41"/>
      <c r="AB406" s="846"/>
      <c r="AC406" s="26"/>
      <c r="AD406" s="24"/>
      <c r="AE406" s="26"/>
      <c r="AF406" s="106"/>
      <c r="AG406" s="37"/>
      <c r="AH406" s="957"/>
      <c r="AI406" s="1023"/>
      <c r="AJ406" s="1023"/>
      <c r="AK406" s="1023"/>
      <c r="AL406" s="1023"/>
      <c r="AM406" s="1023"/>
      <c r="AN406" s="1023"/>
      <c r="AO406" s="957"/>
      <c r="AP406" s="957"/>
      <c r="AQ406" s="957"/>
      <c r="AR406" s="957"/>
      <c r="AS406" s="957"/>
      <c r="AT406" s="957"/>
      <c r="AU406" s="957"/>
      <c r="AV406" s="957"/>
      <c r="AW406" s="957"/>
      <c r="AX406" s="957"/>
      <c r="AY406" s="957"/>
      <c r="AZ406" s="957"/>
      <c r="BA406" s="957"/>
      <c r="BB406" s="957"/>
      <c r="BC406" s="957"/>
      <c r="BD406" s="957"/>
      <c r="BE406" s="957"/>
      <c r="BF406" s="957"/>
      <c r="BG406" s="957"/>
    </row>
    <row r="407" spans="1:59">
      <c r="A407" s="2172"/>
      <c r="B407" s="2206"/>
      <c r="C407" s="2144"/>
      <c r="D407" s="348" t="s">
        <v>762</v>
      </c>
      <c r="E407" s="452">
        <v>22</v>
      </c>
      <c r="F407" s="148" t="s">
        <v>15</v>
      </c>
      <c r="G407" s="148" t="s">
        <v>15</v>
      </c>
      <c r="H407" s="367">
        <v>315.07479999999998</v>
      </c>
      <c r="I407" s="368">
        <v>28.121559999999999</v>
      </c>
      <c r="J407" s="234" t="s">
        <v>15</v>
      </c>
      <c r="K407" s="233" t="s">
        <v>15</v>
      </c>
      <c r="L407" s="234" t="s">
        <v>15</v>
      </c>
      <c r="M407" s="233" t="s">
        <v>15</v>
      </c>
      <c r="N407" s="537">
        <v>50.2708163</v>
      </c>
      <c r="O407" s="536">
        <v>1.34</v>
      </c>
      <c r="P407" s="536">
        <v>37.410734599999998</v>
      </c>
      <c r="Q407" s="128">
        <f>20255.43/$T$401</f>
        <v>6.4690313873103006E-2</v>
      </c>
      <c r="R407" s="2196"/>
      <c r="S407" s="24"/>
      <c r="T407" s="26"/>
      <c r="V407" s="24"/>
      <c r="W407" s="26"/>
      <c r="X407" s="26"/>
      <c r="Y407" s="41"/>
      <c r="Z407" s="41"/>
      <c r="AA407" s="41"/>
      <c r="AB407" s="846"/>
      <c r="AC407" s="26"/>
      <c r="AD407" s="24"/>
      <c r="AE407" s="26"/>
      <c r="AF407" s="106"/>
      <c r="AG407" s="37"/>
      <c r="AH407" s="957"/>
      <c r="AI407" s="1023"/>
      <c r="AJ407" s="1023"/>
      <c r="AK407" s="1023"/>
      <c r="AL407" s="1023"/>
      <c r="AM407" s="1023"/>
      <c r="AN407" s="1023"/>
      <c r="AO407" s="957"/>
      <c r="AP407" s="957"/>
      <c r="AQ407" s="957"/>
      <c r="AR407" s="957"/>
      <c r="AS407" s="957"/>
      <c r="AT407" s="957"/>
      <c r="AU407" s="957"/>
      <c r="AV407" s="957"/>
      <c r="AW407" s="957"/>
      <c r="AX407" s="957"/>
      <c r="AY407" s="957"/>
      <c r="AZ407" s="957"/>
      <c r="BA407" s="957"/>
      <c r="BB407" s="957"/>
      <c r="BC407" s="957"/>
      <c r="BD407" s="957"/>
      <c r="BE407" s="957"/>
      <c r="BF407" s="957"/>
      <c r="BG407" s="957"/>
    </row>
    <row r="408" spans="1:59">
      <c r="A408" s="2172"/>
      <c r="B408" s="2206"/>
      <c r="C408" s="2144"/>
      <c r="D408" s="348" t="s">
        <v>763</v>
      </c>
      <c r="E408" s="452">
        <v>12</v>
      </c>
      <c r="F408" s="148" t="s">
        <v>15</v>
      </c>
      <c r="G408" s="148" t="s">
        <v>15</v>
      </c>
      <c r="H408" s="367">
        <v>267.18610000000001</v>
      </c>
      <c r="I408" s="368">
        <v>7.1115940000000002</v>
      </c>
      <c r="J408" s="234" t="s">
        <v>15</v>
      </c>
      <c r="K408" s="233" t="s">
        <v>15</v>
      </c>
      <c r="L408" s="234" t="s">
        <v>15</v>
      </c>
      <c r="M408" s="233" t="s">
        <v>15</v>
      </c>
      <c r="N408" s="537">
        <v>-7.8681988</v>
      </c>
      <c r="O408" s="536">
        <v>-0.2</v>
      </c>
      <c r="P408" s="536">
        <v>40.149546200000003</v>
      </c>
      <c r="Q408" s="128">
        <f>15999.19/$T$401</f>
        <v>5.1097045227645674E-2</v>
      </c>
      <c r="R408" s="2196"/>
      <c r="S408" s="24"/>
      <c r="T408" s="26"/>
      <c r="V408" s="24"/>
      <c r="W408" s="26"/>
      <c r="X408" s="26"/>
      <c r="Y408" s="41"/>
      <c r="Z408" s="41"/>
      <c r="AA408" s="41"/>
      <c r="AB408" s="846"/>
      <c r="AC408" s="26"/>
      <c r="AD408" s="24"/>
      <c r="AE408" s="26"/>
      <c r="AF408" s="106"/>
      <c r="AG408" s="37"/>
      <c r="AH408" s="957"/>
      <c r="AI408" s="1023"/>
      <c r="AJ408" s="1023"/>
      <c r="AK408" s="1023"/>
      <c r="AL408" s="1023"/>
      <c r="AM408" s="1023"/>
      <c r="AN408" s="1023"/>
      <c r="AO408" s="957"/>
      <c r="AP408" s="957"/>
      <c r="AQ408" s="957"/>
      <c r="AR408" s="957"/>
      <c r="AS408" s="957"/>
      <c r="AT408" s="957"/>
      <c r="AU408" s="957"/>
      <c r="AV408" s="957"/>
      <c r="AW408" s="957"/>
      <c r="AX408" s="957"/>
      <c r="AY408" s="957"/>
      <c r="AZ408" s="957"/>
      <c r="BA408" s="957"/>
      <c r="BB408" s="957"/>
      <c r="BC408" s="957"/>
      <c r="BD408" s="957"/>
      <c r="BE408" s="957"/>
      <c r="BF408" s="957"/>
      <c r="BG408" s="957"/>
    </row>
    <row r="409" spans="1:59">
      <c r="A409" s="2172"/>
      <c r="B409" s="2206"/>
      <c r="C409" s="2144"/>
      <c r="D409" s="348" t="s">
        <v>840</v>
      </c>
      <c r="E409" s="452">
        <v>1</v>
      </c>
      <c r="F409" s="148" t="s">
        <v>15</v>
      </c>
      <c r="G409" s="148" t="s">
        <v>15</v>
      </c>
      <c r="H409" s="367">
        <v>254.36500000000001</v>
      </c>
      <c r="I409" s="368">
        <v>0</v>
      </c>
      <c r="J409" s="234" t="s">
        <v>15</v>
      </c>
      <c r="K409" s="233" t="s">
        <v>15</v>
      </c>
      <c r="L409" s="234" t="s">
        <v>15</v>
      </c>
      <c r="M409" s="233" t="s">
        <v>15</v>
      </c>
      <c r="N409" s="537">
        <v>-59.900062699999999</v>
      </c>
      <c r="O409" s="536">
        <v>-0.32</v>
      </c>
      <c r="P409" s="536">
        <v>190.12465119999999</v>
      </c>
      <c r="Q409" s="128">
        <f>4/$T$401</f>
        <v>1.2774908036630772E-5</v>
      </c>
      <c r="R409" s="2196"/>
      <c r="S409" s="24"/>
      <c r="T409" s="26"/>
      <c r="V409" s="24"/>
      <c r="W409" s="26"/>
      <c r="X409" s="26"/>
      <c r="Y409" s="41"/>
      <c r="Z409" s="41"/>
      <c r="AA409" s="41"/>
      <c r="AB409" s="846"/>
      <c r="AC409" s="26"/>
      <c r="AD409" s="24"/>
      <c r="AE409" s="26"/>
      <c r="AF409" s="106"/>
      <c r="AG409" s="37"/>
      <c r="AH409" s="957"/>
      <c r="AI409" s="1023"/>
      <c r="AJ409" s="1023"/>
      <c r="AK409" s="1023"/>
      <c r="AL409" s="1023"/>
      <c r="AM409" s="1023"/>
      <c r="AN409" s="1023"/>
      <c r="AO409" s="957"/>
      <c r="AP409" s="957"/>
      <c r="AQ409" s="957"/>
      <c r="AR409" s="957"/>
      <c r="AS409" s="957"/>
      <c r="AT409" s="957"/>
      <c r="AU409" s="957"/>
      <c r="AV409" s="957"/>
      <c r="AW409" s="957"/>
      <c r="AX409" s="957"/>
      <c r="AY409" s="957"/>
      <c r="AZ409" s="957"/>
      <c r="BA409" s="957"/>
      <c r="BB409" s="957"/>
      <c r="BC409" s="957"/>
      <c r="BD409" s="957"/>
      <c r="BE409" s="957"/>
      <c r="BF409" s="957"/>
      <c r="BG409" s="957"/>
    </row>
    <row r="410" spans="1:59">
      <c r="A410" s="2172"/>
      <c r="B410" s="2206"/>
      <c r="C410" s="2144"/>
      <c r="D410" s="348" t="s">
        <v>792</v>
      </c>
      <c r="E410" s="452">
        <v>7</v>
      </c>
      <c r="F410" s="148" t="s">
        <v>15</v>
      </c>
      <c r="G410" s="148" t="s">
        <v>15</v>
      </c>
      <c r="H410" s="367">
        <v>204.55459999999999</v>
      </c>
      <c r="I410" s="368">
        <v>14.017799999999999</v>
      </c>
      <c r="J410" s="234" t="s">
        <v>15</v>
      </c>
      <c r="K410" s="233" t="s">
        <v>15</v>
      </c>
      <c r="L410" s="234" t="s">
        <v>15</v>
      </c>
      <c r="M410" s="233" t="s">
        <v>15</v>
      </c>
      <c r="N410" s="537">
        <v>-80.163236699999999</v>
      </c>
      <c r="O410" s="536">
        <v>-2.1</v>
      </c>
      <c r="P410" s="536">
        <v>38.083752500000003</v>
      </c>
      <c r="Q410" s="128">
        <f>4712.08/$T$401</f>
        <v>1.5049097165311781E-2</v>
      </c>
      <c r="R410" s="2196"/>
      <c r="S410" s="24"/>
      <c r="T410" s="26"/>
      <c r="V410" s="24"/>
      <c r="W410" s="26"/>
      <c r="X410" s="26"/>
      <c r="Y410" s="41"/>
      <c r="Z410" s="41"/>
      <c r="AA410" s="41"/>
      <c r="AB410" s="846"/>
      <c r="AC410" s="26"/>
      <c r="AD410" s="24"/>
      <c r="AE410" s="26"/>
      <c r="AF410" s="106"/>
      <c r="AG410" s="37"/>
      <c r="AH410" s="957"/>
      <c r="AI410" s="1023"/>
      <c r="AJ410" s="1023"/>
      <c r="AK410" s="1023"/>
      <c r="AL410" s="1023"/>
      <c r="AM410" s="1023"/>
      <c r="AN410" s="1023"/>
      <c r="AO410" s="957"/>
      <c r="AP410" s="957"/>
      <c r="AQ410" s="957"/>
      <c r="AR410" s="957"/>
      <c r="AS410" s="957"/>
      <c r="AT410" s="957"/>
      <c r="AU410" s="957"/>
      <c r="AV410" s="957"/>
      <c r="AW410" s="957"/>
      <c r="AX410" s="957"/>
      <c r="AY410" s="957"/>
      <c r="AZ410" s="957"/>
      <c r="BA410" s="957"/>
      <c r="BB410" s="957"/>
      <c r="BC410" s="957"/>
      <c r="BD410" s="957"/>
      <c r="BE410" s="957"/>
      <c r="BF410" s="957"/>
      <c r="BG410" s="957"/>
    </row>
    <row r="411" spans="1:59">
      <c r="A411" s="2172"/>
      <c r="B411" s="2206"/>
      <c r="C411" s="2144"/>
      <c r="D411" s="348" t="s">
        <v>688</v>
      </c>
      <c r="E411" s="452">
        <v>30</v>
      </c>
      <c r="F411" s="148" t="s">
        <v>15</v>
      </c>
      <c r="G411" s="148" t="s">
        <v>15</v>
      </c>
      <c r="H411" s="367">
        <v>330.11869999999999</v>
      </c>
      <c r="I411" s="368">
        <v>34.570160000000001</v>
      </c>
      <c r="J411" s="234" t="s">
        <v>15</v>
      </c>
      <c r="K411" s="233" t="s">
        <v>15</v>
      </c>
      <c r="L411" s="234" t="s">
        <v>15</v>
      </c>
      <c r="M411" s="233" t="s">
        <v>15</v>
      </c>
      <c r="N411" s="537">
        <v>68.496987700000005</v>
      </c>
      <c r="O411" s="536">
        <v>1.73</v>
      </c>
      <c r="P411" s="536">
        <v>39.634667899999997</v>
      </c>
      <c r="Q411" s="128">
        <f>11160.28/$T$401</f>
        <v>3.5642887665762422E-2</v>
      </c>
      <c r="R411" s="2196"/>
      <c r="S411" s="24"/>
      <c r="T411" s="26"/>
      <c r="V411" s="24"/>
      <c r="W411" s="26"/>
      <c r="X411" s="26"/>
      <c r="Y411" s="41"/>
      <c r="Z411" s="41"/>
      <c r="AA411" s="41"/>
      <c r="AB411" s="846"/>
      <c r="AC411" s="26"/>
      <c r="AD411" s="24"/>
      <c r="AE411" s="26"/>
      <c r="AF411" s="106"/>
      <c r="AG411" s="37"/>
      <c r="AH411" s="957"/>
      <c r="AI411" s="1023"/>
      <c r="AJ411" s="1023"/>
      <c r="AK411" s="1023"/>
      <c r="AL411" s="1023"/>
      <c r="AM411" s="1023"/>
      <c r="AN411" s="1023"/>
      <c r="AO411" s="957"/>
      <c r="AP411" s="957"/>
      <c r="AQ411" s="957"/>
      <c r="AR411" s="957"/>
      <c r="AS411" s="957"/>
      <c r="AT411" s="957"/>
      <c r="AU411" s="957"/>
      <c r="AV411" s="957"/>
      <c r="AW411" s="957"/>
      <c r="AX411" s="957"/>
      <c r="AY411" s="957"/>
      <c r="AZ411" s="957"/>
      <c r="BA411" s="957"/>
      <c r="BB411" s="957"/>
      <c r="BC411" s="957"/>
      <c r="BD411" s="957"/>
      <c r="BE411" s="957"/>
      <c r="BF411" s="957"/>
      <c r="BG411" s="957"/>
    </row>
    <row r="412" spans="1:59">
      <c r="A412" s="2172"/>
      <c r="B412" s="2206"/>
      <c r="C412" s="2144"/>
      <c r="D412" s="348" t="s">
        <v>783</v>
      </c>
      <c r="E412" s="452">
        <v>22</v>
      </c>
      <c r="F412" s="148" t="s">
        <v>15</v>
      </c>
      <c r="G412" s="148" t="s">
        <v>15</v>
      </c>
      <c r="H412" s="367">
        <v>349.34140000000002</v>
      </c>
      <c r="I412" s="368">
        <v>108.1961</v>
      </c>
      <c r="J412" s="234" t="s">
        <v>15</v>
      </c>
      <c r="K412" s="233" t="s">
        <v>15</v>
      </c>
      <c r="L412" s="234" t="s">
        <v>15</v>
      </c>
      <c r="M412" s="233" t="s">
        <v>15</v>
      </c>
      <c r="N412" s="537">
        <v>-8.6967133000000008</v>
      </c>
      <c r="O412" s="536">
        <v>-0.2</v>
      </c>
      <c r="P412" s="536">
        <v>42.899241199999999</v>
      </c>
      <c r="Q412" s="128">
        <f>405.75/$T$401</f>
        <v>1.2958547339657338E-3</v>
      </c>
      <c r="R412" s="2196"/>
      <c r="S412" s="24"/>
      <c r="T412" s="26"/>
      <c r="V412" s="24"/>
      <c r="W412" s="26"/>
      <c r="X412" s="26"/>
      <c r="Y412" s="41"/>
      <c r="Z412" s="41"/>
      <c r="AA412" s="41"/>
      <c r="AB412" s="846"/>
      <c r="AC412" s="26"/>
      <c r="AD412" s="24"/>
      <c r="AE412" s="26"/>
      <c r="AF412" s="106"/>
      <c r="AG412" s="37"/>
      <c r="AH412" s="957"/>
      <c r="AI412" s="1023"/>
      <c r="AJ412" s="1023"/>
      <c r="AK412" s="1023"/>
      <c r="AL412" s="1023"/>
      <c r="AM412" s="1023"/>
      <c r="AN412" s="1023"/>
      <c r="AO412" s="957"/>
      <c r="AP412" s="957"/>
      <c r="AQ412" s="957"/>
      <c r="AR412" s="957"/>
      <c r="AS412" s="957"/>
      <c r="AT412" s="957"/>
      <c r="AU412" s="957"/>
      <c r="AV412" s="957"/>
      <c r="AW412" s="957"/>
      <c r="AX412" s="957"/>
      <c r="AY412" s="957"/>
      <c r="AZ412" s="957"/>
      <c r="BA412" s="957"/>
      <c r="BB412" s="957"/>
      <c r="BC412" s="957"/>
      <c r="BD412" s="957"/>
      <c r="BE412" s="957"/>
      <c r="BF412" s="957"/>
      <c r="BG412" s="957"/>
    </row>
    <row r="413" spans="1:59">
      <c r="A413" s="2172"/>
      <c r="B413" s="2206"/>
      <c r="C413" s="2144"/>
      <c r="D413" s="348" t="s">
        <v>793</v>
      </c>
      <c r="E413" s="452">
        <v>4</v>
      </c>
      <c r="F413" s="148" t="s">
        <v>15</v>
      </c>
      <c r="G413" s="148" t="s">
        <v>15</v>
      </c>
      <c r="H413" s="367">
        <v>274.91269999999997</v>
      </c>
      <c r="I413" s="368">
        <v>8.0248150000000003</v>
      </c>
      <c r="J413" s="234" t="s">
        <v>15</v>
      </c>
      <c r="K413" s="233" t="s">
        <v>15</v>
      </c>
      <c r="L413" s="234" t="s">
        <v>15</v>
      </c>
      <c r="M413" s="233" t="s">
        <v>15</v>
      </c>
      <c r="N413" s="537">
        <v>31.558350999999998</v>
      </c>
      <c r="O413" s="536">
        <v>0.83</v>
      </c>
      <c r="P413" s="536">
        <v>38.123529599999998</v>
      </c>
      <c r="Q413" s="128">
        <f>15368/$T$401</f>
        <v>4.9081196676735425E-2</v>
      </c>
      <c r="R413" s="2196"/>
      <c r="S413" s="24"/>
      <c r="T413" s="26"/>
      <c r="V413" s="24"/>
      <c r="W413" s="26"/>
      <c r="X413" s="26"/>
      <c r="Y413" s="41"/>
      <c r="Z413" s="41"/>
      <c r="AA413" s="41"/>
      <c r="AB413" s="846"/>
      <c r="AC413" s="26"/>
      <c r="AD413" s="24"/>
      <c r="AE413" s="26"/>
      <c r="AF413" s="106"/>
      <c r="AG413" s="37"/>
      <c r="AH413" s="957"/>
      <c r="AI413" s="1023"/>
      <c r="AJ413" s="1023"/>
      <c r="AK413" s="1023"/>
      <c r="AL413" s="1023"/>
      <c r="AM413" s="1023"/>
      <c r="AN413" s="1023"/>
      <c r="AO413" s="957"/>
      <c r="AP413" s="957"/>
      <c r="AQ413" s="957"/>
      <c r="AR413" s="957"/>
      <c r="AS413" s="957"/>
      <c r="AT413" s="957"/>
      <c r="AU413" s="957"/>
      <c r="AV413" s="957"/>
      <c r="AW413" s="957"/>
      <c r="AX413" s="957"/>
      <c r="AY413" s="957"/>
      <c r="AZ413" s="957"/>
      <c r="BA413" s="957"/>
      <c r="BB413" s="957"/>
      <c r="BC413" s="957"/>
      <c r="BD413" s="957"/>
      <c r="BE413" s="957"/>
      <c r="BF413" s="957"/>
      <c r="BG413" s="957"/>
    </row>
    <row r="414" spans="1:59">
      <c r="A414" s="2172"/>
      <c r="B414" s="2206"/>
      <c r="C414" s="2144"/>
      <c r="D414" s="348" t="s">
        <v>841</v>
      </c>
      <c r="E414" s="452">
        <v>5</v>
      </c>
      <c r="F414" s="148" t="s">
        <v>15</v>
      </c>
      <c r="G414" s="148" t="s">
        <v>15</v>
      </c>
      <c r="H414" s="367">
        <v>209.13460000000001</v>
      </c>
      <c r="I414" s="368">
        <v>12.52562</v>
      </c>
      <c r="J414" s="234" t="s">
        <v>15</v>
      </c>
      <c r="K414" s="233" t="s">
        <v>15</v>
      </c>
      <c r="L414" s="234" t="s">
        <v>15</v>
      </c>
      <c r="M414" s="233" t="s">
        <v>15</v>
      </c>
      <c r="N414" s="537">
        <v>-19.995748599999999</v>
      </c>
      <c r="O414" s="536">
        <v>-0.53</v>
      </c>
      <c r="P414" s="536">
        <v>37.964654099999997</v>
      </c>
      <c r="Q414" s="128">
        <f>12936/$T$401</f>
        <v>4.1314052590463918E-2</v>
      </c>
      <c r="R414" s="2196"/>
      <c r="S414" s="24"/>
      <c r="T414" s="26"/>
      <c r="V414" s="24"/>
      <c r="W414" s="26"/>
      <c r="X414" s="26"/>
      <c r="Y414" s="41"/>
      <c r="Z414" s="41"/>
      <c r="AA414" s="41"/>
      <c r="AB414" s="846"/>
      <c r="AC414" s="26"/>
      <c r="AD414" s="24"/>
      <c r="AE414" s="26"/>
      <c r="AF414" s="106"/>
      <c r="AG414" s="37"/>
      <c r="AH414" s="957"/>
      <c r="AI414" s="1023"/>
      <c r="AJ414" s="1023"/>
      <c r="AK414" s="1023"/>
      <c r="AL414" s="1023"/>
      <c r="AM414" s="1023"/>
      <c r="AN414" s="1023"/>
      <c r="AO414" s="957"/>
      <c r="AP414" s="957"/>
      <c r="AQ414" s="957"/>
      <c r="AR414" s="957"/>
      <c r="AS414" s="957"/>
      <c r="AT414" s="957"/>
      <c r="AU414" s="957"/>
      <c r="AV414" s="957"/>
      <c r="AW414" s="957"/>
      <c r="AX414" s="957"/>
      <c r="AY414" s="957"/>
      <c r="AZ414" s="957"/>
      <c r="BA414" s="957"/>
      <c r="BB414" s="957"/>
      <c r="BC414" s="957"/>
      <c r="BD414" s="957"/>
      <c r="BE414" s="957"/>
      <c r="BF414" s="957"/>
      <c r="BG414" s="957"/>
    </row>
    <row r="415" spans="1:59">
      <c r="A415" s="2172"/>
      <c r="B415" s="2206"/>
      <c r="C415" s="2144"/>
      <c r="D415" s="348" t="s">
        <v>784</v>
      </c>
      <c r="E415" s="452">
        <v>8</v>
      </c>
      <c r="F415" s="148" t="s">
        <v>15</v>
      </c>
      <c r="G415" s="148" t="s">
        <v>15</v>
      </c>
      <c r="H415" s="367">
        <v>312.17689999999999</v>
      </c>
      <c r="I415" s="368">
        <v>36.464149999999997</v>
      </c>
      <c r="J415" s="234" t="s">
        <v>15</v>
      </c>
      <c r="K415" s="233" t="s">
        <v>15</v>
      </c>
      <c r="L415" s="234" t="s">
        <v>15</v>
      </c>
      <c r="M415" s="233" t="s">
        <v>15</v>
      </c>
      <c r="N415" s="537">
        <v>54.399150400000003</v>
      </c>
      <c r="O415" s="536">
        <v>1.35</v>
      </c>
      <c r="P415" s="536">
        <v>40.217446700000004</v>
      </c>
      <c r="Q415" s="128">
        <f>811.59/$T$401</f>
        <v>2.5919969033622921E-3</v>
      </c>
      <c r="R415" s="2196"/>
      <c r="S415" s="24"/>
      <c r="T415" s="26"/>
      <c r="V415" s="24"/>
      <c r="W415" s="26"/>
      <c r="X415" s="26"/>
      <c r="Y415" s="41"/>
      <c r="Z415" s="41"/>
      <c r="AA415" s="41"/>
      <c r="AB415" s="846"/>
      <c r="AC415" s="26"/>
      <c r="AD415" s="24"/>
      <c r="AE415" s="26"/>
      <c r="AF415" s="106"/>
      <c r="AG415" s="37"/>
      <c r="AH415" s="957"/>
      <c r="AI415" s="1023"/>
      <c r="AJ415" s="1023"/>
      <c r="AK415" s="1023"/>
      <c r="AL415" s="1023"/>
      <c r="AM415" s="1023"/>
      <c r="AN415" s="1023"/>
      <c r="AO415" s="957"/>
      <c r="AP415" s="957"/>
      <c r="AQ415" s="957"/>
      <c r="AR415" s="957"/>
      <c r="AS415" s="957"/>
      <c r="AT415" s="957"/>
      <c r="AU415" s="957"/>
      <c r="AV415" s="957"/>
      <c r="AW415" s="957"/>
      <c r="AX415" s="957"/>
      <c r="AY415" s="957"/>
      <c r="AZ415" s="957"/>
      <c r="BA415" s="957"/>
      <c r="BB415" s="957"/>
      <c r="BC415" s="957"/>
      <c r="BD415" s="957"/>
      <c r="BE415" s="957"/>
      <c r="BF415" s="957"/>
      <c r="BG415" s="957"/>
    </row>
    <row r="416" spans="1:59">
      <c r="A416" s="2172"/>
      <c r="B416" s="2206"/>
      <c r="C416" s="2144"/>
      <c r="D416" s="348" t="s">
        <v>764</v>
      </c>
      <c r="E416" s="452">
        <v>38</v>
      </c>
      <c r="F416" s="148" t="s">
        <v>15</v>
      </c>
      <c r="G416" s="148" t="s">
        <v>15</v>
      </c>
      <c r="H416" s="367">
        <v>393.43779999999998</v>
      </c>
      <c r="I416" s="368">
        <v>59.547089999999997</v>
      </c>
      <c r="J416" s="234" t="s">
        <v>15</v>
      </c>
      <c r="K416" s="233" t="s">
        <v>15</v>
      </c>
      <c r="L416" s="234" t="s">
        <v>15</v>
      </c>
      <c r="M416" s="233" t="s">
        <v>15</v>
      </c>
      <c r="N416" s="537">
        <v>87.198523100000003</v>
      </c>
      <c r="O416" s="536">
        <v>2.2799999999999998</v>
      </c>
      <c r="P416" s="536">
        <v>38.1955417</v>
      </c>
      <c r="Q416" s="128">
        <f>17142.01/$T$401</f>
        <v>5.4746900328251261E-2</v>
      </c>
      <c r="R416" s="2196"/>
      <c r="S416" s="24"/>
      <c r="T416" s="26"/>
      <c r="V416" s="24"/>
      <c r="W416" s="26"/>
      <c r="X416" s="26"/>
      <c r="Y416" s="41"/>
      <c r="Z416" s="41"/>
      <c r="AA416" s="41"/>
      <c r="AB416" s="846"/>
      <c r="AC416" s="26"/>
      <c r="AD416" s="24"/>
      <c r="AE416" s="26"/>
      <c r="AF416" s="106"/>
      <c r="AG416" s="37"/>
      <c r="AH416" s="957"/>
      <c r="AI416" s="1023"/>
      <c r="AJ416" s="1023"/>
      <c r="AK416" s="1023"/>
      <c r="AL416" s="1023"/>
      <c r="AM416" s="1023"/>
      <c r="AN416" s="1023"/>
      <c r="AO416" s="957"/>
      <c r="AP416" s="957"/>
      <c r="AQ416" s="957"/>
      <c r="AR416" s="957"/>
      <c r="AS416" s="957"/>
      <c r="AT416" s="957"/>
      <c r="AU416" s="957"/>
      <c r="AV416" s="957"/>
      <c r="AW416" s="957"/>
      <c r="AX416" s="957"/>
      <c r="AY416" s="957"/>
      <c r="AZ416" s="957"/>
      <c r="BA416" s="957"/>
      <c r="BB416" s="957"/>
      <c r="BC416" s="957"/>
      <c r="BD416" s="957"/>
      <c r="BE416" s="957"/>
      <c r="BF416" s="957"/>
      <c r="BG416" s="957"/>
    </row>
    <row r="417" spans="1:59">
      <c r="A417" s="2172"/>
      <c r="B417" s="2206"/>
      <c r="C417" s="2144"/>
      <c r="D417" s="348" t="s">
        <v>842</v>
      </c>
      <c r="E417" s="452">
        <v>16</v>
      </c>
      <c r="F417" s="148" t="s">
        <v>15</v>
      </c>
      <c r="G417" s="148" t="s">
        <v>15</v>
      </c>
      <c r="H417" s="367">
        <v>257.05919999999998</v>
      </c>
      <c r="I417" s="368">
        <v>14.14649</v>
      </c>
      <c r="J417" s="234" t="s">
        <v>15</v>
      </c>
      <c r="K417" s="233" t="s">
        <v>15</v>
      </c>
      <c r="L417" s="234" t="s">
        <v>15</v>
      </c>
      <c r="M417" s="233" t="s">
        <v>15</v>
      </c>
      <c r="N417" s="537">
        <v>2.3027826999999998</v>
      </c>
      <c r="O417" s="536">
        <v>0.06</v>
      </c>
      <c r="P417" s="536">
        <v>37.751319199999998</v>
      </c>
      <c r="Q417" s="128">
        <f>10666.07/$T$401</f>
        <v>3.4064515840566592E-2</v>
      </c>
      <c r="R417" s="2196"/>
      <c r="S417" s="24"/>
      <c r="T417" s="26"/>
      <c r="V417" s="24"/>
      <c r="W417" s="26"/>
      <c r="X417" s="26"/>
      <c r="Y417" s="41"/>
      <c r="Z417" s="41"/>
      <c r="AA417" s="41"/>
      <c r="AB417" s="846"/>
      <c r="AC417" s="26"/>
      <c r="AD417" s="24"/>
      <c r="AE417" s="26"/>
      <c r="AF417" s="106"/>
      <c r="AG417" s="37"/>
      <c r="AH417" s="957"/>
      <c r="AI417" s="1023"/>
      <c r="AJ417" s="1023"/>
      <c r="AK417" s="1023"/>
      <c r="AL417" s="1023"/>
      <c r="AM417" s="1023"/>
      <c r="AN417" s="1023"/>
      <c r="AO417" s="957"/>
      <c r="AP417" s="957"/>
      <c r="AQ417" s="957"/>
      <c r="AR417" s="957"/>
      <c r="AS417" s="957"/>
      <c r="AT417" s="957"/>
      <c r="AU417" s="957"/>
      <c r="AV417" s="957"/>
      <c r="AW417" s="957"/>
      <c r="AX417" s="957"/>
      <c r="AY417" s="957"/>
      <c r="AZ417" s="957"/>
      <c r="BA417" s="957"/>
      <c r="BB417" s="957"/>
      <c r="BC417" s="957"/>
      <c r="BD417" s="957"/>
      <c r="BE417" s="957"/>
      <c r="BF417" s="957"/>
      <c r="BG417" s="957"/>
    </row>
    <row r="418" spans="1:59">
      <c r="A418" s="2172"/>
      <c r="B418" s="2206"/>
      <c r="C418" s="2144"/>
      <c r="D418" s="348" t="s">
        <v>765</v>
      </c>
      <c r="E418" s="452">
        <v>4</v>
      </c>
      <c r="F418" s="148" t="s">
        <v>15</v>
      </c>
      <c r="G418" s="148" t="s">
        <v>15</v>
      </c>
      <c r="H418" s="367">
        <v>253.77770000000001</v>
      </c>
      <c r="I418" s="368">
        <v>3.206982</v>
      </c>
      <c r="J418" s="234" t="s">
        <v>15</v>
      </c>
      <c r="K418" s="233" t="s">
        <v>15</v>
      </c>
      <c r="L418" s="234" t="s">
        <v>15</v>
      </c>
      <c r="M418" s="233" t="s">
        <v>15</v>
      </c>
      <c r="N418" s="537">
        <v>-62.57996</v>
      </c>
      <c r="O418" s="536">
        <v>-1.6</v>
      </c>
      <c r="P418" s="536">
        <v>39.094425700000002</v>
      </c>
      <c r="Q418" s="128">
        <f>1105/$T$401</f>
        <v>3.5290683451192507E-3</v>
      </c>
      <c r="R418" s="2196"/>
      <c r="S418" s="24"/>
      <c r="T418" s="26"/>
      <c r="V418" s="24"/>
      <c r="W418" s="26"/>
      <c r="X418" s="26"/>
      <c r="Y418" s="41"/>
      <c r="Z418" s="41"/>
      <c r="AA418" s="41"/>
      <c r="AB418" s="846"/>
      <c r="AC418" s="26"/>
      <c r="AD418" s="24"/>
      <c r="AE418" s="26"/>
      <c r="AF418" s="106"/>
      <c r="AG418" s="37"/>
      <c r="AH418" s="957"/>
      <c r="AI418" s="1023"/>
      <c r="AJ418" s="1023"/>
      <c r="AK418" s="1023"/>
      <c r="AL418" s="1023"/>
      <c r="AM418" s="1023"/>
      <c r="AN418" s="1023"/>
      <c r="AO418" s="957"/>
      <c r="AP418" s="957"/>
      <c r="AQ418" s="957"/>
      <c r="AR418" s="957"/>
      <c r="AS418" s="957"/>
      <c r="AT418" s="957"/>
      <c r="AU418" s="957"/>
      <c r="AV418" s="957"/>
      <c r="AW418" s="957"/>
      <c r="AX418" s="957"/>
      <c r="AY418" s="957"/>
      <c r="AZ418" s="957"/>
      <c r="BA418" s="957"/>
      <c r="BB418" s="957"/>
      <c r="BC418" s="957"/>
      <c r="BD418" s="957"/>
      <c r="BE418" s="957"/>
      <c r="BF418" s="957"/>
      <c r="BG418" s="957"/>
    </row>
    <row r="419" spans="1:59">
      <c r="A419" s="2172"/>
      <c r="B419" s="2206"/>
      <c r="C419" s="2144"/>
      <c r="D419" s="348" t="s">
        <v>766</v>
      </c>
      <c r="E419" s="452">
        <v>8</v>
      </c>
      <c r="F419" s="148" t="s">
        <v>15</v>
      </c>
      <c r="G419" s="148" t="s">
        <v>15</v>
      </c>
      <c r="H419" s="367">
        <v>431.21940000000001</v>
      </c>
      <c r="I419" s="368">
        <v>137.08539999999999</v>
      </c>
      <c r="J419" s="234" t="s">
        <v>15</v>
      </c>
      <c r="K419" s="233" t="s">
        <v>15</v>
      </c>
      <c r="L419" s="234" t="s">
        <v>15</v>
      </c>
      <c r="M419" s="233" t="s">
        <v>15</v>
      </c>
      <c r="N419" s="537">
        <v>148.06029899999999</v>
      </c>
      <c r="O419" s="536">
        <v>1.82</v>
      </c>
      <c r="P419" s="536">
        <v>81.452615800000004</v>
      </c>
      <c r="Q419" s="128">
        <f>27.39/$T$401</f>
        <v>8.747618278082921E-5</v>
      </c>
      <c r="R419" s="2196"/>
      <c r="S419" s="24"/>
      <c r="T419" s="26"/>
      <c r="V419" s="24"/>
      <c r="W419" s="26"/>
      <c r="X419" s="26"/>
      <c r="Y419" s="41"/>
      <c r="Z419" s="41"/>
      <c r="AA419" s="41"/>
      <c r="AB419" s="846"/>
      <c r="AC419" s="26"/>
      <c r="AD419" s="24"/>
      <c r="AE419" s="26"/>
      <c r="AF419" s="106"/>
      <c r="AG419" s="37"/>
      <c r="AH419" s="957"/>
      <c r="AI419" s="1023"/>
      <c r="AJ419" s="1023"/>
      <c r="AK419" s="1023"/>
      <c r="AL419" s="1023"/>
      <c r="AM419" s="1023"/>
      <c r="AN419" s="1023"/>
      <c r="AO419" s="957"/>
      <c r="AP419" s="957"/>
      <c r="AQ419" s="957"/>
      <c r="AR419" s="957"/>
      <c r="AS419" s="957"/>
      <c r="AT419" s="957"/>
      <c r="AU419" s="957"/>
      <c r="AV419" s="957"/>
      <c r="AW419" s="957"/>
      <c r="AX419" s="957"/>
      <c r="AY419" s="957"/>
      <c r="AZ419" s="957"/>
      <c r="BA419" s="957"/>
      <c r="BB419" s="957"/>
      <c r="BC419" s="957"/>
      <c r="BD419" s="957"/>
      <c r="BE419" s="957"/>
      <c r="BF419" s="957"/>
      <c r="BG419" s="957"/>
    </row>
    <row r="420" spans="1:59">
      <c r="A420" s="2172"/>
      <c r="B420" s="2206"/>
      <c r="C420" s="2144"/>
      <c r="D420" s="348" t="s">
        <v>806</v>
      </c>
      <c r="E420" s="452">
        <v>6</v>
      </c>
      <c r="F420" s="148" t="s">
        <v>15</v>
      </c>
      <c r="G420" s="148" t="s">
        <v>15</v>
      </c>
      <c r="H420" s="367">
        <v>259.56299999999999</v>
      </c>
      <c r="I420" s="368">
        <v>15.32207</v>
      </c>
      <c r="J420" s="234" t="s">
        <v>15</v>
      </c>
      <c r="K420" s="233" t="s">
        <v>15</v>
      </c>
      <c r="L420" s="234" t="s">
        <v>15</v>
      </c>
      <c r="M420" s="233" t="s">
        <v>15</v>
      </c>
      <c r="N420" s="537">
        <v>6.2609852999999998</v>
      </c>
      <c r="O420" s="536">
        <v>7.0000000000000007E-2</v>
      </c>
      <c r="P420" s="536">
        <v>90.496840300000002</v>
      </c>
      <c r="Q420" s="128">
        <f>20.46/$T$401</f>
        <v>6.5343654607366401E-5</v>
      </c>
      <c r="R420" s="2196"/>
      <c r="S420" s="24"/>
      <c r="T420" s="26"/>
      <c r="V420" s="24"/>
      <c r="W420" s="26"/>
      <c r="X420" s="26"/>
      <c r="Y420" s="41"/>
      <c r="Z420" s="41"/>
      <c r="AA420" s="41"/>
      <c r="AB420" s="846"/>
      <c r="AC420" s="26"/>
      <c r="AD420" s="24"/>
      <c r="AE420" s="26"/>
      <c r="AF420" s="106"/>
      <c r="AG420" s="37"/>
      <c r="AH420" s="957"/>
      <c r="AI420" s="1023"/>
      <c r="AJ420" s="1023"/>
      <c r="AK420" s="1023"/>
      <c r="AL420" s="1023"/>
      <c r="AM420" s="1023"/>
      <c r="AN420" s="1023"/>
      <c r="AO420" s="957"/>
      <c r="AP420" s="957"/>
      <c r="AQ420" s="957"/>
      <c r="AR420" s="957"/>
      <c r="AS420" s="957"/>
      <c r="AT420" s="957"/>
      <c r="AU420" s="957"/>
      <c r="AV420" s="957"/>
      <c r="AW420" s="957"/>
      <c r="AX420" s="957"/>
      <c r="AY420" s="957"/>
      <c r="AZ420" s="957"/>
      <c r="BA420" s="957"/>
      <c r="BB420" s="957"/>
      <c r="BC420" s="957"/>
      <c r="BD420" s="957"/>
      <c r="BE420" s="957"/>
      <c r="BF420" s="957"/>
      <c r="BG420" s="957"/>
    </row>
    <row r="421" spans="1:59">
      <c r="A421" s="2172"/>
      <c r="B421" s="2206"/>
      <c r="C421" s="2144"/>
      <c r="D421" s="348" t="s">
        <v>767</v>
      </c>
      <c r="E421" s="452">
        <v>24</v>
      </c>
      <c r="F421" s="148" t="s">
        <v>15</v>
      </c>
      <c r="G421" s="148" t="s">
        <v>15</v>
      </c>
      <c r="H421" s="367">
        <v>278.51850000000002</v>
      </c>
      <c r="I421" s="368">
        <v>31.693010000000001</v>
      </c>
      <c r="J421" s="234" t="s">
        <v>15</v>
      </c>
      <c r="K421" s="233" t="s">
        <v>15</v>
      </c>
      <c r="L421" s="234" t="s">
        <v>15</v>
      </c>
      <c r="M421" s="233" t="s">
        <v>15</v>
      </c>
      <c r="N421" s="537">
        <v>21.6308316</v>
      </c>
      <c r="O421" s="536">
        <v>0.56999999999999995</v>
      </c>
      <c r="P421" s="536">
        <v>37.965961200000002</v>
      </c>
      <c r="Q421" s="128">
        <f>85581.24/$T$401</f>
        <v>0.27332311766520673</v>
      </c>
      <c r="R421" s="2196"/>
      <c r="S421" s="24"/>
      <c r="T421" s="26"/>
      <c r="V421" s="24"/>
      <c r="W421" s="26"/>
      <c r="X421" s="26"/>
      <c r="Y421" s="41"/>
      <c r="Z421" s="41"/>
      <c r="AA421" s="41"/>
      <c r="AB421" s="846"/>
      <c r="AC421" s="26"/>
      <c r="AD421" s="24"/>
      <c r="AE421" s="26"/>
      <c r="AF421" s="106"/>
      <c r="AG421" s="37"/>
      <c r="AH421" s="957"/>
      <c r="AI421" s="1023"/>
      <c r="AJ421" s="1023"/>
      <c r="AK421" s="1023"/>
      <c r="AL421" s="1023"/>
      <c r="AM421" s="1023"/>
      <c r="AN421" s="1023"/>
      <c r="AO421" s="957"/>
      <c r="AP421" s="957"/>
      <c r="AQ421" s="957"/>
      <c r="AR421" s="957"/>
      <c r="AS421" s="957"/>
      <c r="AT421" s="957"/>
      <c r="AU421" s="957"/>
      <c r="AV421" s="957"/>
      <c r="AW421" s="957"/>
      <c r="AX421" s="957"/>
      <c r="AY421" s="957"/>
      <c r="AZ421" s="957"/>
      <c r="BA421" s="957"/>
      <c r="BB421" s="957"/>
      <c r="BC421" s="957"/>
      <c r="BD421" s="957"/>
      <c r="BE421" s="957"/>
      <c r="BF421" s="957"/>
      <c r="BG421" s="957"/>
    </row>
    <row r="422" spans="1:59">
      <c r="A422" s="2172"/>
      <c r="B422" s="2206"/>
      <c r="C422" s="2144"/>
      <c r="D422" s="348" t="s">
        <v>768</v>
      </c>
      <c r="E422" s="452">
        <v>10</v>
      </c>
      <c r="F422" s="148" t="s">
        <v>15</v>
      </c>
      <c r="G422" s="148" t="s">
        <v>15</v>
      </c>
      <c r="H422" s="367">
        <v>217.6816</v>
      </c>
      <c r="I422" s="368">
        <v>11.883279999999999</v>
      </c>
      <c r="J422" s="234" t="s">
        <v>15</v>
      </c>
      <c r="K422" s="233" t="s">
        <v>15</v>
      </c>
      <c r="L422" s="234" t="s">
        <v>15</v>
      </c>
      <c r="M422" s="233" t="s">
        <v>15</v>
      </c>
      <c r="N422" s="537">
        <v>-43.563574799999998</v>
      </c>
      <c r="O422" s="536">
        <v>-1.18</v>
      </c>
      <c r="P422" s="536">
        <v>37.008277499999998</v>
      </c>
      <c r="Q422" s="128">
        <f>17696.4/$T$401</f>
        <v>5.6517470644858202E-2</v>
      </c>
      <c r="R422" s="2196"/>
      <c r="S422" s="24"/>
      <c r="T422" s="26"/>
      <c r="V422" s="24"/>
      <c r="W422" s="26"/>
      <c r="X422" s="26"/>
      <c r="Y422" s="41"/>
      <c r="Z422" s="41"/>
      <c r="AA422" s="41"/>
      <c r="AB422" s="846"/>
      <c r="AC422" s="26"/>
      <c r="AD422" s="24"/>
      <c r="AE422" s="26"/>
      <c r="AF422" s="106"/>
      <c r="AG422" s="37"/>
      <c r="AH422" s="957"/>
      <c r="AI422" s="1023"/>
      <c r="AJ422" s="1023"/>
      <c r="AK422" s="1023"/>
      <c r="AL422" s="1023"/>
      <c r="AM422" s="1023"/>
      <c r="AN422" s="1023"/>
      <c r="AO422" s="957"/>
      <c r="AP422" s="957"/>
      <c r="AQ422" s="957"/>
      <c r="AR422" s="957"/>
      <c r="AS422" s="957"/>
      <c r="AT422" s="957"/>
      <c r="AU422" s="957"/>
      <c r="AV422" s="957"/>
      <c r="AW422" s="957"/>
      <c r="AX422" s="957"/>
      <c r="AY422" s="957"/>
      <c r="AZ422" s="957"/>
      <c r="BA422" s="957"/>
      <c r="BB422" s="957"/>
      <c r="BC422" s="957"/>
      <c r="BD422" s="957"/>
      <c r="BE422" s="957"/>
      <c r="BF422" s="957"/>
      <c r="BG422" s="957"/>
    </row>
    <row r="423" spans="1:59">
      <c r="A423" s="2172"/>
      <c r="B423" s="2206"/>
      <c r="C423" s="2144"/>
      <c r="D423" s="348" t="s">
        <v>795</v>
      </c>
      <c r="E423" s="452">
        <v>6</v>
      </c>
      <c r="F423" s="148" t="s">
        <v>15</v>
      </c>
      <c r="G423" s="148" t="s">
        <v>15</v>
      </c>
      <c r="H423" s="367">
        <v>281.20729999999998</v>
      </c>
      <c r="I423" s="368">
        <v>29.906690000000001</v>
      </c>
      <c r="J423" s="234" t="s">
        <v>15</v>
      </c>
      <c r="K423" s="233" t="s">
        <v>15</v>
      </c>
      <c r="L423" s="234" t="s">
        <v>15</v>
      </c>
      <c r="M423" s="233" t="s">
        <v>15</v>
      </c>
      <c r="N423" s="537">
        <v>0</v>
      </c>
      <c r="O423" s="536" t="s">
        <v>574</v>
      </c>
      <c r="P423" s="536" t="s">
        <v>574</v>
      </c>
      <c r="Q423" s="128">
        <f>103.53/$T$401</f>
        <v>3.3064655725809593E-4</v>
      </c>
      <c r="R423" s="2155"/>
      <c r="S423" s="24"/>
      <c r="T423" s="26"/>
      <c r="V423" s="24"/>
      <c r="W423" s="26"/>
      <c r="X423" s="26"/>
      <c r="Y423" s="41"/>
      <c r="Z423" s="41"/>
      <c r="AA423" s="41"/>
      <c r="AB423" s="846"/>
      <c r="AC423" s="26"/>
      <c r="AD423" s="24"/>
      <c r="AE423" s="26"/>
      <c r="AF423" s="106"/>
      <c r="AG423" s="37"/>
      <c r="AH423" s="957"/>
      <c r="AI423" s="1023"/>
      <c r="AJ423" s="1023"/>
      <c r="AK423" s="1023"/>
      <c r="AL423" s="1023"/>
      <c r="AM423" s="1023"/>
      <c r="AN423" s="1023"/>
      <c r="AO423" s="957"/>
      <c r="AP423" s="957"/>
      <c r="AQ423" s="957"/>
      <c r="AR423" s="957"/>
      <c r="AS423" s="957"/>
      <c r="AT423" s="957"/>
      <c r="AU423" s="957"/>
      <c r="AV423" s="957"/>
      <c r="AW423" s="957"/>
      <c r="AX423" s="957"/>
      <c r="AY423" s="957"/>
      <c r="AZ423" s="957"/>
      <c r="BA423" s="957"/>
      <c r="BB423" s="957"/>
      <c r="BC423" s="957"/>
      <c r="BD423" s="957"/>
      <c r="BE423" s="957"/>
      <c r="BF423" s="957"/>
      <c r="BG423" s="957"/>
    </row>
    <row r="424" spans="1:59">
      <c r="A424" s="2172"/>
      <c r="B424" s="2207" t="s">
        <v>796</v>
      </c>
      <c r="C424" s="2179" t="s">
        <v>13</v>
      </c>
      <c r="D424" s="348" t="s">
        <v>797</v>
      </c>
      <c r="E424" s="452">
        <v>223</v>
      </c>
      <c r="F424" s="148" t="s">
        <v>15</v>
      </c>
      <c r="G424" s="148" t="s">
        <v>15</v>
      </c>
      <c r="H424" s="367">
        <v>261.08449999999999</v>
      </c>
      <c r="I424" s="368">
        <v>37.499200000000002</v>
      </c>
      <c r="J424" s="234" t="s">
        <v>15</v>
      </c>
      <c r="K424" s="233" t="s">
        <v>15</v>
      </c>
      <c r="L424" s="234" t="s">
        <v>15</v>
      </c>
      <c r="M424" s="233" t="s">
        <v>15</v>
      </c>
      <c r="N424" s="537">
        <v>0</v>
      </c>
      <c r="O424" s="536" t="s">
        <v>574</v>
      </c>
      <c r="P424" s="536" t="s">
        <v>574</v>
      </c>
      <c r="Q424" s="128">
        <f>280765.6/$T$401</f>
        <v>0.89668867996236512</v>
      </c>
      <c r="R424" s="2129">
        <f>SUMPRODUCT(N424:N425,Q424:Q425)</f>
        <v>6.7167411725217709</v>
      </c>
      <c r="S424" s="24"/>
      <c r="T424" s="26"/>
      <c r="V424" s="24"/>
      <c r="W424" s="26"/>
      <c r="X424" s="26"/>
      <c r="Y424" s="41"/>
      <c r="Z424" s="41"/>
      <c r="AA424" s="41"/>
      <c r="AB424" s="846"/>
      <c r="AC424" s="26"/>
      <c r="AD424" s="24"/>
      <c r="AE424" s="26"/>
      <c r="AF424" s="106"/>
      <c r="AG424" s="37"/>
      <c r="AH424" s="957"/>
      <c r="AI424" s="1023"/>
      <c r="AJ424" s="1023"/>
      <c r="AK424" s="1023"/>
      <c r="AL424" s="1023"/>
      <c r="AM424" s="1023"/>
      <c r="AN424" s="1023"/>
      <c r="AO424" s="957"/>
      <c r="AP424" s="957"/>
      <c r="AQ424" s="957"/>
      <c r="AR424" s="957"/>
      <c r="AS424" s="957"/>
      <c r="AT424" s="957"/>
      <c r="AU424" s="957"/>
      <c r="AV424" s="957"/>
      <c r="AW424" s="957"/>
      <c r="AX424" s="957"/>
      <c r="AY424" s="957"/>
      <c r="AZ424" s="957"/>
      <c r="BA424" s="957"/>
      <c r="BB424" s="957"/>
      <c r="BC424" s="957"/>
      <c r="BD424" s="957"/>
      <c r="BE424" s="957"/>
      <c r="BF424" s="957"/>
      <c r="BG424" s="957"/>
    </row>
    <row r="425" spans="1:59">
      <c r="A425" s="2172"/>
      <c r="B425" s="2209"/>
      <c r="C425" s="2180"/>
      <c r="D425" s="348" t="s">
        <v>798</v>
      </c>
      <c r="E425" s="452">
        <v>106</v>
      </c>
      <c r="F425" s="148" t="s">
        <v>15</v>
      </c>
      <c r="G425" s="148" t="s">
        <v>15</v>
      </c>
      <c r="H425" s="367">
        <v>360.04469999999998</v>
      </c>
      <c r="I425" s="368">
        <v>86.494879999999995</v>
      </c>
      <c r="J425" s="234" t="s">
        <v>15</v>
      </c>
      <c r="K425" s="233" t="s">
        <v>15</v>
      </c>
      <c r="L425" s="234" t="s">
        <v>15</v>
      </c>
      <c r="M425" s="233" t="s">
        <v>15</v>
      </c>
      <c r="N425" s="537">
        <v>65.014591300000006</v>
      </c>
      <c r="O425" s="536">
        <v>14.76</v>
      </c>
      <c r="P425" s="536">
        <v>4.4046873</v>
      </c>
      <c r="Q425" s="128">
        <f>32348.19/$T$401</f>
        <v>0.10331128810036479</v>
      </c>
      <c r="R425" s="2129"/>
      <c r="S425" s="24"/>
      <c r="T425" s="26"/>
      <c r="V425" s="24"/>
      <c r="W425" s="26"/>
      <c r="X425" s="26"/>
      <c r="Y425" s="41"/>
      <c r="Z425" s="41"/>
      <c r="AA425" s="41"/>
      <c r="AB425" s="846"/>
      <c r="AC425" s="26"/>
      <c r="AD425" s="24"/>
      <c r="AE425" s="26"/>
      <c r="AF425" s="106"/>
      <c r="AG425" s="37"/>
      <c r="AH425" s="957"/>
      <c r="AI425" s="1023"/>
      <c r="AJ425" s="1023"/>
      <c r="AK425" s="1023"/>
      <c r="AL425" s="1023"/>
      <c r="AM425" s="1023"/>
      <c r="AN425" s="1023"/>
      <c r="AO425" s="957"/>
      <c r="AP425" s="957"/>
      <c r="AQ425" s="957"/>
      <c r="AR425" s="957"/>
      <c r="AS425" s="957"/>
      <c r="AT425" s="957"/>
      <c r="AU425" s="957"/>
      <c r="AV425" s="957"/>
      <c r="AW425" s="957"/>
      <c r="AX425" s="957"/>
      <c r="AY425" s="957"/>
      <c r="AZ425" s="957"/>
      <c r="BA425" s="957"/>
      <c r="BB425" s="957"/>
      <c r="BC425" s="957"/>
      <c r="BD425" s="957"/>
      <c r="BE425" s="957"/>
      <c r="BF425" s="957"/>
      <c r="BG425" s="957"/>
    </row>
    <row r="426" spans="1:59">
      <c r="A426" s="2172"/>
      <c r="B426" s="2207" t="s">
        <v>799</v>
      </c>
      <c r="C426" s="2205" t="s">
        <v>11</v>
      </c>
      <c r="D426" s="338" t="s">
        <v>33</v>
      </c>
      <c r="E426" s="452">
        <v>40</v>
      </c>
      <c r="F426" s="148" t="s">
        <v>15</v>
      </c>
      <c r="G426" s="148" t="s">
        <v>15</v>
      </c>
      <c r="H426" s="367">
        <v>312.01499999999999</v>
      </c>
      <c r="I426" s="368">
        <v>31.802569999999999</v>
      </c>
      <c r="J426" s="234" t="s">
        <v>15</v>
      </c>
      <c r="K426" s="233" t="s">
        <v>15</v>
      </c>
      <c r="L426" s="234" t="s">
        <v>15</v>
      </c>
      <c r="M426" s="233" t="s">
        <v>15</v>
      </c>
      <c r="N426" s="537">
        <v>17.5032751</v>
      </c>
      <c r="O426" s="536">
        <v>1.64</v>
      </c>
      <c r="P426" s="536">
        <v>10.680653</v>
      </c>
      <c r="Q426" s="128">
        <f>7795.34/$T$401</f>
        <v>2.4896187903567332E-2</v>
      </c>
      <c r="R426" s="2129">
        <f>SUMPRODUCT(N426:N427,Q426:Q427)</f>
        <v>0.43576482581743126</v>
      </c>
      <c r="S426" s="24"/>
      <c r="T426" s="26"/>
      <c r="V426" s="24"/>
      <c r="W426" s="26"/>
      <c r="X426" s="26"/>
      <c r="Y426" s="41"/>
      <c r="Z426" s="41"/>
      <c r="AA426" s="41"/>
      <c r="AB426" s="846"/>
      <c r="AC426" s="26"/>
      <c r="AD426" s="24"/>
      <c r="AE426" s="26"/>
      <c r="AF426" s="106"/>
      <c r="AG426" s="37"/>
      <c r="AH426" s="957"/>
      <c r="AI426" s="1023"/>
      <c r="AJ426" s="1023"/>
      <c r="AK426" s="1023"/>
      <c r="AL426" s="1023"/>
      <c r="AM426" s="1023"/>
      <c r="AN426" s="1023"/>
      <c r="AO426" s="957"/>
      <c r="AP426" s="957"/>
      <c r="AQ426" s="957"/>
      <c r="AR426" s="957"/>
      <c r="AS426" s="957"/>
      <c r="AT426" s="957"/>
      <c r="AU426" s="957"/>
      <c r="AV426" s="957"/>
      <c r="AW426" s="957"/>
      <c r="AX426" s="957"/>
      <c r="AY426" s="957"/>
      <c r="AZ426" s="957"/>
      <c r="BA426" s="957"/>
      <c r="BB426" s="957"/>
      <c r="BC426" s="957"/>
      <c r="BD426" s="957"/>
      <c r="BE426" s="957"/>
      <c r="BF426" s="957"/>
      <c r="BG426" s="957"/>
    </row>
    <row r="427" spans="1:59">
      <c r="A427" s="2172"/>
      <c r="B427" s="2209"/>
      <c r="C427" s="2205"/>
      <c r="D427" s="338" t="s">
        <v>32</v>
      </c>
      <c r="E427" s="452">
        <v>289</v>
      </c>
      <c r="F427" s="148" t="s">
        <v>15</v>
      </c>
      <c r="G427" s="148" t="s">
        <v>15</v>
      </c>
      <c r="H427" s="367">
        <v>270.2688</v>
      </c>
      <c r="I427" s="368">
        <v>54.285550000000001</v>
      </c>
      <c r="J427" s="234" t="s">
        <v>15</v>
      </c>
      <c r="K427" s="233" t="s">
        <v>15</v>
      </c>
      <c r="L427" s="234" t="s">
        <v>15</v>
      </c>
      <c r="M427" s="233" t="s">
        <v>15</v>
      </c>
      <c r="N427" s="537">
        <v>0</v>
      </c>
      <c r="O427" s="536" t="s">
        <v>574</v>
      </c>
      <c r="P427" s="536" t="s">
        <v>574</v>
      </c>
      <c r="Q427" s="128">
        <f>305318.4/$T$401</f>
        <v>0.97510362047281218</v>
      </c>
      <c r="R427" s="2129"/>
      <c r="S427" s="24"/>
      <c r="T427" s="26"/>
      <c r="V427" s="24"/>
      <c r="W427" s="26"/>
      <c r="X427" s="26"/>
      <c r="Y427" s="41"/>
      <c r="Z427" s="41"/>
      <c r="AA427" s="41"/>
      <c r="AB427" s="846"/>
      <c r="AC427" s="26"/>
      <c r="AD427" s="24"/>
      <c r="AE427" s="26"/>
      <c r="AF427" s="106"/>
      <c r="AG427" s="37"/>
      <c r="AH427" s="957"/>
      <c r="AI427" s="1023"/>
      <c r="AJ427" s="1023"/>
      <c r="AK427" s="1023"/>
      <c r="AL427" s="1023"/>
      <c r="AM427" s="1023"/>
      <c r="AN427" s="1023"/>
      <c r="AO427" s="957"/>
      <c r="AP427" s="957"/>
      <c r="AQ427" s="957"/>
      <c r="AR427" s="957"/>
      <c r="AS427" s="957"/>
      <c r="AT427" s="957"/>
      <c r="AU427" s="957"/>
      <c r="AV427" s="957"/>
      <c r="AW427" s="957"/>
      <c r="AX427" s="957"/>
      <c r="AY427" s="957"/>
      <c r="AZ427" s="957"/>
      <c r="BA427" s="957"/>
      <c r="BB427" s="957"/>
      <c r="BC427" s="957"/>
      <c r="BD427" s="957"/>
      <c r="BE427" s="957"/>
      <c r="BF427" s="957"/>
      <c r="BG427" s="957"/>
    </row>
    <row r="428" spans="1:59">
      <c r="A428" s="2172"/>
      <c r="B428" s="2207" t="s">
        <v>800</v>
      </c>
      <c r="C428" s="2205" t="s">
        <v>11</v>
      </c>
      <c r="D428" s="338" t="s">
        <v>33</v>
      </c>
      <c r="E428" s="452">
        <v>180</v>
      </c>
      <c r="F428" s="148" t="s">
        <v>15</v>
      </c>
      <c r="G428" s="148" t="s">
        <v>15</v>
      </c>
      <c r="H428" s="367">
        <v>277.06560000000002</v>
      </c>
      <c r="I428" s="368">
        <v>56.308610000000002</v>
      </c>
      <c r="J428" s="234" t="s">
        <v>15</v>
      </c>
      <c r="K428" s="233" t="s">
        <v>15</v>
      </c>
      <c r="L428" s="234" t="s">
        <v>15</v>
      </c>
      <c r="M428" s="233" t="s">
        <v>15</v>
      </c>
      <c r="N428" s="537">
        <v>-22.408501399999999</v>
      </c>
      <c r="O428" s="536">
        <v>-2.67</v>
      </c>
      <c r="P428" s="536">
        <v>8.4038388000000008</v>
      </c>
      <c r="Q428" s="128">
        <f>224744.7/$T$401</f>
        <v>0.71777321855504295</v>
      </c>
      <c r="R428" s="2129">
        <f>SUMPRODUCT(N428:N429,Q428:Q429)</f>
        <v>-16.084222172873186</v>
      </c>
      <c r="S428" s="24"/>
      <c r="T428" s="26"/>
      <c r="V428" s="24"/>
      <c r="W428" s="26"/>
      <c r="X428" s="26"/>
      <c r="Y428" s="41"/>
      <c r="Z428" s="41"/>
      <c r="AA428" s="41"/>
      <c r="AB428" s="846"/>
      <c r="AC428" s="26"/>
      <c r="AD428" s="24"/>
      <c r="AE428" s="26"/>
      <c r="AF428" s="106"/>
      <c r="AG428" s="37"/>
      <c r="AH428" s="957"/>
      <c r="AI428" s="1023"/>
      <c r="AJ428" s="1023"/>
      <c r="AK428" s="1023"/>
      <c r="AL428" s="1023"/>
      <c r="AM428" s="1023"/>
      <c r="AN428" s="1023"/>
      <c r="AO428" s="957"/>
      <c r="AP428" s="957"/>
      <c r="AQ428" s="957"/>
      <c r="AR428" s="957"/>
      <c r="AS428" s="957"/>
      <c r="AT428" s="957"/>
      <c r="AU428" s="957"/>
      <c r="AV428" s="957"/>
      <c r="AW428" s="957"/>
      <c r="AX428" s="957"/>
      <c r="AY428" s="957"/>
      <c r="AZ428" s="957"/>
      <c r="BA428" s="957"/>
      <c r="BB428" s="957"/>
      <c r="BC428" s="957"/>
      <c r="BD428" s="957"/>
      <c r="BE428" s="957"/>
      <c r="BF428" s="957"/>
      <c r="BG428" s="957"/>
    </row>
    <row r="429" spans="1:59">
      <c r="A429" s="2172"/>
      <c r="B429" s="2209"/>
      <c r="C429" s="2205"/>
      <c r="D429" s="338" t="s">
        <v>32</v>
      </c>
      <c r="E429" s="452">
        <v>149</v>
      </c>
      <c r="F429" s="148" t="s">
        <v>15</v>
      </c>
      <c r="G429" s="148" t="s">
        <v>15</v>
      </c>
      <c r="H429" s="367">
        <v>256.66570000000002</v>
      </c>
      <c r="I429" s="368">
        <v>45.369160000000001</v>
      </c>
      <c r="J429" s="234" t="s">
        <v>15</v>
      </c>
      <c r="K429" s="233" t="s">
        <v>15</v>
      </c>
      <c r="L429" s="234" t="s">
        <v>15</v>
      </c>
      <c r="M429" s="233" t="s">
        <v>15</v>
      </c>
      <c r="N429" s="537">
        <v>0</v>
      </c>
      <c r="O429" s="536" t="s">
        <v>574</v>
      </c>
      <c r="P429" s="536" t="s">
        <v>574</v>
      </c>
      <c r="Q429" s="128">
        <f>88369.09/$T$401</f>
        <v>0.282226749507687</v>
      </c>
      <c r="R429" s="2129"/>
      <c r="S429" s="24"/>
      <c r="T429" s="26"/>
      <c r="V429" s="24"/>
      <c r="W429" s="26"/>
      <c r="X429" s="26"/>
      <c r="Y429" s="41"/>
      <c r="Z429" s="41"/>
      <c r="AA429" s="41"/>
      <c r="AB429" s="846"/>
      <c r="AC429" s="26"/>
      <c r="AD429" s="24"/>
      <c r="AE429" s="26"/>
      <c r="AF429" s="106"/>
      <c r="AG429" s="37"/>
      <c r="AH429" s="957"/>
      <c r="AI429" s="1023"/>
      <c r="AJ429" s="1023"/>
      <c r="AK429" s="1023"/>
      <c r="AL429" s="1023"/>
      <c r="AM429" s="1023"/>
      <c r="AN429" s="1023"/>
      <c r="AO429" s="957"/>
      <c r="AP429" s="957"/>
      <c r="AQ429" s="957"/>
      <c r="AR429" s="957"/>
      <c r="AS429" s="957"/>
      <c r="AT429" s="957"/>
      <c r="AU429" s="957"/>
      <c r="AV429" s="957"/>
      <c r="AW429" s="957"/>
      <c r="AX429" s="957"/>
      <c r="AY429" s="957"/>
      <c r="AZ429" s="957"/>
      <c r="BA429" s="957"/>
      <c r="BB429" s="957"/>
      <c r="BC429" s="957"/>
      <c r="BD429" s="957"/>
      <c r="BE429" s="957"/>
      <c r="BF429" s="957"/>
      <c r="BG429" s="957"/>
    </row>
    <row r="430" spans="1:59">
      <c r="A430" s="2172"/>
      <c r="B430" s="2206" t="s">
        <v>770</v>
      </c>
      <c r="C430" s="2144" t="s">
        <v>13</v>
      </c>
      <c r="D430" s="348" t="s">
        <v>771</v>
      </c>
      <c r="E430" s="452">
        <v>325</v>
      </c>
      <c r="F430" s="148" t="s">
        <v>15</v>
      </c>
      <c r="G430" s="148" t="s">
        <v>15</v>
      </c>
      <c r="H430" s="367">
        <v>269.26479999999998</v>
      </c>
      <c r="I430" s="368">
        <v>52.402909999999999</v>
      </c>
      <c r="J430" s="234" t="s">
        <v>15</v>
      </c>
      <c r="K430" s="233" t="s">
        <v>15</v>
      </c>
      <c r="L430" s="234" t="s">
        <v>15</v>
      </c>
      <c r="M430" s="233" t="s">
        <v>15</v>
      </c>
      <c r="N430" s="537">
        <v>-25.859515399999999</v>
      </c>
      <c r="O430" s="536">
        <v>-1.78</v>
      </c>
      <c r="P430" s="536">
        <v>14.5397988</v>
      </c>
      <c r="Q430" s="128">
        <f>307459.7/$T$401</f>
        <v>0.98194234811752157</v>
      </c>
      <c r="R430" s="2129">
        <f>SUMPRODUCT(N430:N431,Q430:Q431)</f>
        <v>-25.39255327305721</v>
      </c>
      <c r="S430" s="24"/>
      <c r="T430" s="26"/>
      <c r="V430" s="24"/>
      <c r="W430" s="26"/>
      <c r="X430" s="26"/>
      <c r="Y430" s="41"/>
      <c r="Z430" s="41"/>
      <c r="AA430" s="41"/>
      <c r="AB430" s="846"/>
      <c r="AC430" s="26"/>
      <c r="AD430" s="24"/>
      <c r="AE430" s="26"/>
      <c r="AF430" s="106"/>
      <c r="AG430" s="37"/>
      <c r="AH430" s="957"/>
      <c r="AI430" s="1023"/>
      <c r="AJ430" s="1023"/>
      <c r="AK430" s="1023"/>
      <c r="AL430" s="1023"/>
      <c r="AM430" s="1023"/>
      <c r="AN430" s="1023"/>
      <c r="AO430" s="957"/>
      <c r="AP430" s="957"/>
      <c r="AQ430" s="957"/>
      <c r="AR430" s="957"/>
      <c r="AS430" s="957"/>
      <c r="AT430" s="957"/>
      <c r="AU430" s="957"/>
      <c r="AV430" s="957"/>
      <c r="AW430" s="957"/>
      <c r="AX430" s="957"/>
      <c r="AY430" s="957"/>
      <c r="AZ430" s="957"/>
      <c r="BA430" s="957"/>
      <c r="BB430" s="957"/>
      <c r="BC430" s="957"/>
      <c r="BD430" s="957"/>
      <c r="BE430" s="957"/>
      <c r="BF430" s="957"/>
      <c r="BG430" s="957"/>
    </row>
    <row r="431" spans="1:59">
      <c r="A431" s="2172"/>
      <c r="B431" s="2206"/>
      <c r="C431" s="2144"/>
      <c r="D431" s="348" t="s">
        <v>772</v>
      </c>
      <c r="E431" s="452">
        <v>4</v>
      </c>
      <c r="F431" s="148" t="s">
        <v>15</v>
      </c>
      <c r="G431" s="148" t="s">
        <v>15</v>
      </c>
      <c r="H431" s="367">
        <v>382.42110000000002</v>
      </c>
      <c r="I431" s="368">
        <v>31.152069999999998</v>
      </c>
      <c r="J431" s="234" t="s">
        <v>15</v>
      </c>
      <c r="K431" s="233" t="s">
        <v>15</v>
      </c>
      <c r="L431" s="234" t="s">
        <v>15</v>
      </c>
      <c r="M431" s="233" t="s">
        <v>15</v>
      </c>
      <c r="N431" s="537">
        <v>0</v>
      </c>
      <c r="O431" s="536" t="s">
        <v>574</v>
      </c>
      <c r="P431" s="536" t="s">
        <v>574</v>
      </c>
      <c r="Q431" s="128">
        <f>5654.05/$T$401</f>
        <v>1.8057492196128053E-2</v>
      </c>
      <c r="R431" s="2129"/>
      <c r="S431" s="24"/>
      <c r="T431" s="26"/>
      <c r="V431" s="24"/>
      <c r="W431" s="26"/>
      <c r="X431" s="26"/>
      <c r="Y431" s="41"/>
      <c r="Z431" s="41"/>
      <c r="AA431" s="41"/>
      <c r="AB431" s="846"/>
      <c r="AC431" s="26"/>
      <c r="AD431" s="24"/>
      <c r="AE431" s="26"/>
      <c r="AF431" s="106"/>
      <c r="AG431" s="37"/>
      <c r="AH431" s="957"/>
      <c r="AI431" s="1023"/>
      <c r="AJ431" s="1023"/>
      <c r="AK431" s="1023"/>
      <c r="AL431" s="1023"/>
      <c r="AM431" s="1023"/>
      <c r="AN431" s="1023"/>
      <c r="AO431" s="957"/>
      <c r="AP431" s="957"/>
      <c r="AQ431" s="957"/>
      <c r="AR431" s="957"/>
      <c r="AS431" s="957"/>
      <c r="AT431" s="957"/>
      <c r="AU431" s="957"/>
      <c r="AV431" s="957"/>
      <c r="AW431" s="957"/>
      <c r="AX431" s="957"/>
      <c r="AY431" s="957"/>
      <c r="AZ431" s="957"/>
      <c r="BA431" s="957"/>
      <c r="BB431" s="957"/>
      <c r="BC431" s="957"/>
      <c r="BD431" s="957"/>
      <c r="BE431" s="957"/>
      <c r="BF431" s="957"/>
      <c r="BG431" s="957"/>
    </row>
    <row r="432" spans="1:59">
      <c r="A432" s="2172"/>
      <c r="B432" s="2207" t="s">
        <v>773</v>
      </c>
      <c r="C432" s="2278" t="s">
        <v>13</v>
      </c>
      <c r="D432" s="338" t="s">
        <v>774</v>
      </c>
      <c r="E432" s="452">
        <v>305</v>
      </c>
      <c r="F432" s="148" t="s">
        <v>15</v>
      </c>
      <c r="G432" s="148" t="s">
        <v>15</v>
      </c>
      <c r="H432" s="367">
        <v>267.07479999999998</v>
      </c>
      <c r="I432" s="368">
        <v>48.185859999999998</v>
      </c>
      <c r="J432" s="234" t="s">
        <v>15</v>
      </c>
      <c r="K432" s="233" t="s">
        <v>15</v>
      </c>
      <c r="L432" s="234" t="s">
        <v>15</v>
      </c>
      <c r="M432" s="233" t="s">
        <v>15</v>
      </c>
      <c r="N432" s="537">
        <v>0</v>
      </c>
      <c r="O432" s="536" t="s">
        <v>574</v>
      </c>
      <c r="P432" s="536" t="s">
        <v>574</v>
      </c>
      <c r="Q432" s="128">
        <f>303949.3/$T$401</f>
        <v>0.97073108882457437</v>
      </c>
      <c r="R432" s="2130">
        <f>SUMPRODUCT(N432:N434,Q432:Q434)</f>
        <v>1.4036611498232687</v>
      </c>
      <c r="S432" s="24"/>
      <c r="T432" s="26"/>
      <c r="V432" s="24"/>
      <c r="W432" s="26"/>
      <c r="X432" s="26"/>
      <c r="Y432" s="41"/>
      <c r="Z432" s="41"/>
      <c r="AA432" s="41"/>
      <c r="AB432" s="846"/>
      <c r="AC432" s="26"/>
      <c r="AD432" s="24"/>
      <c r="AE432" s="26"/>
      <c r="AF432" s="106"/>
      <c r="AG432" s="37"/>
      <c r="AH432" s="957"/>
      <c r="AI432" s="1023"/>
      <c r="AJ432" s="1023"/>
      <c r="AK432" s="1023"/>
      <c r="AL432" s="1023"/>
      <c r="AM432" s="1023"/>
      <c r="AN432" s="1023"/>
      <c r="AO432" s="957"/>
      <c r="AP432" s="957"/>
      <c r="AQ432" s="957"/>
      <c r="AR432" s="957"/>
      <c r="AS432" s="957"/>
      <c r="AT432" s="957"/>
      <c r="AU432" s="957"/>
      <c r="AV432" s="957"/>
      <c r="AW432" s="957"/>
      <c r="AX432" s="957"/>
      <c r="AY432" s="957"/>
      <c r="AZ432" s="957"/>
      <c r="BA432" s="957"/>
      <c r="BB432" s="957"/>
      <c r="BC432" s="957"/>
      <c r="BD432" s="957"/>
      <c r="BE432" s="957"/>
      <c r="BF432" s="957"/>
      <c r="BG432" s="957"/>
    </row>
    <row r="433" spans="1:113">
      <c r="A433" s="2172"/>
      <c r="B433" s="2208"/>
      <c r="C433" s="2279"/>
      <c r="D433" s="338" t="s">
        <v>775</v>
      </c>
      <c r="E433" s="452">
        <v>20</v>
      </c>
      <c r="F433" s="148" t="s">
        <v>15</v>
      </c>
      <c r="G433" s="148" t="s">
        <v>15</v>
      </c>
      <c r="H433" s="367">
        <v>385.55720000000002</v>
      </c>
      <c r="I433" s="368">
        <v>43.429639999999999</v>
      </c>
      <c r="J433" s="234" t="s">
        <v>15</v>
      </c>
      <c r="K433" s="233" t="s">
        <v>15</v>
      </c>
      <c r="L433" s="234" t="s">
        <v>15</v>
      </c>
      <c r="M433" s="233" t="s">
        <v>15</v>
      </c>
      <c r="N433" s="537">
        <v>38.056809899999998</v>
      </c>
      <c r="O433" s="536">
        <v>2.59</v>
      </c>
      <c r="P433" s="536">
        <v>14.670720599999999</v>
      </c>
      <c r="Q433" s="128">
        <f>6566.37/$T$401</f>
        <v>2.09711932211228E-2</v>
      </c>
      <c r="R433" s="2196"/>
      <c r="S433" s="24"/>
      <c r="T433" s="26"/>
      <c r="V433" s="24"/>
      <c r="W433" s="26"/>
      <c r="X433" s="26"/>
      <c r="Y433" s="41"/>
      <c r="Z433" s="41"/>
      <c r="AA433" s="41"/>
      <c r="AB433" s="846"/>
      <c r="AC433" s="26"/>
      <c r="AD433" s="24"/>
      <c r="AE433" s="26"/>
      <c r="AF433" s="106"/>
      <c r="AG433" s="37"/>
      <c r="AH433" s="957"/>
      <c r="AI433" s="1023"/>
      <c r="AJ433" s="1023"/>
      <c r="AK433" s="1023"/>
      <c r="AL433" s="1023"/>
      <c r="AM433" s="1023"/>
      <c r="AN433" s="1023"/>
      <c r="AO433" s="957"/>
      <c r="AP433" s="957"/>
      <c r="AQ433" s="957"/>
      <c r="AR433" s="957"/>
      <c r="AS433" s="957"/>
      <c r="AT433" s="957"/>
      <c r="AU433" s="957"/>
      <c r="AV433" s="957"/>
      <c r="AW433" s="957"/>
      <c r="AX433" s="957"/>
      <c r="AY433" s="957"/>
      <c r="AZ433" s="957"/>
      <c r="BA433" s="957"/>
      <c r="BB433" s="957"/>
      <c r="BC433" s="957"/>
      <c r="BD433" s="957"/>
      <c r="BE433" s="957"/>
      <c r="BF433" s="957"/>
      <c r="BG433" s="957"/>
    </row>
    <row r="434" spans="1:113">
      <c r="A434" s="2172"/>
      <c r="B434" s="2208"/>
      <c r="C434" s="2279"/>
      <c r="D434" s="338" t="s">
        <v>776</v>
      </c>
      <c r="E434" s="452">
        <v>4</v>
      </c>
      <c r="F434" s="148" t="s">
        <v>15</v>
      </c>
      <c r="G434" s="148" t="s">
        <v>15</v>
      </c>
      <c r="H434" s="367">
        <v>477.81079999999997</v>
      </c>
      <c r="I434" s="368">
        <v>17.698139999999999</v>
      </c>
      <c r="J434" s="234" t="s">
        <v>15</v>
      </c>
      <c r="K434" s="233" t="s">
        <v>15</v>
      </c>
      <c r="L434" s="234" t="s">
        <v>15</v>
      </c>
      <c r="M434" s="233" t="s">
        <v>15</v>
      </c>
      <c r="N434" s="537">
        <v>72.980478700000006</v>
      </c>
      <c r="O434" s="536">
        <v>6.09</v>
      </c>
      <c r="P434" s="536">
        <v>11.9874914</v>
      </c>
      <c r="Q434" s="128">
        <f>2598.1/$T$401</f>
        <v>8.2976221424926021E-3</v>
      </c>
      <c r="R434" s="2196"/>
      <c r="S434" s="24"/>
      <c r="T434" s="26"/>
      <c r="V434" s="24"/>
      <c r="W434" s="26"/>
      <c r="X434" s="26"/>
      <c r="Y434" s="41"/>
      <c r="Z434" s="41"/>
      <c r="AA434" s="41"/>
      <c r="AB434" s="846"/>
      <c r="AC434" s="26"/>
      <c r="AD434" s="24"/>
      <c r="AE434" s="26"/>
      <c r="AF434" s="106"/>
      <c r="AG434" s="37"/>
      <c r="AH434" s="957"/>
      <c r="AI434" s="1023"/>
      <c r="AJ434" s="1023"/>
      <c r="AK434" s="1023"/>
      <c r="AL434" s="1023"/>
      <c r="AM434" s="1023"/>
      <c r="AN434" s="1023"/>
      <c r="AO434" s="957"/>
      <c r="AP434" s="957"/>
      <c r="AQ434" s="957"/>
      <c r="AR434" s="957"/>
      <c r="AS434" s="957"/>
      <c r="AT434" s="957"/>
      <c r="AU434" s="957"/>
      <c r="AV434" s="957"/>
      <c r="AW434" s="957"/>
      <c r="AX434" s="957"/>
      <c r="AY434" s="957"/>
      <c r="AZ434" s="957"/>
      <c r="BA434" s="957"/>
      <c r="BB434" s="957"/>
      <c r="BC434" s="957"/>
      <c r="BD434" s="957"/>
      <c r="BE434" s="957"/>
      <c r="BF434" s="957"/>
      <c r="BG434" s="957"/>
    </row>
    <row r="435" spans="1:113">
      <c r="A435" s="2172"/>
      <c r="B435" s="2206" t="s">
        <v>778</v>
      </c>
      <c r="C435" s="2205" t="s">
        <v>11</v>
      </c>
      <c r="D435" s="338" t="s">
        <v>33</v>
      </c>
      <c r="E435" s="452">
        <v>20</v>
      </c>
      <c r="F435" s="148" t="s">
        <v>15</v>
      </c>
      <c r="G435" s="148" t="s">
        <v>15</v>
      </c>
      <c r="H435" s="367">
        <v>275.80970000000002</v>
      </c>
      <c r="I435" s="368">
        <v>56.362909999999999</v>
      </c>
      <c r="J435" s="234" t="s">
        <v>15</v>
      </c>
      <c r="K435" s="233" t="s">
        <v>15</v>
      </c>
      <c r="L435" s="234" t="s">
        <v>15</v>
      </c>
      <c r="M435" s="233" t="s">
        <v>15</v>
      </c>
      <c r="N435" s="537">
        <v>84.897273100000007</v>
      </c>
      <c r="O435" s="536">
        <v>4.5999999999999996</v>
      </c>
      <c r="P435" s="536">
        <v>18.443963100000001</v>
      </c>
      <c r="Q435" s="128">
        <f>39444.75/$T$401</f>
        <v>0.12597576344447292</v>
      </c>
      <c r="R435" s="2129">
        <f>SUMPRODUCT(N435:N436,Q435:Q436)</f>
        <v>10.694998793126414</v>
      </c>
      <c r="S435" s="24"/>
      <c r="T435" s="26"/>
      <c r="V435" s="24"/>
      <c r="W435" s="26"/>
      <c r="X435" s="26"/>
      <c r="Y435" s="41"/>
      <c r="Z435" s="41"/>
      <c r="AA435" s="41"/>
      <c r="AB435" s="846"/>
      <c r="AC435" s="26"/>
      <c r="AD435" s="24"/>
      <c r="AE435" s="26"/>
      <c r="AF435" s="106"/>
      <c r="AG435" s="37"/>
      <c r="AH435" s="957"/>
      <c r="AI435" s="1023"/>
      <c r="AJ435" s="1023"/>
      <c r="AK435" s="1023"/>
      <c r="AL435" s="1023"/>
      <c r="AM435" s="1023"/>
      <c r="AN435" s="1023"/>
      <c r="AO435" s="957"/>
      <c r="AP435" s="957"/>
      <c r="AQ435" s="957"/>
      <c r="AR435" s="957"/>
      <c r="AS435" s="957"/>
      <c r="AT435" s="957"/>
      <c r="AU435" s="957"/>
      <c r="AV435" s="957"/>
      <c r="AW435" s="957"/>
      <c r="AX435" s="957"/>
      <c r="AY435" s="957"/>
      <c r="AZ435" s="957"/>
      <c r="BA435" s="957"/>
      <c r="BB435" s="957"/>
      <c r="BC435" s="957"/>
      <c r="BD435" s="957"/>
      <c r="BE435" s="957"/>
      <c r="BF435" s="957"/>
      <c r="BG435" s="957"/>
    </row>
    <row r="436" spans="1:113">
      <c r="A436" s="2172"/>
      <c r="B436" s="2206"/>
      <c r="C436" s="2205"/>
      <c r="D436" s="338" t="s">
        <v>32</v>
      </c>
      <c r="E436" s="452">
        <v>309</v>
      </c>
      <c r="F436" s="148" t="s">
        <v>15</v>
      </c>
      <c r="G436" s="148" t="s">
        <v>15</v>
      </c>
      <c r="H436" s="367">
        <v>240.0763</v>
      </c>
      <c r="I436" s="368">
        <v>13.764889999999999</v>
      </c>
      <c r="J436" s="234" t="s">
        <v>15</v>
      </c>
      <c r="K436" s="233" t="s">
        <v>15</v>
      </c>
      <c r="L436" s="234" t="s">
        <v>15</v>
      </c>
      <c r="M436" s="233" t="s">
        <v>15</v>
      </c>
      <c r="N436" s="537">
        <v>0</v>
      </c>
      <c r="O436" s="536" t="s">
        <v>574</v>
      </c>
      <c r="P436" s="536" t="s">
        <v>574</v>
      </c>
      <c r="Q436" s="128">
        <f>273669/$T$401</f>
        <v>0.87402407686917671</v>
      </c>
      <c r="R436" s="2129"/>
      <c r="S436" s="24"/>
      <c r="T436" s="26"/>
      <c r="V436" s="24"/>
      <c r="W436" s="26"/>
      <c r="X436" s="26"/>
      <c r="Y436" s="41"/>
      <c r="Z436" s="41"/>
      <c r="AA436" s="41"/>
      <c r="AB436" s="846"/>
      <c r="AC436" s="26"/>
      <c r="AD436" s="24"/>
      <c r="AE436" s="26"/>
      <c r="AF436" s="106"/>
      <c r="AG436" s="37"/>
      <c r="AH436" s="957"/>
      <c r="AI436" s="1023"/>
      <c r="AJ436" s="1023"/>
      <c r="AK436" s="1023"/>
      <c r="AL436" s="1023"/>
      <c r="AM436" s="1023"/>
      <c r="AN436" s="1023"/>
      <c r="AO436" s="957"/>
      <c r="AP436" s="957"/>
      <c r="AQ436" s="957"/>
      <c r="AR436" s="957"/>
      <c r="AS436" s="957"/>
      <c r="AT436" s="957"/>
      <c r="AU436" s="957"/>
      <c r="AV436" s="957"/>
      <c r="AW436" s="957"/>
      <c r="AX436" s="957"/>
      <c r="AY436" s="957"/>
      <c r="AZ436" s="957"/>
      <c r="BA436" s="957"/>
      <c r="BB436" s="957"/>
      <c r="BC436" s="957"/>
      <c r="BD436" s="957"/>
      <c r="BE436" s="957"/>
      <c r="BF436" s="957"/>
      <c r="BG436" s="957"/>
    </row>
    <row r="437" spans="1:113">
      <c r="A437" s="2172"/>
      <c r="B437" s="2206" t="s">
        <v>7</v>
      </c>
      <c r="C437" s="2144" t="s">
        <v>13</v>
      </c>
      <c r="D437" s="348">
        <v>1</v>
      </c>
      <c r="E437" s="452">
        <v>98</v>
      </c>
      <c r="F437" s="148" t="s">
        <v>15</v>
      </c>
      <c r="G437" s="148" t="s">
        <v>15</v>
      </c>
      <c r="H437" s="367">
        <v>272.94959999999998</v>
      </c>
      <c r="I437" s="368">
        <v>49.23847</v>
      </c>
      <c r="J437" s="234" t="s">
        <v>15</v>
      </c>
      <c r="K437" s="233" t="s">
        <v>15</v>
      </c>
      <c r="L437" s="234" t="s">
        <v>15</v>
      </c>
      <c r="M437" s="233" t="s">
        <v>15</v>
      </c>
      <c r="N437" s="537">
        <v>-6.1445162</v>
      </c>
      <c r="O437" s="536">
        <v>-3.78</v>
      </c>
      <c r="P437" s="536">
        <v>1.6276531000000001</v>
      </c>
      <c r="Q437" s="128">
        <f>91537.28/$T$401</f>
        <v>0.29234508348083033</v>
      </c>
      <c r="R437" s="2130">
        <f>SUMPRODUCT(N437:N440,Q437:Q440)</f>
        <v>-8.2200913120469359</v>
      </c>
      <c r="S437" s="24"/>
      <c r="T437" s="26"/>
      <c r="V437" s="24"/>
      <c r="W437" s="26"/>
      <c r="X437" s="26"/>
      <c r="Y437" s="41"/>
      <c r="Z437" s="41"/>
      <c r="AA437" s="41"/>
      <c r="AB437" s="846"/>
      <c r="AC437" s="26"/>
      <c r="AD437" s="24"/>
      <c r="AE437" s="26"/>
      <c r="AF437" s="106"/>
      <c r="AG437" s="37"/>
      <c r="AH437" s="957"/>
      <c r="AI437" s="1023"/>
      <c r="AJ437" s="1023"/>
      <c r="AK437" s="1023"/>
      <c r="AL437" s="1023"/>
      <c r="AM437" s="1023"/>
      <c r="AN437" s="1023"/>
      <c r="AO437" s="957"/>
      <c r="AP437" s="957"/>
      <c r="AQ437" s="957"/>
      <c r="AR437" s="957"/>
      <c r="AS437" s="957"/>
      <c r="AT437" s="957"/>
      <c r="AU437" s="957"/>
      <c r="AV437" s="957"/>
      <c r="AW437" s="957"/>
      <c r="AX437" s="957"/>
      <c r="AY437" s="957"/>
      <c r="AZ437" s="957"/>
      <c r="BA437" s="957"/>
      <c r="BB437" s="957"/>
      <c r="BC437" s="957"/>
      <c r="BD437" s="957"/>
      <c r="BE437" s="957"/>
      <c r="BF437" s="957"/>
      <c r="BG437" s="957"/>
    </row>
    <row r="438" spans="1:113">
      <c r="A438" s="2172"/>
      <c r="B438" s="2206"/>
      <c r="C438" s="2144"/>
      <c r="D438" s="348">
        <v>2</v>
      </c>
      <c r="E438" s="452">
        <v>78</v>
      </c>
      <c r="F438" s="148" t="s">
        <v>15</v>
      </c>
      <c r="G438" s="148" t="s">
        <v>15</v>
      </c>
      <c r="H438" s="367">
        <v>250.8313</v>
      </c>
      <c r="I438" s="368">
        <v>40.482460000000003</v>
      </c>
      <c r="J438" s="234" t="s">
        <v>15</v>
      </c>
      <c r="K438" s="233" t="s">
        <v>15</v>
      </c>
      <c r="L438" s="234" t="s">
        <v>15</v>
      </c>
      <c r="M438" s="233" t="s">
        <v>15</v>
      </c>
      <c r="N438" s="537">
        <v>-16.331605</v>
      </c>
      <c r="O438" s="536">
        <v>-7.52</v>
      </c>
      <c r="P438" s="536">
        <v>2.1730423999999999</v>
      </c>
      <c r="Q438" s="128">
        <f>45128.97/$T$401</f>
        <v>0.14412961038446725</v>
      </c>
      <c r="R438" s="2196"/>
      <c r="S438" s="24"/>
      <c r="T438" s="26"/>
      <c r="V438" s="24"/>
      <c r="W438" s="26"/>
      <c r="X438" s="26"/>
      <c r="Y438" s="41"/>
      <c r="Z438" s="41"/>
      <c r="AA438" s="41"/>
      <c r="AB438" s="846"/>
      <c r="AC438" s="26"/>
      <c r="AD438" s="24"/>
      <c r="AE438" s="26"/>
      <c r="AF438" s="106"/>
      <c r="AG438" s="37"/>
      <c r="AH438" s="957"/>
      <c r="AI438" s="1023"/>
      <c r="AJ438" s="1023"/>
      <c r="AK438" s="1023"/>
      <c r="AL438" s="1023"/>
      <c r="AM438" s="1023"/>
      <c r="AN438" s="1023"/>
      <c r="AO438" s="957"/>
      <c r="AP438" s="957"/>
      <c r="AQ438" s="957"/>
      <c r="AR438" s="957"/>
      <c r="AS438" s="957"/>
      <c r="AT438" s="957"/>
      <c r="AU438" s="957"/>
      <c r="AV438" s="957"/>
      <c r="AW438" s="957"/>
      <c r="AX438" s="957"/>
      <c r="AY438" s="957"/>
      <c r="AZ438" s="957"/>
      <c r="BA438" s="957"/>
      <c r="BB438" s="957"/>
      <c r="BC438" s="957"/>
      <c r="BD438" s="957"/>
      <c r="BE438" s="957"/>
      <c r="BF438" s="957"/>
      <c r="BG438" s="957"/>
    </row>
    <row r="439" spans="1:113">
      <c r="A439" s="2172"/>
      <c r="B439" s="2206"/>
      <c r="C439" s="2144"/>
      <c r="D439" s="348">
        <v>3</v>
      </c>
      <c r="E439" s="452">
        <v>61</v>
      </c>
      <c r="F439" s="148" t="s">
        <v>15</v>
      </c>
      <c r="G439" s="148" t="s">
        <v>15</v>
      </c>
      <c r="H439" s="367">
        <v>238.84620000000001</v>
      </c>
      <c r="I439" s="368">
        <v>35.18233</v>
      </c>
      <c r="J439" s="234" t="s">
        <v>15</v>
      </c>
      <c r="K439" s="233" t="s">
        <v>15</v>
      </c>
      <c r="L439" s="234" t="s">
        <v>15</v>
      </c>
      <c r="M439" s="233" t="s">
        <v>15</v>
      </c>
      <c r="N439" s="537">
        <v>-29.212169599999999</v>
      </c>
      <c r="O439" s="536">
        <v>-13.02</v>
      </c>
      <c r="P439" s="536">
        <v>2.2432981000000001</v>
      </c>
      <c r="Q439" s="128">
        <f>43623.71/$T$401</f>
        <v>0.13932222086666254</v>
      </c>
      <c r="R439" s="2196"/>
      <c r="S439" s="24"/>
      <c r="T439" s="26"/>
      <c r="V439" s="24"/>
      <c r="W439" s="26"/>
      <c r="X439" s="26"/>
      <c r="Y439" s="41"/>
      <c r="Z439" s="41"/>
      <c r="AA439" s="41"/>
      <c r="AB439" s="846"/>
      <c r="AC439" s="26"/>
      <c r="AD439" s="24"/>
      <c r="AE439" s="26"/>
      <c r="AF439" s="106"/>
      <c r="AG439" s="37"/>
      <c r="AH439" s="957"/>
      <c r="AI439" s="1023"/>
      <c r="AJ439" s="1023"/>
      <c r="AK439" s="1023"/>
      <c r="AL439" s="1023"/>
      <c r="AM439" s="1023"/>
      <c r="AN439" s="1023"/>
      <c r="AO439" s="957"/>
      <c r="AP439" s="957"/>
      <c r="AQ439" s="957"/>
      <c r="AR439" s="957"/>
      <c r="AS439" s="957"/>
      <c r="AT439" s="957"/>
      <c r="AU439" s="957"/>
      <c r="AV439" s="957"/>
      <c r="AW439" s="957"/>
      <c r="AX439" s="957"/>
      <c r="AY439" s="957"/>
      <c r="AZ439" s="957"/>
      <c r="BA439" s="957"/>
      <c r="BB439" s="957"/>
      <c r="BC439" s="957"/>
      <c r="BD439" s="957"/>
      <c r="BE439" s="957"/>
      <c r="BF439" s="957"/>
      <c r="BG439" s="957"/>
    </row>
    <row r="440" spans="1:113" ht="15.75" thickBot="1">
      <c r="A440" s="2172"/>
      <c r="B440" s="2206"/>
      <c r="C440" s="2144"/>
      <c r="D440" s="205">
        <v>4</v>
      </c>
      <c r="E440" s="25">
        <v>92</v>
      </c>
      <c r="F440" s="197" t="s">
        <v>15</v>
      </c>
      <c r="G440" s="197" t="s">
        <v>15</v>
      </c>
      <c r="H440" s="367">
        <v>287.79579999999999</v>
      </c>
      <c r="I440" s="368">
        <v>59.469839999999998</v>
      </c>
      <c r="J440" s="409" t="s">
        <v>15</v>
      </c>
      <c r="K440" s="122" t="s">
        <v>15</v>
      </c>
      <c r="L440" s="409" t="s">
        <v>15</v>
      </c>
      <c r="M440" s="122" t="s">
        <v>15</v>
      </c>
      <c r="N440" s="537">
        <v>0</v>
      </c>
      <c r="O440" s="536" t="s">
        <v>574</v>
      </c>
      <c r="P440" s="536" t="s">
        <v>574</v>
      </c>
      <c r="Q440" s="286">
        <f>132823.8/$T$401</f>
        <v>0.42420295751895953</v>
      </c>
      <c r="R440" s="2196"/>
      <c r="S440" s="24"/>
      <c r="T440" s="26"/>
      <c r="V440" s="24"/>
      <c r="W440" s="26"/>
      <c r="X440" s="26"/>
      <c r="Y440" s="41"/>
      <c r="Z440" s="41"/>
      <c r="AA440" s="41"/>
      <c r="AB440" s="846"/>
      <c r="AC440" s="26"/>
      <c r="AD440" s="240"/>
      <c r="AE440" s="764"/>
      <c r="AF440" s="106"/>
      <c r="AG440" s="37"/>
      <c r="AH440" s="957"/>
      <c r="AI440" s="1023"/>
      <c r="AJ440" s="1023"/>
      <c r="AK440" s="1023"/>
      <c r="AL440" s="1023"/>
      <c r="AM440" s="1023"/>
      <c r="AN440" s="1023"/>
      <c r="AO440" s="957"/>
      <c r="AP440" s="957"/>
      <c r="AQ440" s="957"/>
      <c r="AR440" s="957"/>
      <c r="AS440" s="957"/>
      <c r="AT440" s="957"/>
      <c r="AU440" s="957"/>
      <c r="AV440" s="957"/>
      <c r="AW440" s="957"/>
      <c r="AX440" s="957"/>
      <c r="AY440" s="957"/>
      <c r="AZ440" s="957"/>
      <c r="BA440" s="957"/>
      <c r="BB440" s="957"/>
      <c r="BC440" s="957"/>
      <c r="BD440" s="957"/>
      <c r="BE440" s="957"/>
      <c r="BF440" s="957"/>
      <c r="BG440" s="957"/>
    </row>
    <row r="441" spans="1:113" s="692" customFormat="1" ht="9" customHeight="1" thickBot="1">
      <c r="A441" s="695"/>
      <c r="B441" s="815"/>
      <c r="C441" s="684"/>
      <c r="D441" s="683"/>
      <c r="E441" s="684"/>
      <c r="F441" s="684"/>
      <c r="G441" s="684"/>
      <c r="H441" s="684"/>
      <c r="I441" s="684"/>
      <c r="J441" s="682"/>
      <c r="K441" s="683"/>
      <c r="L441" s="682"/>
      <c r="M441" s="685"/>
      <c r="N441" s="1189"/>
      <c r="O441" s="686"/>
      <c r="P441" s="686"/>
      <c r="Q441" s="687"/>
      <c r="R441" s="687"/>
      <c r="S441" s="688"/>
      <c r="T441" s="688"/>
      <c r="U441" s="854"/>
      <c r="V441" s="893"/>
      <c r="W441" s="685"/>
      <c r="X441" s="685"/>
      <c r="Y441" s="688"/>
      <c r="Z441" s="688"/>
      <c r="AA441" s="688"/>
      <c r="AB441" s="846"/>
      <c r="AC441" s="685"/>
      <c r="AD441" s="685"/>
      <c r="AE441" s="685"/>
      <c r="AF441" s="689"/>
      <c r="AG441" s="685"/>
      <c r="AH441" s="959"/>
      <c r="AI441" s="959"/>
      <c r="AJ441" s="959"/>
      <c r="AK441" s="959"/>
      <c r="AL441" s="959"/>
      <c r="AM441" s="959"/>
      <c r="AN441" s="959"/>
      <c r="AO441" s="958"/>
      <c r="AP441" s="958"/>
      <c r="AQ441" s="958"/>
      <c r="AR441" s="958"/>
      <c r="AS441" s="958"/>
      <c r="AT441" s="958"/>
      <c r="AU441" s="958"/>
      <c r="AV441" s="958"/>
      <c r="AW441" s="958"/>
      <c r="AX441" s="958"/>
      <c r="AY441" s="958"/>
      <c r="AZ441" s="958"/>
      <c r="BA441" s="958"/>
      <c r="BB441" s="958"/>
      <c r="BC441" s="958"/>
      <c r="BD441" s="958"/>
      <c r="BE441" s="958"/>
      <c r="BF441" s="958"/>
      <c r="BG441" s="958"/>
      <c r="BH441" s="1125"/>
      <c r="DI441" s="693"/>
    </row>
    <row r="442" spans="1:113" s="7" customFormat="1" ht="15" customHeight="1">
      <c r="A442" s="2171" t="s">
        <v>1289</v>
      </c>
      <c r="B442" s="1057" t="s">
        <v>754</v>
      </c>
      <c r="C442" s="809" t="s">
        <v>12</v>
      </c>
      <c r="D442" s="232" t="s">
        <v>843</v>
      </c>
      <c r="E442" s="534">
        <v>86</v>
      </c>
      <c r="F442" s="258">
        <v>30.222059999999999</v>
      </c>
      <c r="G442" s="258">
        <v>3.2761740000000001</v>
      </c>
      <c r="H442" s="367">
        <v>170.88839999999999</v>
      </c>
      <c r="I442" s="368">
        <v>18.262650000000001</v>
      </c>
      <c r="J442" s="268" t="s">
        <v>15</v>
      </c>
      <c r="K442" s="132" t="s">
        <v>15</v>
      </c>
      <c r="L442" s="1165" t="s">
        <v>14</v>
      </c>
      <c r="M442" s="1150" t="s">
        <v>801</v>
      </c>
      <c r="N442" s="1190">
        <v>-0.54841620000000002</v>
      </c>
      <c r="O442" s="442">
        <v>-0.26</v>
      </c>
      <c r="P442" s="442">
        <v>2.1136018000000001</v>
      </c>
      <c r="Q442" s="254" t="s">
        <v>15</v>
      </c>
      <c r="R442" s="258">
        <f>N442</f>
        <v>-0.54841620000000002</v>
      </c>
      <c r="S442" s="124" t="s">
        <v>68</v>
      </c>
      <c r="T442" s="125" t="s">
        <v>69</v>
      </c>
      <c r="U442" s="858"/>
      <c r="V442" s="2232" t="s">
        <v>863</v>
      </c>
      <c r="W442" s="295" t="s">
        <v>47</v>
      </c>
      <c r="X442" s="295" t="s">
        <v>877</v>
      </c>
      <c r="Y442" s="220">
        <f>T449+SUM(R444:R468)+N442*48.7+N443*1</f>
        <v>94.421586771437205</v>
      </c>
      <c r="Z442" s="282" t="s">
        <v>40</v>
      </c>
      <c r="AA442" s="575" t="s">
        <v>40</v>
      </c>
      <c r="AB442" s="846"/>
      <c r="AC442" s="26"/>
      <c r="AD442" s="2131" t="s">
        <v>142</v>
      </c>
      <c r="AE442" s="2133"/>
      <c r="AF442" s="497" t="s">
        <v>49</v>
      </c>
      <c r="AG442" s="494" t="s">
        <v>1004</v>
      </c>
      <c r="AH442" s="158">
        <f>T449+N461+N464+R444</f>
        <v>212.04735657180458</v>
      </c>
      <c r="AI442" s="158"/>
      <c r="AJ442" s="158"/>
      <c r="AK442" s="158">
        <v>189</v>
      </c>
      <c r="AL442" s="158"/>
      <c r="AM442" s="158"/>
      <c r="AN442" s="170"/>
      <c r="AO442" s="1011"/>
      <c r="AP442" s="957"/>
      <c r="AQ442" s="957"/>
      <c r="AR442" s="957"/>
      <c r="AS442" s="957"/>
      <c r="AT442" s="1012"/>
      <c r="AU442" s="1023"/>
      <c r="AV442" s="957"/>
      <c r="AW442" s="957"/>
      <c r="AX442" s="957"/>
      <c r="AY442" s="957"/>
      <c r="AZ442" s="957"/>
      <c r="BA442" s="957"/>
      <c r="BB442" s="957"/>
      <c r="BC442" s="957"/>
      <c r="BD442" s="957"/>
      <c r="BE442" s="957"/>
      <c r="BF442" s="957"/>
      <c r="BG442" s="957"/>
      <c r="BH442" s="1125"/>
      <c r="DI442" s="566"/>
    </row>
    <row r="443" spans="1:113">
      <c r="A443" s="2172"/>
      <c r="B443" s="1056" t="s">
        <v>756</v>
      </c>
      <c r="C443" s="356" t="s">
        <v>12</v>
      </c>
      <c r="D443" s="291" t="s">
        <v>826</v>
      </c>
      <c r="E443" s="452">
        <v>86</v>
      </c>
      <c r="F443" s="128">
        <v>0.33955200000000002</v>
      </c>
      <c r="G443" s="128">
        <v>8.7190000000000004E-2</v>
      </c>
      <c r="H443" s="367">
        <v>170.88839999999999</v>
      </c>
      <c r="I443" s="368">
        <v>18.262650000000001</v>
      </c>
      <c r="J443" s="234" t="s">
        <v>15</v>
      </c>
      <c r="K443" s="233" t="s">
        <v>15</v>
      </c>
      <c r="L443" s="234" t="s">
        <v>15</v>
      </c>
      <c r="M443" s="233" t="s">
        <v>15</v>
      </c>
      <c r="N443" s="537">
        <v>-100.4365962</v>
      </c>
      <c r="O443" s="536">
        <v>-0.81</v>
      </c>
      <c r="P443" s="536">
        <v>123.23740410000001</v>
      </c>
      <c r="Q443" s="195" t="s">
        <v>15</v>
      </c>
      <c r="R443" s="128">
        <f>N443</f>
        <v>-100.4365962</v>
      </c>
      <c r="S443" s="31" t="s">
        <v>70</v>
      </c>
      <c r="T443" s="117" t="s">
        <v>71</v>
      </c>
      <c r="U443" s="854"/>
      <c r="V443" s="2233"/>
      <c r="W443" s="983" t="s">
        <v>49</v>
      </c>
      <c r="X443" s="338" t="s">
        <v>878</v>
      </c>
      <c r="Y443" s="169">
        <f>T449+SUM(R444:R468)+N442*24.5+N443*1</f>
        <v>107.6932588114372</v>
      </c>
      <c r="Z443" s="169">
        <f>Y443-Y442</f>
        <v>13.271672039999999</v>
      </c>
      <c r="AA443" s="576">
        <f>(48.7-24.5)*P442</f>
        <v>51.149163560000005</v>
      </c>
      <c r="AB443" s="918"/>
      <c r="AC443" s="26"/>
      <c r="AD443" s="20" t="s">
        <v>98</v>
      </c>
      <c r="AE443" s="278">
        <v>0.60942039150885641</v>
      </c>
      <c r="AF443" s="497" t="s">
        <v>49</v>
      </c>
      <c r="AG443" s="494" t="s">
        <v>1003</v>
      </c>
      <c r="AH443" s="158">
        <f>T449+N462+N464+R444</f>
        <v>278.21684047180463</v>
      </c>
      <c r="AI443" s="158">
        <v>149.99</v>
      </c>
      <c r="AJ443" s="158">
        <v>109.99</v>
      </c>
      <c r="AK443" s="158">
        <v>209.12</v>
      </c>
      <c r="AL443" s="158">
        <v>266.05</v>
      </c>
      <c r="AM443" s="158"/>
      <c r="AN443" s="170"/>
      <c r="AO443" s="1011"/>
      <c r="AP443" s="957"/>
      <c r="AQ443" s="957"/>
      <c r="AR443" s="957"/>
      <c r="AS443" s="957"/>
      <c r="AT443" s="1012"/>
      <c r="AU443" s="1023"/>
      <c r="AV443" s="957"/>
      <c r="AW443" s="957"/>
      <c r="AX443" s="957"/>
      <c r="AY443" s="957"/>
      <c r="AZ443" s="957"/>
      <c r="BA443" s="957"/>
      <c r="BB443" s="957"/>
      <c r="BC443" s="957"/>
      <c r="BD443" s="957"/>
      <c r="BE443" s="957"/>
      <c r="BF443" s="957"/>
      <c r="BG443" s="957"/>
    </row>
    <row r="444" spans="1:113">
      <c r="A444" s="2172"/>
      <c r="B444" s="2206" t="s">
        <v>153</v>
      </c>
      <c r="C444" s="2144" t="s">
        <v>13</v>
      </c>
      <c r="D444" s="348" t="s">
        <v>802</v>
      </c>
      <c r="E444" s="452">
        <v>4</v>
      </c>
      <c r="F444" s="148" t="s">
        <v>15</v>
      </c>
      <c r="G444" s="148" t="s">
        <v>15</v>
      </c>
      <c r="H444" s="367">
        <v>89.288889999999995</v>
      </c>
      <c r="I444" s="368">
        <v>7.4680809999999997</v>
      </c>
      <c r="J444" s="234" t="s">
        <v>15</v>
      </c>
      <c r="K444" s="233" t="s">
        <v>15</v>
      </c>
      <c r="L444" s="234" t="s">
        <v>15</v>
      </c>
      <c r="M444" s="233" t="s">
        <v>15</v>
      </c>
      <c r="N444" s="537">
        <v>-108.90358019999999</v>
      </c>
      <c r="O444" s="536">
        <v>-2.21</v>
      </c>
      <c r="P444" s="536">
        <v>49.261207300000002</v>
      </c>
      <c r="Q444" s="453">
        <f>21.15/$T$447</f>
        <v>8.4101747606480162E-4</v>
      </c>
      <c r="R444" s="2130">
        <f>SUMPRODUCT(N444:N460,Q444:Q460)</f>
        <v>-9.8454191281953971</v>
      </c>
      <c r="S444" s="127" t="s">
        <v>72</v>
      </c>
      <c r="T444" s="119" t="s">
        <v>119</v>
      </c>
      <c r="U444" s="855"/>
      <c r="V444" s="2233"/>
      <c r="W444" s="983" t="s">
        <v>49</v>
      </c>
      <c r="X444" s="338" t="s">
        <v>879</v>
      </c>
      <c r="Y444" s="169">
        <f>T449+SUM(R444:R468)+N442*19.9+N443*1</f>
        <v>110.2159733314372</v>
      </c>
      <c r="Z444" s="169">
        <f>Y444-Y442</f>
        <v>15.794386559999992</v>
      </c>
      <c r="AA444" s="576">
        <f>(48.7-19.9)*P442</f>
        <v>60.87173184000001</v>
      </c>
      <c r="AB444" s="918"/>
      <c r="AC444" s="26"/>
      <c r="AD444" s="20" t="s">
        <v>143</v>
      </c>
      <c r="AE444" s="278">
        <v>0.5674380347323863</v>
      </c>
      <c r="AF444" s="497" t="s">
        <v>49</v>
      </c>
      <c r="AG444" s="494" t="s">
        <v>991</v>
      </c>
      <c r="AH444" s="158">
        <f>T449+N461+N463+R444</f>
        <v>238.39839497180458</v>
      </c>
      <c r="AI444" s="158">
        <v>229.99</v>
      </c>
      <c r="AJ444" s="158"/>
      <c r="AK444" s="158">
        <v>179.99</v>
      </c>
      <c r="AL444" s="158"/>
      <c r="AM444" s="158">
        <v>189</v>
      </c>
      <c r="AN444" s="170"/>
      <c r="AO444" s="1011"/>
      <c r="AP444" s="957"/>
      <c r="AQ444" s="957"/>
      <c r="AR444" s="957"/>
      <c r="AS444" s="957"/>
      <c r="AT444" s="1012"/>
      <c r="AU444" s="1023"/>
      <c r="AV444" s="957"/>
      <c r="AW444" s="957"/>
      <c r="AX444" s="957"/>
      <c r="AY444" s="957"/>
      <c r="AZ444" s="957"/>
      <c r="BA444" s="957"/>
      <c r="BB444" s="957"/>
      <c r="BC444" s="957"/>
      <c r="BD444" s="957"/>
      <c r="BE444" s="957"/>
      <c r="BF444" s="957"/>
      <c r="BG444" s="957"/>
    </row>
    <row r="445" spans="1:113">
      <c r="A445" s="2172"/>
      <c r="B445" s="2206"/>
      <c r="C445" s="2144"/>
      <c r="D445" s="434" t="s">
        <v>757</v>
      </c>
      <c r="E445" s="452">
        <v>14</v>
      </c>
      <c r="F445" s="148" t="s">
        <v>15</v>
      </c>
      <c r="G445" s="148" t="s">
        <v>15</v>
      </c>
      <c r="H445" s="367">
        <v>167.8475</v>
      </c>
      <c r="I445" s="368">
        <v>18.80498</v>
      </c>
      <c r="J445" s="234" t="s">
        <v>15</v>
      </c>
      <c r="K445" s="233" t="s">
        <v>15</v>
      </c>
      <c r="L445" s="234" t="s">
        <v>15</v>
      </c>
      <c r="M445" s="233" t="s">
        <v>15</v>
      </c>
      <c r="N445" s="537">
        <v>-16.025609500000002</v>
      </c>
      <c r="O445" s="536">
        <v>-0.73</v>
      </c>
      <c r="P445" s="536">
        <v>21.944912599999999</v>
      </c>
      <c r="Q445" s="453">
        <f>1082.72/$T$447</f>
        <v>4.3053732467370313E-2</v>
      </c>
      <c r="R445" s="2196"/>
      <c r="S445" s="452" t="s">
        <v>73</v>
      </c>
      <c r="T445" s="433"/>
      <c r="U445" s="859"/>
      <c r="V445" s="24"/>
      <c r="W445" s="26"/>
      <c r="X445" s="26"/>
      <c r="Y445" s="41"/>
      <c r="Z445" s="41"/>
      <c r="AA445" s="41"/>
      <c r="AB445" s="846"/>
      <c r="AC445" s="26"/>
      <c r="AD445" s="20" t="s">
        <v>144</v>
      </c>
      <c r="AE445" s="278">
        <v>3.6559828565609673E-2</v>
      </c>
      <c r="AF445" s="497" t="s">
        <v>49</v>
      </c>
      <c r="AG445" s="494" t="s">
        <v>992</v>
      </c>
      <c r="AH445" s="158">
        <f>T449+N462+N463+R444</f>
        <v>304.56787887180462</v>
      </c>
      <c r="AI445" s="158">
        <v>159.99</v>
      </c>
      <c r="AJ445" s="158">
        <v>119.99</v>
      </c>
      <c r="AK445" s="158">
        <v>239.95</v>
      </c>
      <c r="AL445" s="158"/>
      <c r="AM445" s="158"/>
      <c r="AN445" s="170"/>
      <c r="AO445" s="1011"/>
      <c r="AP445" s="957"/>
      <c r="AQ445" s="957"/>
      <c r="AR445" s="957"/>
      <c r="AS445" s="957"/>
      <c r="AT445" s="1012"/>
      <c r="AU445" s="1023"/>
      <c r="AV445" s="957"/>
      <c r="AW445" s="957"/>
      <c r="AX445" s="957"/>
      <c r="AY445" s="957"/>
      <c r="AZ445" s="957"/>
      <c r="BA445" s="957"/>
      <c r="BB445" s="957"/>
      <c r="BC445" s="957"/>
      <c r="BD445" s="957"/>
      <c r="BE445" s="957"/>
      <c r="BF445" s="957"/>
      <c r="BG445" s="957"/>
    </row>
    <row r="446" spans="1:113">
      <c r="A446" s="2172"/>
      <c r="B446" s="2206"/>
      <c r="C446" s="2144"/>
      <c r="D446" s="348" t="s">
        <v>844</v>
      </c>
      <c r="E446" s="452">
        <v>1</v>
      </c>
      <c r="F446" s="148" t="s">
        <v>15</v>
      </c>
      <c r="G446" s="148" t="s">
        <v>15</v>
      </c>
      <c r="H446" s="367">
        <v>142.4</v>
      </c>
      <c r="I446" s="368">
        <v>0</v>
      </c>
      <c r="J446" s="234" t="s">
        <v>15</v>
      </c>
      <c r="K446" s="233" t="s">
        <v>15</v>
      </c>
      <c r="L446" s="234" t="s">
        <v>15</v>
      </c>
      <c r="M446" s="233" t="s">
        <v>15</v>
      </c>
      <c r="N446" s="537">
        <v>-9.0925018000000009</v>
      </c>
      <c r="O446" s="536">
        <v>-0.05</v>
      </c>
      <c r="P446" s="536">
        <v>194.15566340000001</v>
      </c>
      <c r="Q446" s="453">
        <f>1/$T$447</f>
        <v>3.9764419672094643E-5</v>
      </c>
      <c r="R446" s="2196"/>
      <c r="S446" s="127" t="s">
        <v>74</v>
      </c>
      <c r="T446" s="129" t="s">
        <v>75</v>
      </c>
      <c r="U446" s="858"/>
      <c r="V446" s="24"/>
      <c r="W446" s="26"/>
      <c r="X446" s="26"/>
      <c r="Y446" s="41"/>
      <c r="Z446" s="41"/>
      <c r="AA446" s="41"/>
      <c r="AB446" s="846"/>
      <c r="AC446" s="26"/>
      <c r="AD446" s="20" t="s">
        <v>145</v>
      </c>
      <c r="AE446" s="278">
        <v>1.5382771803634021</v>
      </c>
      <c r="AF446" s="106"/>
      <c r="AG446" s="37"/>
      <c r="AH446" s="957"/>
      <c r="AI446" s="1023"/>
      <c r="AJ446" s="1023"/>
      <c r="AK446" s="1023"/>
      <c r="AL446" s="1023"/>
      <c r="AM446" s="1023"/>
      <c r="AN446" s="1023"/>
      <c r="AO446" s="957"/>
      <c r="AP446" s="957"/>
      <c r="AQ446" s="957"/>
      <c r="AR446" s="957"/>
      <c r="AS446" s="957"/>
      <c r="AT446" s="957"/>
      <c r="AU446" s="957"/>
      <c r="AV446" s="957"/>
      <c r="AW446" s="957"/>
      <c r="AX446" s="957"/>
      <c r="AY446" s="957"/>
      <c r="AZ446" s="957"/>
      <c r="BA446" s="957"/>
      <c r="BB446" s="957"/>
      <c r="BC446" s="957"/>
      <c r="BD446" s="957"/>
      <c r="BE446" s="957"/>
      <c r="BF446" s="957"/>
      <c r="BG446" s="957"/>
    </row>
    <row r="447" spans="1:113">
      <c r="A447" s="2172"/>
      <c r="B447" s="2206"/>
      <c r="C447" s="2144"/>
      <c r="D447" s="348" t="s">
        <v>760</v>
      </c>
      <c r="E447" s="452">
        <v>2</v>
      </c>
      <c r="F447" s="148" t="s">
        <v>15</v>
      </c>
      <c r="G447" s="148" t="s">
        <v>15</v>
      </c>
      <c r="H447" s="367">
        <v>158.0762</v>
      </c>
      <c r="I447" s="368">
        <v>15.874370000000001</v>
      </c>
      <c r="J447" s="234" t="s">
        <v>15</v>
      </c>
      <c r="K447" s="233" t="s">
        <v>15</v>
      </c>
      <c r="L447" s="234" t="s">
        <v>15</v>
      </c>
      <c r="M447" s="233" t="s">
        <v>15</v>
      </c>
      <c r="N447" s="537">
        <v>-15.390397800000001</v>
      </c>
      <c r="O447" s="536">
        <v>-0.15</v>
      </c>
      <c r="P447" s="536">
        <v>102.3411692</v>
      </c>
      <c r="Q447" s="453">
        <f>4.2/$T$447</f>
        <v>1.6701056262279751E-4</v>
      </c>
      <c r="R447" s="2196"/>
      <c r="S447" s="86">
        <v>86</v>
      </c>
      <c r="T447" s="426">
        <v>25148.11</v>
      </c>
      <c r="U447" s="860"/>
      <c r="V447" s="24"/>
      <c r="W447" s="26"/>
      <c r="X447" s="26"/>
      <c r="Y447" s="41"/>
      <c r="Z447" s="41"/>
      <c r="AA447" s="41"/>
      <c r="AB447" s="846"/>
      <c r="AC447" s="26"/>
      <c r="AD447" s="22"/>
      <c r="AE447" s="27"/>
      <c r="AF447" s="106"/>
      <c r="AG447" s="37"/>
      <c r="AH447" s="957"/>
      <c r="AI447" s="1023"/>
      <c r="AJ447" s="1023"/>
      <c r="AK447" s="1023"/>
      <c r="AL447" s="1023"/>
      <c r="AM447" s="1023"/>
      <c r="AN447" s="1023"/>
      <c r="AO447" s="957"/>
      <c r="AP447" s="957"/>
      <c r="AQ447" s="957"/>
      <c r="AR447" s="957"/>
      <c r="AS447" s="957"/>
      <c r="AT447" s="957"/>
      <c r="AU447" s="957"/>
      <c r="AV447" s="957"/>
      <c r="AW447" s="957"/>
      <c r="AX447" s="957"/>
      <c r="AY447" s="957"/>
      <c r="AZ447" s="957"/>
      <c r="BA447" s="957"/>
      <c r="BB447" s="957"/>
      <c r="BC447" s="957"/>
      <c r="BD447" s="957"/>
      <c r="BE447" s="957"/>
      <c r="BF447" s="957"/>
      <c r="BG447" s="957"/>
    </row>
    <row r="448" spans="1:113">
      <c r="A448" s="2172"/>
      <c r="B448" s="2206"/>
      <c r="C448" s="2144"/>
      <c r="D448" s="348" t="s">
        <v>803</v>
      </c>
      <c r="E448" s="452">
        <v>3</v>
      </c>
      <c r="F448" s="148" t="s">
        <v>15</v>
      </c>
      <c r="G448" s="148" t="s">
        <v>15</v>
      </c>
      <c r="H448" s="367">
        <v>188.1379</v>
      </c>
      <c r="I448" s="368">
        <v>0.41362500000000002</v>
      </c>
      <c r="J448" s="234" t="s">
        <v>15</v>
      </c>
      <c r="K448" s="233" t="s">
        <v>15</v>
      </c>
      <c r="L448" s="234" t="s">
        <v>15</v>
      </c>
      <c r="M448" s="233" t="s">
        <v>15</v>
      </c>
      <c r="N448" s="537">
        <v>39.247738400000003</v>
      </c>
      <c r="O448" s="536">
        <v>1.08</v>
      </c>
      <c r="P448" s="536">
        <v>36.399755599999999</v>
      </c>
      <c r="Q448" s="453">
        <f>51.2/$T$447</f>
        <v>2.0359382872112458E-3</v>
      </c>
      <c r="R448" s="2196"/>
      <c r="S448" s="127" t="s">
        <v>41</v>
      </c>
      <c r="T448" s="129" t="s">
        <v>42</v>
      </c>
      <c r="U448" s="858"/>
      <c r="V448" s="24"/>
      <c r="W448" s="26"/>
      <c r="X448" s="26"/>
      <c r="Y448" s="41"/>
      <c r="Z448" s="41"/>
      <c r="AA448" s="41"/>
      <c r="AB448" s="846"/>
      <c r="AC448" s="26"/>
      <c r="AD448" s="24"/>
      <c r="AE448" s="26"/>
      <c r="AF448" s="106"/>
      <c r="AG448" s="37"/>
      <c r="AH448" s="957"/>
      <c r="AI448" s="1023"/>
      <c r="AJ448" s="1023"/>
      <c r="AK448" s="1023"/>
      <c r="AL448" s="1023"/>
      <c r="AM448" s="1023"/>
      <c r="AN448" s="1023"/>
      <c r="AO448" s="957"/>
      <c r="AP448" s="957"/>
      <c r="AQ448" s="957"/>
      <c r="AR448" s="957"/>
      <c r="AS448" s="957"/>
      <c r="AT448" s="957"/>
      <c r="AU448" s="957"/>
      <c r="AV448" s="957"/>
      <c r="AW448" s="957"/>
      <c r="AX448" s="957"/>
      <c r="AY448" s="957"/>
      <c r="AZ448" s="957"/>
      <c r="BA448" s="957"/>
      <c r="BB448" s="957"/>
      <c r="BC448" s="957"/>
      <c r="BD448" s="957"/>
      <c r="BE448" s="957"/>
      <c r="BF448" s="957"/>
      <c r="BG448" s="957"/>
    </row>
    <row r="449" spans="1:59">
      <c r="A449" s="2172"/>
      <c r="B449" s="2206"/>
      <c r="C449" s="2144"/>
      <c r="D449" s="348" t="s">
        <v>763</v>
      </c>
      <c r="E449" s="452">
        <v>7</v>
      </c>
      <c r="F449" s="148" t="s">
        <v>15</v>
      </c>
      <c r="G449" s="148" t="s">
        <v>15</v>
      </c>
      <c r="H449" s="367">
        <v>189.6737</v>
      </c>
      <c r="I449" s="368">
        <v>13.769030000000001</v>
      </c>
      <c r="J449" s="234" t="s">
        <v>15</v>
      </c>
      <c r="K449" s="233" t="s">
        <v>15</v>
      </c>
      <c r="L449" s="234" t="s">
        <v>15</v>
      </c>
      <c r="M449" s="233" t="s">
        <v>15</v>
      </c>
      <c r="N449" s="537">
        <v>-1.1718622000000001</v>
      </c>
      <c r="O449" s="536">
        <v>-0.02</v>
      </c>
      <c r="P449" s="536">
        <v>64.014981899999995</v>
      </c>
      <c r="Q449" s="453">
        <f>240/$T$447</f>
        <v>9.5434607213027139E-3</v>
      </c>
      <c r="R449" s="2196"/>
      <c r="S449" s="357">
        <v>0.72589599999999999</v>
      </c>
      <c r="T449" s="420">
        <v>221.89277569999999</v>
      </c>
      <c r="U449" s="861"/>
      <c r="V449" s="24"/>
      <c r="W449" s="26"/>
      <c r="X449" s="26"/>
      <c r="Y449" s="41"/>
      <c r="Z449" s="41"/>
      <c r="AA449" s="41"/>
      <c r="AB449" s="846"/>
      <c r="AC449" s="26"/>
      <c r="AD449" s="24"/>
      <c r="AE449" s="26"/>
      <c r="AF449" s="106"/>
      <c r="AG449" s="37"/>
      <c r="AH449" s="957"/>
      <c r="AI449" s="1023"/>
      <c r="AJ449" s="1023"/>
      <c r="AK449" s="1023"/>
      <c r="AL449" s="1023"/>
      <c r="AM449" s="1023"/>
      <c r="AN449" s="1023"/>
      <c r="AO449" s="957"/>
      <c r="AP449" s="957"/>
      <c r="AQ449" s="957"/>
      <c r="AR449" s="957"/>
      <c r="AS449" s="957"/>
      <c r="AT449" s="957"/>
      <c r="AU449" s="957"/>
      <c r="AV449" s="957"/>
      <c r="AW449" s="957"/>
      <c r="AX449" s="957"/>
      <c r="AY449" s="957"/>
      <c r="AZ449" s="957"/>
      <c r="BA449" s="957"/>
      <c r="BB449" s="957"/>
      <c r="BC449" s="957"/>
      <c r="BD449" s="957"/>
      <c r="BE449" s="957"/>
      <c r="BF449" s="957"/>
      <c r="BG449" s="957"/>
    </row>
    <row r="450" spans="1:59">
      <c r="A450" s="2172"/>
      <c r="B450" s="2206"/>
      <c r="C450" s="2144"/>
      <c r="D450" s="348" t="s">
        <v>845</v>
      </c>
      <c r="E450" s="452">
        <v>8</v>
      </c>
      <c r="F450" s="148" t="s">
        <v>15</v>
      </c>
      <c r="G450" s="148" t="s">
        <v>15</v>
      </c>
      <c r="H450" s="367">
        <v>172.3073</v>
      </c>
      <c r="I450" s="368">
        <v>14.78637</v>
      </c>
      <c r="J450" s="234" t="s">
        <v>15</v>
      </c>
      <c r="K450" s="233" t="s">
        <v>15</v>
      </c>
      <c r="L450" s="234" t="s">
        <v>15</v>
      </c>
      <c r="M450" s="233" t="s">
        <v>15</v>
      </c>
      <c r="N450" s="537">
        <v>-16.624521900000001</v>
      </c>
      <c r="O450" s="536">
        <v>-0.77</v>
      </c>
      <c r="P450" s="536">
        <v>21.471989600000001</v>
      </c>
      <c r="Q450" s="453">
        <f>15952.48/$T$447</f>
        <v>0.63434110953069633</v>
      </c>
      <c r="R450" s="2196"/>
      <c r="S450" s="118" t="s">
        <v>235</v>
      </c>
      <c r="T450" s="119" t="s">
        <v>391</v>
      </c>
      <c r="U450" s="855"/>
      <c r="V450" s="24"/>
      <c r="W450" s="26"/>
      <c r="X450" s="26"/>
      <c r="Y450" s="41"/>
      <c r="Z450" s="41"/>
      <c r="AA450" s="41"/>
      <c r="AB450" s="846"/>
      <c r="AC450" s="26"/>
      <c r="AD450" s="24"/>
      <c r="AE450" s="26"/>
      <c r="AF450" s="106"/>
      <c r="AG450" s="37"/>
      <c r="AH450" s="957"/>
      <c r="AI450" s="1023"/>
      <c r="AJ450" s="1023"/>
      <c r="AK450" s="1023"/>
      <c r="AL450" s="1023"/>
      <c r="AM450" s="1023"/>
      <c r="AN450" s="1023"/>
      <c r="AO450" s="957"/>
      <c r="AP450" s="957"/>
      <c r="AQ450" s="957"/>
      <c r="AR450" s="957"/>
      <c r="AS450" s="957"/>
      <c r="AT450" s="957"/>
      <c r="AU450" s="957"/>
      <c r="AV450" s="957"/>
      <c r="AW450" s="957"/>
      <c r="AX450" s="957"/>
      <c r="AY450" s="957"/>
      <c r="AZ450" s="957"/>
      <c r="BA450" s="957"/>
      <c r="BB450" s="957"/>
      <c r="BC450" s="957"/>
      <c r="BD450" s="957"/>
      <c r="BE450" s="957"/>
      <c r="BF450" s="957"/>
      <c r="BG450" s="957"/>
    </row>
    <row r="451" spans="1:59">
      <c r="A451" s="2172"/>
      <c r="B451" s="2206"/>
      <c r="C451" s="2144"/>
      <c r="D451" s="348" t="s">
        <v>840</v>
      </c>
      <c r="E451" s="452">
        <v>1</v>
      </c>
      <c r="F451" s="148" t="s">
        <v>15</v>
      </c>
      <c r="G451" s="148" t="s">
        <v>15</v>
      </c>
      <c r="H451" s="367">
        <v>203.43809999999999</v>
      </c>
      <c r="I451" s="368">
        <v>0</v>
      </c>
      <c r="J451" s="234" t="s">
        <v>15</v>
      </c>
      <c r="K451" s="233" t="s">
        <v>15</v>
      </c>
      <c r="L451" s="234" t="s">
        <v>15</v>
      </c>
      <c r="M451" s="233" t="s">
        <v>15</v>
      </c>
      <c r="N451" s="537">
        <v>48.807586700000002</v>
      </c>
      <c r="O451" s="536">
        <v>0.26</v>
      </c>
      <c r="P451" s="536">
        <v>188.46690050000001</v>
      </c>
      <c r="Q451" s="453">
        <f>1.05/$T$447</f>
        <v>4.1752640655699379E-5</v>
      </c>
      <c r="R451" s="2196"/>
      <c r="S451" s="357">
        <v>29.696000000000002</v>
      </c>
      <c r="T451" s="151" t="s">
        <v>15</v>
      </c>
      <c r="U451" s="862"/>
      <c r="V451" s="24"/>
      <c r="W451" s="26"/>
      <c r="X451" s="26"/>
      <c r="Y451" s="41"/>
      <c r="Z451" s="41"/>
      <c r="AA451" s="41"/>
      <c r="AB451" s="846"/>
      <c r="AC451" s="26"/>
      <c r="AD451" s="24"/>
      <c r="AE451" s="26"/>
      <c r="AF451" s="106"/>
      <c r="AG451" s="37"/>
      <c r="AH451" s="957"/>
      <c r="AI451" s="1023"/>
      <c r="AJ451" s="1023"/>
      <c r="AK451" s="1023"/>
      <c r="AL451" s="1023"/>
      <c r="AM451" s="1023"/>
      <c r="AN451" s="1023"/>
      <c r="AO451" s="957"/>
      <c r="AP451" s="957"/>
      <c r="AQ451" s="957"/>
      <c r="AR451" s="957"/>
      <c r="AS451" s="957"/>
      <c r="AT451" s="957"/>
      <c r="AU451" s="957"/>
      <c r="AV451" s="957"/>
      <c r="AW451" s="957"/>
      <c r="AX451" s="957"/>
      <c r="AY451" s="957"/>
      <c r="AZ451" s="957"/>
      <c r="BA451" s="957"/>
      <c r="BB451" s="957"/>
      <c r="BC451" s="957"/>
      <c r="BD451" s="957"/>
      <c r="BE451" s="957"/>
      <c r="BF451" s="957"/>
      <c r="BG451" s="957"/>
    </row>
    <row r="452" spans="1:59">
      <c r="A452" s="2172"/>
      <c r="B452" s="2206"/>
      <c r="C452" s="2144"/>
      <c r="D452" s="348" t="s">
        <v>688</v>
      </c>
      <c r="E452" s="452">
        <v>8</v>
      </c>
      <c r="F452" s="148" t="s">
        <v>15</v>
      </c>
      <c r="G452" s="148" t="s">
        <v>15</v>
      </c>
      <c r="H452" s="367">
        <v>211.50540000000001</v>
      </c>
      <c r="I452" s="368">
        <v>24.894950000000001</v>
      </c>
      <c r="J452" s="234" t="s">
        <v>15</v>
      </c>
      <c r="K452" s="233" t="s">
        <v>15</v>
      </c>
      <c r="L452" s="234" t="s">
        <v>15</v>
      </c>
      <c r="M452" s="233" t="s">
        <v>15</v>
      </c>
      <c r="N452" s="537">
        <v>18.068327</v>
      </c>
      <c r="O452" s="536">
        <v>0.77</v>
      </c>
      <c r="P452" s="536">
        <v>23.335381099999999</v>
      </c>
      <c r="Q452" s="453">
        <f>380.6/$T$447</f>
        <v>1.5134338127199222E-2</v>
      </c>
      <c r="R452" s="2196"/>
      <c r="S452" s="22"/>
      <c r="T452" s="27"/>
      <c r="V452" s="24"/>
      <c r="W452" s="26"/>
      <c r="X452" s="26"/>
      <c r="Y452" s="41"/>
      <c r="Z452" s="41"/>
      <c r="AA452" s="41"/>
      <c r="AB452" s="846"/>
      <c r="AC452" s="26"/>
      <c r="AD452" s="24"/>
      <c r="AE452" s="26"/>
      <c r="AF452" s="106"/>
      <c r="AG452" s="37"/>
      <c r="AH452" s="957"/>
      <c r="AI452" s="1023"/>
      <c r="AJ452" s="1023"/>
      <c r="AK452" s="1023"/>
      <c r="AL452" s="1023"/>
      <c r="AM452" s="1023"/>
      <c r="AN452" s="1023"/>
      <c r="AO452" s="957"/>
      <c r="AP452" s="957"/>
      <c r="AQ452" s="957"/>
      <c r="AR452" s="957"/>
      <c r="AS452" s="957"/>
      <c r="AT452" s="957"/>
      <c r="AU452" s="957"/>
      <c r="AV452" s="957"/>
      <c r="AW452" s="957"/>
      <c r="AX452" s="957"/>
      <c r="AY452" s="957"/>
      <c r="AZ452" s="957"/>
      <c r="BA452" s="957"/>
      <c r="BB452" s="957"/>
      <c r="BC452" s="957"/>
      <c r="BD452" s="957"/>
      <c r="BE452" s="957"/>
      <c r="BF452" s="957"/>
      <c r="BG452" s="957"/>
    </row>
    <row r="453" spans="1:59">
      <c r="A453" s="2172"/>
      <c r="B453" s="2206"/>
      <c r="C453" s="2144"/>
      <c r="D453" s="348" t="s">
        <v>783</v>
      </c>
      <c r="E453" s="452">
        <v>3</v>
      </c>
      <c r="F453" s="148" t="s">
        <v>15</v>
      </c>
      <c r="G453" s="148" t="s">
        <v>15</v>
      </c>
      <c r="H453" s="367">
        <v>108.8891</v>
      </c>
      <c r="I453" s="368">
        <v>43.58032</v>
      </c>
      <c r="J453" s="234" t="s">
        <v>15</v>
      </c>
      <c r="K453" s="233" t="s">
        <v>15</v>
      </c>
      <c r="L453" s="234" t="s">
        <v>15</v>
      </c>
      <c r="M453" s="233" t="s">
        <v>15</v>
      </c>
      <c r="N453" s="537">
        <v>-49.115384200000001</v>
      </c>
      <c r="O453" s="536">
        <v>-0.64</v>
      </c>
      <c r="P453" s="536">
        <v>77.009870899999996</v>
      </c>
      <c r="Q453" s="453">
        <f>6.31/$T$447</f>
        <v>2.5091348813091716E-4</v>
      </c>
      <c r="R453" s="2196"/>
      <c r="S453" s="24"/>
      <c r="T453" s="26"/>
      <c r="V453" s="24"/>
      <c r="W453" s="26"/>
      <c r="X453" s="26"/>
      <c r="Y453" s="41"/>
      <c r="Z453" s="41"/>
      <c r="AA453" s="41"/>
      <c r="AB453" s="846"/>
      <c r="AC453" s="26"/>
      <c r="AD453" s="24"/>
      <c r="AE453" s="26"/>
      <c r="AF453" s="106"/>
      <c r="AG453" s="37"/>
      <c r="AH453" s="957"/>
      <c r="AI453" s="1023"/>
      <c r="AJ453" s="1023"/>
      <c r="AK453" s="1023"/>
      <c r="AL453" s="1023"/>
      <c r="AM453" s="1023"/>
      <c r="AN453" s="1023"/>
      <c r="AO453" s="957"/>
      <c r="AP453" s="957"/>
      <c r="AQ453" s="957"/>
      <c r="AR453" s="957"/>
      <c r="AS453" s="957"/>
      <c r="AT453" s="957"/>
      <c r="AU453" s="957"/>
      <c r="AV453" s="957"/>
      <c r="AW453" s="957"/>
      <c r="AX453" s="957"/>
      <c r="AY453" s="957"/>
      <c r="AZ453" s="957"/>
      <c r="BA453" s="957"/>
      <c r="BB453" s="957"/>
      <c r="BC453" s="957"/>
      <c r="BD453" s="957"/>
      <c r="BE453" s="957"/>
      <c r="BF453" s="957"/>
      <c r="BG453" s="957"/>
    </row>
    <row r="454" spans="1:59">
      <c r="A454" s="2172"/>
      <c r="B454" s="2206"/>
      <c r="C454" s="2144"/>
      <c r="D454" s="348" t="s">
        <v>784</v>
      </c>
      <c r="E454" s="452">
        <v>1</v>
      </c>
      <c r="F454" s="148" t="s">
        <v>15</v>
      </c>
      <c r="G454" s="148" t="s">
        <v>15</v>
      </c>
      <c r="H454" s="367">
        <v>150.12379999999999</v>
      </c>
      <c r="I454" s="368">
        <v>0</v>
      </c>
      <c r="J454" s="234" t="s">
        <v>15</v>
      </c>
      <c r="K454" s="233" t="s">
        <v>15</v>
      </c>
      <c r="L454" s="234" t="s">
        <v>15</v>
      </c>
      <c r="M454" s="233" t="s">
        <v>15</v>
      </c>
      <c r="N454" s="537">
        <v>0.90799110000000005</v>
      </c>
      <c r="O454" s="536">
        <v>0</v>
      </c>
      <c r="P454" s="536">
        <v>190.48713699999999</v>
      </c>
      <c r="Q454" s="453">
        <f>1.05/$T$447</f>
        <v>4.1752640655699379E-5</v>
      </c>
      <c r="R454" s="2196"/>
      <c r="S454" s="24"/>
      <c r="T454" s="26"/>
      <c r="V454" s="24"/>
      <c r="W454" s="26"/>
      <c r="X454" s="26"/>
      <c r="Y454" s="41"/>
      <c r="Z454" s="41"/>
      <c r="AA454" s="41"/>
      <c r="AB454" s="846"/>
      <c r="AC454" s="26"/>
      <c r="AD454" s="24"/>
      <c r="AE454" s="26"/>
      <c r="AF454" s="106"/>
      <c r="AG454" s="37"/>
      <c r="AH454" s="957"/>
      <c r="AI454" s="1023"/>
      <c r="AJ454" s="1023"/>
      <c r="AK454" s="1023"/>
      <c r="AL454" s="1023"/>
      <c r="AM454" s="1023"/>
      <c r="AN454" s="1023"/>
      <c r="AO454" s="957"/>
      <c r="AP454" s="957"/>
      <c r="AQ454" s="957"/>
      <c r="AR454" s="957"/>
      <c r="AS454" s="957"/>
      <c r="AT454" s="957"/>
      <c r="AU454" s="957"/>
      <c r="AV454" s="957"/>
      <c r="AW454" s="957"/>
      <c r="AX454" s="957"/>
      <c r="AY454" s="957"/>
      <c r="AZ454" s="957"/>
      <c r="BA454" s="957"/>
      <c r="BB454" s="957"/>
      <c r="BC454" s="957"/>
      <c r="BD454" s="957"/>
      <c r="BE454" s="957"/>
      <c r="BF454" s="957"/>
      <c r="BG454" s="957"/>
    </row>
    <row r="455" spans="1:59">
      <c r="A455" s="2172"/>
      <c r="B455" s="2206"/>
      <c r="C455" s="2144"/>
      <c r="D455" s="348" t="s">
        <v>764</v>
      </c>
      <c r="E455" s="452">
        <v>7</v>
      </c>
      <c r="F455" s="148" t="s">
        <v>15</v>
      </c>
      <c r="G455" s="148" t="s">
        <v>15</v>
      </c>
      <c r="H455" s="367">
        <v>238.46809999999999</v>
      </c>
      <c r="I455" s="368">
        <v>23.95223</v>
      </c>
      <c r="J455" s="234" t="s">
        <v>15</v>
      </c>
      <c r="K455" s="233" t="s">
        <v>15</v>
      </c>
      <c r="L455" s="234" t="s">
        <v>15</v>
      </c>
      <c r="M455" s="233" t="s">
        <v>15</v>
      </c>
      <c r="N455" s="537">
        <v>64.854390600000002</v>
      </c>
      <c r="O455" s="536">
        <v>1.8</v>
      </c>
      <c r="P455" s="536">
        <v>36.108240000000002</v>
      </c>
      <c r="Q455" s="453">
        <f>101.18/$T$447</f>
        <v>4.023363982422536E-3</v>
      </c>
      <c r="R455" s="2196"/>
      <c r="S455" s="24"/>
      <c r="T455" s="26"/>
      <c r="V455" s="24"/>
      <c r="W455" s="26"/>
      <c r="X455" s="26"/>
      <c r="Y455" s="41"/>
      <c r="Z455" s="41"/>
      <c r="AA455" s="41"/>
      <c r="AB455" s="846"/>
      <c r="AC455" s="26"/>
      <c r="AD455" s="24"/>
      <c r="AE455" s="26"/>
      <c r="AF455" s="106"/>
      <c r="AG455" s="37"/>
      <c r="AH455" s="957"/>
      <c r="AI455" s="1023"/>
      <c r="AJ455" s="1023"/>
      <c r="AK455" s="1023"/>
      <c r="AL455" s="1023"/>
      <c r="AM455" s="1023"/>
      <c r="AN455" s="1023"/>
      <c r="AO455" s="957"/>
      <c r="AP455" s="957"/>
      <c r="AQ455" s="957"/>
      <c r="AR455" s="957"/>
      <c r="AS455" s="957"/>
      <c r="AT455" s="957"/>
      <c r="AU455" s="957"/>
      <c r="AV455" s="957"/>
      <c r="AW455" s="957"/>
      <c r="AX455" s="957"/>
      <c r="AY455" s="957"/>
      <c r="AZ455" s="957"/>
      <c r="BA455" s="957"/>
      <c r="BB455" s="957"/>
      <c r="BC455" s="957"/>
      <c r="BD455" s="957"/>
      <c r="BE455" s="957"/>
      <c r="BF455" s="957"/>
      <c r="BG455" s="957"/>
    </row>
    <row r="456" spans="1:59">
      <c r="A456" s="2172"/>
      <c r="B456" s="2206"/>
      <c r="C456" s="2144"/>
      <c r="D456" s="348" t="s">
        <v>842</v>
      </c>
      <c r="E456" s="452">
        <v>11</v>
      </c>
      <c r="F456" s="148" t="s">
        <v>15</v>
      </c>
      <c r="G456" s="148" t="s">
        <v>15</v>
      </c>
      <c r="H456" s="367">
        <v>178.02459999999999</v>
      </c>
      <c r="I456" s="368">
        <v>15.335750000000001</v>
      </c>
      <c r="J456" s="234" t="s">
        <v>15</v>
      </c>
      <c r="K456" s="233" t="s">
        <v>15</v>
      </c>
      <c r="L456" s="234" t="s">
        <v>15</v>
      </c>
      <c r="M456" s="233" t="s">
        <v>15</v>
      </c>
      <c r="N456" s="537">
        <v>6.9545035999999998</v>
      </c>
      <c r="O456" s="536">
        <v>0.19</v>
      </c>
      <c r="P456" s="536">
        <v>36.013795700000003</v>
      </c>
      <c r="Q456" s="453">
        <f>2973.98/$T$447</f>
        <v>0.11825858881641603</v>
      </c>
      <c r="R456" s="2196"/>
      <c r="S456" s="24"/>
      <c r="T456" s="26"/>
      <c r="V456" s="24"/>
      <c r="W456" s="26"/>
      <c r="X456" s="26"/>
      <c r="Y456" s="41"/>
      <c r="Z456" s="41"/>
      <c r="AA456" s="41"/>
      <c r="AB456" s="846"/>
      <c r="AC456" s="26"/>
      <c r="AD456" s="24"/>
      <c r="AE456" s="26"/>
      <c r="AF456" s="106"/>
      <c r="AG456" s="37"/>
      <c r="AH456" s="957"/>
      <c r="AI456" s="1023"/>
      <c r="AJ456" s="1023"/>
      <c r="AK456" s="1023"/>
      <c r="AL456" s="1023"/>
      <c r="AM456" s="1023"/>
      <c r="AN456" s="1023"/>
      <c r="AO456" s="957"/>
      <c r="AP456" s="957"/>
      <c r="AQ456" s="957"/>
      <c r="AR456" s="957"/>
      <c r="AS456" s="957"/>
      <c r="AT456" s="957"/>
      <c r="AU456" s="957"/>
      <c r="AV456" s="957"/>
      <c r="AW456" s="957"/>
      <c r="AX456" s="957"/>
      <c r="AY456" s="957"/>
      <c r="AZ456" s="957"/>
      <c r="BA456" s="957"/>
      <c r="BB456" s="957"/>
      <c r="BC456" s="957"/>
      <c r="BD456" s="957"/>
      <c r="BE456" s="957"/>
      <c r="BF456" s="957"/>
      <c r="BG456" s="957"/>
    </row>
    <row r="457" spans="1:59">
      <c r="A457" s="2172"/>
      <c r="B457" s="2206"/>
      <c r="C457" s="2144"/>
      <c r="D457" s="348" t="s">
        <v>766</v>
      </c>
      <c r="E457" s="452">
        <v>7</v>
      </c>
      <c r="F457" s="148" t="s">
        <v>15</v>
      </c>
      <c r="G457" s="148" t="s">
        <v>15</v>
      </c>
      <c r="H457" s="367">
        <v>244.50309999999999</v>
      </c>
      <c r="I457" s="368">
        <v>69.412530000000004</v>
      </c>
      <c r="J457" s="234" t="s">
        <v>15</v>
      </c>
      <c r="K457" s="233" t="s">
        <v>15</v>
      </c>
      <c r="L457" s="234" t="s">
        <v>15</v>
      </c>
      <c r="M457" s="233" t="s">
        <v>15</v>
      </c>
      <c r="N457" s="537">
        <v>93.835929199999995</v>
      </c>
      <c r="O457" s="536">
        <v>2.37</v>
      </c>
      <c r="P457" s="536">
        <v>39.5460061</v>
      </c>
      <c r="Q457" s="453">
        <f>25.78/$T$447</f>
        <v>1.0251267391465999E-3</v>
      </c>
      <c r="R457" s="2196"/>
      <c r="S457" s="24"/>
      <c r="T457" s="26"/>
      <c r="V457" s="24"/>
      <c r="W457" s="26"/>
      <c r="X457" s="26"/>
      <c r="Y457" s="41"/>
      <c r="Z457" s="41"/>
      <c r="AA457" s="41"/>
      <c r="AB457" s="846"/>
      <c r="AC457" s="26"/>
      <c r="AD457" s="24"/>
      <c r="AE457" s="26"/>
      <c r="AF457" s="106"/>
      <c r="AG457" s="37"/>
      <c r="AH457" s="957"/>
      <c r="AI457" s="1023"/>
      <c r="AJ457" s="1023"/>
      <c r="AK457" s="1023"/>
      <c r="AL457" s="1023"/>
      <c r="AM457" s="1023"/>
      <c r="AN457" s="1023"/>
      <c r="AO457" s="957"/>
      <c r="AP457" s="957"/>
      <c r="AQ457" s="957"/>
      <c r="AR457" s="957"/>
      <c r="AS457" s="957"/>
      <c r="AT457" s="957"/>
      <c r="AU457" s="957"/>
      <c r="AV457" s="957"/>
      <c r="AW457" s="957"/>
      <c r="AX457" s="957"/>
      <c r="AY457" s="957"/>
      <c r="AZ457" s="957"/>
      <c r="BA457" s="957"/>
      <c r="BB457" s="957"/>
      <c r="BC457" s="957"/>
      <c r="BD457" s="957"/>
      <c r="BE457" s="957"/>
      <c r="BF457" s="957"/>
      <c r="BG457" s="957"/>
    </row>
    <row r="458" spans="1:59">
      <c r="A458" s="2172"/>
      <c r="B458" s="2206"/>
      <c r="C458" s="2144"/>
      <c r="D458" s="348" t="s">
        <v>794</v>
      </c>
      <c r="E458" s="452">
        <v>3</v>
      </c>
      <c r="F458" s="148" t="s">
        <v>15</v>
      </c>
      <c r="G458" s="148" t="s">
        <v>15</v>
      </c>
      <c r="H458" s="367">
        <v>174.19730000000001</v>
      </c>
      <c r="I458" s="368">
        <v>43.730020000000003</v>
      </c>
      <c r="J458" s="234" t="s">
        <v>15</v>
      </c>
      <c r="K458" s="233" t="s">
        <v>15</v>
      </c>
      <c r="L458" s="234" t="s">
        <v>15</v>
      </c>
      <c r="M458" s="233" t="s">
        <v>15</v>
      </c>
      <c r="N458" s="537">
        <v>-41.933835500000001</v>
      </c>
      <c r="O458" s="536">
        <v>-0.47</v>
      </c>
      <c r="P458" s="536">
        <v>89.152804200000006</v>
      </c>
      <c r="Q458" s="453">
        <f>11/$T$447</f>
        <v>4.3740861639304107E-4</v>
      </c>
      <c r="R458" s="2196"/>
      <c r="S458" s="24"/>
      <c r="T458" s="26"/>
      <c r="V458" s="24"/>
      <c r="W458" s="26"/>
      <c r="X458" s="26"/>
      <c r="Y458" s="41"/>
      <c r="Z458" s="41"/>
      <c r="AA458" s="41"/>
      <c r="AB458" s="846"/>
      <c r="AC458" s="26"/>
      <c r="AD458" s="24"/>
      <c r="AE458" s="26"/>
      <c r="AF458" s="106"/>
      <c r="AG458" s="37"/>
      <c r="AH458" s="957"/>
      <c r="AI458" s="1023"/>
      <c r="AJ458" s="1023"/>
      <c r="AK458" s="1023"/>
      <c r="AL458" s="1023"/>
      <c r="AM458" s="1023"/>
      <c r="AN458" s="1023"/>
      <c r="AO458" s="957"/>
      <c r="AP458" s="957"/>
      <c r="AQ458" s="957"/>
      <c r="AR458" s="957"/>
      <c r="AS458" s="957"/>
      <c r="AT458" s="957"/>
      <c r="AU458" s="957"/>
      <c r="AV458" s="957"/>
      <c r="AW458" s="957"/>
      <c r="AX458" s="957"/>
      <c r="AY458" s="957"/>
      <c r="AZ458" s="957"/>
      <c r="BA458" s="957"/>
      <c r="BB458" s="957"/>
      <c r="BC458" s="957"/>
      <c r="BD458" s="957"/>
      <c r="BE458" s="957"/>
      <c r="BF458" s="957"/>
      <c r="BG458" s="957"/>
    </row>
    <row r="459" spans="1:59">
      <c r="A459" s="2172"/>
      <c r="B459" s="2206"/>
      <c r="C459" s="2144"/>
      <c r="D459" s="348" t="s">
        <v>767</v>
      </c>
      <c r="E459" s="452">
        <v>2</v>
      </c>
      <c r="F459" s="148" t="s">
        <v>15</v>
      </c>
      <c r="G459" s="148" t="s">
        <v>15</v>
      </c>
      <c r="H459" s="367">
        <v>64</v>
      </c>
      <c r="I459" s="368">
        <v>34</v>
      </c>
      <c r="J459" s="234" t="s">
        <v>15</v>
      </c>
      <c r="K459" s="233" t="s">
        <v>15</v>
      </c>
      <c r="L459" s="234" t="s">
        <v>15</v>
      </c>
      <c r="M459" s="233" t="s">
        <v>15</v>
      </c>
      <c r="N459" s="537">
        <v>-106.35251959999999</v>
      </c>
      <c r="O459" s="536">
        <v>-0.75</v>
      </c>
      <c r="P459" s="536">
        <v>142.3958446</v>
      </c>
      <c r="Q459" s="453">
        <f>2/$T$447</f>
        <v>7.9528839344189287E-5</v>
      </c>
      <c r="R459" s="2196"/>
      <c r="S459" s="24"/>
      <c r="T459" s="26"/>
      <c r="V459" s="24"/>
      <c r="W459" s="26"/>
      <c r="X459" s="26"/>
      <c r="Y459" s="41"/>
      <c r="Z459" s="41"/>
      <c r="AA459" s="41"/>
      <c r="AB459" s="846"/>
      <c r="AC459" s="26"/>
      <c r="AD459" s="24"/>
      <c r="AE459" s="26"/>
      <c r="AF459" s="106"/>
      <c r="AG459" s="37"/>
      <c r="AH459" s="957"/>
      <c r="AI459" s="1023"/>
      <c r="AJ459" s="1023"/>
      <c r="AK459" s="1023"/>
      <c r="AL459" s="1023"/>
      <c r="AM459" s="1023"/>
      <c r="AN459" s="1023"/>
      <c r="AO459" s="957"/>
      <c r="AP459" s="957"/>
      <c r="AQ459" s="957"/>
      <c r="AR459" s="957"/>
      <c r="AS459" s="957"/>
      <c r="AT459" s="957"/>
      <c r="AU459" s="957"/>
      <c r="AV459" s="957"/>
      <c r="AW459" s="957"/>
      <c r="AX459" s="957"/>
      <c r="AY459" s="957"/>
      <c r="AZ459" s="957"/>
      <c r="BA459" s="957"/>
      <c r="BB459" s="957"/>
      <c r="BC459" s="957"/>
      <c r="BD459" s="957"/>
      <c r="BE459" s="957"/>
      <c r="BF459" s="957"/>
      <c r="BG459" s="957"/>
    </row>
    <row r="460" spans="1:59">
      <c r="A460" s="2172"/>
      <c r="B460" s="2206"/>
      <c r="C460" s="2144"/>
      <c r="D460" s="348" t="s">
        <v>768</v>
      </c>
      <c r="E460" s="452">
        <v>4</v>
      </c>
      <c r="F460" s="148" t="s">
        <v>15</v>
      </c>
      <c r="G460" s="148" t="s">
        <v>15</v>
      </c>
      <c r="H460" s="367">
        <v>155.096</v>
      </c>
      <c r="I460" s="368">
        <v>11.125830000000001</v>
      </c>
      <c r="J460" s="234" t="s">
        <v>15</v>
      </c>
      <c r="K460" s="233" t="s">
        <v>15</v>
      </c>
      <c r="L460" s="234" t="s">
        <v>15</v>
      </c>
      <c r="M460" s="233" t="s">
        <v>15</v>
      </c>
      <c r="N460" s="537">
        <v>0</v>
      </c>
      <c r="O460" s="536" t="s">
        <v>574</v>
      </c>
      <c r="P460" s="536" t="s">
        <v>574</v>
      </c>
      <c r="Q460" s="453">
        <f>4292.41/$T$447</f>
        <v>0.17068519264469575</v>
      </c>
      <c r="R460" s="2155"/>
      <c r="S460" s="24"/>
      <c r="T460" s="26"/>
      <c r="V460" s="24"/>
      <c r="W460" s="26"/>
      <c r="X460" s="26"/>
      <c r="Y460" s="41"/>
      <c r="Z460" s="41"/>
      <c r="AA460" s="41"/>
      <c r="AB460" s="846"/>
      <c r="AC460" s="26"/>
      <c r="AD460" s="24"/>
      <c r="AE460" s="26"/>
      <c r="AF460" s="106"/>
      <c r="AG460" s="37"/>
      <c r="AH460" s="957"/>
      <c r="AI460" s="1023"/>
      <c r="AJ460" s="1023"/>
      <c r="AK460" s="1023"/>
      <c r="AL460" s="1023"/>
      <c r="AM460" s="1023"/>
      <c r="AN460" s="1023"/>
      <c r="AO460" s="957"/>
      <c r="AP460" s="957"/>
      <c r="AQ460" s="957"/>
      <c r="AR460" s="957"/>
      <c r="AS460" s="957"/>
      <c r="AT460" s="957"/>
      <c r="AU460" s="957"/>
      <c r="AV460" s="957"/>
      <c r="AW460" s="957"/>
      <c r="AX460" s="957"/>
      <c r="AY460" s="957"/>
      <c r="AZ460" s="957"/>
      <c r="BA460" s="957"/>
      <c r="BB460" s="957"/>
      <c r="BC460" s="957"/>
      <c r="BD460" s="957"/>
      <c r="BE460" s="957"/>
      <c r="BF460" s="957"/>
      <c r="BG460" s="957"/>
    </row>
    <row r="461" spans="1:59">
      <c r="A461" s="2172"/>
      <c r="B461" s="2207" t="s">
        <v>796</v>
      </c>
      <c r="C461" s="2179" t="s">
        <v>13</v>
      </c>
      <c r="D461" s="348" t="s">
        <v>797</v>
      </c>
      <c r="E461" s="452">
        <v>73</v>
      </c>
      <c r="F461" s="148" t="s">
        <v>15</v>
      </c>
      <c r="G461" s="148" t="s">
        <v>15</v>
      </c>
      <c r="H461" s="367">
        <v>170.32689999999999</v>
      </c>
      <c r="I461" s="368">
        <v>17.227740000000001</v>
      </c>
      <c r="J461" s="234" t="s">
        <v>15</v>
      </c>
      <c r="K461" s="233" t="s">
        <v>15</v>
      </c>
      <c r="L461" s="234" t="s">
        <v>15</v>
      </c>
      <c r="M461" s="233" t="s">
        <v>15</v>
      </c>
      <c r="N461" s="537">
        <v>0</v>
      </c>
      <c r="O461" s="536" t="s">
        <v>574</v>
      </c>
      <c r="P461" s="536" t="s">
        <v>574</v>
      </c>
      <c r="Q461" s="453">
        <f>24815.23/$T$447</f>
        <v>0.98676321997955307</v>
      </c>
      <c r="R461" s="2129">
        <f>SUMPRODUCT(N461:N462,Q461:Q462)</f>
        <v>0.87587090245080057</v>
      </c>
      <c r="S461" s="24"/>
      <c r="T461" s="26"/>
      <c r="V461" s="24"/>
      <c r="W461" s="26"/>
      <c r="X461" s="26"/>
      <c r="Y461" s="41"/>
      <c r="Z461" s="41"/>
      <c r="AA461" s="41"/>
      <c r="AB461" s="846"/>
      <c r="AC461" s="26"/>
      <c r="AD461" s="24"/>
      <c r="AE461" s="26"/>
      <c r="AF461" s="106"/>
      <c r="AG461" s="37"/>
      <c r="AH461" s="957"/>
      <c r="AI461" s="1023"/>
      <c r="AJ461" s="1023"/>
      <c r="AK461" s="1023"/>
      <c r="AL461" s="1023"/>
      <c r="AM461" s="1023"/>
      <c r="AN461" s="1023"/>
      <c r="AO461" s="957"/>
      <c r="AP461" s="957"/>
      <c r="AQ461" s="957"/>
      <c r="AR461" s="957"/>
      <c r="AS461" s="957"/>
      <c r="AT461" s="957"/>
      <c r="AU461" s="957"/>
      <c r="AV461" s="957"/>
      <c r="AW461" s="957"/>
      <c r="AX461" s="957"/>
      <c r="AY461" s="957"/>
      <c r="AZ461" s="957"/>
      <c r="BA461" s="957"/>
      <c r="BB461" s="957"/>
      <c r="BC461" s="957"/>
      <c r="BD461" s="957"/>
      <c r="BE461" s="957"/>
      <c r="BF461" s="957"/>
      <c r="BG461" s="957"/>
    </row>
    <row r="462" spans="1:59">
      <c r="A462" s="2172"/>
      <c r="B462" s="2209"/>
      <c r="C462" s="2180"/>
      <c r="D462" s="348" t="s">
        <v>798</v>
      </c>
      <c r="E462" s="452">
        <v>13</v>
      </c>
      <c r="F462" s="148" t="s">
        <v>15</v>
      </c>
      <c r="G462" s="148" t="s">
        <v>15</v>
      </c>
      <c r="H462" s="367">
        <v>212.74350000000001</v>
      </c>
      <c r="I462" s="368">
        <v>36.003369999999997</v>
      </c>
      <c r="J462" s="234" t="s">
        <v>15</v>
      </c>
      <c r="K462" s="233" t="s">
        <v>15</v>
      </c>
      <c r="L462" s="234" t="s">
        <v>15</v>
      </c>
      <c r="M462" s="233" t="s">
        <v>15</v>
      </c>
      <c r="N462" s="537">
        <v>66.169483900000003</v>
      </c>
      <c r="O462" s="536">
        <v>2.71</v>
      </c>
      <c r="P462" s="536">
        <v>24.422406500000001</v>
      </c>
      <c r="Q462" s="453">
        <f>332.88/$T$447</f>
        <v>1.3236780020446865E-2</v>
      </c>
      <c r="R462" s="2129"/>
      <c r="S462" s="24"/>
      <c r="T462" s="26"/>
      <c r="V462" s="24"/>
      <c r="W462" s="26"/>
      <c r="X462" s="26"/>
      <c r="Y462" s="41"/>
      <c r="Z462" s="41"/>
      <c r="AA462" s="41"/>
      <c r="AB462" s="846"/>
      <c r="AC462" s="26"/>
      <c r="AD462" s="24"/>
      <c r="AE462" s="26"/>
      <c r="AF462" s="106"/>
      <c r="AG462" s="37"/>
      <c r="AH462" s="957"/>
      <c r="AI462" s="1023"/>
      <c r="AJ462" s="1023"/>
      <c r="AK462" s="1023"/>
      <c r="AL462" s="1023"/>
      <c r="AM462" s="1023"/>
      <c r="AN462" s="1023"/>
      <c r="AO462" s="957"/>
      <c r="AP462" s="957"/>
      <c r="AQ462" s="957"/>
      <c r="AR462" s="957"/>
      <c r="AS462" s="957"/>
      <c r="AT462" s="957"/>
      <c r="AU462" s="957"/>
      <c r="AV462" s="957"/>
      <c r="AW462" s="957"/>
      <c r="AX462" s="957"/>
      <c r="AY462" s="957"/>
      <c r="AZ462" s="957"/>
      <c r="BA462" s="957"/>
      <c r="BB462" s="957"/>
      <c r="BC462" s="957"/>
      <c r="BD462" s="957"/>
      <c r="BE462" s="957"/>
      <c r="BF462" s="957"/>
      <c r="BG462" s="957"/>
    </row>
    <row r="463" spans="1:59">
      <c r="A463" s="2172"/>
      <c r="B463" s="2207" t="s">
        <v>799</v>
      </c>
      <c r="C463" s="2278" t="s">
        <v>11</v>
      </c>
      <c r="D463" s="759" t="s">
        <v>33</v>
      </c>
      <c r="E463" s="452">
        <v>12</v>
      </c>
      <c r="F463" s="148" t="s">
        <v>15</v>
      </c>
      <c r="G463" s="148" t="s">
        <v>15</v>
      </c>
      <c r="H463" s="367">
        <v>185.82689999999999</v>
      </c>
      <c r="I463" s="368">
        <v>5.4702279999999996</v>
      </c>
      <c r="J463" s="234" t="s">
        <v>15</v>
      </c>
      <c r="K463" s="233" t="s">
        <v>15</v>
      </c>
      <c r="L463" s="234" t="s">
        <v>15</v>
      </c>
      <c r="M463" s="233" t="s">
        <v>15</v>
      </c>
      <c r="N463" s="537">
        <v>26.3510384</v>
      </c>
      <c r="O463" s="536">
        <v>8.1</v>
      </c>
      <c r="P463" s="536">
        <v>3.2525455000000001</v>
      </c>
      <c r="Q463" s="453">
        <f>8191.89/$T$447</f>
        <v>0.32574575186763538</v>
      </c>
      <c r="R463" s="2129">
        <f>SUMPRODUCT(N463:N464,Q463:Q464)</f>
        <v>8.5837388161009311</v>
      </c>
      <c r="S463" s="24"/>
      <c r="T463" s="26"/>
      <c r="V463" s="24"/>
      <c r="W463" s="26"/>
      <c r="X463" s="26"/>
      <c r="Y463" s="41"/>
      <c r="Z463" s="41"/>
      <c r="AA463" s="41"/>
      <c r="AB463" s="846"/>
      <c r="AC463" s="26"/>
      <c r="AD463" s="24"/>
      <c r="AE463" s="26"/>
      <c r="AF463" s="106"/>
      <c r="AG463" s="37"/>
      <c r="AH463" s="957"/>
      <c r="AI463" s="1023"/>
      <c r="AJ463" s="1023"/>
      <c r="AK463" s="1023"/>
      <c r="AL463" s="1023"/>
      <c r="AM463" s="1023"/>
      <c r="AN463" s="1023"/>
      <c r="AO463" s="957"/>
      <c r="AP463" s="957"/>
      <c r="AQ463" s="957"/>
      <c r="AR463" s="957"/>
      <c r="AS463" s="957"/>
      <c r="AT463" s="957"/>
      <c r="AU463" s="957"/>
      <c r="AV463" s="957"/>
      <c r="AW463" s="957"/>
      <c r="AX463" s="957"/>
      <c r="AY463" s="957"/>
      <c r="AZ463" s="957"/>
      <c r="BA463" s="957"/>
      <c r="BB463" s="957"/>
      <c r="BC463" s="957"/>
      <c r="BD463" s="957"/>
      <c r="BE463" s="957"/>
      <c r="BF463" s="957"/>
      <c r="BG463" s="957"/>
    </row>
    <row r="464" spans="1:59">
      <c r="A464" s="2172"/>
      <c r="B464" s="2209"/>
      <c r="C464" s="2284"/>
      <c r="D464" s="759" t="s">
        <v>32</v>
      </c>
      <c r="E464" s="452">
        <v>74</v>
      </c>
      <c r="F464" s="148" t="s">
        <v>15</v>
      </c>
      <c r="G464" s="148" t="s">
        <v>15</v>
      </c>
      <c r="H464" s="367">
        <v>163.6712</v>
      </c>
      <c r="I464" s="368">
        <v>17.896909999999998</v>
      </c>
      <c r="J464" s="234" t="s">
        <v>15</v>
      </c>
      <c r="K464" s="233" t="s">
        <v>15</v>
      </c>
      <c r="L464" s="234" t="s">
        <v>15</v>
      </c>
      <c r="M464" s="233" t="s">
        <v>15</v>
      </c>
      <c r="N464" s="537">
        <v>0</v>
      </c>
      <c r="O464" s="536" t="s">
        <v>574</v>
      </c>
      <c r="P464" s="536" t="s">
        <v>574</v>
      </c>
      <c r="Q464" s="453">
        <f>16956.22/$T$447</f>
        <v>0.67425424813236468</v>
      </c>
      <c r="R464" s="2129"/>
      <c r="S464" s="24"/>
      <c r="T464" s="26"/>
      <c r="V464" s="24"/>
      <c r="W464" s="26"/>
      <c r="X464" s="26"/>
      <c r="Y464" s="41"/>
      <c r="Z464" s="41"/>
      <c r="AA464" s="41"/>
      <c r="AB464" s="846"/>
      <c r="AC464" s="26"/>
      <c r="AD464" s="24"/>
      <c r="AE464" s="26"/>
      <c r="AF464" s="106"/>
      <c r="AG464" s="37"/>
      <c r="AH464" s="957"/>
      <c r="AI464" s="1023"/>
      <c r="AJ464" s="1023"/>
      <c r="AK464" s="1023"/>
      <c r="AL464" s="1023"/>
      <c r="AM464" s="1023"/>
      <c r="AN464" s="1023"/>
      <c r="AO464" s="957"/>
      <c r="AP464" s="957"/>
      <c r="AQ464" s="957"/>
      <c r="AR464" s="957"/>
      <c r="AS464" s="957"/>
      <c r="AT464" s="957"/>
      <c r="AU464" s="957"/>
      <c r="AV464" s="957"/>
      <c r="AW464" s="957"/>
      <c r="AX464" s="957"/>
      <c r="AY464" s="957"/>
      <c r="AZ464" s="957"/>
      <c r="BA464" s="957"/>
      <c r="BB464" s="957"/>
      <c r="BC464" s="957"/>
      <c r="BD464" s="957"/>
      <c r="BE464" s="957"/>
      <c r="BF464" s="957"/>
      <c r="BG464" s="957"/>
    </row>
    <row r="465" spans="1:113">
      <c r="A465" s="2172"/>
      <c r="B465" s="2206" t="s">
        <v>7</v>
      </c>
      <c r="C465" s="2144" t="s">
        <v>13</v>
      </c>
      <c r="D465" s="348">
        <v>1</v>
      </c>
      <c r="E465" s="452">
        <v>24</v>
      </c>
      <c r="F465" s="148" t="s">
        <v>15</v>
      </c>
      <c r="G465" s="148" t="s">
        <v>15</v>
      </c>
      <c r="H465" s="367">
        <v>172.42349999999999</v>
      </c>
      <c r="I465" s="368">
        <v>20.0975</v>
      </c>
      <c r="J465" s="234" t="s">
        <v>15</v>
      </c>
      <c r="K465" s="233" t="s">
        <v>15</v>
      </c>
      <c r="L465" s="234" t="s">
        <v>15</v>
      </c>
      <c r="M465" s="233" t="s">
        <v>15</v>
      </c>
      <c r="N465" s="537">
        <v>0.24163989999999999</v>
      </c>
      <c r="O465" s="536">
        <v>0.08</v>
      </c>
      <c r="P465" s="536">
        <v>3.1309431999999999</v>
      </c>
      <c r="Q465" s="453">
        <f>5470.94/$T$447</f>
        <v>0.21754875416084946</v>
      </c>
      <c r="R465" s="2130">
        <f>SUMPRODUCT(N465:N468,Q465:Q468)</f>
        <v>5.9085621080868511E-2</v>
      </c>
      <c r="S465" s="24"/>
      <c r="T465" s="26"/>
      <c r="V465" s="24"/>
      <c r="W465" s="26"/>
      <c r="X465" s="26"/>
      <c r="Y465" s="41"/>
      <c r="Z465" s="41"/>
      <c r="AA465" s="41"/>
      <c r="AB465" s="846"/>
      <c r="AC465" s="26"/>
      <c r="AD465" s="24"/>
      <c r="AE465" s="26"/>
      <c r="AF465" s="106"/>
      <c r="AG465" s="37"/>
      <c r="AH465" s="957"/>
      <c r="AI465" s="1023"/>
      <c r="AJ465" s="1023"/>
      <c r="AK465" s="1023"/>
      <c r="AL465" s="1023"/>
      <c r="AM465" s="1023"/>
      <c r="AN465" s="1023"/>
      <c r="AO465" s="957"/>
      <c r="AP465" s="957"/>
      <c r="AQ465" s="957"/>
      <c r="AR465" s="957"/>
      <c r="AS465" s="957"/>
      <c r="AT465" s="957"/>
      <c r="AU465" s="957"/>
      <c r="AV465" s="957"/>
      <c r="AW465" s="957"/>
      <c r="AX465" s="957"/>
      <c r="AY465" s="957"/>
      <c r="AZ465" s="957"/>
      <c r="BA465" s="957"/>
      <c r="BB465" s="957"/>
      <c r="BC465" s="957"/>
      <c r="BD465" s="957"/>
      <c r="BE465" s="957"/>
      <c r="BF465" s="957"/>
      <c r="BG465" s="957"/>
    </row>
    <row r="466" spans="1:113">
      <c r="A466" s="2172"/>
      <c r="B466" s="2206"/>
      <c r="C466" s="2144"/>
      <c r="D466" s="348">
        <v>2</v>
      </c>
      <c r="E466" s="452">
        <v>21</v>
      </c>
      <c r="F466" s="148" t="s">
        <v>15</v>
      </c>
      <c r="G466" s="148" t="s">
        <v>15</v>
      </c>
      <c r="H466" s="367">
        <v>178.08920000000001</v>
      </c>
      <c r="I466" s="368">
        <v>18.01735</v>
      </c>
      <c r="J466" s="234" t="s">
        <v>15</v>
      </c>
      <c r="K466" s="233" t="s">
        <v>15</v>
      </c>
      <c r="L466" s="234" t="s">
        <v>15</v>
      </c>
      <c r="M466" s="233" t="s">
        <v>15</v>
      </c>
      <c r="N466" s="537">
        <v>2.7418209999999998</v>
      </c>
      <c r="O466" s="536">
        <v>0.67</v>
      </c>
      <c r="P466" s="536">
        <v>4.1013742000000004</v>
      </c>
      <c r="Q466" s="453">
        <f>2850.48/$T$447</f>
        <v>0.11334768298691233</v>
      </c>
      <c r="R466" s="2196"/>
      <c r="S466" s="24"/>
      <c r="T466" s="26"/>
      <c r="V466" s="24"/>
      <c r="W466" s="26"/>
      <c r="X466" s="26"/>
      <c r="Y466" s="41"/>
      <c r="Z466" s="41"/>
      <c r="AA466" s="41"/>
      <c r="AB466" s="846"/>
      <c r="AC466" s="26"/>
      <c r="AD466" s="24"/>
      <c r="AE466" s="26"/>
      <c r="AF466" s="106"/>
      <c r="AG466" s="37"/>
      <c r="AH466" s="957"/>
      <c r="AI466" s="1023"/>
      <c r="AJ466" s="1023"/>
      <c r="AK466" s="1023"/>
      <c r="AL466" s="1023"/>
      <c r="AM466" s="1023"/>
      <c r="AN466" s="1023"/>
      <c r="AO466" s="957"/>
      <c r="AP466" s="957"/>
      <c r="AQ466" s="957"/>
      <c r="AR466" s="957"/>
      <c r="AS466" s="957"/>
      <c r="AT466" s="957"/>
      <c r="AU466" s="957"/>
      <c r="AV466" s="957"/>
      <c r="AW466" s="957"/>
      <c r="AX466" s="957"/>
      <c r="AY466" s="957"/>
      <c r="AZ466" s="957"/>
      <c r="BA466" s="957"/>
      <c r="BB466" s="957"/>
      <c r="BC466" s="957"/>
      <c r="BD466" s="957"/>
      <c r="BE466" s="957"/>
      <c r="BF466" s="957"/>
      <c r="BG466" s="957"/>
    </row>
    <row r="467" spans="1:113">
      <c r="A467" s="2172"/>
      <c r="B467" s="2206"/>
      <c r="C467" s="2144"/>
      <c r="D467" s="348">
        <v>3</v>
      </c>
      <c r="E467" s="452">
        <v>20</v>
      </c>
      <c r="F467" s="148" t="s">
        <v>15</v>
      </c>
      <c r="G467" s="148" t="s">
        <v>15</v>
      </c>
      <c r="H467" s="367">
        <v>172.1225</v>
      </c>
      <c r="I467" s="368">
        <v>17.0045</v>
      </c>
      <c r="J467" s="234" t="s">
        <v>15</v>
      </c>
      <c r="K467" s="233" t="s">
        <v>15</v>
      </c>
      <c r="L467" s="234" t="s">
        <v>15</v>
      </c>
      <c r="M467" s="233" t="s">
        <v>15</v>
      </c>
      <c r="N467" s="537">
        <v>-2.7839125999999998</v>
      </c>
      <c r="O467" s="536">
        <v>-0.56000000000000005</v>
      </c>
      <c r="P467" s="536">
        <v>4.9528074000000002</v>
      </c>
      <c r="Q467" s="453">
        <f>2748.51/$T$447</f>
        <v>0.10929290511294885</v>
      </c>
      <c r="R467" s="2196"/>
      <c r="S467" s="24"/>
      <c r="T467" s="26"/>
      <c r="V467" s="24"/>
      <c r="W467" s="26"/>
      <c r="X467" s="26"/>
      <c r="Y467" s="41"/>
      <c r="Z467" s="41"/>
      <c r="AA467" s="41"/>
      <c r="AB467" s="846"/>
      <c r="AC467" s="26"/>
      <c r="AD467" s="24"/>
      <c r="AE467" s="26"/>
      <c r="AF467" s="106"/>
      <c r="AG467" s="37"/>
      <c r="AH467" s="957"/>
      <c r="AI467" s="1023"/>
      <c r="AJ467" s="1023"/>
      <c r="AK467" s="1023"/>
      <c r="AL467" s="1023"/>
      <c r="AM467" s="1023"/>
      <c r="AN467" s="1023"/>
      <c r="AO467" s="957"/>
      <c r="AP467" s="957"/>
      <c r="AQ467" s="957"/>
      <c r="AR467" s="957"/>
      <c r="AS467" s="957"/>
      <c r="AT467" s="957"/>
      <c r="AU467" s="957"/>
      <c r="AV467" s="957"/>
      <c r="AW467" s="957"/>
      <c r="AX467" s="957"/>
      <c r="AY467" s="957"/>
      <c r="AZ467" s="957"/>
      <c r="BA467" s="957"/>
      <c r="BB467" s="957"/>
      <c r="BC467" s="957"/>
      <c r="BD467" s="957"/>
      <c r="BE467" s="957"/>
      <c r="BF467" s="957"/>
      <c r="BG467" s="957"/>
    </row>
    <row r="468" spans="1:113" ht="15.75" thickBot="1">
      <c r="A468" s="2188"/>
      <c r="B468" s="2206"/>
      <c r="C468" s="2144"/>
      <c r="D468" s="205">
        <v>4</v>
      </c>
      <c r="E468" s="25">
        <v>21</v>
      </c>
      <c r="F468" s="197" t="s">
        <v>15</v>
      </c>
      <c r="G468" s="197" t="s">
        <v>15</v>
      </c>
      <c r="H468" s="367">
        <v>168.59280000000001</v>
      </c>
      <c r="I468" s="368">
        <v>17.310549999999999</v>
      </c>
      <c r="J468" s="409" t="s">
        <v>15</v>
      </c>
      <c r="K468" s="122" t="s">
        <v>15</v>
      </c>
      <c r="L468" s="409" t="s">
        <v>15</v>
      </c>
      <c r="M468" s="122" t="s">
        <v>15</v>
      </c>
      <c r="N468" s="1201">
        <v>0</v>
      </c>
      <c r="O468" s="133" t="s">
        <v>574</v>
      </c>
      <c r="P468" s="133" t="s">
        <v>574</v>
      </c>
      <c r="Q468" s="454">
        <f>14078.18/$T$447</f>
        <v>0.5598106577392894</v>
      </c>
      <c r="R468" s="2155"/>
      <c r="S468" s="24"/>
      <c r="T468" s="26"/>
      <c r="V468" s="24"/>
      <c r="W468" s="26"/>
      <c r="X468" s="26"/>
      <c r="Y468" s="41"/>
      <c r="Z468" s="41"/>
      <c r="AA468" s="41"/>
      <c r="AB468" s="846"/>
      <c r="AC468" s="26"/>
      <c r="AD468" s="240"/>
      <c r="AE468" s="764"/>
      <c r="AF468" s="106"/>
      <c r="AG468" s="37"/>
      <c r="AH468" s="957"/>
      <c r="AI468" s="1023"/>
      <c r="AJ468" s="1023"/>
      <c r="AK468" s="1023"/>
      <c r="AL468" s="1023"/>
      <c r="AM468" s="1023"/>
      <c r="AN468" s="1023"/>
      <c r="AO468" s="957"/>
      <c r="AP468" s="957"/>
      <c r="AQ468" s="957"/>
      <c r="AR468" s="957"/>
      <c r="AS468" s="957"/>
      <c r="AT468" s="957"/>
      <c r="AU468" s="957"/>
      <c r="AV468" s="957"/>
      <c r="AW468" s="957"/>
      <c r="AX468" s="957"/>
      <c r="AY468" s="957"/>
      <c r="AZ468" s="957"/>
      <c r="BA468" s="957"/>
      <c r="BB468" s="957"/>
      <c r="BC468" s="957"/>
      <c r="BD468" s="957"/>
      <c r="BE468" s="957"/>
      <c r="BF468" s="957"/>
      <c r="BG468" s="957"/>
    </row>
    <row r="469" spans="1:113" s="692" customFormat="1" ht="9" customHeight="1" thickBot="1">
      <c r="A469" s="695"/>
      <c r="B469" s="815"/>
      <c r="C469" s="684"/>
      <c r="D469" s="683"/>
      <c r="E469" s="684"/>
      <c r="F469" s="684"/>
      <c r="G469" s="684"/>
      <c r="H469" s="684"/>
      <c r="I469" s="684"/>
      <c r="J469" s="682"/>
      <c r="K469" s="683"/>
      <c r="L469" s="682"/>
      <c r="M469" s="685"/>
      <c r="N469" s="1189"/>
      <c r="O469" s="686"/>
      <c r="P469" s="686"/>
      <c r="Q469" s="687"/>
      <c r="R469" s="687"/>
      <c r="S469" s="688"/>
      <c r="T469" s="688"/>
      <c r="U469" s="854"/>
      <c r="V469" s="893"/>
      <c r="W469" s="685"/>
      <c r="X469" s="685"/>
      <c r="Y469" s="688"/>
      <c r="Z469" s="688"/>
      <c r="AA469" s="688"/>
      <c r="AB469" s="846"/>
      <c r="AC469" s="685"/>
      <c r="AD469" s="685"/>
      <c r="AE469" s="685"/>
      <c r="AF469" s="689"/>
      <c r="AG469" s="685"/>
      <c r="AH469" s="959"/>
      <c r="AI469" s="959"/>
      <c r="AJ469" s="959"/>
      <c r="AK469" s="959"/>
      <c r="AL469" s="959"/>
      <c r="AM469" s="959"/>
      <c r="AN469" s="958"/>
      <c r="AO469" s="958"/>
      <c r="AP469" s="958"/>
      <c r="AQ469" s="958"/>
      <c r="AR469" s="958"/>
      <c r="AS469" s="958"/>
      <c r="AT469" s="958"/>
      <c r="AU469" s="958"/>
      <c r="AV469" s="958"/>
      <c r="AW469" s="958"/>
      <c r="AX469" s="958"/>
      <c r="AY469" s="958"/>
      <c r="AZ469" s="958"/>
      <c r="BA469" s="958"/>
      <c r="BB469" s="958"/>
      <c r="BC469" s="958"/>
      <c r="BD469" s="958"/>
      <c r="BE469" s="958"/>
      <c r="BF469" s="958"/>
      <c r="BG469" s="958"/>
      <c r="BH469" s="1125"/>
      <c r="DI469" s="693"/>
    </row>
    <row r="470" spans="1:113" s="7" customFormat="1" ht="15" customHeight="1">
      <c r="A470" s="2171" t="s">
        <v>1290</v>
      </c>
      <c r="B470" s="1057" t="s">
        <v>754</v>
      </c>
      <c r="C470" s="809" t="s">
        <v>12</v>
      </c>
      <c r="D470" s="232" t="s">
        <v>847</v>
      </c>
      <c r="E470" s="534">
        <v>100</v>
      </c>
      <c r="F470" s="258">
        <v>26.77037</v>
      </c>
      <c r="G470" s="258">
        <v>3.2493759999999998</v>
      </c>
      <c r="H470" s="367">
        <v>153.75299999999999</v>
      </c>
      <c r="I470" s="368">
        <v>28.077439999999999</v>
      </c>
      <c r="J470" s="268" t="s">
        <v>15</v>
      </c>
      <c r="K470" s="132" t="s">
        <v>15</v>
      </c>
      <c r="L470" s="1165" t="s">
        <v>14</v>
      </c>
      <c r="M470" s="1150" t="s">
        <v>801</v>
      </c>
      <c r="N470" s="1190">
        <v>2.0954812999999999</v>
      </c>
      <c r="O470" s="442">
        <v>6.4</v>
      </c>
      <c r="P470" s="442">
        <v>0.32760099999999998</v>
      </c>
      <c r="Q470" s="254" t="s">
        <v>15</v>
      </c>
      <c r="R470" s="258">
        <f>N470</f>
        <v>2.0954812999999999</v>
      </c>
      <c r="S470" s="124" t="s">
        <v>68</v>
      </c>
      <c r="T470" s="125" t="s">
        <v>69</v>
      </c>
      <c r="U470" s="858"/>
      <c r="V470" s="2232" t="s">
        <v>863</v>
      </c>
      <c r="W470" s="295" t="s">
        <v>47</v>
      </c>
      <c r="X470" s="295" t="s">
        <v>880</v>
      </c>
      <c r="Y470" s="220">
        <f>T477+SUM(R472:R493)+N470*42.7+N471*1</f>
        <v>183.09753995142026</v>
      </c>
      <c r="Z470" s="282" t="s">
        <v>40</v>
      </c>
      <c r="AA470" s="575" t="s">
        <v>40</v>
      </c>
      <c r="AB470" s="846"/>
      <c r="AC470" s="26"/>
      <c r="AD470" s="2131" t="s">
        <v>142</v>
      </c>
      <c r="AE470" s="2133"/>
      <c r="AF470" s="497" t="s">
        <v>49</v>
      </c>
      <c r="AG470" s="494" t="s">
        <v>1005</v>
      </c>
      <c r="AH470" s="158">
        <f>T477+N487+R472+R488</f>
        <v>74.455755350226042</v>
      </c>
      <c r="AI470" s="158">
        <v>99.79</v>
      </c>
      <c r="AJ470" s="158">
        <v>89.99</v>
      </c>
      <c r="AK470" s="158">
        <v>69.989999999999995</v>
      </c>
      <c r="AL470" s="158"/>
      <c r="AM470" s="170"/>
      <c r="AN470" s="1011"/>
      <c r="AO470" s="957"/>
      <c r="AP470" s="957"/>
      <c r="AQ470" s="957"/>
      <c r="AR470" s="957"/>
      <c r="AS470" s="957"/>
      <c r="AT470" s="1012"/>
      <c r="AU470" s="1023"/>
      <c r="AV470" s="957"/>
      <c r="AW470" s="957"/>
      <c r="AX470" s="957"/>
      <c r="AY470" s="957"/>
      <c r="AZ470" s="957"/>
      <c r="BA470" s="957"/>
      <c r="BB470" s="957"/>
      <c r="BC470" s="957"/>
      <c r="BD470" s="957"/>
      <c r="BE470" s="957"/>
      <c r="BF470" s="957"/>
      <c r="BG470" s="957"/>
      <c r="BH470" s="1125"/>
      <c r="DI470" s="566"/>
    </row>
    <row r="471" spans="1:113">
      <c r="A471" s="2172"/>
      <c r="B471" s="1056" t="s">
        <v>756</v>
      </c>
      <c r="C471" s="356" t="s">
        <v>12</v>
      </c>
      <c r="D471" s="291" t="s">
        <v>826</v>
      </c>
      <c r="E471" s="452">
        <v>100</v>
      </c>
      <c r="F471" s="128">
        <v>0.340804</v>
      </c>
      <c r="G471" s="128">
        <v>0.117517</v>
      </c>
      <c r="H471" s="367">
        <v>153.75299999999999</v>
      </c>
      <c r="I471" s="368">
        <v>28.077439999999999</v>
      </c>
      <c r="J471" s="234" t="s">
        <v>15</v>
      </c>
      <c r="K471" s="233" t="s">
        <v>15</v>
      </c>
      <c r="L471" s="234" t="s">
        <v>15</v>
      </c>
      <c r="M471" s="233" t="s">
        <v>15</v>
      </c>
      <c r="N471" s="537">
        <v>-6.1221620999999997</v>
      </c>
      <c r="O471" s="536">
        <v>-0.41</v>
      </c>
      <c r="P471" s="536">
        <v>14.8011766</v>
      </c>
      <c r="Q471" s="195" t="s">
        <v>15</v>
      </c>
      <c r="R471" s="128">
        <f>N471</f>
        <v>-6.1221620999999997</v>
      </c>
      <c r="S471" s="31" t="s">
        <v>70</v>
      </c>
      <c r="T471" s="117" t="s">
        <v>71</v>
      </c>
      <c r="U471" s="854"/>
      <c r="V471" s="2233"/>
      <c r="W471" s="983" t="s">
        <v>49</v>
      </c>
      <c r="X471" s="338" t="s">
        <v>882</v>
      </c>
      <c r="Y471" s="169">
        <f>T477+SUM(R472:R493)+N470*19.3+N471*1</f>
        <v>134.06327753142028</v>
      </c>
      <c r="Z471" s="169">
        <f>Y471-Y470</f>
        <v>-49.034262419999976</v>
      </c>
      <c r="AA471" s="576">
        <f>(42.7-19.3)*P470</f>
        <v>7.6658634000000001</v>
      </c>
      <c r="AB471" s="918"/>
      <c r="AC471" s="26"/>
      <c r="AD471" s="20" t="s">
        <v>98</v>
      </c>
      <c r="AE471" s="278">
        <v>-5.290277964801695E-2</v>
      </c>
      <c r="AF471" s="497" t="s">
        <v>49</v>
      </c>
      <c r="AG471" s="494" t="s">
        <v>993</v>
      </c>
      <c r="AH471" s="158">
        <f>T477+R472+N486+R488</f>
        <v>129.15664415022604</v>
      </c>
      <c r="AI471" s="158"/>
      <c r="AJ471" s="158">
        <v>99.99</v>
      </c>
      <c r="AK471" s="158">
        <v>138.74</v>
      </c>
      <c r="AL471" s="158"/>
      <c r="AM471" s="170">
        <v>157</v>
      </c>
      <c r="AN471" s="1011"/>
      <c r="AO471" s="957"/>
      <c r="AP471" s="957"/>
      <c r="AQ471" s="957"/>
      <c r="AR471" s="957"/>
      <c r="AS471" s="957"/>
      <c r="AT471" s="1012"/>
      <c r="AU471" s="1023"/>
      <c r="AV471" s="957"/>
      <c r="AW471" s="957"/>
      <c r="AX471" s="957"/>
      <c r="AY471" s="957"/>
      <c r="AZ471" s="957"/>
      <c r="BA471" s="957"/>
      <c r="BB471" s="957"/>
      <c r="BC471" s="957"/>
      <c r="BD471" s="957"/>
      <c r="BE471" s="957"/>
      <c r="BF471" s="957"/>
      <c r="BG471" s="957"/>
    </row>
    <row r="472" spans="1:113">
      <c r="A472" s="2172"/>
      <c r="B472" s="2206" t="s">
        <v>153</v>
      </c>
      <c r="C472" s="2144" t="s">
        <v>13</v>
      </c>
      <c r="D472" s="434" t="s">
        <v>757</v>
      </c>
      <c r="E472" s="452">
        <v>33</v>
      </c>
      <c r="F472" s="148" t="s">
        <v>15</v>
      </c>
      <c r="G472" s="148" t="s">
        <v>15</v>
      </c>
      <c r="H472" s="367">
        <v>158.57910000000001</v>
      </c>
      <c r="I472" s="368">
        <v>29.55283</v>
      </c>
      <c r="J472" s="234" t="s">
        <v>15</v>
      </c>
      <c r="K472" s="233" t="s">
        <v>15</v>
      </c>
      <c r="L472" s="234" t="s">
        <v>15</v>
      </c>
      <c r="M472" s="233" t="s">
        <v>15</v>
      </c>
      <c r="N472" s="537">
        <v>-35.995980600000003</v>
      </c>
      <c r="O472" s="536">
        <v>-1.84</v>
      </c>
      <c r="P472" s="536">
        <v>19.518264899999998</v>
      </c>
      <c r="Q472" s="128">
        <f>24662.96/$T$475</f>
        <v>0.66168858973684797</v>
      </c>
      <c r="R472" s="2130">
        <f>SUMPRODUCT(N472:N485,Q472:Q485)</f>
        <v>-32.229883478114658</v>
      </c>
      <c r="S472" s="127" t="s">
        <v>72</v>
      </c>
      <c r="T472" s="119" t="s">
        <v>119</v>
      </c>
      <c r="U472" s="855"/>
      <c r="V472" s="2233"/>
      <c r="W472" s="983" t="s">
        <v>49</v>
      </c>
      <c r="X472" s="338" t="s">
        <v>881</v>
      </c>
      <c r="Y472" s="169">
        <f>T477+SUM(R472:R493)+N470*15.7+N471*1</f>
        <v>126.51954485142028</v>
      </c>
      <c r="Z472" s="169">
        <f>Y472-Y470</f>
        <v>-56.577995099999981</v>
      </c>
      <c r="AA472" s="576">
        <f>(42.7-15.7)*P470</f>
        <v>8.8452270000000013</v>
      </c>
      <c r="AB472" s="918"/>
      <c r="AC472" s="26"/>
      <c r="AD472" s="20" t="s">
        <v>143</v>
      </c>
      <c r="AE472" s="278">
        <v>0.20141465754160781</v>
      </c>
      <c r="AF472" s="106"/>
      <c r="AG472" s="37"/>
      <c r="AH472" s="957"/>
      <c r="AI472" s="1023"/>
      <c r="AJ472" s="1023"/>
      <c r="AK472" s="1023"/>
      <c r="AL472" s="1023"/>
      <c r="AM472" s="1023"/>
      <c r="AN472" s="1023"/>
      <c r="AO472" s="957"/>
      <c r="AP472" s="957"/>
      <c r="AQ472" s="957"/>
      <c r="AR472" s="957"/>
      <c r="AS472" s="957"/>
      <c r="AT472" s="957"/>
      <c r="AU472" s="957"/>
      <c r="AV472" s="957"/>
      <c r="AW472" s="957"/>
      <c r="AX472" s="957"/>
      <c r="AY472" s="957"/>
      <c r="AZ472" s="957"/>
      <c r="BA472" s="957"/>
      <c r="BB472" s="957"/>
      <c r="BC472" s="957"/>
      <c r="BD472" s="957"/>
      <c r="BE472" s="957"/>
      <c r="BF472" s="957"/>
      <c r="BG472" s="957"/>
    </row>
    <row r="473" spans="1:113">
      <c r="A473" s="2172"/>
      <c r="B473" s="2206"/>
      <c r="C473" s="2144"/>
      <c r="D473" s="434" t="s">
        <v>844</v>
      </c>
      <c r="E473" s="452">
        <v>2</v>
      </c>
      <c r="F473" s="148" t="s">
        <v>15</v>
      </c>
      <c r="G473" s="148" t="s">
        <v>15</v>
      </c>
      <c r="H473" s="367">
        <v>157.73859999999999</v>
      </c>
      <c r="I473" s="368">
        <v>1.848468</v>
      </c>
      <c r="J473" s="234" t="s">
        <v>15</v>
      </c>
      <c r="K473" s="233" t="s">
        <v>15</v>
      </c>
      <c r="L473" s="234" t="s">
        <v>15</v>
      </c>
      <c r="M473" s="233" t="s">
        <v>15</v>
      </c>
      <c r="N473" s="537">
        <v>-41.548589200000002</v>
      </c>
      <c r="O473" s="536">
        <v>-2.08</v>
      </c>
      <c r="P473" s="536">
        <v>19.946337700000001</v>
      </c>
      <c r="Q473" s="128">
        <f>1190/$T$475</f>
        <v>3.1926801235003792E-2</v>
      </c>
      <c r="R473" s="2196"/>
      <c r="S473" s="452" t="s">
        <v>73</v>
      </c>
      <c r="T473" s="433"/>
      <c r="U473" s="859"/>
      <c r="V473" s="24"/>
      <c r="W473" s="26"/>
      <c r="X473" s="26"/>
      <c r="Y473" s="41"/>
      <c r="Z473" s="41"/>
      <c r="AA473" s="41"/>
      <c r="AB473" s="846"/>
      <c r="AC473" s="26"/>
      <c r="AD473" s="20" t="s">
        <v>144</v>
      </c>
      <c r="AE473" s="278">
        <v>-0.25387558522671572</v>
      </c>
      <c r="AF473" s="106"/>
      <c r="AG473" s="37"/>
      <c r="AH473" s="957"/>
      <c r="AI473" s="1023"/>
      <c r="AJ473" s="1023"/>
      <c r="AK473" s="1023"/>
      <c r="AL473" s="1023"/>
      <c r="AM473" s="1023"/>
      <c r="AN473" s="1023"/>
      <c r="AO473" s="957"/>
      <c r="AP473" s="957"/>
      <c r="AQ473" s="957"/>
      <c r="AR473" s="957"/>
      <c r="AS473" s="957"/>
      <c r="AT473" s="957"/>
      <c r="AU473" s="957"/>
      <c r="AV473" s="957"/>
      <c r="AW473" s="957"/>
      <c r="AX473" s="957"/>
      <c r="AY473" s="957"/>
      <c r="AZ473" s="957"/>
      <c r="BA473" s="957"/>
      <c r="BB473" s="957"/>
      <c r="BC473" s="957"/>
      <c r="BD473" s="957"/>
      <c r="BE473" s="957"/>
      <c r="BF473" s="957"/>
      <c r="BG473" s="957"/>
    </row>
    <row r="474" spans="1:113">
      <c r="A474" s="2172"/>
      <c r="B474" s="2206"/>
      <c r="C474" s="2144"/>
      <c r="D474" s="348" t="s">
        <v>848</v>
      </c>
      <c r="E474" s="452">
        <v>4</v>
      </c>
      <c r="F474" s="148" t="s">
        <v>15</v>
      </c>
      <c r="G474" s="148" t="s">
        <v>15</v>
      </c>
      <c r="H474" s="367">
        <v>110.12439999999999</v>
      </c>
      <c r="I474" s="368">
        <v>2.417306</v>
      </c>
      <c r="J474" s="234" t="s">
        <v>15</v>
      </c>
      <c r="K474" s="233" t="s">
        <v>15</v>
      </c>
      <c r="L474" s="234" t="s">
        <v>15</v>
      </c>
      <c r="M474" s="233" t="s">
        <v>15</v>
      </c>
      <c r="N474" s="537">
        <v>-49.705868100000004</v>
      </c>
      <c r="O474" s="536">
        <v>-2.37</v>
      </c>
      <c r="P474" s="536">
        <v>20.9657008</v>
      </c>
      <c r="Q474" s="128">
        <f>257/$T$475</f>
        <v>6.8951158969714071E-3</v>
      </c>
      <c r="R474" s="2196"/>
      <c r="S474" s="127" t="s">
        <v>74</v>
      </c>
      <c r="T474" s="129" t="s">
        <v>75</v>
      </c>
      <c r="U474" s="858"/>
      <c r="V474" s="24"/>
      <c r="W474" s="26"/>
      <c r="X474" s="26"/>
      <c r="Y474" s="41"/>
      <c r="Z474" s="41"/>
      <c r="AA474" s="41"/>
      <c r="AB474" s="846"/>
      <c r="AC474" s="26"/>
      <c r="AD474" s="20" t="s">
        <v>145</v>
      </c>
      <c r="AE474" s="278">
        <v>0.29169561106336683</v>
      </c>
      <c r="AF474" s="106"/>
      <c r="AG474" s="37"/>
      <c r="AH474" s="957"/>
      <c r="AI474" s="1023"/>
      <c r="AJ474" s="1023"/>
      <c r="AK474" s="1023"/>
      <c r="AL474" s="1023"/>
      <c r="AM474" s="1023"/>
      <c r="AN474" s="1023"/>
      <c r="AO474" s="957"/>
      <c r="AP474" s="957"/>
      <c r="AQ474" s="957"/>
      <c r="AR474" s="957"/>
      <c r="AS474" s="957"/>
      <c r="AT474" s="957"/>
      <c r="AU474" s="957"/>
      <c r="AV474" s="957"/>
      <c r="AW474" s="957"/>
      <c r="AX474" s="957"/>
      <c r="AY474" s="957"/>
      <c r="AZ474" s="957"/>
      <c r="BA474" s="957"/>
      <c r="BB474" s="957"/>
      <c r="BC474" s="957"/>
      <c r="BD474" s="957"/>
      <c r="BE474" s="957"/>
      <c r="BF474" s="957"/>
      <c r="BG474" s="957"/>
    </row>
    <row r="475" spans="1:113">
      <c r="A475" s="2172"/>
      <c r="B475" s="2206"/>
      <c r="C475" s="2144"/>
      <c r="D475" s="348" t="s">
        <v>782</v>
      </c>
      <c r="E475" s="452">
        <v>1</v>
      </c>
      <c r="F475" s="148" t="s">
        <v>15</v>
      </c>
      <c r="G475" s="148" t="s">
        <v>15</v>
      </c>
      <c r="H475" s="367">
        <v>240.6095</v>
      </c>
      <c r="I475" s="368">
        <v>0</v>
      </c>
      <c r="J475" s="234" t="s">
        <v>15</v>
      </c>
      <c r="K475" s="233" t="s">
        <v>15</v>
      </c>
      <c r="L475" s="234" t="s">
        <v>15</v>
      </c>
      <c r="M475" s="233" t="s">
        <v>15</v>
      </c>
      <c r="N475" s="537">
        <v>74.600511900000001</v>
      </c>
      <c r="O475" s="536">
        <v>0.64</v>
      </c>
      <c r="P475" s="536">
        <v>115.88988000000001</v>
      </c>
      <c r="Q475" s="128">
        <f>1.05/$T$475</f>
        <v>2.817070697206217E-5</v>
      </c>
      <c r="R475" s="2196"/>
      <c r="S475" s="445">
        <v>100</v>
      </c>
      <c r="T475" s="446">
        <v>37272.76</v>
      </c>
      <c r="U475" s="865"/>
      <c r="V475" s="24"/>
      <c r="W475" s="26"/>
      <c r="X475" s="26"/>
      <c r="Y475" s="41"/>
      <c r="Z475" s="41"/>
      <c r="AA475" s="41"/>
      <c r="AB475" s="846"/>
      <c r="AC475" s="26"/>
      <c r="AD475" s="22"/>
      <c r="AE475" s="27"/>
      <c r="AF475" s="106"/>
      <c r="AG475" s="37"/>
      <c r="AH475" s="957"/>
      <c r="AI475" s="1023"/>
      <c r="AJ475" s="1023"/>
      <c r="AK475" s="1023"/>
      <c r="AL475" s="1023"/>
      <c r="AM475" s="1023"/>
      <c r="AN475" s="1023"/>
      <c r="AO475" s="957"/>
      <c r="AP475" s="957"/>
      <c r="AQ475" s="957"/>
      <c r="AR475" s="957"/>
      <c r="AS475" s="957"/>
      <c r="AT475" s="957"/>
      <c r="AU475" s="957"/>
      <c r="AV475" s="957"/>
      <c r="AW475" s="957"/>
      <c r="AX475" s="957"/>
      <c r="AY475" s="957"/>
      <c r="AZ475" s="957"/>
      <c r="BA475" s="957"/>
      <c r="BB475" s="957"/>
      <c r="BC475" s="957"/>
      <c r="BD475" s="957"/>
      <c r="BE475" s="957"/>
      <c r="BF475" s="957"/>
      <c r="BG475" s="957"/>
    </row>
    <row r="476" spans="1:113">
      <c r="A476" s="2172"/>
      <c r="B476" s="2206"/>
      <c r="C476" s="2144"/>
      <c r="D476" s="348" t="s">
        <v>760</v>
      </c>
      <c r="E476" s="452">
        <v>1</v>
      </c>
      <c r="F476" s="148" t="s">
        <v>15</v>
      </c>
      <c r="G476" s="148" t="s">
        <v>15</v>
      </c>
      <c r="H476" s="367">
        <v>351.61900000000003</v>
      </c>
      <c r="I476" s="368">
        <v>0</v>
      </c>
      <c r="J476" s="234" t="s">
        <v>15</v>
      </c>
      <c r="K476" s="233" t="s">
        <v>15</v>
      </c>
      <c r="L476" s="234" t="s">
        <v>15</v>
      </c>
      <c r="M476" s="233" t="s">
        <v>15</v>
      </c>
      <c r="N476" s="537">
        <v>193.7464961</v>
      </c>
      <c r="O476" s="536">
        <v>1.67</v>
      </c>
      <c r="P476" s="536">
        <v>115.90214829999999</v>
      </c>
      <c r="Q476" s="128">
        <f>1.05/$T$475</f>
        <v>2.817070697206217E-5</v>
      </c>
      <c r="R476" s="2196"/>
      <c r="S476" s="127" t="s">
        <v>41</v>
      </c>
      <c r="T476" s="129" t="s">
        <v>42</v>
      </c>
      <c r="U476" s="858"/>
      <c r="V476" s="24"/>
      <c r="W476" s="26"/>
      <c r="X476" s="26"/>
      <c r="Y476" s="41"/>
      <c r="Z476" s="41"/>
      <c r="AA476" s="41"/>
      <c r="AB476" s="846"/>
      <c r="AC476" s="26"/>
      <c r="AD476" s="24"/>
      <c r="AE476" s="26"/>
      <c r="AF476" s="106"/>
      <c r="AG476" s="37"/>
      <c r="AH476" s="957"/>
      <c r="AI476" s="1023"/>
      <c r="AJ476" s="1023"/>
      <c r="AK476" s="1023"/>
      <c r="AL476" s="1023"/>
      <c r="AM476" s="1023"/>
      <c r="AN476" s="1023"/>
      <c r="AO476" s="957"/>
      <c r="AP476" s="957"/>
      <c r="AQ476" s="957"/>
      <c r="AR476" s="957"/>
      <c r="AS476" s="957"/>
      <c r="AT476" s="957"/>
      <c r="AU476" s="957"/>
      <c r="AV476" s="957"/>
      <c r="AW476" s="957"/>
      <c r="AX476" s="957"/>
      <c r="AY476" s="957"/>
      <c r="AZ476" s="957"/>
      <c r="BA476" s="957"/>
      <c r="BB476" s="957"/>
      <c r="BC476" s="957"/>
      <c r="BD476" s="957"/>
      <c r="BE476" s="957"/>
      <c r="BF476" s="957"/>
      <c r="BG476" s="957"/>
    </row>
    <row r="477" spans="1:113">
      <c r="A477" s="2172"/>
      <c r="B477" s="2206"/>
      <c r="C477" s="2144"/>
      <c r="D477" s="348" t="s">
        <v>803</v>
      </c>
      <c r="E477" s="452">
        <v>8</v>
      </c>
      <c r="F477" s="148" t="s">
        <v>15</v>
      </c>
      <c r="G477" s="148" t="s">
        <v>15</v>
      </c>
      <c r="H477" s="367">
        <v>204.66380000000001</v>
      </c>
      <c r="I477" s="368">
        <v>28.05087</v>
      </c>
      <c r="J477" s="234" t="s">
        <v>15</v>
      </c>
      <c r="K477" s="233" t="s">
        <v>15</v>
      </c>
      <c r="L477" s="234" t="s">
        <v>15</v>
      </c>
      <c r="M477" s="233" t="s">
        <v>15</v>
      </c>
      <c r="N477" s="537">
        <v>22.1281991</v>
      </c>
      <c r="O477" s="536">
        <v>1.05</v>
      </c>
      <c r="P477" s="536">
        <v>21.164444400000001</v>
      </c>
      <c r="Q477" s="128">
        <f>210/$T$475</f>
        <v>5.6341413944124338E-3</v>
      </c>
      <c r="R477" s="2196"/>
      <c r="S477" s="357">
        <v>0.963175</v>
      </c>
      <c r="T477" s="420">
        <v>100.7872158</v>
      </c>
      <c r="U477" s="861"/>
      <c r="V477" s="24"/>
      <c r="W477" s="26"/>
      <c r="X477" s="26"/>
      <c r="Y477" s="41"/>
      <c r="Z477" s="41"/>
      <c r="AA477" s="41"/>
      <c r="AB477" s="846"/>
      <c r="AC477" s="26"/>
      <c r="AD477" s="24"/>
      <c r="AE477" s="26"/>
      <c r="AF477" s="106"/>
      <c r="AG477" s="37"/>
      <c r="AH477" s="957"/>
      <c r="AI477" s="1023"/>
      <c r="AJ477" s="1023"/>
      <c r="AK477" s="1023"/>
      <c r="AL477" s="1023"/>
      <c r="AM477" s="1023"/>
      <c r="AN477" s="1023"/>
      <c r="AO477" s="957"/>
      <c r="AP477" s="957"/>
      <c r="AQ477" s="957"/>
      <c r="AR477" s="957"/>
      <c r="AS477" s="957"/>
      <c r="AT477" s="957"/>
      <c r="AU477" s="957"/>
      <c r="AV477" s="957"/>
      <c r="AW477" s="957"/>
      <c r="AX477" s="957"/>
      <c r="AY477" s="957"/>
      <c r="AZ477" s="957"/>
      <c r="BA477" s="957"/>
      <c r="BB477" s="957"/>
      <c r="BC477" s="957"/>
      <c r="BD477" s="957"/>
      <c r="BE477" s="957"/>
      <c r="BF477" s="957"/>
      <c r="BG477" s="957"/>
    </row>
    <row r="478" spans="1:113">
      <c r="A478" s="2172"/>
      <c r="B478" s="2206"/>
      <c r="C478" s="2144"/>
      <c r="D478" s="348" t="s">
        <v>763</v>
      </c>
      <c r="E478" s="452">
        <v>6</v>
      </c>
      <c r="F478" s="148" t="s">
        <v>15</v>
      </c>
      <c r="G478" s="148" t="s">
        <v>15</v>
      </c>
      <c r="H478" s="367">
        <v>155.70359999999999</v>
      </c>
      <c r="I478" s="368">
        <v>7.4357100000000003</v>
      </c>
      <c r="J478" s="234" t="s">
        <v>15</v>
      </c>
      <c r="K478" s="233" t="s">
        <v>15</v>
      </c>
      <c r="L478" s="234" t="s">
        <v>15</v>
      </c>
      <c r="M478" s="233" t="s">
        <v>15</v>
      </c>
      <c r="N478" s="537">
        <v>-12.8487872</v>
      </c>
      <c r="O478" s="536">
        <v>-0.63</v>
      </c>
      <c r="P478" s="536">
        <v>20.241125499999999</v>
      </c>
      <c r="Q478" s="128">
        <f>3255.29/$T$475</f>
        <v>8.7336972094365958E-2</v>
      </c>
      <c r="R478" s="2196"/>
      <c r="S478" s="118" t="s">
        <v>235</v>
      </c>
      <c r="T478" s="119" t="s">
        <v>391</v>
      </c>
      <c r="U478" s="855"/>
      <c r="V478" s="24"/>
      <c r="W478" s="26"/>
      <c r="X478" s="26"/>
      <c r="Y478" s="41"/>
      <c r="Z478" s="41"/>
      <c r="AA478" s="41"/>
      <c r="AB478" s="846"/>
      <c r="AC478" s="26"/>
      <c r="AD478" s="24"/>
      <c r="AE478" s="26"/>
      <c r="AF478" s="106"/>
      <c r="AG478" s="37"/>
      <c r="AH478" s="957"/>
      <c r="AI478" s="1023"/>
      <c r="AJ478" s="1023"/>
      <c r="AK478" s="1023"/>
      <c r="AL478" s="1023"/>
      <c r="AM478" s="1023"/>
      <c r="AN478" s="1023"/>
      <c r="AO478" s="957"/>
      <c r="AP478" s="957"/>
      <c r="AQ478" s="957"/>
      <c r="AR478" s="957"/>
      <c r="AS478" s="957"/>
      <c r="AT478" s="957"/>
      <c r="AU478" s="957"/>
      <c r="AV478" s="957"/>
      <c r="AW478" s="957"/>
      <c r="AX478" s="957"/>
      <c r="AY478" s="957"/>
      <c r="AZ478" s="957"/>
      <c r="BA478" s="957"/>
      <c r="BB478" s="957"/>
      <c r="BC478" s="957"/>
      <c r="BD478" s="957"/>
      <c r="BE478" s="957"/>
      <c r="BF478" s="957"/>
      <c r="BG478" s="957"/>
    </row>
    <row r="479" spans="1:113">
      <c r="A479" s="2172"/>
      <c r="B479" s="2206"/>
      <c r="C479" s="2144"/>
      <c r="D479" s="348" t="s">
        <v>688</v>
      </c>
      <c r="E479" s="452">
        <v>1</v>
      </c>
      <c r="F479" s="148" t="s">
        <v>15</v>
      </c>
      <c r="G479" s="148" t="s">
        <v>15</v>
      </c>
      <c r="H479" s="367">
        <v>100.44759999999999</v>
      </c>
      <c r="I479" s="368">
        <v>0</v>
      </c>
      <c r="J479" s="234" t="s">
        <v>15</v>
      </c>
      <c r="K479" s="233" t="s">
        <v>15</v>
      </c>
      <c r="L479" s="234" t="s">
        <v>15</v>
      </c>
      <c r="M479" s="233" t="s">
        <v>15</v>
      </c>
      <c r="N479" s="537">
        <v>-46.9280373</v>
      </c>
      <c r="O479" s="536">
        <v>-0.41</v>
      </c>
      <c r="P479" s="536">
        <v>115.865302</v>
      </c>
      <c r="Q479" s="128">
        <f>1.05/$T$475</f>
        <v>2.817070697206217E-5</v>
      </c>
      <c r="R479" s="2196"/>
      <c r="S479" s="357">
        <v>23.626999999999999</v>
      </c>
      <c r="T479" s="151" t="s">
        <v>15</v>
      </c>
      <c r="U479" s="862"/>
      <c r="V479" s="24"/>
      <c r="W479" s="26"/>
      <c r="X479" s="26"/>
      <c r="Y479" s="41"/>
      <c r="Z479" s="41"/>
      <c r="AA479" s="41"/>
      <c r="AB479" s="846"/>
      <c r="AC479" s="26"/>
      <c r="AD479" s="24"/>
      <c r="AE479" s="26"/>
      <c r="AF479" s="106"/>
      <c r="AG479" s="37"/>
      <c r="AH479" s="957"/>
      <c r="AI479" s="1023"/>
      <c r="AJ479" s="1023"/>
      <c r="AK479" s="1023"/>
      <c r="AL479" s="1023"/>
      <c r="AM479" s="1023"/>
      <c r="AN479" s="1023"/>
      <c r="AO479" s="957"/>
      <c r="AP479" s="957"/>
      <c r="AQ479" s="957"/>
      <c r="AR479" s="957"/>
      <c r="AS479" s="957"/>
      <c r="AT479" s="957"/>
      <c r="AU479" s="957"/>
      <c r="AV479" s="957"/>
      <c r="AW479" s="957"/>
      <c r="AX479" s="957"/>
      <c r="AY479" s="957"/>
      <c r="AZ479" s="957"/>
      <c r="BA479" s="957"/>
      <c r="BB479" s="957"/>
      <c r="BC479" s="957"/>
      <c r="BD479" s="957"/>
      <c r="BE479" s="957"/>
      <c r="BF479" s="957"/>
      <c r="BG479" s="957"/>
    </row>
    <row r="480" spans="1:113">
      <c r="A480" s="2172"/>
      <c r="B480" s="2206"/>
      <c r="C480" s="2144"/>
      <c r="D480" s="348" t="s">
        <v>783</v>
      </c>
      <c r="E480" s="452">
        <v>9</v>
      </c>
      <c r="F480" s="148" t="s">
        <v>15</v>
      </c>
      <c r="G480" s="148" t="s">
        <v>15</v>
      </c>
      <c r="H480" s="367">
        <v>148.13890000000001</v>
      </c>
      <c r="I480" s="368">
        <v>55.792850000000001</v>
      </c>
      <c r="J480" s="234" t="s">
        <v>15</v>
      </c>
      <c r="K480" s="233" t="s">
        <v>15</v>
      </c>
      <c r="L480" s="234" t="s">
        <v>15</v>
      </c>
      <c r="M480" s="233" t="s">
        <v>15</v>
      </c>
      <c r="N480" s="537">
        <v>-18.151277499999999</v>
      </c>
      <c r="O480" s="536">
        <v>-0.59</v>
      </c>
      <c r="P480" s="536">
        <v>30.862377500000001</v>
      </c>
      <c r="Q480" s="128">
        <f>23.61/$T$475</f>
        <v>6.3343846820036937E-4</v>
      </c>
      <c r="R480" s="2196"/>
      <c r="S480" s="22"/>
      <c r="T480" s="27"/>
      <c r="V480" s="24"/>
      <c r="W480" s="26"/>
      <c r="X480" s="26"/>
      <c r="Y480" s="41"/>
      <c r="Z480" s="41"/>
      <c r="AA480" s="41"/>
      <c r="AB480" s="846"/>
      <c r="AC480" s="26"/>
      <c r="AD480" s="24"/>
      <c r="AE480" s="26"/>
      <c r="AF480" s="106"/>
      <c r="AG480" s="37"/>
      <c r="AH480" s="957"/>
      <c r="AI480" s="1023"/>
      <c r="AJ480" s="1023"/>
      <c r="AK480" s="1023"/>
      <c r="AL480" s="1023"/>
      <c r="AM480" s="1023"/>
      <c r="AN480" s="1023"/>
      <c r="AO480" s="957"/>
      <c r="AP480" s="957"/>
      <c r="AQ480" s="957"/>
      <c r="AR480" s="957"/>
      <c r="AS480" s="957"/>
      <c r="AT480" s="957"/>
      <c r="AU480" s="957"/>
      <c r="AV480" s="957"/>
      <c r="AW480" s="957"/>
      <c r="AX480" s="957"/>
      <c r="AY480" s="957"/>
      <c r="AZ480" s="957"/>
      <c r="BA480" s="957"/>
      <c r="BB480" s="957"/>
      <c r="BC480" s="957"/>
      <c r="BD480" s="957"/>
      <c r="BE480" s="957"/>
      <c r="BF480" s="957"/>
      <c r="BG480" s="957"/>
    </row>
    <row r="481" spans="1:113">
      <c r="A481" s="2172"/>
      <c r="B481" s="2206"/>
      <c r="C481" s="2144"/>
      <c r="D481" s="348" t="s">
        <v>784</v>
      </c>
      <c r="E481" s="452">
        <v>5</v>
      </c>
      <c r="F481" s="148" t="s">
        <v>15</v>
      </c>
      <c r="G481" s="148" t="s">
        <v>15</v>
      </c>
      <c r="H481" s="367">
        <v>200.2526</v>
      </c>
      <c r="I481" s="368">
        <v>51.465519999999998</v>
      </c>
      <c r="J481" s="234" t="s">
        <v>15</v>
      </c>
      <c r="K481" s="233" t="s">
        <v>15</v>
      </c>
      <c r="L481" s="234" t="s">
        <v>15</v>
      </c>
      <c r="M481" s="233" t="s">
        <v>15</v>
      </c>
      <c r="N481" s="537">
        <v>25.599968000000001</v>
      </c>
      <c r="O481" s="536">
        <v>1.1000000000000001</v>
      </c>
      <c r="P481" s="536">
        <v>23.3743537</v>
      </c>
      <c r="Q481" s="128">
        <f>87.65/$T$475</f>
        <v>2.3515833010488087E-3</v>
      </c>
      <c r="R481" s="2196"/>
      <c r="S481" s="24"/>
      <c r="T481" s="26"/>
      <c r="V481" s="24"/>
      <c r="W481" s="26"/>
      <c r="X481" s="26"/>
      <c r="Y481" s="41"/>
      <c r="Z481" s="41"/>
      <c r="AA481" s="41"/>
      <c r="AB481" s="846"/>
      <c r="AC481" s="26"/>
      <c r="AD481" s="24"/>
      <c r="AE481" s="26"/>
      <c r="AF481" s="106"/>
      <c r="AG481" s="37"/>
      <c r="AH481" s="957"/>
      <c r="AI481" s="1023"/>
      <c r="AJ481" s="1023"/>
      <c r="AK481" s="1023"/>
      <c r="AL481" s="1023"/>
      <c r="AM481" s="1023"/>
      <c r="AN481" s="1023"/>
      <c r="AO481" s="957"/>
      <c r="AP481" s="957"/>
      <c r="AQ481" s="957"/>
      <c r="AR481" s="957"/>
      <c r="AS481" s="957"/>
      <c r="AT481" s="957"/>
      <c r="AU481" s="957"/>
      <c r="AV481" s="957"/>
      <c r="AW481" s="957"/>
      <c r="AX481" s="957"/>
      <c r="AY481" s="957"/>
      <c r="AZ481" s="957"/>
      <c r="BA481" s="957"/>
      <c r="BB481" s="957"/>
      <c r="BC481" s="957"/>
      <c r="BD481" s="957"/>
      <c r="BE481" s="957"/>
      <c r="BF481" s="957"/>
      <c r="BG481" s="957"/>
    </row>
    <row r="482" spans="1:113">
      <c r="A482" s="2172"/>
      <c r="B482" s="2206"/>
      <c r="C482" s="2144"/>
      <c r="D482" s="348" t="s">
        <v>842</v>
      </c>
      <c r="E482" s="452">
        <v>17</v>
      </c>
      <c r="F482" s="148" t="s">
        <v>15</v>
      </c>
      <c r="G482" s="148" t="s">
        <v>15</v>
      </c>
      <c r="H482" s="367">
        <v>135.98480000000001</v>
      </c>
      <c r="I482" s="368">
        <v>19.548359999999999</v>
      </c>
      <c r="J482" s="234" t="s">
        <v>15</v>
      </c>
      <c r="K482" s="233" t="s">
        <v>15</v>
      </c>
      <c r="L482" s="234" t="s">
        <v>15</v>
      </c>
      <c r="M482" s="233" t="s">
        <v>15</v>
      </c>
      <c r="N482" s="537">
        <v>-28.661767699999999</v>
      </c>
      <c r="O482" s="536">
        <v>-1.47</v>
      </c>
      <c r="P482" s="536">
        <v>19.484796500000002</v>
      </c>
      <c r="Q482" s="128">
        <f>7518.53/$T$475</f>
        <v>0.20171648141967483</v>
      </c>
      <c r="R482" s="2196"/>
      <c r="S482" s="24"/>
      <c r="T482" s="26"/>
      <c r="V482" s="24"/>
      <c r="W482" s="26"/>
      <c r="X482" s="26"/>
      <c r="Y482" s="41"/>
      <c r="Z482" s="41"/>
      <c r="AA482" s="41"/>
      <c r="AB482" s="846"/>
      <c r="AC482" s="26"/>
      <c r="AD482" s="24"/>
      <c r="AE482" s="26"/>
      <c r="AF482" s="106"/>
      <c r="AG482" s="37"/>
      <c r="AH482" s="957"/>
      <c r="AI482" s="1023"/>
      <c r="AJ482" s="1023"/>
      <c r="AK482" s="1023"/>
      <c r="AL482" s="1023"/>
      <c r="AM482" s="1023"/>
      <c r="AN482" s="1023"/>
      <c r="AO482" s="957"/>
      <c r="AP482" s="957"/>
      <c r="AQ482" s="957"/>
      <c r="AR482" s="957"/>
      <c r="AS482" s="957"/>
      <c r="AT482" s="957"/>
      <c r="AU482" s="957"/>
      <c r="AV482" s="957"/>
      <c r="AW482" s="957"/>
      <c r="AX482" s="957"/>
      <c r="AY482" s="957"/>
      <c r="AZ482" s="957"/>
      <c r="BA482" s="957"/>
      <c r="BB482" s="957"/>
      <c r="BC482" s="957"/>
      <c r="BD482" s="957"/>
      <c r="BE482" s="957"/>
      <c r="BF482" s="957"/>
      <c r="BG482" s="957"/>
    </row>
    <row r="483" spans="1:113">
      <c r="A483" s="2172"/>
      <c r="B483" s="2206"/>
      <c r="C483" s="2144"/>
      <c r="D483" s="348" t="s">
        <v>766</v>
      </c>
      <c r="E483" s="452">
        <v>9</v>
      </c>
      <c r="F483" s="148" t="s">
        <v>15</v>
      </c>
      <c r="G483" s="148" t="s">
        <v>15</v>
      </c>
      <c r="H483" s="367">
        <v>158.9768</v>
      </c>
      <c r="I483" s="368">
        <v>45.363599999999998</v>
      </c>
      <c r="J483" s="234" t="s">
        <v>15</v>
      </c>
      <c r="K483" s="233" t="s">
        <v>15</v>
      </c>
      <c r="L483" s="234" t="s">
        <v>15</v>
      </c>
      <c r="M483" s="233" t="s">
        <v>15</v>
      </c>
      <c r="N483" s="537">
        <v>-31.514426400000001</v>
      </c>
      <c r="O483" s="536">
        <v>-1.03</v>
      </c>
      <c r="P483" s="536">
        <v>30.5900687</v>
      </c>
      <c r="Q483" s="128">
        <f>24.57/$T$475</f>
        <v>6.5919454314625474E-4</v>
      </c>
      <c r="R483" s="2196"/>
      <c r="S483" s="24"/>
      <c r="T483" s="26"/>
      <c r="V483" s="24"/>
      <c r="W483" s="26"/>
      <c r="X483" s="26"/>
      <c r="Y483" s="41"/>
      <c r="Z483" s="41"/>
      <c r="AA483" s="41"/>
      <c r="AB483" s="846"/>
      <c r="AC483" s="26"/>
      <c r="AD483" s="24"/>
      <c r="AE483" s="26"/>
      <c r="AF483" s="106"/>
      <c r="AG483" s="37"/>
      <c r="AH483" s="957"/>
      <c r="AI483" s="1023"/>
      <c r="AJ483" s="1023"/>
      <c r="AK483" s="1023"/>
      <c r="AL483" s="1023"/>
      <c r="AM483" s="1023"/>
      <c r="AN483" s="1023"/>
      <c r="AO483" s="957"/>
      <c r="AP483" s="957"/>
      <c r="AQ483" s="957"/>
      <c r="AR483" s="957"/>
      <c r="AS483" s="957"/>
      <c r="AT483" s="957"/>
      <c r="AU483" s="957"/>
      <c r="AV483" s="957"/>
      <c r="AW483" s="957"/>
      <c r="AX483" s="957"/>
      <c r="AY483" s="957"/>
      <c r="AZ483" s="957"/>
      <c r="BA483" s="957"/>
      <c r="BB483" s="957"/>
      <c r="BC483" s="957"/>
      <c r="BD483" s="957"/>
      <c r="BE483" s="957"/>
      <c r="BF483" s="957"/>
      <c r="BG483" s="957"/>
    </row>
    <row r="484" spans="1:113">
      <c r="A484" s="2172"/>
      <c r="B484" s="2206"/>
      <c r="C484" s="2144"/>
      <c r="D484" s="348" t="s">
        <v>767</v>
      </c>
      <c r="E484" s="452">
        <v>2</v>
      </c>
      <c r="F484" s="148" t="s">
        <v>15</v>
      </c>
      <c r="G484" s="148" t="s">
        <v>15</v>
      </c>
      <c r="H484" s="367">
        <v>178</v>
      </c>
      <c r="I484" s="368">
        <v>0</v>
      </c>
      <c r="J484" s="234" t="s">
        <v>15</v>
      </c>
      <c r="K484" s="233" t="s">
        <v>15</v>
      </c>
      <c r="L484" s="234" t="s">
        <v>15</v>
      </c>
      <c r="M484" s="233" t="s">
        <v>15</v>
      </c>
      <c r="N484" s="537">
        <v>29.482741099999998</v>
      </c>
      <c r="O484" s="536">
        <v>0.42</v>
      </c>
      <c r="P484" s="536">
        <v>70.328387000000006</v>
      </c>
      <c r="Q484" s="128">
        <f>3/$T$475</f>
        <v>8.0487734205891915E-5</v>
      </c>
      <c r="R484" s="2196"/>
      <c r="S484" s="24"/>
      <c r="T484" s="26"/>
      <c r="V484" s="24"/>
      <c r="W484" s="26"/>
      <c r="X484" s="26"/>
      <c r="Y484" s="41"/>
      <c r="Z484" s="41"/>
      <c r="AA484" s="41"/>
      <c r="AB484" s="846"/>
      <c r="AC484" s="26"/>
      <c r="AD484" s="24"/>
      <c r="AE484" s="26"/>
      <c r="AF484" s="106"/>
      <c r="AG484" s="37"/>
      <c r="AH484" s="957"/>
      <c r="AI484" s="1023"/>
      <c r="AJ484" s="1023"/>
      <c r="AK484" s="1023"/>
      <c r="AL484" s="1023"/>
      <c r="AM484" s="1023"/>
      <c r="AN484" s="1023"/>
      <c r="AO484" s="957"/>
      <c r="AP484" s="957"/>
      <c r="AQ484" s="957"/>
      <c r="AR484" s="957"/>
      <c r="AS484" s="957"/>
      <c r="AT484" s="957"/>
      <c r="AU484" s="957"/>
      <c r="AV484" s="957"/>
      <c r="AW484" s="957"/>
      <c r="AX484" s="957"/>
      <c r="AY484" s="957"/>
      <c r="AZ484" s="957"/>
      <c r="BA484" s="957"/>
      <c r="BB484" s="957"/>
      <c r="BC484" s="957"/>
      <c r="BD484" s="957"/>
      <c r="BE484" s="957"/>
      <c r="BF484" s="957"/>
      <c r="BG484" s="957"/>
    </row>
    <row r="485" spans="1:113">
      <c r="A485" s="2172"/>
      <c r="B485" s="2206"/>
      <c r="C485" s="2144"/>
      <c r="D485" s="348" t="s">
        <v>795</v>
      </c>
      <c r="E485" s="452">
        <v>2</v>
      </c>
      <c r="F485" s="148" t="s">
        <v>15</v>
      </c>
      <c r="G485" s="148" t="s">
        <v>15</v>
      </c>
      <c r="H485" s="367">
        <v>143.0838</v>
      </c>
      <c r="I485" s="368">
        <v>7.1848489999999998</v>
      </c>
      <c r="J485" s="234" t="s">
        <v>15</v>
      </c>
      <c r="K485" s="233" t="s">
        <v>15</v>
      </c>
      <c r="L485" s="234" t="s">
        <v>15</v>
      </c>
      <c r="M485" s="233" t="s">
        <v>15</v>
      </c>
      <c r="N485" s="537">
        <v>0</v>
      </c>
      <c r="O485" s="536" t="s">
        <v>574</v>
      </c>
      <c r="P485" s="536" t="s">
        <v>574</v>
      </c>
      <c r="Q485" s="128">
        <f>37/$T$475</f>
        <v>9.926820552060003E-4</v>
      </c>
      <c r="R485" s="2196"/>
      <c r="S485" s="24"/>
      <c r="T485" s="26"/>
      <c r="V485" s="24"/>
      <c r="W485" s="26"/>
      <c r="X485" s="26"/>
      <c r="Y485" s="41"/>
      <c r="Z485" s="41"/>
      <c r="AA485" s="41"/>
      <c r="AB485" s="846"/>
      <c r="AC485" s="26"/>
      <c r="AD485" s="24"/>
      <c r="AE485" s="26"/>
      <c r="AF485" s="106"/>
      <c r="AG485" s="37"/>
      <c r="AH485" s="957"/>
      <c r="AI485" s="1023"/>
      <c r="AJ485" s="1023"/>
      <c r="AK485" s="1023"/>
      <c r="AL485" s="1023"/>
      <c r="AM485" s="1023"/>
      <c r="AN485" s="1023"/>
      <c r="AO485" s="957"/>
      <c r="AP485" s="957"/>
      <c r="AQ485" s="957"/>
      <c r="AR485" s="957"/>
      <c r="AS485" s="957"/>
      <c r="AT485" s="957"/>
      <c r="AU485" s="957"/>
      <c r="AV485" s="957"/>
      <c r="AW485" s="957"/>
      <c r="AX485" s="957"/>
      <c r="AY485" s="957"/>
      <c r="AZ485" s="957"/>
      <c r="BA485" s="957"/>
      <c r="BB485" s="957"/>
      <c r="BC485" s="957"/>
      <c r="BD485" s="957"/>
      <c r="BE485" s="957"/>
      <c r="BF485" s="957"/>
      <c r="BG485" s="957"/>
    </row>
    <row r="486" spans="1:113">
      <c r="A486" s="2172"/>
      <c r="B486" s="2207" t="s">
        <v>799</v>
      </c>
      <c r="C486" s="2205" t="s">
        <v>11</v>
      </c>
      <c r="D486" s="338" t="s">
        <v>33</v>
      </c>
      <c r="E486" s="452">
        <v>39</v>
      </c>
      <c r="F486" s="148" t="s">
        <v>15</v>
      </c>
      <c r="G486" s="148" t="s">
        <v>15</v>
      </c>
      <c r="H486" s="367">
        <v>173.40459999999999</v>
      </c>
      <c r="I486" s="368">
        <v>13.84972</v>
      </c>
      <c r="J486" s="234" t="s">
        <v>15</v>
      </c>
      <c r="K486" s="233" t="s">
        <v>15</v>
      </c>
      <c r="L486" s="234" t="s">
        <v>15</v>
      </c>
      <c r="M486" s="233" t="s">
        <v>15</v>
      </c>
      <c r="N486" s="537">
        <v>54.700888800000001</v>
      </c>
      <c r="O486" s="536">
        <v>11.38</v>
      </c>
      <c r="P486" s="536">
        <v>4.8069585999999997</v>
      </c>
      <c r="Q486" s="128">
        <f>21288.36/$T$475</f>
        <v>0.57115062045311371</v>
      </c>
      <c r="R486" s="2130">
        <f>SUMPRODUCT(N486:N487,Q486:Q487)</f>
        <v>31.242446577456779</v>
      </c>
      <c r="S486" s="24"/>
      <c r="T486" s="26"/>
      <c r="V486" s="24"/>
      <c r="W486" s="26"/>
      <c r="X486" s="26"/>
      <c r="Y486" s="41"/>
      <c r="Z486" s="41"/>
      <c r="AA486" s="41"/>
      <c r="AB486" s="846"/>
      <c r="AC486" s="26"/>
      <c r="AD486" s="24"/>
      <c r="AE486" s="26"/>
      <c r="AF486" s="106"/>
      <c r="AG486" s="37"/>
      <c r="AH486" s="957"/>
      <c r="AI486" s="1023"/>
      <c r="AJ486" s="1023"/>
      <c r="AK486" s="1023"/>
      <c r="AL486" s="1023"/>
      <c r="AM486" s="1023"/>
      <c r="AN486" s="1023"/>
      <c r="AO486" s="957"/>
      <c r="AP486" s="957"/>
      <c r="AQ486" s="957"/>
      <c r="AR486" s="957"/>
      <c r="AS486" s="957"/>
      <c r="AT486" s="957"/>
      <c r="AU486" s="957"/>
      <c r="AV486" s="957"/>
      <c r="AW486" s="957"/>
      <c r="AX486" s="957"/>
      <c r="AY486" s="957"/>
      <c r="AZ486" s="957"/>
      <c r="BA486" s="957"/>
      <c r="BB486" s="957"/>
      <c r="BC486" s="957"/>
      <c r="BD486" s="957"/>
      <c r="BE486" s="957"/>
      <c r="BF486" s="957"/>
      <c r="BG486" s="957"/>
    </row>
    <row r="487" spans="1:113">
      <c r="A487" s="2172"/>
      <c r="B487" s="2209"/>
      <c r="C487" s="2205"/>
      <c r="D487" s="338" t="s">
        <v>32</v>
      </c>
      <c r="E487" s="452">
        <v>61</v>
      </c>
      <c r="F487" s="148" t="s">
        <v>15</v>
      </c>
      <c r="G487" s="148" t="s">
        <v>15</v>
      </c>
      <c r="H487" s="367">
        <v>127.5805</v>
      </c>
      <c r="I487" s="368">
        <v>19.582689999999999</v>
      </c>
      <c r="J487" s="234" t="s">
        <v>15</v>
      </c>
      <c r="K487" s="233" t="s">
        <v>15</v>
      </c>
      <c r="L487" s="234" t="s">
        <v>15</v>
      </c>
      <c r="M487" s="233" t="s">
        <v>15</v>
      </c>
      <c r="N487" s="537">
        <v>0</v>
      </c>
      <c r="O487" s="536" t="s">
        <v>574</v>
      </c>
      <c r="P487" s="536" t="s">
        <v>574</v>
      </c>
      <c r="Q487" s="128">
        <f>15984.4/$T$475</f>
        <v>0.42884937954688623</v>
      </c>
      <c r="R487" s="2155"/>
      <c r="S487" s="24"/>
      <c r="T487" s="26"/>
      <c r="V487" s="24"/>
      <c r="W487" s="26"/>
      <c r="X487" s="26"/>
      <c r="Y487" s="41"/>
      <c r="Z487" s="41"/>
      <c r="AA487" s="41"/>
      <c r="AB487" s="846"/>
      <c r="AC487" s="26"/>
      <c r="AD487" s="24"/>
      <c r="AE487" s="26"/>
      <c r="AF487" s="106"/>
      <c r="AG487" s="37"/>
      <c r="AH487" s="957"/>
      <c r="AI487" s="1023"/>
      <c r="AJ487" s="1023"/>
      <c r="AK487" s="1023"/>
      <c r="AL487" s="1023"/>
      <c r="AM487" s="1023"/>
      <c r="AN487" s="1023"/>
      <c r="AO487" s="957"/>
      <c r="AP487" s="957"/>
      <c r="AQ487" s="957"/>
      <c r="AR487" s="957"/>
      <c r="AS487" s="957"/>
      <c r="AT487" s="957"/>
      <c r="AU487" s="957"/>
      <c r="AV487" s="957"/>
      <c r="AW487" s="957"/>
      <c r="AX487" s="957"/>
      <c r="AY487" s="957"/>
      <c r="AZ487" s="957"/>
      <c r="BA487" s="957"/>
      <c r="BB487" s="957"/>
      <c r="BC487" s="957"/>
      <c r="BD487" s="957"/>
      <c r="BE487" s="957"/>
      <c r="BF487" s="957"/>
      <c r="BG487" s="957"/>
    </row>
    <row r="488" spans="1:113">
      <c r="A488" s="2172"/>
      <c r="B488" s="2207" t="s">
        <v>800</v>
      </c>
      <c r="C488" s="2205" t="s">
        <v>11</v>
      </c>
      <c r="D488" s="338" t="s">
        <v>33</v>
      </c>
      <c r="E488" s="452">
        <v>41</v>
      </c>
      <c r="F488" s="148" t="s">
        <v>15</v>
      </c>
      <c r="G488" s="148" t="s">
        <v>15</v>
      </c>
      <c r="H488" s="367">
        <v>169.5282</v>
      </c>
      <c r="I488" s="368">
        <v>14.75717</v>
      </c>
      <c r="J488" s="234" t="s">
        <v>15</v>
      </c>
      <c r="K488" s="233" t="s">
        <v>15</v>
      </c>
      <c r="L488" s="234" t="s">
        <v>15</v>
      </c>
      <c r="M488" s="233" t="s">
        <v>15</v>
      </c>
      <c r="N488" s="537">
        <v>9.2262207000000007</v>
      </c>
      <c r="O488" s="536">
        <v>2.3199999999999998</v>
      </c>
      <c r="P488" s="536">
        <v>3.9700997</v>
      </c>
      <c r="Q488" s="128">
        <f>23828.88/$T$475</f>
        <v>0.63931085328803128</v>
      </c>
      <c r="R488" s="2130">
        <f>SUMPRODUCT(N488:N489,Q488:Q489)</f>
        <v>5.898423028340698</v>
      </c>
      <c r="S488" s="24"/>
      <c r="T488" s="26"/>
      <c r="V488" s="24"/>
      <c r="W488" s="26"/>
      <c r="X488" s="26"/>
      <c r="Y488" s="41"/>
      <c r="Z488" s="41"/>
      <c r="AA488" s="41"/>
      <c r="AB488" s="846"/>
      <c r="AC488" s="26"/>
      <c r="AD488" s="24"/>
      <c r="AE488" s="26"/>
      <c r="AF488" s="106"/>
      <c r="AG488" s="37"/>
      <c r="AH488" s="957"/>
      <c r="AI488" s="1023"/>
      <c r="AJ488" s="1023"/>
      <c r="AK488" s="1023"/>
      <c r="AL488" s="1023"/>
      <c r="AM488" s="1023"/>
      <c r="AN488" s="1023"/>
      <c r="AO488" s="957"/>
      <c r="AP488" s="957"/>
      <c r="AQ488" s="957"/>
      <c r="AR488" s="957"/>
      <c r="AS488" s="957"/>
      <c r="AT488" s="957"/>
      <c r="AU488" s="957"/>
      <c r="AV488" s="957"/>
      <c r="AW488" s="957"/>
      <c r="AX488" s="957"/>
      <c r="AY488" s="957"/>
      <c r="AZ488" s="957"/>
      <c r="BA488" s="957"/>
      <c r="BB488" s="957"/>
      <c r="BC488" s="957"/>
      <c r="BD488" s="957"/>
      <c r="BE488" s="957"/>
      <c r="BF488" s="957"/>
      <c r="BG488" s="957"/>
    </row>
    <row r="489" spans="1:113">
      <c r="A489" s="2172"/>
      <c r="B489" s="2209"/>
      <c r="C489" s="2205"/>
      <c r="D489" s="338" t="s">
        <v>32</v>
      </c>
      <c r="E489" s="452">
        <v>59</v>
      </c>
      <c r="F489" s="148" t="s">
        <v>15</v>
      </c>
      <c r="G489" s="148" t="s">
        <v>15</v>
      </c>
      <c r="H489" s="367">
        <v>125.7919</v>
      </c>
      <c r="I489" s="368">
        <v>24.015519999999999</v>
      </c>
      <c r="J489" s="234" t="s">
        <v>15</v>
      </c>
      <c r="K489" s="233" t="s">
        <v>15</v>
      </c>
      <c r="L489" s="234" t="s">
        <v>15</v>
      </c>
      <c r="M489" s="233" t="s">
        <v>15</v>
      </c>
      <c r="N489" s="537">
        <v>0</v>
      </c>
      <c r="O489" s="536" t="s">
        <v>574</v>
      </c>
      <c r="P489" s="536" t="s">
        <v>574</v>
      </c>
      <c r="Q489" s="128">
        <f>13443.88/$T$475</f>
        <v>0.36068914671196872</v>
      </c>
      <c r="R489" s="2155"/>
      <c r="S489" s="24"/>
      <c r="T489" s="26"/>
      <c r="V489" s="24"/>
      <c r="W489" s="26"/>
      <c r="X489" s="26"/>
      <c r="Y489" s="41"/>
      <c r="Z489" s="41"/>
      <c r="AA489" s="41"/>
      <c r="AB489" s="846"/>
      <c r="AC489" s="26"/>
      <c r="AD489" s="24"/>
      <c r="AE489" s="26"/>
      <c r="AF489" s="106"/>
      <c r="AG489" s="37"/>
      <c r="AH489" s="957"/>
      <c r="AI489" s="1023"/>
      <c r="AJ489" s="1023"/>
      <c r="AK489" s="1023"/>
      <c r="AL489" s="1023"/>
      <c r="AM489" s="1023"/>
      <c r="AN489" s="1023"/>
      <c r="AO489" s="957"/>
      <c r="AP489" s="957"/>
      <c r="AQ489" s="957"/>
      <c r="AR489" s="957"/>
      <c r="AS489" s="957"/>
      <c r="AT489" s="957"/>
      <c r="AU489" s="957"/>
      <c r="AV489" s="957"/>
      <c r="AW489" s="957"/>
      <c r="AX489" s="957"/>
      <c r="AY489" s="957"/>
      <c r="AZ489" s="957"/>
      <c r="BA489" s="957"/>
      <c r="BB489" s="957"/>
      <c r="BC489" s="957"/>
      <c r="BD489" s="957"/>
      <c r="BE489" s="957"/>
      <c r="BF489" s="957"/>
      <c r="BG489" s="957"/>
    </row>
    <row r="490" spans="1:113">
      <c r="A490" s="2172"/>
      <c r="B490" s="2206" t="s">
        <v>7</v>
      </c>
      <c r="C490" s="2144" t="s">
        <v>13</v>
      </c>
      <c r="D490" s="348">
        <v>1</v>
      </c>
      <c r="E490" s="452">
        <v>29</v>
      </c>
      <c r="F490" s="148" t="s">
        <v>15</v>
      </c>
      <c r="G490" s="148" t="s">
        <v>15</v>
      </c>
      <c r="H490" s="367">
        <v>158.8468</v>
      </c>
      <c r="I490" s="368">
        <v>30.15081</v>
      </c>
      <c r="J490" s="234" t="s">
        <v>15</v>
      </c>
      <c r="K490" s="233" t="s">
        <v>15</v>
      </c>
      <c r="L490" s="234" t="s">
        <v>15</v>
      </c>
      <c r="M490" s="233" t="s">
        <v>15</v>
      </c>
      <c r="N490" s="537">
        <v>-2.1252952999999999</v>
      </c>
      <c r="O490" s="536">
        <v>-1.44</v>
      </c>
      <c r="P490" s="536">
        <v>1.4779807</v>
      </c>
      <c r="Q490" s="128">
        <f>10016.51/$T$475</f>
        <v>0.2687353981835528</v>
      </c>
      <c r="R490" s="2130">
        <f>SUMPRODUCT(N490:N493,Q490:Q493)</f>
        <v>-5.9555513862625409</v>
      </c>
      <c r="S490" s="24"/>
      <c r="T490" s="26"/>
      <c r="V490" s="24"/>
      <c r="W490" s="26"/>
      <c r="X490" s="26"/>
      <c r="Y490" s="41"/>
      <c r="Z490" s="41"/>
      <c r="AA490" s="41"/>
      <c r="AB490" s="846"/>
      <c r="AC490" s="26"/>
      <c r="AD490" s="24"/>
      <c r="AE490" s="26"/>
      <c r="AF490" s="106"/>
      <c r="AG490" s="37"/>
      <c r="AH490" s="957"/>
      <c r="AI490" s="1023"/>
      <c r="AJ490" s="1023"/>
      <c r="AK490" s="1023"/>
      <c r="AL490" s="1023"/>
      <c r="AM490" s="1023"/>
      <c r="AN490" s="1023"/>
      <c r="AO490" s="957"/>
      <c r="AP490" s="957"/>
      <c r="AQ490" s="957"/>
      <c r="AR490" s="957"/>
      <c r="AS490" s="957"/>
      <c r="AT490" s="957"/>
      <c r="AU490" s="957"/>
      <c r="AV490" s="957"/>
      <c r="AW490" s="957"/>
      <c r="AX490" s="957"/>
      <c r="AY490" s="957"/>
      <c r="AZ490" s="957"/>
      <c r="BA490" s="957"/>
      <c r="BB490" s="957"/>
      <c r="BC490" s="957"/>
      <c r="BD490" s="957"/>
      <c r="BE490" s="957"/>
      <c r="BF490" s="957"/>
      <c r="BG490" s="957"/>
    </row>
    <row r="491" spans="1:113">
      <c r="A491" s="2172"/>
      <c r="B491" s="2206"/>
      <c r="C491" s="2144"/>
      <c r="D491" s="348">
        <v>2</v>
      </c>
      <c r="E491" s="452">
        <v>23</v>
      </c>
      <c r="F491" s="148" t="s">
        <v>15</v>
      </c>
      <c r="G491" s="148" t="s">
        <v>15</v>
      </c>
      <c r="H491" s="367">
        <v>157.05850000000001</v>
      </c>
      <c r="I491" s="368">
        <v>15.654339999999999</v>
      </c>
      <c r="J491" s="234" t="s">
        <v>15</v>
      </c>
      <c r="K491" s="233" t="s">
        <v>15</v>
      </c>
      <c r="L491" s="234" t="s">
        <v>15</v>
      </c>
      <c r="M491" s="233" t="s">
        <v>15</v>
      </c>
      <c r="N491" s="537">
        <v>-23.275626299999999</v>
      </c>
      <c r="O491" s="536">
        <v>-9.75</v>
      </c>
      <c r="P491" s="536">
        <v>2.3875142999999999</v>
      </c>
      <c r="Q491" s="128">
        <f>4300.31/$T$475</f>
        <v>0.11537406942764636</v>
      </c>
      <c r="R491" s="2196"/>
      <c r="S491" s="24"/>
      <c r="T491" s="26"/>
      <c r="V491" s="24"/>
      <c r="W491" s="26"/>
      <c r="X491" s="26"/>
      <c r="Y491" s="41"/>
      <c r="Z491" s="41"/>
      <c r="AA491" s="41"/>
      <c r="AB491" s="846"/>
      <c r="AC491" s="26"/>
      <c r="AD491" s="24"/>
      <c r="AE491" s="26"/>
      <c r="AF491" s="106"/>
      <c r="AG491" s="37"/>
      <c r="AH491" s="957"/>
      <c r="AI491" s="1023"/>
      <c r="AJ491" s="1023"/>
      <c r="AK491" s="1023"/>
      <c r="AL491" s="1023"/>
      <c r="AM491" s="1023"/>
      <c r="AN491" s="1023"/>
      <c r="AO491" s="957"/>
      <c r="AP491" s="957"/>
      <c r="AQ491" s="957"/>
      <c r="AR491" s="957"/>
      <c r="AS491" s="957"/>
      <c r="AT491" s="957"/>
      <c r="AU491" s="957"/>
      <c r="AV491" s="957"/>
      <c r="AW491" s="957"/>
      <c r="AX491" s="957"/>
      <c r="AY491" s="957"/>
      <c r="AZ491" s="957"/>
      <c r="BA491" s="957"/>
      <c r="BB491" s="957"/>
      <c r="BC491" s="957"/>
      <c r="BD491" s="957"/>
      <c r="BE491" s="957"/>
      <c r="BF491" s="957"/>
      <c r="BG491" s="957"/>
    </row>
    <row r="492" spans="1:113">
      <c r="A492" s="2172"/>
      <c r="B492" s="2206"/>
      <c r="C492" s="2144"/>
      <c r="D492" s="348">
        <v>3</v>
      </c>
      <c r="E492" s="452">
        <v>15</v>
      </c>
      <c r="F492" s="148" t="s">
        <v>15</v>
      </c>
      <c r="G492" s="148" t="s">
        <v>15</v>
      </c>
      <c r="H492" s="367">
        <v>155.60400000000001</v>
      </c>
      <c r="I492" s="368">
        <v>12.13861</v>
      </c>
      <c r="J492" s="234" t="s">
        <v>15</v>
      </c>
      <c r="K492" s="233" t="s">
        <v>15</v>
      </c>
      <c r="L492" s="234" t="s">
        <v>15</v>
      </c>
      <c r="M492" s="233" t="s">
        <v>15</v>
      </c>
      <c r="N492" s="537">
        <v>-30.510087899999998</v>
      </c>
      <c r="O492" s="536">
        <v>-12.4</v>
      </c>
      <c r="P492" s="536">
        <v>2.4612457999999999</v>
      </c>
      <c r="Q492" s="128">
        <f>3297.25/$T$475</f>
        <v>8.8462727203459032E-2</v>
      </c>
      <c r="R492" s="2196"/>
      <c r="S492" s="24"/>
      <c r="T492" s="26"/>
      <c r="V492" s="24"/>
      <c r="W492" s="26"/>
      <c r="X492" s="26"/>
      <c r="Y492" s="41"/>
      <c r="Z492" s="41"/>
      <c r="AA492" s="41"/>
      <c r="AB492" s="846"/>
      <c r="AC492" s="26"/>
      <c r="AD492" s="24"/>
      <c r="AE492" s="26"/>
      <c r="AF492" s="106"/>
      <c r="AG492" s="37"/>
      <c r="AH492" s="957"/>
      <c r="AI492" s="1023"/>
      <c r="AJ492" s="1023"/>
      <c r="AK492" s="1023"/>
      <c r="AL492" s="1023"/>
      <c r="AM492" s="1023"/>
      <c r="AN492" s="1023"/>
      <c r="AO492" s="957"/>
      <c r="AP492" s="957"/>
      <c r="AQ492" s="957"/>
      <c r="AR492" s="957"/>
      <c r="AS492" s="957"/>
      <c r="AT492" s="957"/>
      <c r="AU492" s="957"/>
      <c r="AV492" s="957"/>
      <c r="AW492" s="957"/>
      <c r="AX492" s="957"/>
      <c r="AY492" s="957"/>
      <c r="AZ492" s="957"/>
      <c r="BA492" s="957"/>
      <c r="BB492" s="957"/>
      <c r="BC492" s="957"/>
      <c r="BD492" s="957"/>
      <c r="BE492" s="957"/>
      <c r="BF492" s="957"/>
      <c r="BG492" s="957"/>
    </row>
    <row r="493" spans="1:113" ht="15.75" thickBot="1">
      <c r="A493" s="2172"/>
      <c r="B493" s="2290"/>
      <c r="C493" s="2144"/>
      <c r="D493" s="205">
        <v>4</v>
      </c>
      <c r="E493" s="25">
        <v>33</v>
      </c>
      <c r="F493" s="197" t="s">
        <v>15</v>
      </c>
      <c r="G493" s="197" t="s">
        <v>15</v>
      </c>
      <c r="H493" s="367">
        <v>150.1241</v>
      </c>
      <c r="I493" s="368">
        <v>30.394539999999999</v>
      </c>
      <c r="J493" s="269" t="s">
        <v>15</v>
      </c>
      <c r="K493" s="1134" t="s">
        <v>15</v>
      </c>
      <c r="L493" s="409" t="s">
        <v>15</v>
      </c>
      <c r="M493" s="122" t="s">
        <v>15</v>
      </c>
      <c r="N493" s="537">
        <v>0</v>
      </c>
      <c r="O493" s="536" t="s">
        <v>574</v>
      </c>
      <c r="P493" s="536" t="s">
        <v>574</v>
      </c>
      <c r="Q493" s="286">
        <f>19658.69/$T$475</f>
        <v>0.52742780518534171</v>
      </c>
      <c r="R493" s="2155"/>
      <c r="S493" s="24"/>
      <c r="T493" s="26"/>
      <c r="V493" s="24"/>
      <c r="W493" s="26"/>
      <c r="X493" s="26"/>
      <c r="Y493" s="41"/>
      <c r="Z493" s="41"/>
      <c r="AA493" s="41"/>
      <c r="AB493" s="846"/>
      <c r="AC493" s="26"/>
      <c r="AD493" s="240"/>
      <c r="AE493" s="764"/>
      <c r="AF493" s="106"/>
      <c r="AG493" s="37"/>
      <c r="AH493" s="957"/>
      <c r="AI493" s="1023"/>
      <c r="AJ493" s="1023"/>
      <c r="AK493" s="1023"/>
      <c r="AL493" s="1023"/>
      <c r="AM493" s="1023"/>
      <c r="AN493" s="1023"/>
      <c r="AO493" s="957"/>
      <c r="AP493" s="957"/>
      <c r="AQ493" s="957"/>
      <c r="AR493" s="957"/>
      <c r="AS493" s="957"/>
      <c r="AT493" s="957"/>
      <c r="AU493" s="957"/>
      <c r="AV493" s="957"/>
      <c r="AW493" s="957"/>
      <c r="AX493" s="957"/>
      <c r="AY493" s="957"/>
      <c r="AZ493" s="957"/>
      <c r="BA493" s="957"/>
      <c r="BB493" s="957"/>
      <c r="BC493" s="957"/>
      <c r="BD493" s="957"/>
      <c r="BE493" s="957"/>
      <c r="BF493" s="957"/>
      <c r="BG493" s="957"/>
    </row>
    <row r="494" spans="1:113" s="692" customFormat="1" ht="9" customHeight="1" thickBot="1">
      <c r="A494" s="695"/>
      <c r="B494" s="815"/>
      <c r="C494" s="684"/>
      <c r="D494" s="683"/>
      <c r="E494" s="684"/>
      <c r="F494" s="684"/>
      <c r="G494" s="684"/>
      <c r="H494" s="684"/>
      <c r="I494" s="684"/>
      <c r="J494" s="682"/>
      <c r="K494" s="683"/>
      <c r="L494" s="682"/>
      <c r="M494" s="685"/>
      <c r="N494" s="1189"/>
      <c r="O494" s="686"/>
      <c r="P494" s="686"/>
      <c r="Q494" s="687"/>
      <c r="R494" s="687"/>
      <c r="S494" s="688"/>
      <c r="T494" s="688"/>
      <c r="U494" s="854"/>
      <c r="V494" s="893"/>
      <c r="W494" s="685"/>
      <c r="X494" s="685"/>
      <c r="Y494" s="688"/>
      <c r="Z494" s="688"/>
      <c r="AA494" s="688"/>
      <c r="AB494" s="846"/>
      <c r="AC494" s="685"/>
      <c r="AD494" s="685"/>
      <c r="AE494" s="685"/>
      <c r="AF494" s="689"/>
      <c r="AG494" s="685"/>
      <c r="AH494" s="959"/>
      <c r="AI494" s="959"/>
      <c r="AJ494" s="959"/>
      <c r="AK494" s="959"/>
      <c r="AL494" s="959"/>
      <c r="AM494" s="959"/>
      <c r="AN494" s="958"/>
      <c r="AO494" s="958"/>
      <c r="AP494" s="958"/>
      <c r="AQ494" s="958"/>
      <c r="AR494" s="958"/>
      <c r="AS494" s="958"/>
      <c r="AT494" s="958"/>
      <c r="AU494" s="958"/>
      <c r="AV494" s="958"/>
      <c r="AW494" s="958"/>
      <c r="AX494" s="958"/>
      <c r="AY494" s="958"/>
      <c r="AZ494" s="958"/>
      <c r="BA494" s="958"/>
      <c r="BB494" s="958"/>
      <c r="BC494" s="958"/>
      <c r="BD494" s="958"/>
      <c r="BE494" s="958"/>
      <c r="BF494" s="958"/>
      <c r="BG494" s="958"/>
      <c r="BH494" s="1125"/>
      <c r="DI494" s="693"/>
    </row>
    <row r="495" spans="1:113" s="7" customFormat="1" ht="15" customHeight="1">
      <c r="A495" s="2171" t="s">
        <v>1276</v>
      </c>
      <c r="B495" s="1057" t="s">
        <v>1291</v>
      </c>
      <c r="C495" s="809" t="s">
        <v>12</v>
      </c>
      <c r="D495" s="232" t="s">
        <v>1418</v>
      </c>
      <c r="E495" s="534">
        <v>921</v>
      </c>
      <c r="F495" s="258">
        <v>48.417549999999999</v>
      </c>
      <c r="G495" s="258">
        <v>5.8546550000000002</v>
      </c>
      <c r="H495" s="367">
        <v>763.67970000000003</v>
      </c>
      <c r="I495" s="368">
        <v>503.7921</v>
      </c>
      <c r="J495" s="268" t="s">
        <v>15</v>
      </c>
      <c r="K495" s="132" t="s">
        <v>15</v>
      </c>
      <c r="L495" s="1165" t="s">
        <v>14</v>
      </c>
      <c r="M495" s="1150" t="s">
        <v>779</v>
      </c>
      <c r="N495" s="1190">
        <v>25.267886000000001</v>
      </c>
      <c r="O495" s="442">
        <v>9.15</v>
      </c>
      <c r="P495" s="442">
        <v>2.762416</v>
      </c>
      <c r="Q495" s="254" t="s">
        <v>15</v>
      </c>
      <c r="R495" s="258">
        <f>N495</f>
        <v>25.267886000000001</v>
      </c>
      <c r="S495" s="124" t="s">
        <v>68</v>
      </c>
      <c r="T495" s="125" t="s">
        <v>69</v>
      </c>
      <c r="U495" s="858"/>
      <c r="V495" s="2232" t="s">
        <v>863</v>
      </c>
      <c r="W495" s="295" t="s">
        <v>47</v>
      </c>
      <c r="X495" s="295" t="s">
        <v>1425</v>
      </c>
      <c r="Y495" s="299">
        <f>T502+SUM(R498:R515)+N495*146.7+N496*1</f>
        <v>2571.1478735302585</v>
      </c>
      <c r="Z495" s="282" t="s">
        <v>40</v>
      </c>
      <c r="AA495" s="1083" t="s">
        <v>40</v>
      </c>
      <c r="AB495" s="846"/>
      <c r="AC495" s="26"/>
      <c r="AD495" s="765" t="s">
        <v>142</v>
      </c>
      <c r="AE495" s="766"/>
      <c r="AF495" s="497" t="s">
        <v>49</v>
      </c>
      <c r="AG495" s="494" t="s">
        <v>1428</v>
      </c>
      <c r="AH495" s="159">
        <f>T502+R495*51+R496*114+R497*1+N502+N509</f>
        <v>656.60091800000009</v>
      </c>
      <c r="AI495" s="159">
        <v>649.99</v>
      </c>
      <c r="AJ495" s="159">
        <v>649.99</v>
      </c>
      <c r="AK495" s="159">
        <v>635.99</v>
      </c>
      <c r="AL495" s="159">
        <v>647.99</v>
      </c>
      <c r="AM495" s="191">
        <v>649</v>
      </c>
      <c r="AN495" s="1011"/>
      <c r="AO495" s="957"/>
      <c r="AP495" s="957"/>
      <c r="AQ495" s="957"/>
      <c r="AR495" s="957"/>
      <c r="AS495" s="957"/>
      <c r="AT495" s="1012"/>
      <c r="AU495" s="1023"/>
      <c r="AV495" s="957"/>
      <c r="AW495" s="957"/>
      <c r="AX495" s="957"/>
      <c r="AY495" s="957"/>
      <c r="AZ495" s="957"/>
      <c r="BA495" s="957"/>
      <c r="BB495" s="957"/>
      <c r="BC495" s="957"/>
      <c r="BD495" s="957"/>
      <c r="BE495" s="957"/>
      <c r="BF495" s="957"/>
      <c r="BG495" s="957"/>
      <c r="BH495" s="1125"/>
      <c r="DI495" s="566"/>
    </row>
    <row r="496" spans="1:113" s="7" customFormat="1" ht="15" customHeight="1">
      <c r="A496" s="2172"/>
      <c r="B496" s="1057" t="s">
        <v>754</v>
      </c>
      <c r="C496" s="809" t="s">
        <v>12</v>
      </c>
      <c r="D496" s="232" t="s">
        <v>1292</v>
      </c>
      <c r="E496" s="534">
        <v>921</v>
      </c>
      <c r="F496" s="258">
        <v>119.9139</v>
      </c>
      <c r="G496" s="258">
        <v>30.734940000000002</v>
      </c>
      <c r="H496" s="367">
        <v>763.67970000000003</v>
      </c>
      <c r="I496" s="368">
        <v>503.7921</v>
      </c>
      <c r="J496" s="268" t="s">
        <v>15</v>
      </c>
      <c r="K496" s="132" t="s">
        <v>15</v>
      </c>
      <c r="L496" s="234" t="s">
        <v>15</v>
      </c>
      <c r="M496" s="233" t="s">
        <v>15</v>
      </c>
      <c r="N496" s="1190">
        <v>5.8025260000000003</v>
      </c>
      <c r="O496" s="442">
        <v>10.24</v>
      </c>
      <c r="P496" s="442">
        <v>0.56638900000000003</v>
      </c>
      <c r="Q496" s="275" t="s">
        <v>15</v>
      </c>
      <c r="R496" s="258">
        <f>N496</f>
        <v>5.8025260000000003</v>
      </c>
      <c r="S496" s="31" t="s">
        <v>70</v>
      </c>
      <c r="T496" s="117" t="s">
        <v>71</v>
      </c>
      <c r="U496" s="858"/>
      <c r="V496" s="2233"/>
      <c r="W496" s="983" t="s">
        <v>49</v>
      </c>
      <c r="X496" s="1071" t="s">
        <v>1426</v>
      </c>
      <c r="Y496" s="165">
        <f>T502+SUM(R498:R515)+N495*82.5+N496*1</f>
        <v>948.94959233025838</v>
      </c>
      <c r="Z496" s="165">
        <f>Y496-Y495</f>
        <v>-1622.1982812000001</v>
      </c>
      <c r="AA496" s="1084">
        <f>(146.7-82.5)*P495</f>
        <v>177.34710719999995</v>
      </c>
      <c r="AB496" s="846"/>
      <c r="AC496" s="26"/>
      <c r="AD496" s="760" t="s">
        <v>98</v>
      </c>
      <c r="AE496" s="278" t="e">
        <f>AVERAGE($AI$500:$AM$503)</f>
        <v>#DIV/0!</v>
      </c>
      <c r="AF496" s="497" t="s">
        <v>49</v>
      </c>
      <c r="AG496" s="494" t="s">
        <v>1429</v>
      </c>
      <c r="AH496" s="159">
        <f>T502+R495*51+R496*155+R497*1+N502+N509+N511</f>
        <v>1341.0718390000002</v>
      </c>
      <c r="AI496" s="159">
        <v>1899</v>
      </c>
      <c r="AJ496" s="159">
        <v>1899</v>
      </c>
      <c r="AK496" s="159">
        <v>1897</v>
      </c>
      <c r="AL496" s="159">
        <v>1897</v>
      </c>
      <c r="AM496" s="191"/>
      <c r="AN496" s="1011"/>
      <c r="AO496" s="957"/>
      <c r="AP496" s="957"/>
      <c r="AQ496" s="957"/>
      <c r="AR496" s="957"/>
      <c r="AS496" s="957"/>
      <c r="AT496" s="1012"/>
      <c r="AU496" s="1023"/>
      <c r="AV496" s="957"/>
      <c r="AW496" s="957"/>
      <c r="AX496" s="957"/>
      <c r="AY496" s="957"/>
      <c r="AZ496" s="957"/>
      <c r="BA496" s="957"/>
      <c r="BB496" s="957"/>
      <c r="BC496" s="957"/>
      <c r="BD496" s="957"/>
      <c r="BE496" s="957"/>
      <c r="BF496" s="957"/>
      <c r="BG496" s="957"/>
      <c r="BH496" s="1125"/>
      <c r="DI496" s="566"/>
    </row>
    <row r="497" spans="1:59" ht="15" customHeight="1">
      <c r="A497" s="2172"/>
      <c r="B497" s="1056" t="s">
        <v>756</v>
      </c>
      <c r="C497" s="356" t="s">
        <v>12</v>
      </c>
      <c r="D497" s="758" t="s">
        <v>1293</v>
      </c>
      <c r="E497" s="452">
        <v>921</v>
      </c>
      <c r="F497" s="128">
        <v>0.351302</v>
      </c>
      <c r="G497" s="128">
        <v>0.22850400000000001</v>
      </c>
      <c r="H497" s="367">
        <v>763.67970000000003</v>
      </c>
      <c r="I497" s="368">
        <v>503.7921</v>
      </c>
      <c r="J497" s="234" t="s">
        <v>15</v>
      </c>
      <c r="K497" s="233" t="s">
        <v>15</v>
      </c>
      <c r="L497" s="234" t="s">
        <v>15</v>
      </c>
      <c r="M497" s="233" t="s">
        <v>15</v>
      </c>
      <c r="N497" s="537">
        <v>-40.078024999999997</v>
      </c>
      <c r="O497" s="761">
        <v>-0.77</v>
      </c>
      <c r="P497" s="761">
        <v>51.945382000000002</v>
      </c>
      <c r="Q497" s="195" t="s">
        <v>15</v>
      </c>
      <c r="R497" s="128">
        <f>N497</f>
        <v>-40.078024999999997</v>
      </c>
      <c r="S497" s="127" t="s">
        <v>72</v>
      </c>
      <c r="T497" s="119" t="s">
        <v>119</v>
      </c>
      <c r="U497" s="854"/>
      <c r="V497" s="2233"/>
      <c r="W497" s="983" t="s">
        <v>49</v>
      </c>
      <c r="X497" s="1071" t="s">
        <v>1427</v>
      </c>
      <c r="Y497" s="165">
        <f>T502+SUM(R498:R515)+N495*67.1+N496*1</f>
        <v>559.8241479302585</v>
      </c>
      <c r="Z497" s="165">
        <f>Y497-Y495</f>
        <v>-2011.3237256</v>
      </c>
      <c r="AA497" s="1084">
        <f>(146.7-67.1)*P495</f>
        <v>219.88831359999998</v>
      </c>
      <c r="AB497" s="846"/>
      <c r="AC497" s="26"/>
      <c r="AD497" s="760" t="s">
        <v>143</v>
      </c>
      <c r="AE497" s="278" t="e">
        <f>STDEV($AI$500:$AM$503)</f>
        <v>#DIV/0!</v>
      </c>
      <c r="AF497" s="497" t="s">
        <v>49</v>
      </c>
      <c r="AG497" s="494" t="s">
        <v>1430</v>
      </c>
      <c r="AH497" s="159">
        <f>T502+R495*50+R496*114+R497*1+N500+N509+N511</f>
        <v>1238.391169</v>
      </c>
      <c r="AI497" s="1085">
        <v>912.59</v>
      </c>
      <c r="AJ497" s="1085">
        <v>999</v>
      </c>
      <c r="AK497" s="1085">
        <v>1149</v>
      </c>
      <c r="AL497" s="1085">
        <v>1406</v>
      </c>
      <c r="AM497" s="1085">
        <v>699</v>
      </c>
      <c r="AN497" s="1023"/>
      <c r="AO497" s="957"/>
      <c r="AP497" s="957"/>
      <c r="AQ497" s="957"/>
      <c r="AR497" s="957"/>
      <c r="AS497" s="957"/>
      <c r="AT497" s="1012"/>
      <c r="AU497" s="1023"/>
      <c r="AV497" s="957"/>
      <c r="AW497" s="957"/>
      <c r="AX497" s="957"/>
      <c r="AY497" s="957"/>
      <c r="AZ497" s="957"/>
      <c r="BA497" s="957"/>
      <c r="BB497" s="957"/>
      <c r="BC497" s="957"/>
      <c r="BD497" s="957"/>
      <c r="BE497" s="957"/>
      <c r="BF497" s="957"/>
      <c r="BG497" s="957"/>
    </row>
    <row r="498" spans="1:59" ht="15" customHeight="1">
      <c r="A498" s="2172"/>
      <c r="B498" s="2207" t="s">
        <v>153</v>
      </c>
      <c r="C498" s="2179" t="s">
        <v>13</v>
      </c>
      <c r="D498" s="434" t="s">
        <v>757</v>
      </c>
      <c r="E498" s="452">
        <v>58</v>
      </c>
      <c r="F498" s="148" t="s">
        <v>15</v>
      </c>
      <c r="G498" s="148" t="s">
        <v>15</v>
      </c>
      <c r="H498" s="1081">
        <v>457.3689</v>
      </c>
      <c r="I498" s="1082">
        <v>83.936080000000004</v>
      </c>
      <c r="J498" s="234" t="s">
        <v>15</v>
      </c>
      <c r="K498" s="233" t="s">
        <v>15</v>
      </c>
      <c r="L498" s="234" t="s">
        <v>15</v>
      </c>
      <c r="M498" s="233" t="s">
        <v>15</v>
      </c>
      <c r="N498" s="537">
        <v>199.33662899999999</v>
      </c>
      <c r="O498" s="761">
        <v>3.33</v>
      </c>
      <c r="P498" s="761">
        <v>59.804397000000002</v>
      </c>
      <c r="Q498" s="251">
        <v>0.13999966779888698</v>
      </c>
      <c r="R498" s="2130">
        <f>SUMPRODUCT(N498:N503,Q498:Q503)</f>
        <v>253.45145391323666</v>
      </c>
      <c r="S498" s="452" t="s">
        <v>73</v>
      </c>
      <c r="T498" s="433"/>
      <c r="U498" s="854"/>
      <c r="V498" s="24"/>
      <c r="W498" s="26"/>
      <c r="X498" s="26"/>
      <c r="Y498" s="41"/>
      <c r="Z498" s="41"/>
      <c r="AA498" s="41"/>
      <c r="AB498" s="846"/>
      <c r="AC498" s="26"/>
      <c r="AD498" s="760" t="s">
        <v>144</v>
      </c>
      <c r="AE498" s="278">
        <f>MIN($AI$500:$AM$503)</f>
        <v>0</v>
      </c>
      <c r="AF498" s="497" t="s">
        <v>49</v>
      </c>
      <c r="AG498" s="494" t="s">
        <v>1431</v>
      </c>
      <c r="AH498" s="159">
        <f>T502+R495*50+R496*129+R497*1+N500+N504+N510</f>
        <v>812.13606899999991</v>
      </c>
      <c r="AI498" s="1085">
        <v>549</v>
      </c>
      <c r="AJ498" s="1085">
        <v>499</v>
      </c>
      <c r="AK498" s="1085">
        <v>549</v>
      </c>
      <c r="AL498" s="1085">
        <v>747</v>
      </c>
      <c r="AM498" s="1085">
        <v>499</v>
      </c>
      <c r="AN498" s="1023"/>
      <c r="AO498" s="957"/>
      <c r="AP498" s="957"/>
      <c r="AQ498" s="957"/>
      <c r="AR498" s="957"/>
      <c r="AS498" s="957"/>
      <c r="AT498" s="1012"/>
      <c r="AU498" s="1023"/>
      <c r="AV498" s="957"/>
      <c r="AW498" s="957"/>
      <c r="AX498" s="957"/>
      <c r="AY498" s="957"/>
      <c r="AZ498" s="957"/>
      <c r="BA498" s="957"/>
      <c r="BB498" s="957"/>
      <c r="BC498" s="957"/>
      <c r="BD498" s="957"/>
      <c r="BE498" s="957"/>
      <c r="BF498" s="957"/>
      <c r="BG498" s="957"/>
    </row>
    <row r="499" spans="1:59" ht="15" customHeight="1">
      <c r="A499" s="2172"/>
      <c r="B499" s="2208"/>
      <c r="C499" s="2187"/>
      <c r="D499" s="348" t="s">
        <v>760</v>
      </c>
      <c r="E499" s="452">
        <v>140</v>
      </c>
      <c r="F499" s="148" t="s">
        <v>15</v>
      </c>
      <c r="G499" s="148" t="s">
        <v>15</v>
      </c>
      <c r="H499" s="1081">
        <v>696.64779999999996</v>
      </c>
      <c r="I499" s="1082">
        <v>281.89609999999999</v>
      </c>
      <c r="J499" s="234" t="s">
        <v>15</v>
      </c>
      <c r="K499" s="233" t="s">
        <v>15</v>
      </c>
      <c r="L499" s="234" t="s">
        <v>15</v>
      </c>
      <c r="M499" s="233" t="s">
        <v>15</v>
      </c>
      <c r="N499" s="537">
        <v>79.226558999999995</v>
      </c>
      <c r="O499" s="761">
        <v>1.35</v>
      </c>
      <c r="P499" s="761">
        <v>58.847242999999999</v>
      </c>
      <c r="Q499" s="251">
        <v>7.1562305559729283E-2</v>
      </c>
      <c r="R499" s="2196"/>
      <c r="S499" s="127" t="s">
        <v>74</v>
      </c>
      <c r="T499" s="129" t="s">
        <v>75</v>
      </c>
      <c r="V499" s="24"/>
      <c r="W499" s="26"/>
      <c r="X499" s="26"/>
      <c r="Y499" s="41"/>
      <c r="Z499" s="41"/>
      <c r="AA499" s="41"/>
      <c r="AB499" s="846"/>
      <c r="AC499" s="26"/>
      <c r="AD499" s="760" t="s">
        <v>145</v>
      </c>
      <c r="AE499" s="278">
        <f>MAX($AI$500:$AM$503)</f>
        <v>0</v>
      </c>
      <c r="AF499" s="106"/>
      <c r="AG499" s="37"/>
      <c r="AH499" s="957"/>
      <c r="AI499" s="1023"/>
      <c r="AJ499" s="1023"/>
      <c r="AK499" s="1023"/>
      <c r="AL499" s="1023"/>
      <c r="AM499" s="1023"/>
      <c r="AN499" s="1023"/>
      <c r="AO499" s="957"/>
      <c r="AP499" s="957"/>
      <c r="AQ499" s="957"/>
      <c r="AR499" s="957"/>
      <c r="AS499" s="957"/>
      <c r="AT499" s="957"/>
      <c r="AU499" s="957"/>
      <c r="AV499" s="957"/>
      <c r="AW499" s="957"/>
      <c r="AX499" s="957"/>
      <c r="AY499" s="957"/>
      <c r="AZ499" s="957"/>
      <c r="BA499" s="957"/>
      <c r="BB499" s="957"/>
      <c r="BC499" s="957"/>
      <c r="BD499" s="957"/>
      <c r="BE499" s="957"/>
      <c r="BF499" s="957"/>
      <c r="BG499" s="957"/>
    </row>
    <row r="500" spans="1:59" ht="15" customHeight="1">
      <c r="A500" s="2172"/>
      <c r="B500" s="2208"/>
      <c r="C500" s="2187"/>
      <c r="D500" s="348" t="s">
        <v>762</v>
      </c>
      <c r="E500" s="452">
        <v>411</v>
      </c>
      <c r="F500" s="148" t="s">
        <v>15</v>
      </c>
      <c r="G500" s="148" t="s">
        <v>15</v>
      </c>
      <c r="H500" s="1081">
        <v>873.1848</v>
      </c>
      <c r="I500" s="1082">
        <v>559.52589999999998</v>
      </c>
      <c r="J500" s="234" t="s">
        <v>15</v>
      </c>
      <c r="K500" s="233" t="s">
        <v>15</v>
      </c>
      <c r="L500" s="234" t="s">
        <v>15</v>
      </c>
      <c r="M500" s="233" t="s">
        <v>15</v>
      </c>
      <c r="N500" s="537">
        <v>366.94149499999997</v>
      </c>
      <c r="O500" s="789">
        <v>6.58</v>
      </c>
      <c r="P500" s="789">
        <v>55.799646000000003</v>
      </c>
      <c r="Q500" s="251">
        <v>0.38582371843397339</v>
      </c>
      <c r="R500" s="2196"/>
      <c r="S500" s="445">
        <v>921</v>
      </c>
      <c r="T500" s="490">
        <v>523779.1</v>
      </c>
      <c r="V500" s="24"/>
      <c r="W500" s="26"/>
      <c r="X500" s="26"/>
      <c r="Y500" s="41"/>
      <c r="Z500" s="41"/>
      <c r="AA500" s="41"/>
      <c r="AB500" s="846"/>
      <c r="AC500" s="26"/>
      <c r="AD500" s="24"/>
      <c r="AE500" s="26"/>
      <c r="AF500" s="106"/>
      <c r="AG500" s="37"/>
      <c r="AH500" s="957"/>
      <c r="AI500" s="503"/>
      <c r="AJ500" s="503"/>
      <c r="AK500" s="503"/>
      <c r="AL500" s="503"/>
      <c r="AM500" s="503"/>
      <c r="AN500" s="1023"/>
      <c r="AO500" s="957"/>
      <c r="AP500" s="957"/>
      <c r="AQ500" s="957"/>
      <c r="AR500" s="957"/>
      <c r="AS500" s="957"/>
      <c r="AT500" s="957"/>
      <c r="AU500" s="957"/>
      <c r="AV500" s="957"/>
      <c r="AW500" s="957"/>
      <c r="AX500" s="957"/>
      <c r="AY500" s="957"/>
      <c r="AZ500" s="957"/>
      <c r="BA500" s="957"/>
      <c r="BB500" s="957"/>
      <c r="BC500" s="957"/>
      <c r="BD500" s="957"/>
      <c r="BE500" s="957"/>
      <c r="BF500" s="957"/>
      <c r="BG500" s="957"/>
    </row>
    <row r="501" spans="1:59" ht="15" customHeight="1">
      <c r="A501" s="2172"/>
      <c r="B501" s="2208"/>
      <c r="C501" s="2187"/>
      <c r="D501" s="348" t="s">
        <v>1277</v>
      </c>
      <c r="E501" s="452">
        <v>5</v>
      </c>
      <c r="F501" s="148" t="s">
        <v>15</v>
      </c>
      <c r="G501" s="148" t="s">
        <v>15</v>
      </c>
      <c r="H501" s="1081">
        <v>2360.8049999999998</v>
      </c>
      <c r="I501" s="1082">
        <v>1330.76</v>
      </c>
      <c r="J501" s="234" t="s">
        <v>15</v>
      </c>
      <c r="K501" s="233" t="s">
        <v>15</v>
      </c>
      <c r="L501" s="234" t="s">
        <v>15</v>
      </c>
      <c r="M501" s="233" t="s">
        <v>15</v>
      </c>
      <c r="N501" s="537">
        <v>578.42955800000004</v>
      </c>
      <c r="O501" s="761">
        <v>0.39</v>
      </c>
      <c r="P501" s="761">
        <v>1493.4249609999999</v>
      </c>
      <c r="Q501" s="251">
        <v>2.6327892808246835E-5</v>
      </c>
      <c r="R501" s="2196"/>
      <c r="S501" s="127" t="s">
        <v>41</v>
      </c>
      <c r="T501" s="129" t="s">
        <v>42</v>
      </c>
      <c r="V501" s="24"/>
      <c r="W501" s="26"/>
      <c r="X501" s="26"/>
      <c r="Y501" s="41"/>
      <c r="Z501" s="41"/>
      <c r="AA501" s="41"/>
      <c r="AB501" s="846"/>
      <c r="AC501" s="26"/>
      <c r="AD501" s="24"/>
      <c r="AE501" s="26"/>
      <c r="AF501" s="106"/>
      <c r="AG501" s="37"/>
      <c r="AH501" s="957"/>
      <c r="AI501" s="503"/>
      <c r="AJ501" s="503"/>
      <c r="AK501" s="503"/>
      <c r="AL501" s="503"/>
      <c r="AM501" s="503"/>
      <c r="AN501" s="1023"/>
      <c r="AO501" s="957"/>
      <c r="AP501" s="957"/>
      <c r="AQ501" s="957"/>
      <c r="AR501" s="957"/>
      <c r="AS501" s="957"/>
      <c r="AT501" s="957"/>
      <c r="AU501" s="957"/>
      <c r="AV501" s="957"/>
      <c r="AW501" s="957"/>
      <c r="AX501" s="957"/>
      <c r="AY501" s="957"/>
      <c r="AZ501" s="957"/>
      <c r="BA501" s="957"/>
      <c r="BB501" s="957"/>
      <c r="BC501" s="957"/>
      <c r="BD501" s="957"/>
      <c r="BE501" s="957"/>
      <c r="BF501" s="957"/>
      <c r="BG501" s="957"/>
    </row>
    <row r="502" spans="1:59" ht="15" customHeight="1">
      <c r="A502" s="2172"/>
      <c r="B502" s="2208"/>
      <c r="C502" s="2187"/>
      <c r="D502" s="348" t="s">
        <v>688</v>
      </c>
      <c r="E502" s="452">
        <v>288</v>
      </c>
      <c r="F502" s="148" t="s">
        <v>15</v>
      </c>
      <c r="G502" s="148" t="s">
        <v>15</v>
      </c>
      <c r="H502" s="1081">
        <v>793.45680000000004</v>
      </c>
      <c r="I502" s="1082">
        <v>528.78099999999995</v>
      </c>
      <c r="J502" s="234" t="s">
        <v>15</v>
      </c>
      <c r="K502" s="233" t="s">
        <v>15</v>
      </c>
      <c r="L502" s="234" t="s">
        <v>15</v>
      </c>
      <c r="M502" s="233" t="s">
        <v>15</v>
      </c>
      <c r="N502" s="537">
        <v>206.45071300000001</v>
      </c>
      <c r="O502" s="761">
        <v>3.63</v>
      </c>
      <c r="P502" s="761">
        <v>56.819180000000003</v>
      </c>
      <c r="Q502" s="251">
        <v>0.37919363334657685</v>
      </c>
      <c r="R502" s="2196"/>
      <c r="S502" s="357">
        <v>0.79204600000000003</v>
      </c>
      <c r="T502" s="420">
        <v>-1459.92192</v>
      </c>
      <c r="V502" s="24"/>
      <c r="W502" s="26"/>
      <c r="X502" s="26"/>
      <c r="Y502" s="41"/>
      <c r="Z502" s="41"/>
      <c r="AA502" s="41"/>
      <c r="AB502" s="846"/>
      <c r="AC502" s="26"/>
      <c r="AD502" s="24"/>
      <c r="AE502" s="26"/>
      <c r="AF502" s="106"/>
      <c r="AG502" s="37"/>
      <c r="AH502" s="957"/>
      <c r="AI502" s="503"/>
      <c r="AJ502" s="503"/>
      <c r="AK502" s="503"/>
      <c r="AL502" s="503"/>
      <c r="AM502" s="503"/>
      <c r="AN502" s="1023"/>
      <c r="AO502" s="957"/>
      <c r="AP502" s="957"/>
      <c r="AQ502" s="957"/>
      <c r="AR502" s="957"/>
      <c r="AS502" s="957"/>
      <c r="AT502" s="957"/>
      <c r="AU502" s="957"/>
      <c r="AV502" s="957"/>
      <c r="AW502" s="957"/>
      <c r="AX502" s="957"/>
      <c r="AY502" s="957"/>
      <c r="AZ502" s="957"/>
      <c r="BA502" s="957"/>
      <c r="BB502" s="957"/>
      <c r="BC502" s="957"/>
      <c r="BD502" s="957"/>
      <c r="BE502" s="957"/>
      <c r="BF502" s="957"/>
      <c r="BG502" s="957"/>
    </row>
    <row r="503" spans="1:59" ht="15" customHeight="1">
      <c r="A503" s="2172"/>
      <c r="B503" s="2209"/>
      <c r="C503" s="2180"/>
      <c r="D503" s="348" t="s">
        <v>1278</v>
      </c>
      <c r="E503" s="452">
        <v>19</v>
      </c>
      <c r="F503" s="148" t="s">
        <v>15</v>
      </c>
      <c r="G503" s="148" t="s">
        <v>15</v>
      </c>
      <c r="H503" s="1081">
        <v>511.36900000000003</v>
      </c>
      <c r="I503" s="1082">
        <v>112.24039999999999</v>
      </c>
      <c r="J503" s="234" t="s">
        <v>15</v>
      </c>
      <c r="K503" s="233" t="s">
        <v>15</v>
      </c>
      <c r="L503" s="234" t="s">
        <v>15</v>
      </c>
      <c r="M503" s="233" t="s">
        <v>15</v>
      </c>
      <c r="N503" s="537">
        <v>0</v>
      </c>
      <c r="O503" s="761" t="s">
        <v>574</v>
      </c>
      <c r="P503" s="761" t="s">
        <v>574</v>
      </c>
      <c r="Q503" s="251">
        <v>2.3394404244079233E-2</v>
      </c>
      <c r="R503" s="2155"/>
      <c r="S503" s="118" t="s">
        <v>235</v>
      </c>
      <c r="T503" s="119" t="s">
        <v>391</v>
      </c>
      <c r="V503" s="24"/>
      <c r="W503" s="26"/>
      <c r="X503" s="26"/>
      <c r="Y503" s="41"/>
      <c r="Z503" s="41"/>
      <c r="AA503" s="41"/>
      <c r="AB503" s="846"/>
      <c r="AC503" s="26"/>
      <c r="AD503" s="24"/>
      <c r="AE503" s="26"/>
      <c r="AF503" s="106"/>
      <c r="AG503" s="37"/>
      <c r="AH503" s="957"/>
      <c r="AI503" s="503"/>
      <c r="AJ503" s="503"/>
      <c r="AK503" s="503"/>
      <c r="AL503" s="503"/>
      <c r="AM503" s="503"/>
      <c r="AN503" s="1023"/>
      <c r="AO503" s="957"/>
      <c r="AP503" s="957"/>
      <c r="AQ503" s="957"/>
      <c r="AR503" s="957"/>
      <c r="AS503" s="957"/>
      <c r="AT503" s="957"/>
      <c r="AU503" s="957"/>
      <c r="AV503" s="957"/>
      <c r="AW503" s="957"/>
      <c r="AX503" s="957"/>
      <c r="AY503" s="957"/>
      <c r="AZ503" s="957"/>
      <c r="BA503" s="957"/>
      <c r="BB503" s="957"/>
      <c r="BC503" s="957"/>
      <c r="BD503" s="957"/>
      <c r="BE503" s="957"/>
      <c r="BF503" s="957"/>
      <c r="BG503" s="957"/>
    </row>
    <row r="504" spans="1:59" ht="15" customHeight="1">
      <c r="A504" s="2172"/>
      <c r="B504" s="2207" t="s">
        <v>796</v>
      </c>
      <c r="C504" s="2179" t="s">
        <v>13</v>
      </c>
      <c r="D504" s="348" t="s">
        <v>1419</v>
      </c>
      <c r="E504" s="452">
        <v>213</v>
      </c>
      <c r="F504" s="148" t="s">
        <v>15</v>
      </c>
      <c r="G504" s="148" t="s">
        <v>15</v>
      </c>
      <c r="H504" s="1081">
        <v>517.37699999999995</v>
      </c>
      <c r="I504" s="1082">
        <v>97.710700000000003</v>
      </c>
      <c r="J504" s="234" t="s">
        <v>15</v>
      </c>
      <c r="K504" s="233" t="s">
        <v>15</v>
      </c>
      <c r="L504" s="234" t="s">
        <v>15</v>
      </c>
      <c r="M504" s="233" t="s">
        <v>15</v>
      </c>
      <c r="N504" s="537">
        <v>-66.725634999999997</v>
      </c>
      <c r="O504" s="761">
        <v>-2.52</v>
      </c>
      <c r="P504" s="761">
        <v>26.506004000000001</v>
      </c>
      <c r="Q504" s="251">
        <v>0.4325382589721507</v>
      </c>
      <c r="R504" s="2130">
        <f>SUMPRODUCT(N504:N509,Q504:Q509)</f>
        <v>-53.953316555498141</v>
      </c>
      <c r="S504" s="357">
        <v>350.61799999999999</v>
      </c>
      <c r="T504" s="151" t="s">
        <v>15</v>
      </c>
      <c r="V504" s="24"/>
      <c r="W504" s="26"/>
      <c r="X504" s="26"/>
      <c r="Y504" s="41"/>
      <c r="Z504" s="41"/>
      <c r="AA504" s="41"/>
      <c r="AB504" s="846"/>
      <c r="AC504" s="26"/>
      <c r="AD504" s="24"/>
      <c r="AE504" s="26"/>
      <c r="AF504" s="106"/>
      <c r="AG504" s="37"/>
      <c r="AH504" s="957"/>
      <c r="AI504" s="1023"/>
      <c r="AJ504" s="1023"/>
      <c r="AK504" s="1023"/>
      <c r="AL504" s="1023"/>
      <c r="AM504" s="1023"/>
      <c r="AN504" s="1023"/>
      <c r="AO504" s="957"/>
      <c r="AP504" s="957"/>
      <c r="AQ504" s="957"/>
      <c r="AR504" s="957"/>
      <c r="AS504" s="957"/>
      <c r="AT504" s="957"/>
      <c r="AU504" s="957"/>
      <c r="AV504" s="957"/>
      <c r="AW504" s="957"/>
      <c r="AX504" s="957"/>
      <c r="AY504" s="957"/>
      <c r="AZ504" s="957"/>
      <c r="BA504" s="957"/>
      <c r="BB504" s="957"/>
      <c r="BC504" s="957"/>
      <c r="BD504" s="957"/>
      <c r="BE504" s="957"/>
      <c r="BF504" s="957"/>
      <c r="BG504" s="957"/>
    </row>
    <row r="505" spans="1:59" ht="15" customHeight="1">
      <c r="A505" s="2172"/>
      <c r="B505" s="2208"/>
      <c r="C505" s="2187"/>
      <c r="D505" s="348" t="s">
        <v>1420</v>
      </c>
      <c r="E505" s="452">
        <v>2</v>
      </c>
      <c r="F505" s="148" t="s">
        <v>15</v>
      </c>
      <c r="G505" s="148" t="s">
        <v>15</v>
      </c>
      <c r="H505" s="1081">
        <v>908.67759999999998</v>
      </c>
      <c r="I505" s="1082">
        <v>139.22190000000001</v>
      </c>
      <c r="J505" s="234" t="s">
        <v>15</v>
      </c>
      <c r="K505" s="233" t="s">
        <v>15</v>
      </c>
      <c r="L505" s="234" t="s">
        <v>15</v>
      </c>
      <c r="M505" s="233" t="s">
        <v>15</v>
      </c>
      <c r="N505" s="537">
        <v>-650.58482400000003</v>
      </c>
      <c r="O505" s="789">
        <v>-0.17</v>
      </c>
      <c r="P505" s="789">
        <v>3783.0173100000002</v>
      </c>
      <c r="Q505" s="251">
        <v>4.0856918498657169E-6</v>
      </c>
      <c r="R505" s="2196"/>
      <c r="S505" s="24"/>
      <c r="T505" s="26"/>
      <c r="V505" s="24"/>
      <c r="W505" s="26"/>
      <c r="X505" s="26"/>
      <c r="Y505" s="41"/>
      <c r="Z505" s="41"/>
      <c r="AA505" s="41"/>
      <c r="AB505" s="846"/>
      <c r="AC505" s="26"/>
      <c r="AD505" s="24"/>
      <c r="AE505" s="26"/>
      <c r="AF505" s="106"/>
      <c r="AG505" s="37"/>
      <c r="AH505" s="957"/>
      <c r="AI505" s="1023"/>
      <c r="AJ505" s="1023"/>
      <c r="AK505" s="1023"/>
      <c r="AL505" s="1023"/>
      <c r="AM505" s="1023"/>
      <c r="AN505" s="1023"/>
      <c r="AO505" s="957"/>
      <c r="AP505" s="957"/>
      <c r="AQ505" s="957"/>
      <c r="AR505" s="957"/>
      <c r="AS505" s="957"/>
      <c r="AT505" s="957"/>
      <c r="AU505" s="957"/>
      <c r="AV505" s="957"/>
      <c r="AW505" s="957"/>
      <c r="AX505" s="957"/>
      <c r="AY505" s="957"/>
      <c r="AZ505" s="957"/>
      <c r="BA505" s="957"/>
      <c r="BB505" s="957"/>
      <c r="BC505" s="957"/>
      <c r="BD505" s="957"/>
      <c r="BE505" s="957"/>
      <c r="BF505" s="957"/>
      <c r="BG505" s="957"/>
    </row>
    <row r="506" spans="1:59" ht="15" customHeight="1">
      <c r="A506" s="2172"/>
      <c r="B506" s="2208"/>
      <c r="C506" s="2187"/>
      <c r="D506" s="348" t="s">
        <v>1421</v>
      </c>
      <c r="E506" s="452">
        <v>14</v>
      </c>
      <c r="F506" s="148" t="s">
        <v>15</v>
      </c>
      <c r="G506" s="148" t="s">
        <v>15</v>
      </c>
      <c r="H506" s="1081">
        <v>625.93989999999997</v>
      </c>
      <c r="I506" s="1082">
        <v>96.95008</v>
      </c>
      <c r="J506" s="234" t="s">
        <v>15</v>
      </c>
      <c r="K506" s="233" t="s">
        <v>15</v>
      </c>
      <c r="L506" s="234" t="s">
        <v>15</v>
      </c>
      <c r="M506" s="233" t="s">
        <v>15</v>
      </c>
      <c r="N506" s="537">
        <v>-541.77236900000003</v>
      </c>
      <c r="O506" s="789">
        <v>-8.75</v>
      </c>
      <c r="P506" s="789">
        <v>61.894345000000001</v>
      </c>
      <c r="Q506" s="251">
        <v>1.8282363691105658E-2</v>
      </c>
      <c r="R506" s="2196"/>
      <c r="S506" s="24"/>
      <c r="T506" s="26"/>
      <c r="V506" s="24"/>
      <c r="W506" s="26"/>
      <c r="X506" s="26"/>
      <c r="Y506" s="41"/>
      <c r="Z506" s="41"/>
      <c r="AA506" s="41"/>
      <c r="AB506" s="846"/>
      <c r="AC506" s="26"/>
      <c r="AD506" s="24"/>
      <c r="AE506" s="26"/>
      <c r="AF506" s="106"/>
      <c r="AG506" s="37"/>
      <c r="AH506" s="957"/>
      <c r="AI506" s="1023"/>
      <c r="AJ506" s="1023"/>
      <c r="AK506" s="1023"/>
      <c r="AL506" s="1023"/>
      <c r="AM506" s="1023"/>
      <c r="AN506" s="1023"/>
      <c r="AO506" s="957"/>
      <c r="AP506" s="957"/>
      <c r="AQ506" s="957"/>
      <c r="AR506" s="957"/>
      <c r="AS506" s="957"/>
      <c r="AT506" s="957"/>
      <c r="AU506" s="957"/>
      <c r="AV506" s="957"/>
      <c r="AW506" s="957"/>
      <c r="AX506" s="957"/>
      <c r="AY506" s="957"/>
      <c r="AZ506" s="957"/>
      <c r="BA506" s="957"/>
      <c r="BB506" s="957"/>
      <c r="BC506" s="957"/>
      <c r="BD506" s="957"/>
      <c r="BE506" s="957"/>
      <c r="BF506" s="957"/>
      <c r="BG506" s="957"/>
    </row>
    <row r="507" spans="1:59" ht="15" customHeight="1">
      <c r="A507" s="2172"/>
      <c r="B507" s="2208"/>
      <c r="C507" s="2187"/>
      <c r="D507" s="348" t="s">
        <v>1422</v>
      </c>
      <c r="E507" s="452">
        <v>42</v>
      </c>
      <c r="F507" s="148" t="s">
        <v>15</v>
      </c>
      <c r="G507" s="148" t="s">
        <v>15</v>
      </c>
      <c r="H507" s="1081">
        <v>608.20169999999996</v>
      </c>
      <c r="I507" s="1082">
        <v>93.939109999999999</v>
      </c>
      <c r="J507" s="234" t="s">
        <v>15</v>
      </c>
      <c r="K507" s="233" t="s">
        <v>15</v>
      </c>
      <c r="L507" s="234" t="s">
        <v>15</v>
      </c>
      <c r="M507" s="233" t="s">
        <v>15</v>
      </c>
      <c r="N507" s="537">
        <v>-367.40069599999998</v>
      </c>
      <c r="O507" s="789">
        <v>-7</v>
      </c>
      <c r="P507" s="789">
        <v>52.453811999999999</v>
      </c>
      <c r="Q507" s="251">
        <v>2.7378870214561826E-2</v>
      </c>
      <c r="R507" s="2196"/>
      <c r="S507" s="24"/>
      <c r="T507" s="26"/>
      <c r="V507" s="24"/>
      <c r="W507" s="26"/>
      <c r="X507" s="26"/>
      <c r="Y507" s="41"/>
      <c r="Z507" s="41"/>
      <c r="AA507" s="41"/>
      <c r="AB507" s="846"/>
      <c r="AC507" s="26"/>
      <c r="AD507" s="24"/>
      <c r="AE507" s="26"/>
      <c r="AF507" s="106"/>
      <c r="AG507" s="37"/>
      <c r="AH507" s="957"/>
      <c r="AI507" s="1023"/>
      <c r="AJ507" s="1023"/>
      <c r="AK507" s="1023"/>
      <c r="AL507" s="1023"/>
      <c r="AM507" s="1023"/>
      <c r="AN507" s="1023"/>
      <c r="AO507" s="957"/>
      <c r="AP507" s="957"/>
      <c r="AQ507" s="957"/>
      <c r="AR507" s="957"/>
      <c r="AS507" s="957"/>
      <c r="AT507" s="957"/>
      <c r="AU507" s="957"/>
      <c r="AV507" s="957"/>
      <c r="AW507" s="957"/>
      <c r="AX507" s="957"/>
      <c r="AY507" s="957"/>
      <c r="AZ507" s="957"/>
      <c r="BA507" s="957"/>
      <c r="BB507" s="957"/>
      <c r="BC507" s="957"/>
      <c r="BD507" s="957"/>
      <c r="BE507" s="957"/>
      <c r="BF507" s="957"/>
      <c r="BG507" s="957"/>
    </row>
    <row r="508" spans="1:59" ht="15" customHeight="1">
      <c r="A508" s="2172"/>
      <c r="B508" s="2208"/>
      <c r="C508" s="2187"/>
      <c r="D508" s="348" t="s">
        <v>1423</v>
      </c>
      <c r="E508" s="452">
        <v>54</v>
      </c>
      <c r="F508" s="148" t="s">
        <v>15</v>
      </c>
      <c r="G508" s="148" t="s">
        <v>15</v>
      </c>
      <c r="H508" s="1081">
        <v>518.6336</v>
      </c>
      <c r="I508" s="1082">
        <v>84.185839999999999</v>
      </c>
      <c r="J508" s="234" t="s">
        <v>15</v>
      </c>
      <c r="K508" s="233" t="s">
        <v>15</v>
      </c>
      <c r="L508" s="234" t="s">
        <v>15</v>
      </c>
      <c r="M508" s="233" t="s">
        <v>15</v>
      </c>
      <c r="N508" s="537">
        <v>-30.164005</v>
      </c>
      <c r="O508" s="789">
        <v>-0.86</v>
      </c>
      <c r="P508" s="789">
        <v>35.222875999999999</v>
      </c>
      <c r="Q508" s="251">
        <v>0.16991685998925882</v>
      </c>
      <c r="R508" s="2196"/>
      <c r="S508" s="24"/>
      <c r="T508" s="26"/>
      <c r="V508" s="24"/>
      <c r="W508" s="26"/>
      <c r="X508" s="26"/>
      <c r="Y508" s="41"/>
      <c r="Z508" s="41"/>
      <c r="AA508" s="41"/>
      <c r="AB508" s="846"/>
      <c r="AC508" s="26"/>
      <c r="AD508" s="24"/>
      <c r="AE508" s="26"/>
      <c r="AF508" s="106"/>
      <c r="AG508" s="37"/>
      <c r="AH508" s="957"/>
      <c r="AI508" s="1023"/>
      <c r="AJ508" s="1023"/>
      <c r="AK508" s="1023"/>
      <c r="AL508" s="1023"/>
      <c r="AM508" s="1023"/>
      <c r="AN508" s="1023"/>
      <c r="AO508" s="957"/>
      <c r="AP508" s="957"/>
      <c r="AQ508" s="957"/>
      <c r="AR508" s="957"/>
      <c r="AS508" s="957"/>
      <c r="AT508" s="957"/>
      <c r="AU508" s="957"/>
      <c r="AV508" s="957"/>
      <c r="AW508" s="957"/>
      <c r="AX508" s="957"/>
      <c r="AY508" s="957"/>
      <c r="AZ508" s="957"/>
      <c r="BA508" s="957"/>
      <c r="BB508" s="957"/>
      <c r="BC508" s="957"/>
      <c r="BD508" s="957"/>
      <c r="BE508" s="957"/>
      <c r="BF508" s="957"/>
      <c r="BG508" s="957"/>
    </row>
    <row r="509" spans="1:59" ht="15" customHeight="1">
      <c r="A509" s="2172"/>
      <c r="B509" s="2209"/>
      <c r="C509" s="2180"/>
      <c r="D509" s="348" t="s">
        <v>1424</v>
      </c>
      <c r="E509" s="452">
        <v>596</v>
      </c>
      <c r="F509" s="148" t="s">
        <v>15</v>
      </c>
      <c r="G509" s="148" t="s">
        <v>15</v>
      </c>
      <c r="H509" s="1081">
        <v>1204.0219999999999</v>
      </c>
      <c r="I509" s="1082">
        <v>636.09739999999999</v>
      </c>
      <c r="J509" s="234" t="s">
        <v>15</v>
      </c>
      <c r="K509" s="233" t="s">
        <v>15</v>
      </c>
      <c r="L509" s="234" t="s">
        <v>15</v>
      </c>
      <c r="M509" s="233" t="s">
        <v>15</v>
      </c>
      <c r="N509" s="537">
        <v>0</v>
      </c>
      <c r="O509" s="761" t="s">
        <v>574</v>
      </c>
      <c r="P509" s="761" t="s">
        <v>574</v>
      </c>
      <c r="Q509" s="251">
        <v>0.35187944688896522</v>
      </c>
      <c r="R509" s="2155"/>
      <c r="S509" s="24"/>
      <c r="T509" s="26"/>
      <c r="V509" s="24"/>
      <c r="W509" s="26"/>
      <c r="X509" s="26"/>
      <c r="Y509" s="41"/>
      <c r="Z509" s="41"/>
      <c r="AA509" s="41"/>
      <c r="AB509" s="846"/>
      <c r="AC509" s="26"/>
      <c r="AD509" s="24"/>
      <c r="AE509" s="26"/>
      <c r="AF509" s="106"/>
      <c r="AG509" s="37"/>
      <c r="AH509" s="957"/>
      <c r="AI509" s="1023"/>
      <c r="AJ509" s="1023"/>
      <c r="AK509" s="1023"/>
      <c r="AL509" s="1023"/>
      <c r="AM509" s="1023"/>
      <c r="AN509" s="1023"/>
      <c r="AO509" s="957"/>
      <c r="AP509" s="957"/>
      <c r="AQ509" s="957"/>
      <c r="AR509" s="957"/>
      <c r="AS509" s="957"/>
      <c r="AT509" s="957"/>
      <c r="AU509" s="957"/>
      <c r="AV509" s="957"/>
      <c r="AW509" s="957"/>
      <c r="AX509" s="957"/>
      <c r="AY509" s="957"/>
      <c r="AZ509" s="957"/>
      <c r="BA509" s="957"/>
      <c r="BB509" s="957"/>
      <c r="BC509" s="957"/>
      <c r="BD509" s="957"/>
      <c r="BE509" s="957"/>
      <c r="BF509" s="957"/>
      <c r="BG509" s="957"/>
    </row>
    <row r="510" spans="1:59" ht="15" customHeight="1">
      <c r="A510" s="2172"/>
      <c r="B510" s="2206" t="s">
        <v>770</v>
      </c>
      <c r="C510" s="2144" t="s">
        <v>13</v>
      </c>
      <c r="D510" s="348" t="s">
        <v>771</v>
      </c>
      <c r="E510" s="452">
        <v>592</v>
      </c>
      <c r="F510" s="148" t="s">
        <v>15</v>
      </c>
      <c r="G510" s="148" t="s">
        <v>15</v>
      </c>
      <c r="H510" s="1081">
        <v>592.7278</v>
      </c>
      <c r="I510" s="1082">
        <v>212.8398</v>
      </c>
      <c r="J510" s="234" t="s">
        <v>15</v>
      </c>
      <c r="K510" s="233" t="s">
        <v>15</v>
      </c>
      <c r="L510" s="234" t="s">
        <v>15</v>
      </c>
      <c r="M510" s="233" t="s">
        <v>15</v>
      </c>
      <c r="N510" s="537">
        <v>0</v>
      </c>
      <c r="O510" s="761" t="s">
        <v>574</v>
      </c>
      <c r="P510" s="761" t="s">
        <v>574</v>
      </c>
      <c r="Q510" s="251">
        <v>0.79102258948476556</v>
      </c>
      <c r="R510" s="2130">
        <f>SUMPRODUCT(N510:N511,Q510:Q511)</f>
        <v>93.322489468537412</v>
      </c>
      <c r="S510" s="24"/>
      <c r="T510" s="26"/>
      <c r="V510" s="24"/>
      <c r="W510" s="26"/>
      <c r="X510" s="26"/>
      <c r="Y510" s="41"/>
      <c r="Z510" s="41"/>
      <c r="AA510" s="41"/>
      <c r="AB510" s="846"/>
      <c r="AC510" s="26"/>
      <c r="AD510" s="24"/>
      <c r="AE510" s="26"/>
      <c r="AF510" s="106"/>
      <c r="AG510" s="37"/>
      <c r="AH510" s="957"/>
      <c r="AI510" s="1023"/>
      <c r="AJ510" s="1023"/>
      <c r="AK510" s="1023"/>
      <c r="AL510" s="1023"/>
      <c r="AM510" s="1023"/>
      <c r="AN510" s="1023"/>
      <c r="AO510" s="957"/>
      <c r="AP510" s="957"/>
      <c r="AQ510" s="957"/>
      <c r="AR510" s="957"/>
      <c r="AS510" s="957"/>
      <c r="AT510" s="957"/>
      <c r="AU510" s="957"/>
      <c r="AV510" s="957"/>
      <c r="AW510" s="957"/>
      <c r="AX510" s="957"/>
      <c r="AY510" s="957"/>
      <c r="AZ510" s="957"/>
      <c r="BA510" s="957"/>
      <c r="BB510" s="957"/>
      <c r="BC510" s="957"/>
      <c r="BD510" s="957"/>
      <c r="BE510" s="957"/>
      <c r="BF510" s="957"/>
      <c r="BG510" s="957"/>
    </row>
    <row r="511" spans="1:59" ht="15" customHeight="1">
      <c r="A511" s="2172"/>
      <c r="B511" s="2206"/>
      <c r="C511" s="2144"/>
      <c r="D511" s="348" t="s">
        <v>772</v>
      </c>
      <c r="E511" s="452">
        <v>329</v>
      </c>
      <c r="F511" s="148" t="s">
        <v>15</v>
      </c>
      <c r="G511" s="148" t="s">
        <v>15</v>
      </c>
      <c r="H511" s="1081">
        <v>1410.768</v>
      </c>
      <c r="I511" s="1082">
        <v>716.72810000000004</v>
      </c>
      <c r="J511" s="234" t="s">
        <v>15</v>
      </c>
      <c r="K511" s="233" t="s">
        <v>15</v>
      </c>
      <c r="L511" s="234" t="s">
        <v>15</v>
      </c>
      <c r="M511" s="233" t="s">
        <v>15</v>
      </c>
      <c r="N511" s="537">
        <v>446.56735500000002</v>
      </c>
      <c r="O511" s="761">
        <v>16.88</v>
      </c>
      <c r="P511" s="761">
        <v>26.455959</v>
      </c>
      <c r="Q511" s="251">
        <v>0.20897741051523439</v>
      </c>
      <c r="R511" s="2155"/>
      <c r="S511" s="24"/>
      <c r="T511" s="26"/>
      <c r="V511" s="24"/>
      <c r="W511" s="26"/>
      <c r="X511" s="26"/>
      <c r="Y511" s="41"/>
      <c r="Z511" s="41"/>
      <c r="AA511" s="41"/>
      <c r="AB511" s="846"/>
      <c r="AC511" s="26"/>
      <c r="AD511" s="24"/>
      <c r="AE511" s="26"/>
      <c r="AF511" s="106"/>
      <c r="AG511" s="37"/>
      <c r="AH511" s="957"/>
      <c r="AI511" s="1023"/>
      <c r="AJ511" s="1023"/>
      <c r="AK511" s="1023"/>
      <c r="AL511" s="1023"/>
      <c r="AM511" s="1023"/>
      <c r="AN511" s="1023"/>
      <c r="AO511" s="957"/>
      <c r="AP511" s="957"/>
      <c r="AQ511" s="957"/>
      <c r="AR511" s="957"/>
      <c r="AS511" s="957"/>
      <c r="AT511" s="957"/>
      <c r="AU511" s="957"/>
      <c r="AV511" s="957"/>
      <c r="AW511" s="957"/>
      <c r="AX511" s="957"/>
      <c r="AY511" s="957"/>
      <c r="AZ511" s="957"/>
      <c r="BA511" s="957"/>
      <c r="BB511" s="957"/>
      <c r="BC511" s="957"/>
      <c r="BD511" s="957"/>
      <c r="BE511" s="957"/>
      <c r="BF511" s="957"/>
      <c r="BG511" s="957"/>
    </row>
    <row r="512" spans="1:59" ht="15" customHeight="1">
      <c r="A512" s="2172"/>
      <c r="B512" s="2206" t="s">
        <v>7</v>
      </c>
      <c r="C512" s="2144" t="s">
        <v>13</v>
      </c>
      <c r="D512" s="348">
        <v>1</v>
      </c>
      <c r="E512" s="452">
        <v>255</v>
      </c>
      <c r="F512" s="148" t="s">
        <v>15</v>
      </c>
      <c r="G512" s="148" t="s">
        <v>15</v>
      </c>
      <c r="H512" s="1081">
        <v>758.19749999999999</v>
      </c>
      <c r="I512" s="1082">
        <v>465.58839999999998</v>
      </c>
      <c r="J512" s="234" t="s">
        <v>15</v>
      </c>
      <c r="K512" s="233" t="s">
        <v>15</v>
      </c>
      <c r="L512" s="234" t="s">
        <v>15</v>
      </c>
      <c r="M512" s="233" t="s">
        <v>15</v>
      </c>
      <c r="N512" s="537">
        <v>-2.9816530000000001</v>
      </c>
      <c r="O512" s="761">
        <v>-0.16</v>
      </c>
      <c r="P512" s="761">
        <v>19.186679000000002</v>
      </c>
      <c r="Q512" s="251">
        <v>0.26760117003523048</v>
      </c>
      <c r="R512" s="2130">
        <f>SUMPRODUCT(N512:N515,Q512:Q515)</f>
        <v>25.647764503982692</v>
      </c>
      <c r="S512" s="24"/>
      <c r="T512" s="26"/>
      <c r="V512" s="24"/>
      <c r="W512" s="26"/>
      <c r="X512" s="26"/>
      <c r="Y512" s="41"/>
      <c r="Z512" s="41"/>
      <c r="AA512" s="41"/>
      <c r="AB512" s="846"/>
      <c r="AC512" s="26"/>
      <c r="AD512" s="24"/>
      <c r="AE512" s="26"/>
      <c r="AF512" s="106"/>
      <c r="AG512" s="37"/>
      <c r="AH512" s="957"/>
      <c r="AI512" s="1023"/>
      <c r="AJ512" s="1023"/>
      <c r="AK512" s="1023"/>
      <c r="AL512" s="1023"/>
      <c r="AM512" s="1023"/>
      <c r="AN512" s="1023"/>
      <c r="AO512" s="957"/>
      <c r="AP512" s="957"/>
      <c r="AQ512" s="957"/>
      <c r="AR512" s="957"/>
      <c r="AS512" s="957"/>
      <c r="AT512" s="957"/>
      <c r="AU512" s="957"/>
      <c r="AV512" s="957"/>
      <c r="AW512" s="957"/>
      <c r="AX512" s="957"/>
      <c r="AY512" s="957"/>
      <c r="AZ512" s="957"/>
      <c r="BA512" s="957"/>
      <c r="BB512" s="957"/>
      <c r="BC512" s="957"/>
      <c r="BD512" s="957"/>
      <c r="BE512" s="957"/>
      <c r="BF512" s="957"/>
      <c r="BG512" s="957"/>
    </row>
    <row r="513" spans="1:113" ht="15" customHeight="1">
      <c r="A513" s="2172"/>
      <c r="B513" s="2206"/>
      <c r="C513" s="2144"/>
      <c r="D513" s="348">
        <v>2</v>
      </c>
      <c r="E513" s="452">
        <v>233</v>
      </c>
      <c r="F513" s="148" t="s">
        <v>15</v>
      </c>
      <c r="G513" s="148" t="s">
        <v>15</v>
      </c>
      <c r="H513" s="1081">
        <v>809.45839999999998</v>
      </c>
      <c r="I513" s="1082">
        <v>575.71960000000001</v>
      </c>
      <c r="J513" s="234" t="s">
        <v>15</v>
      </c>
      <c r="K513" s="233" t="s">
        <v>15</v>
      </c>
      <c r="L513" s="234" t="s">
        <v>15</v>
      </c>
      <c r="M513" s="233" t="s">
        <v>15</v>
      </c>
      <c r="N513" s="537">
        <v>99.153435000000002</v>
      </c>
      <c r="O513" s="761">
        <v>4.21</v>
      </c>
      <c r="P513" s="761">
        <v>23.575911000000001</v>
      </c>
      <c r="Q513" s="251">
        <v>0.16715955256710319</v>
      </c>
      <c r="R513" s="2196"/>
      <c r="S513" s="24"/>
      <c r="T513" s="26"/>
      <c r="V513" s="24"/>
      <c r="W513" s="26"/>
      <c r="X513" s="26"/>
      <c r="Y513" s="41"/>
      <c r="Z513" s="41"/>
      <c r="AA513" s="41"/>
      <c r="AB513" s="846"/>
      <c r="AC513" s="26"/>
      <c r="AD513" s="24"/>
      <c r="AE513" s="26"/>
      <c r="AF513" s="106"/>
      <c r="AG513" s="37"/>
      <c r="AH513" s="957"/>
      <c r="AI513" s="1023"/>
      <c r="AJ513" s="1023"/>
      <c r="AK513" s="1023"/>
      <c r="AL513" s="1023"/>
      <c r="AM513" s="1023"/>
      <c r="AN513" s="1023"/>
      <c r="AO513" s="957"/>
      <c r="AP513" s="957"/>
      <c r="AQ513" s="957"/>
      <c r="AR513" s="957"/>
      <c r="AS513" s="957"/>
      <c r="AT513" s="957"/>
      <c r="AU513" s="957"/>
      <c r="AV513" s="957"/>
      <c r="AW513" s="957"/>
      <c r="AX513" s="957"/>
      <c r="AY513" s="957"/>
      <c r="AZ513" s="957"/>
      <c r="BA513" s="957"/>
      <c r="BB513" s="957"/>
      <c r="BC513" s="957"/>
      <c r="BD513" s="957"/>
      <c r="BE513" s="957"/>
      <c r="BF513" s="957"/>
      <c r="BG513" s="957"/>
    </row>
    <row r="514" spans="1:113" ht="15" customHeight="1">
      <c r="A514" s="2172"/>
      <c r="B514" s="2206"/>
      <c r="C514" s="2144"/>
      <c r="D514" s="348">
        <v>3</v>
      </c>
      <c r="E514" s="452">
        <v>203</v>
      </c>
      <c r="F514" s="148" t="s">
        <v>15</v>
      </c>
      <c r="G514" s="148" t="s">
        <v>15</v>
      </c>
      <c r="H514" s="1081">
        <v>745.16909999999996</v>
      </c>
      <c r="I514" s="1082">
        <v>520.5684</v>
      </c>
      <c r="J514" s="234" t="s">
        <v>15</v>
      </c>
      <c r="K514" s="233" t="s">
        <v>15</v>
      </c>
      <c r="L514" s="234" t="s">
        <v>15</v>
      </c>
      <c r="M514" s="233" t="s">
        <v>15</v>
      </c>
      <c r="N514" s="537">
        <v>62.056654999999999</v>
      </c>
      <c r="O514" s="761">
        <v>2.56</v>
      </c>
      <c r="P514" s="761">
        <v>24.222726000000002</v>
      </c>
      <c r="Q514" s="128">
        <v>0.15906778258239018</v>
      </c>
      <c r="R514" s="2196"/>
      <c r="S514" s="24"/>
      <c r="T514" s="26"/>
      <c r="V514" s="24"/>
      <c r="W514" s="26"/>
      <c r="X514" s="26"/>
      <c r="Y514" s="41"/>
      <c r="Z514" s="41"/>
      <c r="AA514" s="41"/>
      <c r="AB514" s="846"/>
      <c r="AC514" s="26"/>
      <c r="AD514" s="24"/>
      <c r="AE514" s="26"/>
      <c r="AF514" s="106"/>
      <c r="AG514" s="37"/>
      <c r="AH514" s="957"/>
      <c r="AI514" s="1023"/>
      <c r="AJ514" s="1023"/>
      <c r="AK514" s="1023"/>
      <c r="AL514" s="1023"/>
      <c r="AM514" s="1023"/>
      <c r="AN514" s="1023"/>
      <c r="AO514" s="957"/>
      <c r="AP514" s="957"/>
      <c r="AQ514" s="957"/>
      <c r="AR514" s="957"/>
      <c r="AS514" s="957"/>
      <c r="AT514" s="957"/>
      <c r="AU514" s="957"/>
      <c r="AV514" s="957"/>
      <c r="AW514" s="957"/>
      <c r="AX514" s="957"/>
      <c r="AY514" s="957"/>
      <c r="AZ514" s="957"/>
      <c r="BA514" s="957"/>
      <c r="BB514" s="957"/>
      <c r="BC514" s="957"/>
      <c r="BD514" s="957"/>
      <c r="BE514" s="957"/>
      <c r="BF514" s="957"/>
      <c r="BG514" s="957"/>
    </row>
    <row r="515" spans="1:113" ht="15.75" customHeight="1" thickBot="1">
      <c r="A515" s="2188"/>
      <c r="B515" s="2290"/>
      <c r="C515" s="2144"/>
      <c r="D515" s="205">
        <v>4</v>
      </c>
      <c r="E515" s="25">
        <v>230</v>
      </c>
      <c r="F515" s="197" t="s">
        <v>15</v>
      </c>
      <c r="G515" s="197" t="s">
        <v>15</v>
      </c>
      <c r="H515" s="1081">
        <v>755.70060000000001</v>
      </c>
      <c r="I515" s="1082">
        <v>488.3032</v>
      </c>
      <c r="J515" s="269" t="s">
        <v>15</v>
      </c>
      <c r="K515" s="1134" t="s">
        <v>15</v>
      </c>
      <c r="L515" s="409" t="s">
        <v>15</v>
      </c>
      <c r="M515" s="122" t="s">
        <v>15</v>
      </c>
      <c r="N515" s="537">
        <v>0</v>
      </c>
      <c r="O515" s="761" t="s">
        <v>574</v>
      </c>
      <c r="P515" s="761" t="s">
        <v>574</v>
      </c>
      <c r="Q515" s="286">
        <v>0.40617141844720422</v>
      </c>
      <c r="R515" s="2155"/>
      <c r="S515" s="24"/>
      <c r="T515" s="26"/>
      <c r="V515" s="24"/>
      <c r="W515" s="26"/>
      <c r="X515" s="26"/>
      <c r="Y515" s="41"/>
      <c r="Z515" s="41"/>
      <c r="AA515" s="41"/>
      <c r="AB515" s="846"/>
      <c r="AC515" s="26"/>
      <c r="AD515" s="240"/>
      <c r="AE515" s="764"/>
      <c r="AF515" s="106"/>
      <c r="AG515" s="37"/>
      <c r="AH515" s="957"/>
      <c r="AI515" s="1023"/>
      <c r="AJ515" s="1023"/>
      <c r="AK515" s="1023"/>
      <c r="AL515" s="1023"/>
      <c r="AM515" s="1023"/>
      <c r="AN515" s="1023"/>
      <c r="AO515" s="957"/>
      <c r="AP515" s="957"/>
      <c r="AQ515" s="957"/>
      <c r="AR515" s="957"/>
      <c r="AS515" s="957"/>
      <c r="AT515" s="957"/>
      <c r="AU515" s="957"/>
      <c r="AV515" s="957"/>
      <c r="AW515" s="957"/>
      <c r="AX515" s="957"/>
      <c r="AY515" s="957"/>
      <c r="AZ515" s="957"/>
      <c r="BA515" s="957"/>
      <c r="BB515" s="957"/>
      <c r="BC515" s="957"/>
      <c r="BD515" s="957"/>
      <c r="BE515" s="957"/>
      <c r="BF515" s="957"/>
      <c r="BG515" s="957"/>
    </row>
    <row r="516" spans="1:113" s="692" customFormat="1" ht="24.75" customHeight="1" thickBot="1">
      <c r="A516" s="721" t="s">
        <v>1107</v>
      </c>
      <c r="B516" s="1058"/>
      <c r="C516" s="684"/>
      <c r="D516" s="683"/>
      <c r="E516" s="683"/>
      <c r="F516" s="683"/>
      <c r="G516" s="683"/>
      <c r="H516" s="683"/>
      <c r="I516" s="683"/>
      <c r="J516" s="682"/>
      <c r="K516" s="683"/>
      <c r="L516" s="682"/>
      <c r="M516" s="685"/>
      <c r="N516" s="1189"/>
      <c r="O516" s="686"/>
      <c r="P516" s="686"/>
      <c r="Q516" s="687"/>
      <c r="R516" s="687"/>
      <c r="S516" s="688"/>
      <c r="T516" s="688"/>
      <c r="U516" s="854"/>
      <c r="V516" s="893"/>
      <c r="W516" s="685"/>
      <c r="X516" s="685"/>
      <c r="Y516" s="704"/>
      <c r="Z516" s="688"/>
      <c r="AA516" s="688"/>
      <c r="AB516" s="846"/>
      <c r="AC516" s="685"/>
      <c r="AD516" s="685"/>
      <c r="AE516" s="685"/>
      <c r="AF516" s="689"/>
      <c r="AG516" s="685"/>
      <c r="AH516" s="959"/>
      <c r="AI516" s="959"/>
      <c r="AJ516" s="959"/>
      <c r="AK516" s="959"/>
      <c r="AL516" s="959"/>
      <c r="AM516" s="959"/>
      <c r="AN516" s="959"/>
      <c r="AO516" s="959"/>
      <c r="AP516" s="959"/>
      <c r="AQ516" s="959"/>
      <c r="AR516" s="959"/>
      <c r="AS516" s="959"/>
      <c r="AT516" s="959"/>
      <c r="AU516" s="959"/>
      <c r="AV516" s="959"/>
      <c r="AW516" s="959"/>
      <c r="AX516" s="959"/>
      <c r="AY516" s="959"/>
      <c r="AZ516" s="959"/>
      <c r="BA516" s="959"/>
      <c r="BB516" s="959"/>
      <c r="BC516" s="959"/>
      <c r="BD516" s="959"/>
      <c r="BE516" s="959"/>
      <c r="BF516" s="959"/>
      <c r="BG516" s="959"/>
      <c r="BH516" s="1125"/>
      <c r="DI516" s="693"/>
    </row>
    <row r="517" spans="1:113">
      <c r="A517" s="2203" t="s">
        <v>1131</v>
      </c>
      <c r="B517" s="2222" t="s">
        <v>17</v>
      </c>
      <c r="C517" s="2180" t="s">
        <v>11</v>
      </c>
      <c r="D517" s="82" t="s">
        <v>33</v>
      </c>
      <c r="E517" s="83">
        <v>398</v>
      </c>
      <c r="F517" s="545" t="s">
        <v>15</v>
      </c>
      <c r="G517" s="545" t="s">
        <v>15</v>
      </c>
      <c r="H517" s="553">
        <v>220.53</v>
      </c>
      <c r="I517" s="84">
        <v>1272.79</v>
      </c>
      <c r="J517" s="2302" t="s">
        <v>15</v>
      </c>
      <c r="K517" s="2217" t="s">
        <v>15</v>
      </c>
      <c r="L517" s="2236" t="s">
        <v>11</v>
      </c>
      <c r="M517" s="82" t="s">
        <v>33</v>
      </c>
      <c r="N517" s="1190">
        <v>-10.25</v>
      </c>
      <c r="O517" s="442">
        <v>-1.1000000000000001</v>
      </c>
      <c r="P517" s="485">
        <v>9.2899999999999991</v>
      </c>
      <c r="Q517" s="244" t="s">
        <v>15</v>
      </c>
      <c r="R517" s="258">
        <v>-10.25</v>
      </c>
      <c r="S517" s="124" t="s">
        <v>68</v>
      </c>
      <c r="T517" s="125" t="s">
        <v>69</v>
      </c>
      <c r="U517" s="858"/>
      <c r="V517" s="2282" t="s">
        <v>108</v>
      </c>
      <c r="W517" s="534" t="s">
        <v>47</v>
      </c>
      <c r="X517" s="66" t="s">
        <v>87</v>
      </c>
      <c r="Y517" s="1323">
        <f>$R$518+($R$519*6000)+$R$520+$R$523+$R$527+($R$530*9.7)+$T$524</f>
        <v>147.06192100687099</v>
      </c>
      <c r="Z517" s="2298">
        <f>Y518-Y517</f>
        <v>17.29000000000002</v>
      </c>
      <c r="AA517" s="2298">
        <f>(10.7-9.7)*$P$530</f>
        <v>10.08</v>
      </c>
      <c r="AB517" s="917"/>
      <c r="AC517" s="906" t="s">
        <v>544</v>
      </c>
      <c r="AD517" s="2137" t="s">
        <v>142</v>
      </c>
      <c r="AE517" s="2272"/>
      <c r="AF517" s="106"/>
      <c r="AG517" s="37"/>
      <c r="AH517" s="957"/>
      <c r="AI517" s="957"/>
      <c r="AJ517" s="957"/>
      <c r="AK517" s="957"/>
      <c r="AL517" s="957"/>
      <c r="AM517" s="957"/>
      <c r="AN517" s="957"/>
      <c r="AO517" s="957"/>
      <c r="AP517" s="957"/>
      <c r="AQ517" s="957"/>
      <c r="AR517" s="957"/>
      <c r="AS517" s="957"/>
      <c r="AT517" s="957"/>
      <c r="AU517" s="957"/>
      <c r="AV517" s="957"/>
      <c r="AW517" s="957"/>
      <c r="AX517" s="957"/>
      <c r="AY517" s="957"/>
      <c r="AZ517" s="957"/>
      <c r="BA517" s="957"/>
      <c r="BB517" s="957"/>
      <c r="BC517" s="957"/>
      <c r="BD517" s="957"/>
      <c r="BE517" s="957"/>
      <c r="BF517" s="957"/>
      <c r="BG517" s="957"/>
    </row>
    <row r="518" spans="1:113">
      <c r="A518" s="2294"/>
      <c r="B518" s="2161"/>
      <c r="C518" s="2144"/>
      <c r="D518" s="30" t="s">
        <v>32</v>
      </c>
      <c r="E518" s="31">
        <v>240</v>
      </c>
      <c r="F518" s="542" t="s">
        <v>15</v>
      </c>
      <c r="G518" s="542" t="s">
        <v>15</v>
      </c>
      <c r="H518" s="538">
        <v>146.72</v>
      </c>
      <c r="I518" s="32">
        <v>1406.07</v>
      </c>
      <c r="J518" s="2293"/>
      <c r="K518" s="2312"/>
      <c r="L518" s="2237"/>
      <c r="M518" s="30" t="s">
        <v>32</v>
      </c>
      <c r="N518" s="537">
        <v>0</v>
      </c>
      <c r="O518" s="455" t="s">
        <v>204</v>
      </c>
      <c r="P518" s="144" t="s">
        <v>204</v>
      </c>
      <c r="Q518" s="245" t="s">
        <v>15</v>
      </c>
      <c r="R518" s="128">
        <v>0</v>
      </c>
      <c r="S518" s="452" t="s">
        <v>70</v>
      </c>
      <c r="T518" s="117" t="s">
        <v>71</v>
      </c>
      <c r="U518" s="854"/>
      <c r="V518" s="2282"/>
      <c r="W518" s="452" t="s">
        <v>49</v>
      </c>
      <c r="X518" s="34" t="s">
        <v>88</v>
      </c>
      <c r="Y518" s="1323">
        <f>$R$517+($R$519*6000)+$R$520+$R$523+$R$527+($R$530*10.7)+$T$524</f>
        <v>164.35192100687101</v>
      </c>
      <c r="Z518" s="2299"/>
      <c r="AA518" s="2299"/>
      <c r="AB518" s="917"/>
      <c r="AC518" s="906" t="s">
        <v>545</v>
      </c>
      <c r="AD518" s="20" t="s">
        <v>98</v>
      </c>
      <c r="AE518" s="276">
        <v>4.1111756876234758E-2</v>
      </c>
      <c r="AF518" s="106"/>
      <c r="AG518" s="37"/>
      <c r="AH518" s="957"/>
      <c r="AI518" s="957"/>
      <c r="AJ518" s="957"/>
      <c r="AK518" s="957"/>
      <c r="AL518" s="957"/>
      <c r="AM518" s="957"/>
      <c r="AN518" s="957"/>
      <c r="AO518" s="957"/>
      <c r="AP518" s="957"/>
      <c r="AQ518" s="957"/>
      <c r="AR518" s="957"/>
      <c r="AS518" s="957"/>
      <c r="AT518" s="957"/>
      <c r="AU518" s="957"/>
      <c r="AV518" s="957"/>
      <c r="AW518" s="957"/>
      <c r="AX518" s="957"/>
      <c r="AY518" s="957"/>
      <c r="AZ518" s="957"/>
      <c r="BA518" s="957"/>
      <c r="BB518" s="957"/>
      <c r="BC518" s="957"/>
      <c r="BD518" s="957"/>
      <c r="BE518" s="957"/>
      <c r="BF518" s="957"/>
      <c r="BG518" s="957"/>
    </row>
    <row r="519" spans="1:113">
      <c r="A519" s="2294"/>
      <c r="B519" s="984" t="s">
        <v>538</v>
      </c>
      <c r="C519" s="981" t="s">
        <v>12</v>
      </c>
      <c r="D519" s="12" t="s">
        <v>77</v>
      </c>
      <c r="E519" s="555">
        <v>638</v>
      </c>
      <c r="F519" s="555">
        <v>11086</v>
      </c>
      <c r="G519" s="17">
        <v>5382</v>
      </c>
      <c r="H519" s="538">
        <v>183.34</v>
      </c>
      <c r="I519" s="32">
        <v>1447.97</v>
      </c>
      <c r="J519" s="16" t="s">
        <v>15</v>
      </c>
      <c r="K519" s="13" t="s">
        <v>15</v>
      </c>
      <c r="L519" s="658" t="s">
        <v>12</v>
      </c>
      <c r="M519" s="451" t="s">
        <v>78</v>
      </c>
      <c r="N519" s="537">
        <v>2.3E-2</v>
      </c>
      <c r="O519" s="536">
        <v>32.22</v>
      </c>
      <c r="P519" s="126">
        <v>6.9999999999999999E-4</v>
      </c>
      <c r="Q519" s="245" t="s">
        <v>15</v>
      </c>
      <c r="R519" s="128">
        <v>2.3E-2</v>
      </c>
      <c r="S519" s="127" t="s">
        <v>72</v>
      </c>
      <c r="T519" s="119" t="s">
        <v>119</v>
      </c>
      <c r="U519" s="855"/>
      <c r="V519" s="2282"/>
      <c r="W519" s="452" t="s">
        <v>47</v>
      </c>
      <c r="X519" s="34" t="s">
        <v>89</v>
      </c>
      <c r="Y519" s="1323">
        <f>$R$518+($R$519*6000)+$R$520+$R$523+$R$527+($R$530*9)+$T$524</f>
        <v>127.78392100687097</v>
      </c>
      <c r="Z519" s="2298">
        <f>Y520-Y519</f>
        <v>14.536000000000058</v>
      </c>
      <c r="AA519" s="2299">
        <f>(9.9-9)*$P$530</f>
        <v>9.0720000000000045</v>
      </c>
      <c r="AB519" s="917"/>
      <c r="AC519" s="37"/>
      <c r="AD519" s="20" t="s">
        <v>109</v>
      </c>
      <c r="AE519" s="276">
        <v>1.0710804313157546E-2</v>
      </c>
      <c r="AF519" s="106"/>
      <c r="AG519" s="37"/>
      <c r="AH519" s="957"/>
      <c r="AI519" s="957"/>
      <c r="AJ519" s="957"/>
      <c r="AK519" s="957"/>
      <c r="AL519" s="957"/>
      <c r="AM519" s="957"/>
      <c r="AN519" s="957"/>
      <c r="AO519" s="957"/>
      <c r="AP519" s="957"/>
      <c r="AQ519" s="957"/>
      <c r="AR519" s="957"/>
      <c r="AS519" s="957"/>
      <c r="AT519" s="957"/>
      <c r="AU519" s="957"/>
      <c r="AV519" s="957"/>
      <c r="AW519" s="957"/>
      <c r="AX519" s="957"/>
      <c r="AY519" s="957"/>
      <c r="AZ519" s="957"/>
      <c r="BA519" s="957"/>
      <c r="BB519" s="957"/>
      <c r="BC519" s="957"/>
      <c r="BD519" s="957"/>
      <c r="BE519" s="957"/>
      <c r="BF519" s="957"/>
      <c r="BG519" s="957"/>
    </row>
    <row r="520" spans="1:113">
      <c r="A520" s="2294"/>
      <c r="B520" s="2161" t="s">
        <v>18</v>
      </c>
      <c r="C520" s="2144" t="s">
        <v>13</v>
      </c>
      <c r="D520" s="30" t="s">
        <v>81</v>
      </c>
      <c r="E520" s="31">
        <v>143</v>
      </c>
      <c r="F520" s="542" t="s">
        <v>15</v>
      </c>
      <c r="G520" s="542" t="s">
        <v>15</v>
      </c>
      <c r="H520" s="538">
        <v>276.14999999999998</v>
      </c>
      <c r="I520" s="32">
        <v>655.59</v>
      </c>
      <c r="J520" s="2293" t="s">
        <v>15</v>
      </c>
      <c r="K520" s="13" t="s">
        <v>15</v>
      </c>
      <c r="L520" s="2293" t="s">
        <v>15</v>
      </c>
      <c r="M520" s="13" t="s">
        <v>15</v>
      </c>
      <c r="N520" s="537">
        <v>0</v>
      </c>
      <c r="O520" s="455" t="s">
        <v>204</v>
      </c>
      <c r="P520" s="144" t="s">
        <v>204</v>
      </c>
      <c r="Q520" s="128">
        <f>6924.49/T522</f>
        <v>4.2896375909206863E-2</v>
      </c>
      <c r="R520" s="2129">
        <f>SUMPRODUCT(N520:N522,Q520:Q522)</f>
        <v>1.3877676548778539</v>
      </c>
      <c r="S520" s="452" t="s">
        <v>73</v>
      </c>
      <c r="T520" s="120">
        <v>0.63600000000000001</v>
      </c>
      <c r="U520" s="856"/>
      <c r="V520" s="2282"/>
      <c r="W520" s="452" t="s">
        <v>49</v>
      </c>
      <c r="X520" s="34" t="s">
        <v>90</v>
      </c>
      <c r="Y520" s="1323">
        <f>$R$517+($R$519*6000)+$R$520+$R$523+$R$527+($R$530*9.9)+$T$524</f>
        <v>142.31992100687103</v>
      </c>
      <c r="Z520" s="2299"/>
      <c r="AA520" s="2299"/>
      <c r="AB520" s="917"/>
      <c r="AC520" s="37"/>
      <c r="AD520" s="20" t="s">
        <v>110</v>
      </c>
      <c r="AE520" s="276">
        <v>2.0337980553284389E-2</v>
      </c>
      <c r="AF520" s="106"/>
      <c r="AG520" s="37"/>
      <c r="AH520" s="957"/>
      <c r="AI520" s="957"/>
      <c r="AJ520" s="957"/>
      <c r="AK520" s="957"/>
      <c r="AL520" s="957"/>
      <c r="AM520" s="957"/>
      <c r="AN520" s="957"/>
      <c r="AO520" s="957"/>
      <c r="AP520" s="957"/>
      <c r="AQ520" s="957"/>
      <c r="AR520" s="957"/>
      <c r="AS520" s="957"/>
      <c r="AT520" s="957"/>
      <c r="AU520" s="957"/>
      <c r="AV520" s="957"/>
      <c r="AW520" s="957"/>
      <c r="AX520" s="957"/>
      <c r="AY520" s="957"/>
      <c r="AZ520" s="957"/>
      <c r="BA520" s="957"/>
      <c r="BB520" s="957"/>
      <c r="BC520" s="957"/>
      <c r="BD520" s="957"/>
      <c r="BE520" s="957"/>
      <c r="BF520" s="957"/>
      <c r="BG520" s="957"/>
    </row>
    <row r="521" spans="1:113">
      <c r="A521" s="2294"/>
      <c r="B521" s="2161"/>
      <c r="C521" s="2144"/>
      <c r="D521" s="30" t="s">
        <v>79</v>
      </c>
      <c r="E521" s="31">
        <v>333</v>
      </c>
      <c r="F521" s="542" t="s">
        <v>15</v>
      </c>
      <c r="G521" s="542" t="s">
        <v>15</v>
      </c>
      <c r="H521" s="538">
        <v>174.4</v>
      </c>
      <c r="I521" s="32">
        <v>1704.49</v>
      </c>
      <c r="J521" s="2293"/>
      <c r="K521" s="13" t="s">
        <v>15</v>
      </c>
      <c r="L521" s="2293"/>
      <c r="M521" s="13" t="s">
        <v>15</v>
      </c>
      <c r="N521" s="537">
        <v>0.81200000000000006</v>
      </c>
      <c r="O521" s="536">
        <v>0.11</v>
      </c>
      <c r="P521" s="536">
        <v>7.59</v>
      </c>
      <c r="Q521" s="128">
        <f>149975.34/T522</f>
        <v>0.92907904578548151</v>
      </c>
      <c r="R521" s="2129"/>
      <c r="S521" s="127" t="s">
        <v>74</v>
      </c>
      <c r="T521" s="129" t="s">
        <v>75</v>
      </c>
      <c r="U521" s="858"/>
      <c r="V521" s="2282"/>
      <c r="W521" s="452" t="s">
        <v>47</v>
      </c>
      <c r="X521" s="34" t="s">
        <v>91</v>
      </c>
      <c r="Y521" s="1323">
        <f>$R$518+($R$519*8000)+$R$520+$R$523+$R$527+($R$530*9.8)+$T$524</f>
        <v>195.81592100687101</v>
      </c>
      <c r="Z521" s="2298">
        <f>Y522-Y521</f>
        <v>17.29000000000002</v>
      </c>
      <c r="AA521" s="2299">
        <f>(10.8-9.8)*$P$530</f>
        <v>10.08</v>
      </c>
      <c r="AB521" s="917"/>
      <c r="AC521" s="37"/>
      <c r="AD521" s="20" t="s">
        <v>111</v>
      </c>
      <c r="AE521" s="276">
        <v>2.0337980553284389E-2</v>
      </c>
      <c r="AF521" s="106"/>
      <c r="AG521" s="37"/>
      <c r="AH521" s="957"/>
      <c r="AI521" s="957"/>
      <c r="AJ521" s="957"/>
      <c r="AK521" s="957"/>
      <c r="AL521" s="957"/>
      <c r="AM521" s="957"/>
      <c r="AN521" s="957"/>
      <c r="AO521" s="957"/>
      <c r="AP521" s="957"/>
      <c r="AQ521" s="957"/>
      <c r="AR521" s="957"/>
      <c r="AS521" s="957"/>
      <c r="AT521" s="957"/>
      <c r="AU521" s="957"/>
      <c r="AV521" s="957"/>
      <c r="AW521" s="957"/>
      <c r="AX521" s="957"/>
      <c r="AY521" s="957"/>
      <c r="AZ521" s="957"/>
      <c r="BA521" s="957"/>
      <c r="BB521" s="957"/>
      <c r="BC521" s="957"/>
      <c r="BD521" s="957"/>
      <c r="BE521" s="957"/>
      <c r="BF521" s="957"/>
      <c r="BG521" s="957"/>
    </row>
    <row r="522" spans="1:113">
      <c r="A522" s="2294"/>
      <c r="B522" s="2161"/>
      <c r="C522" s="2144"/>
      <c r="D522" s="30" t="s">
        <v>80</v>
      </c>
      <c r="E522" s="31">
        <v>162</v>
      </c>
      <c r="F522" s="542" t="s">
        <v>15</v>
      </c>
      <c r="G522" s="542" t="s">
        <v>15</v>
      </c>
      <c r="H522" s="538">
        <v>337.92</v>
      </c>
      <c r="I522" s="32">
        <v>899.3</v>
      </c>
      <c r="J522" s="2293"/>
      <c r="K522" s="13" t="s">
        <v>15</v>
      </c>
      <c r="L522" s="2293"/>
      <c r="M522" s="13" t="s">
        <v>15</v>
      </c>
      <c r="N522" s="537">
        <v>22.6</v>
      </c>
      <c r="O522" s="536">
        <v>2.1</v>
      </c>
      <c r="P522" s="536">
        <v>10.77</v>
      </c>
      <c r="Q522" s="128">
        <f>4523.83/T522</f>
        <v>2.8024578305311625E-2</v>
      </c>
      <c r="R522" s="2129"/>
      <c r="S522" s="452">
        <v>638</v>
      </c>
      <c r="T522" s="414">
        <v>161423.66</v>
      </c>
      <c r="U522" s="867"/>
      <c r="V522" s="2282"/>
      <c r="W522" s="452" t="s">
        <v>49</v>
      </c>
      <c r="X522" s="34" t="s">
        <v>92</v>
      </c>
      <c r="Y522" s="1323">
        <f>$R$517+($R$519*8000)+$R$520+$R$523+$R$527+($R$530*10.8)+$T$524</f>
        <v>213.10592100687103</v>
      </c>
      <c r="Z522" s="2299"/>
      <c r="AA522" s="2299"/>
      <c r="AB522" s="917"/>
      <c r="AC522" s="37"/>
      <c r="AD522" s="20" t="s">
        <v>143</v>
      </c>
      <c r="AE522" s="276">
        <v>0.21394814858948172</v>
      </c>
      <c r="AF522" s="106"/>
      <c r="AG522" s="37"/>
      <c r="AH522" s="957"/>
      <c r="AI522" s="957"/>
      <c r="AJ522" s="957"/>
      <c r="AK522" s="957"/>
      <c r="AL522" s="957"/>
      <c r="AM522" s="957"/>
      <c r="AN522" s="957"/>
      <c r="AO522" s="957"/>
      <c r="AP522" s="957"/>
      <c r="AQ522" s="957"/>
      <c r="AR522" s="957"/>
      <c r="AS522" s="957"/>
      <c r="AT522" s="957"/>
      <c r="AU522" s="957"/>
      <c r="AV522" s="957"/>
      <c r="AW522" s="957"/>
      <c r="AX522" s="957"/>
      <c r="AY522" s="957"/>
      <c r="AZ522" s="957"/>
      <c r="BA522" s="957"/>
      <c r="BB522" s="957"/>
      <c r="BC522" s="957"/>
      <c r="BD522" s="957"/>
      <c r="BE522" s="957"/>
      <c r="BF522" s="957"/>
      <c r="BG522" s="957"/>
    </row>
    <row r="523" spans="1:113">
      <c r="A523" s="2294"/>
      <c r="B523" s="2161" t="s">
        <v>7</v>
      </c>
      <c r="C523" s="2144" t="s">
        <v>13</v>
      </c>
      <c r="D523" s="35">
        <v>1</v>
      </c>
      <c r="E523" s="31">
        <v>111</v>
      </c>
      <c r="F523" s="542" t="s">
        <v>15</v>
      </c>
      <c r="G523" s="542" t="s">
        <v>15</v>
      </c>
      <c r="H523" s="538">
        <v>204.4</v>
      </c>
      <c r="I523" s="32">
        <v>621.17999999999995</v>
      </c>
      <c r="J523" s="2293" t="s">
        <v>15</v>
      </c>
      <c r="K523" s="13" t="s">
        <v>15</v>
      </c>
      <c r="L523" s="2293" t="s">
        <v>15</v>
      </c>
      <c r="M523" s="13" t="s">
        <v>15</v>
      </c>
      <c r="N523" s="537">
        <v>0</v>
      </c>
      <c r="O523" s="455" t="s">
        <v>204</v>
      </c>
      <c r="P523" s="144" t="s">
        <v>204</v>
      </c>
      <c r="Q523" s="128">
        <f>3443.38/T522</f>
        <v>2.1331321567111042E-2</v>
      </c>
      <c r="R523" s="2129">
        <f>SUMPRODUCT(N523:N526,Q523:Q526)</f>
        <v>-6.279273020448179</v>
      </c>
      <c r="S523" s="127" t="s">
        <v>41</v>
      </c>
      <c r="T523" s="129" t="s">
        <v>42</v>
      </c>
      <c r="U523" s="858"/>
      <c r="V523" s="2282"/>
      <c r="W523" s="452" t="s">
        <v>47</v>
      </c>
      <c r="X523" s="34" t="s">
        <v>93</v>
      </c>
      <c r="Y523" s="1323">
        <f>$R$518+($R$519*14000)+$R$520+$R$523+$R$527+($R$530*9.7)+$T$524</f>
        <v>331.06192100687099</v>
      </c>
      <c r="Z523" s="2298">
        <f>Y524-Y523</f>
        <v>17.290000000000077</v>
      </c>
      <c r="AA523" s="2299">
        <f>(10.7-9.7)*$P$530</f>
        <v>10.08</v>
      </c>
      <c r="AB523" s="917"/>
      <c r="AC523" s="37"/>
      <c r="AD523" s="20" t="s">
        <v>112</v>
      </c>
      <c r="AE523" s="276">
        <v>4.5773810284866948E-2</v>
      </c>
      <c r="AF523" s="106"/>
      <c r="AG523" s="37"/>
      <c r="AH523" s="957"/>
      <c r="AI523" s="957"/>
      <c r="AJ523" s="957"/>
      <c r="AK523" s="957"/>
      <c r="AL523" s="957"/>
      <c r="AM523" s="957"/>
      <c r="AN523" s="957"/>
      <c r="AO523" s="957"/>
      <c r="AP523" s="957"/>
      <c r="AQ523" s="957"/>
      <c r="AR523" s="957"/>
      <c r="AS523" s="957"/>
      <c r="AT523" s="957"/>
      <c r="AU523" s="957"/>
      <c r="AV523" s="957"/>
      <c r="AW523" s="957"/>
      <c r="AX523" s="957"/>
      <c r="AY523" s="957"/>
      <c r="AZ523" s="957"/>
      <c r="BA523" s="957"/>
      <c r="BB523" s="957"/>
      <c r="BC523" s="957"/>
      <c r="BD523" s="957"/>
      <c r="BE523" s="957"/>
      <c r="BF523" s="957"/>
      <c r="BG523" s="957"/>
    </row>
    <row r="524" spans="1:113">
      <c r="A524" s="2294"/>
      <c r="B524" s="2161"/>
      <c r="C524" s="2144"/>
      <c r="D524" s="35">
        <v>2</v>
      </c>
      <c r="E524" s="31">
        <v>194</v>
      </c>
      <c r="F524" s="542" t="s">
        <v>15</v>
      </c>
      <c r="G524" s="542" t="s">
        <v>15</v>
      </c>
      <c r="H524" s="538">
        <v>179.15</v>
      </c>
      <c r="I524" s="32">
        <v>1931.5</v>
      </c>
      <c r="J524" s="2293"/>
      <c r="K524" s="13" t="s">
        <v>15</v>
      </c>
      <c r="L524" s="2293"/>
      <c r="M524" s="13" t="s">
        <v>15</v>
      </c>
      <c r="N524" s="537">
        <v>-3.04</v>
      </c>
      <c r="O524" s="536">
        <v>-0.34</v>
      </c>
      <c r="P524" s="536">
        <v>9.0299999999999994</v>
      </c>
      <c r="Q524" s="128">
        <f>89044.11/T522</f>
        <v>0.55161746425523994</v>
      </c>
      <c r="R524" s="2129"/>
      <c r="S524" s="25">
        <v>0.88</v>
      </c>
      <c r="T524" s="130">
        <v>-269.39999999999998</v>
      </c>
      <c r="U524" s="868"/>
      <c r="V524" s="2282"/>
      <c r="W524" s="452" t="s">
        <v>49</v>
      </c>
      <c r="X524" s="34" t="s">
        <v>94</v>
      </c>
      <c r="Y524" s="1323">
        <f>$R$517+($R$519*14000)+$R$520+$R$523+$R$527+($R$530*10.7)+$T$524</f>
        <v>348.35192100687107</v>
      </c>
      <c r="Z524" s="2299"/>
      <c r="AA524" s="2299"/>
      <c r="AB524" s="917"/>
      <c r="AC524" s="37"/>
      <c r="AD524" s="20" t="s">
        <v>113</v>
      </c>
      <c r="AE524" s="276">
        <v>63.148349874677166</v>
      </c>
      <c r="AF524" s="106"/>
      <c r="AG524" s="37"/>
      <c r="AH524" s="957"/>
      <c r="AI524" s="957"/>
      <c r="AJ524" s="957"/>
      <c r="AK524" s="957"/>
      <c r="AL524" s="957"/>
      <c r="AM524" s="957"/>
      <c r="AN524" s="957"/>
      <c r="AO524" s="957"/>
      <c r="AP524" s="957"/>
      <c r="AQ524" s="957"/>
      <c r="AR524" s="957"/>
      <c r="AS524" s="957"/>
      <c r="AT524" s="957"/>
      <c r="AU524" s="957"/>
      <c r="AV524" s="957"/>
      <c r="AW524" s="957"/>
      <c r="AX524" s="957"/>
      <c r="AY524" s="957"/>
      <c r="AZ524" s="957"/>
      <c r="BA524" s="957"/>
      <c r="BB524" s="957"/>
      <c r="BC524" s="957"/>
      <c r="BD524" s="957"/>
      <c r="BE524" s="957"/>
      <c r="BF524" s="957"/>
      <c r="BG524" s="957"/>
    </row>
    <row r="525" spans="1:113">
      <c r="A525" s="2294"/>
      <c r="B525" s="2161"/>
      <c r="C525" s="2144"/>
      <c r="D525" s="35">
        <v>3</v>
      </c>
      <c r="E525" s="31">
        <v>203</v>
      </c>
      <c r="F525" s="542" t="s">
        <v>15</v>
      </c>
      <c r="G525" s="542" t="s">
        <v>15</v>
      </c>
      <c r="H525" s="538">
        <v>186.74</v>
      </c>
      <c r="I525" s="32">
        <v>1649.07</v>
      </c>
      <c r="J525" s="2293"/>
      <c r="K525" s="13" t="s">
        <v>15</v>
      </c>
      <c r="L525" s="2293"/>
      <c r="M525" s="13" t="s">
        <v>15</v>
      </c>
      <c r="N525" s="537">
        <v>-10.93</v>
      </c>
      <c r="O525" s="536">
        <v>-1.2</v>
      </c>
      <c r="P525" s="536">
        <v>9.1</v>
      </c>
      <c r="Q525" s="128">
        <f>67861.43/T522</f>
        <v>0.42039333019707265</v>
      </c>
      <c r="R525" s="2252"/>
      <c r="S525" s="122"/>
      <c r="T525" s="39"/>
      <c r="U525" s="854"/>
      <c r="V525" s="2282"/>
      <c r="W525" s="452" t="s">
        <v>47</v>
      </c>
      <c r="X525" s="34" t="s">
        <v>95</v>
      </c>
      <c r="Y525" s="1323">
        <f>$R$518+($R$519*20000)+$R$520+$R$523+$R$527+($R$530*8.5)+$T$524</f>
        <v>436.01392100687099</v>
      </c>
      <c r="Z525" s="2298">
        <f>Y526-Y525</f>
        <v>14.535999999999945</v>
      </c>
      <c r="AA525" s="2299">
        <f>(9.4-8.5)*$P$530</f>
        <v>9.0720000000000045</v>
      </c>
      <c r="AB525" s="917"/>
      <c r="AC525" s="37"/>
      <c r="AD525" s="20" t="s">
        <v>114</v>
      </c>
      <c r="AE525" s="276">
        <v>4.9111927265154582</v>
      </c>
      <c r="AF525" s="106"/>
      <c r="AG525" s="37"/>
      <c r="AH525" s="957"/>
      <c r="AI525" s="957"/>
      <c r="AJ525" s="957"/>
      <c r="AK525" s="957"/>
      <c r="AL525" s="957"/>
      <c r="AM525" s="957"/>
      <c r="AN525" s="957"/>
      <c r="AO525" s="957"/>
      <c r="AP525" s="957"/>
      <c r="AQ525" s="957"/>
      <c r="AR525" s="957"/>
      <c r="AS525" s="957"/>
      <c r="AT525" s="957"/>
      <c r="AU525" s="957"/>
      <c r="AV525" s="957"/>
      <c r="AW525" s="957"/>
      <c r="AX525" s="957"/>
      <c r="AY525" s="957"/>
      <c r="AZ525" s="957"/>
      <c r="BA525" s="957"/>
      <c r="BB525" s="957"/>
      <c r="BC525" s="957"/>
      <c r="BD525" s="957"/>
      <c r="BE525" s="957"/>
      <c r="BF525" s="957"/>
      <c r="BG525" s="957"/>
    </row>
    <row r="526" spans="1:113">
      <c r="A526" s="2294"/>
      <c r="B526" s="2161"/>
      <c r="C526" s="2144"/>
      <c r="D526" s="35">
        <v>4</v>
      </c>
      <c r="E526" s="31">
        <v>130</v>
      </c>
      <c r="F526" s="542" t="s">
        <v>15</v>
      </c>
      <c r="G526" s="542" t="s">
        <v>15</v>
      </c>
      <c r="H526" s="538">
        <v>249.1</v>
      </c>
      <c r="I526" s="32">
        <v>343.54</v>
      </c>
      <c r="J526" s="2293"/>
      <c r="K526" s="13" t="s">
        <v>15</v>
      </c>
      <c r="L526" s="2293"/>
      <c r="M526" s="13" t="s">
        <v>15</v>
      </c>
      <c r="N526" s="537">
        <v>-1.1200000000000001</v>
      </c>
      <c r="O526" s="536">
        <v>-0.06</v>
      </c>
      <c r="P526" s="536">
        <v>18.760000000000002</v>
      </c>
      <c r="Q526" s="128">
        <f>1074.74/T522</f>
        <v>6.6578839805763292E-3</v>
      </c>
      <c r="R526" s="2252"/>
      <c r="S526" s="123"/>
      <c r="T526" s="41"/>
      <c r="U526" s="854"/>
      <c r="V526" s="2282"/>
      <c r="W526" s="25" t="s">
        <v>49</v>
      </c>
      <c r="X526" s="36" t="s">
        <v>96</v>
      </c>
      <c r="Y526" s="1323">
        <f>$R$517+($R$519*20000)+$R$520+$R$523+$R$527+($R$530*9.4)+$T$524</f>
        <v>450.54992100687093</v>
      </c>
      <c r="Z526" s="2299"/>
      <c r="AA526" s="2323"/>
      <c r="AB526" s="917"/>
      <c r="AC526" s="37"/>
      <c r="AD526" s="20" t="s">
        <v>115</v>
      </c>
      <c r="AE526" s="276">
        <v>3.3660884788166916</v>
      </c>
      <c r="AF526" s="106"/>
      <c r="AG526" s="37"/>
      <c r="AH526" s="957"/>
      <c r="AI526" s="957"/>
      <c r="AJ526" s="957"/>
      <c r="AK526" s="957"/>
      <c r="AL526" s="957"/>
      <c r="AM526" s="957"/>
      <c r="AN526" s="957"/>
      <c r="AO526" s="957"/>
      <c r="AP526" s="957"/>
      <c r="AQ526" s="957"/>
      <c r="AR526" s="957"/>
      <c r="AS526" s="957"/>
      <c r="AT526" s="957"/>
      <c r="AU526" s="957"/>
      <c r="AV526" s="957"/>
      <c r="AW526" s="957"/>
      <c r="AX526" s="957"/>
      <c r="AY526" s="957"/>
      <c r="AZ526" s="957"/>
      <c r="BA526" s="957"/>
      <c r="BB526" s="957"/>
      <c r="BC526" s="957"/>
      <c r="BD526" s="957"/>
      <c r="BE526" s="957"/>
      <c r="BF526" s="957"/>
      <c r="BG526" s="957"/>
    </row>
    <row r="527" spans="1:113">
      <c r="A527" s="2294"/>
      <c r="B527" s="2161" t="s">
        <v>19</v>
      </c>
      <c r="C527" s="2144" t="s">
        <v>13</v>
      </c>
      <c r="D527" s="30" t="s">
        <v>84</v>
      </c>
      <c r="E527" s="31">
        <v>101</v>
      </c>
      <c r="F527" s="542" t="s">
        <v>15</v>
      </c>
      <c r="G527" s="542" t="s">
        <v>15</v>
      </c>
      <c r="H527" s="538">
        <v>119.5</v>
      </c>
      <c r="I527" s="32">
        <v>431.1</v>
      </c>
      <c r="J527" s="2293" t="s">
        <v>15</v>
      </c>
      <c r="K527" s="13" t="s">
        <v>15</v>
      </c>
      <c r="L527" s="2293" t="s">
        <v>15</v>
      </c>
      <c r="M527" s="13" t="s">
        <v>15</v>
      </c>
      <c r="N527" s="537">
        <v>0</v>
      </c>
      <c r="O527" s="455" t="s">
        <v>204</v>
      </c>
      <c r="P527" s="144" t="s">
        <v>204</v>
      </c>
      <c r="Q527" s="128">
        <f>78318.4/T522</f>
        <v>0.48517299136941877</v>
      </c>
      <c r="R527" s="2252">
        <f>SUMPRODUCT(N527:N529,Q527:Q529)</f>
        <v>16.215426372441314</v>
      </c>
      <c r="S527" s="123"/>
      <c r="T527" s="41"/>
      <c r="U527" s="854"/>
      <c r="V527" s="38"/>
      <c r="W527" s="39"/>
      <c r="X527" s="40"/>
      <c r="Y527" s="39"/>
      <c r="Z527" s="39"/>
      <c r="AA527" s="39"/>
      <c r="AB527" s="846"/>
      <c r="AC527" s="37"/>
      <c r="AD527" s="20" t="s">
        <v>116</v>
      </c>
      <c r="AE527" s="276">
        <v>-0.62981991696237116</v>
      </c>
      <c r="AF527" s="106"/>
      <c r="AG527" s="37"/>
      <c r="AH527" s="957"/>
      <c r="AI527" s="957"/>
      <c r="AJ527" s="957"/>
      <c r="AK527" s="957"/>
      <c r="AL527" s="957"/>
      <c r="AM527" s="957"/>
      <c r="AN527" s="957"/>
      <c r="AO527" s="957"/>
      <c r="AP527" s="957"/>
      <c r="AQ527" s="957"/>
      <c r="AR527" s="957"/>
      <c r="AS527" s="957"/>
      <c r="AT527" s="957"/>
      <c r="AU527" s="957"/>
      <c r="AV527" s="957"/>
      <c r="AW527" s="957"/>
      <c r="AX527" s="957"/>
      <c r="AY527" s="957"/>
      <c r="AZ527" s="957"/>
      <c r="BA527" s="957"/>
      <c r="BB527" s="957"/>
      <c r="BC527" s="957"/>
      <c r="BD527" s="957"/>
      <c r="BE527" s="957"/>
      <c r="BF527" s="957"/>
      <c r="BG527" s="957"/>
    </row>
    <row r="528" spans="1:113">
      <c r="A528" s="2294"/>
      <c r="B528" s="2161"/>
      <c r="C528" s="2144"/>
      <c r="D528" s="30" t="s">
        <v>82</v>
      </c>
      <c r="E528" s="31">
        <v>246</v>
      </c>
      <c r="F528" s="542" t="s">
        <v>15</v>
      </c>
      <c r="G528" s="542" t="s">
        <v>15</v>
      </c>
      <c r="H528" s="538">
        <v>254.42</v>
      </c>
      <c r="I528" s="32">
        <v>1019.93</v>
      </c>
      <c r="J528" s="2293"/>
      <c r="K528" s="13" t="s">
        <v>15</v>
      </c>
      <c r="L528" s="2293"/>
      <c r="M528" s="13" t="s">
        <v>15</v>
      </c>
      <c r="N528" s="537">
        <v>26.1</v>
      </c>
      <c r="O528" s="536">
        <v>4.67</v>
      </c>
      <c r="P528" s="536">
        <v>5.59</v>
      </c>
      <c r="Q528" s="128">
        <f>22084.01/T522</f>
        <v>0.13680776411586751</v>
      </c>
      <c r="R528" s="2252"/>
      <c r="S528" s="123"/>
      <c r="T528" s="41"/>
      <c r="U528" s="854"/>
      <c r="V528" s="502"/>
      <c r="W528" s="41"/>
      <c r="X528" s="37"/>
      <c r="Y528" s="41"/>
      <c r="Z528" s="41"/>
      <c r="AA528" s="41"/>
      <c r="AB528" s="846"/>
      <c r="AC528" s="37"/>
      <c r="AD528" s="20" t="s">
        <v>117</v>
      </c>
      <c r="AE528" s="276">
        <v>2.7362685618543203</v>
      </c>
      <c r="AF528" s="106"/>
      <c r="AG528" s="37"/>
      <c r="AH528" s="957"/>
      <c r="AI528" s="957"/>
      <c r="AJ528" s="957"/>
      <c r="AK528" s="957"/>
      <c r="AL528" s="957"/>
      <c r="AM528" s="957"/>
      <c r="AN528" s="957"/>
      <c r="AO528" s="957"/>
      <c r="AP528" s="957"/>
      <c r="AQ528" s="957"/>
      <c r="AR528" s="957"/>
      <c r="AS528" s="957"/>
      <c r="AT528" s="957"/>
      <c r="AU528" s="957"/>
      <c r="AV528" s="957"/>
      <c r="AW528" s="957"/>
      <c r="AX528" s="957"/>
      <c r="AY528" s="957"/>
      <c r="AZ528" s="957"/>
      <c r="BA528" s="957"/>
      <c r="BB528" s="957"/>
      <c r="BC528" s="957"/>
      <c r="BD528" s="957"/>
      <c r="BE528" s="957"/>
      <c r="BF528" s="957"/>
      <c r="BG528" s="957"/>
    </row>
    <row r="529" spans="1:123">
      <c r="A529" s="2294"/>
      <c r="B529" s="2161"/>
      <c r="C529" s="2144"/>
      <c r="D529" s="30" t="s">
        <v>83</v>
      </c>
      <c r="E529" s="31">
        <v>291</v>
      </c>
      <c r="F529" s="542" t="s">
        <v>15</v>
      </c>
      <c r="G529" s="542" t="s">
        <v>15</v>
      </c>
      <c r="H529" s="538">
        <v>239.57</v>
      </c>
      <c r="I529" s="32">
        <v>1229.46</v>
      </c>
      <c r="J529" s="2293"/>
      <c r="K529" s="13" t="s">
        <v>15</v>
      </c>
      <c r="L529" s="2293"/>
      <c r="M529" s="13" t="s">
        <v>15</v>
      </c>
      <c r="N529" s="537">
        <v>33.450000000000003</v>
      </c>
      <c r="O529" s="536">
        <v>7.26</v>
      </c>
      <c r="P529" s="536">
        <v>4.6100000000000003</v>
      </c>
      <c r="Q529" s="128">
        <f>61021.25/T522</f>
        <v>0.37801924451471364</v>
      </c>
      <c r="R529" s="2252"/>
      <c r="S529" s="123"/>
      <c r="T529" s="41"/>
      <c r="U529" s="854"/>
      <c r="V529" s="499"/>
      <c r="W529" s="37"/>
      <c r="X529" s="37"/>
      <c r="Y529" s="41"/>
      <c r="Z529" s="41"/>
      <c r="AA529" s="41"/>
      <c r="AB529" s="846"/>
      <c r="AC529" s="37"/>
      <c r="AD529" s="20" t="s">
        <v>118</v>
      </c>
      <c r="AE529" s="276">
        <v>16.403590993617669</v>
      </c>
      <c r="AF529" s="106"/>
      <c r="AG529" s="37"/>
      <c r="AH529" s="957"/>
      <c r="AI529" s="957"/>
      <c r="AJ529" s="957"/>
      <c r="AK529" s="957"/>
      <c r="AL529" s="957"/>
      <c r="AM529" s="957"/>
      <c r="AN529" s="957"/>
      <c r="AO529" s="957"/>
      <c r="AP529" s="957"/>
      <c r="AQ529" s="957"/>
      <c r="AR529" s="957"/>
      <c r="AS529" s="957"/>
      <c r="AT529" s="957"/>
      <c r="AU529" s="957"/>
      <c r="AV529" s="957"/>
      <c r="AW529" s="957"/>
      <c r="AX529" s="957"/>
      <c r="AY529" s="957"/>
      <c r="AZ529" s="957"/>
      <c r="BA529" s="957"/>
      <c r="BB529" s="957"/>
      <c r="BC529" s="957"/>
      <c r="BD529" s="957"/>
      <c r="BE529" s="957"/>
      <c r="BF529" s="957"/>
      <c r="BG529" s="957"/>
    </row>
    <row r="530" spans="1:123">
      <c r="A530" s="2294"/>
      <c r="B530" s="984" t="s">
        <v>16</v>
      </c>
      <c r="C530" s="981" t="s">
        <v>12</v>
      </c>
      <c r="D530" s="12" t="s">
        <v>76</v>
      </c>
      <c r="E530" s="555">
        <v>638</v>
      </c>
      <c r="F530" s="555">
        <v>10.199999999999999</v>
      </c>
      <c r="G530" s="17">
        <v>0.6</v>
      </c>
      <c r="H530" s="538">
        <v>183.34</v>
      </c>
      <c r="I530" s="32">
        <v>1447.97</v>
      </c>
      <c r="J530" s="16" t="s">
        <v>15</v>
      </c>
      <c r="K530" s="13" t="s">
        <v>15</v>
      </c>
      <c r="L530" s="658" t="s">
        <v>12</v>
      </c>
      <c r="M530" s="451" t="s">
        <v>78</v>
      </c>
      <c r="N530" s="537">
        <v>27.54</v>
      </c>
      <c r="O530" s="536">
        <v>2.73</v>
      </c>
      <c r="P530" s="126">
        <v>10.08</v>
      </c>
      <c r="Q530" s="245" t="s">
        <v>15</v>
      </c>
      <c r="R530" s="260">
        <v>27.54</v>
      </c>
      <c r="S530" s="123"/>
      <c r="T530" s="41"/>
      <c r="U530" s="854"/>
      <c r="V530" s="499"/>
      <c r="W530" s="37"/>
      <c r="X530" s="37"/>
      <c r="Y530" s="41"/>
      <c r="Z530" s="41"/>
      <c r="AA530" s="41"/>
      <c r="AB530" s="846"/>
      <c r="AC530" s="37"/>
      <c r="AD530" s="20" t="s">
        <v>97</v>
      </c>
      <c r="AE530" s="21">
        <v>399</v>
      </c>
      <c r="AF530" s="106"/>
      <c r="AG530" s="37"/>
      <c r="AH530" s="957"/>
      <c r="AI530" s="957"/>
      <c r="AJ530" s="957"/>
      <c r="AK530" s="957"/>
      <c r="AL530" s="957"/>
      <c r="AM530" s="957"/>
      <c r="AN530" s="957"/>
      <c r="AO530" s="957"/>
      <c r="AP530" s="957"/>
      <c r="AQ530" s="957"/>
      <c r="AR530" s="957"/>
      <c r="AS530" s="957"/>
      <c r="AT530" s="957"/>
      <c r="AU530" s="957"/>
      <c r="AV530" s="957"/>
      <c r="AW530" s="957"/>
      <c r="AX530" s="957"/>
      <c r="AY530" s="957"/>
      <c r="AZ530" s="957"/>
      <c r="BA530" s="957"/>
      <c r="BB530" s="957"/>
      <c r="BC530" s="957"/>
      <c r="BD530" s="957"/>
      <c r="BE530" s="957"/>
      <c r="BF530" s="957"/>
      <c r="BG530" s="957"/>
    </row>
    <row r="531" spans="1:123">
      <c r="A531" s="2294"/>
      <c r="B531" s="2161" t="s">
        <v>86</v>
      </c>
      <c r="C531" s="2310" t="s">
        <v>15</v>
      </c>
      <c r="D531" s="2312" t="s">
        <v>15</v>
      </c>
      <c r="E531" s="542" t="s">
        <v>15</v>
      </c>
      <c r="F531" s="542" t="s">
        <v>15</v>
      </c>
      <c r="G531" s="542" t="s">
        <v>15</v>
      </c>
      <c r="H531" s="542" t="s">
        <v>15</v>
      </c>
      <c r="I531" s="542" t="s">
        <v>15</v>
      </c>
      <c r="J531" s="2293" t="s">
        <v>15</v>
      </c>
      <c r="K531" s="2312" t="s">
        <v>15</v>
      </c>
      <c r="L531" s="2303" t="s">
        <v>11</v>
      </c>
      <c r="M531" s="1172" t="s">
        <v>33</v>
      </c>
      <c r="N531" s="1191" t="s">
        <v>15</v>
      </c>
      <c r="O531" s="456" t="s">
        <v>15</v>
      </c>
      <c r="P531" s="92"/>
      <c r="Q531" s="245" t="s">
        <v>15</v>
      </c>
      <c r="R531" s="245" t="s">
        <v>15</v>
      </c>
      <c r="S531" s="123"/>
      <c r="T531" s="41"/>
      <c r="U531" s="854"/>
      <c r="V531" s="499"/>
      <c r="W531" s="37"/>
      <c r="X531" s="37"/>
      <c r="Y531" s="41"/>
      <c r="Z531" s="41"/>
      <c r="AA531" s="41"/>
      <c r="AB531" s="846"/>
      <c r="AC531" s="37"/>
      <c r="AD531" s="22"/>
      <c r="AE531" s="27"/>
      <c r="AF531" s="106"/>
      <c r="AG531" s="37"/>
      <c r="AH531" s="957"/>
      <c r="AI531" s="957"/>
      <c r="AJ531" s="957"/>
      <c r="AK531" s="957"/>
      <c r="AL531" s="957"/>
      <c r="AM531" s="957"/>
      <c r="AN531" s="957"/>
      <c r="AO531" s="957"/>
      <c r="AP531" s="957"/>
      <c r="AQ531" s="957"/>
      <c r="AR531" s="957"/>
      <c r="AS531" s="957"/>
      <c r="AT531" s="957"/>
      <c r="AU531" s="957"/>
      <c r="AV531" s="957"/>
      <c r="AW531" s="957"/>
      <c r="AX531" s="957"/>
      <c r="AY531" s="957"/>
      <c r="AZ531" s="957"/>
      <c r="BA531" s="957"/>
      <c r="BB531" s="957"/>
      <c r="BC531" s="957"/>
      <c r="BD531" s="957"/>
      <c r="BE531" s="957"/>
      <c r="BF531" s="957"/>
      <c r="BG531" s="957"/>
    </row>
    <row r="532" spans="1:123" ht="15.75" thickBot="1">
      <c r="A532" s="2294"/>
      <c r="B532" s="2161"/>
      <c r="C532" s="2310"/>
      <c r="D532" s="2312"/>
      <c r="E532" s="542" t="s">
        <v>15</v>
      </c>
      <c r="F532" s="542" t="s">
        <v>15</v>
      </c>
      <c r="G532" s="542" t="s">
        <v>15</v>
      </c>
      <c r="H532" s="542" t="s">
        <v>15</v>
      </c>
      <c r="I532" s="542" t="s">
        <v>15</v>
      </c>
      <c r="J532" s="2293"/>
      <c r="K532" s="2312"/>
      <c r="L532" s="2303"/>
      <c r="M532" s="1172" t="s">
        <v>32</v>
      </c>
      <c r="N532" s="1191" t="s">
        <v>15</v>
      </c>
      <c r="O532" s="456" t="s">
        <v>15</v>
      </c>
      <c r="P532" s="92"/>
      <c r="Q532" s="245" t="s">
        <v>15</v>
      </c>
      <c r="R532" s="245" t="s">
        <v>15</v>
      </c>
      <c r="S532" s="132"/>
      <c r="T532" s="97"/>
      <c r="U532" s="854"/>
      <c r="V532" s="894"/>
      <c r="W532" s="42"/>
      <c r="X532" s="42"/>
      <c r="Y532" s="97"/>
      <c r="Z532" s="97"/>
      <c r="AA532" s="97"/>
      <c r="AB532" s="846"/>
      <c r="AC532" s="37"/>
      <c r="AD532" s="240"/>
      <c r="AE532" s="764"/>
      <c r="AF532" s="106"/>
      <c r="AG532" s="37"/>
      <c r="AH532" s="957"/>
      <c r="AI532" s="957"/>
      <c r="AJ532" s="957"/>
      <c r="AK532" s="957"/>
      <c r="AL532" s="957"/>
      <c r="AM532" s="957"/>
      <c r="AN532" s="957"/>
      <c r="AO532" s="957"/>
      <c r="AP532" s="957"/>
      <c r="AQ532" s="957"/>
      <c r="AR532" s="957"/>
      <c r="AS532" s="957"/>
      <c r="AT532" s="957"/>
      <c r="AU532" s="957"/>
      <c r="AV532" s="957"/>
      <c r="AW532" s="957"/>
      <c r="AX532" s="957"/>
      <c r="AY532" s="957"/>
      <c r="AZ532" s="957"/>
      <c r="BA532" s="957"/>
      <c r="BB532" s="957"/>
      <c r="BC532" s="957"/>
      <c r="BD532" s="957"/>
      <c r="BE532" s="957"/>
      <c r="BF532" s="957"/>
      <c r="BG532" s="957"/>
    </row>
    <row r="533" spans="1:123" s="705" customFormat="1" ht="9" customHeight="1" thickBot="1">
      <c r="A533" s="695"/>
      <c r="B533" s="815"/>
      <c r="C533" s="684"/>
      <c r="D533" s="683"/>
      <c r="E533" s="683"/>
      <c r="F533" s="683"/>
      <c r="G533" s="683"/>
      <c r="H533" s="683"/>
      <c r="I533" s="683"/>
      <c r="J533" s="682"/>
      <c r="K533" s="683"/>
      <c r="L533" s="682"/>
      <c r="M533" s="685"/>
      <c r="N533" s="1189"/>
      <c r="O533" s="686"/>
      <c r="P533" s="686"/>
      <c r="Q533" s="687"/>
      <c r="R533" s="687"/>
      <c r="S533" s="688"/>
      <c r="T533" s="688"/>
      <c r="U533" s="854"/>
      <c r="V533" s="893"/>
      <c r="W533" s="685"/>
      <c r="X533" s="685"/>
      <c r="Y533" s="688"/>
      <c r="Z533" s="688"/>
      <c r="AA533" s="688"/>
      <c r="AB533" s="846"/>
      <c r="AC533" s="685"/>
      <c r="AD533" s="685"/>
      <c r="AE533" s="685"/>
      <c r="AF533" s="689"/>
      <c r="AG533" s="685"/>
      <c r="AH533" s="959"/>
      <c r="AI533" s="958"/>
      <c r="AJ533" s="958"/>
      <c r="AK533" s="958"/>
      <c r="AL533" s="958"/>
      <c r="AM533" s="958"/>
      <c r="AN533" s="958"/>
      <c r="AO533" s="958"/>
      <c r="AP533" s="958"/>
      <c r="AQ533" s="958"/>
      <c r="AR533" s="958"/>
      <c r="AS533" s="958"/>
      <c r="AT533" s="958"/>
      <c r="AU533" s="958"/>
      <c r="AV533" s="958"/>
      <c r="AW533" s="958"/>
      <c r="AX533" s="958"/>
      <c r="AY533" s="958"/>
      <c r="AZ533" s="958"/>
      <c r="BA533" s="958"/>
      <c r="BB533" s="958"/>
      <c r="BC533" s="958"/>
      <c r="BD533" s="958"/>
      <c r="BE533" s="958"/>
      <c r="BF533" s="958"/>
      <c r="BG533" s="958"/>
      <c r="BH533" s="1125"/>
      <c r="CF533" s="692"/>
      <c r="CG533" s="692"/>
      <c r="CH533" s="692"/>
      <c r="CI533" s="692"/>
      <c r="CJ533" s="692"/>
      <c r="CK533" s="692"/>
      <c r="CL533" s="692"/>
      <c r="CM533" s="692"/>
      <c r="CN533" s="692"/>
      <c r="CO533" s="692"/>
      <c r="CP533" s="692"/>
      <c r="CQ533" s="692"/>
      <c r="CR533" s="692"/>
      <c r="CS533" s="692"/>
      <c r="CT533" s="692"/>
      <c r="CU533" s="692"/>
      <c r="CV533" s="692"/>
      <c r="CW533" s="692"/>
      <c r="CX533" s="692"/>
      <c r="CY533" s="692"/>
      <c r="CZ533" s="692"/>
      <c r="DA533" s="692"/>
      <c r="DB533" s="692"/>
      <c r="DC533" s="692"/>
      <c r="DD533" s="692"/>
      <c r="DE533" s="692"/>
      <c r="DF533" s="692"/>
      <c r="DG533" s="692"/>
      <c r="DH533" s="692"/>
      <c r="DI533" s="693"/>
      <c r="DJ533" s="692"/>
      <c r="DK533" s="692"/>
      <c r="DL533" s="692"/>
      <c r="DM533" s="692"/>
      <c r="DN533" s="692"/>
      <c r="DO533" s="692"/>
      <c r="DP533" s="692"/>
      <c r="DQ533" s="692"/>
      <c r="DR533" s="692"/>
      <c r="DS533" s="692"/>
    </row>
    <row r="534" spans="1:123">
      <c r="A534" s="2171" t="s">
        <v>271</v>
      </c>
      <c r="B534" s="819" t="s">
        <v>261</v>
      </c>
      <c r="C534" s="810" t="s">
        <v>12</v>
      </c>
      <c r="D534" s="219" t="s">
        <v>262</v>
      </c>
      <c r="E534" s="213">
        <v>25</v>
      </c>
      <c r="F534" s="91">
        <v>2656.48</v>
      </c>
      <c r="G534" s="91">
        <v>1485.36</v>
      </c>
      <c r="H534" s="58">
        <v>665.36</v>
      </c>
      <c r="I534" s="99">
        <v>276.11</v>
      </c>
      <c r="J534" s="101" t="s">
        <v>15</v>
      </c>
      <c r="K534" s="70" t="s">
        <v>15</v>
      </c>
      <c r="L534" s="101" t="s">
        <v>15</v>
      </c>
      <c r="M534" s="70" t="s">
        <v>15</v>
      </c>
      <c r="N534" s="441">
        <v>0.106</v>
      </c>
      <c r="O534" s="280">
        <v>5.68</v>
      </c>
      <c r="P534" s="280">
        <v>1.7999999999999999E-2</v>
      </c>
      <c r="Q534" s="208" t="s">
        <v>15</v>
      </c>
      <c r="R534" s="263">
        <v>0.106</v>
      </c>
      <c r="S534" s="127" t="s">
        <v>68</v>
      </c>
      <c r="T534" s="129" t="s">
        <v>69</v>
      </c>
      <c r="U534" s="858"/>
      <c r="V534" s="2328" t="s">
        <v>2698</v>
      </c>
      <c r="W534" s="760" t="s">
        <v>47</v>
      </c>
      <c r="X534" s="292" t="s">
        <v>265</v>
      </c>
      <c r="Y534" s="159">
        <v>0</v>
      </c>
      <c r="Z534" s="158" t="s">
        <v>40</v>
      </c>
      <c r="AA534" s="170" t="s">
        <v>40</v>
      </c>
      <c r="AB534" s="919"/>
      <c r="AC534" s="837"/>
      <c r="AD534" s="2157" t="s">
        <v>142</v>
      </c>
      <c r="AE534" s="2158"/>
      <c r="AF534" s="33" t="s">
        <v>129</v>
      </c>
      <c r="AG534" s="79" t="s">
        <v>266</v>
      </c>
      <c r="AH534" s="168">
        <f>Y535</f>
        <v>1251.72576</v>
      </c>
      <c r="AI534" s="937"/>
      <c r="AJ534" s="937"/>
      <c r="AK534" s="937"/>
      <c r="AL534" s="937"/>
      <c r="AM534" s="937"/>
      <c r="AN534" s="937">
        <v>1389</v>
      </c>
      <c r="AO534" s="937">
        <v>1329</v>
      </c>
      <c r="AP534" s="1010">
        <v>1499</v>
      </c>
      <c r="AQ534" s="1011"/>
      <c r="AR534" s="1012"/>
      <c r="AS534" s="1012"/>
      <c r="AT534" s="1012"/>
      <c r="AU534" s="1012"/>
      <c r="AV534" s="1012"/>
      <c r="AW534" s="1012"/>
      <c r="AX534" s="1012"/>
      <c r="AY534" s="1012"/>
      <c r="AZ534" s="1012"/>
      <c r="BA534" s="1012"/>
      <c r="BB534" s="1012"/>
      <c r="BC534" s="1012"/>
      <c r="BD534" s="1012"/>
      <c r="BE534" s="1012"/>
      <c r="BF534" s="1012"/>
      <c r="BG534" s="1012"/>
    </row>
    <row r="535" spans="1:123">
      <c r="A535" s="2172"/>
      <c r="B535" s="985" t="s">
        <v>260</v>
      </c>
      <c r="C535" s="995" t="s">
        <v>12</v>
      </c>
      <c r="D535" s="273" t="s">
        <v>392</v>
      </c>
      <c r="E535" s="213">
        <v>25</v>
      </c>
      <c r="F535" s="214">
        <v>2656.48</v>
      </c>
      <c r="G535" s="214">
        <v>1485.36</v>
      </c>
      <c r="H535" s="215">
        <v>665.36</v>
      </c>
      <c r="I535" s="319">
        <v>276.11</v>
      </c>
      <c r="J535" s="216" t="s">
        <v>15</v>
      </c>
      <c r="K535" s="22" t="s">
        <v>15</v>
      </c>
      <c r="L535" s="216" t="s">
        <v>15</v>
      </c>
      <c r="M535" s="22" t="s">
        <v>15</v>
      </c>
      <c r="N535" s="1202">
        <v>118.61</v>
      </c>
      <c r="O535" s="469">
        <v>2.9</v>
      </c>
      <c r="P535" s="469">
        <v>40.950000000000003</v>
      </c>
      <c r="Q535" s="274" t="s">
        <v>15</v>
      </c>
      <c r="R535" s="541">
        <f>N535</f>
        <v>118.61</v>
      </c>
      <c r="S535" s="452" t="s">
        <v>159</v>
      </c>
      <c r="T535" s="117" t="s">
        <v>132</v>
      </c>
      <c r="U535" s="854"/>
      <c r="V535" s="2282"/>
      <c r="W535" s="982" t="s">
        <v>49</v>
      </c>
      <c r="X535" s="34" t="s">
        <v>266</v>
      </c>
      <c r="Y535" s="168">
        <f>(($R$534*2500)+($R$535*1)+($R$536*1)+$T$541)*(1+$T$543)</f>
        <v>1251.72576</v>
      </c>
      <c r="Z535" s="159">
        <f>Y535</f>
        <v>1251.72576</v>
      </c>
      <c r="AA535" s="191">
        <f>101.09/H534*Y535</f>
        <v>190.17818485992547</v>
      </c>
      <c r="AB535" s="919"/>
      <c r="AC535" s="909"/>
      <c r="AD535" s="49" t="s">
        <v>98</v>
      </c>
      <c r="AE535" s="103">
        <v>-3.6999999999999998E-2</v>
      </c>
      <c r="AF535" s="33" t="s">
        <v>129</v>
      </c>
      <c r="AG535" s="34" t="s">
        <v>267</v>
      </c>
      <c r="AH535" s="168">
        <f>Y536</f>
        <v>535.10399999999993</v>
      </c>
      <c r="AI535" s="937">
        <v>559</v>
      </c>
      <c r="AJ535" s="937">
        <v>559</v>
      </c>
      <c r="AK535" s="937">
        <v>617</v>
      </c>
      <c r="AL535" s="937">
        <v>559</v>
      </c>
      <c r="AM535" s="937"/>
      <c r="AN535" s="937"/>
      <c r="AO535" s="937"/>
      <c r="AP535" s="1010"/>
      <c r="AQ535" s="1011"/>
      <c r="AR535" s="1012"/>
      <c r="AS535" s="1012"/>
      <c r="AT535" s="1012"/>
      <c r="AU535" s="1012"/>
      <c r="AV535" s="1012"/>
      <c r="AW535" s="1012"/>
      <c r="AX535" s="1012"/>
      <c r="AY535" s="1012"/>
      <c r="AZ535" s="1012"/>
      <c r="BA535" s="1012"/>
      <c r="BB535" s="1012"/>
      <c r="BC535" s="1012"/>
      <c r="BD535" s="1012"/>
      <c r="BE535" s="1012"/>
      <c r="BF535" s="1012"/>
      <c r="BG535" s="1012"/>
    </row>
    <row r="536" spans="1:123">
      <c r="A536" s="2172"/>
      <c r="B536" s="2191" t="s">
        <v>259</v>
      </c>
      <c r="C536" s="2173" t="s">
        <v>11</v>
      </c>
      <c r="D536" s="291" t="s">
        <v>263</v>
      </c>
      <c r="E536" s="213">
        <v>22</v>
      </c>
      <c r="F536" s="78" t="s">
        <v>15</v>
      </c>
      <c r="G536" s="78" t="s">
        <v>15</v>
      </c>
      <c r="H536" s="58">
        <v>1139</v>
      </c>
      <c r="I536" s="99">
        <v>122</v>
      </c>
      <c r="J536" s="101" t="s">
        <v>15</v>
      </c>
      <c r="K536" s="70" t="s">
        <v>15</v>
      </c>
      <c r="L536" s="101" t="s">
        <v>15</v>
      </c>
      <c r="M536" s="70" t="s">
        <v>15</v>
      </c>
      <c r="N536" s="1202">
        <v>570.21</v>
      </c>
      <c r="O536" s="469">
        <v>6.74</v>
      </c>
      <c r="P536" s="469">
        <v>84.59</v>
      </c>
      <c r="Q536" s="548">
        <f>E536/25</f>
        <v>0.88</v>
      </c>
      <c r="R536" s="2176">
        <f>SUMPRODUCT(N536:N537,Q536:Q537)</f>
        <v>501.78480000000002</v>
      </c>
      <c r="S536" s="127" t="s">
        <v>72</v>
      </c>
      <c r="T536" s="119" t="s">
        <v>119</v>
      </c>
      <c r="U536" s="855"/>
      <c r="V536" s="2282"/>
      <c r="W536" s="982" t="s">
        <v>49</v>
      </c>
      <c r="X536" s="34" t="s">
        <v>267</v>
      </c>
      <c r="Y536" s="168">
        <f>(($R$534*1600)+($R$535*1)+($R$536*0)+$T$541)*(1+$T$543)</f>
        <v>535.10399999999993</v>
      </c>
      <c r="Z536" s="159">
        <f>Y536</f>
        <v>535.10399999999993</v>
      </c>
      <c r="AA536" s="191">
        <f>101.09/H534*Y536</f>
        <v>81.299842731754225</v>
      </c>
      <c r="AB536" s="919"/>
      <c r="AC536" s="909"/>
      <c r="AD536" s="49" t="s">
        <v>143</v>
      </c>
      <c r="AE536" s="103">
        <v>5.1999999999999998E-2</v>
      </c>
      <c r="AF536" s="33" t="s">
        <v>129</v>
      </c>
      <c r="AG536" s="34" t="s">
        <v>268</v>
      </c>
      <c r="AH536" s="168">
        <f t="shared" ref="AH536:AH538" si="0">Y537</f>
        <v>649.58400000000006</v>
      </c>
      <c r="AI536" s="937">
        <v>649</v>
      </c>
      <c r="AJ536" s="937">
        <v>649</v>
      </c>
      <c r="AK536" s="937">
        <v>671</v>
      </c>
      <c r="AL536" s="937">
        <v>649</v>
      </c>
      <c r="AM536" s="937"/>
      <c r="AN536" s="937"/>
      <c r="AO536" s="937"/>
      <c r="AP536" s="1010"/>
      <c r="AQ536" s="1011"/>
      <c r="AR536" s="1012"/>
      <c r="AS536" s="1012"/>
      <c r="AT536" s="1012"/>
      <c r="AU536" s="1012"/>
      <c r="AV536" s="1012"/>
      <c r="AW536" s="1012"/>
      <c r="AX536" s="1012"/>
      <c r="AY536" s="1012"/>
      <c r="AZ536" s="1012"/>
      <c r="BA536" s="1012"/>
      <c r="BB536" s="1012"/>
      <c r="BC536" s="1012"/>
      <c r="BD536" s="1012"/>
      <c r="BE536" s="1012"/>
      <c r="BF536" s="1012"/>
      <c r="BG536" s="1012"/>
    </row>
    <row r="537" spans="1:123">
      <c r="A537" s="2172"/>
      <c r="B537" s="2222"/>
      <c r="C537" s="2175"/>
      <c r="D537" s="19" t="s">
        <v>264</v>
      </c>
      <c r="E537" s="213">
        <v>3</v>
      </c>
      <c r="F537" s="78" t="s">
        <v>15</v>
      </c>
      <c r="G537" s="78" t="s">
        <v>15</v>
      </c>
      <c r="H537" s="58">
        <v>600.77</v>
      </c>
      <c r="I537" s="99">
        <v>22.01</v>
      </c>
      <c r="J537" s="101" t="s">
        <v>15</v>
      </c>
      <c r="K537" s="70" t="s">
        <v>15</v>
      </c>
      <c r="L537" s="101" t="s">
        <v>15</v>
      </c>
      <c r="M537" s="70" t="s">
        <v>15</v>
      </c>
      <c r="N537" s="1203">
        <v>0</v>
      </c>
      <c r="O537" s="470" t="s">
        <v>204</v>
      </c>
      <c r="P537" s="470" t="s">
        <v>204</v>
      </c>
      <c r="Q537" s="548">
        <f>E537/25</f>
        <v>0.12</v>
      </c>
      <c r="R537" s="2154"/>
      <c r="S537" s="423" t="s">
        <v>139</v>
      </c>
      <c r="T537" s="411" t="s">
        <v>140</v>
      </c>
      <c r="U537" s="859"/>
      <c r="V537" s="2282"/>
      <c r="W537" s="19" t="s">
        <v>49</v>
      </c>
      <c r="X537" s="34" t="s">
        <v>268</v>
      </c>
      <c r="Y537" s="168">
        <f>(($R$534*2500)+($R$535*1)+($R$536*0)+$T$541)*(1+$T$543)</f>
        <v>649.58400000000006</v>
      </c>
      <c r="Z537" s="159">
        <f>Y537</f>
        <v>649.58400000000006</v>
      </c>
      <c r="AA537" s="191">
        <f>101.09/H534*Y537</f>
        <v>98.693108332331377</v>
      </c>
      <c r="AB537" s="919"/>
      <c r="AC537" s="909"/>
      <c r="AD537" s="49" t="s">
        <v>144</v>
      </c>
      <c r="AE537" s="103">
        <v>-9.5000000000000001E-2</v>
      </c>
      <c r="AF537" s="33" t="s">
        <v>129</v>
      </c>
      <c r="AG537" s="34" t="s">
        <v>269</v>
      </c>
      <c r="AH537" s="168">
        <f t="shared" si="0"/>
        <v>903.98400000000004</v>
      </c>
      <c r="AI537" s="937"/>
      <c r="AJ537" s="937">
        <v>999</v>
      </c>
      <c r="AK537" s="937"/>
      <c r="AL537" s="937">
        <v>999</v>
      </c>
      <c r="AM537" s="937">
        <v>999</v>
      </c>
      <c r="AN537" s="937"/>
      <c r="AO537" s="937"/>
      <c r="AP537" s="1010"/>
      <c r="AQ537" s="1011"/>
      <c r="AR537" s="1012"/>
      <c r="AS537" s="1012"/>
      <c r="AT537" s="1012"/>
      <c r="AU537" s="1012"/>
      <c r="AV537" s="1012"/>
      <c r="AW537" s="1012"/>
      <c r="AX537" s="1012"/>
      <c r="AY537" s="1012"/>
      <c r="AZ537" s="1012"/>
      <c r="BA537" s="1012"/>
      <c r="BB537" s="1012"/>
      <c r="BC537" s="1012"/>
      <c r="BD537" s="1012"/>
      <c r="BE537" s="1012"/>
      <c r="BF537" s="1012"/>
      <c r="BG537" s="1012"/>
    </row>
    <row r="538" spans="1:123">
      <c r="A538" s="2172"/>
      <c r="B538" s="2116" t="s">
        <v>194</v>
      </c>
      <c r="C538" s="39"/>
      <c r="D538" s="27"/>
      <c r="E538" s="27"/>
      <c r="F538" s="27"/>
      <c r="G538" s="27"/>
      <c r="H538" s="27"/>
      <c r="I538" s="27"/>
      <c r="J538" s="102"/>
      <c r="K538" s="27"/>
      <c r="L538" s="102"/>
      <c r="M538" s="27"/>
      <c r="N538" s="1204"/>
      <c r="O538" s="471"/>
      <c r="P538" s="471"/>
      <c r="Q538" s="253"/>
      <c r="R538" s="253"/>
      <c r="S538" s="127" t="s">
        <v>74</v>
      </c>
      <c r="T538" s="129" t="s">
        <v>75</v>
      </c>
      <c r="U538" s="858"/>
      <c r="V538" s="2282"/>
      <c r="W538" s="982" t="s">
        <v>49</v>
      </c>
      <c r="X538" s="34" t="s">
        <v>269</v>
      </c>
      <c r="Y538" s="168">
        <f>(($R$534*4500)+($R$535*1)+($R$536*0)+$T$541)*(1+$T$543)</f>
        <v>903.98400000000004</v>
      </c>
      <c r="Z538" s="159">
        <f>Y538</f>
        <v>903.98400000000004</v>
      </c>
      <c r="AA538" s="191">
        <f>101.09/H534*Y538</f>
        <v>137.34480966694721</v>
      </c>
      <c r="AB538" s="919"/>
      <c r="AC538" s="909"/>
      <c r="AD538" s="50" t="s">
        <v>145</v>
      </c>
      <c r="AE538" s="193">
        <v>3.5999999999999997E-2</v>
      </c>
      <c r="AF538" s="56" t="s">
        <v>129</v>
      </c>
      <c r="AG538" s="36" t="s">
        <v>270</v>
      </c>
      <c r="AH538" s="168">
        <f t="shared" si="0"/>
        <v>620.19600000000003</v>
      </c>
      <c r="AI538" s="937">
        <v>686</v>
      </c>
      <c r="AJ538" s="937">
        <v>579</v>
      </c>
      <c r="AK538" s="937">
        <v>550</v>
      </c>
      <c r="AL538" s="937"/>
      <c r="AM538" s="937"/>
      <c r="AN538" s="937">
        <v>579</v>
      </c>
      <c r="AO538" s="937"/>
      <c r="AP538" s="1010"/>
      <c r="AQ538" s="1011"/>
      <c r="AR538" s="1012"/>
      <c r="AS538" s="1012"/>
      <c r="AT538" s="1012"/>
      <c r="AU538" s="1012"/>
      <c r="AV538" s="1012"/>
      <c r="AW538" s="1012"/>
      <c r="AX538" s="1012"/>
      <c r="AY538" s="1012"/>
      <c r="AZ538" s="1012"/>
      <c r="BA538" s="1012"/>
      <c r="BB538" s="1012"/>
      <c r="BC538" s="1012"/>
      <c r="BD538" s="1012"/>
      <c r="BE538" s="1012"/>
      <c r="BF538" s="1012"/>
      <c r="BG538" s="1012"/>
    </row>
    <row r="539" spans="1:123">
      <c r="A539" s="2172"/>
      <c r="B539" s="2117"/>
      <c r="C539" s="41"/>
      <c r="D539" s="26"/>
      <c r="E539" s="26"/>
      <c r="F539" s="26"/>
      <c r="G539" s="26"/>
      <c r="H539" s="26"/>
      <c r="I539" s="26"/>
      <c r="J539" s="75"/>
      <c r="K539" s="26"/>
      <c r="L539" s="75"/>
      <c r="M539" s="26"/>
      <c r="N539" s="1205"/>
      <c r="O539" s="467"/>
      <c r="P539" s="467"/>
      <c r="Q539" s="252"/>
      <c r="R539" s="252"/>
      <c r="S539" s="95">
        <v>25</v>
      </c>
      <c r="T539" s="117" t="s">
        <v>15</v>
      </c>
      <c r="U539" s="854"/>
      <c r="V539" s="2282"/>
      <c r="W539" s="19" t="s">
        <v>49</v>
      </c>
      <c r="X539" s="36" t="s">
        <v>270</v>
      </c>
      <c r="Y539" s="168">
        <f>(($R$534*1150)+($R$535*2)+($R$536*0)+$T$541)*(1+$T$543)</f>
        <v>620.19600000000003</v>
      </c>
      <c r="Z539" s="159">
        <f>Y539</f>
        <v>620.19600000000003</v>
      </c>
      <c r="AA539" s="192">
        <f>101.09/H534*Y539</f>
        <v>94.228107550799564</v>
      </c>
      <c r="AB539" s="919"/>
      <c r="AC539" s="26"/>
      <c r="AD539" s="22"/>
      <c r="AE539" s="27"/>
      <c r="AF539" s="102"/>
      <c r="AG539" s="27"/>
      <c r="AH539" s="1013"/>
      <c r="AI539" s="1013"/>
      <c r="AJ539" s="1013"/>
      <c r="AK539" s="1013"/>
      <c r="AL539" s="1013"/>
      <c r="AM539" s="1013"/>
      <c r="AN539" s="1013"/>
      <c r="AO539" s="1013"/>
      <c r="AP539" s="1013"/>
      <c r="AQ539" s="957"/>
      <c r="AR539" s="957"/>
      <c r="AS539" s="957"/>
      <c r="AT539" s="957"/>
      <c r="AU539" s="957"/>
      <c r="AV539" s="957"/>
      <c r="AW539" s="957"/>
      <c r="AX539" s="957"/>
      <c r="AY539" s="957"/>
      <c r="AZ539" s="957"/>
      <c r="BA539" s="957"/>
      <c r="BB539" s="957"/>
      <c r="BC539" s="957"/>
      <c r="BD539" s="957"/>
      <c r="BE539" s="957"/>
      <c r="BF539" s="957"/>
      <c r="BG539" s="957"/>
    </row>
    <row r="540" spans="1:123" ht="15" customHeight="1">
      <c r="A540" s="2172"/>
      <c r="B540" s="2117"/>
      <c r="C540" s="41"/>
      <c r="D540" s="26"/>
      <c r="E540" s="26"/>
      <c r="F540" s="26"/>
      <c r="G540" s="26"/>
      <c r="H540" s="26"/>
      <c r="I540" s="26"/>
      <c r="J540" s="75"/>
      <c r="K540" s="26"/>
      <c r="L540" s="75"/>
      <c r="M540" s="26"/>
      <c r="N540" s="1205"/>
      <c r="O540" s="467"/>
      <c r="P540" s="467"/>
      <c r="Q540" s="252"/>
      <c r="R540" s="252"/>
      <c r="S540" s="127" t="s">
        <v>41</v>
      </c>
      <c r="T540" s="129" t="s">
        <v>42</v>
      </c>
      <c r="U540" s="858"/>
      <c r="V540" s="895"/>
      <c r="W540" s="27"/>
      <c r="X540" s="27"/>
      <c r="Y540" s="39"/>
      <c r="Z540" s="39"/>
      <c r="AA540" s="39"/>
      <c r="AB540" s="846"/>
      <c r="AC540" s="26"/>
      <c r="AD540" s="24"/>
      <c r="AE540" s="26"/>
      <c r="AF540" s="75"/>
      <c r="AG540" s="26"/>
      <c r="AH540" s="957"/>
      <c r="AI540" s="957"/>
      <c r="AJ540" s="957"/>
      <c r="AK540" s="957"/>
      <c r="AL540" s="957"/>
      <c r="AM540" s="957"/>
      <c r="AN540" s="957"/>
      <c r="AO540" s="957"/>
      <c r="AP540" s="957"/>
      <c r="AQ540" s="957"/>
      <c r="AR540" s="957"/>
      <c r="AS540" s="957"/>
      <c r="AT540" s="957"/>
      <c r="AU540" s="957"/>
      <c r="AV540" s="957"/>
      <c r="AW540" s="957"/>
      <c r="AX540" s="957"/>
      <c r="AY540" s="957"/>
      <c r="AZ540" s="957"/>
      <c r="BA540" s="957"/>
      <c r="BB540" s="957"/>
      <c r="BC540" s="957"/>
      <c r="BD540" s="957"/>
      <c r="BE540" s="957"/>
      <c r="BF540" s="957"/>
      <c r="BG540" s="957"/>
    </row>
    <row r="541" spans="1:123">
      <c r="A541" s="2172"/>
      <c r="B541" s="2117"/>
      <c r="C541" s="41"/>
      <c r="D541" s="26"/>
      <c r="E541" s="26"/>
      <c r="F541" s="26"/>
      <c r="G541" s="26"/>
      <c r="H541" s="26"/>
      <c r="I541" s="26"/>
      <c r="J541" s="75"/>
      <c r="K541" s="26"/>
      <c r="L541" s="75"/>
      <c r="M541" s="26"/>
      <c r="N541" s="1205"/>
      <c r="O541" s="467"/>
      <c r="P541" s="467"/>
      <c r="Q541" s="252"/>
      <c r="R541" s="252"/>
      <c r="S541" s="452">
        <v>0.78900000000000003</v>
      </c>
      <c r="T541" s="117">
        <v>157.71</v>
      </c>
      <c r="U541" s="854"/>
      <c r="V541" s="24"/>
      <c r="W541" s="26"/>
      <c r="X541" s="26"/>
      <c r="Y541" s="41"/>
      <c r="Z541" s="41"/>
      <c r="AA541" s="41"/>
      <c r="AB541" s="846"/>
      <c r="AC541" s="26"/>
      <c r="AD541" s="24"/>
      <c r="AE541" s="26"/>
      <c r="AF541" s="75"/>
      <c r="AG541" s="26"/>
      <c r="AH541" s="957"/>
      <c r="AI541" s="957"/>
      <c r="AJ541" s="957"/>
      <c r="AK541" s="957"/>
      <c r="AL541" s="957"/>
      <c r="AM541" s="957"/>
      <c r="AN541" s="957"/>
      <c r="AO541" s="957"/>
      <c r="AP541" s="957"/>
      <c r="AQ541" s="957"/>
      <c r="AR541" s="957"/>
      <c r="AS541" s="957"/>
      <c r="AT541" s="957"/>
      <c r="AU541" s="957"/>
      <c r="AV541" s="957"/>
      <c r="AW541" s="957"/>
      <c r="AX541" s="957"/>
      <c r="AY541" s="957"/>
      <c r="AZ541" s="957"/>
      <c r="BA541" s="957"/>
      <c r="BB541" s="957"/>
      <c r="BC541" s="957"/>
      <c r="BD541" s="957"/>
      <c r="BE541" s="957"/>
      <c r="BF541" s="957"/>
      <c r="BG541" s="957"/>
    </row>
    <row r="542" spans="1:123">
      <c r="A542" s="2172"/>
      <c r="B542" s="2117"/>
      <c r="C542" s="41"/>
      <c r="D542" s="26"/>
      <c r="E542" s="26"/>
      <c r="F542" s="26"/>
      <c r="G542" s="26"/>
      <c r="H542" s="26"/>
      <c r="I542" s="26"/>
      <c r="J542" s="75"/>
      <c r="K542" s="26"/>
      <c r="L542" s="75"/>
      <c r="M542" s="26"/>
      <c r="N542" s="1205"/>
      <c r="O542" s="467"/>
      <c r="P542" s="467"/>
      <c r="Q542" s="252"/>
      <c r="R542" s="252"/>
      <c r="S542" s="127" t="s">
        <v>235</v>
      </c>
      <c r="T542" s="119" t="s">
        <v>391</v>
      </c>
      <c r="U542" s="855"/>
      <c r="V542" s="24"/>
      <c r="W542" s="26"/>
      <c r="X542" s="26"/>
      <c r="Y542" s="41"/>
      <c r="Z542" s="41"/>
      <c r="AA542" s="41"/>
      <c r="AB542" s="846"/>
      <c r="AC542" s="26"/>
      <c r="AD542" s="24"/>
      <c r="AE542" s="26"/>
      <c r="AF542" s="75"/>
      <c r="AG542" s="26"/>
      <c r="AH542" s="957"/>
      <c r="AI542" s="957"/>
      <c r="AJ542" s="957"/>
      <c r="AK542" s="957"/>
      <c r="AL542" s="957"/>
      <c r="AM542" s="957"/>
      <c r="AN542" s="957"/>
      <c r="AO542" s="957"/>
      <c r="AP542" s="957"/>
      <c r="AQ542" s="957"/>
      <c r="AR542" s="957"/>
      <c r="AS542" s="957"/>
      <c r="AT542" s="957"/>
      <c r="AU542" s="957"/>
      <c r="AV542" s="957"/>
      <c r="AW542" s="957"/>
      <c r="AX542" s="957"/>
      <c r="AY542" s="957"/>
      <c r="AZ542" s="957"/>
      <c r="BA542" s="957"/>
      <c r="BB542" s="957"/>
      <c r="BC542" s="957"/>
      <c r="BD542" s="957"/>
      <c r="BE542" s="957"/>
      <c r="BF542" s="957"/>
      <c r="BG542" s="957"/>
    </row>
    <row r="543" spans="1:123" ht="15.75" thickBot="1">
      <c r="A543" s="2188"/>
      <c r="B543" s="2118"/>
      <c r="C543" s="41"/>
      <c r="D543" s="26"/>
      <c r="E543" s="26"/>
      <c r="F543" s="26"/>
      <c r="G543" s="26"/>
      <c r="H543" s="26"/>
      <c r="I543" s="26"/>
      <c r="J543" s="75"/>
      <c r="K543" s="26"/>
      <c r="L543" s="75"/>
      <c r="M543" s="26"/>
      <c r="N543" s="1205"/>
      <c r="O543" s="467"/>
      <c r="P543" s="467"/>
      <c r="Q543" s="252"/>
      <c r="R543" s="252"/>
      <c r="S543" s="190">
        <v>101.09</v>
      </c>
      <c r="T543" s="151">
        <v>0.2</v>
      </c>
      <c r="U543" s="862"/>
      <c r="V543" s="896"/>
      <c r="W543" s="184"/>
      <c r="X543" s="184"/>
      <c r="Y543" s="175"/>
      <c r="Z543" s="175"/>
      <c r="AA543" s="813"/>
      <c r="AB543" s="846"/>
      <c r="AC543" s="26"/>
      <c r="AD543" s="24"/>
      <c r="AE543" s="26"/>
      <c r="AF543" s="75"/>
      <c r="AG543" s="26"/>
      <c r="AH543" s="957"/>
      <c r="AI543" s="957"/>
      <c r="AJ543" s="957"/>
      <c r="AK543" s="957"/>
      <c r="AL543" s="957"/>
      <c r="AM543" s="957"/>
      <c r="AN543" s="957"/>
      <c r="AO543" s="957"/>
      <c r="AP543" s="957"/>
      <c r="AQ543" s="957"/>
      <c r="AR543" s="957"/>
      <c r="AS543" s="957"/>
      <c r="AT543" s="957"/>
      <c r="AU543" s="957"/>
      <c r="AV543" s="957"/>
      <c r="AW543" s="957"/>
      <c r="AX543" s="957"/>
      <c r="AY543" s="957"/>
      <c r="AZ543" s="957"/>
      <c r="BA543" s="957"/>
      <c r="BB543" s="957"/>
      <c r="BC543" s="957"/>
      <c r="BD543" s="957"/>
      <c r="BE543" s="957"/>
      <c r="BF543" s="957"/>
      <c r="BG543" s="957"/>
    </row>
    <row r="544" spans="1:123" s="705" customFormat="1" ht="9" customHeight="1" thickBot="1">
      <c r="A544" s="695"/>
      <c r="B544" s="815"/>
      <c r="C544" s="684"/>
      <c r="D544" s="683"/>
      <c r="E544" s="683"/>
      <c r="F544" s="683"/>
      <c r="G544" s="683"/>
      <c r="H544" s="683"/>
      <c r="I544" s="683"/>
      <c r="J544" s="682"/>
      <c r="K544" s="683"/>
      <c r="L544" s="682"/>
      <c r="M544" s="685"/>
      <c r="N544" s="1189"/>
      <c r="O544" s="686"/>
      <c r="P544" s="686"/>
      <c r="Q544" s="687"/>
      <c r="R544" s="687"/>
      <c r="S544" s="688"/>
      <c r="T544" s="688"/>
      <c r="U544" s="854"/>
      <c r="V544" s="893"/>
      <c r="W544" s="685"/>
      <c r="X544" s="685"/>
      <c r="Y544" s="688"/>
      <c r="Z544" s="688"/>
      <c r="AA544" s="688"/>
      <c r="AB544" s="846"/>
      <c r="AC544" s="685"/>
      <c r="AD544" s="685"/>
      <c r="AE544" s="685"/>
      <c r="AF544" s="689"/>
      <c r="AG544" s="685"/>
      <c r="AH544" s="959"/>
      <c r="AI544" s="959"/>
      <c r="AJ544" s="959"/>
      <c r="AK544" s="959"/>
      <c r="AL544" s="959"/>
      <c r="AM544" s="959"/>
      <c r="AN544" s="959"/>
      <c r="AO544" s="959"/>
      <c r="AP544" s="959"/>
      <c r="AQ544" s="959"/>
      <c r="AR544" s="959"/>
      <c r="AS544" s="959"/>
      <c r="AT544" s="959"/>
      <c r="AU544" s="959"/>
      <c r="AV544" s="959"/>
      <c r="AW544" s="959"/>
      <c r="AX544" s="959"/>
      <c r="AY544" s="959"/>
      <c r="AZ544" s="959"/>
      <c r="BA544" s="959"/>
      <c r="BB544" s="959"/>
      <c r="BC544" s="959"/>
      <c r="BD544" s="959"/>
      <c r="BE544" s="959"/>
      <c r="BF544" s="959"/>
      <c r="BG544" s="959"/>
      <c r="BH544" s="1125" t="s">
        <v>321</v>
      </c>
      <c r="CF544" s="692"/>
      <c r="CG544" s="692"/>
      <c r="CH544" s="692"/>
      <c r="CI544" s="692"/>
      <c r="CJ544" s="692"/>
      <c r="CK544" s="692"/>
      <c r="CL544" s="692"/>
      <c r="CM544" s="692"/>
      <c r="CN544" s="692"/>
      <c r="CO544" s="692"/>
      <c r="CP544" s="692"/>
      <c r="CQ544" s="692"/>
      <c r="CR544" s="692"/>
      <c r="CS544" s="692"/>
      <c r="CT544" s="692"/>
      <c r="CU544" s="692"/>
      <c r="CV544" s="692"/>
      <c r="CW544" s="692"/>
      <c r="CX544" s="692"/>
      <c r="CY544" s="692"/>
      <c r="CZ544" s="692"/>
      <c r="DA544" s="692"/>
      <c r="DB544" s="692"/>
      <c r="DC544" s="692"/>
      <c r="DD544" s="692"/>
      <c r="DE544" s="692"/>
      <c r="DF544" s="692"/>
      <c r="DG544" s="692"/>
      <c r="DH544" s="692"/>
      <c r="DI544" s="693"/>
      <c r="DJ544" s="692"/>
      <c r="DK544" s="692"/>
      <c r="DL544" s="692"/>
      <c r="DM544" s="692"/>
      <c r="DN544" s="692"/>
      <c r="DO544" s="692"/>
      <c r="DP544" s="692"/>
      <c r="DQ544" s="692"/>
      <c r="DR544" s="692"/>
      <c r="DS544" s="692"/>
    </row>
    <row r="545" spans="1:123" ht="15" customHeight="1">
      <c r="A545" s="2200" t="s">
        <v>1132</v>
      </c>
      <c r="B545" s="817" t="s">
        <v>300</v>
      </c>
      <c r="C545" s="356" t="s">
        <v>12</v>
      </c>
      <c r="D545" s="86" t="s">
        <v>306</v>
      </c>
      <c r="E545" s="213">
        <v>176</v>
      </c>
      <c r="F545" s="91">
        <v>0.86875000000000002</v>
      </c>
      <c r="G545" s="91">
        <v>7.2700000000000001E-2</v>
      </c>
      <c r="H545" s="58">
        <v>762.13070000000005</v>
      </c>
      <c r="I545" s="99">
        <v>283.38639999999998</v>
      </c>
      <c r="J545" s="289" t="s">
        <v>12</v>
      </c>
      <c r="K545" s="15" t="s">
        <v>309</v>
      </c>
      <c r="L545" s="101" t="s">
        <v>15</v>
      </c>
      <c r="M545" s="70" t="s">
        <v>15</v>
      </c>
      <c r="N545" s="1194">
        <v>2056.064108</v>
      </c>
      <c r="O545" s="142">
        <v>13.74</v>
      </c>
      <c r="P545" s="142">
        <v>149.63524200000001</v>
      </c>
      <c r="Q545" s="195" t="s">
        <v>15</v>
      </c>
      <c r="R545" s="128">
        <f>N545</f>
        <v>2056.064108</v>
      </c>
      <c r="S545" s="149" t="s">
        <v>68</v>
      </c>
      <c r="T545" s="150" t="s">
        <v>69</v>
      </c>
      <c r="U545" s="858"/>
      <c r="V545" s="2162" t="s">
        <v>2749</v>
      </c>
      <c r="W545" s="452" t="s">
        <v>47</v>
      </c>
      <c r="X545" s="34" t="s">
        <v>352</v>
      </c>
      <c r="Y545" s="159">
        <f>((60000*$R$546)+(0.78*$R$545)+$N$548+$T$552+$R$549)*(1+$T$554)</f>
        <v>586.23208939680001</v>
      </c>
      <c r="Z545" s="2300">
        <f>Y546-Y545</f>
        <v>81.420138676800093</v>
      </c>
      <c r="AA545" s="2323">
        <f>(0.81-0.78)*$P$545</f>
        <v>4.4890572600000045</v>
      </c>
      <c r="AB545" s="917"/>
      <c r="AC545" s="837"/>
      <c r="AD545" s="2157" t="s">
        <v>142</v>
      </c>
      <c r="AE545" s="2158"/>
      <c r="AF545" s="617" t="s">
        <v>47</v>
      </c>
      <c r="AG545" s="34" t="s">
        <v>311</v>
      </c>
      <c r="AH545" s="159">
        <f>((60000*$R$546)+(0.8*$R$545)+$N$548+$T$552+$R$549)*(1+$T$554)</f>
        <v>640.5121818480003</v>
      </c>
      <c r="AI545" s="168">
        <v>504.99</v>
      </c>
      <c r="AJ545" s="168">
        <v>505</v>
      </c>
      <c r="AK545" s="168"/>
      <c r="AL545" s="168"/>
      <c r="AM545" s="1014"/>
      <c r="AN545" s="168"/>
      <c r="AO545" s="168"/>
      <c r="AP545" s="168"/>
      <c r="AQ545" s="168"/>
      <c r="AR545" s="168"/>
      <c r="AS545" s="168"/>
      <c r="AT545" s="168"/>
      <c r="AU545" s="168">
        <v>511.79</v>
      </c>
      <c r="AV545" s="168"/>
      <c r="AW545" s="168"/>
      <c r="AX545" s="168"/>
      <c r="AY545" s="168"/>
      <c r="AZ545" s="168">
        <v>489.99</v>
      </c>
      <c r="BA545" s="168"/>
      <c r="BB545" s="168"/>
      <c r="BC545" s="168"/>
      <c r="BD545" s="168"/>
      <c r="BE545" s="168"/>
      <c r="BF545" s="168"/>
      <c r="BG545" s="1015"/>
      <c r="BH545" s="1297">
        <f t="shared" ref="BH545:BH554" si="1">AH545-AVERAGE(AI545:BG545)</f>
        <v>137.5696818480003</v>
      </c>
    </row>
    <row r="546" spans="1:123">
      <c r="A546" s="2172"/>
      <c r="B546" s="817" t="s">
        <v>1434</v>
      </c>
      <c r="C546" s="356" t="s">
        <v>12</v>
      </c>
      <c r="D546" s="86" t="s">
        <v>307</v>
      </c>
      <c r="E546" s="213">
        <v>176</v>
      </c>
      <c r="F546" s="91">
        <v>73738.070000000007</v>
      </c>
      <c r="G546" s="91">
        <v>23783.26</v>
      </c>
      <c r="H546" s="58">
        <v>762.13070000000005</v>
      </c>
      <c r="I546" s="99">
        <v>283.38639999999998</v>
      </c>
      <c r="J546" s="289" t="s">
        <v>12</v>
      </c>
      <c r="K546" s="15" t="s">
        <v>78</v>
      </c>
      <c r="L546" s="101" t="s">
        <v>15</v>
      </c>
      <c r="M546" s="70" t="s">
        <v>15</v>
      </c>
      <c r="N546" s="1206">
        <v>3.2469999999999999E-3</v>
      </c>
      <c r="O546" s="142">
        <v>6.88</v>
      </c>
      <c r="P546" s="142">
        <v>4.7189999999999998E-4</v>
      </c>
      <c r="Q546" s="195" t="s">
        <v>15</v>
      </c>
      <c r="R546" s="128">
        <f>N546</f>
        <v>3.2469999999999999E-3</v>
      </c>
      <c r="S546" s="452" t="s">
        <v>159</v>
      </c>
      <c r="T546" s="272" t="s">
        <v>132</v>
      </c>
      <c r="U546" s="869"/>
      <c r="V546" s="2163"/>
      <c r="W546" s="452" t="s">
        <v>49</v>
      </c>
      <c r="X546" s="34" t="s">
        <v>353</v>
      </c>
      <c r="Y546" s="159">
        <f>((60000*$R$546)+(0.81*$R$545)+$N$548+$T$552+$R$549)*(1+$T$554)</f>
        <v>667.6522280736001</v>
      </c>
      <c r="Z546" s="2301"/>
      <c r="AA546" s="2298"/>
      <c r="AB546" s="917"/>
      <c r="AC546" s="909"/>
      <c r="AD546" s="49" t="s">
        <v>98</v>
      </c>
      <c r="AE546" s="278">
        <v>-0.23406723526865045</v>
      </c>
      <c r="AF546" s="109" t="s">
        <v>49</v>
      </c>
      <c r="AG546" s="34" t="s">
        <v>312</v>
      </c>
      <c r="AH546" s="159">
        <f>((60000*$R$546)+(0.9*$R$545)+$N$548+$T$552+$R$549)*(1+$T$554)</f>
        <v>911.91264410400004</v>
      </c>
      <c r="AI546" s="168"/>
      <c r="AJ546" s="168"/>
      <c r="AK546" s="168"/>
      <c r="AL546" s="168"/>
      <c r="AM546" s="1016">
        <v>914</v>
      </c>
      <c r="AN546" s="168"/>
      <c r="AO546" s="168">
        <v>976</v>
      </c>
      <c r="AP546" s="168"/>
      <c r="AQ546" s="168"/>
      <c r="AR546" s="168"/>
      <c r="AS546" s="168">
        <v>715</v>
      </c>
      <c r="AT546" s="168"/>
      <c r="AU546" s="168"/>
      <c r="AV546" s="168"/>
      <c r="AW546" s="168"/>
      <c r="AX546" s="168"/>
      <c r="AY546" s="168"/>
      <c r="AZ546" s="168"/>
      <c r="BA546" s="168">
        <v>791</v>
      </c>
      <c r="BB546" s="168"/>
      <c r="BC546" s="168"/>
      <c r="BD546" s="168"/>
      <c r="BE546" s="168"/>
      <c r="BF546" s="168"/>
      <c r="BG546" s="1015"/>
      <c r="BH546" s="1297">
        <f t="shared" si="1"/>
        <v>62.912644104000037</v>
      </c>
    </row>
    <row r="547" spans="1:123" ht="15" customHeight="1">
      <c r="A547" s="2172"/>
      <c r="B547" s="2161" t="s">
        <v>301</v>
      </c>
      <c r="C547" s="2144" t="s">
        <v>13</v>
      </c>
      <c r="D547" s="86" t="s">
        <v>308</v>
      </c>
      <c r="E547" s="213">
        <v>50</v>
      </c>
      <c r="F547" s="78" t="s">
        <v>15</v>
      </c>
      <c r="G547" s="78" t="s">
        <v>15</v>
      </c>
      <c r="H547" s="58">
        <v>1062.7</v>
      </c>
      <c r="I547" s="99">
        <v>175.0341</v>
      </c>
      <c r="J547" s="2293" t="s">
        <v>15</v>
      </c>
      <c r="K547" s="2312" t="s">
        <v>15</v>
      </c>
      <c r="L547" s="101" t="s">
        <v>15</v>
      </c>
      <c r="M547" s="70" t="s">
        <v>15</v>
      </c>
      <c r="N547" s="1194">
        <v>319.964654</v>
      </c>
      <c r="O547" s="142">
        <v>11.83</v>
      </c>
      <c r="P547" s="142">
        <v>27.038250699999999</v>
      </c>
      <c r="Q547" s="128">
        <v>0.284090909</v>
      </c>
      <c r="R547" s="2324">
        <v>90.899049430000005</v>
      </c>
      <c r="S547" s="127" t="s">
        <v>72</v>
      </c>
      <c r="T547" s="119" t="s">
        <v>119</v>
      </c>
      <c r="U547" s="855"/>
      <c r="V547" s="2163"/>
      <c r="W547" s="452" t="s">
        <v>47</v>
      </c>
      <c r="X547" s="34" t="s">
        <v>354</v>
      </c>
      <c r="Y547" s="159">
        <f>((90000*$R$546)+(0.78*$R$545)+$N$548+$T$552+$R$549)*(1+$T$554)</f>
        <v>714.81328939680009</v>
      </c>
      <c r="Z547" s="2300">
        <f>Y548-Y547</f>
        <v>325.68055470720003</v>
      </c>
      <c r="AA547" s="2323">
        <f>(0.9-0.78)*$P$545</f>
        <v>17.95622904</v>
      </c>
      <c r="AB547" s="917"/>
      <c r="AC547" s="909"/>
      <c r="AD547" s="49" t="s">
        <v>143</v>
      </c>
      <c r="AE547" s="278">
        <v>4.3018307798705371E-2</v>
      </c>
      <c r="AF547" s="109" t="s">
        <v>47</v>
      </c>
      <c r="AG547" s="34" t="s">
        <v>313</v>
      </c>
      <c r="AH547" s="159">
        <f>((90000*$R$546)+(0.8*$R$545)+$N$548+$T$552+$R$549)*(1+$T$554)</f>
        <v>769.09338184800038</v>
      </c>
      <c r="AI547" s="168"/>
      <c r="AJ547" s="168"/>
      <c r="AK547" s="168">
        <v>726.18</v>
      </c>
      <c r="AL547" s="168"/>
      <c r="AM547" s="1016">
        <v>741</v>
      </c>
      <c r="AN547" s="168"/>
      <c r="AO547" s="168"/>
      <c r="AP547" s="168">
        <v>867</v>
      </c>
      <c r="AQ547" s="168"/>
      <c r="AR547" s="168"/>
      <c r="AS547" s="168"/>
      <c r="AT547" s="168"/>
      <c r="AU547" s="168"/>
      <c r="AV547" s="168"/>
      <c r="AW547" s="168"/>
      <c r="AX547" s="168"/>
      <c r="AY547" s="168"/>
      <c r="AZ547" s="168"/>
      <c r="BA547" s="168"/>
      <c r="BB547" s="168">
        <v>669</v>
      </c>
      <c r="BC547" s="168"/>
      <c r="BD547" s="168"/>
      <c r="BE547" s="168"/>
      <c r="BF547" s="168"/>
      <c r="BG547" s="1015"/>
      <c r="BH547" s="1297">
        <f t="shared" si="1"/>
        <v>18.298381848000417</v>
      </c>
    </row>
    <row r="548" spans="1:123">
      <c r="A548" s="2172"/>
      <c r="B548" s="2161"/>
      <c r="C548" s="2144"/>
      <c r="D548" s="86" t="s">
        <v>547</v>
      </c>
      <c r="E548" s="213">
        <v>126</v>
      </c>
      <c r="F548" s="78" t="s">
        <v>15</v>
      </c>
      <c r="G548" s="78" t="s">
        <v>15</v>
      </c>
      <c r="H548" s="58">
        <v>642.85709999999995</v>
      </c>
      <c r="I548" s="99">
        <v>223.48269999999999</v>
      </c>
      <c r="J548" s="2293"/>
      <c r="K548" s="2312"/>
      <c r="L548" s="101" t="s">
        <v>15</v>
      </c>
      <c r="M548" s="70" t="s">
        <v>15</v>
      </c>
      <c r="N548" s="1194">
        <v>0</v>
      </c>
      <c r="O548" s="146" t="s">
        <v>204</v>
      </c>
      <c r="P548" s="144" t="s">
        <v>204</v>
      </c>
      <c r="Q548" s="128">
        <v>0.715909091</v>
      </c>
      <c r="R548" s="2129"/>
      <c r="S548" s="423" t="s">
        <v>1433</v>
      </c>
      <c r="T548" s="411" t="s">
        <v>140</v>
      </c>
      <c r="U548" s="859"/>
      <c r="V548" s="2163"/>
      <c r="W548" s="452" t="s">
        <v>49</v>
      </c>
      <c r="X548" s="34" t="s">
        <v>355</v>
      </c>
      <c r="Y548" s="159">
        <f>((90000*$R$546)+(0.9*$R$545)+$N$548+$T$552+$R$549)*(1+$T$554)</f>
        <v>1040.4938441040001</v>
      </c>
      <c r="Z548" s="2301"/>
      <c r="AA548" s="2298"/>
      <c r="AB548" s="917"/>
      <c r="AC548" s="909"/>
      <c r="AD548" s="49" t="s">
        <v>144</v>
      </c>
      <c r="AE548" s="278">
        <v>-0.47711339736436298</v>
      </c>
      <c r="AF548" s="109" t="s">
        <v>49</v>
      </c>
      <c r="AG548" s="34" t="s">
        <v>314</v>
      </c>
      <c r="AH548" s="159">
        <f>((90000*$R$546)+(0.92*$R$545)+$N$548+$T$552+$R$549)*(1+$T$554)</f>
        <v>1094.7739365552004</v>
      </c>
      <c r="AI548" s="168"/>
      <c r="AJ548" s="168">
        <v>860</v>
      </c>
      <c r="AK548" s="168"/>
      <c r="AL548" s="168">
        <v>988.95</v>
      </c>
      <c r="AM548" s="1016"/>
      <c r="AN548" s="168">
        <v>925.68</v>
      </c>
      <c r="AO548" s="168"/>
      <c r="AP548" s="168"/>
      <c r="AQ548" s="168"/>
      <c r="AR548" s="168"/>
      <c r="AS548" s="168"/>
      <c r="AT548" s="168"/>
      <c r="AU548" s="168"/>
      <c r="AV548" s="168">
        <v>1079.99</v>
      </c>
      <c r="AW548" s="168"/>
      <c r="AX548" s="168"/>
      <c r="AY548" s="168"/>
      <c r="AZ548" s="168"/>
      <c r="BA548" s="168"/>
      <c r="BB548" s="168"/>
      <c r="BC548" s="168"/>
      <c r="BD548" s="168"/>
      <c r="BE548" s="168"/>
      <c r="BF548" s="168"/>
      <c r="BG548" s="1015"/>
      <c r="BH548" s="1297">
        <f t="shared" si="1"/>
        <v>131.11893655520043</v>
      </c>
    </row>
    <row r="549" spans="1:123">
      <c r="A549" s="2172"/>
      <c r="B549" s="2161" t="s">
        <v>125</v>
      </c>
      <c r="C549" s="2144" t="s">
        <v>13</v>
      </c>
      <c r="D549" s="86" t="s">
        <v>302</v>
      </c>
      <c r="E549" s="213">
        <v>26</v>
      </c>
      <c r="F549" s="78" t="s">
        <v>15</v>
      </c>
      <c r="G549" s="78" t="s">
        <v>15</v>
      </c>
      <c r="H549" s="58">
        <v>769.84619999999995</v>
      </c>
      <c r="I549" s="99">
        <v>298.6857</v>
      </c>
      <c r="J549" s="101" t="s">
        <v>15</v>
      </c>
      <c r="K549" s="70" t="s">
        <v>15</v>
      </c>
      <c r="L549" s="101" t="s">
        <v>15</v>
      </c>
      <c r="M549" s="70" t="s">
        <v>15</v>
      </c>
      <c r="N549" s="1194">
        <v>-12.283296999999999</v>
      </c>
      <c r="O549" s="142">
        <v>-0.36</v>
      </c>
      <c r="P549" s="142">
        <v>34.062633699999999</v>
      </c>
      <c r="Q549" s="143">
        <v>0</v>
      </c>
      <c r="R549" s="2329">
        <v>10.202227000000001</v>
      </c>
      <c r="S549" s="127" t="s">
        <v>74</v>
      </c>
      <c r="T549" s="129" t="s">
        <v>75</v>
      </c>
      <c r="U549" s="858"/>
      <c r="V549" s="2163"/>
      <c r="W549" s="452" t="s">
        <v>47</v>
      </c>
      <c r="X549" s="34" t="s">
        <v>356</v>
      </c>
      <c r="Y549" s="159">
        <f>((120000*$R$546)+(0.78*$R$545)+$N$548+$T$552+$R$549)*(1+$T$554)</f>
        <v>843.39448939680028</v>
      </c>
      <c r="Z549" s="2300">
        <f>Y550-Y549</f>
        <v>379.96064715839998</v>
      </c>
      <c r="AA549" s="2323">
        <f>(0.92-0.78)*$P$545</f>
        <v>20.948933880000002</v>
      </c>
      <c r="AB549" s="917"/>
      <c r="AC549" s="909"/>
      <c r="AD549" s="50" t="s">
        <v>145</v>
      </c>
      <c r="AE549" s="279">
        <v>-6.4677970145692668E-2</v>
      </c>
      <c r="AF549" s="109" t="s">
        <v>47</v>
      </c>
      <c r="AG549" s="34" t="s">
        <v>315</v>
      </c>
      <c r="AH549" s="159">
        <f>((120000*$R$546)+(0.8*$R$545)+$N$548+$T$552+$R$549)*(1+$T$554)</f>
        <v>897.67458184800046</v>
      </c>
      <c r="AI549" s="168">
        <v>774.99</v>
      </c>
      <c r="AJ549" s="168">
        <v>752</v>
      </c>
      <c r="AK549" s="168">
        <v>818.3</v>
      </c>
      <c r="AL549" s="168"/>
      <c r="AM549" s="1016"/>
      <c r="AN549" s="168"/>
      <c r="AO549" s="168"/>
      <c r="AP549" s="168"/>
      <c r="AQ549" s="168"/>
      <c r="AR549" s="168"/>
      <c r="AS549" s="168"/>
      <c r="AT549" s="168"/>
      <c r="AU549" s="168"/>
      <c r="AV549" s="168"/>
      <c r="AW549" s="168"/>
      <c r="AX549" s="168"/>
      <c r="AY549" s="168"/>
      <c r="AZ549" s="168"/>
      <c r="BA549" s="168"/>
      <c r="BB549" s="168"/>
      <c r="BC549" s="168">
        <v>836</v>
      </c>
      <c r="BD549" s="168"/>
      <c r="BE549" s="168"/>
      <c r="BF549" s="168"/>
      <c r="BG549" s="1015"/>
      <c r="BH549" s="1297">
        <f t="shared" si="1"/>
        <v>102.35208184800047</v>
      </c>
    </row>
    <row r="550" spans="1:123">
      <c r="A550" s="2172"/>
      <c r="B550" s="2161"/>
      <c r="C550" s="2144"/>
      <c r="D550" s="86" t="s">
        <v>303</v>
      </c>
      <c r="E550" s="213">
        <v>6</v>
      </c>
      <c r="F550" s="78" t="s">
        <v>15</v>
      </c>
      <c r="G550" s="78" t="s">
        <v>15</v>
      </c>
      <c r="H550" s="58">
        <v>676.16669999999999</v>
      </c>
      <c r="I550" s="99">
        <v>244.2944</v>
      </c>
      <c r="J550" s="101" t="s">
        <v>15</v>
      </c>
      <c r="K550" s="70" t="s">
        <v>15</v>
      </c>
      <c r="L550" s="101" t="s">
        <v>15</v>
      </c>
      <c r="M550" s="70" t="s">
        <v>15</v>
      </c>
      <c r="N550" s="1194">
        <v>-171.264025</v>
      </c>
      <c r="O550" s="142">
        <v>-2.92</v>
      </c>
      <c r="P550" s="142">
        <v>58.705394200000001</v>
      </c>
      <c r="Q550" s="143">
        <v>1.46E-2</v>
      </c>
      <c r="R550" s="2329"/>
      <c r="S550" s="95">
        <v>176</v>
      </c>
      <c r="T550" s="117" t="s">
        <v>15</v>
      </c>
      <c r="U550" s="854"/>
      <c r="V550" s="2163"/>
      <c r="W550" s="452" t="s">
        <v>49</v>
      </c>
      <c r="X550" s="34" t="s">
        <v>357</v>
      </c>
      <c r="Y550" s="159">
        <f>((120000*$R$546)+(0.92*$R$545)+$N$548+$T$552+$R$549)*(1+$T$554)</f>
        <v>1223.3551365552003</v>
      </c>
      <c r="Z550" s="2301"/>
      <c r="AA550" s="2298"/>
      <c r="AB550" s="917"/>
      <c r="AC550" s="26"/>
      <c r="AD550" s="22"/>
      <c r="AE550" s="27"/>
      <c r="AF550" s="109" t="s">
        <v>49</v>
      </c>
      <c r="AG550" s="34" t="s">
        <v>316</v>
      </c>
      <c r="AH550" s="159">
        <f>((120000*$R$546)+(0.93*$R$545)+$N$548+$T$552+$R$549)*(1+$T$554)</f>
        <v>1250.4951827808004</v>
      </c>
      <c r="AI550" s="168"/>
      <c r="AJ550" s="168"/>
      <c r="AK550" s="168">
        <v>1671.67</v>
      </c>
      <c r="AL550" s="168"/>
      <c r="AM550" s="1016"/>
      <c r="AN550" s="168"/>
      <c r="AO550" s="168"/>
      <c r="AP550" s="168"/>
      <c r="AQ550" s="168">
        <v>1502.55</v>
      </c>
      <c r="AR550" s="168"/>
      <c r="AS550" s="168"/>
      <c r="AT550" s="168"/>
      <c r="AU550" s="168"/>
      <c r="AV550" s="168"/>
      <c r="AW550" s="168">
        <v>1837</v>
      </c>
      <c r="AX550" s="168"/>
      <c r="AY550" s="168"/>
      <c r="AZ550" s="168"/>
      <c r="BA550" s="168"/>
      <c r="BB550" s="168"/>
      <c r="BC550" s="168"/>
      <c r="BD550" s="168">
        <v>1969.54</v>
      </c>
      <c r="BE550" s="168"/>
      <c r="BF550" s="168"/>
      <c r="BG550" s="1015"/>
      <c r="BH550" s="1297">
        <f t="shared" si="1"/>
        <v>-494.69481721919965</v>
      </c>
    </row>
    <row r="551" spans="1:123">
      <c r="A551" s="2172"/>
      <c r="B551" s="2161"/>
      <c r="C551" s="2144"/>
      <c r="D551" s="86" t="s">
        <v>304</v>
      </c>
      <c r="E551" s="213">
        <v>86</v>
      </c>
      <c r="F551" s="78" t="s">
        <v>15</v>
      </c>
      <c r="G551" s="78" t="s">
        <v>15</v>
      </c>
      <c r="H551" s="58">
        <v>636.5</v>
      </c>
      <c r="I551" s="99">
        <v>236.80779999999999</v>
      </c>
      <c r="J551" s="101" t="s">
        <v>15</v>
      </c>
      <c r="K551" s="70" t="s">
        <v>15</v>
      </c>
      <c r="L551" s="101" t="s">
        <v>15</v>
      </c>
      <c r="M551" s="70" t="s">
        <v>15</v>
      </c>
      <c r="N551" s="1194">
        <v>36.541184000000001</v>
      </c>
      <c r="O551" s="142">
        <v>1.3</v>
      </c>
      <c r="P551" s="142">
        <v>28.2117793</v>
      </c>
      <c r="Q551" s="143">
        <v>6.0499999999999998E-2</v>
      </c>
      <c r="R551" s="2329"/>
      <c r="S551" s="127" t="s">
        <v>41</v>
      </c>
      <c r="T551" s="129" t="s">
        <v>42</v>
      </c>
      <c r="U551" s="858"/>
      <c r="V551" s="2163"/>
      <c r="W551" s="452" t="s">
        <v>47</v>
      </c>
      <c r="X551" s="34" t="s">
        <v>354</v>
      </c>
      <c r="Y551" s="159">
        <f>((90000*$R$546)+(0.78*$R$545)+$N$548+$T$552+$R$549)*(1+$T$554)</f>
        <v>714.81328939680009</v>
      </c>
      <c r="Z551" s="2300">
        <f>Y552-Y551</f>
        <v>856.59408288959992</v>
      </c>
      <c r="AA551" s="2323">
        <f>(0.94-0.78)*$P$545</f>
        <v>23.94163871999999</v>
      </c>
      <c r="AB551" s="917"/>
      <c r="AC551" s="26"/>
      <c r="AD551" s="24"/>
      <c r="AE551" s="26"/>
      <c r="AF551" s="109" t="s">
        <v>47</v>
      </c>
      <c r="AG551" s="34" t="s">
        <v>317</v>
      </c>
      <c r="AH551" s="159">
        <f>((90000*$R$546)+(0.8*$R$545)+$N$548+$T$552+$R$549)*(1+$T$554)</f>
        <v>769.09338184800038</v>
      </c>
      <c r="AI551" s="168"/>
      <c r="AJ551" s="168"/>
      <c r="AK551" s="168">
        <v>656</v>
      </c>
      <c r="AL551" s="168"/>
      <c r="AM551" s="1016"/>
      <c r="AN551" s="168"/>
      <c r="AO551" s="168">
        <v>760</v>
      </c>
      <c r="AP551" s="168"/>
      <c r="AQ551" s="168"/>
      <c r="AR551" s="168">
        <v>697</v>
      </c>
      <c r="AS551" s="168"/>
      <c r="AT551" s="168">
        <v>675</v>
      </c>
      <c r="AU551" s="168"/>
      <c r="AV551" s="168"/>
      <c r="AW551" s="168"/>
      <c r="AX551" s="168"/>
      <c r="AY551" s="168"/>
      <c r="AZ551" s="168"/>
      <c r="BA551" s="168"/>
      <c r="BB551" s="168"/>
      <c r="BC551" s="168"/>
      <c r="BD551" s="168"/>
      <c r="BE551" s="168"/>
      <c r="BF551" s="168"/>
      <c r="BG551" s="1015"/>
      <c r="BH551" s="1297">
        <f t="shared" si="1"/>
        <v>72.093381848000377</v>
      </c>
    </row>
    <row r="552" spans="1:123">
      <c r="A552" s="2172"/>
      <c r="B552" s="2161"/>
      <c r="C552" s="2144"/>
      <c r="D552" s="86" t="s">
        <v>305</v>
      </c>
      <c r="E552" s="213">
        <v>58</v>
      </c>
      <c r="F552" s="78" t="s">
        <v>15</v>
      </c>
      <c r="G552" s="78" t="s">
        <v>15</v>
      </c>
      <c r="H552" s="58">
        <v>953.84479999999996</v>
      </c>
      <c r="I552" s="99">
        <v>237.80940000000001</v>
      </c>
      <c r="J552" s="101" t="s">
        <v>15</v>
      </c>
      <c r="K552" s="70" t="s">
        <v>15</v>
      </c>
      <c r="L552" s="101" t="s">
        <v>15</v>
      </c>
      <c r="M552" s="70" t="s">
        <v>15</v>
      </c>
      <c r="N552" s="1194">
        <v>0</v>
      </c>
      <c r="O552" s="146" t="s">
        <v>204</v>
      </c>
      <c r="P552" s="87" t="s">
        <v>204</v>
      </c>
      <c r="Q552" s="143">
        <v>0</v>
      </c>
      <c r="R552" s="2329"/>
      <c r="S552" s="152">
        <v>0.79426799999999997</v>
      </c>
      <c r="T552" s="157">
        <v>-1364.6370119999999</v>
      </c>
      <c r="U552" s="861"/>
      <c r="V552" s="2163"/>
      <c r="W552" s="452" t="s">
        <v>49</v>
      </c>
      <c r="X552" s="34" t="s">
        <v>358</v>
      </c>
      <c r="Y552" s="159">
        <f>((90000*$R$546)+(0.94*$R$545)+$N$547+$T$552+$R$549)*(1+$T$554)</f>
        <v>1571.4073722864</v>
      </c>
      <c r="Z552" s="2301"/>
      <c r="AA552" s="2298"/>
      <c r="AB552" s="917"/>
      <c r="AC552" s="26"/>
      <c r="AD552" s="24"/>
      <c r="AE552" s="26"/>
      <c r="AF552" s="109" t="s">
        <v>49</v>
      </c>
      <c r="AG552" s="34" t="s">
        <v>318</v>
      </c>
      <c r="AH552" s="159">
        <f>((90000*$R$546)+(0.95*$R$545)+$N$547+$T$552+$R$549)*(1+$T$554)</f>
        <v>1598.5474185120001</v>
      </c>
      <c r="AI552" s="168">
        <v>1527.99</v>
      </c>
      <c r="AJ552" s="168">
        <v>1305</v>
      </c>
      <c r="AK552" s="168"/>
      <c r="AL552" s="168"/>
      <c r="AM552" s="1016"/>
      <c r="AN552" s="168"/>
      <c r="AO552" s="168"/>
      <c r="AP552" s="168"/>
      <c r="AQ552" s="168"/>
      <c r="AR552" s="168"/>
      <c r="AS552" s="168"/>
      <c r="AT552" s="168"/>
      <c r="AU552" s="168"/>
      <c r="AV552" s="168"/>
      <c r="AW552" s="168"/>
      <c r="AX552" s="168">
        <v>1509</v>
      </c>
      <c r="AY552" s="168"/>
      <c r="AZ552" s="168"/>
      <c r="BA552" s="168"/>
      <c r="BB552" s="168"/>
      <c r="BC552" s="168"/>
      <c r="BD552" s="168"/>
      <c r="BE552" s="168">
        <v>1228</v>
      </c>
      <c r="BF552" s="168"/>
      <c r="BG552" s="1015"/>
      <c r="BH552" s="1297">
        <f t="shared" si="1"/>
        <v>206.0499185120002</v>
      </c>
    </row>
    <row r="553" spans="1:123" ht="15" customHeight="1">
      <c r="A553" s="2172"/>
      <c r="B553" s="2116" t="s">
        <v>194</v>
      </c>
      <c r="C553" s="39"/>
      <c r="D553" s="27"/>
      <c r="E553" s="27"/>
      <c r="F553" s="27"/>
      <c r="G553" s="27"/>
      <c r="H553" s="27"/>
      <c r="I553" s="27"/>
      <c r="J553" s="102"/>
      <c r="K553" s="27"/>
      <c r="L553" s="102"/>
      <c r="M553" s="27"/>
      <c r="N553" s="1204"/>
      <c r="O553" s="471"/>
      <c r="P553" s="471"/>
      <c r="Q553" s="253"/>
      <c r="R553" s="253"/>
      <c r="S553" s="127" t="s">
        <v>235</v>
      </c>
      <c r="T553" s="119" t="s">
        <v>391</v>
      </c>
      <c r="U553" s="855"/>
      <c r="V553" s="2163"/>
      <c r="W553" s="452" t="s">
        <v>47</v>
      </c>
      <c r="X553" s="34" t="s">
        <v>359</v>
      </c>
      <c r="Y553" s="159">
        <f>((100000*$R$546)+(0.78*$R$545)+$N$548+$T$552+$R$549)*(1+$T$554)</f>
        <v>757.67368939680011</v>
      </c>
      <c r="Z553" s="2300">
        <f>Y554-Y553</f>
        <v>910.87417534079975</v>
      </c>
      <c r="AA553" s="2323">
        <f>(0.96-0.78)*$P$545</f>
        <v>26.934343559999991</v>
      </c>
      <c r="AB553" s="917"/>
      <c r="AC553" s="26"/>
      <c r="AD553" s="24"/>
      <c r="AE553" s="26"/>
      <c r="AF553" s="109" t="s">
        <v>47</v>
      </c>
      <c r="AG553" s="34" t="s">
        <v>319</v>
      </c>
      <c r="AH553" s="159">
        <f>((100000*$R$546)+(0.8*$R$545)+$N$548+$T$552+$R$549)*(1+$T$554)</f>
        <v>811.9537818480004</v>
      </c>
      <c r="AI553" s="168">
        <v>672.99</v>
      </c>
      <c r="AJ553" s="168"/>
      <c r="AK553" s="168"/>
      <c r="AL553" s="168">
        <v>789.95</v>
      </c>
      <c r="AM553" s="1016">
        <v>724</v>
      </c>
      <c r="AN553" s="168"/>
      <c r="AO553" s="168"/>
      <c r="AP553" s="168"/>
      <c r="AQ553" s="168"/>
      <c r="AR553" s="168"/>
      <c r="AS553" s="168"/>
      <c r="AT553" s="168"/>
      <c r="AU553" s="168"/>
      <c r="AV553" s="168"/>
      <c r="AW553" s="168"/>
      <c r="AX553" s="168"/>
      <c r="AY553" s="168"/>
      <c r="AZ553" s="168"/>
      <c r="BA553" s="168"/>
      <c r="BB553" s="168"/>
      <c r="BC553" s="168"/>
      <c r="BD553" s="168"/>
      <c r="BE553" s="168"/>
      <c r="BF553" s="168">
        <v>695</v>
      </c>
      <c r="BG553" s="1015"/>
      <c r="BH553" s="1297">
        <f t="shared" si="1"/>
        <v>91.46878184800039</v>
      </c>
    </row>
    <row r="554" spans="1:123">
      <c r="A554" s="2172"/>
      <c r="B554" s="2117"/>
      <c r="C554" s="41"/>
      <c r="D554" s="26"/>
      <c r="E554" s="26"/>
      <c r="F554" s="26"/>
      <c r="G554" s="26"/>
      <c r="H554" s="26"/>
      <c r="I554" s="26"/>
      <c r="J554" s="75"/>
      <c r="K554" s="26"/>
      <c r="L554" s="75"/>
      <c r="M554" s="26"/>
      <c r="N554" s="1205"/>
      <c r="O554" s="467"/>
      <c r="P554" s="467"/>
      <c r="Q554" s="252"/>
      <c r="R554" s="252"/>
      <c r="S554" s="1098">
        <v>94.48</v>
      </c>
      <c r="T554" s="235">
        <v>0.32</v>
      </c>
      <c r="U554" s="862"/>
      <c r="V554" s="2164"/>
      <c r="W554" s="452" t="s">
        <v>49</v>
      </c>
      <c r="X554" s="34" t="s">
        <v>360</v>
      </c>
      <c r="Y554" s="159">
        <f>((100000*$R$546)+(0.96*$R$545)+$N$547+$T$552+$R$549)*(1+$T$554)</f>
        <v>1668.5478647375999</v>
      </c>
      <c r="Z554" s="2301"/>
      <c r="AA554" s="2298"/>
      <c r="AB554" s="917"/>
      <c r="AC554" s="26"/>
      <c r="AD554" s="24"/>
      <c r="AE554" s="26"/>
      <c r="AF554" s="114" t="s">
        <v>49</v>
      </c>
      <c r="AG554" s="34" t="s">
        <v>320</v>
      </c>
      <c r="AH554" s="159">
        <f>((100000*$R$546)+(0.96*$R$545)+$N$547+$T$552+$R$549)*(1+$T$554)</f>
        <v>1668.5478647375999</v>
      </c>
      <c r="AI554" s="168"/>
      <c r="AJ554" s="168">
        <v>2154.67</v>
      </c>
      <c r="AK554" s="168"/>
      <c r="AL554" s="168"/>
      <c r="AM554" s="1016"/>
      <c r="AN554" s="168">
        <v>2098.15</v>
      </c>
      <c r="AO554" s="168"/>
      <c r="AP554" s="168"/>
      <c r="AQ554" s="168"/>
      <c r="AR554" s="168"/>
      <c r="AS554" s="168"/>
      <c r="AT554" s="168"/>
      <c r="AU554" s="168"/>
      <c r="AV554" s="168"/>
      <c r="AW554" s="168"/>
      <c r="AX554" s="168"/>
      <c r="AY554" s="168">
        <v>2529</v>
      </c>
      <c r="AZ554" s="168"/>
      <c r="BA554" s="168"/>
      <c r="BB554" s="168"/>
      <c r="BC554" s="168"/>
      <c r="BD554" s="168"/>
      <c r="BE554" s="168"/>
      <c r="BF554" s="168"/>
      <c r="BG554" s="1015">
        <v>2699</v>
      </c>
      <c r="BH554" s="1297">
        <f t="shared" si="1"/>
        <v>-701.65713526240006</v>
      </c>
    </row>
    <row r="555" spans="1:123" ht="19.5" thickBot="1">
      <c r="A555" s="1086"/>
      <c r="B555" s="2118"/>
      <c r="C555" s="41"/>
      <c r="D555" s="26"/>
      <c r="E555" s="26"/>
      <c r="F555" s="26"/>
      <c r="G555" s="26"/>
      <c r="H555" s="26"/>
      <c r="I555" s="26"/>
      <c r="J555" s="75"/>
      <c r="K555" s="26"/>
      <c r="L555" s="75"/>
      <c r="M555" s="26"/>
      <c r="N555" s="1205"/>
      <c r="O555" s="467"/>
      <c r="P555" s="467"/>
      <c r="Q555" s="252"/>
      <c r="R555" s="252"/>
      <c r="S555" s="1099"/>
      <c r="T555" s="1100"/>
      <c r="U555" s="862"/>
      <c r="V555" s="499"/>
      <c r="W555" s="41"/>
      <c r="X555" s="37"/>
      <c r="Y555" s="957"/>
      <c r="Z555" s="962"/>
      <c r="AA555" s="962"/>
      <c r="AB555" s="917"/>
      <c r="AC555" s="896"/>
      <c r="AD555" s="896"/>
      <c r="AE555" s="1101"/>
      <c r="AF555" s="1102"/>
      <c r="AG555" s="37"/>
      <c r="AH555" s="957"/>
      <c r="AI555" s="1012"/>
      <c r="AJ555" s="1012"/>
      <c r="AK555" s="1012"/>
      <c r="AL555" s="1012"/>
      <c r="AM555" s="1012"/>
      <c r="AN555" s="1012"/>
      <c r="AO555" s="1012"/>
      <c r="AP555" s="1012"/>
      <c r="AQ555" s="1012"/>
      <c r="AR555" s="1012"/>
      <c r="AS555" s="1012"/>
      <c r="AT555" s="1012"/>
      <c r="AU555" s="1012"/>
      <c r="AV555" s="1012"/>
      <c r="AW555" s="1012"/>
      <c r="AX555" s="1012"/>
      <c r="AY555" s="1012"/>
      <c r="AZ555" s="1012"/>
      <c r="BA555" s="1012"/>
      <c r="BB555" s="1012"/>
      <c r="BC555" s="1012"/>
      <c r="BD555" s="1012"/>
      <c r="BE555" s="1012"/>
      <c r="BF555" s="1012"/>
      <c r="BG555" s="1012"/>
      <c r="BH555" s="1297"/>
    </row>
    <row r="556" spans="1:123" s="705" customFormat="1" ht="9" customHeight="1" thickBot="1">
      <c r="A556" s="695"/>
      <c r="B556" s="815"/>
      <c r="C556" s="684"/>
      <c r="D556" s="683"/>
      <c r="E556" s="684"/>
      <c r="F556" s="684"/>
      <c r="G556" s="684"/>
      <c r="H556" s="684"/>
      <c r="I556" s="684"/>
      <c r="J556" s="682"/>
      <c r="K556" s="683"/>
      <c r="L556" s="682"/>
      <c r="M556" s="685"/>
      <c r="N556" s="1189"/>
      <c r="O556" s="686"/>
      <c r="P556" s="686"/>
      <c r="Q556" s="687"/>
      <c r="R556" s="687"/>
      <c r="S556" s="688"/>
      <c r="T556" s="688"/>
      <c r="U556" s="854"/>
      <c r="V556" s="893"/>
      <c r="W556" s="685"/>
      <c r="X556" s="685"/>
      <c r="Y556" s="688"/>
      <c r="Z556" s="688"/>
      <c r="AA556" s="688"/>
      <c r="AB556" s="846"/>
      <c r="AC556" s="685"/>
      <c r="AD556" s="685"/>
      <c r="AE556" s="685"/>
      <c r="AF556" s="689"/>
      <c r="AG556" s="685"/>
      <c r="AH556" s="958"/>
      <c r="AI556" s="958"/>
      <c r="AJ556" s="958"/>
      <c r="AK556" s="958"/>
      <c r="AL556" s="958"/>
      <c r="AM556" s="959"/>
      <c r="AN556" s="959"/>
      <c r="AO556" s="959"/>
      <c r="AP556" s="959"/>
      <c r="AQ556" s="959"/>
      <c r="AR556" s="959"/>
      <c r="AS556" s="959"/>
      <c r="AT556" s="959"/>
      <c r="AU556" s="959"/>
      <c r="AV556" s="959"/>
      <c r="AW556" s="959"/>
      <c r="AX556" s="959"/>
      <c r="AY556" s="959"/>
      <c r="AZ556" s="959"/>
      <c r="BA556" s="959"/>
      <c r="BB556" s="959"/>
      <c r="BC556" s="959"/>
      <c r="BD556" s="959"/>
      <c r="BE556" s="959"/>
      <c r="BF556" s="959"/>
      <c r="BG556" s="959"/>
      <c r="BH556" s="1125"/>
      <c r="CF556" s="692"/>
      <c r="CG556" s="692"/>
      <c r="CH556" s="692"/>
      <c r="CI556" s="692"/>
      <c r="CJ556" s="692"/>
      <c r="CK556" s="692"/>
      <c r="CL556" s="692"/>
      <c r="CM556" s="692"/>
      <c r="CN556" s="692"/>
      <c r="CO556" s="692"/>
      <c r="CP556" s="692"/>
      <c r="CQ556" s="692"/>
      <c r="CR556" s="692"/>
      <c r="CS556" s="692"/>
      <c r="CT556" s="692"/>
      <c r="CU556" s="692"/>
      <c r="CV556" s="692"/>
      <c r="CW556" s="692"/>
      <c r="CX556" s="692"/>
      <c r="CY556" s="692"/>
      <c r="CZ556" s="692"/>
      <c r="DA556" s="692"/>
      <c r="DB556" s="692"/>
      <c r="DC556" s="692"/>
      <c r="DD556" s="692"/>
      <c r="DE556" s="692"/>
      <c r="DF556" s="692"/>
      <c r="DG556" s="692"/>
      <c r="DH556" s="692"/>
      <c r="DI556" s="693"/>
      <c r="DJ556" s="692"/>
      <c r="DK556" s="692"/>
      <c r="DL556" s="692"/>
      <c r="DM556" s="692"/>
      <c r="DN556" s="692"/>
      <c r="DO556" s="692"/>
      <c r="DP556" s="692"/>
      <c r="DQ556" s="692"/>
      <c r="DR556" s="692"/>
      <c r="DS556" s="692"/>
    </row>
    <row r="557" spans="1:123" s="325" customFormat="1" ht="30">
      <c r="A557" s="2172" t="s">
        <v>1307</v>
      </c>
      <c r="B557" s="994" t="s">
        <v>726</v>
      </c>
      <c r="C557" s="990" t="s">
        <v>12</v>
      </c>
      <c r="D557" s="173" t="s">
        <v>727</v>
      </c>
      <c r="E557" s="173">
        <v>78</v>
      </c>
      <c r="F557" s="173">
        <v>37376.92</v>
      </c>
      <c r="G557" s="173">
        <v>12492.23</v>
      </c>
      <c r="H557" s="372">
        <v>2261.98</v>
      </c>
      <c r="I557" s="373">
        <v>1388.58</v>
      </c>
      <c r="J557" s="231" t="s">
        <v>14</v>
      </c>
      <c r="K557" s="1136" t="s">
        <v>730</v>
      </c>
      <c r="L557" s="1091" t="s">
        <v>15</v>
      </c>
      <c r="M557" s="1088" t="s">
        <v>15</v>
      </c>
      <c r="N557" s="1207">
        <v>4.1288999999999999E-2</v>
      </c>
      <c r="O557" s="472">
        <v>7.37</v>
      </c>
      <c r="P557" s="472">
        <v>5.6033999999999997E-3</v>
      </c>
      <c r="Q557" s="484" t="s">
        <v>15</v>
      </c>
      <c r="R557" s="565">
        <f>N557</f>
        <v>4.1288999999999999E-2</v>
      </c>
      <c r="S557" s="124" t="s">
        <v>68</v>
      </c>
      <c r="T557" s="125" t="s">
        <v>69</v>
      </c>
      <c r="U557" s="858"/>
      <c r="V557" s="2162" t="s">
        <v>2749</v>
      </c>
      <c r="W557" s="718" t="s">
        <v>47</v>
      </c>
      <c r="X557" s="429" t="s">
        <v>736</v>
      </c>
      <c r="Y557" s="553">
        <f>((13*$R$558)+(36000*$R$557)+$R$559+$T$564)*1.2</f>
        <v>1784.6171814540007</v>
      </c>
      <c r="Z557" s="430" t="s">
        <v>40</v>
      </c>
      <c r="AA557" s="431" t="s">
        <v>40</v>
      </c>
      <c r="AB557" s="848"/>
      <c r="AC557" s="330"/>
      <c r="AD557" s="502"/>
      <c r="AE557" s="330"/>
      <c r="AF557" s="623" t="s">
        <v>47</v>
      </c>
      <c r="AG557" s="374" t="s">
        <v>752</v>
      </c>
      <c r="AH557" s="996">
        <f>((12.5*$R$558)+(36000*$R$557)+$R$559+$T$564)*1.2</f>
        <v>1510.4721042540011</v>
      </c>
      <c r="AI557" s="996">
        <v>2259</v>
      </c>
      <c r="AJ557" s="996">
        <f>AVERAGE(1734,1812)</f>
        <v>1773</v>
      </c>
      <c r="AK557" s="1017"/>
      <c r="AL557" s="1017"/>
      <c r="AM557" s="962"/>
      <c r="AN557" s="962"/>
      <c r="AO557" s="962"/>
      <c r="AP557" s="962"/>
      <c r="AQ557" s="962"/>
      <c r="AR557" s="962"/>
      <c r="AS557" s="962"/>
      <c r="AT557" s="962"/>
      <c r="AU557" s="962"/>
      <c r="AV557" s="962"/>
      <c r="AW557" s="962"/>
      <c r="AX557" s="962"/>
      <c r="AY557" s="962"/>
      <c r="AZ557" s="962"/>
      <c r="BA557" s="962"/>
      <c r="BB557" s="962"/>
      <c r="BC557" s="962"/>
      <c r="BD557" s="962"/>
      <c r="BE557" s="962"/>
      <c r="BF557" s="962"/>
      <c r="BG557" s="962"/>
      <c r="BH557" s="1298"/>
      <c r="CF557" s="568"/>
      <c r="CG557" s="568"/>
      <c r="CH557" s="568"/>
      <c r="CI557" s="568"/>
      <c r="CJ557" s="568"/>
      <c r="CK557" s="568"/>
      <c r="CL557" s="568"/>
      <c r="CM557" s="568"/>
      <c r="CN557" s="568"/>
      <c r="CO557" s="568"/>
      <c r="CP557" s="568"/>
      <c r="CQ557" s="568"/>
      <c r="CR557" s="568"/>
      <c r="CS557" s="568"/>
      <c r="CT557" s="568"/>
      <c r="CU557" s="568"/>
      <c r="CV557" s="568"/>
      <c r="CW557" s="568"/>
      <c r="CX557" s="568"/>
      <c r="CY557" s="568"/>
      <c r="CZ557" s="568"/>
      <c r="DA557" s="568"/>
      <c r="DB557" s="568"/>
      <c r="DC557" s="568"/>
      <c r="DD557" s="568"/>
      <c r="DE557" s="568"/>
      <c r="DF557" s="568"/>
      <c r="DG557" s="568"/>
      <c r="DH557" s="568"/>
      <c r="DI557" s="560"/>
      <c r="DJ557" s="568"/>
      <c r="DK557" s="568"/>
      <c r="DL557" s="568"/>
      <c r="DM557" s="568"/>
      <c r="DN557" s="568"/>
      <c r="DO557" s="568"/>
      <c r="DP557" s="568"/>
      <c r="DQ557" s="568"/>
      <c r="DR557" s="568"/>
      <c r="DS557" s="568"/>
    </row>
    <row r="558" spans="1:123">
      <c r="A558" s="2172"/>
      <c r="B558" s="817" t="s">
        <v>393</v>
      </c>
      <c r="C558" s="356" t="s">
        <v>12</v>
      </c>
      <c r="D558" s="88" t="s">
        <v>728</v>
      </c>
      <c r="E558" s="88">
        <v>78</v>
      </c>
      <c r="F558" s="88">
        <v>14.614100000000001</v>
      </c>
      <c r="G558" s="88">
        <v>2.0272480000000002</v>
      </c>
      <c r="H558" s="367">
        <v>2261.98</v>
      </c>
      <c r="I558" s="368">
        <v>1388.58</v>
      </c>
      <c r="J558" s="448" t="s">
        <v>12</v>
      </c>
      <c r="K558" s="204" t="s">
        <v>731</v>
      </c>
      <c r="L558" s="234" t="s">
        <v>15</v>
      </c>
      <c r="M558" s="233" t="s">
        <v>15</v>
      </c>
      <c r="N558" s="1208">
        <v>456.90846199999999</v>
      </c>
      <c r="O558" s="369">
        <v>9.5399999999999991</v>
      </c>
      <c r="P558" s="463">
        <v>47.879942</v>
      </c>
      <c r="Q558" s="195" t="s">
        <v>15</v>
      </c>
      <c r="R558" s="128">
        <f>N558</f>
        <v>456.90846199999999</v>
      </c>
      <c r="S558" s="31" t="s">
        <v>735</v>
      </c>
      <c r="T558" s="556" t="s">
        <v>310</v>
      </c>
      <c r="U558" s="859"/>
      <c r="V558" s="2163"/>
      <c r="W558" s="982" t="s">
        <v>49</v>
      </c>
      <c r="X558" s="291" t="s">
        <v>736</v>
      </c>
      <c r="Y558" s="169">
        <f>((13*$R$558)+(36000*$R$557)+$R$559+$T$564)*1.2</f>
        <v>1784.6171814540007</v>
      </c>
      <c r="Z558" s="169">
        <f>Y558-Y557</f>
        <v>0</v>
      </c>
      <c r="AA558" s="576">
        <f>(13-13)*$P$558</f>
        <v>0</v>
      </c>
      <c r="AB558" s="918"/>
      <c r="AC558" s="26"/>
      <c r="AD558" s="24"/>
      <c r="AE558" s="26"/>
      <c r="AF558" s="658" t="s">
        <v>47</v>
      </c>
      <c r="AG558" s="718" t="s">
        <v>736</v>
      </c>
      <c r="AH558" s="1042">
        <f>Y558</f>
        <v>1784.6171814540007</v>
      </c>
      <c r="AI558" s="158"/>
      <c r="AJ558" s="158"/>
      <c r="AK558" s="996">
        <f>796*3</f>
        <v>2388</v>
      </c>
      <c r="AL558" s="158"/>
      <c r="AM558" s="957"/>
      <c r="AN558" s="503"/>
      <c r="AO558" s="957"/>
      <c r="AP558" s="957"/>
      <c r="AQ558" s="957"/>
      <c r="AR558" s="957"/>
      <c r="AS558" s="957"/>
      <c r="AT558" s="957"/>
      <c r="AU558" s="957"/>
      <c r="AV558" s="957"/>
      <c r="AW558" s="957"/>
      <c r="AX558" s="957"/>
      <c r="AY558" s="957"/>
      <c r="AZ558" s="957"/>
      <c r="BA558" s="957"/>
      <c r="BB558" s="957"/>
      <c r="BC558" s="957"/>
      <c r="BD558" s="957"/>
      <c r="BE558" s="957"/>
      <c r="BF558" s="957"/>
      <c r="BG558" s="957"/>
      <c r="BH558" s="691"/>
    </row>
    <row r="559" spans="1:123">
      <c r="A559" s="2172"/>
      <c r="B559" s="2161" t="s">
        <v>153</v>
      </c>
      <c r="C559" s="2144" t="s">
        <v>13</v>
      </c>
      <c r="D559" s="88" t="s">
        <v>190</v>
      </c>
      <c r="E559" s="88">
        <v>20</v>
      </c>
      <c r="F559" s="148" t="s">
        <v>15</v>
      </c>
      <c r="G559" s="148" t="s">
        <v>15</v>
      </c>
      <c r="H559" s="367">
        <v>2860.58</v>
      </c>
      <c r="I559" s="368">
        <v>1463.6</v>
      </c>
      <c r="J559" s="234" t="s">
        <v>15</v>
      </c>
      <c r="K559" s="233" t="s">
        <v>15</v>
      </c>
      <c r="L559" s="234" t="s">
        <v>15</v>
      </c>
      <c r="M559" s="233" t="s">
        <v>15</v>
      </c>
      <c r="N559" s="1208">
        <v>1558.7372829999999</v>
      </c>
      <c r="O559" s="369">
        <v>8.09</v>
      </c>
      <c r="P559" s="463">
        <v>192.6679724</v>
      </c>
      <c r="Q559" s="128">
        <v>0.31900000000000001</v>
      </c>
      <c r="R559" s="2129">
        <f>SUMPRODUCT(Q559:Q562,N559:N562)</f>
        <v>533.05317054499994</v>
      </c>
      <c r="S559" s="127" t="s">
        <v>72</v>
      </c>
      <c r="T559" s="119" t="s">
        <v>119</v>
      </c>
      <c r="U559" s="855"/>
      <c r="V559" s="2163"/>
      <c r="W559" s="982" t="s">
        <v>49</v>
      </c>
      <c r="X559" s="291" t="s">
        <v>737</v>
      </c>
      <c r="Y559" s="169">
        <f>((14*$R$558)+(36000*$R$557)+$R$559+$T$564)*1.2</f>
        <v>2332.907335853999</v>
      </c>
      <c r="Z559" s="169">
        <f>Y559-Y557</f>
        <v>548.2901543999983</v>
      </c>
      <c r="AA559" s="576">
        <f>(14-13)*$P$558</f>
        <v>47.879942</v>
      </c>
      <c r="AB559" s="918"/>
      <c r="AC559" s="26"/>
      <c r="AD559" s="24"/>
      <c r="AE559" s="26"/>
      <c r="AF559" s="289" t="s">
        <v>49</v>
      </c>
      <c r="AG559" s="291" t="s">
        <v>737</v>
      </c>
      <c r="AH559" s="158">
        <f>Y559</f>
        <v>2332.907335853999</v>
      </c>
      <c r="AI559" s="158"/>
      <c r="AJ559" s="158"/>
      <c r="AK559" s="158">
        <f>933*3</f>
        <v>2799</v>
      </c>
      <c r="AL559" s="158">
        <f>642.17*3</f>
        <v>1926.5099999999998</v>
      </c>
      <c r="AM559" s="957"/>
      <c r="AN559" s="503"/>
      <c r="AO559" s="957"/>
      <c r="AP559" s="957"/>
      <c r="AQ559" s="957"/>
      <c r="AR559" s="957"/>
      <c r="AS559" s="957"/>
      <c r="AT559" s="957"/>
      <c r="AU559" s="957"/>
      <c r="AV559" s="957"/>
      <c r="AW559" s="957"/>
      <c r="AX559" s="957"/>
      <c r="AY559" s="957"/>
      <c r="AZ559" s="957"/>
      <c r="BA559" s="957"/>
      <c r="BB559" s="957"/>
      <c r="BC559" s="957"/>
      <c r="BD559" s="957"/>
      <c r="BE559" s="957"/>
      <c r="BF559" s="957"/>
      <c r="BG559" s="957"/>
      <c r="BH559" s="691"/>
    </row>
    <row r="560" spans="1:123">
      <c r="A560" s="2172"/>
      <c r="B560" s="2161"/>
      <c r="C560" s="2144"/>
      <c r="D560" s="88" t="s">
        <v>729</v>
      </c>
      <c r="E560" s="88">
        <v>20</v>
      </c>
      <c r="F560" s="148" t="s">
        <v>15</v>
      </c>
      <c r="G560" s="148" t="s">
        <v>15</v>
      </c>
      <c r="H560" s="367">
        <v>1441.3</v>
      </c>
      <c r="I560" s="368">
        <v>455.66</v>
      </c>
      <c r="J560" s="234" t="s">
        <v>15</v>
      </c>
      <c r="K560" s="233" t="s">
        <v>15</v>
      </c>
      <c r="L560" s="234" t="s">
        <v>15</v>
      </c>
      <c r="M560" s="233" t="s">
        <v>15</v>
      </c>
      <c r="N560" s="1208">
        <v>-198.05111199999999</v>
      </c>
      <c r="O560" s="369">
        <v>-1</v>
      </c>
      <c r="P560" s="463">
        <v>197.37870799999999</v>
      </c>
      <c r="Q560" s="128">
        <v>0</v>
      </c>
      <c r="R560" s="2129"/>
      <c r="S560" s="423" t="s">
        <v>1432</v>
      </c>
      <c r="T560" s="411" t="s">
        <v>140</v>
      </c>
      <c r="U560" s="859"/>
      <c r="V560" s="2163"/>
      <c r="W560" s="982" t="s">
        <v>49</v>
      </c>
      <c r="X560" s="291" t="s">
        <v>738</v>
      </c>
      <c r="Y560" s="169">
        <f>((15*$R$558)+(36000*$R$557)+$R$559+$T$564)*1.2</f>
        <v>2881.1974902539982</v>
      </c>
      <c r="Z560" s="169">
        <f>Y560-Y557</f>
        <v>1096.5803087999975</v>
      </c>
      <c r="AA560" s="576">
        <f>(15-13)*$P$558</f>
        <v>95.759884</v>
      </c>
      <c r="AB560" s="918"/>
      <c r="AC560" s="26"/>
      <c r="AD560" s="24"/>
      <c r="AE560" s="26"/>
      <c r="AF560" s="289" t="s">
        <v>49</v>
      </c>
      <c r="AG560" s="291" t="s">
        <v>738</v>
      </c>
      <c r="AH560" s="158">
        <f>Y560</f>
        <v>2881.1974902539982</v>
      </c>
      <c r="AI560" s="158"/>
      <c r="AJ560" s="158"/>
      <c r="AK560" s="158">
        <f>1070*3</f>
        <v>3210</v>
      </c>
      <c r="AL560" s="158">
        <f>734.79*3</f>
        <v>2204.37</v>
      </c>
      <c r="AM560" s="957"/>
      <c r="AN560" s="503"/>
      <c r="AO560" s="957"/>
      <c r="AP560" s="957"/>
      <c r="AQ560" s="957"/>
      <c r="AR560" s="957"/>
      <c r="AS560" s="957"/>
      <c r="AT560" s="957"/>
      <c r="AU560" s="957"/>
      <c r="AV560" s="957"/>
      <c r="AW560" s="957"/>
      <c r="AX560" s="957"/>
      <c r="AY560" s="957"/>
      <c r="AZ560" s="957"/>
      <c r="BA560" s="957"/>
      <c r="BB560" s="957"/>
      <c r="BC560" s="957"/>
      <c r="BD560" s="957"/>
      <c r="BE560" s="957"/>
      <c r="BF560" s="957"/>
      <c r="BG560" s="957"/>
      <c r="BH560" s="691"/>
    </row>
    <row r="561" spans="1:123">
      <c r="A561" s="2172"/>
      <c r="B561" s="2161"/>
      <c r="C561" s="2144"/>
      <c r="D561" s="88" t="s">
        <v>302</v>
      </c>
      <c r="E561" s="88">
        <v>19</v>
      </c>
      <c r="F561" s="148" t="s">
        <v>15</v>
      </c>
      <c r="G561" s="148" t="s">
        <v>15</v>
      </c>
      <c r="H561" s="367">
        <v>3604.42</v>
      </c>
      <c r="I561" s="368">
        <v>1167.54</v>
      </c>
      <c r="J561" s="234" t="s">
        <v>15</v>
      </c>
      <c r="K561" s="233" t="s">
        <v>15</v>
      </c>
      <c r="L561" s="234" t="s">
        <v>15</v>
      </c>
      <c r="M561" s="233" t="s">
        <v>15</v>
      </c>
      <c r="N561" s="1208">
        <v>675.77315599999997</v>
      </c>
      <c r="O561" s="369">
        <v>2.61</v>
      </c>
      <c r="P561" s="463">
        <v>259.30861160000001</v>
      </c>
      <c r="Q561" s="128">
        <v>5.2999999999999999E-2</v>
      </c>
      <c r="R561" s="2129"/>
      <c r="S561" s="127" t="s">
        <v>74</v>
      </c>
      <c r="T561" s="129" t="s">
        <v>75</v>
      </c>
      <c r="U561" s="858"/>
      <c r="V561" s="2163"/>
      <c r="W561" s="982" t="s">
        <v>49</v>
      </c>
      <c r="X561" s="291" t="s">
        <v>739</v>
      </c>
      <c r="Y561" s="169">
        <f>((16*$R$558)+(36000*$R$557)+$R$559+$T$564)*1.2</f>
        <v>3429.4876446539997</v>
      </c>
      <c r="Z561" s="169">
        <f>Y561-Y557</f>
        <v>1644.870463199999</v>
      </c>
      <c r="AA561" s="576">
        <f>(16-13)*$P$558</f>
        <v>143.639826</v>
      </c>
      <c r="AB561" s="918"/>
      <c r="AC561" s="26"/>
      <c r="AD561" s="24"/>
      <c r="AE561" s="26"/>
      <c r="AF561" s="289" t="s">
        <v>49</v>
      </c>
      <c r="AG561" s="291" t="s">
        <v>739</v>
      </c>
      <c r="AH561" s="158">
        <f>Y561</f>
        <v>3429.4876446539997</v>
      </c>
      <c r="AI561" s="158"/>
      <c r="AJ561" s="158"/>
      <c r="AK561" s="158">
        <f>1207*3</f>
        <v>3621</v>
      </c>
      <c r="AL561" s="158"/>
      <c r="AM561" s="957"/>
      <c r="AN561" s="503"/>
      <c r="AO561" s="957"/>
      <c r="AP561" s="957"/>
      <c r="AQ561" s="957"/>
      <c r="AR561" s="957"/>
      <c r="AS561" s="957"/>
      <c r="AT561" s="957"/>
      <c r="AU561" s="957"/>
      <c r="AV561" s="957"/>
      <c r="AW561" s="957"/>
      <c r="AX561" s="957"/>
      <c r="AY561" s="957"/>
      <c r="AZ561" s="957"/>
      <c r="BA561" s="957"/>
      <c r="BB561" s="957"/>
      <c r="BC561" s="957"/>
      <c r="BD561" s="957"/>
      <c r="BE561" s="957"/>
      <c r="BF561" s="957"/>
      <c r="BG561" s="957"/>
      <c r="BH561" s="691"/>
    </row>
    <row r="562" spans="1:123">
      <c r="A562" s="2172"/>
      <c r="B562" s="2161"/>
      <c r="C562" s="2179"/>
      <c r="D562" s="88" t="s">
        <v>304</v>
      </c>
      <c r="E562" s="88">
        <v>19</v>
      </c>
      <c r="F562" s="197" t="s">
        <v>15</v>
      </c>
      <c r="G562" s="197" t="s">
        <v>15</v>
      </c>
      <c r="H562" s="367">
        <v>1153.32</v>
      </c>
      <c r="I562" s="368">
        <v>241.99</v>
      </c>
      <c r="J562" s="409" t="s">
        <v>15</v>
      </c>
      <c r="K562" s="122" t="s">
        <v>15</v>
      </c>
      <c r="L562" s="234" t="s">
        <v>15</v>
      </c>
      <c r="M562" s="233" t="s">
        <v>15</v>
      </c>
      <c r="N562" s="1208">
        <v>0</v>
      </c>
      <c r="O562" s="369" t="s">
        <v>574</v>
      </c>
      <c r="P562" s="463" t="s">
        <v>574</v>
      </c>
      <c r="Q562" s="128">
        <v>5.8000000000000003E-2</v>
      </c>
      <c r="R562" s="2129"/>
      <c r="S562" s="86">
        <f>E558</f>
        <v>78</v>
      </c>
      <c r="T562" s="117" t="s">
        <v>15</v>
      </c>
      <c r="U562" s="854"/>
      <c r="V562" s="2163"/>
      <c r="W562" s="982" t="s">
        <v>47</v>
      </c>
      <c r="X562" s="291" t="s">
        <v>748</v>
      </c>
      <c r="Y562" s="169">
        <f>((13*$R$558)+(18000*$R$557)+$R$559+$T$564)*1.2</f>
        <v>892.7747814540005</v>
      </c>
      <c r="Z562" s="95" t="s">
        <v>40</v>
      </c>
      <c r="AA562" s="422" t="s">
        <v>40</v>
      </c>
      <c r="AB562" s="846"/>
      <c r="AC562" s="26"/>
      <c r="AD562" s="24"/>
      <c r="AE562" s="26"/>
      <c r="AF562" s="75"/>
      <c r="AG562" s="26"/>
      <c r="AH562" s="957"/>
      <c r="AI562" s="957"/>
      <c r="AJ562" s="957"/>
      <c r="AK562" s="957"/>
      <c r="AL562" s="957"/>
      <c r="AM562" s="957"/>
      <c r="AN562" s="957"/>
      <c r="AO562" s="957"/>
      <c r="AP562" s="957"/>
      <c r="AQ562" s="957"/>
      <c r="AR562" s="957"/>
      <c r="AS562" s="957"/>
      <c r="AT562" s="957"/>
      <c r="AU562" s="957"/>
      <c r="AV562" s="957"/>
      <c r="AW562" s="957"/>
      <c r="AX562" s="957"/>
      <c r="AY562" s="957"/>
      <c r="AZ562" s="957"/>
      <c r="BA562" s="957"/>
      <c r="BB562" s="957"/>
      <c r="BC562" s="957"/>
      <c r="BD562" s="957"/>
      <c r="BE562" s="957"/>
      <c r="BF562" s="957"/>
      <c r="BG562" s="957"/>
      <c r="BH562" s="691"/>
    </row>
    <row r="563" spans="1:123">
      <c r="A563" s="2172"/>
      <c r="B563" s="820" t="s">
        <v>732</v>
      </c>
      <c r="C563" s="355" t="s">
        <v>15</v>
      </c>
      <c r="D563" s="148" t="s">
        <v>15</v>
      </c>
      <c r="E563" s="148" t="s">
        <v>15</v>
      </c>
      <c r="F563" s="148" t="s">
        <v>15</v>
      </c>
      <c r="G563" s="148" t="s">
        <v>15</v>
      </c>
      <c r="H563" s="148" t="s">
        <v>15</v>
      </c>
      <c r="I563" s="233" t="s">
        <v>15</v>
      </c>
      <c r="J563" s="226" t="s">
        <v>12</v>
      </c>
      <c r="K563" s="1137" t="s">
        <v>734</v>
      </c>
      <c r="L563" s="234" t="s">
        <v>15</v>
      </c>
      <c r="M563" s="233" t="s">
        <v>15</v>
      </c>
      <c r="N563" s="1209" t="s">
        <v>15</v>
      </c>
      <c r="O563" s="440" t="s">
        <v>15</v>
      </c>
      <c r="P563" s="440" t="s">
        <v>15</v>
      </c>
      <c r="Q563" s="195" t="s">
        <v>15</v>
      </c>
      <c r="R563" s="148" t="s">
        <v>15</v>
      </c>
      <c r="S563" s="127" t="s">
        <v>41</v>
      </c>
      <c r="T563" s="129" t="s">
        <v>42</v>
      </c>
      <c r="U563" s="858"/>
      <c r="V563" s="2163"/>
      <c r="W563" s="982" t="s">
        <v>49</v>
      </c>
      <c r="X563" s="291" t="s">
        <v>749</v>
      </c>
      <c r="Y563" s="169">
        <f>((14*$R$558)+(18000*$R$557)+$R$559+$T$564)*1.2</f>
        <v>1441.0649358540009</v>
      </c>
      <c r="Z563" s="169">
        <f>Y563-Y562</f>
        <v>548.29015440000035</v>
      </c>
      <c r="AA563" s="576">
        <f>(14-13)*$P$558</f>
        <v>47.879942</v>
      </c>
      <c r="AB563" s="918"/>
      <c r="AC563" s="26"/>
      <c r="AD563" s="24"/>
      <c r="AE563" s="26"/>
      <c r="AF563" s="75"/>
      <c r="AG563" s="26"/>
      <c r="AH563" s="957"/>
      <c r="AI563" s="957"/>
      <c r="AJ563" s="957"/>
      <c r="AK563" s="957"/>
      <c r="AL563" s="957"/>
      <c r="AM563" s="957"/>
      <c r="AN563" s="957"/>
      <c r="AO563" s="957"/>
      <c r="AP563" s="957"/>
      <c r="AQ563" s="957"/>
      <c r="AR563" s="957"/>
      <c r="AS563" s="957"/>
      <c r="AT563" s="957"/>
      <c r="AU563" s="957"/>
      <c r="AV563" s="957"/>
      <c r="AW563" s="957"/>
      <c r="AX563" s="957"/>
      <c r="AY563" s="957"/>
      <c r="AZ563" s="957"/>
      <c r="BA563" s="957"/>
      <c r="BB563" s="957"/>
      <c r="BC563" s="957"/>
      <c r="BD563" s="957"/>
      <c r="BE563" s="957"/>
      <c r="BF563" s="957"/>
      <c r="BG563" s="957"/>
      <c r="BH563" s="691"/>
    </row>
    <row r="564" spans="1:123">
      <c r="A564" s="2172"/>
      <c r="B564" s="820" t="s">
        <v>16</v>
      </c>
      <c r="C564" s="355" t="s">
        <v>15</v>
      </c>
      <c r="D564" s="148" t="s">
        <v>15</v>
      </c>
      <c r="E564" s="148" t="s">
        <v>15</v>
      </c>
      <c r="F564" s="148" t="s">
        <v>15</v>
      </c>
      <c r="G564" s="148" t="s">
        <v>15</v>
      </c>
      <c r="H564" s="148" t="s">
        <v>15</v>
      </c>
      <c r="I564" s="233" t="s">
        <v>15</v>
      </c>
      <c r="J564" s="226" t="s">
        <v>12</v>
      </c>
      <c r="K564" s="1137" t="s">
        <v>733</v>
      </c>
      <c r="L564" s="234" t="s">
        <v>15</v>
      </c>
      <c r="M564" s="233" t="s">
        <v>15</v>
      </c>
      <c r="N564" s="1209" t="s">
        <v>15</v>
      </c>
      <c r="O564" s="440" t="s">
        <v>15</v>
      </c>
      <c r="P564" s="440" t="s">
        <v>15</v>
      </c>
      <c r="Q564" s="195" t="s">
        <v>15</v>
      </c>
      <c r="R564" s="148" t="s">
        <v>15</v>
      </c>
      <c r="S564" s="357">
        <v>0.82710499999999998</v>
      </c>
      <c r="T564" s="157">
        <v>-6472.0861919999998</v>
      </c>
      <c r="U564" s="861"/>
      <c r="V564" s="2163"/>
      <c r="W564" s="982" t="s">
        <v>47</v>
      </c>
      <c r="X564" s="291" t="s">
        <v>740</v>
      </c>
      <c r="Y564" s="169">
        <f>((13*$R$558)+(24000*$R$557)+$R$559+$T$564)*1.2</f>
        <v>1190.0555814539998</v>
      </c>
      <c r="Z564" s="452" t="s">
        <v>40</v>
      </c>
      <c r="AA564" s="422" t="s">
        <v>40</v>
      </c>
      <c r="AB564" s="846"/>
      <c r="AC564" s="26"/>
      <c r="AD564" s="24"/>
      <c r="AE564" s="26"/>
      <c r="AF564" s="75"/>
      <c r="AG564" s="26"/>
      <c r="AH564" s="957"/>
      <c r="AI564" s="957"/>
      <c r="AJ564" s="957"/>
      <c r="AK564" s="957"/>
      <c r="AL564" s="957"/>
      <c r="AM564" s="957"/>
      <c r="AN564" s="957"/>
      <c r="AO564" s="957"/>
      <c r="AP564" s="957"/>
      <c r="AQ564" s="957"/>
      <c r="AR564" s="957"/>
      <c r="AS564" s="957"/>
      <c r="AT564" s="957"/>
      <c r="AU564" s="957"/>
      <c r="AV564" s="957"/>
      <c r="AW564" s="957"/>
      <c r="AX564" s="957"/>
      <c r="AY564" s="957"/>
      <c r="AZ564" s="957"/>
      <c r="BA564" s="957"/>
      <c r="BB564" s="957"/>
      <c r="BC564" s="957"/>
      <c r="BD564" s="957"/>
      <c r="BE564" s="957"/>
      <c r="BF564" s="957"/>
      <c r="BG564" s="957"/>
      <c r="BH564" s="691"/>
    </row>
    <row r="565" spans="1:123" ht="15" customHeight="1">
      <c r="A565" s="2172"/>
      <c r="B565" s="2116" t="s">
        <v>194</v>
      </c>
      <c r="C565" s="41"/>
      <c r="D565" s="26"/>
      <c r="E565" s="26"/>
      <c r="F565" s="26"/>
      <c r="G565" s="26"/>
      <c r="H565" s="26"/>
      <c r="I565" s="26"/>
      <c r="J565" s="75"/>
      <c r="K565" s="26"/>
      <c r="L565" s="75"/>
      <c r="M565" s="26"/>
      <c r="N565" s="1210"/>
      <c r="O565" s="475"/>
      <c r="P565" s="475"/>
      <c r="Q565" s="252"/>
      <c r="R565" s="252"/>
      <c r="S565" s="118" t="s">
        <v>235</v>
      </c>
      <c r="T565" s="119" t="s">
        <v>391</v>
      </c>
      <c r="U565" s="855"/>
      <c r="V565" s="2163"/>
      <c r="W565" s="982" t="s">
        <v>49</v>
      </c>
      <c r="X565" s="291" t="s">
        <v>741</v>
      </c>
      <c r="Y565" s="169">
        <f>((13*$R$558)+(24000*$R$557)+$R$559+$T$564)*1.2</f>
        <v>1190.0555814539998</v>
      </c>
      <c r="Z565" s="169">
        <f>Y565-Y564</f>
        <v>0</v>
      </c>
      <c r="AA565" s="576">
        <f>(13-13)*$P$558</f>
        <v>0</v>
      </c>
      <c r="AB565" s="918"/>
      <c r="AC565" s="26"/>
      <c r="AD565" s="24"/>
      <c r="AE565" s="26"/>
      <c r="AF565" s="75"/>
      <c r="AG565" s="26"/>
      <c r="AH565" s="957"/>
      <c r="AI565" s="957"/>
      <c r="AJ565" s="957"/>
      <c r="AK565" s="957"/>
      <c r="AL565" s="957"/>
      <c r="AM565" s="957"/>
      <c r="AN565" s="957"/>
      <c r="AO565" s="957"/>
      <c r="AP565" s="957"/>
      <c r="AQ565" s="957"/>
      <c r="AR565" s="957"/>
      <c r="AS565" s="957"/>
      <c r="AT565" s="957"/>
      <c r="AU565" s="957"/>
      <c r="AV565" s="957"/>
      <c r="AW565" s="957"/>
      <c r="AX565" s="957"/>
      <c r="AY565" s="957"/>
      <c r="AZ565" s="957"/>
      <c r="BA565" s="957"/>
      <c r="BB565" s="957"/>
      <c r="BC565" s="957"/>
      <c r="BD565" s="957"/>
      <c r="BE565" s="957"/>
      <c r="BF565" s="957"/>
      <c r="BG565" s="957"/>
      <c r="BH565" s="691"/>
    </row>
    <row r="566" spans="1:123">
      <c r="A566" s="2172"/>
      <c r="B566" s="2117"/>
      <c r="C566" s="41"/>
      <c r="D566" s="26"/>
      <c r="E566" s="26"/>
      <c r="F566" s="26"/>
      <c r="G566" s="26"/>
      <c r="H566" s="26"/>
      <c r="I566" s="26"/>
      <c r="J566" s="75"/>
      <c r="K566" s="26"/>
      <c r="L566" s="75"/>
      <c r="M566" s="26"/>
      <c r="N566" s="1210"/>
      <c r="O566" s="475"/>
      <c r="P566" s="475"/>
      <c r="Q566" s="252"/>
      <c r="R566" s="252"/>
      <c r="S566" s="86">
        <v>473.613</v>
      </c>
      <c r="T566" s="376">
        <v>0.2</v>
      </c>
      <c r="U566" s="870"/>
      <c r="V566" s="2163"/>
      <c r="W566" s="982" t="s">
        <v>49</v>
      </c>
      <c r="X566" s="291" t="s">
        <v>742</v>
      </c>
      <c r="Y566" s="169">
        <f>((14*$R$558)+(24000*$R$557)+$R$559+$T$564)*1.2</f>
        <v>1738.3457358540002</v>
      </c>
      <c r="Z566" s="169">
        <f>Y566-Y564</f>
        <v>548.29015440000035</v>
      </c>
      <c r="AA566" s="576">
        <f>(14-13)*$P$558</f>
        <v>47.879942</v>
      </c>
      <c r="AB566" s="918"/>
      <c r="AC566" s="26"/>
      <c r="AD566" s="24"/>
      <c r="AE566" s="26"/>
      <c r="AF566" s="75"/>
      <c r="AG566" s="26"/>
      <c r="AH566" s="957"/>
      <c r="AI566" s="957"/>
      <c r="AJ566" s="957"/>
      <c r="AK566" s="957"/>
      <c r="AL566" s="957"/>
      <c r="AM566" s="957"/>
      <c r="AN566" s="957"/>
      <c r="AO566" s="957"/>
      <c r="AP566" s="957"/>
      <c r="AQ566" s="957"/>
      <c r="AR566" s="957"/>
      <c r="AS566" s="957"/>
      <c r="AT566" s="957"/>
      <c r="AU566" s="957"/>
      <c r="AV566" s="957"/>
      <c r="AW566" s="957"/>
      <c r="AX566" s="957"/>
      <c r="AY566" s="957"/>
      <c r="AZ566" s="957"/>
      <c r="BA566" s="957"/>
      <c r="BB566" s="957"/>
      <c r="BC566" s="957"/>
      <c r="BD566" s="957"/>
      <c r="BE566" s="957"/>
      <c r="BF566" s="957"/>
      <c r="BG566" s="957"/>
      <c r="BH566" s="691"/>
    </row>
    <row r="567" spans="1:123">
      <c r="A567" s="2172"/>
      <c r="B567" s="2117"/>
      <c r="C567" s="41"/>
      <c r="D567" s="26"/>
      <c r="E567" s="26"/>
      <c r="F567" s="26"/>
      <c r="G567" s="26"/>
      <c r="H567" s="26"/>
      <c r="I567" s="26"/>
      <c r="J567" s="75"/>
      <c r="K567" s="26"/>
      <c r="L567" s="75"/>
      <c r="M567" s="26"/>
      <c r="N567" s="1210"/>
      <c r="O567" s="475"/>
      <c r="P567" s="475"/>
      <c r="Q567" s="252"/>
      <c r="R567" s="252"/>
      <c r="S567" s="22"/>
      <c r="T567" s="26"/>
      <c r="V567" s="2163"/>
      <c r="W567" s="982" t="s">
        <v>49</v>
      </c>
      <c r="X567" s="291" t="s">
        <v>743</v>
      </c>
      <c r="Y567" s="169">
        <f>((15*$R$558)+(24000*$R$557)+$R$559+$T$564)*1.2</f>
        <v>2286.6358902539996</v>
      </c>
      <c r="Z567" s="169">
        <f>Y567-Y564</f>
        <v>1096.5803087999998</v>
      </c>
      <c r="AA567" s="576">
        <f>(15-13)*$P$558</f>
        <v>95.759884</v>
      </c>
      <c r="AB567" s="918"/>
      <c r="AC567" s="26"/>
      <c r="AD567" s="24"/>
      <c r="AE567" s="26"/>
      <c r="AF567" s="75"/>
      <c r="AG567" s="26"/>
      <c r="AH567" s="957"/>
      <c r="AI567" s="957"/>
      <c r="AJ567" s="957"/>
      <c r="AK567" s="957"/>
      <c r="AL567" s="957"/>
      <c r="AM567" s="957"/>
      <c r="AN567" s="957"/>
      <c r="AO567" s="957"/>
      <c r="AP567" s="957"/>
      <c r="AQ567" s="957"/>
      <c r="AR567" s="957"/>
      <c r="AS567" s="957"/>
      <c r="AT567" s="957"/>
      <c r="AU567" s="957"/>
      <c r="AV567" s="957"/>
      <c r="AW567" s="957"/>
      <c r="AX567" s="957"/>
      <c r="AY567" s="957"/>
      <c r="AZ567" s="957"/>
      <c r="BA567" s="957"/>
      <c r="BB567" s="957"/>
      <c r="BC567" s="957"/>
      <c r="BD567" s="957"/>
      <c r="BE567" s="957"/>
      <c r="BF567" s="957"/>
      <c r="BG567" s="957"/>
      <c r="BH567" s="691"/>
    </row>
    <row r="568" spans="1:123">
      <c r="A568" s="2172"/>
      <c r="B568" s="2117"/>
      <c r="C568" s="41"/>
      <c r="D568" s="26"/>
      <c r="E568" s="26"/>
      <c r="F568" s="26"/>
      <c r="G568" s="26"/>
      <c r="H568" s="26"/>
      <c r="I568" s="26"/>
      <c r="J568" s="75"/>
      <c r="K568" s="26"/>
      <c r="L568" s="75"/>
      <c r="M568" s="26"/>
      <c r="N568" s="1210"/>
      <c r="O568" s="475"/>
      <c r="P568" s="475"/>
      <c r="Q568" s="252"/>
      <c r="R568" s="252"/>
      <c r="S568" s="24"/>
      <c r="T568" s="26"/>
      <c r="V568" s="2163"/>
      <c r="W568" s="982" t="s">
        <v>47</v>
      </c>
      <c r="X568" s="291" t="s">
        <v>744</v>
      </c>
      <c r="Y568" s="169">
        <f>((13*$R$558)+(60000*$R$557)+$R$559+$T$564)*1.2</f>
        <v>2973.7403814539994</v>
      </c>
      <c r="Z568" s="452" t="s">
        <v>40</v>
      </c>
      <c r="AA568" s="422" t="s">
        <v>40</v>
      </c>
      <c r="AB568" s="846"/>
      <c r="AC568" s="26"/>
      <c r="AD568" s="24"/>
      <c r="AE568" s="26"/>
      <c r="AF568" s="75"/>
      <c r="AG568" s="26"/>
      <c r="AH568" s="957"/>
      <c r="AI568" s="957"/>
      <c r="AJ568" s="957"/>
      <c r="AK568" s="957"/>
      <c r="AL568" s="957"/>
      <c r="AM568" s="957"/>
      <c r="AN568" s="957"/>
      <c r="AO568" s="957"/>
      <c r="AP568" s="957"/>
      <c r="AQ568" s="957"/>
      <c r="AR568" s="957"/>
      <c r="AS568" s="957"/>
      <c r="AT568" s="957"/>
      <c r="AU568" s="957"/>
      <c r="AV568" s="957"/>
      <c r="AW568" s="957"/>
      <c r="AX568" s="957"/>
      <c r="AY568" s="957"/>
      <c r="AZ568" s="957"/>
      <c r="BA568" s="957"/>
      <c r="BB568" s="957"/>
      <c r="BC568" s="957"/>
      <c r="BD568" s="957"/>
      <c r="BE568" s="957"/>
      <c r="BF568" s="957"/>
      <c r="BG568" s="957"/>
      <c r="BH568" s="691"/>
    </row>
    <row r="569" spans="1:123">
      <c r="A569" s="2172"/>
      <c r="B569" s="2117"/>
      <c r="C569" s="41"/>
      <c r="D569" s="26"/>
      <c r="E569" s="26"/>
      <c r="F569" s="26"/>
      <c r="G569" s="26"/>
      <c r="H569" s="26"/>
      <c r="I569" s="26"/>
      <c r="J569" s="75"/>
      <c r="K569" s="26"/>
      <c r="L569" s="75"/>
      <c r="M569" s="26"/>
      <c r="N569" s="1210"/>
      <c r="O569" s="475"/>
      <c r="P569" s="475"/>
      <c r="Q569" s="252"/>
      <c r="R569" s="252"/>
      <c r="S569" s="24"/>
      <c r="T569" s="26"/>
      <c r="V569" s="2163"/>
      <c r="W569" s="982" t="s">
        <v>49</v>
      </c>
      <c r="X569" s="291" t="s">
        <v>745</v>
      </c>
      <c r="Y569" s="169">
        <f>((14*$R$558)+(60000*$R$557)+$R$559+$T$564)*1.2</f>
        <v>3522.0305358539986</v>
      </c>
      <c r="Z569" s="169">
        <f>Y569-Y568</f>
        <v>548.29015439999921</v>
      </c>
      <c r="AA569" s="576">
        <f>(14-13)*$P$558</f>
        <v>47.879942</v>
      </c>
      <c r="AB569" s="918"/>
      <c r="AC569" s="26"/>
      <c r="AD569" s="24"/>
      <c r="AE569" s="26"/>
      <c r="AF569" s="75"/>
      <c r="AG569" s="26"/>
      <c r="AH569" s="957"/>
      <c r="AI569" s="957"/>
      <c r="AJ569" s="957"/>
      <c r="AK569" s="957"/>
      <c r="AL569" s="957"/>
      <c r="AM569" s="957"/>
      <c r="AN569" s="957"/>
      <c r="AO569" s="957"/>
      <c r="AP569" s="957"/>
      <c r="AQ569" s="957"/>
      <c r="AR569" s="957"/>
      <c r="AS569" s="957"/>
      <c r="AT569" s="957"/>
      <c r="AU569" s="957"/>
      <c r="AV569" s="957"/>
      <c r="AW569" s="957"/>
      <c r="AX569" s="957"/>
      <c r="AY569" s="957"/>
      <c r="AZ569" s="957"/>
      <c r="BA569" s="957"/>
      <c r="BB569" s="957"/>
      <c r="BC569" s="957"/>
      <c r="BD569" s="957"/>
      <c r="BE569" s="957"/>
      <c r="BF569" s="957"/>
      <c r="BG569" s="957"/>
      <c r="BH569" s="691"/>
    </row>
    <row r="570" spans="1:123">
      <c r="A570" s="2172"/>
      <c r="B570" s="2117"/>
      <c r="C570" s="41"/>
      <c r="D570" s="26"/>
      <c r="E570" s="26"/>
      <c r="F570" s="26"/>
      <c r="G570" s="26"/>
      <c r="H570" s="26"/>
      <c r="I570" s="26"/>
      <c r="J570" s="75"/>
      <c r="K570" s="26"/>
      <c r="L570" s="75"/>
      <c r="M570" s="26"/>
      <c r="N570" s="1210"/>
      <c r="O570" s="475"/>
      <c r="P570" s="475"/>
      <c r="Q570" s="252"/>
      <c r="R570" s="252"/>
      <c r="S570" s="24"/>
      <c r="T570" s="26"/>
      <c r="V570" s="2163"/>
      <c r="W570" s="982" t="s">
        <v>47</v>
      </c>
      <c r="X570" s="291" t="s">
        <v>746</v>
      </c>
      <c r="Y570" s="169">
        <f>((13*$R$558)+(60000*$R$557)+$R$559+$T$564)*1.2</f>
        <v>2973.7403814539994</v>
      </c>
      <c r="Z570" s="95" t="s">
        <v>40</v>
      </c>
      <c r="AA570" s="422" t="s">
        <v>40</v>
      </c>
      <c r="AB570" s="846"/>
      <c r="AC570" s="26"/>
      <c r="AD570" s="24"/>
      <c r="AE570" s="26"/>
      <c r="AF570" s="75"/>
      <c r="AG570" s="26"/>
      <c r="AH570" s="957"/>
      <c r="AI570" s="957"/>
      <c r="AJ570" s="957"/>
      <c r="AK570" s="957"/>
      <c r="AL570" s="957"/>
      <c r="AM570" s="957"/>
      <c r="AN570" s="957"/>
      <c r="AO570" s="957"/>
      <c r="AP570" s="957"/>
      <c r="AQ570" s="957"/>
      <c r="AR570" s="957"/>
      <c r="AS570" s="957"/>
      <c r="AT570" s="957"/>
      <c r="AU570" s="957"/>
      <c r="AV570" s="957"/>
      <c r="AW570" s="957"/>
      <c r="AX570" s="957"/>
      <c r="AY570" s="957"/>
      <c r="AZ570" s="957"/>
      <c r="BA570" s="957"/>
      <c r="BB570" s="957"/>
      <c r="BC570" s="957"/>
      <c r="BD570" s="957"/>
      <c r="BE570" s="957"/>
      <c r="BF570" s="957"/>
      <c r="BG570" s="957"/>
      <c r="BH570" s="691"/>
    </row>
    <row r="571" spans="1:123">
      <c r="A571" s="2172"/>
      <c r="B571" s="2117"/>
      <c r="C571" s="41"/>
      <c r="D571" s="26"/>
      <c r="E571" s="26"/>
      <c r="F571" s="26"/>
      <c r="G571" s="26"/>
      <c r="H571" s="26"/>
      <c r="I571" s="26"/>
      <c r="J571" s="75"/>
      <c r="K571" s="26"/>
      <c r="L571" s="75"/>
      <c r="M571" s="26"/>
      <c r="N571" s="1210"/>
      <c r="O571" s="475"/>
      <c r="P571" s="475"/>
      <c r="Q571" s="252"/>
      <c r="R571" s="252"/>
      <c r="S571" s="24"/>
      <c r="T571" s="26"/>
      <c r="V571" s="2163"/>
      <c r="W571" s="982" t="s">
        <v>49</v>
      </c>
      <c r="X571" s="291" t="s">
        <v>747</v>
      </c>
      <c r="Y571" s="169">
        <f>((13*$R$558)+(60000*$R$557)+$R$559+$T$564)*1.2</f>
        <v>2973.7403814539994</v>
      </c>
      <c r="Z571" s="169">
        <f>Y571-Y570</f>
        <v>0</v>
      </c>
      <c r="AA571" s="576">
        <f>(13-13)*$P$558</f>
        <v>0</v>
      </c>
      <c r="AB571" s="918"/>
      <c r="AC571" s="26"/>
      <c r="AD571" s="24"/>
      <c r="AE571" s="26"/>
      <c r="AF571" s="75"/>
      <c r="AG571" s="26"/>
      <c r="AH571" s="957"/>
      <c r="AI571" s="957"/>
      <c r="AJ571" s="957"/>
      <c r="AK571" s="957"/>
      <c r="AL571" s="957"/>
      <c r="AM571" s="957"/>
      <c r="AN571" s="957"/>
      <c r="AO571" s="957"/>
      <c r="AP571" s="957"/>
      <c r="AQ571" s="957"/>
      <c r="AR571" s="957"/>
      <c r="AS571" s="957"/>
      <c r="AT571" s="957"/>
      <c r="AU571" s="957"/>
      <c r="AV571" s="957"/>
      <c r="AW571" s="957"/>
      <c r="AX571" s="957"/>
      <c r="AY571" s="957"/>
      <c r="AZ571" s="957"/>
      <c r="BA571" s="957"/>
      <c r="BB571" s="957"/>
      <c r="BC571" s="957"/>
      <c r="BD571" s="957"/>
      <c r="BE571" s="957"/>
      <c r="BF571" s="957"/>
      <c r="BG571" s="957"/>
      <c r="BH571" s="691"/>
    </row>
    <row r="572" spans="1:123">
      <c r="A572" s="2172"/>
      <c r="B572" s="2117"/>
      <c r="C572" s="41"/>
      <c r="D572" s="26"/>
      <c r="E572" s="26"/>
      <c r="F572" s="26"/>
      <c r="G572" s="26"/>
      <c r="H572" s="26"/>
      <c r="I572" s="26"/>
      <c r="J572" s="75"/>
      <c r="K572" s="26"/>
      <c r="L572" s="75"/>
      <c r="M572" s="26"/>
      <c r="N572" s="1210"/>
      <c r="O572" s="475"/>
      <c r="P572" s="475"/>
      <c r="Q572" s="252"/>
      <c r="R572" s="252"/>
      <c r="S572" s="24"/>
      <c r="T572" s="26"/>
      <c r="V572" s="2163"/>
      <c r="W572" s="982" t="s">
        <v>49</v>
      </c>
      <c r="X572" s="291" t="s">
        <v>750</v>
      </c>
      <c r="Y572" s="169">
        <f>((14*$R$558)+(60000*$R$557)+$R$559+$T$564)*1.2</f>
        <v>3522.0305358539986</v>
      </c>
      <c r="Z572" s="169">
        <f>Y572-Y570</f>
        <v>548.29015439999921</v>
      </c>
      <c r="AA572" s="576">
        <f>(14-13)*$P$558</f>
        <v>47.879942</v>
      </c>
      <c r="AB572" s="918"/>
      <c r="AC572" s="26"/>
      <c r="AD572" s="24"/>
      <c r="AE572" s="26"/>
      <c r="AF572" s="75"/>
      <c r="AG572" s="26"/>
      <c r="AH572" s="957"/>
      <c r="AI572" s="957"/>
      <c r="AJ572" s="957"/>
      <c r="AK572" s="957"/>
      <c r="AL572" s="957"/>
      <c r="AM572" s="957"/>
      <c r="AN572" s="957"/>
      <c r="AO572" s="957"/>
      <c r="AP572" s="957"/>
      <c r="AQ572" s="957"/>
      <c r="AR572" s="957"/>
      <c r="AS572" s="957"/>
      <c r="AT572" s="957"/>
      <c r="AU572" s="957"/>
      <c r="AV572" s="957"/>
      <c r="AW572" s="957"/>
      <c r="AX572" s="957"/>
      <c r="AY572" s="957"/>
      <c r="AZ572" s="957"/>
      <c r="BA572" s="957"/>
      <c r="BB572" s="957"/>
      <c r="BC572" s="957"/>
      <c r="BD572" s="957"/>
      <c r="BE572" s="957"/>
      <c r="BF572" s="957"/>
      <c r="BG572" s="957"/>
      <c r="BH572" s="691"/>
    </row>
    <row r="573" spans="1:123">
      <c r="A573" s="2172"/>
      <c r="B573" s="2117"/>
      <c r="C573" s="41"/>
      <c r="D573" s="26"/>
      <c r="E573" s="26"/>
      <c r="F573" s="26"/>
      <c r="G573" s="26"/>
      <c r="H573" s="26"/>
      <c r="I573" s="26"/>
      <c r="J573" s="75"/>
      <c r="K573" s="26"/>
      <c r="L573" s="75"/>
      <c r="M573" s="26"/>
      <c r="N573" s="1210"/>
      <c r="O573" s="475"/>
      <c r="P573" s="475"/>
      <c r="Q573" s="252"/>
      <c r="R573" s="252"/>
      <c r="S573" s="24"/>
      <c r="T573" s="26"/>
      <c r="V573" s="2164"/>
      <c r="W573" s="19" t="s">
        <v>49</v>
      </c>
      <c r="X573" s="19" t="s">
        <v>751</v>
      </c>
      <c r="Y573" s="304">
        <f>((15*$R$558)+(60000*$R$557)+$R$559+$T$564)*1.2</f>
        <v>4070.3206902539978</v>
      </c>
      <c r="Z573" s="304">
        <f>Y573-Y570</f>
        <v>1096.5803087999984</v>
      </c>
      <c r="AA573" s="584">
        <f>(15-13)*$P$558</f>
        <v>95.759884</v>
      </c>
      <c r="AB573" s="918"/>
      <c r="AC573" s="26"/>
      <c r="AD573" s="24"/>
      <c r="AE573" s="26"/>
      <c r="AF573" s="75"/>
      <c r="AG573" s="26"/>
      <c r="AH573" s="957"/>
      <c r="AI573" s="957"/>
      <c r="AJ573" s="957"/>
      <c r="AK573" s="957"/>
      <c r="AL573" s="957"/>
      <c r="AM573" s="957"/>
      <c r="AN573" s="957"/>
      <c r="AO573" s="957"/>
      <c r="AP573" s="957"/>
      <c r="AQ573" s="957"/>
      <c r="AR573" s="957"/>
      <c r="AS573" s="957"/>
      <c r="AT573" s="957"/>
      <c r="AU573" s="957"/>
      <c r="AV573" s="957"/>
      <c r="AW573" s="957"/>
      <c r="AX573" s="957"/>
      <c r="AY573" s="957"/>
      <c r="AZ573" s="957"/>
      <c r="BA573" s="957"/>
      <c r="BB573" s="957"/>
      <c r="BC573" s="957"/>
      <c r="BD573" s="957"/>
      <c r="BE573" s="957"/>
      <c r="BF573" s="957"/>
      <c r="BG573" s="957"/>
      <c r="BH573" s="691"/>
    </row>
    <row r="574" spans="1:123" ht="19.5" thickBot="1">
      <c r="A574" s="1086"/>
      <c r="B574" s="2118"/>
      <c r="C574" s="41"/>
      <c r="D574" s="26"/>
      <c r="E574" s="26"/>
      <c r="F574" s="26"/>
      <c r="G574" s="26"/>
      <c r="H574" s="26"/>
      <c r="I574" s="26"/>
      <c r="J574" s="75"/>
      <c r="K574" s="26"/>
      <c r="L574" s="75"/>
      <c r="M574" s="26"/>
      <c r="N574" s="1210"/>
      <c r="O574" s="475"/>
      <c r="P574" s="475"/>
      <c r="Q574" s="252"/>
      <c r="R574" s="252"/>
      <c r="S574" s="896"/>
      <c r="T574" s="26"/>
      <c r="V574" s="1103"/>
      <c r="W574" s="370"/>
      <c r="X574" s="370"/>
      <c r="Y574" s="1104"/>
      <c r="Z574" s="1104"/>
      <c r="AA574" s="1105"/>
      <c r="AB574" s="918"/>
      <c r="AC574" s="26"/>
      <c r="AD574" s="896"/>
      <c r="AE574" s="1101"/>
      <c r="AF574" s="75"/>
      <c r="AG574" s="26"/>
      <c r="AH574" s="957"/>
      <c r="AI574" s="957"/>
      <c r="AJ574" s="957"/>
      <c r="AK574" s="957"/>
      <c r="AL574" s="957"/>
      <c r="AM574" s="957"/>
      <c r="AN574" s="957"/>
      <c r="AO574" s="957"/>
      <c r="AP574" s="957"/>
      <c r="AQ574" s="957"/>
      <c r="AR574" s="957"/>
      <c r="AS574" s="957"/>
      <c r="AT574" s="957"/>
      <c r="AU574" s="957"/>
      <c r="AV574" s="957"/>
      <c r="AW574" s="957"/>
      <c r="AX574" s="957"/>
      <c r="AY574" s="957"/>
      <c r="AZ574" s="957"/>
      <c r="BA574" s="957"/>
      <c r="BB574" s="957"/>
      <c r="BC574" s="957"/>
      <c r="BD574" s="957"/>
      <c r="BE574" s="957"/>
      <c r="BF574" s="957"/>
      <c r="BG574" s="957"/>
      <c r="BH574" s="691"/>
    </row>
    <row r="575" spans="1:123" s="705" customFormat="1" ht="9" customHeight="1" thickBot="1">
      <c r="A575" s="695"/>
      <c r="B575" s="815"/>
      <c r="C575" s="684"/>
      <c r="D575" s="683"/>
      <c r="E575" s="684"/>
      <c r="F575" s="684"/>
      <c r="G575" s="684"/>
      <c r="H575" s="684"/>
      <c r="I575" s="684"/>
      <c r="J575" s="682"/>
      <c r="K575" s="683"/>
      <c r="L575" s="682"/>
      <c r="M575" s="685"/>
      <c r="N575" s="1189"/>
      <c r="O575" s="686"/>
      <c r="P575" s="686"/>
      <c r="Q575" s="687"/>
      <c r="R575" s="687"/>
      <c r="S575" s="688"/>
      <c r="T575" s="688"/>
      <c r="U575" s="854"/>
      <c r="V575" s="893"/>
      <c r="W575" s="685"/>
      <c r="X575" s="685"/>
      <c r="Y575" s="688"/>
      <c r="Z575" s="688"/>
      <c r="AA575" s="688"/>
      <c r="AB575" s="846"/>
      <c r="AC575" s="685"/>
      <c r="AD575" s="685"/>
      <c r="AE575" s="685"/>
      <c r="AF575" s="689"/>
      <c r="AG575" s="685"/>
      <c r="AH575" s="958"/>
      <c r="AI575" s="958"/>
      <c r="AJ575" s="958"/>
      <c r="AK575" s="958"/>
      <c r="AL575" s="959"/>
      <c r="AM575" s="959"/>
      <c r="AN575" s="959"/>
      <c r="AO575" s="959"/>
      <c r="AP575" s="959"/>
      <c r="AQ575" s="959"/>
      <c r="AR575" s="959"/>
      <c r="AS575" s="959"/>
      <c r="AT575" s="959"/>
      <c r="AU575" s="959"/>
      <c r="AV575" s="959"/>
      <c r="AW575" s="959"/>
      <c r="AX575" s="959"/>
      <c r="AY575" s="959"/>
      <c r="AZ575" s="959"/>
      <c r="BA575" s="959"/>
      <c r="BB575" s="959"/>
      <c r="BC575" s="959"/>
      <c r="BD575" s="959"/>
      <c r="BE575" s="959"/>
      <c r="BF575" s="959"/>
      <c r="BG575" s="959"/>
      <c r="BH575" s="1125"/>
      <c r="CF575" s="692"/>
      <c r="CG575" s="692"/>
      <c r="CH575" s="692"/>
      <c r="CI575" s="692"/>
      <c r="CJ575" s="692"/>
      <c r="CK575" s="692"/>
      <c r="CL575" s="692"/>
      <c r="CM575" s="692"/>
      <c r="CN575" s="692"/>
      <c r="CO575" s="692"/>
      <c r="CP575" s="692"/>
      <c r="CQ575" s="692"/>
      <c r="CR575" s="692"/>
      <c r="CS575" s="692"/>
      <c r="CT575" s="692"/>
      <c r="CU575" s="692"/>
      <c r="CV575" s="692"/>
      <c r="CW575" s="692"/>
      <c r="CX575" s="692"/>
      <c r="CY575" s="692"/>
      <c r="CZ575" s="692"/>
      <c r="DA575" s="692"/>
      <c r="DB575" s="692"/>
      <c r="DC575" s="692"/>
      <c r="DD575" s="692"/>
      <c r="DE575" s="692"/>
      <c r="DF575" s="692"/>
      <c r="DG575" s="692"/>
      <c r="DH575" s="692"/>
      <c r="DI575" s="693"/>
      <c r="DJ575" s="692"/>
      <c r="DK575" s="692"/>
      <c r="DL575" s="692"/>
      <c r="DM575" s="692"/>
      <c r="DN575" s="692"/>
      <c r="DO575" s="692"/>
      <c r="DP575" s="692"/>
      <c r="DQ575" s="692"/>
      <c r="DR575" s="692"/>
      <c r="DS575" s="692"/>
    </row>
    <row r="576" spans="1:123" s="327" customFormat="1" ht="30" customHeight="1">
      <c r="A576" s="2119" t="s">
        <v>1308</v>
      </c>
      <c r="B576" s="984" t="s">
        <v>726</v>
      </c>
      <c r="C576" s="811" t="s">
        <v>12</v>
      </c>
      <c r="D576" s="173" t="s">
        <v>933</v>
      </c>
      <c r="E576" s="173">
        <v>83</v>
      </c>
      <c r="F576" s="599">
        <v>37497.589999999997</v>
      </c>
      <c r="G576" s="599">
        <v>12344.52</v>
      </c>
      <c r="H576" s="372">
        <v>1452.318</v>
      </c>
      <c r="I576" s="373">
        <v>433.42360000000002</v>
      </c>
      <c r="J576" s="231" t="s">
        <v>14</v>
      </c>
      <c r="K576" s="1136" t="s">
        <v>730</v>
      </c>
      <c r="L576" s="1089" t="s">
        <v>15</v>
      </c>
      <c r="M576" s="1090" t="s">
        <v>15</v>
      </c>
      <c r="N576" s="1211">
        <v>2.3001000000000001E-2</v>
      </c>
      <c r="O576" s="364">
        <v>17.649999999999999</v>
      </c>
      <c r="P576" s="364">
        <v>1.3033000000000001E-3</v>
      </c>
      <c r="Q576" s="208" t="s">
        <v>15</v>
      </c>
      <c r="R576" s="586">
        <f>N576</f>
        <v>2.3001000000000001E-2</v>
      </c>
      <c r="S576" s="124" t="s">
        <v>68</v>
      </c>
      <c r="T576" s="125" t="s">
        <v>69</v>
      </c>
      <c r="U576" s="858"/>
      <c r="V576" s="2411" t="s">
        <v>2749</v>
      </c>
      <c r="W576" s="720" t="s">
        <v>47</v>
      </c>
      <c r="X576" s="74" t="s">
        <v>941</v>
      </c>
      <c r="Y576" s="591">
        <f>((13*$R$577)+(36000*$R$576)+$R$578+$T$583)*1.2</f>
        <v>1268.5508550650604</v>
      </c>
      <c r="Z576" s="591" t="s">
        <v>40</v>
      </c>
      <c r="AA576" s="602" t="s">
        <v>40</v>
      </c>
      <c r="AB576" s="920"/>
      <c r="AC576" s="330"/>
      <c r="AD576" s="597"/>
      <c r="AE576" s="330"/>
      <c r="AF576" s="623" t="s">
        <v>47</v>
      </c>
      <c r="AG576" s="374" t="s">
        <v>955</v>
      </c>
      <c r="AH576" s="955">
        <f>((12.5*$R$577)+(36000*$R$576)+$R$578+$T$583)*1.2</f>
        <v>1130.3606754650602</v>
      </c>
      <c r="AI576" s="955">
        <f>1709*1.2</f>
        <v>2050.7999999999997</v>
      </c>
      <c r="AJ576" s="996">
        <f>AVERAGE(1077,1404)</f>
        <v>1240.5</v>
      </c>
      <c r="AK576" s="955"/>
      <c r="AL576" s="962"/>
      <c r="AM576" s="962"/>
      <c r="AN576" s="962"/>
      <c r="AO576" s="962"/>
      <c r="AP576" s="962"/>
      <c r="AQ576" s="962"/>
      <c r="AR576" s="962"/>
      <c r="AS576" s="962"/>
      <c r="AT576" s="962"/>
      <c r="AU576" s="962"/>
      <c r="AV576" s="962"/>
      <c r="AW576" s="962"/>
      <c r="AX576" s="962"/>
      <c r="AY576" s="962"/>
      <c r="AZ576" s="962"/>
      <c r="BA576" s="962"/>
      <c r="BB576" s="962"/>
      <c r="BC576" s="962"/>
      <c r="BD576" s="962"/>
      <c r="BE576" s="962"/>
      <c r="BF576" s="962"/>
      <c r="BG576" s="962"/>
      <c r="BH576" s="1130"/>
      <c r="DI576" s="598"/>
    </row>
    <row r="577" spans="1:113" s="557" customFormat="1" ht="15" customHeight="1">
      <c r="A577" s="2120"/>
      <c r="B577" s="817" t="s">
        <v>393</v>
      </c>
      <c r="C577" s="356" t="s">
        <v>12</v>
      </c>
      <c r="D577" s="89" t="s">
        <v>934</v>
      </c>
      <c r="E577" s="88">
        <v>83</v>
      </c>
      <c r="F577" s="152">
        <v>14.566269999999999</v>
      </c>
      <c r="G577" s="152">
        <v>1.1862299999999999</v>
      </c>
      <c r="H577" s="367">
        <v>1452.318</v>
      </c>
      <c r="I577" s="368">
        <v>433.42360000000002</v>
      </c>
      <c r="J577" s="448" t="s">
        <v>12</v>
      </c>
      <c r="K577" s="204" t="s">
        <v>935</v>
      </c>
      <c r="L577" s="234" t="s">
        <v>15</v>
      </c>
      <c r="M577" s="233" t="s">
        <v>15</v>
      </c>
      <c r="N577" s="1194">
        <v>230.31696600000001</v>
      </c>
      <c r="O577" s="142">
        <v>16.86</v>
      </c>
      <c r="P577" s="142">
        <v>13.6601833</v>
      </c>
      <c r="Q577" s="195" t="s">
        <v>15</v>
      </c>
      <c r="R577" s="251">
        <f>N577</f>
        <v>230.31696600000001</v>
      </c>
      <c r="S577" s="31" t="s">
        <v>735</v>
      </c>
      <c r="T577" s="588" t="s">
        <v>310</v>
      </c>
      <c r="U577" s="859"/>
      <c r="V577" s="2412"/>
      <c r="W577" s="982" t="s">
        <v>49</v>
      </c>
      <c r="X577" s="292" t="s">
        <v>942</v>
      </c>
      <c r="Y577" s="304">
        <f>((13*$R$577)+(36000*$R$576)+$R$578+$T$583)*1.2</f>
        <v>1268.5508550650604</v>
      </c>
      <c r="Z577" s="304">
        <f t="shared" ref="Z577:Z585" si="2">Y577-$Y$576</f>
        <v>0</v>
      </c>
      <c r="AA577" s="584">
        <f>(13-13)*$P$577</f>
        <v>0</v>
      </c>
      <c r="AB577" s="918"/>
      <c r="AC577" s="26"/>
      <c r="AD577" s="24"/>
      <c r="AE577" s="26"/>
      <c r="AF577" s="787" t="s">
        <v>47</v>
      </c>
      <c r="AG577" s="292" t="s">
        <v>942</v>
      </c>
      <c r="AH577" s="159">
        <f t="shared" ref="AH577:AH585" si="3">Y577</f>
        <v>1268.5508550650604</v>
      </c>
      <c r="AI577" s="159"/>
      <c r="AJ577" s="159">
        <v>1404</v>
      </c>
      <c r="AK577" s="159">
        <f>612*3</f>
        <v>1836</v>
      </c>
      <c r="AL577" s="957"/>
      <c r="AM577" s="957"/>
      <c r="AN577" s="1023"/>
      <c r="AO577" s="957"/>
      <c r="AP577" s="957"/>
      <c r="AQ577" s="957"/>
      <c r="AR577" s="957"/>
      <c r="AS577" s="957"/>
      <c r="AT577" s="957"/>
      <c r="AU577" s="957"/>
      <c r="AV577" s="957"/>
      <c r="AW577" s="957"/>
      <c r="AX577" s="957"/>
      <c r="AY577" s="957"/>
      <c r="AZ577" s="957"/>
      <c r="BA577" s="957"/>
      <c r="BB577" s="957"/>
      <c r="BC577" s="957"/>
      <c r="BD577" s="957"/>
      <c r="BE577" s="957"/>
      <c r="BF577" s="957"/>
      <c r="BG577" s="957"/>
      <c r="BH577" s="1125"/>
      <c r="DI577" s="569"/>
    </row>
    <row r="578" spans="1:113" s="557" customFormat="1" ht="15" customHeight="1">
      <c r="A578" s="2120"/>
      <c r="B578" s="2161" t="s">
        <v>153</v>
      </c>
      <c r="C578" s="2179" t="s">
        <v>13</v>
      </c>
      <c r="D578" s="74" t="s">
        <v>302</v>
      </c>
      <c r="E578" s="88">
        <v>22</v>
      </c>
      <c r="F578" s="195" t="s">
        <v>15</v>
      </c>
      <c r="G578" s="195" t="s">
        <v>15</v>
      </c>
      <c r="H578" s="367">
        <v>1375.5909999999999</v>
      </c>
      <c r="I578" s="368">
        <v>406.6431</v>
      </c>
      <c r="J578" s="234" t="s">
        <v>15</v>
      </c>
      <c r="K578" s="233" t="s">
        <v>15</v>
      </c>
      <c r="L578" s="234" t="s">
        <v>15</v>
      </c>
      <c r="M578" s="233" t="s">
        <v>15</v>
      </c>
      <c r="N578" s="1194">
        <v>-39.080793999999997</v>
      </c>
      <c r="O578" s="142">
        <v>-0.99</v>
      </c>
      <c r="P578" s="142">
        <v>39.533656999999998</v>
      </c>
      <c r="Q578" s="251">
        <f>E578/$E$577</f>
        <v>0.26506024096385544</v>
      </c>
      <c r="R578" s="2202">
        <f>SUMPRODUCT(N578:N580,Q578:Q580)</f>
        <v>-2.0805074457831321</v>
      </c>
      <c r="S578" s="127" t="s">
        <v>72</v>
      </c>
      <c r="T578" s="119" t="s">
        <v>119</v>
      </c>
      <c r="U578" s="855"/>
      <c r="V578" s="2412"/>
      <c r="W578" s="982" t="s">
        <v>49</v>
      </c>
      <c r="X578" s="292" t="s">
        <v>943</v>
      </c>
      <c r="Y578" s="304">
        <f>((14*$R$577)+(36000*$R$576)+$R$578+$T$583)*1.2</f>
        <v>1544.9312142650601</v>
      </c>
      <c r="Z578" s="304">
        <f t="shared" si="2"/>
        <v>276.3803591999997</v>
      </c>
      <c r="AA578" s="584">
        <f>(14-13)*$P$577</f>
        <v>13.6601833</v>
      </c>
      <c r="AB578" s="918"/>
      <c r="AC578" s="26"/>
      <c r="AD578" s="24"/>
      <c r="AE578" s="26"/>
      <c r="AF578" s="289" t="s">
        <v>49</v>
      </c>
      <c r="AG578" s="292" t="s">
        <v>943</v>
      </c>
      <c r="AH578" s="159">
        <f t="shared" si="3"/>
        <v>1544.9312142650601</v>
      </c>
      <c r="AI578" s="159"/>
      <c r="AJ578" s="159">
        <v>2412</v>
      </c>
      <c r="AK578" s="159">
        <f>731*3</f>
        <v>2193</v>
      </c>
      <c r="AL578" s="957"/>
      <c r="AM578" s="957"/>
      <c r="AN578" s="1023"/>
      <c r="AO578" s="957"/>
      <c r="AP578" s="503"/>
      <c r="AQ578" s="957"/>
      <c r="AR578" s="957"/>
      <c r="AS578" s="957"/>
      <c r="AT578" s="957"/>
      <c r="AU578" s="957"/>
      <c r="AV578" s="957"/>
      <c r="AW578" s="957"/>
      <c r="AX578" s="957"/>
      <c r="AY578" s="957"/>
      <c r="AZ578" s="957"/>
      <c r="BA578" s="957"/>
      <c r="BB578" s="957"/>
      <c r="BC578" s="957"/>
      <c r="BD578" s="957"/>
      <c r="BE578" s="957"/>
      <c r="BF578" s="957"/>
      <c r="BG578" s="957"/>
      <c r="BH578" s="1125"/>
      <c r="DI578" s="569"/>
    </row>
    <row r="579" spans="1:113" s="557" customFormat="1" ht="15" customHeight="1">
      <c r="A579" s="2120"/>
      <c r="B579" s="2161"/>
      <c r="C579" s="2187"/>
      <c r="D579" s="74" t="s">
        <v>303</v>
      </c>
      <c r="E579" s="88">
        <v>25</v>
      </c>
      <c r="F579" s="195" t="s">
        <v>15</v>
      </c>
      <c r="G579" s="195" t="s">
        <v>15</v>
      </c>
      <c r="H579" s="367">
        <v>1491.296</v>
      </c>
      <c r="I579" s="368">
        <v>431.91590000000002</v>
      </c>
      <c r="J579" s="234" t="s">
        <v>15</v>
      </c>
      <c r="K579" s="233" t="s">
        <v>15</v>
      </c>
      <c r="L579" s="234" t="s">
        <v>15</v>
      </c>
      <c r="M579" s="233" t="s">
        <v>15</v>
      </c>
      <c r="N579" s="1194">
        <v>27.483813999999999</v>
      </c>
      <c r="O579" s="142">
        <v>0.73</v>
      </c>
      <c r="P579" s="142">
        <v>37.799237699999999</v>
      </c>
      <c r="Q579" s="251">
        <f>E579/$E$577</f>
        <v>0.30120481927710846</v>
      </c>
      <c r="R579" s="2202"/>
      <c r="S579" s="423" t="s">
        <v>139</v>
      </c>
      <c r="T579" s="411" t="s">
        <v>140</v>
      </c>
      <c r="U579" s="859"/>
      <c r="V579" s="2412"/>
      <c r="W579" s="982" t="s">
        <v>49</v>
      </c>
      <c r="X579" s="292" t="s">
        <v>944</v>
      </c>
      <c r="Y579" s="304">
        <f>((15*$R$577)+(36000*$R$576)+$R$578+$T$583)*1.2</f>
        <v>1821.3115734650605</v>
      </c>
      <c r="Z579" s="304">
        <f t="shared" si="2"/>
        <v>552.76071840000009</v>
      </c>
      <c r="AA579" s="584">
        <f>(15-13)*$P$577</f>
        <v>27.3203666</v>
      </c>
      <c r="AB579" s="918"/>
      <c r="AC579" s="26"/>
      <c r="AD579" s="24"/>
      <c r="AE579" s="26"/>
      <c r="AF579" s="289" t="s">
        <v>49</v>
      </c>
      <c r="AG579" s="292" t="s">
        <v>944</v>
      </c>
      <c r="AH579" s="159">
        <f t="shared" si="3"/>
        <v>1821.3115734650605</v>
      </c>
      <c r="AI579" s="159"/>
      <c r="AJ579" s="159"/>
      <c r="AK579" s="159">
        <f>850*3</f>
        <v>2550</v>
      </c>
      <c r="AL579" s="957"/>
      <c r="AM579" s="957"/>
      <c r="AN579" s="1023"/>
      <c r="AO579" s="957"/>
      <c r="AP579" s="503"/>
      <c r="AQ579" s="957"/>
      <c r="AR579" s="957"/>
      <c r="AS579" s="957"/>
      <c r="AT579" s="957"/>
      <c r="AU579" s="957"/>
      <c r="AV579" s="957"/>
      <c r="AW579" s="957"/>
      <c r="AX579" s="957"/>
      <c r="AY579" s="957"/>
      <c r="AZ579" s="957"/>
      <c r="BA579" s="957"/>
      <c r="BB579" s="957"/>
      <c r="BC579" s="957"/>
      <c r="BD579" s="957"/>
      <c r="BE579" s="957"/>
      <c r="BF579" s="957"/>
      <c r="BG579" s="957"/>
      <c r="BH579" s="1125"/>
      <c r="DI579" s="569"/>
    </row>
    <row r="580" spans="1:113" s="557" customFormat="1" ht="15" customHeight="1">
      <c r="A580" s="2120"/>
      <c r="B580" s="2161"/>
      <c r="C580" s="2187"/>
      <c r="D580" s="74" t="s">
        <v>304</v>
      </c>
      <c r="E580" s="88">
        <v>36</v>
      </c>
      <c r="F580" s="195" t="s">
        <v>15</v>
      </c>
      <c r="G580" s="195" t="s">
        <v>15</v>
      </c>
      <c r="H580" s="367">
        <v>1472.1389999999999</v>
      </c>
      <c r="I580" s="368">
        <v>455.8442</v>
      </c>
      <c r="J580" s="234" t="s">
        <v>15</v>
      </c>
      <c r="K580" s="233" t="s">
        <v>15</v>
      </c>
      <c r="L580" s="234" t="s">
        <v>15</v>
      </c>
      <c r="M580" s="233" t="s">
        <v>15</v>
      </c>
      <c r="N580" s="1194">
        <v>0</v>
      </c>
      <c r="O580" s="142" t="s">
        <v>574</v>
      </c>
      <c r="P580" s="142" t="s">
        <v>574</v>
      </c>
      <c r="Q580" s="251">
        <f>E580/$E$577</f>
        <v>0.43373493975903615</v>
      </c>
      <c r="R580" s="2202"/>
      <c r="S580" s="127" t="s">
        <v>74</v>
      </c>
      <c r="T580" s="129" t="s">
        <v>75</v>
      </c>
      <c r="U580" s="858"/>
      <c r="V580" s="2412"/>
      <c r="W580" s="982" t="s">
        <v>49</v>
      </c>
      <c r="X580" s="292" t="s">
        <v>945</v>
      </c>
      <c r="Y580" s="304">
        <f>((16*$R$577)+(36000*$R$576)+$R$578+$T$583)*1.2</f>
        <v>2097.69193266506</v>
      </c>
      <c r="Z580" s="304">
        <f t="shared" si="2"/>
        <v>829.14107759999956</v>
      </c>
      <c r="AA580" s="584">
        <f>(16-13)*$P$577</f>
        <v>40.9805499</v>
      </c>
      <c r="AB580" s="918"/>
      <c r="AC580" s="26"/>
      <c r="AD580" s="24"/>
      <c r="AE580" s="26"/>
      <c r="AF580" s="289" t="s">
        <v>49</v>
      </c>
      <c r="AG580" s="292" t="s">
        <v>945</v>
      </c>
      <c r="AH580" s="159">
        <f t="shared" si="3"/>
        <v>2097.69193266506</v>
      </c>
      <c r="AI580" s="159"/>
      <c r="AJ580" s="159"/>
      <c r="AK580" s="159">
        <f>969*3</f>
        <v>2907</v>
      </c>
      <c r="AL580" s="957"/>
      <c r="AM580" s="957"/>
      <c r="AN580" s="1023"/>
      <c r="AO580" s="957"/>
      <c r="AP580" s="503"/>
      <c r="AQ580" s="957"/>
      <c r="AR580" s="957"/>
      <c r="AS580" s="957"/>
      <c r="AT580" s="957"/>
      <c r="AU580" s="957"/>
      <c r="AV580" s="957"/>
      <c r="AW580" s="957"/>
      <c r="AX580" s="957"/>
      <c r="AY580" s="957"/>
      <c r="AZ580" s="957"/>
      <c r="BA580" s="957"/>
      <c r="BB580" s="957"/>
      <c r="BC580" s="957"/>
      <c r="BD580" s="957"/>
      <c r="BE580" s="957"/>
      <c r="BF580" s="957"/>
      <c r="BG580" s="957"/>
      <c r="BH580" s="1125"/>
      <c r="DI580" s="569"/>
    </row>
    <row r="581" spans="1:113" s="557" customFormat="1" ht="15" customHeight="1">
      <c r="A581" s="2120"/>
      <c r="B581" s="821" t="s">
        <v>401</v>
      </c>
      <c r="C581" s="355" t="s">
        <v>15</v>
      </c>
      <c r="D581" s="148" t="s">
        <v>15</v>
      </c>
      <c r="E581" s="148" t="s">
        <v>15</v>
      </c>
      <c r="F581" s="195" t="s">
        <v>15</v>
      </c>
      <c r="G581" s="195" t="s">
        <v>15</v>
      </c>
      <c r="H581" s="148" t="s">
        <v>15</v>
      </c>
      <c r="I581" s="233" t="s">
        <v>15</v>
      </c>
      <c r="J581" s="226" t="s">
        <v>12</v>
      </c>
      <c r="K581" s="1138" t="s">
        <v>938</v>
      </c>
      <c r="L581" s="234" t="s">
        <v>15</v>
      </c>
      <c r="M581" s="233" t="s">
        <v>15</v>
      </c>
      <c r="N581" s="1209" t="s">
        <v>15</v>
      </c>
      <c r="O581" s="440" t="s">
        <v>15</v>
      </c>
      <c r="P581" s="440" t="s">
        <v>15</v>
      </c>
      <c r="Q581" s="195" t="s">
        <v>15</v>
      </c>
      <c r="R581" s="195" t="s">
        <v>15</v>
      </c>
      <c r="S581" s="86">
        <f>E577</f>
        <v>83</v>
      </c>
      <c r="T581" s="117" t="s">
        <v>15</v>
      </c>
      <c r="U581" s="854"/>
      <c r="V581" s="2412"/>
      <c r="W581" s="982" t="s">
        <v>49</v>
      </c>
      <c r="X581" s="292" t="s">
        <v>946</v>
      </c>
      <c r="Y581" s="304">
        <f>((17*$R$577)+(36000*$R$576)+$R$578+$T$583)*1.2</f>
        <v>2374.0722918650604</v>
      </c>
      <c r="Z581" s="304">
        <f t="shared" si="2"/>
        <v>1105.5214367999999</v>
      </c>
      <c r="AA581" s="584">
        <f>(17-13)*$P$577</f>
        <v>54.6407332</v>
      </c>
      <c r="AB581" s="918"/>
      <c r="AC581" s="26"/>
      <c r="AD581" s="24"/>
      <c r="AE581" s="26"/>
      <c r="AF581" s="289" t="s">
        <v>49</v>
      </c>
      <c r="AG581" s="292" t="s">
        <v>946</v>
      </c>
      <c r="AH581" s="159">
        <f t="shared" si="3"/>
        <v>2374.0722918650604</v>
      </c>
      <c r="AI581" s="159"/>
      <c r="AJ581" s="159"/>
      <c r="AK581" s="159">
        <f>1088*3</f>
        <v>3264</v>
      </c>
      <c r="AL581" s="957"/>
      <c r="AM581" s="957"/>
      <c r="AN581" s="1023"/>
      <c r="AO581" s="957"/>
      <c r="AP581" s="503"/>
      <c r="AQ581" s="957"/>
      <c r="AR581" s="957"/>
      <c r="AS581" s="957"/>
      <c r="AT581" s="957"/>
      <c r="AU581" s="957"/>
      <c r="AV581" s="957"/>
      <c r="AW581" s="957"/>
      <c r="AX581" s="957"/>
      <c r="AY581" s="957"/>
      <c r="AZ581" s="957"/>
      <c r="BA581" s="957"/>
      <c r="BB581" s="957"/>
      <c r="BC581" s="957"/>
      <c r="BD581" s="957"/>
      <c r="BE581" s="957"/>
      <c r="BF581" s="957"/>
      <c r="BG581" s="957"/>
      <c r="BH581" s="1125"/>
      <c r="DI581" s="569"/>
    </row>
    <row r="582" spans="1:113" s="557" customFormat="1" ht="15" customHeight="1">
      <c r="A582" s="2120"/>
      <c r="B582" s="822" t="s">
        <v>936</v>
      </c>
      <c r="C582" s="355" t="s">
        <v>15</v>
      </c>
      <c r="D582" s="148" t="s">
        <v>15</v>
      </c>
      <c r="E582" s="148" t="s">
        <v>15</v>
      </c>
      <c r="F582" s="195" t="s">
        <v>15</v>
      </c>
      <c r="G582" s="195" t="s">
        <v>15</v>
      </c>
      <c r="H582" s="148" t="s">
        <v>15</v>
      </c>
      <c r="I582" s="233" t="s">
        <v>15</v>
      </c>
      <c r="J582" s="226" t="s">
        <v>12</v>
      </c>
      <c r="K582" s="1138" t="s">
        <v>939</v>
      </c>
      <c r="L582" s="234" t="s">
        <v>15</v>
      </c>
      <c r="M582" s="233" t="s">
        <v>15</v>
      </c>
      <c r="N582" s="1209" t="s">
        <v>15</v>
      </c>
      <c r="O582" s="440" t="s">
        <v>15</v>
      </c>
      <c r="P582" s="440" t="s">
        <v>15</v>
      </c>
      <c r="Q582" s="195" t="s">
        <v>15</v>
      </c>
      <c r="R582" s="195" t="s">
        <v>15</v>
      </c>
      <c r="S582" s="127" t="s">
        <v>41</v>
      </c>
      <c r="T582" s="129" t="s">
        <v>42</v>
      </c>
      <c r="U582" s="858"/>
      <c r="V582" s="2412"/>
      <c r="W582" s="982" t="s">
        <v>49</v>
      </c>
      <c r="X582" s="292" t="s">
        <v>947</v>
      </c>
      <c r="Y582" s="304">
        <f>((18*$R$577)+(36000*$R$576)+$R$578+$T$583)*1.2</f>
        <v>2650.4526510650608</v>
      </c>
      <c r="Z582" s="304">
        <f t="shared" si="2"/>
        <v>1381.9017960000003</v>
      </c>
      <c r="AA582" s="584">
        <f>(18-13)*$P$577</f>
        <v>68.3009165</v>
      </c>
      <c r="AB582" s="918"/>
      <c r="AC582" s="26"/>
      <c r="AD582" s="24"/>
      <c r="AE582" s="26"/>
      <c r="AF582" s="289" t="s">
        <v>49</v>
      </c>
      <c r="AG582" s="292" t="s">
        <v>947</v>
      </c>
      <c r="AH582" s="159">
        <f t="shared" si="3"/>
        <v>2650.4526510650608</v>
      </c>
      <c r="AI582" s="159"/>
      <c r="AJ582" s="159"/>
      <c r="AK582" s="159">
        <f>1208*3</f>
        <v>3624</v>
      </c>
      <c r="AL582" s="957"/>
      <c r="AM582" s="957"/>
      <c r="AN582" s="1023"/>
      <c r="AO582" s="957"/>
      <c r="AP582" s="503"/>
      <c r="AQ582" s="957"/>
      <c r="AR582" s="957"/>
      <c r="AS582" s="957"/>
      <c r="AT582" s="957"/>
      <c r="AU582" s="957"/>
      <c r="AV582" s="957"/>
      <c r="AW582" s="957"/>
      <c r="AX582" s="957"/>
      <c r="AY582" s="957"/>
      <c r="AZ582" s="957"/>
      <c r="BA582" s="957"/>
      <c r="BB582" s="957"/>
      <c r="BC582" s="957"/>
      <c r="BD582" s="957"/>
      <c r="BE582" s="957"/>
      <c r="BF582" s="957"/>
      <c r="BG582" s="957"/>
      <c r="BH582" s="1125"/>
      <c r="DI582" s="569"/>
    </row>
    <row r="583" spans="1:113" s="327" customFormat="1" ht="30">
      <c r="A583" s="2120"/>
      <c r="B583" s="822" t="s">
        <v>937</v>
      </c>
      <c r="C583" s="992" t="s">
        <v>15</v>
      </c>
      <c r="D583" s="321" t="s">
        <v>15</v>
      </c>
      <c r="E583" s="321" t="s">
        <v>15</v>
      </c>
      <c r="F583" s="208" t="s">
        <v>15</v>
      </c>
      <c r="G583" s="208" t="s">
        <v>15</v>
      </c>
      <c r="H583" s="321" t="s">
        <v>15</v>
      </c>
      <c r="I583" s="592" t="s">
        <v>15</v>
      </c>
      <c r="J583" s="573" t="s">
        <v>14</v>
      </c>
      <c r="K583" s="1139" t="s">
        <v>940</v>
      </c>
      <c r="L583" s="1089" t="s">
        <v>15</v>
      </c>
      <c r="M583" s="1090" t="s">
        <v>15</v>
      </c>
      <c r="N583" s="1191" t="s">
        <v>15</v>
      </c>
      <c r="O583" s="456" t="s">
        <v>15</v>
      </c>
      <c r="P583" s="456" t="s">
        <v>15</v>
      </c>
      <c r="Q583" s="208" t="s">
        <v>15</v>
      </c>
      <c r="R583" s="208" t="s">
        <v>15</v>
      </c>
      <c r="S583" s="599">
        <v>0.89336400000000005</v>
      </c>
      <c r="T583" s="600">
        <v>-2762.9503380000001</v>
      </c>
      <c r="U583" s="871"/>
      <c r="V583" s="2412"/>
      <c r="W583" s="720" t="s">
        <v>49</v>
      </c>
      <c r="X583" s="74" t="s">
        <v>948</v>
      </c>
      <c r="Y583" s="304">
        <f>((19*$R$577)+(36000*$R$576)+$R$578+$T$583)*1.2</f>
        <v>2926.8330102650598</v>
      </c>
      <c r="Z583" s="304">
        <f t="shared" si="2"/>
        <v>1658.2821551999994</v>
      </c>
      <c r="AA583" s="584">
        <f>(19-13)*$P$577</f>
        <v>81.9610998</v>
      </c>
      <c r="AB583" s="918"/>
      <c r="AC583" s="330"/>
      <c r="AD583" s="502"/>
      <c r="AE583" s="330"/>
      <c r="AF583" s="658" t="s">
        <v>49</v>
      </c>
      <c r="AG583" s="74" t="s">
        <v>948</v>
      </c>
      <c r="AH583" s="159">
        <f t="shared" si="3"/>
        <v>2926.8330102650598</v>
      </c>
      <c r="AI583" s="955"/>
      <c r="AJ583" s="955"/>
      <c r="AK583" s="159">
        <f>1327*3</f>
        <v>3981</v>
      </c>
      <c r="AL583" s="962"/>
      <c r="AM583" s="962"/>
      <c r="AN583" s="1023"/>
      <c r="AO583" s="957"/>
      <c r="AP583" s="503"/>
      <c r="AQ583" s="962"/>
      <c r="AR583" s="962"/>
      <c r="AS583" s="962"/>
      <c r="AT583" s="962"/>
      <c r="AU583" s="962"/>
      <c r="AV583" s="962"/>
      <c r="AW583" s="962"/>
      <c r="AX583" s="962"/>
      <c r="AY583" s="962"/>
      <c r="AZ583" s="962"/>
      <c r="BA583" s="962"/>
      <c r="BB583" s="962"/>
      <c r="BC583" s="962"/>
      <c r="BD583" s="962"/>
      <c r="BE583" s="962"/>
      <c r="BF583" s="962"/>
      <c r="BG583" s="962"/>
      <c r="BH583" s="1130"/>
      <c r="DI583" s="598"/>
    </row>
    <row r="584" spans="1:113" s="557" customFormat="1" ht="15" customHeight="1">
      <c r="A584" s="2120"/>
      <c r="B584" s="2122" t="s">
        <v>194</v>
      </c>
      <c r="C584" s="812"/>
      <c r="D584" s="330"/>
      <c r="E584" s="174"/>
      <c r="F584" s="246"/>
      <c r="G584" s="246"/>
      <c r="H584" s="174"/>
      <c r="I584" s="174"/>
      <c r="J584" s="105"/>
      <c r="K584" s="330"/>
      <c r="L584" s="105"/>
      <c r="M584" s="26"/>
      <c r="N584" s="1205"/>
      <c r="O584" s="467"/>
      <c r="P584" s="467"/>
      <c r="Q584" s="252"/>
      <c r="R584" s="252"/>
      <c r="S584" s="118" t="s">
        <v>235</v>
      </c>
      <c r="T584" s="119" t="s">
        <v>391</v>
      </c>
      <c r="U584" s="855"/>
      <c r="V584" s="2412"/>
      <c r="W584" s="982" t="s">
        <v>49</v>
      </c>
      <c r="X584" s="292" t="s">
        <v>949</v>
      </c>
      <c r="Y584" s="304">
        <f>((20*$R$577)+(36000*$R$576)+$R$578+$T$583)*1.2</f>
        <v>3203.2133694650602</v>
      </c>
      <c r="Z584" s="304">
        <f t="shared" si="2"/>
        <v>1934.6625143999997</v>
      </c>
      <c r="AA584" s="584">
        <f>(20-13)*$P$577</f>
        <v>95.621283099999999</v>
      </c>
      <c r="AB584" s="918"/>
      <c r="AC584" s="26"/>
      <c r="AD584" s="24"/>
      <c r="AE584" s="26"/>
      <c r="AF584" s="289" t="s">
        <v>49</v>
      </c>
      <c r="AG584" s="292" t="s">
        <v>949</v>
      </c>
      <c r="AH584" s="159">
        <f t="shared" si="3"/>
        <v>3203.2133694650602</v>
      </c>
      <c r="AI584" s="159"/>
      <c r="AJ584" s="159"/>
      <c r="AK584" s="159">
        <f>1446*3</f>
        <v>4338</v>
      </c>
      <c r="AL584" s="957"/>
      <c r="AM584" s="957"/>
      <c r="AN584" s="1023"/>
      <c r="AO584" s="957"/>
      <c r="AP584" s="503"/>
      <c r="AQ584" s="957"/>
      <c r="AR584" s="957"/>
      <c r="AS584" s="957"/>
      <c r="AT584" s="957"/>
      <c r="AU584" s="957"/>
      <c r="AV584" s="957"/>
      <c r="AW584" s="957"/>
      <c r="AX584" s="957"/>
      <c r="AY584" s="957"/>
      <c r="AZ584" s="957"/>
      <c r="BA584" s="957"/>
      <c r="BB584" s="957"/>
      <c r="BC584" s="957"/>
      <c r="BD584" s="957"/>
      <c r="BE584" s="957"/>
      <c r="BF584" s="957"/>
      <c r="BG584" s="957"/>
      <c r="BH584" s="1125"/>
      <c r="DI584" s="569"/>
    </row>
    <row r="585" spans="1:113" s="557" customFormat="1" ht="15" customHeight="1">
      <c r="A585" s="2120"/>
      <c r="B585" s="2123"/>
      <c r="C585" s="174"/>
      <c r="D585" s="330"/>
      <c r="E585" s="174"/>
      <c r="F585" s="246"/>
      <c r="G585" s="246"/>
      <c r="H585" s="174"/>
      <c r="I585" s="174"/>
      <c r="J585" s="105"/>
      <c r="K585" s="330"/>
      <c r="L585" s="105"/>
      <c r="M585" s="26"/>
      <c r="N585" s="1205"/>
      <c r="O585" s="467"/>
      <c r="P585" s="467"/>
      <c r="Q585" s="252"/>
      <c r="R585" s="252"/>
      <c r="S585" s="86">
        <v>106.60299999999999</v>
      </c>
      <c r="T585" s="376">
        <v>0.2</v>
      </c>
      <c r="U585" s="870"/>
      <c r="V585" s="2412"/>
      <c r="W585" s="982" t="s">
        <v>49</v>
      </c>
      <c r="X585" s="292" t="s">
        <v>950</v>
      </c>
      <c r="Y585" s="304">
        <f>((21*$R$577)+(36000*$R$576)+$R$578+$T$583)*1.2</f>
        <v>3479.5937286650606</v>
      </c>
      <c r="Z585" s="304">
        <f t="shared" si="2"/>
        <v>2211.0428736000003</v>
      </c>
      <c r="AA585" s="584">
        <f>(21-13)*$P$577</f>
        <v>109.2814664</v>
      </c>
      <c r="AB585" s="918"/>
      <c r="AC585" s="26"/>
      <c r="AD585" s="24"/>
      <c r="AE585" s="26"/>
      <c r="AF585" s="289" t="s">
        <v>49</v>
      </c>
      <c r="AG585" s="292" t="s">
        <v>950</v>
      </c>
      <c r="AH585" s="159">
        <f t="shared" si="3"/>
        <v>3479.5937286650606</v>
      </c>
      <c r="AI585" s="159"/>
      <c r="AJ585" s="159"/>
      <c r="AK585" s="159">
        <f>1520.17*3</f>
        <v>4560.51</v>
      </c>
      <c r="AL585" s="957"/>
      <c r="AM585" s="957"/>
      <c r="AN585" s="1023"/>
      <c r="AO585" s="957"/>
      <c r="AP585" s="503"/>
      <c r="AQ585" s="957"/>
      <c r="AR585" s="957"/>
      <c r="AS585" s="957"/>
      <c r="AT585" s="957"/>
      <c r="AU585" s="957"/>
      <c r="AV585" s="957"/>
      <c r="AW585" s="957"/>
      <c r="AX585" s="957"/>
      <c r="AY585" s="957"/>
      <c r="AZ585" s="957"/>
      <c r="BA585" s="957"/>
      <c r="BB585" s="957"/>
      <c r="BC585" s="957"/>
      <c r="BD585" s="957"/>
      <c r="BE585" s="957"/>
      <c r="BF585" s="957"/>
      <c r="BG585" s="957"/>
      <c r="BH585" s="1125"/>
      <c r="DI585" s="569"/>
    </row>
    <row r="586" spans="1:113" s="557" customFormat="1" ht="15" customHeight="1">
      <c r="A586" s="2120"/>
      <c r="B586" s="2123"/>
      <c r="C586" s="174"/>
      <c r="D586" s="330"/>
      <c r="E586" s="174"/>
      <c r="F586" s="246"/>
      <c r="G586" s="246"/>
      <c r="H586" s="174"/>
      <c r="I586" s="174"/>
      <c r="J586" s="105"/>
      <c r="K586" s="330"/>
      <c r="L586" s="105"/>
      <c r="M586" s="26"/>
      <c r="N586" s="1205"/>
      <c r="O586" s="467"/>
      <c r="P586" s="467"/>
      <c r="Q586" s="252"/>
      <c r="R586" s="252"/>
      <c r="S586" s="585"/>
      <c r="T586" s="582"/>
      <c r="U586" s="870"/>
      <c r="V586" s="2412"/>
      <c r="W586" s="982" t="s">
        <v>47</v>
      </c>
      <c r="X586" s="292" t="s">
        <v>951</v>
      </c>
      <c r="Y586" s="304">
        <f>((13*$R$577)+(24000*$R$576)+$R$578+$T$583)*1.2</f>
        <v>937.33645506506014</v>
      </c>
      <c r="Z586" s="304" t="s">
        <v>40</v>
      </c>
      <c r="AA586" s="584" t="s">
        <v>40</v>
      </c>
      <c r="AB586" s="918"/>
      <c r="AC586" s="26"/>
      <c r="AD586" s="24"/>
      <c r="AE586" s="26"/>
      <c r="AF586" s="75"/>
      <c r="AG586" s="26"/>
      <c r="AH586" s="957"/>
      <c r="AI586" s="957"/>
      <c r="AJ586" s="957"/>
      <c r="AK586" s="957"/>
      <c r="AL586" s="957"/>
      <c r="AM586" s="957"/>
      <c r="AN586" s="957"/>
      <c r="AO586" s="957"/>
      <c r="AP586" s="957"/>
      <c r="AQ586" s="957"/>
      <c r="AR586" s="957"/>
      <c r="AS586" s="957"/>
      <c r="AT586" s="957"/>
      <c r="AU586" s="957"/>
      <c r="AV586" s="957"/>
      <c r="AW586" s="957"/>
      <c r="AX586" s="957"/>
      <c r="AY586" s="957"/>
      <c r="AZ586" s="957"/>
      <c r="BA586" s="957"/>
      <c r="BB586" s="957"/>
      <c r="BC586" s="957"/>
      <c r="BD586" s="957"/>
      <c r="BE586" s="957"/>
      <c r="BF586" s="957"/>
      <c r="BG586" s="957"/>
      <c r="BH586" s="1125"/>
      <c r="DI586" s="569"/>
    </row>
    <row r="587" spans="1:113" s="557" customFormat="1" ht="15" customHeight="1">
      <c r="A587" s="2120"/>
      <c r="B587" s="2123"/>
      <c r="C587" s="174"/>
      <c r="D587" s="330"/>
      <c r="E587" s="174"/>
      <c r="F587" s="246"/>
      <c r="G587" s="246"/>
      <c r="H587" s="174"/>
      <c r="I587" s="174"/>
      <c r="J587" s="105"/>
      <c r="K587" s="330"/>
      <c r="L587" s="105"/>
      <c r="M587" s="26"/>
      <c r="N587" s="1205"/>
      <c r="O587" s="467"/>
      <c r="P587" s="467"/>
      <c r="Q587" s="252"/>
      <c r="R587" s="252"/>
      <c r="S587" s="578"/>
      <c r="T587" s="582"/>
      <c r="U587" s="870"/>
      <c r="V587" s="2412"/>
      <c r="W587" s="982" t="s">
        <v>49</v>
      </c>
      <c r="X587" s="292" t="s">
        <v>951</v>
      </c>
      <c r="Y587" s="304">
        <f>((13*$R$577)+(24000*$R$576)+$R$578+$T$583)*1.2</f>
        <v>937.33645506506014</v>
      </c>
      <c r="Z587" s="304">
        <f>Y587-$Y$586</f>
        <v>0</v>
      </c>
      <c r="AA587" s="584">
        <f>(13-13)*$P$577</f>
        <v>0</v>
      </c>
      <c r="AB587" s="918"/>
      <c r="AC587" s="26"/>
      <c r="AD587" s="24"/>
      <c r="AE587" s="26"/>
      <c r="AF587" s="75"/>
      <c r="AG587" s="26"/>
      <c r="AH587" s="957"/>
      <c r="AI587" s="957"/>
      <c r="AJ587" s="957"/>
      <c r="AK587" s="957"/>
      <c r="AL587" s="957"/>
      <c r="AM587" s="957"/>
      <c r="AN587" s="957"/>
      <c r="AO587" s="957"/>
      <c r="AP587" s="957"/>
      <c r="AQ587" s="957"/>
      <c r="AR587" s="957"/>
      <c r="AS587" s="957"/>
      <c r="AT587" s="957"/>
      <c r="AU587" s="957"/>
      <c r="AV587" s="957"/>
      <c r="AW587" s="957"/>
      <c r="AX587" s="957"/>
      <c r="AY587" s="957"/>
      <c r="AZ587" s="957"/>
      <c r="BA587" s="957"/>
      <c r="BB587" s="957"/>
      <c r="BC587" s="957"/>
      <c r="BD587" s="957"/>
      <c r="BE587" s="957"/>
      <c r="BF587" s="957"/>
      <c r="BG587" s="957"/>
      <c r="BH587" s="1125"/>
      <c r="DI587" s="569"/>
    </row>
    <row r="588" spans="1:113" s="557" customFormat="1" ht="15" customHeight="1">
      <c r="A588" s="2120"/>
      <c r="B588" s="2123"/>
      <c r="C588" s="174"/>
      <c r="D588" s="330"/>
      <c r="E588" s="174"/>
      <c r="F588" s="246"/>
      <c r="G588" s="246"/>
      <c r="H588" s="174"/>
      <c r="I588" s="174"/>
      <c r="J588" s="105"/>
      <c r="K588" s="330"/>
      <c r="L588" s="105"/>
      <c r="M588" s="26"/>
      <c r="N588" s="1205"/>
      <c r="O588" s="467"/>
      <c r="P588" s="467"/>
      <c r="Q588" s="252"/>
      <c r="R588" s="252"/>
      <c r="S588" s="578"/>
      <c r="T588" s="582"/>
      <c r="U588" s="870"/>
      <c r="V588" s="2412"/>
      <c r="W588" s="982" t="s">
        <v>49</v>
      </c>
      <c r="X588" s="292" t="s">
        <v>952</v>
      </c>
      <c r="Y588" s="304">
        <f>((14*$R$577)+(24000*$R$576)+$R$578+$T$583)*1.2</f>
        <v>1213.7168142650601</v>
      </c>
      <c r="Z588" s="304">
        <f>Y588-$Y$586</f>
        <v>276.38035919999993</v>
      </c>
      <c r="AA588" s="584">
        <f>(14-13)*$P$577</f>
        <v>13.6601833</v>
      </c>
      <c r="AB588" s="918"/>
      <c r="AC588" s="26"/>
      <c r="AD588" s="24"/>
      <c r="AE588" s="26"/>
      <c r="AF588" s="75"/>
      <c r="AG588" s="26"/>
      <c r="AH588" s="957"/>
      <c r="AI588" s="957"/>
      <c r="AJ588" s="957"/>
      <c r="AK588" s="957"/>
      <c r="AL588" s="957"/>
      <c r="AM588" s="957"/>
      <c r="AN588" s="957"/>
      <c r="AO588" s="957"/>
      <c r="AP588" s="957"/>
      <c r="AQ588" s="957"/>
      <c r="AR588" s="957"/>
      <c r="AS588" s="957"/>
      <c r="AT588" s="957"/>
      <c r="AU588" s="957"/>
      <c r="AV588" s="957"/>
      <c r="AW588" s="957"/>
      <c r="AX588" s="957"/>
      <c r="AY588" s="957"/>
      <c r="AZ588" s="957"/>
      <c r="BA588" s="957"/>
      <c r="BB588" s="957"/>
      <c r="BC588" s="957"/>
      <c r="BD588" s="957"/>
      <c r="BE588" s="957"/>
      <c r="BF588" s="957"/>
      <c r="BG588" s="957"/>
      <c r="BH588" s="1125"/>
      <c r="DI588" s="569"/>
    </row>
    <row r="589" spans="1:113" s="557" customFormat="1" ht="15" customHeight="1">
      <c r="A589" s="2120"/>
      <c r="B589" s="2123"/>
      <c r="C589" s="174"/>
      <c r="D589" s="330"/>
      <c r="E589" s="174"/>
      <c r="F589" s="246"/>
      <c r="G589" s="246"/>
      <c r="H589" s="174"/>
      <c r="I589" s="174"/>
      <c r="J589" s="105"/>
      <c r="K589" s="330"/>
      <c r="L589" s="105"/>
      <c r="M589" s="26"/>
      <c r="N589" s="1205"/>
      <c r="O589" s="467"/>
      <c r="P589" s="467"/>
      <c r="Q589" s="252"/>
      <c r="R589" s="252"/>
      <c r="S589" s="578"/>
      <c r="T589" s="582"/>
      <c r="U589" s="870"/>
      <c r="V589" s="2412"/>
      <c r="W589" s="982" t="s">
        <v>47</v>
      </c>
      <c r="X589" s="292" t="s">
        <v>953</v>
      </c>
      <c r="Y589" s="304">
        <f>((13*$R$577)+(60000*$R$576)+$R$578+$T$583)*1.2</f>
        <v>1930.9796550650601</v>
      </c>
      <c r="Z589" s="304" t="s">
        <v>40</v>
      </c>
      <c r="AA589" s="584" t="s">
        <v>40</v>
      </c>
      <c r="AB589" s="918"/>
      <c r="AC589" s="26"/>
      <c r="AD589" s="24"/>
      <c r="AE589" s="26"/>
      <c r="AF589" s="75"/>
      <c r="AG589" s="26"/>
      <c r="AH589" s="957"/>
      <c r="AI589" s="957"/>
      <c r="AJ589" s="957"/>
      <c r="AK589" s="957"/>
      <c r="AL589" s="957"/>
      <c r="AM589" s="957"/>
      <c r="AN589" s="957"/>
      <c r="AO589" s="957"/>
      <c r="AP589" s="957"/>
      <c r="AQ589" s="957"/>
      <c r="AR589" s="957"/>
      <c r="AS589" s="957"/>
      <c r="AT589" s="957"/>
      <c r="AU589" s="957"/>
      <c r="AV589" s="957"/>
      <c r="AW589" s="957"/>
      <c r="AX589" s="957"/>
      <c r="AY589" s="957"/>
      <c r="AZ589" s="957"/>
      <c r="BA589" s="957"/>
      <c r="BB589" s="957"/>
      <c r="BC589" s="957"/>
      <c r="BD589" s="957"/>
      <c r="BE589" s="957"/>
      <c r="BF589" s="957"/>
      <c r="BG589" s="957"/>
      <c r="BH589" s="1125"/>
      <c r="DI589" s="569"/>
    </row>
    <row r="590" spans="1:113" s="557" customFormat="1" ht="15" customHeight="1">
      <c r="A590" s="2120"/>
      <c r="B590" s="2123"/>
      <c r="C590" s="174"/>
      <c r="D590" s="330"/>
      <c r="E590" s="174"/>
      <c r="F590" s="246"/>
      <c r="G590" s="246"/>
      <c r="H590" s="174"/>
      <c r="I590" s="174"/>
      <c r="J590" s="105"/>
      <c r="K590" s="330"/>
      <c r="L590" s="105"/>
      <c r="M590" s="26"/>
      <c r="N590" s="1205"/>
      <c r="O590" s="467"/>
      <c r="P590" s="467"/>
      <c r="Q590" s="252"/>
      <c r="R590" s="252"/>
      <c r="S590" s="578"/>
      <c r="T590" s="582"/>
      <c r="U590" s="870"/>
      <c r="V590" s="2412"/>
      <c r="W590" s="982" t="s">
        <v>49</v>
      </c>
      <c r="X590" s="292" t="s">
        <v>953</v>
      </c>
      <c r="Y590" s="304">
        <f>((13*$R$577)+(60000*$R$576)+$R$578+$T$583)*1.2</f>
        <v>1930.9796550650601</v>
      </c>
      <c r="Z590" s="304">
        <f>Y590-$Y$589</f>
        <v>0</v>
      </c>
      <c r="AA590" s="584">
        <f>(13-13)*$P$577</f>
        <v>0</v>
      </c>
      <c r="AB590" s="918"/>
      <c r="AC590" s="26"/>
      <c r="AD590" s="24"/>
      <c r="AE590" s="26"/>
      <c r="AF590" s="75"/>
      <c r="AG590" s="26"/>
      <c r="AH590" s="957"/>
      <c r="AI590" s="957"/>
      <c r="AJ590" s="957"/>
      <c r="AK590" s="957"/>
      <c r="AL590" s="957"/>
      <c r="AM590" s="957"/>
      <c r="AN590" s="957"/>
      <c r="AO590" s="957"/>
      <c r="AP590" s="957"/>
      <c r="AQ590" s="957"/>
      <c r="AR590" s="957"/>
      <c r="AS590" s="957"/>
      <c r="AT590" s="957"/>
      <c r="AU590" s="957"/>
      <c r="AV590" s="957"/>
      <c r="AW590" s="957"/>
      <c r="AX590" s="957"/>
      <c r="AY590" s="957"/>
      <c r="AZ590" s="957"/>
      <c r="BA590" s="957"/>
      <c r="BB590" s="957"/>
      <c r="BC590" s="957"/>
      <c r="BD590" s="957"/>
      <c r="BE590" s="957"/>
      <c r="BF590" s="957"/>
      <c r="BG590" s="957"/>
      <c r="BH590" s="1125"/>
      <c r="DI590" s="569"/>
    </row>
    <row r="591" spans="1:113" s="557" customFormat="1" ht="15.75" customHeight="1">
      <c r="A591" s="2120"/>
      <c r="B591" s="2123"/>
      <c r="C591" s="1106"/>
      <c r="D591" s="330"/>
      <c r="E591" s="174"/>
      <c r="F591" s="246"/>
      <c r="G591" s="246"/>
      <c r="H591" s="174"/>
      <c r="I591" s="174"/>
      <c r="J591" s="105"/>
      <c r="K591" s="330"/>
      <c r="L591" s="105"/>
      <c r="M591" s="26"/>
      <c r="N591" s="1205"/>
      <c r="O591" s="467"/>
      <c r="P591" s="467"/>
      <c r="Q591" s="252"/>
      <c r="R591" s="252"/>
      <c r="S591" s="578"/>
      <c r="T591" s="582"/>
      <c r="U591" s="870"/>
      <c r="V591" s="2413"/>
      <c r="W591" s="19" t="s">
        <v>49</v>
      </c>
      <c r="X591" s="80" t="s">
        <v>954</v>
      </c>
      <c r="Y591" s="304">
        <f>((14*$R$577)+(60000*$R$576)+$R$578+$T$583)*1.2</f>
        <v>2207.3600142650607</v>
      </c>
      <c r="Z591" s="304">
        <f>Y591-$Y$589</f>
        <v>276.38035920000061</v>
      </c>
      <c r="AA591" s="584">
        <f>(14-13)*$P$577</f>
        <v>13.6601833</v>
      </c>
      <c r="AB591" s="918"/>
      <c r="AC591" s="26"/>
      <c r="AD591" s="24"/>
      <c r="AE591" s="26"/>
      <c r="AF591" s="75"/>
      <c r="AG591" s="26"/>
      <c r="AH591" s="957"/>
      <c r="AI591" s="957"/>
      <c r="AJ591" s="957"/>
      <c r="AK591" s="957"/>
      <c r="AL591" s="957"/>
      <c r="AM591" s="957"/>
      <c r="AN591" s="957"/>
      <c r="AO591" s="957"/>
      <c r="AP591" s="957"/>
      <c r="AQ591" s="957"/>
      <c r="AR591" s="957"/>
      <c r="AS591" s="957"/>
      <c r="AT591" s="957"/>
      <c r="AU591" s="957"/>
      <c r="AV591" s="957"/>
      <c r="AW591" s="957"/>
      <c r="AX591" s="957"/>
      <c r="AY591" s="957"/>
      <c r="AZ591" s="957"/>
      <c r="BA591" s="957"/>
      <c r="BB591" s="957"/>
      <c r="BC591" s="957"/>
      <c r="BD591" s="957"/>
      <c r="BE591" s="957"/>
      <c r="BF591" s="957"/>
      <c r="BG591" s="957"/>
      <c r="BH591" s="1125"/>
      <c r="DI591" s="569"/>
    </row>
    <row r="592" spans="1:113" s="557" customFormat="1">
      <c r="A592" s="2120"/>
      <c r="B592" s="2123"/>
      <c r="C592" s="1106"/>
      <c r="D592" s="330"/>
      <c r="E592" s="174"/>
      <c r="F592" s="246"/>
      <c r="G592" s="246"/>
      <c r="H592" s="174"/>
      <c r="I592" s="174"/>
      <c r="J592" s="105"/>
      <c r="K592" s="330"/>
      <c r="L592" s="105"/>
      <c r="M592" s="26"/>
      <c r="N592" s="1205"/>
      <c r="O592" s="467"/>
      <c r="P592" s="467"/>
      <c r="Q592" s="252"/>
      <c r="R592" s="252"/>
      <c r="S592" s="578"/>
      <c r="T592" s="582"/>
      <c r="U592" s="870"/>
      <c r="V592" s="22"/>
      <c r="W592" s="27"/>
      <c r="X592" s="27"/>
      <c r="Y592" s="161"/>
      <c r="Z592" s="161"/>
      <c r="AA592" s="1109"/>
      <c r="AB592" s="918"/>
      <c r="AC592" s="26"/>
      <c r="AD592" s="24"/>
      <c r="AE592" s="782"/>
      <c r="AF592" s="75"/>
      <c r="AG592" s="26"/>
      <c r="AH592" s="957"/>
      <c r="AI592" s="957"/>
      <c r="AJ592" s="957"/>
      <c r="AK592" s="957"/>
      <c r="AL592" s="957"/>
      <c r="AM592" s="957"/>
      <c r="AN592" s="957"/>
      <c r="AO592" s="957"/>
      <c r="AP592" s="957"/>
      <c r="AQ592" s="957"/>
      <c r="AR592" s="957"/>
      <c r="AS592" s="957"/>
      <c r="AT592" s="957"/>
      <c r="AU592" s="957"/>
      <c r="AV592" s="957"/>
      <c r="AW592" s="957"/>
      <c r="AX592" s="957"/>
      <c r="AY592" s="957"/>
      <c r="AZ592" s="957"/>
      <c r="BA592" s="957"/>
      <c r="BB592" s="957"/>
      <c r="BC592" s="957"/>
      <c r="BD592" s="957"/>
      <c r="BE592" s="957"/>
      <c r="BF592" s="957"/>
      <c r="BG592" s="957"/>
      <c r="BH592" s="1125"/>
      <c r="DI592" s="569"/>
    </row>
    <row r="593" spans="1:113" s="557" customFormat="1" ht="15.75" thickBot="1">
      <c r="A593" s="2121"/>
      <c r="B593" s="2124"/>
      <c r="C593" s="1107"/>
      <c r="D593" s="330"/>
      <c r="E593" s="174"/>
      <c r="F593" s="246"/>
      <c r="G593" s="246"/>
      <c r="H593" s="174"/>
      <c r="I593" s="174"/>
      <c r="J593" s="105"/>
      <c r="K593" s="330"/>
      <c r="L593" s="105"/>
      <c r="M593" s="26"/>
      <c r="N593" s="1205"/>
      <c r="O593" s="467"/>
      <c r="P593" s="467"/>
      <c r="Q593" s="252"/>
      <c r="R593" s="252"/>
      <c r="S593" s="1108"/>
      <c r="T593" s="582"/>
      <c r="U593" s="870"/>
      <c r="V593" s="896"/>
      <c r="W593" s="184"/>
      <c r="X593" s="184"/>
      <c r="Y593" s="311"/>
      <c r="Z593" s="311"/>
      <c r="AA593" s="1110"/>
      <c r="AB593" s="918"/>
      <c r="AC593" s="26"/>
      <c r="AD593" s="896"/>
      <c r="AE593" s="1101"/>
      <c r="AF593" s="75"/>
      <c r="AG593" s="26"/>
      <c r="AH593" s="957"/>
      <c r="AI593" s="957"/>
      <c r="AJ593" s="957"/>
      <c r="AK593" s="957"/>
      <c r="AL593" s="957"/>
      <c r="AM593" s="957"/>
      <c r="AN593" s="957"/>
      <c r="AO593" s="957"/>
      <c r="AP593" s="957"/>
      <c r="AQ593" s="957"/>
      <c r="AR593" s="957"/>
      <c r="AS593" s="957"/>
      <c r="AT593" s="957"/>
      <c r="AU593" s="957"/>
      <c r="AV593" s="957"/>
      <c r="AW593" s="957"/>
      <c r="AX593" s="957"/>
      <c r="AY593" s="957"/>
      <c r="AZ593" s="957"/>
      <c r="BA593" s="957"/>
      <c r="BB593" s="957"/>
      <c r="BC593" s="957"/>
      <c r="BD593" s="957"/>
      <c r="BE593" s="957"/>
      <c r="BF593" s="957"/>
      <c r="BG593" s="957"/>
      <c r="BH593" s="1125"/>
      <c r="DI593" s="569"/>
    </row>
    <row r="594" spans="1:113" s="692" customFormat="1" ht="9" customHeight="1" thickBot="1">
      <c r="A594" s="695"/>
      <c r="B594" s="815"/>
      <c r="C594" s="684"/>
      <c r="D594" s="683"/>
      <c r="E594" s="707"/>
      <c r="F594" s="708"/>
      <c r="G594" s="708"/>
      <c r="H594" s="709"/>
      <c r="I594" s="709"/>
      <c r="J594" s="682"/>
      <c r="K594" s="683"/>
      <c r="L594" s="682"/>
      <c r="M594" s="685"/>
      <c r="N594" s="1189"/>
      <c r="O594" s="686"/>
      <c r="P594" s="686"/>
      <c r="Q594" s="687"/>
      <c r="R594" s="687"/>
      <c r="S594" s="688"/>
      <c r="T594" s="688"/>
      <c r="U594" s="854"/>
      <c r="V594" s="886"/>
      <c r="W594" s="685"/>
      <c r="X594" s="700"/>
      <c r="Y594" s="710"/>
      <c r="Z594" s="710"/>
      <c r="AA594" s="710"/>
      <c r="AB594" s="921"/>
      <c r="AC594" s="690"/>
      <c r="AD594" s="690"/>
      <c r="AE594" s="690"/>
      <c r="AF594" s="711"/>
      <c r="AG594" s="690"/>
      <c r="AH594" s="958"/>
      <c r="AI594" s="958"/>
      <c r="AJ594" s="958"/>
      <c r="AK594" s="958"/>
      <c r="AL594" s="958"/>
      <c r="AM594" s="958"/>
      <c r="AN594" s="958"/>
      <c r="AO594" s="958"/>
      <c r="AP594" s="958"/>
      <c r="AQ594" s="958"/>
      <c r="AR594" s="958"/>
      <c r="AS594" s="959"/>
      <c r="AT594" s="959"/>
      <c r="AU594" s="959"/>
      <c r="AV594" s="959"/>
      <c r="AW594" s="959"/>
      <c r="AX594" s="959"/>
      <c r="AY594" s="959"/>
      <c r="AZ594" s="959"/>
      <c r="BA594" s="959"/>
      <c r="BB594" s="959"/>
      <c r="BC594" s="959"/>
      <c r="BD594" s="959"/>
      <c r="BE594" s="959"/>
      <c r="BF594" s="959"/>
      <c r="BG594" s="959"/>
      <c r="BH594" s="1125"/>
      <c r="DI594" s="693"/>
    </row>
    <row r="595" spans="1:113">
      <c r="A595" s="2171" t="s">
        <v>1095</v>
      </c>
      <c r="B595" s="2222" t="s">
        <v>1054</v>
      </c>
      <c r="C595" s="2180" t="s">
        <v>13</v>
      </c>
      <c r="D595" s="401" t="s">
        <v>1055</v>
      </c>
      <c r="E595" s="88">
        <v>52</v>
      </c>
      <c r="F595" s="440" t="s">
        <v>15</v>
      </c>
      <c r="G595" s="440" t="s">
        <v>15</v>
      </c>
      <c r="H595" s="513">
        <v>236.49</v>
      </c>
      <c r="I595" s="570">
        <v>103.95</v>
      </c>
      <c r="J595" s="234" t="s">
        <v>15</v>
      </c>
      <c r="K595" s="233" t="s">
        <v>15</v>
      </c>
      <c r="L595" s="2236" t="s">
        <v>13</v>
      </c>
      <c r="M595" s="663" t="s">
        <v>1055</v>
      </c>
      <c r="N595" s="1208">
        <v>0</v>
      </c>
      <c r="O595" s="369" t="s">
        <v>574</v>
      </c>
      <c r="P595" s="369" t="s">
        <v>574</v>
      </c>
      <c r="Q595" s="195" t="s">
        <v>15</v>
      </c>
      <c r="R595" s="626">
        <f>N595</f>
        <v>0</v>
      </c>
      <c r="S595" s="149" t="s">
        <v>68</v>
      </c>
      <c r="T595" s="129" t="s">
        <v>69</v>
      </c>
      <c r="U595" s="858"/>
      <c r="V595" s="2193" t="s">
        <v>863</v>
      </c>
      <c r="W595" s="219" t="s">
        <v>47</v>
      </c>
      <c r="X595" s="219" t="s">
        <v>1096</v>
      </c>
      <c r="Y595" s="659">
        <f>(T602+(R598*0.5)+R599+(R605*3))*1.2</f>
        <v>261.73567741935483</v>
      </c>
      <c r="Z595" s="659" t="s">
        <v>40</v>
      </c>
      <c r="AA595" s="665" t="s">
        <v>40</v>
      </c>
      <c r="AB595" s="921"/>
      <c r="AC595" s="26"/>
      <c r="AD595" s="2131" t="s">
        <v>142</v>
      </c>
      <c r="AE595" s="2132"/>
      <c r="AF595" s="218" t="s">
        <v>47</v>
      </c>
      <c r="AG595" s="219" t="s">
        <v>1096</v>
      </c>
      <c r="AH595" s="159">
        <f>Y595</f>
        <v>261.73567741935483</v>
      </c>
      <c r="AI595" s="159">
        <v>122.97</v>
      </c>
      <c r="AJ595" s="159">
        <v>157.35</v>
      </c>
      <c r="AK595" s="159">
        <v>139.94999999999999</v>
      </c>
      <c r="AL595" s="159">
        <v>321.95</v>
      </c>
      <c r="AM595" s="159">
        <v>199.95</v>
      </c>
      <c r="AN595" s="159">
        <v>212.95</v>
      </c>
      <c r="AO595" s="159">
        <v>201.5</v>
      </c>
      <c r="AP595" s="1025"/>
      <c r="AQ595" s="1026"/>
      <c r="AR595" s="1026"/>
      <c r="AS595" s="957"/>
      <c r="AT595" s="957"/>
      <c r="AU595" s="957"/>
      <c r="AV595" s="957"/>
      <c r="AW595" s="957"/>
      <c r="AX595" s="957"/>
      <c r="AY595" s="957"/>
      <c r="AZ595" s="957"/>
      <c r="BA595" s="957"/>
      <c r="BB595" s="957"/>
      <c r="BC595" s="957"/>
      <c r="BD595" s="957"/>
      <c r="BE595" s="957"/>
      <c r="BF595" s="957"/>
      <c r="BG595" s="957"/>
    </row>
    <row r="596" spans="1:113">
      <c r="A596" s="2172"/>
      <c r="B596" s="2161"/>
      <c r="C596" s="2144"/>
      <c r="D596" s="86" t="s">
        <v>1056</v>
      </c>
      <c r="E596" s="88">
        <v>21</v>
      </c>
      <c r="F596" s="440" t="s">
        <v>15</v>
      </c>
      <c r="G596" s="440" t="s">
        <v>15</v>
      </c>
      <c r="H596" s="513">
        <v>304.39</v>
      </c>
      <c r="I596" s="570">
        <v>106.89</v>
      </c>
      <c r="J596" s="234" t="s">
        <v>15</v>
      </c>
      <c r="K596" s="233" t="s">
        <v>15</v>
      </c>
      <c r="L596" s="2237"/>
      <c r="M596" s="351" t="s">
        <v>2776</v>
      </c>
      <c r="N596" s="1208">
        <v>117.02</v>
      </c>
      <c r="O596" s="369">
        <v>4.7</v>
      </c>
      <c r="P596" s="369">
        <v>24.91</v>
      </c>
      <c r="Q596" s="195" t="s">
        <v>15</v>
      </c>
      <c r="R596" s="628">
        <f>N596</f>
        <v>117.02</v>
      </c>
      <c r="S596" s="452" t="s">
        <v>159</v>
      </c>
      <c r="T596" s="351" t="s">
        <v>310</v>
      </c>
      <c r="U596" s="854"/>
      <c r="V596" s="2136"/>
      <c r="W596" s="982" t="s">
        <v>49</v>
      </c>
      <c r="X596" s="291" t="s">
        <v>1097</v>
      </c>
      <c r="Y596" s="526">
        <f>(($R$598*0.5)+$R$597+$R$599+($R$605*5)+$T$602)*1.2</f>
        <v>352.41967741935491</v>
      </c>
      <c r="Z596" s="526">
        <f>Y596-Y595</f>
        <v>90.684000000000083</v>
      </c>
      <c r="AA596" s="15" t="s">
        <v>1105</v>
      </c>
      <c r="AC596" s="26"/>
      <c r="AD596" s="20" t="s">
        <v>98</v>
      </c>
      <c r="AE596" s="1062">
        <v>0.26</v>
      </c>
      <c r="AF596" s="289" t="s">
        <v>49</v>
      </c>
      <c r="AG596" s="291" t="s">
        <v>1097</v>
      </c>
      <c r="AH596" s="159">
        <f>Y596</f>
        <v>352.41967741935491</v>
      </c>
      <c r="AI596" s="159">
        <v>198.85</v>
      </c>
      <c r="AJ596" s="159">
        <v>507.95</v>
      </c>
      <c r="AK596" s="159">
        <v>674.99</v>
      </c>
      <c r="AL596" s="159">
        <v>640</v>
      </c>
      <c r="AM596" s="159"/>
      <c r="AN596" s="159"/>
      <c r="AO596" s="159"/>
      <c r="AP596" s="1011"/>
      <c r="AQ596" s="957"/>
      <c r="AR596" s="957"/>
      <c r="AS596" s="957"/>
      <c r="AT596" s="957"/>
      <c r="AU596" s="957"/>
      <c r="AV596" s="957"/>
      <c r="AW596" s="957"/>
      <c r="AX596" s="957"/>
      <c r="AY596" s="957"/>
      <c r="AZ596" s="957"/>
      <c r="BA596" s="957"/>
      <c r="BB596" s="957"/>
      <c r="BC596" s="957"/>
      <c r="BD596" s="957"/>
      <c r="BE596" s="957"/>
      <c r="BF596" s="957"/>
      <c r="BG596" s="957"/>
    </row>
    <row r="597" spans="1:113">
      <c r="A597" s="2172"/>
      <c r="B597" s="2161"/>
      <c r="C597" s="2144"/>
      <c r="D597" s="86" t="s">
        <v>1057</v>
      </c>
      <c r="E597" s="88">
        <v>20</v>
      </c>
      <c r="F597" s="440" t="s">
        <v>15</v>
      </c>
      <c r="G597" s="440" t="s">
        <v>15</v>
      </c>
      <c r="H597" s="513">
        <v>300.52</v>
      </c>
      <c r="I597" s="570">
        <v>114.92</v>
      </c>
      <c r="J597" s="234" t="s">
        <v>15</v>
      </c>
      <c r="K597" s="233" t="s">
        <v>15</v>
      </c>
      <c r="L597" s="2237"/>
      <c r="M597" s="351" t="s">
        <v>1062</v>
      </c>
      <c r="N597" s="1208">
        <v>123.15</v>
      </c>
      <c r="O597" s="369">
        <v>4.91</v>
      </c>
      <c r="P597" s="369">
        <v>25.09</v>
      </c>
      <c r="Q597" s="195" t="s">
        <v>15</v>
      </c>
      <c r="R597" s="628">
        <f>N597</f>
        <v>123.15</v>
      </c>
      <c r="S597" s="127" t="s">
        <v>72</v>
      </c>
      <c r="T597" s="119" t="s">
        <v>119</v>
      </c>
      <c r="U597" s="855"/>
      <c r="V597" s="897"/>
      <c r="W597" s="26"/>
      <c r="X597" s="26"/>
      <c r="Y597" s="26"/>
      <c r="Z597" s="26"/>
      <c r="AA597" s="24"/>
      <c r="AC597" s="26"/>
      <c r="AD597" s="20" t="s">
        <v>143</v>
      </c>
      <c r="AE597" s="1062">
        <v>0.56000000000000005</v>
      </c>
      <c r="AF597" s="75"/>
      <c r="AG597" s="26"/>
      <c r="AH597" s="957"/>
      <c r="AI597" s="957"/>
      <c r="AJ597" s="957"/>
      <c r="AK597" s="957"/>
      <c r="AL597" s="957"/>
      <c r="AM597" s="957"/>
      <c r="AN597" s="957"/>
      <c r="AO597" s="957"/>
      <c r="AP597" s="957"/>
      <c r="AQ597" s="957"/>
      <c r="AR597" s="957"/>
      <c r="AS597" s="957"/>
      <c r="AT597" s="957"/>
      <c r="AU597" s="957"/>
      <c r="AV597" s="957"/>
      <c r="AW597" s="957"/>
      <c r="AX597" s="957"/>
      <c r="AY597" s="957"/>
      <c r="AZ597" s="957"/>
      <c r="BA597" s="957"/>
      <c r="BB597" s="957"/>
      <c r="BC597" s="957"/>
      <c r="BD597" s="957"/>
      <c r="BE597" s="957"/>
      <c r="BF597" s="957"/>
      <c r="BG597" s="957"/>
    </row>
    <row r="598" spans="1:113">
      <c r="A598" s="2172"/>
      <c r="B598" s="991" t="s">
        <v>1058</v>
      </c>
      <c r="C598" s="981" t="s">
        <v>12</v>
      </c>
      <c r="D598" s="86" t="s">
        <v>1059</v>
      </c>
      <c r="E598" s="88">
        <v>93</v>
      </c>
      <c r="F598" s="369">
        <v>0.47</v>
      </c>
      <c r="G598" s="369">
        <v>0.22</v>
      </c>
      <c r="H598" s="513">
        <v>265.5</v>
      </c>
      <c r="I598" s="570">
        <v>110.85</v>
      </c>
      <c r="J598" s="234" t="s">
        <v>15</v>
      </c>
      <c r="K598" s="233" t="s">
        <v>15</v>
      </c>
      <c r="L598" s="289" t="s">
        <v>14</v>
      </c>
      <c r="M598" s="15" t="s">
        <v>1061</v>
      </c>
      <c r="N598" s="1208">
        <v>158.75</v>
      </c>
      <c r="O598" s="369">
        <v>4.0999999999999996</v>
      </c>
      <c r="P598" s="369">
        <v>38.72</v>
      </c>
      <c r="Q598" s="195" t="s">
        <v>15</v>
      </c>
      <c r="R598" s="628">
        <f>N598</f>
        <v>158.75</v>
      </c>
      <c r="S598" s="411" t="s">
        <v>139</v>
      </c>
      <c r="T598" s="411" t="s">
        <v>140</v>
      </c>
      <c r="U598" s="859"/>
      <c r="V598" s="24"/>
      <c r="W598" s="26"/>
      <c r="X598" s="26"/>
      <c r="Y598" s="26"/>
      <c r="Z598" s="26"/>
      <c r="AA598" s="24"/>
      <c r="AC598" s="26"/>
      <c r="AD598" s="20" t="s">
        <v>144</v>
      </c>
      <c r="AE598" s="1062">
        <v>-0.48</v>
      </c>
      <c r="AF598" s="75"/>
      <c r="AG598" s="26"/>
      <c r="AH598" s="957"/>
      <c r="AI598" s="957"/>
      <c r="AJ598" s="957"/>
      <c r="AK598" s="957"/>
      <c r="AL598" s="957"/>
      <c r="AM598" s="957"/>
      <c r="AN598" s="957"/>
      <c r="AO598" s="957"/>
      <c r="AP598" s="957"/>
      <c r="AQ598" s="957"/>
      <c r="AR598" s="957"/>
      <c r="AS598" s="957"/>
      <c r="AT598" s="957"/>
      <c r="AU598" s="957"/>
      <c r="AV598" s="957"/>
      <c r="AW598" s="957"/>
      <c r="AX598" s="957"/>
      <c r="AY598" s="957"/>
      <c r="AZ598" s="957"/>
      <c r="BA598" s="957"/>
      <c r="BB598" s="957"/>
      <c r="BC598" s="957"/>
      <c r="BD598" s="957"/>
      <c r="BE598" s="957"/>
      <c r="BF598" s="957"/>
      <c r="BG598" s="957"/>
    </row>
    <row r="599" spans="1:113">
      <c r="A599" s="2172"/>
      <c r="B599" s="2161" t="s">
        <v>1060</v>
      </c>
      <c r="C599" s="2144" t="s">
        <v>11</v>
      </c>
      <c r="D599" s="86" t="s">
        <v>33</v>
      </c>
      <c r="E599" s="88">
        <v>64</v>
      </c>
      <c r="F599" s="440" t="s">
        <v>15</v>
      </c>
      <c r="G599" s="440" t="s">
        <v>15</v>
      </c>
      <c r="H599" s="513">
        <v>243.77</v>
      </c>
      <c r="I599" s="570">
        <v>107.8</v>
      </c>
      <c r="J599" s="234" t="s">
        <v>15</v>
      </c>
      <c r="K599" s="233" t="s">
        <v>15</v>
      </c>
      <c r="L599" s="234" t="s">
        <v>15</v>
      </c>
      <c r="M599" s="233" t="s">
        <v>15</v>
      </c>
      <c r="N599" s="1208">
        <v>-96.81</v>
      </c>
      <c r="O599" s="369">
        <v>4.12</v>
      </c>
      <c r="P599" s="369">
        <v>23.48</v>
      </c>
      <c r="Q599" s="627">
        <f t="shared" ref="Q599:Q605" si="4">E599/$E$598</f>
        <v>0.68817204301075274</v>
      </c>
      <c r="R599" s="2280">
        <f>SUMPRODUCT(Q599:Q600,N599:N600)</f>
        <v>-66.621935483870971</v>
      </c>
      <c r="S599" s="127" t="s">
        <v>74</v>
      </c>
      <c r="T599" s="129" t="s">
        <v>75</v>
      </c>
      <c r="U599" s="858"/>
      <c r="V599" s="24"/>
      <c r="W599" s="26"/>
      <c r="X599" s="26"/>
      <c r="Y599" s="26"/>
      <c r="Z599" s="26"/>
      <c r="AA599" s="24"/>
      <c r="AC599" s="26"/>
      <c r="AD599" s="20" t="s">
        <v>145</v>
      </c>
      <c r="AE599" s="1062">
        <v>1.18</v>
      </c>
      <c r="AF599" s="75"/>
      <c r="AG599" s="26"/>
      <c r="AH599" s="957"/>
      <c r="AI599" s="503"/>
      <c r="AJ599" s="503"/>
      <c r="AK599" s="503"/>
      <c r="AL599" s="503"/>
      <c r="AM599" s="503"/>
      <c r="AN599" s="503"/>
      <c r="AO599" s="503"/>
      <c r="AP599" s="957"/>
      <c r="AQ599" s="957"/>
      <c r="AR599" s="957"/>
      <c r="AS599" s="957"/>
      <c r="AT599" s="957"/>
      <c r="AU599" s="957"/>
      <c r="AV599" s="957"/>
      <c r="AW599" s="957"/>
      <c r="AX599" s="957"/>
      <c r="AY599" s="957"/>
      <c r="AZ599" s="957"/>
      <c r="BA599" s="957"/>
      <c r="BB599" s="957"/>
      <c r="BC599" s="957"/>
      <c r="BD599" s="957"/>
      <c r="BE599" s="957"/>
      <c r="BF599" s="957"/>
      <c r="BG599" s="957"/>
    </row>
    <row r="600" spans="1:113">
      <c r="A600" s="2172"/>
      <c r="B600" s="2161"/>
      <c r="C600" s="2144"/>
      <c r="D600" s="86" t="s">
        <v>32</v>
      </c>
      <c r="E600" s="88">
        <v>29</v>
      </c>
      <c r="F600" s="440" t="s">
        <v>15</v>
      </c>
      <c r="G600" s="440" t="s">
        <v>15</v>
      </c>
      <c r="H600" s="513">
        <v>313.77</v>
      </c>
      <c r="I600" s="570">
        <v>103.62</v>
      </c>
      <c r="J600" s="234" t="s">
        <v>15</v>
      </c>
      <c r="K600" s="233" t="s">
        <v>15</v>
      </c>
      <c r="L600" s="234" t="s">
        <v>15</v>
      </c>
      <c r="M600" s="233" t="s">
        <v>15</v>
      </c>
      <c r="N600" s="1208"/>
      <c r="O600" s="369"/>
      <c r="P600" s="369"/>
      <c r="Q600" s="625">
        <f t="shared" si="4"/>
        <v>0.31182795698924731</v>
      </c>
      <c r="R600" s="2280"/>
      <c r="S600" s="396">
        <v>93</v>
      </c>
      <c r="T600" s="411" t="s">
        <v>140</v>
      </c>
      <c r="U600" s="859"/>
      <c r="V600" s="24"/>
      <c r="W600" s="26"/>
      <c r="X600" s="26"/>
      <c r="Y600" s="26"/>
      <c r="Z600" s="26"/>
      <c r="AA600" s="24"/>
      <c r="AC600" s="26"/>
      <c r="AD600" s="24"/>
      <c r="AE600" s="26"/>
      <c r="AF600" s="75"/>
      <c r="AG600" s="26"/>
      <c r="AH600" s="957"/>
      <c r="AI600" s="503"/>
      <c r="AJ600" s="503"/>
      <c r="AK600" s="503"/>
      <c r="AL600" s="503"/>
      <c r="AM600" s="503"/>
      <c r="AN600" s="503"/>
      <c r="AO600" s="503"/>
      <c r="AP600" s="957"/>
      <c r="AQ600" s="957"/>
      <c r="AR600" s="957"/>
      <c r="AS600" s="957"/>
      <c r="AT600" s="957"/>
      <c r="AU600" s="957"/>
      <c r="AV600" s="957"/>
      <c r="AW600" s="957"/>
      <c r="AX600" s="957"/>
      <c r="AY600" s="957"/>
      <c r="AZ600" s="957"/>
      <c r="BA600" s="957"/>
      <c r="BB600" s="957"/>
      <c r="BC600" s="957"/>
      <c r="BD600" s="957"/>
      <c r="BE600" s="957"/>
      <c r="BF600" s="957"/>
      <c r="BG600" s="957"/>
    </row>
    <row r="601" spans="1:113">
      <c r="A601" s="2172"/>
      <c r="B601" s="2161" t="s">
        <v>2774</v>
      </c>
      <c r="C601" s="2144" t="s">
        <v>11</v>
      </c>
      <c r="D601" s="86" t="s">
        <v>33</v>
      </c>
      <c r="E601" s="88">
        <v>2</v>
      </c>
      <c r="F601" s="440" t="s">
        <v>15</v>
      </c>
      <c r="G601" s="440" t="s">
        <v>15</v>
      </c>
      <c r="H601" s="513">
        <v>472.43</v>
      </c>
      <c r="I601" s="570">
        <v>127.6</v>
      </c>
      <c r="J601" s="234" t="s">
        <v>15</v>
      </c>
      <c r="K601" s="233" t="s">
        <v>15</v>
      </c>
      <c r="L601" s="234" t="s">
        <v>15</v>
      </c>
      <c r="M601" s="233" t="s">
        <v>15</v>
      </c>
      <c r="N601" s="1208">
        <v>100.43</v>
      </c>
      <c r="O601" s="369">
        <v>1.61</v>
      </c>
      <c r="P601" s="369">
        <v>62.19</v>
      </c>
      <c r="Q601" s="625">
        <f t="shared" si="4"/>
        <v>2.1505376344086023E-2</v>
      </c>
      <c r="R601" s="2280">
        <f>SUMPRODUCT(Q601:Q604,N601:N604)</f>
        <v>2.1597849462365595</v>
      </c>
      <c r="S601" s="127" t="s">
        <v>41</v>
      </c>
      <c r="T601" s="129" t="s">
        <v>42</v>
      </c>
      <c r="U601" s="858"/>
      <c r="V601" s="24"/>
      <c r="W601" s="26"/>
      <c r="X601" s="26"/>
      <c r="Y601" s="26"/>
      <c r="Z601" s="26"/>
      <c r="AA601" s="24"/>
      <c r="AC601" s="26"/>
      <c r="AD601" s="24"/>
      <c r="AE601" s="26"/>
      <c r="AF601" s="75"/>
      <c r="AG601" s="26"/>
      <c r="AH601" s="957"/>
      <c r="AI601" s="957"/>
      <c r="AJ601" s="957"/>
      <c r="AK601" s="957"/>
      <c r="AL601" s="957"/>
      <c r="AM601" s="957"/>
      <c r="AN601" s="957"/>
      <c r="AO601" s="957"/>
      <c r="AP601" s="957"/>
      <c r="AQ601" s="957"/>
      <c r="AR601" s="957"/>
      <c r="AS601" s="957"/>
      <c r="AT601" s="957"/>
      <c r="AU601" s="957"/>
      <c r="AV601" s="957"/>
      <c r="AW601" s="957"/>
      <c r="AX601" s="957"/>
      <c r="AY601" s="957"/>
      <c r="AZ601" s="957"/>
      <c r="BA601" s="957"/>
      <c r="BB601" s="957"/>
      <c r="BC601" s="957"/>
      <c r="BD601" s="957"/>
      <c r="BE601" s="957"/>
      <c r="BF601" s="957"/>
      <c r="BG601" s="957"/>
    </row>
    <row r="602" spans="1:113">
      <c r="A602" s="2172"/>
      <c r="B602" s="2161"/>
      <c r="C602" s="2144"/>
      <c r="D602" s="86" t="s">
        <v>32</v>
      </c>
      <c r="E602" s="88">
        <v>91</v>
      </c>
      <c r="F602" s="440" t="s">
        <v>15</v>
      </c>
      <c r="G602" s="440" t="s">
        <v>15</v>
      </c>
      <c r="H602" s="513">
        <v>261.05</v>
      </c>
      <c r="I602" s="570">
        <v>106.81</v>
      </c>
      <c r="J602" s="234" t="s">
        <v>15</v>
      </c>
      <c r="K602" s="233" t="s">
        <v>15</v>
      </c>
      <c r="L602" s="234" t="s">
        <v>15</v>
      </c>
      <c r="M602" s="233" t="s">
        <v>15</v>
      </c>
      <c r="N602" s="1208"/>
      <c r="O602" s="369"/>
      <c r="P602" s="369"/>
      <c r="Q602" s="625">
        <f t="shared" si="4"/>
        <v>0.978494623655914</v>
      </c>
      <c r="R602" s="2280"/>
      <c r="S602" s="639">
        <v>0.51</v>
      </c>
      <c r="T602" s="157">
        <v>276.73</v>
      </c>
      <c r="U602" s="861"/>
      <c r="V602" s="24"/>
      <c r="W602" s="26"/>
      <c r="X602" s="26"/>
      <c r="Y602" s="26"/>
      <c r="Z602" s="26"/>
      <c r="AA602" s="24"/>
      <c r="AC602" s="26"/>
      <c r="AD602" s="24"/>
      <c r="AE602" s="26"/>
      <c r="AF602" s="75"/>
      <c r="AG602" s="26"/>
      <c r="AH602" s="957"/>
      <c r="AI602" s="957"/>
      <c r="AJ602" s="957"/>
      <c r="AK602" s="957"/>
      <c r="AL602" s="957"/>
      <c r="AM602" s="957"/>
      <c r="AN602" s="957"/>
      <c r="AO602" s="957"/>
      <c r="AP602" s="957"/>
      <c r="AQ602" s="957"/>
      <c r="AR602" s="957"/>
      <c r="AS602" s="957"/>
      <c r="AT602" s="957"/>
      <c r="AU602" s="957"/>
      <c r="AV602" s="957"/>
      <c r="AW602" s="957"/>
      <c r="AX602" s="957"/>
      <c r="AY602" s="957"/>
      <c r="AZ602" s="957"/>
      <c r="BA602" s="957"/>
      <c r="BB602" s="957"/>
      <c r="BC602" s="957"/>
      <c r="BD602" s="957"/>
      <c r="BE602" s="957"/>
      <c r="BF602" s="957"/>
      <c r="BG602" s="957"/>
    </row>
    <row r="603" spans="1:113">
      <c r="A603" s="2172"/>
      <c r="B603" s="2161"/>
      <c r="C603" s="2144"/>
      <c r="D603" s="86"/>
      <c r="E603" s="88"/>
      <c r="F603" s="440" t="s">
        <v>15</v>
      </c>
      <c r="G603" s="440" t="s">
        <v>15</v>
      </c>
      <c r="H603" s="513"/>
      <c r="I603" s="570"/>
      <c r="J603" s="234" t="s">
        <v>15</v>
      </c>
      <c r="K603" s="233" t="s">
        <v>15</v>
      </c>
      <c r="L603" s="234" t="s">
        <v>15</v>
      </c>
      <c r="M603" s="233" t="s">
        <v>15</v>
      </c>
      <c r="N603" s="1208"/>
      <c r="O603" s="369"/>
      <c r="P603" s="369"/>
      <c r="Q603" s="195" t="s">
        <v>15</v>
      </c>
      <c r="R603" s="2280"/>
      <c r="S603" s="118" t="s">
        <v>235</v>
      </c>
      <c r="T603" s="119" t="s">
        <v>391</v>
      </c>
      <c r="U603" s="855"/>
      <c r="V603" s="24"/>
      <c r="W603" s="26"/>
      <c r="X603" s="26"/>
      <c r="Y603" s="26"/>
      <c r="Z603" s="26"/>
      <c r="AA603" s="24"/>
      <c r="AC603" s="26"/>
      <c r="AD603" s="24"/>
      <c r="AE603" s="26"/>
      <c r="AF603" s="75"/>
      <c r="AG603" s="26"/>
      <c r="AH603" s="957"/>
      <c r="AI603" s="957"/>
      <c r="AJ603" s="957"/>
      <c r="AK603" s="957"/>
      <c r="AL603" s="957"/>
      <c r="AM603" s="957"/>
      <c r="AN603" s="957"/>
      <c r="AO603" s="957"/>
      <c r="AP603" s="957"/>
      <c r="AQ603" s="957"/>
      <c r="AR603" s="957"/>
      <c r="AS603" s="957"/>
      <c r="AT603" s="957"/>
      <c r="AU603" s="957"/>
      <c r="AV603" s="957"/>
      <c r="AW603" s="957"/>
      <c r="AX603" s="957"/>
      <c r="AY603" s="957"/>
      <c r="AZ603" s="957"/>
      <c r="BA603" s="957"/>
      <c r="BB603" s="957"/>
      <c r="BC603" s="957"/>
      <c r="BD603" s="957"/>
      <c r="BE603" s="957"/>
      <c r="BF603" s="957"/>
      <c r="BG603" s="957"/>
    </row>
    <row r="604" spans="1:113">
      <c r="A604" s="2172"/>
      <c r="B604" s="2191"/>
      <c r="C604" s="2144"/>
      <c r="D604" s="86"/>
      <c r="E604" s="88"/>
      <c r="F604" s="440" t="s">
        <v>15</v>
      </c>
      <c r="G604" s="440" t="s">
        <v>15</v>
      </c>
      <c r="H604" s="513"/>
      <c r="I604" s="570"/>
      <c r="J604" s="234" t="s">
        <v>15</v>
      </c>
      <c r="K604" s="233" t="s">
        <v>15</v>
      </c>
      <c r="L604" s="234" t="s">
        <v>15</v>
      </c>
      <c r="M604" s="233" t="s">
        <v>15</v>
      </c>
      <c r="N604" s="1208"/>
      <c r="O604" s="369"/>
      <c r="P604" s="369"/>
      <c r="Q604" s="195" t="s">
        <v>15</v>
      </c>
      <c r="R604" s="2280"/>
      <c r="S604" s="640">
        <v>60.34</v>
      </c>
      <c r="T604" s="800">
        <v>0.2</v>
      </c>
      <c r="U604" s="862"/>
      <c r="V604" s="24"/>
      <c r="W604" s="26"/>
      <c r="X604" s="26"/>
      <c r="Y604" s="26"/>
      <c r="Z604" s="26"/>
      <c r="AA604" s="24"/>
      <c r="AC604" s="26"/>
      <c r="AD604" s="24"/>
      <c r="AE604" s="26"/>
      <c r="AF604" s="75"/>
      <c r="AG604" s="26"/>
      <c r="AH604" s="957"/>
      <c r="AI604" s="957"/>
      <c r="AJ604" s="957"/>
      <c r="AK604" s="957"/>
      <c r="AL604" s="957"/>
      <c r="AM604" s="957"/>
      <c r="AN604" s="957"/>
      <c r="AO604" s="957"/>
      <c r="AP604" s="957"/>
      <c r="AQ604" s="957"/>
      <c r="AR604" s="957"/>
      <c r="AS604" s="957"/>
      <c r="AT604" s="957"/>
      <c r="AU604" s="957"/>
      <c r="AV604" s="957"/>
      <c r="AW604" s="957"/>
      <c r="AX604" s="957"/>
      <c r="AY604" s="957"/>
      <c r="AZ604" s="957"/>
      <c r="BA604" s="957"/>
      <c r="BB604" s="957"/>
      <c r="BC604" s="957"/>
      <c r="BD604" s="957"/>
      <c r="BE604" s="957"/>
      <c r="BF604" s="957"/>
      <c r="BG604" s="957"/>
    </row>
    <row r="605" spans="1:113">
      <c r="A605" s="2172"/>
      <c r="B605" s="2161" t="s">
        <v>2775</v>
      </c>
      <c r="C605" s="2144" t="s">
        <v>12</v>
      </c>
      <c r="D605" s="2100" t="s">
        <v>1087</v>
      </c>
      <c r="E605" s="88">
        <v>93</v>
      </c>
      <c r="F605" s="460">
        <v>3.15</v>
      </c>
      <c r="G605" s="460">
        <v>1.1399999999999999</v>
      </c>
      <c r="H605" s="513">
        <v>265.5</v>
      </c>
      <c r="I605" s="570">
        <v>110.85</v>
      </c>
      <c r="J605" s="234" t="s">
        <v>15</v>
      </c>
      <c r="K605" s="233" t="s">
        <v>15</v>
      </c>
      <c r="L605" s="234" t="s">
        <v>15</v>
      </c>
      <c r="M605" s="233" t="s">
        <v>15</v>
      </c>
      <c r="N605" s="1208">
        <v>-23.79</v>
      </c>
      <c r="O605" s="369">
        <v>2.2599999999999998</v>
      </c>
      <c r="P605" s="369">
        <v>10.55</v>
      </c>
      <c r="Q605" s="625">
        <f t="shared" si="4"/>
        <v>1</v>
      </c>
      <c r="R605" s="2280">
        <f>SUMPRODUCT(Q605:Q608,N605:N608)</f>
        <v>-23.79</v>
      </c>
      <c r="S605" s="630"/>
      <c r="T605" s="26"/>
      <c r="V605" s="24"/>
      <c r="W605" s="26"/>
      <c r="X605" s="26"/>
      <c r="Y605" s="26"/>
      <c r="Z605" s="26"/>
      <c r="AA605" s="24"/>
      <c r="AC605" s="26"/>
      <c r="AD605" s="24"/>
      <c r="AE605" s="26"/>
      <c r="AF605" s="75"/>
      <c r="AG605" s="26"/>
      <c r="AH605" s="957"/>
      <c r="AI605" s="957"/>
      <c r="AJ605" s="957"/>
      <c r="AK605" s="957"/>
      <c r="AL605" s="957"/>
      <c r="AM605" s="957"/>
      <c r="AN605" s="957"/>
      <c r="AO605" s="957"/>
      <c r="AP605" s="957"/>
      <c r="AQ605" s="957"/>
      <c r="AR605" s="957"/>
      <c r="AS605" s="957"/>
      <c r="AT605" s="957"/>
      <c r="AU605" s="957"/>
      <c r="AV605" s="957"/>
      <c r="AW605" s="957"/>
      <c r="AX605" s="957"/>
      <c r="AY605" s="957"/>
      <c r="AZ605" s="957"/>
      <c r="BA605" s="957"/>
      <c r="BB605" s="957"/>
      <c r="BC605" s="957"/>
      <c r="BD605" s="957"/>
      <c r="BE605" s="957"/>
      <c r="BF605" s="957"/>
      <c r="BG605" s="957"/>
    </row>
    <row r="606" spans="1:113">
      <c r="A606" s="2172"/>
      <c r="B606" s="2161"/>
      <c r="C606" s="2144"/>
      <c r="D606" s="86"/>
      <c r="E606" s="88"/>
      <c r="F606" s="440" t="s">
        <v>15</v>
      </c>
      <c r="G606" s="440" t="s">
        <v>15</v>
      </c>
      <c r="H606" s="513"/>
      <c r="I606" s="570"/>
      <c r="J606" s="234" t="s">
        <v>15</v>
      </c>
      <c r="K606" s="233" t="s">
        <v>15</v>
      </c>
      <c r="L606" s="234" t="s">
        <v>15</v>
      </c>
      <c r="M606" s="233" t="s">
        <v>15</v>
      </c>
      <c r="N606" s="1208"/>
      <c r="O606" s="369"/>
      <c r="P606" s="369"/>
      <c r="Q606" s="195" t="s">
        <v>15</v>
      </c>
      <c r="R606" s="2280"/>
      <c r="S606" s="629"/>
      <c r="T606" s="26"/>
      <c r="V606" s="24"/>
      <c r="W606" s="26"/>
      <c r="X606" s="26"/>
      <c r="Y606" s="26"/>
      <c r="Z606" s="26"/>
      <c r="AA606" s="24"/>
      <c r="AC606" s="26"/>
      <c r="AD606" s="24"/>
      <c r="AE606" s="26"/>
      <c r="AF606" s="75"/>
      <c r="AG606" s="26"/>
      <c r="AH606" s="957"/>
      <c r="AI606" s="957"/>
      <c r="AJ606" s="957"/>
      <c r="AK606" s="957"/>
      <c r="AL606" s="957"/>
      <c r="AM606" s="957"/>
      <c r="AN606" s="957"/>
      <c r="AO606" s="957"/>
      <c r="AP606" s="957"/>
      <c r="AQ606" s="957"/>
      <c r="AR606" s="957"/>
      <c r="AS606" s="957"/>
      <c r="AT606" s="957"/>
      <c r="AU606" s="957"/>
      <c r="AV606" s="957"/>
      <c r="AW606" s="957"/>
      <c r="AX606" s="957"/>
      <c r="AY606" s="957"/>
      <c r="AZ606" s="957"/>
      <c r="BA606" s="957"/>
      <c r="BB606" s="957"/>
      <c r="BC606" s="957"/>
      <c r="BD606" s="957"/>
      <c r="BE606" s="957"/>
      <c r="BF606" s="957"/>
      <c r="BG606" s="957"/>
    </row>
    <row r="607" spans="1:113">
      <c r="A607" s="2172"/>
      <c r="B607" s="2161"/>
      <c r="C607" s="2144"/>
      <c r="D607" s="86"/>
      <c r="E607" s="88"/>
      <c r="F607" s="440" t="s">
        <v>15</v>
      </c>
      <c r="G607" s="440" t="s">
        <v>15</v>
      </c>
      <c r="H607" s="513"/>
      <c r="I607" s="570"/>
      <c r="J607" s="234" t="s">
        <v>15</v>
      </c>
      <c r="K607" s="233" t="s">
        <v>15</v>
      </c>
      <c r="L607" s="234" t="s">
        <v>15</v>
      </c>
      <c r="M607" s="233" t="s">
        <v>15</v>
      </c>
      <c r="N607" s="1208"/>
      <c r="O607" s="369"/>
      <c r="P607" s="369"/>
      <c r="Q607" s="195" t="s">
        <v>15</v>
      </c>
      <c r="R607" s="2280"/>
      <c r="S607" s="629"/>
      <c r="T607" s="26"/>
      <c r="V607" s="24"/>
      <c r="W607" s="26"/>
      <c r="X607" s="26"/>
      <c r="Y607" s="26"/>
      <c r="Z607" s="26"/>
      <c r="AA607" s="24"/>
      <c r="AC607" s="26"/>
      <c r="AD607" s="24"/>
      <c r="AE607" s="26"/>
      <c r="AF607" s="75"/>
      <c r="AG607" s="26"/>
      <c r="AH607" s="957"/>
      <c r="AI607" s="957"/>
      <c r="AJ607" s="957"/>
      <c r="AK607" s="957"/>
      <c r="AL607" s="957"/>
      <c r="AM607" s="957"/>
      <c r="AN607" s="957"/>
      <c r="AO607" s="957"/>
      <c r="AP607" s="957"/>
      <c r="AQ607" s="957"/>
      <c r="AR607" s="957"/>
      <c r="AS607" s="957"/>
      <c r="AT607" s="957"/>
      <c r="AU607" s="957"/>
      <c r="AV607" s="957"/>
      <c r="AW607" s="957"/>
      <c r="AX607" s="957"/>
      <c r="AY607" s="957"/>
      <c r="AZ607" s="957"/>
      <c r="BA607" s="957"/>
      <c r="BB607" s="957"/>
      <c r="BC607" s="957"/>
      <c r="BD607" s="957"/>
      <c r="BE607" s="957"/>
      <c r="BF607" s="957"/>
      <c r="BG607" s="957"/>
    </row>
    <row r="608" spans="1:113" ht="15.75" thickBot="1">
      <c r="A608" s="2172"/>
      <c r="B608" s="2161"/>
      <c r="C608" s="2144"/>
      <c r="D608" s="86"/>
      <c r="E608" s="88"/>
      <c r="F608" s="440" t="s">
        <v>15</v>
      </c>
      <c r="G608" s="440" t="s">
        <v>15</v>
      </c>
      <c r="H608" s="513"/>
      <c r="I608" s="570"/>
      <c r="J608" s="234" t="s">
        <v>15</v>
      </c>
      <c r="K608" s="233" t="s">
        <v>15</v>
      </c>
      <c r="L608" s="234" t="s">
        <v>15</v>
      </c>
      <c r="M608" s="233" t="s">
        <v>15</v>
      </c>
      <c r="N608" s="1208"/>
      <c r="O608" s="369"/>
      <c r="P608" s="369"/>
      <c r="Q608" s="195" t="s">
        <v>15</v>
      </c>
      <c r="R608" s="2381"/>
      <c r="S608" s="631"/>
      <c r="T608" s="26"/>
      <c r="V608" s="24"/>
      <c r="W608" s="26"/>
      <c r="X608" s="26"/>
      <c r="Y608" s="26"/>
      <c r="Z608" s="26"/>
      <c r="AA608" s="24"/>
      <c r="AC608" s="26"/>
      <c r="AD608" s="24"/>
      <c r="AE608" s="26"/>
      <c r="AF608" s="75"/>
      <c r="AG608" s="26"/>
      <c r="AH608" s="957"/>
      <c r="AI608" s="957"/>
      <c r="AJ608" s="957"/>
      <c r="AK608" s="957"/>
      <c r="AL608" s="957"/>
      <c r="AM608" s="957"/>
      <c r="AN608" s="957"/>
      <c r="AO608" s="957"/>
      <c r="AP608" s="957"/>
      <c r="AQ608" s="957"/>
      <c r="AR608" s="957"/>
      <c r="AS608" s="957"/>
      <c r="AT608" s="957"/>
      <c r="AU608" s="957"/>
      <c r="AV608" s="957"/>
      <c r="AW608" s="957"/>
      <c r="AX608" s="957"/>
      <c r="AY608" s="957"/>
      <c r="AZ608" s="957"/>
      <c r="BA608" s="957"/>
      <c r="BB608" s="957"/>
      <c r="BC608" s="957"/>
      <c r="BD608" s="957"/>
      <c r="BE608" s="957"/>
      <c r="BF608" s="957"/>
      <c r="BG608" s="957"/>
    </row>
    <row r="609" spans="1:123" s="705" customFormat="1" ht="25.5" customHeight="1" thickBot="1">
      <c r="A609" s="721" t="s">
        <v>1108</v>
      </c>
      <c r="B609" s="1054"/>
      <c r="C609" s="684"/>
      <c r="D609" s="683"/>
      <c r="E609" s="683"/>
      <c r="F609" s="683"/>
      <c r="G609" s="683"/>
      <c r="H609" s="683"/>
      <c r="I609" s="683"/>
      <c r="J609" s="682"/>
      <c r="K609" s="683"/>
      <c r="L609" s="682"/>
      <c r="M609" s="685"/>
      <c r="N609" s="1189"/>
      <c r="O609" s="686"/>
      <c r="P609" s="686"/>
      <c r="Q609" s="687"/>
      <c r="R609" s="687"/>
      <c r="S609" s="688"/>
      <c r="T609" s="688"/>
      <c r="U609" s="854"/>
      <c r="V609" s="893"/>
      <c r="W609" s="685"/>
      <c r="X609" s="685"/>
      <c r="Y609" s="688"/>
      <c r="Z609" s="688"/>
      <c r="AA609" s="688"/>
      <c r="AB609" s="846"/>
      <c r="AC609" s="685"/>
      <c r="AD609" s="685"/>
      <c r="AE609" s="685"/>
      <c r="AF609" s="689"/>
      <c r="AG609" s="685"/>
      <c r="AH609" s="959"/>
      <c r="AI609" s="959"/>
      <c r="AJ609" s="959"/>
      <c r="AK609" s="959"/>
      <c r="AL609" s="959"/>
      <c r="AM609" s="958"/>
      <c r="AN609" s="958"/>
      <c r="AO609" s="958"/>
      <c r="AP609" s="958"/>
      <c r="AQ609" s="958"/>
      <c r="AR609" s="958"/>
      <c r="AS609" s="958"/>
      <c r="AT609" s="958"/>
      <c r="AU609" s="958"/>
      <c r="AV609" s="958"/>
      <c r="AW609" s="958"/>
      <c r="AX609" s="958"/>
      <c r="AY609" s="958"/>
      <c r="AZ609" s="958"/>
      <c r="BA609" s="958"/>
      <c r="BB609" s="958"/>
      <c r="BC609" s="958"/>
      <c r="BD609" s="958"/>
      <c r="BE609" s="958"/>
      <c r="BF609" s="958"/>
      <c r="BG609" s="958"/>
      <c r="BH609" s="1125"/>
      <c r="CF609" s="692"/>
      <c r="CG609" s="692"/>
      <c r="CH609" s="692"/>
      <c r="CI609" s="692"/>
      <c r="CJ609" s="692"/>
      <c r="CK609" s="692"/>
      <c r="CL609" s="692"/>
      <c r="CM609" s="692"/>
      <c r="CN609" s="692"/>
      <c r="CO609" s="692"/>
      <c r="CP609" s="692"/>
      <c r="CQ609" s="692"/>
      <c r="CR609" s="692"/>
      <c r="CS609" s="692"/>
      <c r="CT609" s="692"/>
      <c r="CU609" s="692"/>
      <c r="CV609" s="692"/>
      <c r="CW609" s="692"/>
      <c r="CX609" s="692"/>
      <c r="CY609" s="692"/>
      <c r="CZ609" s="692"/>
      <c r="DA609" s="692"/>
      <c r="DB609" s="692"/>
      <c r="DC609" s="692"/>
      <c r="DD609" s="692"/>
      <c r="DE609" s="692"/>
      <c r="DF609" s="692"/>
      <c r="DG609" s="692"/>
      <c r="DH609" s="692"/>
      <c r="DI609" s="693"/>
      <c r="DJ609" s="692"/>
      <c r="DK609" s="692"/>
      <c r="DL609" s="692"/>
      <c r="DM609" s="692"/>
      <c r="DN609" s="692"/>
      <c r="DO609" s="692"/>
      <c r="DP609" s="692"/>
      <c r="DQ609" s="692"/>
      <c r="DR609" s="692"/>
      <c r="DS609" s="692"/>
    </row>
    <row r="610" spans="1:123" ht="15" customHeight="1">
      <c r="A610" s="2119" t="s">
        <v>1133</v>
      </c>
      <c r="B610" s="984" t="s">
        <v>537</v>
      </c>
      <c r="C610" s="981" t="s">
        <v>12</v>
      </c>
      <c r="D610" s="12" t="s">
        <v>126</v>
      </c>
      <c r="E610" s="31">
        <v>98</v>
      </c>
      <c r="F610" s="43">
        <v>24.4</v>
      </c>
      <c r="G610" s="43">
        <v>26.17</v>
      </c>
      <c r="H610" s="538">
        <v>2714.58</v>
      </c>
      <c r="I610" s="32">
        <v>1724.19</v>
      </c>
      <c r="J610" s="1089" t="s">
        <v>15</v>
      </c>
      <c r="K610" s="1090" t="s">
        <v>15</v>
      </c>
      <c r="L610" s="658" t="s">
        <v>12</v>
      </c>
      <c r="M610" s="451" t="s">
        <v>127</v>
      </c>
      <c r="N610" s="537">
        <v>48.28</v>
      </c>
      <c r="O610" s="536">
        <v>18.16</v>
      </c>
      <c r="P610" s="126">
        <v>2.65</v>
      </c>
      <c r="Q610" s="245" t="s">
        <v>15</v>
      </c>
      <c r="R610" s="128">
        <v>45.82</v>
      </c>
      <c r="S610" s="127" t="s">
        <v>68</v>
      </c>
      <c r="T610" s="129" t="s">
        <v>69</v>
      </c>
      <c r="U610" s="858"/>
      <c r="V610" s="2281" t="s">
        <v>108</v>
      </c>
      <c r="W610" s="34" t="s">
        <v>47</v>
      </c>
      <c r="X610" s="34" t="s">
        <v>128</v>
      </c>
      <c r="Y610" s="452"/>
      <c r="Z610" s="540"/>
      <c r="AA610" s="540"/>
      <c r="AB610" s="922"/>
      <c r="AC610" s="910"/>
      <c r="AD610" s="2137" t="s">
        <v>142</v>
      </c>
      <c r="AE610" s="2272"/>
      <c r="AF610" s="33" t="s">
        <v>129</v>
      </c>
      <c r="AG610" s="34" t="str">
        <f>X611</f>
        <v>VFD Supply Fan Motors (20hp, nema 12 enclosure,no bypass)</v>
      </c>
      <c r="AH610" s="158">
        <f>Y611</f>
        <v>2087.8894285714287</v>
      </c>
      <c r="AI610" s="158">
        <v>1603.93</v>
      </c>
      <c r="AJ610" s="158">
        <v>1975.76</v>
      </c>
      <c r="AK610" s="158">
        <v>1798.59</v>
      </c>
      <c r="AL610" s="170">
        <v>1605</v>
      </c>
      <c r="AM610" s="1011">
        <f>AH610-AVERAGE(AI610:AL610)</f>
        <v>342.06942857142872</v>
      </c>
      <c r="AN610" s="467">
        <f>AM610/AVERAGE(AI610:AL610)</f>
        <v>0.19593625263281939</v>
      </c>
      <c r="AO610" s="957"/>
      <c r="AP610" s="957"/>
      <c r="AQ610" s="957"/>
      <c r="AR610" s="957"/>
      <c r="AS610" s="957"/>
      <c r="AT610" s="957"/>
      <c r="AU610" s="957"/>
      <c r="AV610" s="957"/>
      <c r="AW610" s="957"/>
      <c r="AX610" s="957"/>
      <c r="AY610" s="957"/>
      <c r="AZ610" s="957"/>
      <c r="BA610" s="957"/>
      <c r="BB610" s="957"/>
      <c r="BC610" s="957"/>
      <c r="BD610" s="957"/>
      <c r="BE610" s="957"/>
      <c r="BF610" s="957"/>
      <c r="BG610" s="957"/>
    </row>
    <row r="611" spans="1:123" ht="15" customHeight="1">
      <c r="A611" s="2120"/>
      <c r="B611" s="2177" t="s">
        <v>125</v>
      </c>
      <c r="C611" s="2234" t="s">
        <v>13</v>
      </c>
      <c r="D611" s="47" t="s">
        <v>138</v>
      </c>
      <c r="E611" s="31">
        <v>21</v>
      </c>
      <c r="F611" s="542" t="s">
        <v>15</v>
      </c>
      <c r="G611" s="542" t="s">
        <v>15</v>
      </c>
      <c r="H611" s="538">
        <v>4716.91</v>
      </c>
      <c r="I611" s="32">
        <v>2334.63</v>
      </c>
      <c r="J611" s="48" t="s">
        <v>15</v>
      </c>
      <c r="K611" s="1090" t="s">
        <v>15</v>
      </c>
      <c r="L611" s="48" t="s">
        <v>15</v>
      </c>
      <c r="M611" s="1090" t="s">
        <v>15</v>
      </c>
      <c r="N611" s="1201">
        <v>2230.89</v>
      </c>
      <c r="O611" s="133">
        <v>13</v>
      </c>
      <c r="P611" s="133">
        <v>171.63</v>
      </c>
      <c r="Q611" s="139">
        <f>E611/E610</f>
        <v>0.21428571428571427</v>
      </c>
      <c r="R611" s="2221">
        <f>SUMPRODUCT(Q611:Q612,N611:N612)</f>
        <v>478.04785714285708</v>
      </c>
      <c r="S611" s="452" t="s">
        <v>133</v>
      </c>
      <c r="T611" s="117" t="s">
        <v>132</v>
      </c>
      <c r="U611" s="854"/>
      <c r="V611" s="2282"/>
      <c r="W611" s="34" t="s">
        <v>129</v>
      </c>
      <c r="X611" s="34" t="s">
        <v>2168</v>
      </c>
      <c r="Y611" s="169">
        <f>((20*$R$610)+$R$611+$T$617+$R$614+$R$616)*(1+$T$619)</f>
        <v>2087.8894285714287</v>
      </c>
      <c r="Z611" s="169">
        <f>Y611</f>
        <v>2087.8894285714287</v>
      </c>
      <c r="AA611" s="544">
        <f>389.3/$H$610*Z611</f>
        <v>299.42582445271728</v>
      </c>
      <c r="AB611" s="917"/>
      <c r="AC611" s="911"/>
      <c r="AD611" s="49" t="s">
        <v>98</v>
      </c>
      <c r="AE611" s="1330">
        <f>AVERAGE(AN610:AN616)</f>
        <v>8.3025951103915641E-2</v>
      </c>
      <c r="AF611" s="33" t="s">
        <v>129</v>
      </c>
      <c r="AG611" s="34" t="str">
        <f t="shared" ref="AG611:AG616" si="5">X612</f>
        <v>VFD Supply Fan Motors (30hp, nema 1 enclosure,no bypass)</v>
      </c>
      <c r="AH611" s="158">
        <f t="shared" ref="AH611:AH616" si="6">Y612</f>
        <v>2055.4654285714282</v>
      </c>
      <c r="AI611" s="158">
        <v>1837.72</v>
      </c>
      <c r="AJ611" s="158">
        <v>2263.7399999999998</v>
      </c>
      <c r="AK611" s="158">
        <v>2060.75</v>
      </c>
      <c r="AL611" s="170">
        <v>1839.3</v>
      </c>
      <c r="AM611" s="1011">
        <f t="shared" ref="AM611:AM616" si="7">AH611-AVERAGE(AI611:AL611)</f>
        <v>55.087928571428165</v>
      </c>
      <c r="AN611" s="467">
        <f t="shared" ref="AN611:AN616" si="8">AM611/AVERAGE(AI611:AL611)</f>
        <v>2.7538766343566733E-2</v>
      </c>
      <c r="AO611" s="957"/>
      <c r="AP611" s="957"/>
      <c r="AQ611" s="957"/>
      <c r="AR611" s="957"/>
      <c r="AS611" s="957"/>
      <c r="AT611" s="957"/>
      <c r="AU611" s="957"/>
      <c r="AV611" s="957"/>
      <c r="AW611" s="957"/>
      <c r="AX611" s="957"/>
      <c r="AY611" s="957"/>
      <c r="AZ611" s="957"/>
      <c r="BA611" s="957"/>
      <c r="BB611" s="957"/>
      <c r="BC611" s="957"/>
      <c r="BD611" s="957"/>
      <c r="BE611" s="957"/>
      <c r="BF611" s="957"/>
      <c r="BG611" s="957"/>
    </row>
    <row r="612" spans="1:123" ht="15" customHeight="1">
      <c r="A612" s="2120"/>
      <c r="B612" s="2178"/>
      <c r="C612" s="2326"/>
      <c r="D612" s="47" t="s">
        <v>137</v>
      </c>
      <c r="E612" s="31">
        <v>77</v>
      </c>
      <c r="F612" s="542" t="s">
        <v>15</v>
      </c>
      <c r="G612" s="542" t="s">
        <v>15</v>
      </c>
      <c r="H612" s="538">
        <v>2168.4899999999998</v>
      </c>
      <c r="I612" s="32">
        <v>974.65</v>
      </c>
      <c r="J612" s="48" t="s">
        <v>15</v>
      </c>
      <c r="K612" s="1090" t="s">
        <v>15</v>
      </c>
      <c r="L612" s="48" t="s">
        <v>15</v>
      </c>
      <c r="M612" s="1090" t="s">
        <v>15</v>
      </c>
      <c r="N612" s="537">
        <v>0</v>
      </c>
      <c r="O612" s="455" t="s">
        <v>204</v>
      </c>
      <c r="P612" s="144" t="s">
        <v>204</v>
      </c>
      <c r="Q612" s="139">
        <f>E612/E610</f>
        <v>0.7857142857142857</v>
      </c>
      <c r="R612" s="2154"/>
      <c r="S612" s="127" t="s">
        <v>72</v>
      </c>
      <c r="T612" s="119" t="s">
        <v>119</v>
      </c>
      <c r="U612" s="855"/>
      <c r="V612" s="2282"/>
      <c r="W612" s="34" t="s">
        <v>129</v>
      </c>
      <c r="X612" s="34" t="s">
        <v>2169</v>
      </c>
      <c r="Y612" s="169">
        <f>((30*$R$610)+$R$611+$T$617+$R$614+$R$617)*(1+$T$619)</f>
        <v>2055.4654285714282</v>
      </c>
      <c r="Z612" s="169">
        <f t="shared" ref="Z612:Z617" si="9">Y612</f>
        <v>2055.4654285714282</v>
      </c>
      <c r="AA612" s="544">
        <f t="shared" ref="AA612:AA617" si="10">389.3/$H$610*Z612</f>
        <v>294.77587374211004</v>
      </c>
      <c r="AB612" s="917"/>
      <c r="AC612" s="911"/>
      <c r="AD612" s="49" t="s">
        <v>143</v>
      </c>
      <c r="AE612" s="21">
        <f>STDEV(AN610:AN616)</f>
        <v>0.14541407914716706</v>
      </c>
      <c r="AF612" s="33" t="s">
        <v>129</v>
      </c>
      <c r="AG612" s="34" t="str">
        <f t="shared" si="5"/>
        <v>VFD Supply Fan Motors (40hp, nema 3 enclosure, with bypass)</v>
      </c>
      <c r="AH612" s="158">
        <f t="shared" si="6"/>
        <v>4666.2934285714273</v>
      </c>
      <c r="AI612" s="158">
        <v>4910.9799999999996</v>
      </c>
      <c r="AJ612" s="158">
        <v>4420.41</v>
      </c>
      <c r="AK612" s="158">
        <v>4024.03</v>
      </c>
      <c r="AL612" s="170">
        <v>4915</v>
      </c>
      <c r="AM612" s="1011">
        <f t="shared" si="7"/>
        <v>98.688428571427721</v>
      </c>
      <c r="AN612" s="467">
        <f t="shared" si="8"/>
        <v>2.1606165281679947E-2</v>
      </c>
      <c r="AO612" s="957"/>
      <c r="AP612" s="957"/>
      <c r="AQ612" s="957"/>
      <c r="AR612" s="957"/>
      <c r="AS612" s="957"/>
      <c r="AT612" s="957"/>
      <c r="AU612" s="957"/>
      <c r="AV612" s="957"/>
      <c r="AW612" s="957"/>
      <c r="AX612" s="957"/>
      <c r="AY612" s="957"/>
      <c r="AZ612" s="957"/>
      <c r="BA612" s="957"/>
      <c r="BB612" s="957"/>
      <c r="BC612" s="957"/>
      <c r="BD612" s="957"/>
      <c r="BE612" s="957"/>
      <c r="BF612" s="957"/>
      <c r="BG612" s="957"/>
    </row>
    <row r="613" spans="1:123" ht="15" customHeight="1">
      <c r="A613" s="2120"/>
      <c r="B613" s="2177" t="s">
        <v>134</v>
      </c>
      <c r="C613" s="2234" t="s">
        <v>11</v>
      </c>
      <c r="D613" s="12" t="s">
        <v>33</v>
      </c>
      <c r="E613" s="555">
        <v>12</v>
      </c>
      <c r="F613" s="542" t="s">
        <v>15</v>
      </c>
      <c r="G613" s="542" t="s">
        <v>15</v>
      </c>
      <c r="H613" s="538">
        <v>3150.88</v>
      </c>
      <c r="I613" s="32">
        <v>1879.64</v>
      </c>
      <c r="J613" s="48" t="s">
        <v>15</v>
      </c>
      <c r="K613" s="13" t="s">
        <v>15</v>
      </c>
      <c r="L613" s="48" t="s">
        <v>15</v>
      </c>
      <c r="M613" s="1090" t="s">
        <v>15</v>
      </c>
      <c r="N613" s="1201">
        <v>789.74</v>
      </c>
      <c r="O613" s="133">
        <v>3.25</v>
      </c>
      <c r="P613" s="133">
        <v>242.7</v>
      </c>
      <c r="Q613" s="245" t="s">
        <v>15</v>
      </c>
      <c r="R613" s="139">
        <f>N613</f>
        <v>789.74</v>
      </c>
      <c r="S613" s="411" t="s">
        <v>139</v>
      </c>
      <c r="T613" s="411" t="s">
        <v>140</v>
      </c>
      <c r="U613" s="859"/>
      <c r="V613" s="2282"/>
      <c r="W613" s="34" t="s">
        <v>129</v>
      </c>
      <c r="X613" s="34" t="s">
        <v>2170</v>
      </c>
      <c r="Y613" s="169">
        <f>((40*$R$610)+$R$611+$T$617+$R$613+$R$615)*(1+$T$619)</f>
        <v>4666.2934285714273</v>
      </c>
      <c r="Z613" s="169">
        <f t="shared" si="9"/>
        <v>4666.2934285714273</v>
      </c>
      <c r="AA613" s="544">
        <f t="shared" si="10"/>
        <v>669.19671983984881</v>
      </c>
      <c r="AB613" s="917"/>
      <c r="AC613" s="911"/>
      <c r="AD613" s="49" t="s">
        <v>144</v>
      </c>
      <c r="AE613" s="1330">
        <f>MIN(AN610:AN616)</f>
        <v>-7.5194389701444139E-2</v>
      </c>
      <c r="AF613" s="33" t="s">
        <v>129</v>
      </c>
      <c r="AG613" s="34" t="str">
        <f t="shared" si="5"/>
        <v>VFD Supply Fan Motors (60hp, nema 12 enclosure, no bypass)</v>
      </c>
      <c r="AH613" s="158">
        <f t="shared" si="6"/>
        <v>4287.2494285714283</v>
      </c>
      <c r="AI613" s="158">
        <v>4233.8</v>
      </c>
      <c r="AJ613" s="158">
        <v>5215.29</v>
      </c>
      <c r="AK613" s="158">
        <v>4747.63</v>
      </c>
      <c r="AL613" s="170">
        <v>4237.5</v>
      </c>
      <c r="AM613" s="1011">
        <f t="shared" si="7"/>
        <v>-321.30557142857197</v>
      </c>
      <c r="AN613" s="467">
        <f t="shared" si="8"/>
        <v>-6.971937438710657E-2</v>
      </c>
      <c r="AO613" s="957"/>
      <c r="AP613" s="957"/>
      <c r="AQ613" s="957"/>
      <c r="AR613" s="957"/>
      <c r="AS613" s="957"/>
      <c r="AT613" s="957"/>
      <c r="AU613" s="957"/>
      <c r="AV613" s="957"/>
      <c r="AW613" s="957"/>
      <c r="AX613" s="957"/>
      <c r="AY613" s="957"/>
      <c r="AZ613" s="957"/>
      <c r="BA613" s="957"/>
      <c r="BB613" s="957"/>
      <c r="BC613" s="957"/>
      <c r="BD613" s="957"/>
      <c r="BE613" s="957"/>
      <c r="BF613" s="957"/>
      <c r="BG613" s="957"/>
    </row>
    <row r="614" spans="1:123" ht="15" customHeight="1">
      <c r="A614" s="2120"/>
      <c r="B614" s="2178"/>
      <c r="C614" s="2326"/>
      <c r="D614" s="12" t="s">
        <v>32</v>
      </c>
      <c r="E614" s="555">
        <v>86</v>
      </c>
      <c r="F614" s="542" t="s">
        <v>15</v>
      </c>
      <c r="G614" s="542" t="s">
        <v>15</v>
      </c>
      <c r="H614" s="538">
        <v>2653.69</v>
      </c>
      <c r="I614" s="32">
        <v>1704.31</v>
      </c>
      <c r="J614" s="48" t="s">
        <v>15</v>
      </c>
      <c r="K614" s="1090" t="s">
        <v>15</v>
      </c>
      <c r="L614" s="48" t="s">
        <v>15</v>
      </c>
      <c r="M614" s="1090" t="s">
        <v>15</v>
      </c>
      <c r="N614" s="537">
        <v>0</v>
      </c>
      <c r="O614" s="455" t="s">
        <v>204</v>
      </c>
      <c r="P614" s="144" t="s">
        <v>204</v>
      </c>
      <c r="Q614" s="245" t="s">
        <v>15</v>
      </c>
      <c r="R614" s="139">
        <f t="shared" ref="R614:R617" si="11">N614</f>
        <v>0</v>
      </c>
      <c r="S614" s="127" t="s">
        <v>74</v>
      </c>
      <c r="T614" s="129" t="s">
        <v>75</v>
      </c>
      <c r="U614" s="858"/>
      <c r="V614" s="2282"/>
      <c r="W614" s="34" t="s">
        <v>129</v>
      </c>
      <c r="X614" s="34" t="s">
        <v>2171</v>
      </c>
      <c r="Y614" s="169">
        <f>((60*$R$610)+$R$611+$T$617+$R$614+$R$616)*(1+$T$619)</f>
        <v>4287.2494285714283</v>
      </c>
      <c r="Z614" s="169">
        <f t="shared" si="9"/>
        <v>4287.2494285714283</v>
      </c>
      <c r="AA614" s="544">
        <f t="shared" si="10"/>
        <v>614.83772905674437</v>
      </c>
      <c r="AB614" s="917"/>
      <c r="AC614" s="911"/>
      <c r="AD614" s="50" t="s">
        <v>145</v>
      </c>
      <c r="AE614" s="1331">
        <f>MAX(AN610:AN616)</f>
        <v>0.30872048067520541</v>
      </c>
      <c r="AF614" s="33" t="s">
        <v>129</v>
      </c>
      <c r="AG614" s="34" t="str">
        <f t="shared" si="5"/>
        <v>VFD Supply Fan Motors (75hp, nema 12 enclosure,no bypass)</v>
      </c>
      <c r="AH614" s="158">
        <f t="shared" si="6"/>
        <v>5112.0094285714285</v>
      </c>
      <c r="AI614" s="158">
        <v>3588.51</v>
      </c>
      <c r="AJ614" s="158">
        <v>4420.21</v>
      </c>
      <c r="AK614" s="158">
        <v>4024.03</v>
      </c>
      <c r="AL614" s="170">
        <v>3591.7</v>
      </c>
      <c r="AM614" s="1011">
        <f t="shared" si="7"/>
        <v>1205.8969285714284</v>
      </c>
      <c r="AN614" s="467">
        <f t="shared" si="8"/>
        <v>0.30872048067520541</v>
      </c>
      <c r="AO614" s="957"/>
      <c r="AP614" s="957"/>
      <c r="AQ614" s="957"/>
      <c r="AR614" s="957"/>
      <c r="AS614" s="957"/>
      <c r="AT614" s="957"/>
      <c r="AU614" s="957"/>
      <c r="AV614" s="957"/>
      <c r="AW614" s="957"/>
      <c r="AX614" s="957"/>
      <c r="AY614" s="957"/>
      <c r="AZ614" s="957"/>
      <c r="BA614" s="957"/>
      <c r="BB614" s="957"/>
      <c r="BC614" s="957"/>
      <c r="BD614" s="957"/>
      <c r="BE614" s="957"/>
      <c r="BF614" s="957"/>
      <c r="BG614" s="957"/>
    </row>
    <row r="615" spans="1:123" ht="15" customHeight="1">
      <c r="A615" s="2120"/>
      <c r="B615" s="2191" t="s">
        <v>136</v>
      </c>
      <c r="C615" s="2234" t="s">
        <v>13</v>
      </c>
      <c r="D615" s="35" t="s">
        <v>135</v>
      </c>
      <c r="E615" s="31">
        <v>18</v>
      </c>
      <c r="F615" s="542" t="s">
        <v>15</v>
      </c>
      <c r="G615" s="542" t="s">
        <v>15</v>
      </c>
      <c r="H615" s="538">
        <v>4001.69</v>
      </c>
      <c r="I615" s="32">
        <v>2313.4299999999998</v>
      </c>
      <c r="J615" s="1089" t="s">
        <v>15</v>
      </c>
      <c r="K615" s="13" t="s">
        <v>15</v>
      </c>
      <c r="L615" s="48" t="s">
        <v>15</v>
      </c>
      <c r="M615" s="1090" t="s">
        <v>15</v>
      </c>
      <c r="N615" s="537">
        <v>927.75</v>
      </c>
      <c r="O615" s="536">
        <v>4.3600000000000003</v>
      </c>
      <c r="P615" s="536">
        <v>212.92</v>
      </c>
      <c r="Q615" s="245" t="s">
        <v>15</v>
      </c>
      <c r="R615" s="139">
        <f t="shared" si="11"/>
        <v>927.75</v>
      </c>
      <c r="S615" s="452">
        <v>98</v>
      </c>
      <c r="T615" s="411" t="s">
        <v>15</v>
      </c>
      <c r="U615" s="859"/>
      <c r="V615" s="2282"/>
      <c r="W615" s="34" t="s">
        <v>129</v>
      </c>
      <c r="X615" s="34" t="s">
        <v>2172</v>
      </c>
      <c r="Y615" s="169">
        <f>((75*$R$610)+$R$611+$T$617+$R$614+$R$616)*(1+$T$619)</f>
        <v>5112.0094285714285</v>
      </c>
      <c r="Z615" s="169">
        <f t="shared" si="9"/>
        <v>5112.0094285714285</v>
      </c>
      <c r="AA615" s="544">
        <f t="shared" si="10"/>
        <v>733.11719328325455</v>
      </c>
      <c r="AB615" s="917"/>
      <c r="AC615" s="37"/>
      <c r="AD615" s="22"/>
      <c r="AE615" s="27"/>
      <c r="AF615" s="33" t="s">
        <v>129</v>
      </c>
      <c r="AG615" s="34" t="str">
        <f t="shared" si="5"/>
        <v>VFD Supply Fan Motors (100hp, nema 1 enclosure,no bypass)</v>
      </c>
      <c r="AH615" s="158">
        <f t="shared" si="6"/>
        <v>5904.3454285714288</v>
      </c>
      <c r="AI615" s="158">
        <v>4627</v>
      </c>
      <c r="AJ615" s="158">
        <v>5699.65</v>
      </c>
      <c r="AK615" s="158">
        <v>5188.55</v>
      </c>
      <c r="AL615" s="170">
        <v>4631.1000000000004</v>
      </c>
      <c r="AM615" s="1011">
        <f t="shared" si="7"/>
        <v>867.77042857142806</v>
      </c>
      <c r="AN615" s="467">
        <f t="shared" si="8"/>
        <v>0.17229375688268872</v>
      </c>
      <c r="AO615" s="957"/>
      <c r="AP615" s="957"/>
      <c r="AQ615" s="957"/>
      <c r="AR615" s="957"/>
      <c r="AS615" s="957"/>
      <c r="AT615" s="957"/>
      <c r="AU615" s="957"/>
      <c r="AV615" s="957"/>
      <c r="AW615" s="957"/>
      <c r="AX615" s="957"/>
      <c r="AY615" s="957"/>
      <c r="AZ615" s="957"/>
      <c r="BA615" s="957"/>
      <c r="BB615" s="957"/>
      <c r="BC615" s="957"/>
      <c r="BD615" s="957"/>
      <c r="BE615" s="957"/>
      <c r="BF615" s="957"/>
      <c r="BG615" s="957"/>
    </row>
    <row r="616" spans="1:123" ht="15" customHeight="1">
      <c r="A616" s="2120"/>
      <c r="B616" s="2192"/>
      <c r="C616" s="2325"/>
      <c r="D616" s="556">
        <v>12</v>
      </c>
      <c r="E616" s="31">
        <v>17</v>
      </c>
      <c r="F616" s="542" t="s">
        <v>15</v>
      </c>
      <c r="G616" s="542" t="s">
        <v>15</v>
      </c>
      <c r="H616" s="538">
        <v>2532.48</v>
      </c>
      <c r="I616" s="32">
        <v>1220.6500000000001</v>
      </c>
      <c r="J616" s="1089" t="s">
        <v>15</v>
      </c>
      <c r="K616" s="13" t="s">
        <v>15</v>
      </c>
      <c r="L616" s="48" t="s">
        <v>15</v>
      </c>
      <c r="M616" s="1090" t="s">
        <v>15</v>
      </c>
      <c r="N616" s="537">
        <v>485.22</v>
      </c>
      <c r="O616" s="536">
        <v>2.74</v>
      </c>
      <c r="P616" s="536">
        <v>176.85</v>
      </c>
      <c r="Q616" s="245" t="s">
        <v>15</v>
      </c>
      <c r="R616" s="139">
        <f t="shared" si="11"/>
        <v>485.22</v>
      </c>
      <c r="S616" s="127" t="s">
        <v>41</v>
      </c>
      <c r="T616" s="129" t="s">
        <v>42</v>
      </c>
      <c r="U616" s="858"/>
      <c r="V616" s="2282"/>
      <c r="W616" s="34" t="s">
        <v>129</v>
      </c>
      <c r="X616" s="34" t="s">
        <v>2173</v>
      </c>
      <c r="Y616" s="169">
        <f>((100*$R$610)+$R$611+$T$617+$R$614+$R$617)*(1+$T$619)</f>
        <v>5904.3454285714288</v>
      </c>
      <c r="Z616" s="169">
        <f t="shared" si="9"/>
        <v>5904.3454285714288</v>
      </c>
      <c r="AA616" s="544">
        <f t="shared" si="10"/>
        <v>846.74670679915766</v>
      </c>
      <c r="AB616" s="917"/>
      <c r="AC616" s="37"/>
      <c r="AD616" s="24"/>
      <c r="AE616" s="26"/>
      <c r="AF616" s="56" t="s">
        <v>129</v>
      </c>
      <c r="AG616" s="34" t="str">
        <f t="shared" si="5"/>
        <v>VFD Supply Fan Motors (50hp, nema 1 enclosure,no bypass)</v>
      </c>
      <c r="AH616" s="158">
        <f t="shared" si="6"/>
        <v>3155.1454285714285</v>
      </c>
      <c r="AI616" s="171">
        <v>3134.25</v>
      </c>
      <c r="AJ616" s="171">
        <v>3860.85</v>
      </c>
      <c r="AK616" s="171">
        <v>3514.64</v>
      </c>
      <c r="AL616" s="1018">
        <v>3137</v>
      </c>
      <c r="AM616" s="1011">
        <f t="shared" si="7"/>
        <v>-256.53957142857143</v>
      </c>
      <c r="AN616" s="467">
        <f t="shared" si="8"/>
        <v>-7.5194389701444139E-2</v>
      </c>
      <c r="AO616" s="957"/>
      <c r="AP616" s="957"/>
      <c r="AQ616" s="957"/>
      <c r="AR616" s="957"/>
      <c r="AS616" s="957"/>
      <c r="AT616" s="957"/>
      <c r="AU616" s="957"/>
      <c r="AV616" s="957"/>
      <c r="AW616" s="957"/>
      <c r="AX616" s="957"/>
      <c r="AY616" s="957"/>
      <c r="AZ616" s="957"/>
      <c r="BA616" s="957"/>
      <c r="BB616" s="957"/>
      <c r="BC616" s="957"/>
      <c r="BD616" s="957"/>
      <c r="BE616" s="957"/>
      <c r="BF616" s="957"/>
      <c r="BG616" s="957"/>
    </row>
    <row r="617" spans="1:123" ht="15" customHeight="1">
      <c r="A617" s="2120"/>
      <c r="B617" s="2222"/>
      <c r="C617" s="2326"/>
      <c r="D617" s="556">
        <v>1</v>
      </c>
      <c r="E617" s="31">
        <v>63</v>
      </c>
      <c r="F617" s="542" t="s">
        <v>15</v>
      </c>
      <c r="G617" s="542" t="s">
        <v>15</v>
      </c>
      <c r="H617" s="538">
        <v>2395.96</v>
      </c>
      <c r="I617" s="32">
        <v>1485.2</v>
      </c>
      <c r="J617" s="1089" t="s">
        <v>15</v>
      </c>
      <c r="K617" s="13" t="s">
        <v>15</v>
      </c>
      <c r="L617" s="48" t="s">
        <v>15</v>
      </c>
      <c r="M617" s="1090" t="s">
        <v>15</v>
      </c>
      <c r="N617" s="537">
        <v>0</v>
      </c>
      <c r="O617" s="455" t="s">
        <v>204</v>
      </c>
      <c r="P617" s="144" t="s">
        <v>204</v>
      </c>
      <c r="Q617" s="245" t="s">
        <v>15</v>
      </c>
      <c r="R617" s="139">
        <f t="shared" si="11"/>
        <v>0</v>
      </c>
      <c r="S617" s="452">
        <v>0.87229999999999996</v>
      </c>
      <c r="T617" s="131">
        <v>-139.76</v>
      </c>
      <c r="U617" s="868"/>
      <c r="V617" s="2283"/>
      <c r="W617" s="34" t="s">
        <v>129</v>
      </c>
      <c r="X617" s="34" t="s">
        <v>2174</v>
      </c>
      <c r="Y617" s="169">
        <f>((50*$R$610)+$R$611+$T$617+$R$614+$R$617)*(1+$T$619)</f>
        <v>3155.1454285714285</v>
      </c>
      <c r="Z617" s="169">
        <f t="shared" si="9"/>
        <v>3155.1454285714285</v>
      </c>
      <c r="AA617" s="544">
        <f t="shared" si="10"/>
        <v>452.48182604412364</v>
      </c>
      <c r="AB617" s="917"/>
      <c r="AC617" s="37"/>
      <c r="AD617" s="24"/>
      <c r="AE617" s="26"/>
      <c r="AF617" s="110"/>
      <c r="AG617" s="40"/>
      <c r="AH617" s="1013"/>
      <c r="AI617" s="1013"/>
      <c r="AJ617" s="1013"/>
      <c r="AK617" s="1013"/>
      <c r="AL617" s="1013"/>
      <c r="AM617" s="957"/>
      <c r="AN617" s="957"/>
      <c r="AO617" s="957"/>
      <c r="AP617" s="957"/>
      <c r="AQ617" s="957"/>
      <c r="AR617" s="957"/>
      <c r="AS617" s="957"/>
      <c r="AT617" s="957"/>
      <c r="AU617" s="957"/>
      <c r="AV617" s="957"/>
      <c r="AW617" s="957"/>
      <c r="AX617" s="957"/>
      <c r="AY617" s="957"/>
      <c r="AZ617" s="957"/>
      <c r="BA617" s="957"/>
      <c r="BB617" s="957"/>
      <c r="BC617" s="957"/>
      <c r="BD617" s="957"/>
      <c r="BE617" s="957"/>
      <c r="BF617" s="957"/>
      <c r="BG617" s="957"/>
    </row>
    <row r="618" spans="1:123" ht="15" customHeight="1">
      <c r="A618" s="2120"/>
      <c r="B618" s="2116" t="s">
        <v>194</v>
      </c>
      <c r="C618" s="174"/>
      <c r="D618" s="174"/>
      <c r="E618" s="174"/>
      <c r="F618" s="174"/>
      <c r="G618" s="174"/>
      <c r="H618" s="174"/>
      <c r="I618" s="174"/>
      <c r="J618" s="177"/>
      <c r="K618" s="313"/>
      <c r="L618" s="318"/>
      <c r="M618" s="174"/>
      <c r="N618" s="1212"/>
      <c r="O618" s="458"/>
      <c r="P618" s="459"/>
      <c r="Q618" s="246"/>
      <c r="R618" s="246"/>
      <c r="S618" s="127" t="s">
        <v>235</v>
      </c>
      <c r="T618" s="129" t="s">
        <v>391</v>
      </c>
      <c r="U618" s="858"/>
      <c r="V618" s="38"/>
      <c r="W618" s="41"/>
      <c r="X618" s="41"/>
      <c r="Y618" s="41"/>
      <c r="Z618" s="41"/>
      <c r="AA618" s="162"/>
      <c r="AB618" s="922"/>
      <c r="AC618" s="911"/>
      <c r="AD618" s="26"/>
      <c r="AE618" s="26"/>
      <c r="AF618" s="106"/>
      <c r="AG618" s="37"/>
      <c r="AH618" s="957"/>
      <c r="AI618" s="957"/>
      <c r="AJ618" s="957"/>
      <c r="AK618" s="957"/>
      <c r="AL618" s="957"/>
      <c r="AM618" s="957"/>
      <c r="AN618" s="957"/>
      <c r="AO618" s="957"/>
      <c r="AP618" s="957"/>
      <c r="AQ618" s="957"/>
      <c r="AR618" s="957"/>
      <c r="AS618" s="957"/>
      <c r="AT618" s="957"/>
      <c r="AU618" s="957"/>
      <c r="AV618" s="957"/>
      <c r="AW618" s="957"/>
      <c r="AX618" s="957"/>
      <c r="AY618" s="957"/>
      <c r="AZ618" s="957"/>
      <c r="BA618" s="957"/>
      <c r="BB618" s="957"/>
      <c r="BC618" s="957"/>
      <c r="BD618" s="957"/>
      <c r="BE618" s="957"/>
      <c r="BF618" s="957"/>
      <c r="BG618" s="957"/>
    </row>
    <row r="619" spans="1:123" ht="15.75" customHeight="1" thickBot="1">
      <c r="A619" s="2121"/>
      <c r="B619" s="2118"/>
      <c r="C619" s="174"/>
      <c r="D619" s="174"/>
      <c r="E619" s="174"/>
      <c r="F619" s="174"/>
      <c r="G619" s="174"/>
      <c r="H619" s="174"/>
      <c r="I619" s="174"/>
      <c r="J619" s="178"/>
      <c r="K619" s="317"/>
      <c r="L619" s="318"/>
      <c r="M619" s="174"/>
      <c r="N619" s="1213"/>
      <c r="O619" s="459"/>
      <c r="P619" s="459"/>
      <c r="Q619" s="246"/>
      <c r="R619" s="246"/>
      <c r="S619" s="187">
        <v>389.3</v>
      </c>
      <c r="T619" s="176">
        <v>0.2</v>
      </c>
      <c r="U619" s="872"/>
      <c r="V619" s="499"/>
      <c r="W619" s="41"/>
      <c r="X619" s="41"/>
      <c r="Y619" s="41"/>
      <c r="Z619" s="41"/>
      <c r="AA619" s="164"/>
      <c r="AB619" s="922"/>
      <c r="AC619" s="911"/>
      <c r="AD619" s="26"/>
      <c r="AE619" s="26"/>
      <c r="AF619" s="239"/>
      <c r="AG619" s="37"/>
      <c r="AH619" s="957"/>
      <c r="AI619" s="957"/>
      <c r="AJ619" s="957"/>
      <c r="AK619" s="957"/>
      <c r="AL619" s="957"/>
      <c r="AM619" s="957"/>
      <c r="AN619" s="957"/>
      <c r="AO619" s="957"/>
      <c r="AP619" s="957"/>
      <c r="AQ619" s="957"/>
      <c r="AR619" s="957"/>
      <c r="AS619" s="957"/>
      <c r="AT619" s="957"/>
      <c r="AU619" s="957"/>
      <c r="AV619" s="957"/>
      <c r="AW619" s="957"/>
      <c r="AX619" s="957"/>
      <c r="AY619" s="957"/>
      <c r="AZ619" s="957"/>
      <c r="BA619" s="957"/>
      <c r="BB619" s="957"/>
      <c r="BC619" s="957"/>
      <c r="BD619" s="957"/>
      <c r="BE619" s="957"/>
      <c r="BF619" s="957"/>
      <c r="BG619" s="957"/>
    </row>
    <row r="620" spans="1:123" s="705" customFormat="1" ht="9" customHeight="1" thickBot="1">
      <c r="A620" s="695"/>
      <c r="B620" s="815"/>
      <c r="C620" s="684"/>
      <c r="D620" s="683"/>
      <c r="E620" s="683"/>
      <c r="F620" s="683"/>
      <c r="G620" s="683"/>
      <c r="H620" s="683"/>
      <c r="I620" s="683"/>
      <c r="J620" s="682"/>
      <c r="K620" s="683"/>
      <c r="L620" s="682"/>
      <c r="M620" s="685"/>
      <c r="N620" s="1189"/>
      <c r="O620" s="686"/>
      <c r="P620" s="686"/>
      <c r="Q620" s="687"/>
      <c r="R620" s="687"/>
      <c r="S620" s="688"/>
      <c r="T620" s="688"/>
      <c r="U620" s="854"/>
      <c r="V620" s="893"/>
      <c r="W620" s="685"/>
      <c r="X620" s="685"/>
      <c r="Y620" s="688"/>
      <c r="Z620" s="688"/>
      <c r="AA620" s="688"/>
      <c r="AB620" s="846"/>
      <c r="AC620" s="685"/>
      <c r="AD620" s="685"/>
      <c r="AE620" s="685"/>
      <c r="AF620" s="689"/>
      <c r="AG620" s="685"/>
      <c r="AH620" s="959"/>
      <c r="AI620" s="959"/>
      <c r="AJ620" s="959"/>
      <c r="AK620" s="959"/>
      <c r="AL620" s="959"/>
      <c r="AM620" s="958"/>
      <c r="AN620" s="958"/>
      <c r="AO620" s="958"/>
      <c r="AP620" s="958"/>
      <c r="AQ620" s="958"/>
      <c r="AR620" s="958"/>
      <c r="AS620" s="958"/>
      <c r="AT620" s="958"/>
      <c r="AU620" s="958"/>
      <c r="AV620" s="958"/>
      <c r="AW620" s="958"/>
      <c r="AX620" s="958"/>
      <c r="AY620" s="958"/>
      <c r="AZ620" s="958"/>
      <c r="BA620" s="958"/>
      <c r="BB620" s="958"/>
      <c r="BC620" s="958"/>
      <c r="BD620" s="958"/>
      <c r="BE620" s="958"/>
      <c r="BF620" s="958"/>
      <c r="BG620" s="958"/>
      <c r="BH620" s="1125"/>
      <c r="CF620" s="692"/>
      <c r="CG620" s="692"/>
      <c r="CH620" s="692"/>
      <c r="CI620" s="692"/>
      <c r="CJ620" s="692"/>
      <c r="CK620" s="692"/>
      <c r="CL620" s="692"/>
      <c r="CM620" s="692"/>
      <c r="CN620" s="692"/>
      <c r="CO620" s="692"/>
      <c r="CP620" s="692"/>
      <c r="CQ620" s="692"/>
      <c r="CR620" s="692"/>
      <c r="CS620" s="692"/>
      <c r="CT620" s="692"/>
      <c r="CU620" s="692"/>
      <c r="CV620" s="692"/>
      <c r="CW620" s="692"/>
      <c r="CX620" s="692"/>
      <c r="CY620" s="692"/>
      <c r="CZ620" s="692"/>
      <c r="DA620" s="692"/>
      <c r="DB620" s="692"/>
      <c r="DC620" s="692"/>
      <c r="DD620" s="692"/>
      <c r="DE620" s="692"/>
      <c r="DF620" s="692"/>
      <c r="DG620" s="692"/>
      <c r="DH620" s="692"/>
      <c r="DI620" s="693"/>
      <c r="DJ620" s="692"/>
      <c r="DK620" s="692"/>
      <c r="DL620" s="692"/>
      <c r="DM620" s="692"/>
      <c r="DN620" s="692"/>
      <c r="DO620" s="692"/>
      <c r="DP620" s="692"/>
      <c r="DQ620" s="692"/>
      <c r="DR620" s="692"/>
      <c r="DS620" s="692"/>
    </row>
    <row r="621" spans="1:123" ht="15" customHeight="1">
      <c r="A621" s="2287" t="s">
        <v>1134</v>
      </c>
      <c r="B621" s="984" t="s">
        <v>537</v>
      </c>
      <c r="C621" s="981" t="s">
        <v>12</v>
      </c>
      <c r="D621" s="12" t="s">
        <v>126</v>
      </c>
      <c r="E621" s="31">
        <v>86</v>
      </c>
      <c r="F621" s="43">
        <v>4.5</v>
      </c>
      <c r="G621" s="43">
        <v>3.05</v>
      </c>
      <c r="H621" s="538">
        <v>807.81</v>
      </c>
      <c r="I621" s="32">
        <v>489.47</v>
      </c>
      <c r="J621" s="1089" t="s">
        <v>15</v>
      </c>
      <c r="K621" s="1090" t="s">
        <v>15</v>
      </c>
      <c r="L621" s="658" t="s">
        <v>12</v>
      </c>
      <c r="M621" s="451" t="s">
        <v>127</v>
      </c>
      <c r="N621" s="537">
        <v>38.75</v>
      </c>
      <c r="O621" s="536">
        <v>11.21</v>
      </c>
      <c r="P621" s="126">
        <v>3.45</v>
      </c>
      <c r="Q621" s="245" t="s">
        <v>15</v>
      </c>
      <c r="R621" s="128">
        <v>47.97</v>
      </c>
      <c r="S621" s="127" t="s">
        <v>68</v>
      </c>
      <c r="T621" s="129" t="s">
        <v>69</v>
      </c>
      <c r="U621" s="858"/>
      <c r="V621" s="2281" t="s">
        <v>108</v>
      </c>
      <c r="W621" s="34" t="s">
        <v>47</v>
      </c>
      <c r="X621" s="34" t="s">
        <v>128</v>
      </c>
      <c r="Y621" s="452"/>
      <c r="Z621" s="540"/>
      <c r="AA621" s="540"/>
      <c r="AB621" s="922"/>
      <c r="AC621" s="910"/>
      <c r="AD621" s="2137" t="s">
        <v>142</v>
      </c>
      <c r="AE621" s="2272"/>
      <c r="AF621" s="33" t="s">
        <v>129</v>
      </c>
      <c r="AG621" s="34" t="s">
        <v>147</v>
      </c>
      <c r="AH621" s="159">
        <f>Y622</f>
        <v>827.71046511627912</v>
      </c>
      <c r="AI621" s="158">
        <v>591.66</v>
      </c>
      <c r="AJ621" s="158">
        <v>728.82</v>
      </c>
      <c r="AK621" s="158">
        <v>663.47</v>
      </c>
      <c r="AL621" s="170">
        <v>592.20000000000005</v>
      </c>
      <c r="AM621" s="1011">
        <f>AH621-AVERAGE(AI621:AL621)</f>
        <v>183.6729651162791</v>
      </c>
      <c r="AN621" s="467">
        <f>AM621/AVERAGE(AI621:AL621)</f>
        <v>0.28518986101939575</v>
      </c>
      <c r="AO621" s="957"/>
      <c r="AP621" s="957"/>
      <c r="AQ621" s="957"/>
      <c r="AR621" s="957"/>
      <c r="AS621" s="957"/>
      <c r="AT621" s="957"/>
      <c r="AU621" s="957"/>
      <c r="AV621" s="957"/>
      <c r="AW621" s="957"/>
      <c r="AX621" s="957"/>
      <c r="AY621" s="957"/>
      <c r="AZ621" s="957"/>
      <c r="BA621" s="957"/>
      <c r="BB621" s="957"/>
      <c r="BC621" s="957"/>
      <c r="BD621" s="957"/>
      <c r="BE621" s="957"/>
      <c r="BF621" s="957"/>
      <c r="BG621" s="957"/>
    </row>
    <row r="622" spans="1:123" ht="15" customHeight="1">
      <c r="A622" s="2288"/>
      <c r="B622" s="2177" t="s">
        <v>125</v>
      </c>
      <c r="C622" s="2234" t="s">
        <v>13</v>
      </c>
      <c r="D622" s="47" t="s">
        <v>138</v>
      </c>
      <c r="E622" s="31">
        <v>15</v>
      </c>
      <c r="F622" s="542" t="s">
        <v>15</v>
      </c>
      <c r="G622" s="542" t="s">
        <v>15</v>
      </c>
      <c r="H622" s="538">
        <v>1408.27</v>
      </c>
      <c r="I622" s="32">
        <v>625.71</v>
      </c>
      <c r="J622" s="48" t="s">
        <v>15</v>
      </c>
      <c r="K622" s="1090" t="s">
        <v>15</v>
      </c>
      <c r="L622" s="48" t="s">
        <v>15</v>
      </c>
      <c r="M622" s="1090" t="s">
        <v>15</v>
      </c>
      <c r="N622" s="1201">
        <v>447.68</v>
      </c>
      <c r="O622" s="133">
        <v>14.54</v>
      </c>
      <c r="P622" s="133">
        <v>30.79</v>
      </c>
      <c r="Q622" s="1332">
        <f>E622/E621</f>
        <v>0.1744186046511628</v>
      </c>
      <c r="R622" s="2221">
        <f>SUMPRODUCT(Q622:Q623,N622:N623)</f>
        <v>78.083720930232559</v>
      </c>
      <c r="S622" s="452" t="s">
        <v>133</v>
      </c>
      <c r="T622" s="117" t="s">
        <v>132</v>
      </c>
      <c r="U622" s="854"/>
      <c r="V622" s="2282"/>
      <c r="W622" s="34" t="s">
        <v>129</v>
      </c>
      <c r="X622" s="34" t="s">
        <v>2535</v>
      </c>
      <c r="Y622" s="165">
        <f>((1.5*$R$621)+$R$622+$T$628+$R$625+$R$627+$R$630)*(1+$T$630)</f>
        <v>827.71046511627912</v>
      </c>
      <c r="Z622" s="165">
        <f>Y622</f>
        <v>827.71046511627912</v>
      </c>
      <c r="AA622" s="544">
        <f>71.27/$H$621*Z622</f>
        <v>73.025742252308348</v>
      </c>
      <c r="AB622" s="917"/>
      <c r="AC622" s="911"/>
      <c r="AD622" s="49" t="s">
        <v>98</v>
      </c>
      <c r="AE622" s="1330">
        <f>AVERAGE(AN621:AN624)</f>
        <v>0.12865954329474599</v>
      </c>
      <c r="AF622" s="33" t="s">
        <v>129</v>
      </c>
      <c r="AG622" s="34" t="s">
        <v>141</v>
      </c>
      <c r="AH622" s="159">
        <f t="shared" ref="AH622" si="12">Y623</f>
        <v>730.87646511627906</v>
      </c>
      <c r="AI622" s="158">
        <v>616.9</v>
      </c>
      <c r="AJ622" s="158">
        <v>759.91</v>
      </c>
      <c r="AK622" s="158">
        <v>569</v>
      </c>
      <c r="AL622" s="170">
        <v>617.4</v>
      </c>
      <c r="AM622" s="1011">
        <f t="shared" ref="AM622" si="13">AH622-AVERAGE(AI622:AL622)</f>
        <v>90.073965116279055</v>
      </c>
      <c r="AN622" s="467">
        <f t="shared" ref="AN622" si="14">AM622/AVERAGE(AI622:AL622)</f>
        <v>0.14056431601980182</v>
      </c>
      <c r="AO622" s="957"/>
      <c r="AP622" s="957"/>
      <c r="AQ622" s="957"/>
      <c r="AR622" s="957"/>
      <c r="AS622" s="957"/>
      <c r="AT622" s="957"/>
      <c r="AU622" s="957"/>
      <c r="AV622" s="957"/>
      <c r="AW622" s="957"/>
      <c r="AX622" s="957"/>
      <c r="AY622" s="957"/>
      <c r="AZ622" s="957"/>
      <c r="BA622" s="957"/>
      <c r="BB622" s="957"/>
      <c r="BC622" s="957"/>
      <c r="BD622" s="957"/>
      <c r="BE622" s="957"/>
      <c r="BF622" s="957"/>
      <c r="BG622" s="957"/>
    </row>
    <row r="623" spans="1:123" ht="15" customHeight="1">
      <c r="A623" s="2288"/>
      <c r="B623" s="2178"/>
      <c r="C623" s="2326"/>
      <c r="D623" s="47" t="s">
        <v>137</v>
      </c>
      <c r="E623" s="31">
        <v>71</v>
      </c>
      <c r="F623" s="542" t="s">
        <v>15</v>
      </c>
      <c r="G623" s="542" t="s">
        <v>15</v>
      </c>
      <c r="H623" s="538">
        <v>680.95</v>
      </c>
      <c r="I623" s="32">
        <v>345.01</v>
      </c>
      <c r="J623" s="48" t="s">
        <v>15</v>
      </c>
      <c r="K623" s="1090" t="s">
        <v>15</v>
      </c>
      <c r="L623" s="48" t="s">
        <v>15</v>
      </c>
      <c r="M623" s="1090" t="s">
        <v>15</v>
      </c>
      <c r="N623" s="537">
        <v>0</v>
      </c>
      <c r="O623" s="455" t="s">
        <v>204</v>
      </c>
      <c r="P623" s="144" t="s">
        <v>204</v>
      </c>
      <c r="Q623" s="1332">
        <f>E623/E621</f>
        <v>0.82558139534883723</v>
      </c>
      <c r="R623" s="2154"/>
      <c r="S623" s="127" t="s">
        <v>72</v>
      </c>
      <c r="T623" s="119" t="s">
        <v>119</v>
      </c>
      <c r="U623" s="855"/>
      <c r="V623" s="2282"/>
      <c r="W623" s="34" t="s">
        <v>129</v>
      </c>
      <c r="X623" s="34" t="s">
        <v>2536</v>
      </c>
      <c r="Y623" s="165">
        <f>((5*$R$621)+$R$622+$T$628+$R$625+$R$628+$R$630)*(1+$T$630)</f>
        <v>730.87646511627906</v>
      </c>
      <c r="Z623" s="165">
        <f t="shared" ref="Z623" si="15">Y623</f>
        <v>730.87646511627906</v>
      </c>
      <c r="AA623" s="544">
        <f>71.27/$H$621*Z623</f>
        <v>64.48244719530237</v>
      </c>
      <c r="AB623" s="917"/>
      <c r="AC623" s="911"/>
      <c r="AD623" s="49" t="s">
        <v>143</v>
      </c>
      <c r="AE623" s="21">
        <f>STDEV(AN621:AN624)</f>
        <v>0.11536201270089583</v>
      </c>
      <c r="AF623" s="33" t="s">
        <v>129</v>
      </c>
      <c r="AG623" s="34" t="s">
        <v>148</v>
      </c>
      <c r="AH623" s="159">
        <f>Y624</f>
        <v>1018.696465116279</v>
      </c>
      <c r="AI623" s="158">
        <v>916.58</v>
      </c>
      <c r="AJ623" s="158">
        <v>1129.07</v>
      </c>
      <c r="AK623" s="158">
        <v>1027.82</v>
      </c>
      <c r="AL623" s="170">
        <v>917.4</v>
      </c>
      <c r="AM623" s="1011">
        <f>AH623-AVERAGE(AI623:AL623)</f>
        <v>20.978965116278914</v>
      </c>
      <c r="AN623" s="467">
        <f>AM623/AVERAGE(AI623:AL623)</f>
        <v>2.1026959150540019E-2</v>
      </c>
      <c r="AO623" s="957"/>
      <c r="AP623" s="957"/>
      <c r="AQ623" s="957"/>
      <c r="AR623" s="957"/>
      <c r="AS623" s="957"/>
      <c r="AT623" s="957"/>
      <c r="AU623" s="957"/>
      <c r="AV623" s="957"/>
      <c r="AW623" s="957"/>
      <c r="AX623" s="957"/>
      <c r="AY623" s="957"/>
      <c r="AZ623" s="957"/>
      <c r="BA623" s="957"/>
      <c r="BB623" s="957"/>
      <c r="BC623" s="957"/>
      <c r="BD623" s="957"/>
      <c r="BE623" s="957"/>
      <c r="BF623" s="957"/>
      <c r="BG623" s="957"/>
    </row>
    <row r="624" spans="1:123" ht="15" customHeight="1">
      <c r="A624" s="2288"/>
      <c r="B624" s="2177" t="s">
        <v>134</v>
      </c>
      <c r="C624" s="2234" t="s">
        <v>11</v>
      </c>
      <c r="D624" s="12" t="s">
        <v>33</v>
      </c>
      <c r="E624" s="555">
        <v>1</v>
      </c>
      <c r="F624" s="542" t="s">
        <v>15</v>
      </c>
      <c r="G624" s="542" t="s">
        <v>15</v>
      </c>
      <c r="H624" s="538">
        <v>1313</v>
      </c>
      <c r="I624" s="32">
        <v>0</v>
      </c>
      <c r="J624" s="48" t="s">
        <v>15</v>
      </c>
      <c r="K624" s="13" t="s">
        <v>15</v>
      </c>
      <c r="L624" s="48" t="s">
        <v>15</v>
      </c>
      <c r="M624" s="1090" t="s">
        <v>15</v>
      </c>
      <c r="N624" s="1201">
        <v>283.54000000000002</v>
      </c>
      <c r="O624" s="133">
        <v>2.8</v>
      </c>
      <c r="P624" s="133">
        <v>101.35</v>
      </c>
      <c r="Q624" s="245" t="s">
        <v>15</v>
      </c>
      <c r="R624" s="139">
        <f>N624</f>
        <v>283.54000000000002</v>
      </c>
      <c r="S624" s="411" t="s">
        <v>139</v>
      </c>
      <c r="T624" s="411" t="s">
        <v>140</v>
      </c>
      <c r="U624" s="859"/>
      <c r="V624" s="2282"/>
      <c r="W624" s="34" t="s">
        <v>129</v>
      </c>
      <c r="X624" s="34" t="s">
        <v>2537</v>
      </c>
      <c r="Y624" s="165">
        <f>((10*$R$621)+$R$622+$T$628+$R$625+$R$628+$R$630)*(1+$T$630)</f>
        <v>1018.696465116279</v>
      </c>
      <c r="Z624" s="165">
        <f>Y624</f>
        <v>1018.696465116279</v>
      </c>
      <c r="AA624" s="544">
        <f>71.27/$H$621*Z624</f>
        <v>89.875709719905913</v>
      </c>
      <c r="AB624" s="917"/>
      <c r="AC624" s="911"/>
      <c r="AD624" s="49" t="s">
        <v>144</v>
      </c>
      <c r="AE624" s="1330">
        <f>MIN(AN621:AN624)</f>
        <v>2.1026959150540019E-2</v>
      </c>
      <c r="AF624" s="56" t="s">
        <v>129</v>
      </c>
      <c r="AG624" s="36" t="s">
        <v>149</v>
      </c>
      <c r="AH624" s="160">
        <f>Y625</f>
        <v>2243.116465116279</v>
      </c>
      <c r="AI624" s="171">
        <v>1929.9</v>
      </c>
      <c r="AJ624" s="171">
        <v>2377.29</v>
      </c>
      <c r="AK624" s="171">
        <v>2164.12</v>
      </c>
      <c r="AL624" s="1018">
        <v>1931</v>
      </c>
      <c r="AM624" s="1011">
        <f>AH624-AVERAGE(AI624:AL624)</f>
        <v>142.53896511627863</v>
      </c>
      <c r="AN624" s="467">
        <f>AM624/AVERAGE(AI624:AL624)</f>
        <v>6.7857036989246347E-2</v>
      </c>
      <c r="AO624" s="957"/>
      <c r="AP624" s="957"/>
      <c r="AQ624" s="957"/>
      <c r="AR624" s="957"/>
      <c r="AS624" s="957"/>
      <c r="AT624" s="957"/>
      <c r="AU624" s="957"/>
      <c r="AV624" s="957"/>
      <c r="AW624" s="957"/>
      <c r="AX624" s="957"/>
      <c r="AY624" s="957"/>
      <c r="AZ624" s="957"/>
      <c r="BA624" s="957"/>
      <c r="BB624" s="957"/>
      <c r="BC624" s="957"/>
      <c r="BD624" s="957"/>
      <c r="BE624" s="957"/>
      <c r="BF624" s="957"/>
      <c r="BG624" s="957"/>
    </row>
    <row r="625" spans="1:113" ht="15" customHeight="1">
      <c r="A625" s="2288"/>
      <c r="B625" s="2178"/>
      <c r="C625" s="2326"/>
      <c r="D625" s="12" t="s">
        <v>32</v>
      </c>
      <c r="E625" s="555">
        <v>85</v>
      </c>
      <c r="F625" s="542" t="s">
        <v>15</v>
      </c>
      <c r="G625" s="542" t="s">
        <v>15</v>
      </c>
      <c r="H625" s="538">
        <v>801.87</v>
      </c>
      <c r="I625" s="32">
        <v>489.24</v>
      </c>
      <c r="J625" s="48" t="s">
        <v>15</v>
      </c>
      <c r="K625" s="1090" t="s">
        <v>15</v>
      </c>
      <c r="L625" s="48" t="s">
        <v>15</v>
      </c>
      <c r="M625" s="1090" t="s">
        <v>15</v>
      </c>
      <c r="N625" s="537">
        <v>0</v>
      </c>
      <c r="O625" s="455" t="s">
        <v>204</v>
      </c>
      <c r="P625" s="144" t="s">
        <v>204</v>
      </c>
      <c r="Q625" s="245" t="s">
        <v>15</v>
      </c>
      <c r="R625" s="139">
        <f t="shared" ref="R625:R630" si="16">N625</f>
        <v>0</v>
      </c>
      <c r="S625" s="127" t="s">
        <v>74</v>
      </c>
      <c r="T625" s="129" t="s">
        <v>75</v>
      </c>
      <c r="U625" s="858"/>
      <c r="V625" s="2283"/>
      <c r="W625" s="36" t="s">
        <v>129</v>
      </c>
      <c r="X625" s="36" t="s">
        <v>2538</v>
      </c>
      <c r="Y625" s="496">
        <f>((10*$R$621)+$R$622+$T$628+$R$625+$R$626+$R$630)*(1+$T$630)</f>
        <v>2243.116465116279</v>
      </c>
      <c r="Z625" s="496">
        <f>Y625</f>
        <v>2243.116465116279</v>
      </c>
      <c r="AA625" s="546">
        <f>71.27/$H$621*Z625</f>
        <v>197.90162348675702</v>
      </c>
      <c r="AB625" s="917"/>
      <c r="AC625" s="911"/>
      <c r="AD625" s="50" t="s">
        <v>145</v>
      </c>
      <c r="AE625" s="1331">
        <f>MAX(AN621:AN624)</f>
        <v>0.28518986101939575</v>
      </c>
      <c r="AF625" s="1312"/>
      <c r="AG625" s="1334"/>
      <c r="AH625" s="1336"/>
      <c r="AI625" s="1336"/>
      <c r="AJ625" s="1336"/>
      <c r="AK625" s="1336"/>
      <c r="AL625" s="1336"/>
      <c r="AM625" s="1339"/>
      <c r="AN625" s="1339"/>
      <c r="AO625" s="1339"/>
      <c r="AP625" s="957"/>
      <c r="AQ625" s="957"/>
      <c r="AR625" s="957"/>
      <c r="AS625" s="957"/>
      <c r="AT625" s="957"/>
      <c r="AU625" s="957"/>
      <c r="AV625" s="957"/>
      <c r="AW625" s="957"/>
      <c r="AX625" s="957"/>
      <c r="AY625" s="957"/>
      <c r="AZ625" s="957"/>
      <c r="BA625" s="957"/>
      <c r="BB625" s="957"/>
      <c r="BC625" s="957"/>
      <c r="BD625" s="957"/>
      <c r="BE625" s="957"/>
      <c r="BF625" s="957"/>
      <c r="BG625" s="957"/>
    </row>
    <row r="626" spans="1:113" ht="15" customHeight="1">
      <c r="A626" s="2288"/>
      <c r="B626" s="2191" t="s">
        <v>136</v>
      </c>
      <c r="C626" s="2234" t="s">
        <v>13</v>
      </c>
      <c r="D626" s="35" t="s">
        <v>135</v>
      </c>
      <c r="E626" s="31">
        <v>16</v>
      </c>
      <c r="F626" s="542" t="s">
        <v>15</v>
      </c>
      <c r="G626" s="542" t="s">
        <v>15</v>
      </c>
      <c r="H626" s="538">
        <v>1695.05</v>
      </c>
      <c r="I626" s="32">
        <v>378.1</v>
      </c>
      <c r="J626" s="1089" t="s">
        <v>15</v>
      </c>
      <c r="K626" s="13" t="s">
        <v>15</v>
      </c>
      <c r="L626" s="48" t="s">
        <v>15</v>
      </c>
      <c r="M626" s="1090" t="s">
        <v>15</v>
      </c>
      <c r="N626" s="537">
        <v>1020.35</v>
      </c>
      <c r="O626" s="536">
        <v>34.53</v>
      </c>
      <c r="P626" s="536">
        <v>29.55</v>
      </c>
      <c r="Q626" s="245" t="s">
        <v>15</v>
      </c>
      <c r="R626" s="139">
        <f t="shared" si="16"/>
        <v>1020.35</v>
      </c>
      <c r="S626" s="452">
        <v>86</v>
      </c>
      <c r="T626" s="411" t="s">
        <v>15</v>
      </c>
      <c r="U626" s="859"/>
      <c r="V626" s="1333"/>
      <c r="W626" s="1334"/>
      <c r="X626" s="1334"/>
      <c r="Y626" s="1334"/>
      <c r="Z626" s="1334"/>
      <c r="AA626" s="1335"/>
      <c r="AB626" s="917"/>
      <c r="AC626" s="911"/>
      <c r="AD626" s="27"/>
      <c r="AE626" s="27"/>
      <c r="AF626" s="1337"/>
      <c r="AG626" s="1338"/>
      <c r="AH626" s="1339"/>
      <c r="AI626" s="1339"/>
      <c r="AJ626" s="1339"/>
      <c r="AK626" s="1339"/>
      <c r="AL626" s="1339"/>
      <c r="AM626" s="1339"/>
      <c r="AN626" s="1340"/>
      <c r="AO626" s="1339"/>
      <c r="AP626" s="957"/>
      <c r="AQ626" s="957"/>
      <c r="AR626" s="957"/>
      <c r="AS626" s="957"/>
      <c r="AT626" s="957"/>
      <c r="AU626" s="957"/>
      <c r="AV626" s="957"/>
      <c r="AW626" s="957"/>
      <c r="AX626" s="957"/>
      <c r="AY626" s="957"/>
      <c r="AZ626" s="957"/>
      <c r="BA626" s="957"/>
      <c r="BB626" s="957"/>
      <c r="BC626" s="957"/>
      <c r="BD626" s="957"/>
      <c r="BE626" s="957"/>
      <c r="BF626" s="957"/>
      <c r="BG626" s="957"/>
    </row>
    <row r="627" spans="1:113" ht="15" customHeight="1">
      <c r="A627" s="2288"/>
      <c r="B627" s="2192"/>
      <c r="C627" s="2325"/>
      <c r="D627" s="556">
        <v>12</v>
      </c>
      <c r="E627" s="31">
        <v>14</v>
      </c>
      <c r="F627" s="542" t="s">
        <v>15</v>
      </c>
      <c r="G627" s="542" t="s">
        <v>15</v>
      </c>
      <c r="H627" s="538">
        <v>782.42</v>
      </c>
      <c r="I627" s="32">
        <v>164.42</v>
      </c>
      <c r="J627" s="1089" t="s">
        <v>15</v>
      </c>
      <c r="K627" s="13" t="s">
        <v>15</v>
      </c>
      <c r="L627" s="48" t="s">
        <v>15</v>
      </c>
      <c r="M627" s="1090" t="s">
        <v>15</v>
      </c>
      <c r="N627" s="537">
        <v>248.59</v>
      </c>
      <c r="O627" s="536">
        <v>8.44</v>
      </c>
      <c r="P627" s="536">
        <v>29.45</v>
      </c>
      <c r="Q627" s="245" t="s">
        <v>15</v>
      </c>
      <c r="R627" s="139">
        <f t="shared" si="16"/>
        <v>248.59</v>
      </c>
      <c r="S627" s="127" t="s">
        <v>41</v>
      </c>
      <c r="T627" s="129" t="s">
        <v>42</v>
      </c>
      <c r="U627" s="858"/>
      <c r="V627" s="898"/>
      <c r="W627" s="37"/>
      <c r="X627" s="37"/>
      <c r="Y627" s="163"/>
      <c r="Z627" s="163"/>
      <c r="AA627" s="164"/>
      <c r="AB627" s="922"/>
      <c r="AC627" s="911"/>
      <c r="AD627" s="26"/>
      <c r="AE627" s="26"/>
      <c r="AF627" s="106"/>
      <c r="AG627" s="37"/>
      <c r="AH627" s="957"/>
      <c r="AI627" s="957"/>
      <c r="AJ627" s="957"/>
      <c r="AK627" s="957"/>
      <c r="AL627" s="957"/>
      <c r="AM627" s="957"/>
      <c r="AN627" s="957"/>
      <c r="AO627" s="957"/>
      <c r="AP627" s="957"/>
      <c r="AQ627" s="957"/>
      <c r="AR627" s="957"/>
      <c r="AS627" s="957"/>
      <c r="AT627" s="957"/>
      <c r="AU627" s="957"/>
      <c r="AV627" s="957"/>
      <c r="AW627" s="957"/>
      <c r="AX627" s="957"/>
      <c r="AY627" s="957"/>
      <c r="AZ627" s="957"/>
      <c r="BA627" s="957"/>
      <c r="BB627" s="957"/>
      <c r="BC627" s="957"/>
      <c r="BD627" s="957"/>
      <c r="BE627" s="957"/>
      <c r="BF627" s="957"/>
      <c r="BG627" s="957"/>
    </row>
    <row r="628" spans="1:113" ht="15" customHeight="1">
      <c r="A628" s="2288"/>
      <c r="B628" s="2222"/>
      <c r="C628" s="2326"/>
      <c r="D628" s="54">
        <v>1</v>
      </c>
      <c r="E628" s="213">
        <v>56</v>
      </c>
      <c r="F628" s="543" t="s">
        <v>15</v>
      </c>
      <c r="G628" s="543" t="s">
        <v>15</v>
      </c>
      <c r="H628" s="55">
        <v>560.66999999999996</v>
      </c>
      <c r="I628" s="55">
        <v>183.09</v>
      </c>
      <c r="J628" s="1095" t="s">
        <v>15</v>
      </c>
      <c r="K628" s="38" t="s">
        <v>15</v>
      </c>
      <c r="L628" s="177" t="s">
        <v>15</v>
      </c>
      <c r="M628" s="1094" t="s">
        <v>15</v>
      </c>
      <c r="N628" s="1201">
        <v>0</v>
      </c>
      <c r="O628" s="455" t="s">
        <v>204</v>
      </c>
      <c r="P628" s="144" t="s">
        <v>204</v>
      </c>
      <c r="Q628" s="247" t="s">
        <v>15</v>
      </c>
      <c r="R628" s="139">
        <f t="shared" si="16"/>
        <v>0</v>
      </c>
      <c r="S628" s="25">
        <v>0.96409999999999996</v>
      </c>
      <c r="T628" s="130">
        <v>291.13</v>
      </c>
      <c r="U628" s="868"/>
      <c r="V628" s="898"/>
      <c r="W628" s="37"/>
      <c r="X628" s="37"/>
      <c r="Y628" s="163"/>
      <c r="Z628" s="163"/>
      <c r="AA628" s="164"/>
      <c r="AB628" s="922"/>
      <c r="AC628" s="911"/>
      <c r="AD628" s="26"/>
      <c r="AE628" s="26"/>
      <c r="AF628" s="106"/>
      <c r="AG628" s="37"/>
      <c r="AH628" s="957"/>
      <c r="AI628" s="957"/>
      <c r="AJ628" s="957"/>
      <c r="AK628" s="957"/>
      <c r="AL628" s="957"/>
      <c r="AM628" s="957"/>
      <c r="AN628" s="957"/>
      <c r="AO628" s="957"/>
      <c r="AP628" s="957"/>
      <c r="AQ628" s="957"/>
      <c r="AR628" s="957"/>
      <c r="AS628" s="957"/>
      <c r="AT628" s="957"/>
      <c r="AU628" s="957"/>
      <c r="AV628" s="957"/>
      <c r="AW628" s="957"/>
      <c r="AX628" s="957"/>
      <c r="AY628" s="957"/>
      <c r="AZ628" s="957"/>
      <c r="BA628" s="957"/>
      <c r="BB628" s="957"/>
      <c r="BC628" s="957"/>
      <c r="BD628" s="957"/>
      <c r="BE628" s="957"/>
      <c r="BF628" s="957"/>
      <c r="BG628" s="957"/>
    </row>
    <row r="629" spans="1:113" ht="15" customHeight="1">
      <c r="A629" s="2288"/>
      <c r="B629" s="2177" t="s">
        <v>146</v>
      </c>
      <c r="C629" s="2234" t="s">
        <v>11</v>
      </c>
      <c r="D629" s="452" t="s">
        <v>33</v>
      </c>
      <c r="E629" s="57">
        <v>23</v>
      </c>
      <c r="F629" s="321" t="s">
        <v>15</v>
      </c>
      <c r="G629" s="321" t="s">
        <v>15</v>
      </c>
      <c r="H629" s="58">
        <v>653.11</v>
      </c>
      <c r="I629" s="98">
        <v>171.77</v>
      </c>
      <c r="J629" s="1089" t="s">
        <v>15</v>
      </c>
      <c r="K629" s="13" t="s">
        <v>15</v>
      </c>
      <c r="L629" s="48" t="s">
        <v>15</v>
      </c>
      <c r="M629" s="1090" t="s">
        <v>15</v>
      </c>
      <c r="N629" s="537">
        <v>114.46</v>
      </c>
      <c r="O629" s="460">
        <v>4.5199999999999996</v>
      </c>
      <c r="P629" s="460">
        <v>25.31</v>
      </c>
      <c r="Q629" s="245" t="s">
        <v>15</v>
      </c>
      <c r="R629" s="139">
        <f t="shared" si="16"/>
        <v>114.46</v>
      </c>
      <c r="S629" s="127" t="s">
        <v>235</v>
      </c>
      <c r="T629" s="119" t="s">
        <v>391</v>
      </c>
      <c r="U629" s="855"/>
      <c r="V629" s="24"/>
      <c r="W629" s="26"/>
      <c r="X629" s="26"/>
      <c r="Y629" s="41"/>
      <c r="Z629" s="41"/>
      <c r="AA629" s="41"/>
      <c r="AB629" s="846"/>
      <c r="AC629" s="909"/>
      <c r="AD629" s="26"/>
      <c r="AE629" s="26"/>
      <c r="AF629" s="75"/>
      <c r="AG629" s="26"/>
      <c r="AH629" s="957"/>
      <c r="AI629" s="957"/>
      <c r="AJ629" s="957"/>
      <c r="AK629" s="957"/>
      <c r="AL629" s="957"/>
      <c r="AM629" s="957"/>
      <c r="AN629" s="957"/>
      <c r="AO629" s="957"/>
      <c r="AP629" s="957"/>
      <c r="AQ629" s="957"/>
      <c r="AR629" s="957"/>
      <c r="AS629" s="957"/>
      <c r="AT629" s="957"/>
      <c r="AU629" s="957"/>
      <c r="AV629" s="957"/>
      <c r="AW629" s="957"/>
      <c r="AX629" s="957"/>
      <c r="AY629" s="957"/>
      <c r="AZ629" s="957"/>
      <c r="BA629" s="957"/>
      <c r="BB629" s="957"/>
      <c r="BC629" s="957"/>
      <c r="BD629" s="957"/>
      <c r="BE629" s="957"/>
      <c r="BF629" s="957"/>
      <c r="BG629" s="957"/>
    </row>
    <row r="630" spans="1:113" ht="15.75" customHeight="1" thickBot="1">
      <c r="A630" s="2289"/>
      <c r="B630" s="2377"/>
      <c r="C630" s="2235"/>
      <c r="D630" s="291" t="s">
        <v>32</v>
      </c>
      <c r="E630" s="57">
        <v>63</v>
      </c>
      <c r="F630" s="321" t="s">
        <v>15</v>
      </c>
      <c r="G630" s="321" t="s">
        <v>15</v>
      </c>
      <c r="H630" s="58">
        <v>864.29</v>
      </c>
      <c r="I630" s="98">
        <v>553.04999999999995</v>
      </c>
      <c r="J630" s="1095" t="s">
        <v>15</v>
      </c>
      <c r="K630" s="38" t="s">
        <v>15</v>
      </c>
      <c r="L630" s="177" t="s">
        <v>15</v>
      </c>
      <c r="M630" s="1094" t="s">
        <v>15</v>
      </c>
      <c r="N630" s="537">
        <v>0</v>
      </c>
      <c r="O630" s="455" t="s">
        <v>204</v>
      </c>
      <c r="P630" s="144" t="s">
        <v>204</v>
      </c>
      <c r="Q630" s="247" t="s">
        <v>15</v>
      </c>
      <c r="R630" s="139">
        <f t="shared" si="16"/>
        <v>0</v>
      </c>
      <c r="S630" s="187">
        <v>71.27</v>
      </c>
      <c r="T630" s="365">
        <v>0.2</v>
      </c>
      <c r="U630" s="862"/>
      <c r="V630" s="28"/>
      <c r="W630" s="29"/>
      <c r="X630" s="29"/>
      <c r="Y630" s="97"/>
      <c r="Z630" s="97"/>
      <c r="AA630" s="97"/>
      <c r="AB630" s="846"/>
      <c r="AC630" s="912"/>
      <c r="AD630" s="29"/>
      <c r="AE630" s="29"/>
      <c r="AF630" s="108"/>
      <c r="AG630" s="29"/>
      <c r="AH630" s="1027"/>
      <c r="AI630" s="1027"/>
      <c r="AJ630" s="1027"/>
      <c r="AK630" s="1027"/>
      <c r="AL630" s="1027"/>
      <c r="AM630" s="1027"/>
      <c r="AN630" s="1027"/>
      <c r="AO630" s="1027"/>
      <c r="AP630" s="1027"/>
      <c r="AQ630" s="1027"/>
      <c r="AR630" s="1027"/>
      <c r="AS630" s="1027"/>
      <c r="AT630" s="1027"/>
      <c r="AU630" s="1027"/>
      <c r="AV630" s="1027"/>
      <c r="AW630" s="1027"/>
      <c r="AX630" s="1027"/>
      <c r="AY630" s="1027"/>
      <c r="AZ630" s="1027"/>
      <c r="BA630" s="1027"/>
      <c r="BB630" s="1027"/>
      <c r="BC630" s="1027"/>
      <c r="BD630" s="1027"/>
      <c r="BE630" s="1027"/>
      <c r="BF630" s="1027"/>
      <c r="BG630" s="1027"/>
    </row>
    <row r="631" spans="1:113" s="808" customFormat="1" ht="8.25" customHeight="1" thickBot="1">
      <c r="A631" s="695"/>
      <c r="B631" s="815"/>
      <c r="C631" s="684"/>
      <c r="D631" s="683"/>
      <c r="E631" s="683"/>
      <c r="F631" s="683"/>
      <c r="G631" s="683"/>
      <c r="H631" s="683"/>
      <c r="I631" s="683"/>
      <c r="J631" s="682"/>
      <c r="K631" s="683"/>
      <c r="L631" s="682"/>
      <c r="M631" s="685"/>
      <c r="N631" s="1189"/>
      <c r="O631" s="686"/>
      <c r="P631" s="686"/>
      <c r="Q631" s="687"/>
      <c r="R631" s="687"/>
      <c r="S631" s="688"/>
      <c r="T631" s="688"/>
      <c r="U631" s="891"/>
      <c r="V631" s="893"/>
      <c r="W631" s="685"/>
      <c r="X631" s="685"/>
      <c r="Y631" s="688"/>
      <c r="Z631" s="688"/>
      <c r="AA631" s="688"/>
      <c r="AB631" s="853"/>
      <c r="AC631" s="685"/>
      <c r="AD631" s="685"/>
      <c r="AE631" s="685"/>
      <c r="AF631" s="689"/>
      <c r="AG631" s="685"/>
      <c r="AH631" s="959"/>
      <c r="AI631" s="959"/>
      <c r="AJ631" s="959"/>
      <c r="AK631" s="959"/>
      <c r="AL631" s="959"/>
      <c r="AM631" s="959"/>
      <c r="AN631" s="959"/>
      <c r="AO631" s="959"/>
      <c r="AP631" s="959"/>
      <c r="AQ631" s="959"/>
      <c r="AR631" s="959"/>
      <c r="AS631" s="959"/>
      <c r="AT631" s="959"/>
      <c r="AU631" s="959"/>
      <c r="AV631" s="959" t="s">
        <v>321</v>
      </c>
      <c r="AW631" s="959" t="s">
        <v>322</v>
      </c>
      <c r="AX631" s="959"/>
      <c r="AY631" s="959"/>
      <c r="AZ631" s="959"/>
      <c r="BA631" s="959"/>
      <c r="BB631" s="959"/>
      <c r="BC631" s="959"/>
      <c r="BD631" s="959"/>
      <c r="BE631" s="959"/>
      <c r="BF631" s="959"/>
      <c r="BG631" s="959"/>
      <c r="BH631" s="1126"/>
      <c r="DI631" s="740"/>
    </row>
    <row r="632" spans="1:113" ht="15" customHeight="1">
      <c r="A632" s="2200" t="s">
        <v>174</v>
      </c>
      <c r="B632" s="2177" t="s">
        <v>175</v>
      </c>
      <c r="C632" s="2189" t="s">
        <v>11</v>
      </c>
      <c r="D632" s="963" t="s">
        <v>33</v>
      </c>
      <c r="E632" s="83">
        <v>375</v>
      </c>
      <c r="F632" s="964"/>
      <c r="G632" s="788" t="s">
        <v>15</v>
      </c>
      <c r="H632" s="793">
        <v>509.54</v>
      </c>
      <c r="I632" s="84">
        <v>264.54000000000002</v>
      </c>
      <c r="J632" s="1091" t="s">
        <v>15</v>
      </c>
      <c r="K632" s="1088" t="s">
        <v>15</v>
      </c>
      <c r="L632" s="1091" t="s">
        <v>15</v>
      </c>
      <c r="M632" s="1088" t="s">
        <v>15</v>
      </c>
      <c r="N632" s="965">
        <v>51.036919400000002</v>
      </c>
      <c r="O632" s="369">
        <v>5.53</v>
      </c>
      <c r="P632" s="965">
        <v>9.2363054600000005</v>
      </c>
      <c r="Q632" s="244" t="s">
        <v>15</v>
      </c>
      <c r="R632" s="790">
        <f t="shared" ref="R632:R642" si="17">N632</f>
        <v>51.036919400000002</v>
      </c>
      <c r="S632" s="124" t="s">
        <v>68</v>
      </c>
      <c r="T632" s="125" t="s">
        <v>69</v>
      </c>
      <c r="U632" s="858"/>
      <c r="V632" s="2328" t="s">
        <v>2698</v>
      </c>
      <c r="W632" s="966" t="s">
        <v>49</v>
      </c>
      <c r="X632" s="966" t="s">
        <v>332</v>
      </c>
      <c r="Y632" s="967">
        <f>($T$639+$R$641+$R$643)*(1+$T$641)</f>
        <v>431.41913642235215</v>
      </c>
      <c r="Z632" s="936">
        <f t="shared" ref="Z632:Z642" si="18">Y632</f>
        <v>431.41913642235215</v>
      </c>
      <c r="AA632" s="791">
        <f t="shared" ref="AA632:AA642" si="19">($S$641/(($E$632/($E$632+$E$633))*$H$632+($E$633/($E$632+$E$633))*$H$633))*Y632</f>
        <v>70.736818328494621</v>
      </c>
      <c r="AB632" s="917"/>
      <c r="AC632" s="911"/>
      <c r="AD632" s="2150" t="s">
        <v>142</v>
      </c>
      <c r="AE632" s="2151"/>
      <c r="AF632" s="968" t="s">
        <v>49</v>
      </c>
      <c r="AG632" s="966" t="s">
        <v>332</v>
      </c>
      <c r="AH632" s="967">
        <f>($T$639+$R$641+$R$643)*(1+$T$641)</f>
        <v>431.41913642235215</v>
      </c>
      <c r="AI632" s="1028"/>
      <c r="AJ632" s="1028">
        <v>400</v>
      </c>
      <c r="AK632" s="1028">
        <v>315.60000000000002</v>
      </c>
      <c r="AL632" s="1028"/>
      <c r="AM632" s="1028"/>
      <c r="AN632" s="1028"/>
      <c r="AO632" s="1028"/>
      <c r="AP632" s="1028"/>
      <c r="AQ632" s="1028"/>
      <c r="AR632" s="1028"/>
      <c r="AS632" s="1028"/>
      <c r="AT632" s="1028"/>
      <c r="AU632" s="1011"/>
      <c r="AV632" s="957">
        <f t="shared" ref="AV632:AV642" si="20">AH632-AVERAGE(AI632:AT632)</f>
        <v>73.619136422352142</v>
      </c>
      <c r="AW632" s="1023">
        <f t="shared" ref="AW632:AW642" si="21">AV632/AVERAGE(AI632:AT632)</f>
        <v>0.20575499279584164</v>
      </c>
      <c r="AX632" s="957"/>
      <c r="AY632" s="957"/>
      <c r="AZ632" s="957"/>
      <c r="BA632" s="957"/>
      <c r="BB632" s="957"/>
      <c r="BC632" s="957"/>
      <c r="BD632" s="957"/>
      <c r="BE632" s="957"/>
      <c r="BF632" s="957"/>
      <c r="BG632" s="957"/>
    </row>
    <row r="633" spans="1:113">
      <c r="A633" s="2172"/>
      <c r="B633" s="2178"/>
      <c r="C633" s="2190"/>
      <c r="D633" s="47" t="s">
        <v>32</v>
      </c>
      <c r="E633" s="31">
        <v>403</v>
      </c>
      <c r="F633" s="542" t="s">
        <v>15</v>
      </c>
      <c r="G633" s="542" t="s">
        <v>15</v>
      </c>
      <c r="H633" s="538">
        <v>297.75</v>
      </c>
      <c r="I633" s="32">
        <v>161.81</v>
      </c>
      <c r="J633" s="1089" t="s">
        <v>15</v>
      </c>
      <c r="K633" s="1090" t="s">
        <v>15</v>
      </c>
      <c r="L633" s="1089" t="s">
        <v>15</v>
      </c>
      <c r="M633" s="1090" t="s">
        <v>15</v>
      </c>
      <c r="N633" s="461">
        <v>0</v>
      </c>
      <c r="O633" s="455" t="s">
        <v>204</v>
      </c>
      <c r="P633" s="461" t="s">
        <v>204</v>
      </c>
      <c r="Q633" s="245" t="s">
        <v>15</v>
      </c>
      <c r="R633" s="139">
        <f t="shared" si="17"/>
        <v>0</v>
      </c>
      <c r="S633" s="452" t="s">
        <v>133</v>
      </c>
      <c r="T633" s="117" t="s">
        <v>132</v>
      </c>
      <c r="U633" s="854"/>
      <c r="V633" s="2282"/>
      <c r="W633" s="20" t="s">
        <v>49</v>
      </c>
      <c r="X633" s="20" t="s">
        <v>333</v>
      </c>
      <c r="Y633" s="168">
        <f>($T$639+$R$641+$R$634+$R$636+$R$643)*(1+$T$641)</f>
        <v>529.04851671735207</v>
      </c>
      <c r="Z633" s="159">
        <f t="shared" si="18"/>
        <v>529.04851671735207</v>
      </c>
      <c r="AA633" s="544">
        <f t="shared" si="19"/>
        <v>86.744434019167343</v>
      </c>
      <c r="AB633" s="917"/>
      <c r="AC633" s="911"/>
      <c r="AD633" s="49" t="s">
        <v>98</v>
      </c>
      <c r="AE633" s="405">
        <f>AVERAGE($AW$632:$AW$642)</f>
        <v>0.23666319541281339</v>
      </c>
      <c r="AF633" s="111" t="s">
        <v>49</v>
      </c>
      <c r="AG633" s="20" t="s">
        <v>333</v>
      </c>
      <c r="AH633" s="168">
        <f>($T$639+$R$641+$R$634+$R$636+$R$643)*(1+$T$641)</f>
        <v>529.04851671735207</v>
      </c>
      <c r="AI633" s="956"/>
      <c r="AJ633" s="956"/>
      <c r="AK633" s="956"/>
      <c r="AL633" s="956">
        <v>487.4</v>
      </c>
      <c r="AM633" s="956"/>
      <c r="AN633" s="956"/>
      <c r="AO633" s="956"/>
      <c r="AP633" s="956"/>
      <c r="AQ633" s="956"/>
      <c r="AR633" s="956"/>
      <c r="AS633" s="956"/>
      <c r="AT633" s="956"/>
      <c r="AU633" s="1011"/>
      <c r="AV633" s="957">
        <f t="shared" si="20"/>
        <v>41.648516717352095</v>
      </c>
      <c r="AW633" s="1023">
        <f t="shared" si="21"/>
        <v>8.5450383088535281E-2</v>
      </c>
      <c r="AX633" s="957"/>
      <c r="AY633" s="957"/>
      <c r="AZ633" s="957"/>
      <c r="BA633" s="957"/>
      <c r="BB633" s="957"/>
      <c r="BC633" s="957"/>
      <c r="BD633" s="957"/>
      <c r="BE633" s="957"/>
      <c r="BF633" s="957"/>
      <c r="BG633" s="957"/>
    </row>
    <row r="634" spans="1:113">
      <c r="A634" s="2172"/>
      <c r="B634" s="2177" t="s">
        <v>176</v>
      </c>
      <c r="C634" s="2189" t="s">
        <v>11</v>
      </c>
      <c r="D634" s="47" t="s">
        <v>33</v>
      </c>
      <c r="E634" s="31">
        <v>434</v>
      </c>
      <c r="F634" s="188">
        <f>(E634/(E634+E635))*H634+(E635/(E634+E635))*H635</f>
        <v>399.83298200514139</v>
      </c>
      <c r="G634" s="542" t="s">
        <v>15</v>
      </c>
      <c r="H634" s="538">
        <v>478.67</v>
      </c>
      <c r="I634" s="32">
        <v>261.69</v>
      </c>
      <c r="J634" s="1089" t="s">
        <v>15</v>
      </c>
      <c r="K634" s="1090" t="s">
        <v>15</v>
      </c>
      <c r="L634" s="1089" t="s">
        <v>15</v>
      </c>
      <c r="M634" s="1090" t="s">
        <v>15</v>
      </c>
      <c r="N634" s="461">
        <v>72.811110799999994</v>
      </c>
      <c r="O634" s="133">
        <v>10.42</v>
      </c>
      <c r="P634" s="461">
        <v>6.9861971299999999</v>
      </c>
      <c r="Q634" s="245" t="s">
        <v>15</v>
      </c>
      <c r="R634" s="139">
        <f t="shared" si="17"/>
        <v>72.811110799999994</v>
      </c>
      <c r="S634" s="127" t="s">
        <v>72</v>
      </c>
      <c r="T634" s="119" t="s">
        <v>119</v>
      </c>
      <c r="U634" s="855"/>
      <c r="V634" s="2282"/>
      <c r="W634" s="20" t="s">
        <v>49</v>
      </c>
      <c r="X634" s="20" t="s">
        <v>334</v>
      </c>
      <c r="Y634" s="168">
        <f>($T$639+$R$641+$R$638+$R$643)*(1+$T$641)</f>
        <v>597.23272511735206</v>
      </c>
      <c r="Z634" s="159">
        <f t="shared" si="18"/>
        <v>597.23272511735206</v>
      </c>
      <c r="AA634" s="544">
        <f t="shared" si="19"/>
        <v>97.924128092221267</v>
      </c>
      <c r="AB634" s="917"/>
      <c r="AC634" s="911"/>
      <c r="AD634" s="49" t="s">
        <v>143</v>
      </c>
      <c r="AE634" s="405">
        <f>STDEV($AW$632:$AW$642)</f>
        <v>0.21209440299369425</v>
      </c>
      <c r="AF634" s="111" t="s">
        <v>49</v>
      </c>
      <c r="AG634" s="20" t="s">
        <v>334</v>
      </c>
      <c r="AH634" s="168">
        <f>($T$639+$R$641+$R$638+$R$643)*(1+$T$641)</f>
        <v>597.23272511735206</v>
      </c>
      <c r="AI634" s="956"/>
      <c r="AJ634" s="956"/>
      <c r="AK634" s="956"/>
      <c r="AL634" s="956"/>
      <c r="AM634" s="956"/>
      <c r="AN634" s="956"/>
      <c r="AO634" s="956"/>
      <c r="AP634" s="956"/>
      <c r="AQ634" s="956"/>
      <c r="AR634" s="956">
        <v>404.18</v>
      </c>
      <c r="AS634" s="956"/>
      <c r="AT634" s="956"/>
      <c r="AU634" s="1011"/>
      <c r="AV634" s="957">
        <f t="shared" si="20"/>
        <v>193.05272511735205</v>
      </c>
      <c r="AW634" s="1023">
        <f t="shared" si="21"/>
        <v>0.47764046988310171</v>
      </c>
      <c r="AX634" s="957"/>
      <c r="AY634" s="957"/>
      <c r="AZ634" s="957"/>
      <c r="BA634" s="957"/>
      <c r="BB634" s="957"/>
      <c r="BC634" s="957"/>
      <c r="BD634" s="957"/>
      <c r="BE634" s="957"/>
      <c r="BF634" s="957"/>
      <c r="BG634" s="957"/>
    </row>
    <row r="635" spans="1:113">
      <c r="A635" s="2172"/>
      <c r="B635" s="2178"/>
      <c r="C635" s="2190"/>
      <c r="D635" s="47" t="s">
        <v>32</v>
      </c>
      <c r="E635" s="31">
        <v>344</v>
      </c>
      <c r="F635" s="542" t="s">
        <v>15</v>
      </c>
      <c r="G635" s="542" t="s">
        <v>15</v>
      </c>
      <c r="H635" s="538">
        <v>300.37</v>
      </c>
      <c r="I635" s="32">
        <v>167.8</v>
      </c>
      <c r="J635" s="1089" t="s">
        <v>15</v>
      </c>
      <c r="K635" s="1090" t="s">
        <v>15</v>
      </c>
      <c r="L635" s="1089" t="s">
        <v>15</v>
      </c>
      <c r="M635" s="1090" t="s">
        <v>15</v>
      </c>
      <c r="N635" s="461">
        <v>0</v>
      </c>
      <c r="O635" s="455" t="s">
        <v>204</v>
      </c>
      <c r="P635" s="461" t="s">
        <v>204</v>
      </c>
      <c r="Q635" s="245" t="s">
        <v>15</v>
      </c>
      <c r="R635" s="139">
        <f t="shared" si="17"/>
        <v>0</v>
      </c>
      <c r="S635" s="411" t="s">
        <v>139</v>
      </c>
      <c r="T635" s="411" t="s">
        <v>140</v>
      </c>
      <c r="U635" s="859"/>
      <c r="V635" s="2282"/>
      <c r="W635" s="20" t="s">
        <v>49</v>
      </c>
      <c r="X635" s="20" t="s">
        <v>335</v>
      </c>
      <c r="Y635" s="168">
        <f>($T$639+$R$641+$R$632+$R$643)*(1+$T$641)</f>
        <v>490.11159373235211</v>
      </c>
      <c r="Z635" s="159">
        <f t="shared" si="18"/>
        <v>490.11159373235211</v>
      </c>
      <c r="AA635" s="544">
        <f t="shared" si="19"/>
        <v>80.360215483334613</v>
      </c>
      <c r="AB635" s="917"/>
      <c r="AC635" s="911"/>
      <c r="AD635" s="49" t="s">
        <v>144</v>
      </c>
      <c r="AE635" s="405">
        <f>MIN($AW$632:$AW$642)</f>
        <v>-4.6632949371423899E-2</v>
      </c>
      <c r="AF635" s="111" t="s">
        <v>49</v>
      </c>
      <c r="AG635" s="20" t="s">
        <v>335</v>
      </c>
      <c r="AH635" s="168">
        <f>($T$639+$R$641+$R$632+$R$643)*(1+$T$641)</f>
        <v>490.11159373235211</v>
      </c>
      <c r="AI635" s="956"/>
      <c r="AJ635" s="956"/>
      <c r="AK635" s="956"/>
      <c r="AL635" s="956">
        <v>456.26</v>
      </c>
      <c r="AM635" s="956"/>
      <c r="AN635" s="956">
        <v>532</v>
      </c>
      <c r="AO635" s="956"/>
      <c r="AP635" s="956"/>
      <c r="AQ635" s="956"/>
      <c r="AR635" s="956"/>
      <c r="AS635" s="956"/>
      <c r="AT635" s="956"/>
      <c r="AU635" s="1011"/>
      <c r="AV635" s="957">
        <f t="shared" si="20"/>
        <v>-4.0184062676478902</v>
      </c>
      <c r="AW635" s="1023">
        <f t="shared" si="21"/>
        <v>-8.1322855678624857E-3</v>
      </c>
      <c r="AX635" s="957"/>
      <c r="AY635" s="957"/>
      <c r="AZ635" s="957"/>
      <c r="BA635" s="957"/>
      <c r="BB635" s="957"/>
      <c r="BC635" s="957"/>
      <c r="BD635" s="957"/>
      <c r="BE635" s="957"/>
      <c r="BF635" s="957"/>
      <c r="BG635" s="957"/>
    </row>
    <row r="636" spans="1:113">
      <c r="A636" s="2172"/>
      <c r="B636" s="2177" t="s">
        <v>177</v>
      </c>
      <c r="C636" s="2189" t="s">
        <v>11</v>
      </c>
      <c r="D636" s="47" t="s">
        <v>33</v>
      </c>
      <c r="E636" s="555">
        <v>21</v>
      </c>
      <c r="F636" s="542" t="s">
        <v>15</v>
      </c>
      <c r="G636" s="542" t="s">
        <v>15</v>
      </c>
      <c r="H636" s="538">
        <v>462.29</v>
      </c>
      <c r="I636" s="32">
        <v>216.26</v>
      </c>
      <c r="J636" s="1089" t="s">
        <v>15</v>
      </c>
      <c r="K636" s="1090" t="s">
        <v>15</v>
      </c>
      <c r="L636" s="1089" t="s">
        <v>15</v>
      </c>
      <c r="M636" s="1090" t="s">
        <v>15</v>
      </c>
      <c r="N636" s="461">
        <v>12.0840025</v>
      </c>
      <c r="O636" s="369">
        <v>0.57999999999999996</v>
      </c>
      <c r="P636" s="461">
        <v>20.959430050000002</v>
      </c>
      <c r="Q636" s="245" t="s">
        <v>15</v>
      </c>
      <c r="R636" s="139">
        <f t="shared" si="17"/>
        <v>12.0840025</v>
      </c>
      <c r="S636" s="127" t="s">
        <v>74</v>
      </c>
      <c r="T636" s="129" t="s">
        <v>75</v>
      </c>
      <c r="U636" s="858"/>
      <c r="V636" s="2282"/>
      <c r="W636" s="20" t="s">
        <v>49</v>
      </c>
      <c r="X636" s="20" t="s">
        <v>336</v>
      </c>
      <c r="Y636" s="168">
        <f>($T$639+$R$642+$R$643)*(1+$T$641)</f>
        <v>356.34780514735212</v>
      </c>
      <c r="Z636" s="159">
        <f t="shared" si="18"/>
        <v>356.34780514735212</v>
      </c>
      <c r="AA636" s="544">
        <f t="shared" si="19"/>
        <v>58.427890249608446</v>
      </c>
      <c r="AB636" s="917"/>
      <c r="AC636" s="911"/>
      <c r="AD636" s="50" t="s">
        <v>145</v>
      </c>
      <c r="AE636" s="406">
        <f>MAX($AW$632:$AW$642)</f>
        <v>0.56786390176060564</v>
      </c>
      <c r="AF636" s="111" t="s">
        <v>49</v>
      </c>
      <c r="AG636" s="20" t="s">
        <v>336</v>
      </c>
      <c r="AH636" s="168">
        <f>($T$639+$R$642+$R$643)*(1+$T$641)</f>
        <v>356.34780514735212</v>
      </c>
      <c r="AI636" s="956"/>
      <c r="AJ636" s="956"/>
      <c r="AK636" s="956">
        <v>238.53</v>
      </c>
      <c r="AL636" s="956"/>
      <c r="AM636" s="956"/>
      <c r="AN636" s="956"/>
      <c r="AO636" s="956"/>
      <c r="AP636" s="956"/>
      <c r="AQ636" s="956"/>
      <c r="AR636" s="956"/>
      <c r="AS636" s="956">
        <v>218.31</v>
      </c>
      <c r="AT636" s="956">
        <v>300</v>
      </c>
      <c r="AU636" s="1011"/>
      <c r="AV636" s="957">
        <f t="shared" si="20"/>
        <v>104.06780514735212</v>
      </c>
      <c r="AW636" s="1023">
        <f t="shared" si="21"/>
        <v>0.41250913725761901</v>
      </c>
      <c r="AX636" s="957"/>
      <c r="AY636" s="957"/>
      <c r="AZ636" s="957"/>
      <c r="BA636" s="957"/>
      <c r="BB636" s="957"/>
      <c r="BC636" s="957"/>
      <c r="BD636" s="957"/>
      <c r="BE636" s="957"/>
      <c r="BF636" s="957"/>
      <c r="BG636" s="957"/>
    </row>
    <row r="637" spans="1:113">
      <c r="A637" s="2172"/>
      <c r="B637" s="2178"/>
      <c r="C637" s="2190"/>
      <c r="D637" s="47" t="s">
        <v>32</v>
      </c>
      <c r="E637" s="555">
        <v>757</v>
      </c>
      <c r="F637" s="542" t="s">
        <v>15</v>
      </c>
      <c r="G637" s="542" t="s">
        <v>15</v>
      </c>
      <c r="H637" s="538">
        <v>398.1</v>
      </c>
      <c r="I637" s="32">
        <v>242.32</v>
      </c>
      <c r="J637" s="1089" t="s">
        <v>15</v>
      </c>
      <c r="K637" s="1090" t="s">
        <v>15</v>
      </c>
      <c r="L637" s="1089" t="s">
        <v>15</v>
      </c>
      <c r="M637" s="1090" t="s">
        <v>15</v>
      </c>
      <c r="N637" s="461">
        <v>0</v>
      </c>
      <c r="O637" s="455" t="s">
        <v>204</v>
      </c>
      <c r="P637" s="461" t="s">
        <v>204</v>
      </c>
      <c r="Q637" s="245" t="s">
        <v>15</v>
      </c>
      <c r="R637" s="139">
        <f t="shared" si="17"/>
        <v>0</v>
      </c>
      <c r="S637" s="452">
        <v>778</v>
      </c>
      <c r="T637" s="411" t="s">
        <v>15</v>
      </c>
      <c r="U637" s="859"/>
      <c r="V637" s="2282"/>
      <c r="W637" s="20" t="s">
        <v>49</v>
      </c>
      <c r="X637" s="20" t="s">
        <v>337</v>
      </c>
      <c r="Y637" s="168">
        <f>($T$639+$R$642+$R$634+$R$643)*(1+$T$641)</f>
        <v>440.08058256735211</v>
      </c>
      <c r="Z637" s="159">
        <f t="shared" si="18"/>
        <v>440.08058256735211</v>
      </c>
      <c r="AA637" s="544">
        <f t="shared" si="19"/>
        <v>72.156975875287102</v>
      </c>
      <c r="AB637" s="917"/>
      <c r="AC637" s="37"/>
      <c r="AD637" s="22"/>
      <c r="AE637" s="27"/>
      <c r="AF637" s="111" t="s">
        <v>49</v>
      </c>
      <c r="AG637" s="20" t="s">
        <v>337</v>
      </c>
      <c r="AH637" s="168">
        <f>($T$639+$R$642+$R$634+$R$643)*(1+$T$641)</f>
        <v>440.08058256735211</v>
      </c>
      <c r="AI637" s="956">
        <v>540</v>
      </c>
      <c r="AJ637" s="956"/>
      <c r="AK637" s="956"/>
      <c r="AL637" s="956"/>
      <c r="AM637" s="956"/>
      <c r="AN637" s="956">
        <v>447</v>
      </c>
      <c r="AO637" s="956"/>
      <c r="AP637" s="956"/>
      <c r="AQ637" s="956">
        <v>199</v>
      </c>
      <c r="AR637" s="956"/>
      <c r="AS637" s="956"/>
      <c r="AT637" s="956"/>
      <c r="AU637" s="1011"/>
      <c r="AV637" s="957">
        <f t="shared" si="20"/>
        <v>44.747249234018796</v>
      </c>
      <c r="AW637" s="1023">
        <f t="shared" si="21"/>
        <v>0.11318865742163271</v>
      </c>
      <c r="AX637" s="957"/>
      <c r="AY637" s="957"/>
      <c r="AZ637" s="957"/>
      <c r="BA637" s="957"/>
      <c r="BB637" s="957"/>
      <c r="BC637" s="957"/>
      <c r="BD637" s="957"/>
      <c r="BE637" s="957"/>
      <c r="BF637" s="957"/>
      <c r="BG637" s="957"/>
    </row>
    <row r="638" spans="1:113">
      <c r="A638" s="2172"/>
      <c r="B638" s="2191" t="s">
        <v>178</v>
      </c>
      <c r="C638" s="2179" t="s">
        <v>11</v>
      </c>
      <c r="D638" s="47" t="s">
        <v>33</v>
      </c>
      <c r="E638" s="31">
        <v>323</v>
      </c>
      <c r="F638" s="542" t="s">
        <v>15</v>
      </c>
      <c r="G638" s="542" t="s">
        <v>15</v>
      </c>
      <c r="H638" s="538">
        <v>462.63</v>
      </c>
      <c r="I638" s="32">
        <v>279.58999999999997</v>
      </c>
      <c r="J638" s="1089" t="s">
        <v>15</v>
      </c>
      <c r="K638" s="1090" t="s">
        <v>15</v>
      </c>
      <c r="L638" s="1089" t="s">
        <v>15</v>
      </c>
      <c r="M638" s="1090" t="s">
        <v>15</v>
      </c>
      <c r="N638" s="461">
        <v>144.18572929999999</v>
      </c>
      <c r="O638" s="536">
        <v>19.72</v>
      </c>
      <c r="P638" s="461">
        <v>7.31132472</v>
      </c>
      <c r="Q638" s="245" t="s">
        <v>15</v>
      </c>
      <c r="R638" s="139">
        <f t="shared" si="17"/>
        <v>144.18572929999999</v>
      </c>
      <c r="S638" s="127" t="s">
        <v>41</v>
      </c>
      <c r="T638" s="129" t="s">
        <v>42</v>
      </c>
      <c r="U638" s="858"/>
      <c r="V638" s="2282"/>
      <c r="W638" s="20" t="s">
        <v>49</v>
      </c>
      <c r="X638" s="20" t="s">
        <v>338</v>
      </c>
      <c r="Y638" s="168">
        <f>($T$639+$R$642+$R$638+$R$643)*(1+$T$641)</f>
        <v>522.16139384235214</v>
      </c>
      <c r="Z638" s="159">
        <f t="shared" si="18"/>
        <v>522.16139384235214</v>
      </c>
      <c r="AA638" s="544">
        <f t="shared" si="19"/>
        <v>85.615200013335127</v>
      </c>
      <c r="AB638" s="917"/>
      <c r="AC638" s="37"/>
      <c r="AD638" s="24"/>
      <c r="AE638" s="26"/>
      <c r="AF638" s="111" t="s">
        <v>49</v>
      </c>
      <c r="AG638" s="20" t="s">
        <v>338</v>
      </c>
      <c r="AH638" s="168">
        <f>($T$639+$R$642+$R$638+$R$643)*(1+$T$641)</f>
        <v>522.16139384235214</v>
      </c>
      <c r="AI638" s="956"/>
      <c r="AJ638" s="956"/>
      <c r="AK638" s="956"/>
      <c r="AL638" s="956"/>
      <c r="AM638" s="956"/>
      <c r="AN638" s="956"/>
      <c r="AO638" s="956"/>
      <c r="AP638" s="956"/>
      <c r="AQ638" s="956"/>
      <c r="AR638" s="956">
        <v>333.04</v>
      </c>
      <c r="AS638" s="956"/>
      <c r="AT638" s="956"/>
      <c r="AU638" s="1011"/>
      <c r="AV638" s="957">
        <f t="shared" si="20"/>
        <v>189.12139384235212</v>
      </c>
      <c r="AW638" s="1023">
        <f t="shared" si="21"/>
        <v>0.56786390176060564</v>
      </c>
      <c r="AX638" s="957"/>
      <c r="AY638" s="957"/>
      <c r="AZ638" s="957"/>
      <c r="BA638" s="957"/>
      <c r="BB638" s="957"/>
      <c r="BC638" s="957"/>
      <c r="BD638" s="957"/>
      <c r="BE638" s="957"/>
      <c r="BF638" s="957"/>
      <c r="BG638" s="957"/>
    </row>
    <row r="639" spans="1:113">
      <c r="A639" s="2172"/>
      <c r="B639" s="2192"/>
      <c r="C639" s="2187"/>
      <c r="D639" s="47" t="s">
        <v>32</v>
      </c>
      <c r="E639" s="31">
        <v>455</v>
      </c>
      <c r="F639" s="542" t="s">
        <v>15</v>
      </c>
      <c r="G639" s="542" t="s">
        <v>15</v>
      </c>
      <c r="H639" s="538">
        <v>355.25</v>
      </c>
      <c r="I639" s="32">
        <v>199.46</v>
      </c>
      <c r="J639" s="1089" t="s">
        <v>15</v>
      </c>
      <c r="K639" s="1090" t="s">
        <v>15</v>
      </c>
      <c r="L639" s="1089" t="s">
        <v>15</v>
      </c>
      <c r="M639" s="1090" t="s">
        <v>15</v>
      </c>
      <c r="N639" s="461">
        <v>0</v>
      </c>
      <c r="O639" s="455" t="s">
        <v>204</v>
      </c>
      <c r="P639" s="461" t="s">
        <v>204</v>
      </c>
      <c r="Q639" s="245" t="s">
        <v>15</v>
      </c>
      <c r="R639" s="139">
        <f t="shared" si="17"/>
        <v>0</v>
      </c>
      <c r="S639" s="179">
        <v>0.87321300000000002</v>
      </c>
      <c r="T639" s="181">
        <v>78.503303700000004</v>
      </c>
      <c r="U639" s="873"/>
      <c r="V639" s="2282"/>
      <c r="W639" s="20" t="s">
        <v>49</v>
      </c>
      <c r="X639" s="20" t="s">
        <v>339</v>
      </c>
      <c r="Y639" s="168">
        <f>($T$639+$R$642+$R$632+$R$643)*(1+$T$641)</f>
        <v>415.04026245735213</v>
      </c>
      <c r="Z639" s="159">
        <f t="shared" si="18"/>
        <v>415.04026245735213</v>
      </c>
      <c r="AA639" s="544">
        <f t="shared" si="19"/>
        <v>68.051287404448459</v>
      </c>
      <c r="AB639" s="917"/>
      <c r="AC639" s="37"/>
      <c r="AD639" s="24"/>
      <c r="AE639" s="26"/>
      <c r="AF639" s="111" t="s">
        <v>49</v>
      </c>
      <c r="AG639" s="20" t="s">
        <v>339</v>
      </c>
      <c r="AH639" s="168">
        <f>($T$639+$R$642+$R$632+$R$643)*(1+$T$641)</f>
        <v>415.04026245735213</v>
      </c>
      <c r="AI639" s="956"/>
      <c r="AJ639" s="956"/>
      <c r="AK639" s="956"/>
      <c r="AL639" s="956"/>
      <c r="AM639" s="956"/>
      <c r="AN639" s="956"/>
      <c r="AO639" s="956">
        <v>375</v>
      </c>
      <c r="AP639" s="956">
        <v>197</v>
      </c>
      <c r="AQ639" s="956"/>
      <c r="AR639" s="956"/>
      <c r="AS639" s="956"/>
      <c r="AT639" s="956"/>
      <c r="AU639" s="1011"/>
      <c r="AV639" s="957">
        <f t="shared" si="20"/>
        <v>129.04026245735213</v>
      </c>
      <c r="AW639" s="1023">
        <f t="shared" si="21"/>
        <v>0.4511897288718606</v>
      </c>
      <c r="AX639" s="957"/>
      <c r="AY639" s="957"/>
      <c r="AZ639" s="957"/>
      <c r="BA639" s="957"/>
      <c r="BB639" s="957"/>
      <c r="BC639" s="957"/>
      <c r="BD639" s="957"/>
      <c r="BE639" s="957"/>
      <c r="BF639" s="957"/>
      <c r="BG639" s="957"/>
    </row>
    <row r="640" spans="1:113">
      <c r="A640" s="2172"/>
      <c r="B640" s="2166" t="s">
        <v>179</v>
      </c>
      <c r="C640" s="2356" t="s">
        <v>13</v>
      </c>
      <c r="D640" s="452" t="s">
        <v>81</v>
      </c>
      <c r="E640" s="555">
        <v>13</v>
      </c>
      <c r="F640" s="542" t="s">
        <v>15</v>
      </c>
      <c r="G640" s="542" t="s">
        <v>15</v>
      </c>
      <c r="H640" s="538">
        <v>354.99</v>
      </c>
      <c r="I640" s="540">
        <v>244.7</v>
      </c>
      <c r="J640" s="1089" t="s">
        <v>15</v>
      </c>
      <c r="K640" s="1090" t="s">
        <v>15</v>
      </c>
      <c r="L640" s="1089" t="s">
        <v>15</v>
      </c>
      <c r="M640" s="1090" t="s">
        <v>15</v>
      </c>
      <c r="N640" s="461">
        <v>0</v>
      </c>
      <c r="O640" s="455" t="s">
        <v>204</v>
      </c>
      <c r="P640" s="461" t="s">
        <v>204</v>
      </c>
      <c r="Q640" s="245"/>
      <c r="R640" s="139">
        <f t="shared" si="17"/>
        <v>0</v>
      </c>
      <c r="S640" s="127" t="s">
        <v>235</v>
      </c>
      <c r="T640" s="119" t="s">
        <v>391</v>
      </c>
      <c r="U640" s="855"/>
      <c r="V640" s="2282"/>
      <c r="W640" s="20" t="s">
        <v>49</v>
      </c>
      <c r="X640" s="20" t="s">
        <v>340</v>
      </c>
      <c r="Y640" s="168">
        <f>($T$639+$R$642+$R$632+$R$634+$R$643)*(1+$T$641)</f>
        <v>498.77303987735212</v>
      </c>
      <c r="Z640" s="159">
        <f t="shared" si="18"/>
        <v>498.77303987735212</v>
      </c>
      <c r="AA640" s="544">
        <f t="shared" si="19"/>
        <v>81.780373030127109</v>
      </c>
      <c r="AB640" s="917"/>
      <c r="AC640" s="26"/>
      <c r="AD640" s="24"/>
      <c r="AE640" s="26"/>
      <c r="AF640" s="111" t="s">
        <v>49</v>
      </c>
      <c r="AG640" s="20" t="s">
        <v>340</v>
      </c>
      <c r="AH640" s="168">
        <f>($T$639+$R$642+$R$632+$R$634+$R$643)*(1+$T$641)</f>
        <v>498.77303987735212</v>
      </c>
      <c r="AI640" s="956"/>
      <c r="AJ640" s="956"/>
      <c r="AK640" s="956"/>
      <c r="AL640" s="956">
        <v>383.56</v>
      </c>
      <c r="AM640" s="956">
        <v>662.78</v>
      </c>
      <c r="AN640" s="956"/>
      <c r="AO640" s="956"/>
      <c r="AP640" s="956"/>
      <c r="AQ640" s="956"/>
      <c r="AR640" s="956"/>
      <c r="AS640" s="956"/>
      <c r="AT640" s="956"/>
      <c r="AU640" s="1011"/>
      <c r="AV640" s="957">
        <f t="shared" si="20"/>
        <v>-24.39696012264784</v>
      </c>
      <c r="AW640" s="1023">
        <f t="shared" si="21"/>
        <v>-4.6632949371423899E-2</v>
      </c>
      <c r="AX640" s="957"/>
      <c r="AY640" s="957"/>
      <c r="AZ640" s="957"/>
      <c r="BA640" s="957"/>
      <c r="BB640" s="957"/>
      <c r="BC640" s="957"/>
      <c r="BD640" s="957"/>
      <c r="BE640" s="957"/>
      <c r="BF640" s="957"/>
      <c r="BG640" s="957"/>
    </row>
    <row r="641" spans="1:59">
      <c r="A641" s="2172"/>
      <c r="B641" s="2166"/>
      <c r="C641" s="2356"/>
      <c r="D641" s="452" t="s">
        <v>191</v>
      </c>
      <c r="E641" s="555">
        <v>217</v>
      </c>
      <c r="F641" s="542" t="s">
        <v>15</v>
      </c>
      <c r="G641" s="542" t="s">
        <v>15</v>
      </c>
      <c r="H641" s="538">
        <v>414.81</v>
      </c>
      <c r="I641" s="540">
        <v>281.24</v>
      </c>
      <c r="J641" s="1089" t="s">
        <v>15</v>
      </c>
      <c r="K641" s="1090" t="s">
        <v>15</v>
      </c>
      <c r="L641" s="1089" t="s">
        <v>15</v>
      </c>
      <c r="M641" s="1090" t="s">
        <v>15</v>
      </c>
      <c r="N641" s="461">
        <v>139.4305794</v>
      </c>
      <c r="O641" s="460">
        <v>3.34</v>
      </c>
      <c r="P641" s="461">
        <v>41.770749780000003</v>
      </c>
      <c r="Q641" s="245" t="s">
        <v>15</v>
      </c>
      <c r="R641" s="139">
        <f t="shared" si="17"/>
        <v>139.4305794</v>
      </c>
      <c r="S641" s="180">
        <v>65.558000000000007</v>
      </c>
      <c r="T641" s="415">
        <v>0.15</v>
      </c>
      <c r="U641" s="862"/>
      <c r="V641" s="2282"/>
      <c r="W641" s="20" t="s">
        <v>49</v>
      </c>
      <c r="X641" s="20" t="s">
        <v>341</v>
      </c>
      <c r="Y641" s="168">
        <f>($T$639+$R$642+$R$632+$R$638+$R$643)*(1+$T$641)</f>
        <v>580.85385115235204</v>
      </c>
      <c r="Z641" s="159">
        <f t="shared" si="18"/>
        <v>580.85385115235204</v>
      </c>
      <c r="AA641" s="544">
        <f t="shared" si="19"/>
        <v>95.238597168175104</v>
      </c>
      <c r="AB641" s="917"/>
      <c r="AC641" s="26"/>
      <c r="AD641" s="24"/>
      <c r="AE641" s="26"/>
      <c r="AF641" s="111" t="s">
        <v>49</v>
      </c>
      <c r="AG641" s="20" t="s">
        <v>341</v>
      </c>
      <c r="AH641" s="168">
        <f>($T$639+$R$642+$R$632+$R$638+$R$643)*(1+$T$641)</f>
        <v>580.85385115235204</v>
      </c>
      <c r="AI641" s="956"/>
      <c r="AJ641" s="956"/>
      <c r="AK641" s="956"/>
      <c r="AL641" s="956">
        <v>538.59</v>
      </c>
      <c r="AM641" s="956"/>
      <c r="AN641" s="956"/>
      <c r="AO641" s="956"/>
      <c r="AP641" s="956"/>
      <c r="AQ641" s="956"/>
      <c r="AR641" s="956"/>
      <c r="AS641" s="956"/>
      <c r="AT641" s="956"/>
      <c r="AU641" s="1011"/>
      <c r="AV641" s="957">
        <f t="shared" si="20"/>
        <v>42.263851152352004</v>
      </c>
      <c r="AW641" s="1023">
        <f t="shared" si="21"/>
        <v>7.8471288275593687E-2</v>
      </c>
      <c r="AX641" s="957"/>
      <c r="AY641" s="957"/>
      <c r="AZ641" s="957"/>
      <c r="BA641" s="957"/>
      <c r="BB641" s="957"/>
      <c r="BC641" s="957"/>
      <c r="BD641" s="957"/>
      <c r="BE641" s="957"/>
      <c r="BF641" s="957"/>
      <c r="BG641" s="957"/>
    </row>
    <row r="642" spans="1:59">
      <c r="A642" s="2172"/>
      <c r="B642" s="2166"/>
      <c r="C642" s="2356"/>
      <c r="D642" s="291" t="s">
        <v>192</v>
      </c>
      <c r="E642" s="555">
        <v>571</v>
      </c>
      <c r="F642" s="542" t="s">
        <v>15</v>
      </c>
      <c r="G642" s="542" t="s">
        <v>15</v>
      </c>
      <c r="H642" s="538">
        <v>393.65</v>
      </c>
      <c r="I642" s="540">
        <v>225.42</v>
      </c>
      <c r="J642" s="1089" t="s">
        <v>15</v>
      </c>
      <c r="K642" s="1090" t="s">
        <v>15</v>
      </c>
      <c r="L642" s="1089" t="s">
        <v>15</v>
      </c>
      <c r="M642" s="1090" t="s">
        <v>15</v>
      </c>
      <c r="N642" s="461">
        <v>74.151160899999994</v>
      </c>
      <c r="O642" s="126">
        <v>1.77</v>
      </c>
      <c r="P642" s="461">
        <v>41.967849530000002</v>
      </c>
      <c r="Q642" s="245" t="s">
        <v>15</v>
      </c>
      <c r="R642" s="139">
        <f t="shared" si="17"/>
        <v>74.151160899999994</v>
      </c>
      <c r="S642" s="122"/>
      <c r="T642" s="39"/>
      <c r="U642" s="854"/>
      <c r="V642" s="2283"/>
      <c r="W642" s="71" t="s">
        <v>49</v>
      </c>
      <c r="X642" s="71" t="s">
        <v>342</v>
      </c>
      <c r="Y642" s="168">
        <f>($T$639+$R$642+$R$632+$R$634+$R$638+$R$643)*(1+$T$641)</f>
        <v>664.58662857235208</v>
      </c>
      <c r="Z642" s="159">
        <f t="shared" si="18"/>
        <v>664.58662857235208</v>
      </c>
      <c r="AA642" s="544">
        <f t="shared" si="19"/>
        <v>108.96768279385378</v>
      </c>
      <c r="AB642" s="917"/>
      <c r="AC642" s="26"/>
      <c r="AD642" s="24"/>
      <c r="AE642" s="26"/>
      <c r="AF642" s="112" t="s">
        <v>49</v>
      </c>
      <c r="AG642" s="71" t="s">
        <v>342</v>
      </c>
      <c r="AH642" s="168">
        <f>($T$639+$R$642+$R$632+$R$634+$R$638+$R$643)*(1+$T$641)</f>
        <v>664.58662857235208</v>
      </c>
      <c r="AI642" s="1029">
        <v>638</v>
      </c>
      <c r="AJ642" s="1029">
        <v>570</v>
      </c>
      <c r="AK642" s="1029">
        <v>366.86</v>
      </c>
      <c r="AL642" s="1029"/>
      <c r="AM642" s="1029"/>
      <c r="AN642" s="1029"/>
      <c r="AO642" s="1029"/>
      <c r="AP642" s="1029"/>
      <c r="AQ642" s="1029"/>
      <c r="AR642" s="1029"/>
      <c r="AS642" s="1029"/>
      <c r="AT642" s="1029"/>
      <c r="AU642" s="1011"/>
      <c r="AV642" s="957">
        <f t="shared" si="20"/>
        <v>139.63329523901871</v>
      </c>
      <c r="AW642" s="1023">
        <f t="shared" si="21"/>
        <v>0.26599182512544362</v>
      </c>
      <c r="AX642" s="957"/>
      <c r="AY642" s="957"/>
      <c r="AZ642" s="957"/>
      <c r="BA642" s="957"/>
      <c r="BB642" s="957"/>
      <c r="BC642" s="957"/>
      <c r="BD642" s="957"/>
      <c r="BE642" s="957"/>
      <c r="BF642" s="957"/>
      <c r="BG642" s="957"/>
    </row>
    <row r="643" spans="1:59">
      <c r="A643" s="2172"/>
      <c r="B643" s="2191" t="s">
        <v>125</v>
      </c>
      <c r="C643" s="2173" t="s">
        <v>13</v>
      </c>
      <c r="D643" s="72" t="s">
        <v>189</v>
      </c>
      <c r="E643" s="57">
        <v>74</v>
      </c>
      <c r="F643" s="542" t="s">
        <v>15</v>
      </c>
      <c r="G643" s="542" t="s">
        <v>15</v>
      </c>
      <c r="H643" s="58">
        <v>149.99</v>
      </c>
      <c r="I643" s="98">
        <v>18.91</v>
      </c>
      <c r="J643" s="1089" t="s">
        <v>15</v>
      </c>
      <c r="K643" s="1090" t="s">
        <v>15</v>
      </c>
      <c r="L643" s="1089" t="s">
        <v>15</v>
      </c>
      <c r="M643" s="1090" t="s">
        <v>15</v>
      </c>
      <c r="N643" s="461">
        <v>-131.46786399999999</v>
      </c>
      <c r="O643" s="463">
        <v>-8.41</v>
      </c>
      <c r="P643" s="461">
        <v>15.63528129</v>
      </c>
      <c r="Q643" s="249">
        <f t="shared" ref="Q643:Q656" si="22">E643/SUM($E$643:$E$656)</f>
        <v>9.5115681233933158E-2</v>
      </c>
      <c r="R643" s="2378">
        <f>SUMPRODUCT(N643:N656,Q643:Q656)</f>
        <v>157.21319204987145</v>
      </c>
      <c r="S643" s="123"/>
      <c r="T643" s="41"/>
      <c r="U643" s="854"/>
      <c r="V643" s="22"/>
      <c r="W643" s="27"/>
      <c r="X643" s="27"/>
      <c r="Y643" s="27"/>
      <c r="Z643" s="27"/>
      <c r="AA643" s="27"/>
      <c r="AC643" s="26"/>
      <c r="AD643" s="24"/>
      <c r="AE643" s="26"/>
      <c r="AF643" s="102"/>
      <c r="AG643" s="27"/>
      <c r="AH643" s="1013"/>
      <c r="AI643" s="1013"/>
      <c r="AJ643" s="1013"/>
      <c r="AK643" s="1013"/>
      <c r="AL643" s="1013"/>
      <c r="AM643" s="1013"/>
      <c r="AN643" s="1013"/>
      <c r="AO643" s="1013"/>
      <c r="AP643" s="1013"/>
      <c r="AQ643" s="1013"/>
      <c r="AR643" s="1013"/>
      <c r="AS643" s="1013"/>
      <c r="AT643" s="1013"/>
      <c r="AU643" s="957"/>
      <c r="AV643" s="957"/>
      <c r="AW643" s="957"/>
      <c r="AX643" s="957"/>
      <c r="AY643" s="957"/>
      <c r="AZ643" s="957"/>
      <c r="BA643" s="957"/>
      <c r="BB643" s="957"/>
      <c r="BC643" s="957"/>
      <c r="BD643" s="957"/>
      <c r="BE643" s="957"/>
      <c r="BF643" s="957"/>
      <c r="BG643" s="957"/>
    </row>
    <row r="644" spans="1:59">
      <c r="A644" s="2172"/>
      <c r="B644" s="2192"/>
      <c r="C644" s="2174"/>
      <c r="D644" s="72" t="s">
        <v>186</v>
      </c>
      <c r="E644" s="57">
        <v>20</v>
      </c>
      <c r="F644" s="542" t="s">
        <v>15</v>
      </c>
      <c r="G644" s="542" t="s">
        <v>15</v>
      </c>
      <c r="H644" s="58">
        <v>257.32</v>
      </c>
      <c r="I644" s="98">
        <v>61.6</v>
      </c>
      <c r="J644" s="1089" t="s">
        <v>15</v>
      </c>
      <c r="K644" s="1090" t="s">
        <v>15</v>
      </c>
      <c r="L644" s="1089" t="s">
        <v>15</v>
      </c>
      <c r="M644" s="1090" t="s">
        <v>15</v>
      </c>
      <c r="N644" s="461">
        <v>49.424328699999997</v>
      </c>
      <c r="O644" s="463">
        <v>2.1800000000000002</v>
      </c>
      <c r="P644" s="461">
        <v>22.660341670000001</v>
      </c>
      <c r="Q644" s="249">
        <f t="shared" si="22"/>
        <v>2.570694087403599E-2</v>
      </c>
      <c r="R644" s="2379"/>
      <c r="S644" s="123"/>
      <c r="T644" s="41"/>
      <c r="U644" s="854"/>
      <c r="V644" s="24"/>
      <c r="W644" s="26"/>
      <c r="X644" s="26"/>
      <c r="Y644" s="26"/>
      <c r="Z644" s="26"/>
      <c r="AA644" s="26"/>
      <c r="AC644" s="26"/>
      <c r="AD644" s="24"/>
      <c r="AE644" s="26"/>
      <c r="AF644" s="75"/>
      <c r="AG644" s="26"/>
      <c r="AH644" s="957"/>
      <c r="AI644" s="957"/>
      <c r="AJ644" s="957"/>
      <c r="AK644" s="957"/>
      <c r="AL644" s="957"/>
      <c r="AM644" s="957"/>
      <c r="AN644" s="957"/>
      <c r="AO644" s="957"/>
      <c r="AP644" s="957"/>
      <c r="AQ644" s="957"/>
      <c r="AR644" s="957"/>
      <c r="AS644" s="957"/>
      <c r="AT644" s="957"/>
      <c r="AU644" s="957"/>
      <c r="AV644" s="957"/>
      <c r="AW644" s="957"/>
      <c r="AX644" s="957"/>
      <c r="AY644" s="957"/>
      <c r="AZ644" s="957"/>
      <c r="BA644" s="957"/>
      <c r="BB644" s="957"/>
      <c r="BC644" s="957"/>
      <c r="BD644" s="957"/>
      <c r="BE644" s="957"/>
      <c r="BF644" s="957"/>
      <c r="BG644" s="957"/>
    </row>
    <row r="645" spans="1:59">
      <c r="A645" s="2172"/>
      <c r="B645" s="2192"/>
      <c r="C645" s="2174"/>
      <c r="D645" s="72" t="s">
        <v>182</v>
      </c>
      <c r="E645" s="57">
        <v>88</v>
      </c>
      <c r="F645" s="542" t="s">
        <v>15</v>
      </c>
      <c r="G645" s="542" t="s">
        <v>15</v>
      </c>
      <c r="H645" s="58">
        <v>269.42</v>
      </c>
      <c r="I645" s="98">
        <v>23.69</v>
      </c>
      <c r="J645" s="1089" t="s">
        <v>15</v>
      </c>
      <c r="K645" s="1090" t="s">
        <v>15</v>
      </c>
      <c r="L645" s="1089" t="s">
        <v>15</v>
      </c>
      <c r="M645" s="1090" t="s">
        <v>15</v>
      </c>
      <c r="N645" s="461">
        <v>-73.550115199999993</v>
      </c>
      <c r="O645" s="463">
        <v>-5.36</v>
      </c>
      <c r="P645" s="461">
        <v>13.729038539999999</v>
      </c>
      <c r="Q645" s="249">
        <f t="shared" si="22"/>
        <v>0.11311053984575835</v>
      </c>
      <c r="R645" s="2379"/>
      <c r="S645" s="123"/>
      <c r="T645" s="41"/>
      <c r="U645" s="854"/>
      <c r="V645" s="24"/>
      <c r="W645" s="26"/>
      <c r="X645" s="26"/>
      <c r="Y645" s="26"/>
      <c r="Z645" s="26"/>
      <c r="AA645" s="26"/>
      <c r="AC645" s="26"/>
      <c r="AD645" s="24"/>
      <c r="AE645" s="26"/>
      <c r="AF645" s="75"/>
      <c r="AG645" s="26"/>
      <c r="AH645" s="957"/>
      <c r="AI645" s="957"/>
      <c r="AJ645" s="957"/>
      <c r="AK645" s="957"/>
      <c r="AL645" s="957"/>
      <c r="AM645" s="957"/>
      <c r="AN645" s="957"/>
      <c r="AO645" s="957"/>
      <c r="AP645" s="957"/>
      <c r="AQ645" s="957"/>
      <c r="AR645" s="957"/>
      <c r="AS645" s="957"/>
      <c r="AT645" s="957"/>
      <c r="AU645" s="957"/>
      <c r="AV645" s="957"/>
      <c r="AW645" s="957"/>
      <c r="AX645" s="957"/>
      <c r="AY645" s="957"/>
      <c r="AZ645" s="957"/>
      <c r="BA645" s="957"/>
      <c r="BB645" s="957"/>
      <c r="BC645" s="957"/>
      <c r="BD645" s="957"/>
      <c r="BE645" s="957"/>
      <c r="BF645" s="957"/>
      <c r="BG645" s="957"/>
    </row>
    <row r="646" spans="1:59">
      <c r="A646" s="2172"/>
      <c r="B646" s="2192"/>
      <c r="C646" s="2174"/>
      <c r="D646" s="72" t="s">
        <v>190</v>
      </c>
      <c r="E646" s="57">
        <v>5</v>
      </c>
      <c r="F646" s="542" t="s">
        <v>15</v>
      </c>
      <c r="G646" s="542" t="s">
        <v>15</v>
      </c>
      <c r="H646" s="58">
        <v>368.4</v>
      </c>
      <c r="I646" s="98">
        <v>155.41</v>
      </c>
      <c r="J646" s="1089" t="s">
        <v>15</v>
      </c>
      <c r="K646" s="1090" t="s">
        <v>15</v>
      </c>
      <c r="L646" s="1089" t="s">
        <v>15</v>
      </c>
      <c r="M646" s="1090" t="s">
        <v>15</v>
      </c>
      <c r="N646" s="461">
        <v>41.337966100000003</v>
      </c>
      <c r="O646" s="463">
        <v>0.72</v>
      </c>
      <c r="P646" s="461">
        <v>57.71068855</v>
      </c>
      <c r="Q646" s="249">
        <f t="shared" si="22"/>
        <v>6.4267352185089976E-3</v>
      </c>
      <c r="R646" s="2379"/>
      <c r="S646" s="123"/>
      <c r="T646" s="41"/>
      <c r="U646" s="854"/>
      <c r="V646" s="24"/>
      <c r="W646" s="26"/>
      <c r="X646" s="26"/>
      <c r="Y646" s="26"/>
      <c r="Z646" s="26"/>
      <c r="AA646" s="26"/>
      <c r="AC646" s="26"/>
      <c r="AD646" s="24"/>
      <c r="AE646" s="26"/>
      <c r="AF646" s="75"/>
      <c r="AG646" s="26"/>
      <c r="AH646" s="957"/>
      <c r="AI646" s="957"/>
      <c r="AJ646" s="957"/>
      <c r="AK646" s="957"/>
      <c r="AL646" s="957"/>
      <c r="AM646" s="957"/>
      <c r="AN646" s="957"/>
      <c r="AO646" s="957"/>
      <c r="AP646" s="957"/>
      <c r="AQ646" s="957"/>
      <c r="AR646" s="957"/>
      <c r="AS646" s="957"/>
      <c r="AT646" s="957"/>
      <c r="AU646" s="957"/>
      <c r="AV646" s="957"/>
      <c r="AW646" s="957"/>
      <c r="AX646" s="957"/>
      <c r="AY646" s="957"/>
      <c r="AZ646" s="957"/>
      <c r="BA646" s="957"/>
      <c r="BB646" s="957"/>
      <c r="BC646" s="957"/>
      <c r="BD646" s="957"/>
      <c r="BE646" s="957"/>
      <c r="BF646" s="957"/>
      <c r="BG646" s="957"/>
    </row>
    <row r="647" spans="1:59">
      <c r="A647" s="2172"/>
      <c r="B647" s="2192"/>
      <c r="C647" s="2174"/>
      <c r="D647" s="72" t="s">
        <v>184</v>
      </c>
      <c r="E647" s="57">
        <v>123</v>
      </c>
      <c r="F647" s="542" t="s">
        <v>15</v>
      </c>
      <c r="G647" s="542" t="s">
        <v>15</v>
      </c>
      <c r="H647" s="58">
        <v>285.82</v>
      </c>
      <c r="I647" s="98">
        <v>112.97</v>
      </c>
      <c r="J647" s="1089" t="s">
        <v>15</v>
      </c>
      <c r="K647" s="1090" t="s">
        <v>15</v>
      </c>
      <c r="L647" s="1089" t="s">
        <v>15</v>
      </c>
      <c r="M647" s="1090" t="s">
        <v>15</v>
      </c>
      <c r="N647" s="461">
        <v>26.164750099999999</v>
      </c>
      <c r="O647" s="126">
        <v>1.6</v>
      </c>
      <c r="P647" s="461">
        <v>16.401370379999999</v>
      </c>
      <c r="Q647" s="249">
        <f t="shared" si="22"/>
        <v>0.15809768637532134</v>
      </c>
      <c r="R647" s="2379"/>
      <c r="S647" s="123"/>
      <c r="T647" s="41"/>
      <c r="U647" s="854"/>
      <c r="V647" s="24"/>
      <c r="W647" s="26"/>
      <c r="X647" s="26"/>
      <c r="Y647" s="26"/>
      <c r="Z647" s="26"/>
      <c r="AA647" s="26"/>
      <c r="AC647" s="26"/>
      <c r="AD647" s="24"/>
      <c r="AE647" s="26"/>
      <c r="AF647" s="75"/>
      <c r="AG647" s="26"/>
      <c r="AH647" s="957"/>
      <c r="AI647" s="957"/>
      <c r="AJ647" s="957"/>
      <c r="AK647" s="957"/>
      <c r="AL647" s="957"/>
      <c r="AM647" s="957"/>
      <c r="AN647" s="957"/>
      <c r="AO647" s="957"/>
      <c r="AP647" s="957"/>
      <c r="AQ647" s="957"/>
      <c r="AR647" s="957"/>
      <c r="AS647" s="957"/>
      <c r="AT647" s="957"/>
      <c r="AU647" s="957"/>
      <c r="AV647" s="957"/>
      <c r="AW647" s="957"/>
      <c r="AX647" s="957"/>
      <c r="AY647" s="957"/>
      <c r="AZ647" s="957"/>
      <c r="BA647" s="957"/>
      <c r="BB647" s="957"/>
      <c r="BC647" s="957"/>
      <c r="BD647" s="957"/>
      <c r="BE647" s="957"/>
      <c r="BF647" s="957"/>
      <c r="BG647" s="957"/>
    </row>
    <row r="648" spans="1:59">
      <c r="A648" s="2172"/>
      <c r="B648" s="2192"/>
      <c r="C648" s="2174"/>
      <c r="D648" s="72" t="s">
        <v>389</v>
      </c>
      <c r="E648" s="57">
        <v>42</v>
      </c>
      <c r="F648" s="542" t="s">
        <v>15</v>
      </c>
      <c r="G648" s="542" t="s">
        <v>15</v>
      </c>
      <c r="H648" s="58">
        <v>257.85000000000002</v>
      </c>
      <c r="I648" s="98">
        <v>44.77</v>
      </c>
      <c r="J648" s="1089" t="s">
        <v>15</v>
      </c>
      <c r="K648" s="1090" t="s">
        <v>15</v>
      </c>
      <c r="L648" s="1089" t="s">
        <v>15</v>
      </c>
      <c r="M648" s="1090" t="s">
        <v>15</v>
      </c>
      <c r="N648" s="461">
        <v>106.1326291</v>
      </c>
      <c r="O648" s="463">
        <v>7.59</v>
      </c>
      <c r="P648" s="461">
        <v>13.97699102</v>
      </c>
      <c r="Q648" s="249">
        <f t="shared" si="22"/>
        <v>5.3984575835475578E-2</v>
      </c>
      <c r="R648" s="2379"/>
      <c r="S648" s="123"/>
      <c r="T648" s="41"/>
      <c r="U648" s="854"/>
      <c r="V648" s="24"/>
      <c r="W648" s="26"/>
      <c r="X648" s="26"/>
      <c r="Y648" s="26"/>
      <c r="Z648" s="26"/>
      <c r="AA648" s="26"/>
      <c r="AC648" s="26"/>
      <c r="AD648" s="24"/>
      <c r="AE648" s="26"/>
      <c r="AF648" s="75"/>
      <c r="AG648" s="26"/>
      <c r="AH648" s="957"/>
      <c r="AI648" s="957"/>
      <c r="AJ648" s="957"/>
      <c r="AK648" s="957"/>
      <c r="AL648" s="957"/>
      <c r="AM648" s="957"/>
      <c r="AN648" s="957"/>
      <c r="AO648" s="957"/>
      <c r="AP648" s="957"/>
      <c r="AQ648" s="957"/>
      <c r="AR648" s="957"/>
      <c r="AS648" s="957"/>
      <c r="AT648" s="957"/>
      <c r="AU648" s="957"/>
      <c r="AV648" s="957"/>
      <c r="AW648" s="957"/>
      <c r="AX648" s="957"/>
      <c r="AY648" s="957"/>
      <c r="AZ648" s="957"/>
      <c r="BA648" s="957"/>
      <c r="BB648" s="957"/>
      <c r="BC648" s="957"/>
      <c r="BD648" s="957"/>
      <c r="BE648" s="957"/>
      <c r="BF648" s="957"/>
      <c r="BG648" s="957"/>
    </row>
    <row r="649" spans="1:59">
      <c r="A649" s="2172"/>
      <c r="B649" s="2192"/>
      <c r="C649" s="2174"/>
      <c r="D649" s="72" t="s">
        <v>390</v>
      </c>
      <c r="E649" s="57">
        <v>77</v>
      </c>
      <c r="F649" s="542" t="s">
        <v>15</v>
      </c>
      <c r="G649" s="542" t="s">
        <v>15</v>
      </c>
      <c r="H649" s="58">
        <v>394.41</v>
      </c>
      <c r="I649" s="98">
        <v>120.03</v>
      </c>
      <c r="J649" s="1089" t="s">
        <v>15</v>
      </c>
      <c r="K649" s="1090" t="s">
        <v>15</v>
      </c>
      <c r="L649" s="1089" t="s">
        <v>15</v>
      </c>
      <c r="M649" s="1090" t="s">
        <v>15</v>
      </c>
      <c r="N649" s="461">
        <v>344.89906250000001</v>
      </c>
      <c r="O649" s="463">
        <v>6.68</v>
      </c>
      <c r="P649" s="461">
        <v>51.601233399999998</v>
      </c>
      <c r="Q649" s="249">
        <f t="shared" si="22"/>
        <v>9.8971722365038567E-2</v>
      </c>
      <c r="R649" s="2379"/>
      <c r="S649" s="123"/>
      <c r="T649" s="41"/>
      <c r="U649" s="854"/>
      <c r="V649" s="24"/>
      <c r="W649" s="26"/>
      <c r="X649" s="26"/>
      <c r="Y649" s="26"/>
      <c r="Z649" s="26"/>
      <c r="AA649" s="26"/>
      <c r="AC649" s="26"/>
      <c r="AD649" s="24"/>
      <c r="AE649" s="26"/>
      <c r="AF649" s="75"/>
      <c r="AG649" s="26"/>
      <c r="AH649" s="957"/>
      <c r="AI649" s="957"/>
      <c r="AJ649" s="957"/>
      <c r="AK649" s="957"/>
      <c r="AL649" s="957"/>
      <c r="AM649" s="957"/>
      <c r="AN649" s="957"/>
      <c r="AO649" s="957"/>
      <c r="AP649" s="957"/>
      <c r="AQ649" s="957"/>
      <c r="AR649" s="957"/>
      <c r="AS649" s="957"/>
      <c r="AT649" s="957"/>
      <c r="AU649" s="957"/>
      <c r="AV649" s="957"/>
      <c r="AW649" s="957"/>
      <c r="AX649" s="957"/>
      <c r="AY649" s="957"/>
      <c r="AZ649" s="957"/>
      <c r="BA649" s="957"/>
      <c r="BB649" s="957"/>
      <c r="BC649" s="957"/>
      <c r="BD649" s="957"/>
      <c r="BE649" s="957"/>
      <c r="BF649" s="957"/>
      <c r="BG649" s="957"/>
    </row>
    <row r="650" spans="1:59">
      <c r="A650" s="2172"/>
      <c r="B650" s="2192"/>
      <c r="C650" s="2174"/>
      <c r="D650" s="72" t="s">
        <v>188</v>
      </c>
      <c r="E650" s="57">
        <v>3</v>
      </c>
      <c r="F650" s="542" t="s">
        <v>15</v>
      </c>
      <c r="G650" s="542" t="s">
        <v>15</v>
      </c>
      <c r="H650" s="58">
        <v>519.30999999999995</v>
      </c>
      <c r="I650" s="98">
        <v>171.81</v>
      </c>
      <c r="J650" s="1089" t="s">
        <v>15</v>
      </c>
      <c r="K650" s="1090" t="s">
        <v>15</v>
      </c>
      <c r="L650" s="1089" t="s">
        <v>15</v>
      </c>
      <c r="M650" s="1090" t="s">
        <v>15</v>
      </c>
      <c r="N650" s="461">
        <v>-30.206187400000001</v>
      </c>
      <c r="O650" s="463">
        <v>-2.0099999999999998</v>
      </c>
      <c r="P650" s="461">
        <v>14.99726813</v>
      </c>
      <c r="Q650" s="249">
        <f t="shared" si="22"/>
        <v>3.8560411311053984E-3</v>
      </c>
      <c r="R650" s="2379"/>
      <c r="S650" s="123"/>
      <c r="T650" s="41"/>
      <c r="U650" s="854"/>
      <c r="V650" s="24"/>
      <c r="W650" s="26"/>
      <c r="X650" s="26"/>
      <c r="Y650" s="26"/>
      <c r="Z650" s="26"/>
      <c r="AA650" s="26"/>
      <c r="AC650" s="26"/>
      <c r="AD650" s="24"/>
      <c r="AE650" s="26"/>
      <c r="AF650" s="75"/>
      <c r="AG650" s="26"/>
      <c r="AH650" s="957"/>
      <c r="AI650" s="957"/>
      <c r="AJ650" s="957"/>
      <c r="AK650" s="957"/>
      <c r="AL650" s="957"/>
      <c r="AM650" s="957"/>
      <c r="AN650" s="957"/>
      <c r="AO650" s="957"/>
      <c r="AP650" s="957"/>
      <c r="AQ650" s="957"/>
      <c r="AR650" s="957"/>
      <c r="AS650" s="957"/>
      <c r="AT650" s="957"/>
      <c r="AU650" s="957"/>
      <c r="AV650" s="957"/>
      <c r="AW650" s="957"/>
      <c r="AX650" s="957"/>
      <c r="AY650" s="957"/>
      <c r="AZ650" s="957"/>
      <c r="BA650" s="957"/>
      <c r="BB650" s="957"/>
      <c r="BC650" s="957"/>
      <c r="BD650" s="957"/>
      <c r="BE650" s="957"/>
      <c r="BF650" s="957"/>
      <c r="BG650" s="957"/>
    </row>
    <row r="651" spans="1:59">
      <c r="A651" s="2172"/>
      <c r="B651" s="2192"/>
      <c r="C651" s="2174"/>
      <c r="D651" s="72" t="s">
        <v>185</v>
      </c>
      <c r="E651" s="57">
        <v>107</v>
      </c>
      <c r="F651" s="542" t="s">
        <v>15</v>
      </c>
      <c r="G651" s="542" t="s">
        <v>15</v>
      </c>
      <c r="H651" s="58">
        <v>276.79000000000002</v>
      </c>
      <c r="I651" s="98">
        <v>69.66</v>
      </c>
      <c r="J651" s="1089" t="s">
        <v>15</v>
      </c>
      <c r="K651" s="1090" t="s">
        <v>15</v>
      </c>
      <c r="L651" s="1089" t="s">
        <v>15</v>
      </c>
      <c r="M651" s="1090" t="s">
        <v>15</v>
      </c>
      <c r="N651" s="461">
        <v>122.740561</v>
      </c>
      <c r="O651" s="463">
        <v>5.17</v>
      </c>
      <c r="P651" s="461">
        <v>23.753516810000001</v>
      </c>
      <c r="Q651" s="249">
        <f t="shared" si="22"/>
        <v>0.13753213367609254</v>
      </c>
      <c r="R651" s="2379"/>
      <c r="S651" s="123"/>
      <c r="T651" s="41"/>
      <c r="U651" s="854"/>
      <c r="V651" s="24"/>
      <c r="W651" s="26"/>
      <c r="X651" s="26"/>
      <c r="Y651" s="26"/>
      <c r="Z651" s="26"/>
      <c r="AA651" s="26"/>
      <c r="AC651" s="26"/>
      <c r="AD651" s="24"/>
      <c r="AE651" s="26"/>
      <c r="AF651" s="75"/>
      <c r="AG651" s="26"/>
      <c r="AH651" s="957"/>
      <c r="AI651" s="957"/>
      <c r="AJ651" s="957"/>
      <c r="AK651" s="957"/>
      <c r="AL651" s="957"/>
      <c r="AM651" s="957"/>
      <c r="AN651" s="957"/>
      <c r="AO651" s="957"/>
      <c r="AP651" s="957"/>
      <c r="AQ651" s="957"/>
      <c r="AR651" s="957"/>
      <c r="AS651" s="957"/>
      <c r="AT651" s="957"/>
      <c r="AU651" s="957"/>
      <c r="AV651" s="957"/>
      <c r="AW651" s="957"/>
      <c r="AX651" s="957"/>
      <c r="AY651" s="957"/>
      <c r="AZ651" s="957"/>
      <c r="BA651" s="957"/>
      <c r="BB651" s="957"/>
      <c r="BC651" s="957"/>
      <c r="BD651" s="957"/>
      <c r="BE651" s="957"/>
      <c r="BF651" s="957"/>
      <c r="BG651" s="957"/>
    </row>
    <row r="652" spans="1:59">
      <c r="A652" s="2172"/>
      <c r="B652" s="2192"/>
      <c r="C652" s="2174"/>
      <c r="D652" s="72" t="s">
        <v>183</v>
      </c>
      <c r="E652" s="57">
        <v>16</v>
      </c>
      <c r="F652" s="542" t="s">
        <v>15</v>
      </c>
      <c r="G652" s="542" t="s">
        <v>15</v>
      </c>
      <c r="H652" s="58">
        <v>369.96</v>
      </c>
      <c r="I652" s="98">
        <v>118.38</v>
      </c>
      <c r="J652" s="1089" t="s">
        <v>15</v>
      </c>
      <c r="K652" s="1090" t="s">
        <v>15</v>
      </c>
      <c r="L652" s="1089" t="s">
        <v>15</v>
      </c>
      <c r="M652" s="1090" t="s">
        <v>15</v>
      </c>
      <c r="N652" s="461">
        <v>734.54835270000001</v>
      </c>
      <c r="O652" s="463">
        <v>31.17</v>
      </c>
      <c r="P652" s="461">
        <v>23.566131469999998</v>
      </c>
      <c r="Q652" s="249">
        <f t="shared" si="22"/>
        <v>2.056555269922879E-2</v>
      </c>
      <c r="R652" s="2379"/>
      <c r="S652" s="123"/>
      <c r="T652" s="41"/>
      <c r="U652" s="854"/>
      <c r="V652" s="24"/>
      <c r="W652" s="26"/>
      <c r="X652" s="26"/>
      <c r="Y652" s="26"/>
      <c r="Z652" s="26"/>
      <c r="AA652" s="26"/>
      <c r="AC652" s="26"/>
      <c r="AD652" s="24"/>
      <c r="AE652" s="26"/>
      <c r="AF652" s="75"/>
      <c r="AG652" s="26"/>
      <c r="AH652" s="957"/>
      <c r="AI652" s="957"/>
      <c r="AJ652" s="957"/>
      <c r="AK652" s="957"/>
      <c r="AL652" s="957"/>
      <c r="AM652" s="957"/>
      <c r="AN652" s="957"/>
      <c r="AO652" s="957"/>
      <c r="AP652" s="957"/>
      <c r="AQ652" s="957"/>
      <c r="AR652" s="957"/>
      <c r="AS652" s="957"/>
      <c r="AT652" s="957"/>
      <c r="AU652" s="957"/>
      <c r="AV652" s="957"/>
      <c r="AW652" s="957"/>
      <c r="AX652" s="957"/>
      <c r="AY652" s="957"/>
      <c r="AZ652" s="957"/>
      <c r="BA652" s="957"/>
      <c r="BB652" s="957"/>
      <c r="BC652" s="957"/>
      <c r="BD652" s="957"/>
      <c r="BE652" s="957"/>
      <c r="BF652" s="957"/>
      <c r="BG652" s="957"/>
    </row>
    <row r="653" spans="1:59">
      <c r="A653" s="2172"/>
      <c r="B653" s="2192"/>
      <c r="C653" s="2174"/>
      <c r="D653" s="72" t="s">
        <v>137</v>
      </c>
      <c r="E653" s="57">
        <v>17</v>
      </c>
      <c r="F653" s="542" t="s">
        <v>15</v>
      </c>
      <c r="G653" s="542" t="s">
        <v>15</v>
      </c>
      <c r="H653" s="58">
        <v>980.52</v>
      </c>
      <c r="I653" s="98">
        <v>305.77999999999997</v>
      </c>
      <c r="J653" s="1089" t="s">
        <v>15</v>
      </c>
      <c r="K653" s="1090" t="s">
        <v>15</v>
      </c>
      <c r="L653" s="1089" t="s">
        <v>15</v>
      </c>
      <c r="M653" s="1090" t="s">
        <v>15</v>
      </c>
      <c r="N653" s="461">
        <v>100.89582609999999</v>
      </c>
      <c r="O653" s="463">
        <v>1.61</v>
      </c>
      <c r="P653" s="461">
        <v>62.718508610000001</v>
      </c>
      <c r="Q653" s="249">
        <f t="shared" si="22"/>
        <v>2.1850899742930592E-2</v>
      </c>
      <c r="R653" s="2379"/>
      <c r="S653" s="123"/>
      <c r="T653" s="41"/>
      <c r="U653" s="854"/>
      <c r="V653" s="24"/>
      <c r="W653" s="26"/>
      <c r="X653" s="26"/>
      <c r="Y653" s="26"/>
      <c r="Z653" s="26"/>
      <c r="AA653" s="26"/>
      <c r="AC653" s="26"/>
      <c r="AD653" s="24"/>
      <c r="AE653" s="26"/>
      <c r="AF653" s="75"/>
      <c r="AG653" s="26"/>
      <c r="AH653" s="957"/>
      <c r="AI653" s="957"/>
      <c r="AJ653" s="957"/>
      <c r="AK653" s="957"/>
      <c r="AL653" s="957"/>
      <c r="AM653" s="957"/>
      <c r="AN653" s="957"/>
      <c r="AO653" s="957"/>
      <c r="AP653" s="957"/>
      <c r="AQ653" s="957"/>
      <c r="AR653" s="957"/>
      <c r="AS653" s="957"/>
      <c r="AT653" s="957"/>
      <c r="AU653" s="957"/>
      <c r="AV653" s="957"/>
      <c r="AW653" s="957"/>
      <c r="AX653" s="957"/>
      <c r="AY653" s="957"/>
      <c r="AZ653" s="957"/>
      <c r="BA653" s="957"/>
      <c r="BB653" s="957"/>
      <c r="BC653" s="957"/>
      <c r="BD653" s="957"/>
      <c r="BE653" s="957"/>
      <c r="BF653" s="957"/>
      <c r="BG653" s="957"/>
    </row>
    <row r="654" spans="1:59">
      <c r="A654" s="2172"/>
      <c r="B654" s="2192"/>
      <c r="C654" s="2174"/>
      <c r="D654" s="72" t="s">
        <v>187</v>
      </c>
      <c r="E654" s="57">
        <v>2</v>
      </c>
      <c r="F654" s="542" t="s">
        <v>15</v>
      </c>
      <c r="G654" s="542" t="s">
        <v>15</v>
      </c>
      <c r="H654" s="58">
        <v>286.19</v>
      </c>
      <c r="I654" s="98">
        <v>112.87</v>
      </c>
      <c r="J654" s="1089" t="s">
        <v>15</v>
      </c>
      <c r="K654" s="1090" t="s">
        <v>15</v>
      </c>
      <c r="L654" s="1089" t="s">
        <v>15</v>
      </c>
      <c r="M654" s="1090" t="s">
        <v>15</v>
      </c>
      <c r="N654" s="461">
        <v>178.66942879999999</v>
      </c>
      <c r="O654" s="463">
        <v>7.06</v>
      </c>
      <c r="P654" s="461">
        <v>25.302166589999999</v>
      </c>
      <c r="Q654" s="249">
        <f t="shared" si="22"/>
        <v>2.5706940874035988E-3</v>
      </c>
      <c r="R654" s="2379"/>
      <c r="S654" s="123"/>
      <c r="T654" s="41"/>
      <c r="U654" s="854"/>
      <c r="V654" s="24"/>
      <c r="W654" s="26"/>
      <c r="X654" s="26"/>
      <c r="Y654" s="26"/>
      <c r="Z654" s="26"/>
      <c r="AA654" s="26"/>
      <c r="AC654" s="26"/>
      <c r="AD654" s="24"/>
      <c r="AE654" s="26"/>
      <c r="AF654" s="75"/>
      <c r="AG654" s="26"/>
      <c r="AH654" s="957"/>
      <c r="AI654" s="957"/>
      <c r="AJ654" s="957"/>
      <c r="AK654" s="957"/>
      <c r="AL654" s="957"/>
      <c r="AM654" s="957"/>
      <c r="AN654" s="957"/>
      <c r="AO654" s="957"/>
      <c r="AP654" s="957"/>
      <c r="AQ654" s="957"/>
      <c r="AR654" s="957"/>
      <c r="AS654" s="957"/>
      <c r="AT654" s="957"/>
      <c r="AU654" s="957"/>
      <c r="AV654" s="957"/>
      <c r="AW654" s="957"/>
      <c r="AX654" s="957"/>
      <c r="AY654" s="957"/>
      <c r="AZ654" s="957"/>
      <c r="BA654" s="957"/>
      <c r="BB654" s="957"/>
      <c r="BC654" s="957"/>
      <c r="BD654" s="957"/>
      <c r="BE654" s="957"/>
      <c r="BF654" s="957"/>
      <c r="BG654" s="957"/>
    </row>
    <row r="655" spans="1:59">
      <c r="A655" s="2172"/>
      <c r="B655" s="2192"/>
      <c r="C655" s="2174"/>
      <c r="D655" s="72" t="s">
        <v>181</v>
      </c>
      <c r="E655" s="57">
        <v>16</v>
      </c>
      <c r="F655" s="542" t="s">
        <v>15</v>
      </c>
      <c r="G655" s="542" t="s">
        <v>15</v>
      </c>
      <c r="H655" s="58">
        <v>397.76</v>
      </c>
      <c r="I655" s="98">
        <v>179.3</v>
      </c>
      <c r="J655" s="1089" t="s">
        <v>15</v>
      </c>
      <c r="K655" s="1090" t="s">
        <v>15</v>
      </c>
      <c r="L655" s="1089" t="s">
        <v>15</v>
      </c>
      <c r="M655" s="1090" t="s">
        <v>15</v>
      </c>
      <c r="N655" s="461">
        <v>373.68459860000002</v>
      </c>
      <c r="O655" s="463">
        <v>34.72</v>
      </c>
      <c r="P655" s="461">
        <v>10.76168311</v>
      </c>
      <c r="Q655" s="249">
        <f t="shared" si="22"/>
        <v>2.056555269922879E-2</v>
      </c>
      <c r="R655" s="2379"/>
      <c r="S655" s="123"/>
      <c r="T655" s="41"/>
      <c r="U655" s="854"/>
      <c r="V655" s="24"/>
      <c r="W655" s="26"/>
      <c r="X655" s="26"/>
      <c r="Y655" s="26"/>
      <c r="Z655" s="26"/>
      <c r="AA655" s="26"/>
      <c r="AC655" s="26"/>
      <c r="AD655" s="24"/>
      <c r="AE655" s="26"/>
      <c r="AF655" s="75"/>
      <c r="AG655" s="26"/>
      <c r="AH655" s="957"/>
      <c r="AI655" s="957"/>
      <c r="AJ655" s="957"/>
      <c r="AK655" s="957"/>
      <c r="AL655" s="957"/>
      <c r="AM655" s="957"/>
      <c r="AN655" s="957"/>
      <c r="AO655" s="957"/>
      <c r="AP655" s="957"/>
      <c r="AQ655" s="957"/>
      <c r="AR655" s="957"/>
      <c r="AS655" s="957"/>
      <c r="AT655" s="957"/>
      <c r="AU655" s="957"/>
      <c r="AV655" s="957"/>
      <c r="AW655" s="957"/>
      <c r="AX655" s="957"/>
      <c r="AY655" s="957"/>
      <c r="AZ655" s="957"/>
      <c r="BA655" s="957"/>
      <c r="BB655" s="957"/>
      <c r="BC655" s="957"/>
      <c r="BD655" s="957"/>
      <c r="BE655" s="957"/>
      <c r="BF655" s="957"/>
      <c r="BG655" s="957"/>
    </row>
    <row r="656" spans="1:59" ht="15.75" thickBot="1">
      <c r="A656" s="2201"/>
      <c r="B656" s="2222"/>
      <c r="C656" s="2175"/>
      <c r="D656" s="72" t="s">
        <v>180</v>
      </c>
      <c r="E656" s="57">
        <v>188</v>
      </c>
      <c r="F656" s="542" t="s">
        <v>15</v>
      </c>
      <c r="G656" s="542" t="s">
        <v>15</v>
      </c>
      <c r="H656" s="58">
        <v>703.29</v>
      </c>
      <c r="I656" s="98">
        <v>178.18</v>
      </c>
      <c r="J656" s="1089" t="s">
        <v>15</v>
      </c>
      <c r="K656" s="1090" t="s">
        <v>15</v>
      </c>
      <c r="L656" s="1089" t="s">
        <v>15</v>
      </c>
      <c r="M656" s="1090" t="s">
        <v>15</v>
      </c>
      <c r="N656" s="461">
        <v>373.60500000000002</v>
      </c>
      <c r="O656" s="464">
        <v>34.78</v>
      </c>
      <c r="P656" s="461">
        <v>10.74</v>
      </c>
      <c r="Q656" s="249">
        <f t="shared" si="22"/>
        <v>0.2416452442159383</v>
      </c>
      <c r="R656" s="2380"/>
      <c r="S656" s="132"/>
      <c r="T656" s="97"/>
      <c r="U656" s="854"/>
      <c r="V656" s="28"/>
      <c r="W656" s="29"/>
      <c r="X656" s="29"/>
      <c r="Y656" s="29"/>
      <c r="Z656" s="29"/>
      <c r="AA656" s="29"/>
      <c r="AC656" s="29"/>
      <c r="AD656" s="28"/>
      <c r="AE656" s="29"/>
      <c r="AF656" s="108"/>
      <c r="AG656" s="29"/>
      <c r="AH656" s="1027"/>
      <c r="AI656" s="1027"/>
      <c r="AJ656" s="1027"/>
      <c r="AK656" s="1027"/>
      <c r="AL656" s="1027"/>
      <c r="AM656" s="1027"/>
      <c r="AN656" s="1027"/>
      <c r="AO656" s="1027"/>
      <c r="AP656" s="1027"/>
      <c r="AQ656" s="1027"/>
      <c r="AR656" s="1027"/>
      <c r="AS656" s="1027"/>
      <c r="AT656" s="1027"/>
      <c r="AU656" s="1027"/>
      <c r="AV656" s="1027"/>
      <c r="AW656" s="1027"/>
      <c r="AX656" s="1027"/>
      <c r="AY656" s="1027"/>
      <c r="AZ656" s="1027"/>
      <c r="BA656" s="1027"/>
      <c r="BB656" s="1027"/>
      <c r="BC656" s="1027"/>
      <c r="BD656" s="1027"/>
      <c r="BE656" s="1027"/>
      <c r="BF656" s="1027"/>
      <c r="BG656" s="1027"/>
    </row>
    <row r="657" spans="1:123" s="705" customFormat="1" ht="9" customHeight="1" thickBot="1">
      <c r="A657" s="695"/>
      <c r="B657" s="815"/>
      <c r="C657" s="684"/>
      <c r="D657" s="683"/>
      <c r="E657" s="683"/>
      <c r="F657" s="683"/>
      <c r="G657" s="683"/>
      <c r="H657" s="683"/>
      <c r="I657" s="683"/>
      <c r="J657" s="682"/>
      <c r="K657" s="683"/>
      <c r="L657" s="682"/>
      <c r="M657" s="685"/>
      <c r="N657" s="1189"/>
      <c r="O657" s="686"/>
      <c r="P657" s="686"/>
      <c r="Q657" s="687"/>
      <c r="R657" s="687"/>
      <c r="S657" s="688"/>
      <c r="T657" s="688"/>
      <c r="U657" s="854"/>
      <c r="V657" s="893"/>
      <c r="W657" s="685"/>
      <c r="X657" s="685"/>
      <c r="Y657" s="688"/>
      <c r="Z657" s="688"/>
      <c r="AA657" s="688"/>
      <c r="AB657" s="846"/>
      <c r="AC657" s="685"/>
      <c r="AD657" s="685"/>
      <c r="AE657" s="685"/>
      <c r="AF657" s="703"/>
      <c r="AG657" s="700"/>
      <c r="AH657" s="958"/>
      <c r="AI657" s="958"/>
      <c r="AJ657" s="958"/>
      <c r="AK657" s="958"/>
      <c r="AL657" s="959"/>
      <c r="AM657" s="959"/>
      <c r="AN657" s="959"/>
      <c r="AO657" s="959"/>
      <c r="AP657" s="959"/>
      <c r="AQ657" s="959"/>
      <c r="AR657" s="959"/>
      <c r="AS657" s="959"/>
      <c r="AT657" s="959"/>
      <c r="AU657" s="959"/>
      <c r="AV657" s="959"/>
      <c r="AW657" s="959"/>
      <c r="AX657" s="959"/>
      <c r="AY657" s="959"/>
      <c r="AZ657" s="959"/>
      <c r="BA657" s="959"/>
      <c r="BB657" s="959"/>
      <c r="BC657" s="959"/>
      <c r="BD657" s="959"/>
      <c r="BE657" s="959"/>
      <c r="BF657" s="959"/>
      <c r="BG657" s="959"/>
      <c r="BH657" s="1125"/>
      <c r="CF657" s="692"/>
      <c r="CG657" s="692"/>
      <c r="CH657" s="692"/>
      <c r="CI657" s="692"/>
      <c r="CJ657" s="692"/>
      <c r="CK657" s="692"/>
      <c r="CL657" s="692"/>
      <c r="CM657" s="692"/>
      <c r="CN657" s="692"/>
      <c r="CO657" s="692"/>
      <c r="CP657" s="692"/>
      <c r="CQ657" s="692"/>
      <c r="CR657" s="692"/>
      <c r="CS657" s="692"/>
      <c r="CT657" s="692"/>
      <c r="CU657" s="692"/>
      <c r="CV657" s="692"/>
      <c r="CW657" s="692"/>
      <c r="CX657" s="692"/>
      <c r="CY657" s="692"/>
      <c r="CZ657" s="692"/>
      <c r="DA657" s="692"/>
      <c r="DB657" s="692"/>
      <c r="DC657" s="692"/>
      <c r="DD657" s="692"/>
      <c r="DE657" s="692"/>
      <c r="DF657" s="692"/>
      <c r="DG657" s="692"/>
      <c r="DH657" s="692"/>
      <c r="DI657" s="693"/>
      <c r="DJ657" s="692"/>
      <c r="DK657" s="692"/>
      <c r="DL657" s="692"/>
      <c r="DM657" s="692"/>
      <c r="DN657" s="692"/>
      <c r="DO657" s="692"/>
      <c r="DP657" s="692"/>
      <c r="DQ657" s="692"/>
      <c r="DR657" s="692"/>
      <c r="DS657" s="692"/>
    </row>
    <row r="658" spans="1:123">
      <c r="A658" s="2200" t="s">
        <v>1135</v>
      </c>
      <c r="B658" s="817" t="s">
        <v>368</v>
      </c>
      <c r="C658" s="356" t="s">
        <v>12</v>
      </c>
      <c r="D658" s="86" t="s">
        <v>369</v>
      </c>
      <c r="E658" s="31">
        <v>34</v>
      </c>
      <c r="F658" s="94">
        <v>0.79058799999999996</v>
      </c>
      <c r="G658" s="94">
        <v>7.4179999999999996E-2</v>
      </c>
      <c r="H658" s="58">
        <v>958.68</v>
      </c>
      <c r="I658" s="99">
        <v>399.55</v>
      </c>
      <c r="J658" s="101" t="s">
        <v>15</v>
      </c>
      <c r="K658" s="70" t="s">
        <v>15</v>
      </c>
      <c r="L658" s="448" t="s">
        <v>12</v>
      </c>
      <c r="M658" s="1148" t="s">
        <v>508</v>
      </c>
      <c r="N658" s="1211">
        <v>1959.1111639999999</v>
      </c>
      <c r="O658" s="472">
        <v>4.4400000000000004</v>
      </c>
      <c r="P658" s="472">
        <v>441.11632709999998</v>
      </c>
      <c r="Q658" s="208" t="s">
        <v>15</v>
      </c>
      <c r="R658" s="535">
        <f>N658</f>
        <v>1959.1111639999999</v>
      </c>
      <c r="S658" s="153" t="s">
        <v>68</v>
      </c>
      <c r="T658" s="150" t="s">
        <v>69</v>
      </c>
      <c r="U658" s="858"/>
      <c r="V658" s="2242" t="s">
        <v>2698</v>
      </c>
      <c r="W658" s="1002" t="s">
        <v>47</v>
      </c>
      <c r="X658" s="62" t="s">
        <v>383</v>
      </c>
      <c r="Y658" s="717">
        <f>Y576</f>
        <v>1268.5508550650604</v>
      </c>
      <c r="Z658" s="221" t="s">
        <v>380</v>
      </c>
      <c r="AA658" s="222" t="s">
        <v>380</v>
      </c>
      <c r="AB658" s="850"/>
      <c r="AC658" s="27"/>
      <c r="AD658" s="501"/>
      <c r="AE658" s="581"/>
      <c r="AF658" s="727" t="s">
        <v>49</v>
      </c>
      <c r="AG658" s="292" t="s">
        <v>386</v>
      </c>
      <c r="AH658" s="158">
        <f>Y662</f>
        <v>1830.442510970588</v>
      </c>
      <c r="AI658" s="158">
        <v>1080</v>
      </c>
      <c r="AJ658" s="158">
        <v>1847.95</v>
      </c>
      <c r="AK658" s="158">
        <v>1569</v>
      </c>
      <c r="AL658" s="957"/>
      <c r="AM658" s="957"/>
      <c r="AN658" s="957"/>
      <c r="AO658" s="957"/>
      <c r="AP658" s="957"/>
      <c r="AQ658" s="957"/>
      <c r="AR658" s="957"/>
      <c r="AS658" s="957"/>
      <c r="AT658" s="957"/>
      <c r="AU658" s="957"/>
      <c r="AV658" s="957"/>
      <c r="AW658" s="957"/>
      <c r="AX658" s="957"/>
      <c r="AY658" s="957"/>
      <c r="AZ658" s="957"/>
      <c r="BA658" s="957"/>
      <c r="BB658" s="957"/>
      <c r="BC658" s="957"/>
      <c r="BD658" s="957"/>
      <c r="BE658" s="957"/>
      <c r="BF658" s="957"/>
      <c r="BG658" s="957"/>
    </row>
    <row r="659" spans="1:123">
      <c r="A659" s="2172"/>
      <c r="B659" s="817" t="s">
        <v>381</v>
      </c>
      <c r="C659" s="356" t="s">
        <v>12</v>
      </c>
      <c r="D659" s="86" t="s">
        <v>382</v>
      </c>
      <c r="E659" s="31">
        <v>34</v>
      </c>
      <c r="F659" s="94">
        <v>3159.7350000000001</v>
      </c>
      <c r="G659" s="94">
        <v>2640.9789999999998</v>
      </c>
      <c r="H659" s="58">
        <v>958.68</v>
      </c>
      <c r="I659" s="99">
        <v>399.55</v>
      </c>
      <c r="J659" s="101" t="s">
        <v>15</v>
      </c>
      <c r="K659" s="70" t="s">
        <v>15</v>
      </c>
      <c r="L659" s="448" t="s">
        <v>12</v>
      </c>
      <c r="M659" s="1148" t="s">
        <v>509</v>
      </c>
      <c r="N659" s="1211">
        <v>0.10828699999999999</v>
      </c>
      <c r="O659" s="472">
        <v>14.78</v>
      </c>
      <c r="P659" s="472">
        <v>7.3258999999999998E-3</v>
      </c>
      <c r="Q659" s="208" t="s">
        <v>15</v>
      </c>
      <c r="R659" s="535">
        <f>N659</f>
        <v>0.10828699999999999</v>
      </c>
      <c r="S659" s="217" t="s">
        <v>238</v>
      </c>
      <c r="T659" s="556" t="s">
        <v>310</v>
      </c>
      <c r="U659" s="859"/>
      <c r="V659" s="2242"/>
      <c r="W659" s="1002" t="s">
        <v>47</v>
      </c>
      <c r="X659" s="74" t="s">
        <v>379</v>
      </c>
      <c r="Y659" s="159">
        <v>0</v>
      </c>
      <c r="Z659" s="169" t="s">
        <v>40</v>
      </c>
      <c r="AA659" s="172" t="s">
        <v>40</v>
      </c>
      <c r="AB659" s="923"/>
      <c r="AC659" s="26"/>
      <c r="AD659" s="24"/>
      <c r="AE659" s="26"/>
      <c r="AF659" s="727" t="s">
        <v>49</v>
      </c>
      <c r="AG659" s="292" t="s">
        <v>387</v>
      </c>
      <c r="AH659" s="159">
        <f>Y663</f>
        <v>2622.2911984705879</v>
      </c>
      <c r="AI659" s="158">
        <v>1920</v>
      </c>
      <c r="AJ659" s="158">
        <v>3690</v>
      </c>
      <c r="AK659" s="159">
        <v>2667</v>
      </c>
      <c r="AL659" s="957"/>
      <c r="AM659" s="957"/>
      <c r="AN659" s="957"/>
      <c r="AO659" s="957"/>
      <c r="AP659" s="957"/>
      <c r="AQ659" s="957"/>
      <c r="AR659" s="957"/>
      <c r="AS659" s="957"/>
      <c r="AT659" s="957"/>
      <c r="AU659" s="957"/>
      <c r="AV659" s="957"/>
      <c r="AW659" s="957"/>
      <c r="AX659" s="957"/>
      <c r="AY659" s="957"/>
      <c r="AZ659" s="957"/>
      <c r="BA659" s="957"/>
      <c r="BB659" s="957"/>
      <c r="BC659" s="957"/>
      <c r="BD659" s="957"/>
      <c r="BE659" s="957"/>
      <c r="BF659" s="957"/>
      <c r="BG659" s="957"/>
    </row>
    <row r="660" spans="1:123">
      <c r="A660" s="2172"/>
      <c r="B660" s="2161" t="s">
        <v>125</v>
      </c>
      <c r="C660" s="2144" t="s">
        <v>13</v>
      </c>
      <c r="D660" s="86" t="s">
        <v>370</v>
      </c>
      <c r="E660" s="31">
        <v>8</v>
      </c>
      <c r="F660" s="78" t="s">
        <v>15</v>
      </c>
      <c r="G660" s="78" t="s">
        <v>15</v>
      </c>
      <c r="H660" s="58">
        <v>1363.25</v>
      </c>
      <c r="I660" s="99">
        <v>163.41999999999999</v>
      </c>
      <c r="J660" s="101" t="s">
        <v>15</v>
      </c>
      <c r="K660" s="70" t="s">
        <v>15</v>
      </c>
      <c r="L660" s="101" t="s">
        <v>15</v>
      </c>
      <c r="M660" s="70" t="s">
        <v>15</v>
      </c>
      <c r="N660" s="1194">
        <v>80.831798000000006</v>
      </c>
      <c r="O660" s="369">
        <v>0.76</v>
      </c>
      <c r="P660" s="369">
        <v>106.2754853</v>
      </c>
      <c r="Q660" s="143">
        <v>0.23529411764705882</v>
      </c>
      <c r="R660" s="2129">
        <f>SUMPRODUCT(N660:N666,Q660:Q666)</f>
        <v>-97.633825823529421</v>
      </c>
      <c r="S660" s="135" t="s">
        <v>72</v>
      </c>
      <c r="T660" s="119" t="s">
        <v>119</v>
      </c>
      <c r="U660" s="855"/>
      <c r="V660" s="2242"/>
      <c r="W660" s="95" t="s">
        <v>49</v>
      </c>
      <c r="X660" s="292" t="s">
        <v>384</v>
      </c>
      <c r="Y660" s="159">
        <f>(($R$658*0.85)+($R$659*2340)+$R$660+$T$665)*(1+$T$667)</f>
        <v>1232.8888507205879</v>
      </c>
      <c r="Z660" s="223">
        <f>Y660</f>
        <v>1232.8888507205879</v>
      </c>
      <c r="AA660" s="350">
        <f>$S$667/$H$658*Z660</f>
        <v>60.793092326181451</v>
      </c>
      <c r="AB660" s="924"/>
      <c r="AC660" s="26"/>
      <c r="AD660" s="24"/>
      <c r="AE660" s="26"/>
      <c r="AF660" s="727" t="s">
        <v>49</v>
      </c>
      <c r="AG660" s="292" t="s">
        <v>388</v>
      </c>
      <c r="AH660" s="159">
        <f>Y664</f>
        <v>3414.1398859705878</v>
      </c>
      <c r="AI660" s="158"/>
      <c r="AJ660" s="158">
        <v>5543</v>
      </c>
      <c r="AK660" s="158"/>
      <c r="AL660" s="957"/>
      <c r="AM660" s="957"/>
      <c r="AN660" s="957"/>
      <c r="AO660" s="957"/>
      <c r="AP660" s="957"/>
      <c r="AQ660" s="957"/>
      <c r="AR660" s="957"/>
      <c r="AS660" s="957"/>
      <c r="AT660" s="957"/>
      <c r="AU660" s="957"/>
      <c r="AV660" s="957"/>
      <c r="AW660" s="957"/>
      <c r="AX660" s="957"/>
      <c r="AY660" s="957"/>
      <c r="AZ660" s="957"/>
      <c r="BA660" s="957"/>
      <c r="BB660" s="957"/>
      <c r="BC660" s="957"/>
      <c r="BD660" s="957"/>
      <c r="BE660" s="957"/>
      <c r="BF660" s="957"/>
      <c r="BG660" s="957"/>
    </row>
    <row r="661" spans="1:123">
      <c r="A661" s="2172"/>
      <c r="B661" s="2161"/>
      <c r="C661" s="2144"/>
      <c r="D661" s="86" t="s">
        <v>371</v>
      </c>
      <c r="E661" s="31">
        <v>10</v>
      </c>
      <c r="F661" s="78" t="s">
        <v>15</v>
      </c>
      <c r="G661" s="78" t="s">
        <v>15</v>
      </c>
      <c r="H661" s="58">
        <v>873.8</v>
      </c>
      <c r="I661" s="99">
        <v>127.37</v>
      </c>
      <c r="J661" s="101" t="s">
        <v>15</v>
      </c>
      <c r="K661" s="70" t="s">
        <v>15</v>
      </c>
      <c r="L661" s="101" t="s">
        <v>15</v>
      </c>
      <c r="M661" s="70" t="s">
        <v>15</v>
      </c>
      <c r="N661" s="1194">
        <v>-179.98813799999999</v>
      </c>
      <c r="O661" s="369">
        <v>-2.25</v>
      </c>
      <c r="P661" s="369">
        <v>80.069254999999998</v>
      </c>
      <c r="Q661" s="143">
        <v>0.29411764705882354</v>
      </c>
      <c r="R661" s="2129"/>
      <c r="S661" s="154" t="s">
        <v>139</v>
      </c>
      <c r="T661" s="411" t="s">
        <v>140</v>
      </c>
      <c r="U661" s="859"/>
      <c r="V661" s="2242"/>
      <c r="W661" s="95" t="s">
        <v>49</v>
      </c>
      <c r="X661" s="292" t="s">
        <v>385</v>
      </c>
      <c r="Y661" s="159">
        <f>(($R$658*0.87)+($R$659*3510)+$R$660+$T$665)*(1+$T$667)</f>
        <v>1440.236367320588</v>
      </c>
      <c r="Z661" s="223">
        <f>Y661</f>
        <v>1440.236367320588</v>
      </c>
      <c r="AA661" s="350">
        <f>$S$667/$H$658*Z661</f>
        <v>71.01728789166232</v>
      </c>
      <c r="AB661" s="924"/>
      <c r="AC661" s="26"/>
      <c r="AD661" s="24"/>
      <c r="AE661" s="26"/>
      <c r="AF661" s="75"/>
      <c r="AG661" s="26"/>
      <c r="AH661" s="957"/>
      <c r="AI661" s="957"/>
      <c r="AJ661" s="957"/>
      <c r="AK661" s="957"/>
      <c r="AL661" s="957"/>
      <c r="AM661" s="957"/>
      <c r="AN661" s="957"/>
      <c r="AO661" s="957"/>
      <c r="AP661" s="957"/>
      <c r="AQ661" s="957"/>
      <c r="AR661" s="957"/>
      <c r="AS661" s="957"/>
      <c r="AT661" s="957"/>
      <c r="AU661" s="957"/>
      <c r="AV661" s="957"/>
      <c r="AW661" s="957"/>
      <c r="AX661" s="957"/>
      <c r="AY661" s="957"/>
      <c r="AZ661" s="957"/>
      <c r="BA661" s="957"/>
      <c r="BB661" s="957"/>
      <c r="BC661" s="957"/>
      <c r="BD661" s="957"/>
      <c r="BE661" s="957"/>
      <c r="BF661" s="957"/>
      <c r="BG661" s="957"/>
    </row>
    <row r="662" spans="1:123">
      <c r="A662" s="2172"/>
      <c r="B662" s="2161"/>
      <c r="C662" s="2144"/>
      <c r="D662" s="86" t="s">
        <v>372</v>
      </c>
      <c r="E662" s="31">
        <v>5</v>
      </c>
      <c r="F662" s="78" t="s">
        <v>15</v>
      </c>
      <c r="G662" s="78" t="s">
        <v>15</v>
      </c>
      <c r="H662" s="58">
        <v>605</v>
      </c>
      <c r="I662" s="99">
        <v>82.82</v>
      </c>
      <c r="J662" s="101" t="s">
        <v>15</v>
      </c>
      <c r="K662" s="70" t="s">
        <v>15</v>
      </c>
      <c r="L662" s="101" t="s">
        <v>15</v>
      </c>
      <c r="M662" s="70" t="s">
        <v>15</v>
      </c>
      <c r="N662" s="1194">
        <v>-77.392871</v>
      </c>
      <c r="O662" s="369">
        <v>-1.01</v>
      </c>
      <c r="P662" s="369">
        <v>76.605322099999995</v>
      </c>
      <c r="Q662" s="143">
        <v>0.14705882352941177</v>
      </c>
      <c r="R662" s="2129"/>
      <c r="S662" s="135" t="s">
        <v>74</v>
      </c>
      <c r="T662" s="129" t="s">
        <v>75</v>
      </c>
      <c r="U662" s="858"/>
      <c r="V662" s="2242"/>
      <c r="W662" s="95" t="s">
        <v>49</v>
      </c>
      <c r="X662" s="292" t="s">
        <v>386</v>
      </c>
      <c r="Y662" s="159">
        <f>(($R$658*0.9)+($R$659*5850)+$R$660+$T$665)*(1+$T$667)</f>
        <v>1830.442510970588</v>
      </c>
      <c r="Z662" s="223">
        <f>Y662</f>
        <v>1830.442510970588</v>
      </c>
      <c r="AA662" s="350">
        <f>$S$667/$H$658*Z662</f>
        <v>90.258144926984642</v>
      </c>
      <c r="AB662" s="924"/>
      <c r="AC662" s="26"/>
      <c r="AD662" s="24"/>
      <c r="AE662" s="26"/>
      <c r="AF662" s="75"/>
      <c r="AG662" s="26"/>
      <c r="AH662" s="957"/>
      <c r="AI662" s="957"/>
      <c r="AJ662" s="957"/>
      <c r="AK662" s="957"/>
      <c r="AL662" s="957"/>
      <c r="AM662" s="957"/>
      <c r="AN662" s="957"/>
      <c r="AO662" s="957"/>
      <c r="AP662" s="957"/>
      <c r="AQ662" s="957"/>
      <c r="AR662" s="957"/>
      <c r="AS662" s="957"/>
      <c r="AT662" s="957"/>
      <c r="AU662" s="957"/>
      <c r="AV662" s="957"/>
      <c r="AW662" s="957"/>
      <c r="AX662" s="957"/>
      <c r="AY662" s="957"/>
      <c r="AZ662" s="957"/>
      <c r="BA662" s="957"/>
      <c r="BB662" s="957"/>
      <c r="BC662" s="957"/>
      <c r="BD662" s="957"/>
      <c r="BE662" s="957"/>
      <c r="BF662" s="957"/>
      <c r="BG662" s="957"/>
    </row>
    <row r="663" spans="1:123">
      <c r="A663" s="2172"/>
      <c r="B663" s="2161"/>
      <c r="C663" s="2144"/>
      <c r="D663" s="86" t="s">
        <v>373</v>
      </c>
      <c r="E663" s="31">
        <v>3</v>
      </c>
      <c r="F663" s="78" t="s">
        <v>15</v>
      </c>
      <c r="G663" s="78" t="s">
        <v>15</v>
      </c>
      <c r="H663" s="58">
        <v>1513</v>
      </c>
      <c r="I663" s="99">
        <v>637.62</v>
      </c>
      <c r="J663" s="101" t="s">
        <v>15</v>
      </c>
      <c r="K663" s="70" t="s">
        <v>15</v>
      </c>
      <c r="L663" s="101" t="s">
        <v>15</v>
      </c>
      <c r="M663" s="70" t="s">
        <v>15</v>
      </c>
      <c r="N663" s="1194">
        <v>-51.133052999999997</v>
      </c>
      <c r="O663" s="369">
        <v>-0.53</v>
      </c>
      <c r="P663" s="369">
        <v>97.321029999999993</v>
      </c>
      <c r="Q663" s="143">
        <v>8.8235294117647065E-2</v>
      </c>
      <c r="R663" s="2129"/>
      <c r="S663" s="155">
        <v>34</v>
      </c>
      <c r="T663" s="117" t="s">
        <v>15</v>
      </c>
      <c r="U663" s="854"/>
      <c r="V663" s="2242"/>
      <c r="W663" s="95" t="s">
        <v>49</v>
      </c>
      <c r="X663" s="292" t="s">
        <v>387</v>
      </c>
      <c r="Y663" s="159">
        <f>(($R$658*0.9)+($R$659*11700)+$R$660+$T$665)*(1+$T$667)</f>
        <v>2622.2911984705879</v>
      </c>
      <c r="Z663" s="223">
        <f>Y663</f>
        <v>2622.2911984705879</v>
      </c>
      <c r="AA663" s="350">
        <f>$S$667/$H$658*Z663</f>
        <v>129.30378179799476</v>
      </c>
      <c r="AB663" s="924"/>
      <c r="AC663" s="26"/>
      <c r="AD663" s="24"/>
      <c r="AE663" s="26"/>
      <c r="AF663" s="75"/>
      <c r="AG663" s="26"/>
      <c r="AH663" s="957"/>
      <c r="AI663" s="957"/>
      <c r="AJ663" s="957"/>
      <c r="AK663" s="957"/>
      <c r="AL663" s="957"/>
      <c r="AM663" s="957"/>
      <c r="AN663" s="957"/>
      <c r="AO663" s="957"/>
      <c r="AP663" s="957"/>
      <c r="AQ663" s="957"/>
      <c r="AR663" s="957"/>
      <c r="AS663" s="957"/>
      <c r="AT663" s="957"/>
      <c r="AU663" s="957"/>
      <c r="AV663" s="957"/>
      <c r="AW663" s="957"/>
      <c r="AX663" s="957"/>
      <c r="AY663" s="957"/>
      <c r="AZ663" s="957"/>
      <c r="BA663" s="957"/>
      <c r="BB663" s="957"/>
      <c r="BC663" s="957"/>
      <c r="BD663" s="957"/>
      <c r="BE663" s="957"/>
      <c r="BF663" s="957"/>
      <c r="BG663" s="957"/>
    </row>
    <row r="664" spans="1:123">
      <c r="A664" s="2172"/>
      <c r="B664" s="2161"/>
      <c r="C664" s="2144"/>
      <c r="D664" s="86" t="s">
        <v>374</v>
      </c>
      <c r="E664" s="31">
        <v>6</v>
      </c>
      <c r="F664" s="78" t="s">
        <v>15</v>
      </c>
      <c r="G664" s="78" t="s">
        <v>15</v>
      </c>
      <c r="H664" s="58">
        <v>558.83000000000004</v>
      </c>
      <c r="I664" s="99">
        <v>128.49</v>
      </c>
      <c r="J664" s="101" t="s">
        <v>15</v>
      </c>
      <c r="K664" s="70" t="s">
        <v>15</v>
      </c>
      <c r="L664" s="101" t="s">
        <v>15</v>
      </c>
      <c r="M664" s="70" t="s">
        <v>15</v>
      </c>
      <c r="N664" s="1194">
        <v>-312.99338299999999</v>
      </c>
      <c r="O664" s="369">
        <v>-4.1399999999999997</v>
      </c>
      <c r="P664" s="369">
        <v>75.565294199999997</v>
      </c>
      <c r="Q664" s="143">
        <v>0.17647058823529413</v>
      </c>
      <c r="R664" s="2129"/>
      <c r="S664" s="135" t="s">
        <v>41</v>
      </c>
      <c r="T664" s="129" t="s">
        <v>42</v>
      </c>
      <c r="U664" s="858"/>
      <c r="V664" s="2328"/>
      <c r="W664" s="96" t="s">
        <v>49</v>
      </c>
      <c r="X664" s="80" t="s">
        <v>388</v>
      </c>
      <c r="Y664" s="159">
        <f>(($R$658*0.9)+($R$659*17550)+$R$660+$T$665)*(1+$T$667)</f>
        <v>3414.1398859705878</v>
      </c>
      <c r="Z664" s="223">
        <f>Y664</f>
        <v>3414.1398859705878</v>
      </c>
      <c r="AA664" s="350">
        <f>$S$667/$H$658*Z664</f>
        <v>168.3494186690049</v>
      </c>
      <c r="AB664" s="924"/>
      <c r="AC664" s="26"/>
      <c r="AD664" s="24"/>
      <c r="AE664" s="26"/>
      <c r="AF664" s="75"/>
      <c r="AG664" s="26"/>
      <c r="AH664" s="957"/>
      <c r="AI664" s="957"/>
      <c r="AJ664" s="957"/>
      <c r="AK664" s="957"/>
      <c r="AL664" s="957"/>
      <c r="AM664" s="957"/>
      <c r="AN664" s="957"/>
      <c r="AO664" s="957"/>
      <c r="AP664" s="957"/>
      <c r="AQ664" s="957"/>
      <c r="AR664" s="957"/>
      <c r="AS664" s="957"/>
      <c r="AT664" s="957"/>
      <c r="AU664" s="957"/>
      <c r="AV664" s="957"/>
      <c r="AW664" s="957"/>
      <c r="AX664" s="957"/>
      <c r="AY664" s="957"/>
      <c r="AZ664" s="957"/>
      <c r="BA664" s="957"/>
      <c r="BB664" s="957"/>
      <c r="BC664" s="957"/>
      <c r="BD664" s="957"/>
      <c r="BE664" s="957"/>
      <c r="BF664" s="957"/>
      <c r="BG664" s="957"/>
    </row>
    <row r="665" spans="1:123">
      <c r="A665" s="2172"/>
      <c r="B665" s="2161"/>
      <c r="C665" s="2144"/>
      <c r="D665" s="86" t="s">
        <v>375</v>
      </c>
      <c r="E665" s="31">
        <v>1</v>
      </c>
      <c r="F665" s="78" t="s">
        <v>15</v>
      </c>
      <c r="G665" s="78" t="s">
        <v>15</v>
      </c>
      <c r="H665" s="58">
        <v>1259.25</v>
      </c>
      <c r="I665" s="100" t="s">
        <v>204</v>
      </c>
      <c r="J665" s="101" t="s">
        <v>15</v>
      </c>
      <c r="K665" s="70" t="s">
        <v>15</v>
      </c>
      <c r="L665" s="101" t="s">
        <v>15</v>
      </c>
      <c r="M665" s="70" t="s">
        <v>15</v>
      </c>
      <c r="N665" s="1194">
        <v>252.00073</v>
      </c>
      <c r="O665" s="369">
        <v>2.52</v>
      </c>
      <c r="P665" s="369">
        <v>100.1989966</v>
      </c>
      <c r="Q665" s="143">
        <v>2.9411764705882353E-2</v>
      </c>
      <c r="R665" s="2129"/>
      <c r="S665" s="152">
        <v>0.97694800000000004</v>
      </c>
      <c r="T665" s="157">
        <v>-834.69116299999996</v>
      </c>
      <c r="U665" s="861"/>
      <c r="V665" s="22"/>
      <c r="W665" s="39"/>
      <c r="X665" s="27"/>
      <c r="Y665" s="39"/>
      <c r="Z665" s="39"/>
      <c r="AA665" s="39"/>
      <c r="AB665" s="846"/>
      <c r="AC665" s="26"/>
      <c r="AD665" s="24"/>
      <c r="AE665" s="26"/>
      <c r="AF665" s="75"/>
      <c r="AG665" s="26"/>
      <c r="AH665" s="957"/>
      <c r="AI665" s="957"/>
      <c r="AJ665" s="957"/>
      <c r="AK665" s="957"/>
      <c r="AL665" s="957"/>
      <c r="AM665" s="957"/>
      <c r="AN665" s="957"/>
      <c r="AO665" s="957"/>
      <c r="AP665" s="957"/>
      <c r="AQ665" s="957"/>
      <c r="AR665" s="957"/>
      <c r="AS665" s="957"/>
      <c r="AT665" s="957"/>
      <c r="AU665" s="957"/>
      <c r="AV665" s="957"/>
      <c r="AW665" s="957"/>
      <c r="AX665" s="957"/>
      <c r="AY665" s="957"/>
      <c r="AZ665" s="957"/>
      <c r="BA665" s="957"/>
      <c r="BB665" s="957"/>
      <c r="BC665" s="957"/>
      <c r="BD665" s="957"/>
      <c r="BE665" s="957"/>
      <c r="BF665" s="957"/>
      <c r="BG665" s="957"/>
    </row>
    <row r="666" spans="1:123">
      <c r="A666" s="2172"/>
      <c r="B666" s="2161"/>
      <c r="C666" s="2144"/>
      <c r="D666" s="86" t="s">
        <v>376</v>
      </c>
      <c r="E666" s="31">
        <v>1</v>
      </c>
      <c r="F666" s="78" t="s">
        <v>15</v>
      </c>
      <c r="G666" s="78" t="s">
        <v>15</v>
      </c>
      <c r="H666" s="58">
        <v>775</v>
      </c>
      <c r="I666" s="100" t="s">
        <v>204</v>
      </c>
      <c r="J666" s="101" t="s">
        <v>15</v>
      </c>
      <c r="K666" s="70" t="s">
        <v>15</v>
      </c>
      <c r="L666" s="101" t="s">
        <v>15</v>
      </c>
      <c r="M666" s="70" t="s">
        <v>15</v>
      </c>
      <c r="N666" s="1194">
        <v>0</v>
      </c>
      <c r="O666" s="146" t="s">
        <v>204</v>
      </c>
      <c r="P666" s="90" t="s">
        <v>204</v>
      </c>
      <c r="Q666" s="143">
        <v>2.9411764705882353E-2</v>
      </c>
      <c r="R666" s="2129"/>
      <c r="S666" s="156" t="s">
        <v>235</v>
      </c>
      <c r="T666" s="119" t="s">
        <v>391</v>
      </c>
      <c r="U666" s="855"/>
      <c r="V666" s="24"/>
      <c r="W666" s="41"/>
      <c r="X666" s="26"/>
      <c r="Y666" s="41"/>
      <c r="Z666" s="41"/>
      <c r="AA666" s="41"/>
      <c r="AB666" s="846"/>
      <c r="AC666" s="26"/>
      <c r="AD666" s="24"/>
      <c r="AE666" s="26"/>
      <c r="AF666" s="75"/>
      <c r="AG666" s="26"/>
      <c r="AH666" s="957"/>
      <c r="AI666" s="957"/>
      <c r="AJ666" s="957"/>
      <c r="AK666" s="957"/>
      <c r="AL666" s="957"/>
      <c r="AM666" s="957"/>
      <c r="AN666" s="957"/>
      <c r="AO666" s="957"/>
      <c r="AP666" s="957"/>
      <c r="AQ666" s="957"/>
      <c r="AR666" s="957"/>
      <c r="AS666" s="957"/>
      <c r="AT666" s="957"/>
      <c r="AU666" s="957"/>
      <c r="AV666" s="957"/>
      <c r="AW666" s="957"/>
      <c r="AX666" s="957"/>
      <c r="AY666" s="957"/>
      <c r="AZ666" s="957"/>
      <c r="BA666" s="957"/>
      <c r="BB666" s="957"/>
      <c r="BC666" s="957"/>
      <c r="BD666" s="957"/>
      <c r="BE666" s="957"/>
      <c r="BF666" s="957"/>
      <c r="BG666" s="957"/>
    </row>
    <row r="667" spans="1:123">
      <c r="A667" s="2172"/>
      <c r="B667" s="2161" t="s">
        <v>377</v>
      </c>
      <c r="C667" s="2144" t="s">
        <v>11</v>
      </c>
      <c r="D667" s="86" t="s">
        <v>33</v>
      </c>
      <c r="E667" s="78" t="s">
        <v>15</v>
      </c>
      <c r="F667" s="78" t="s">
        <v>15</v>
      </c>
      <c r="G667" s="78" t="s">
        <v>15</v>
      </c>
      <c r="H667" s="78" t="s">
        <v>15</v>
      </c>
      <c r="I667" s="70" t="s">
        <v>15</v>
      </c>
      <c r="J667" s="101" t="s">
        <v>15</v>
      </c>
      <c r="K667" s="70" t="s">
        <v>15</v>
      </c>
      <c r="L667" s="2385" t="s">
        <v>11</v>
      </c>
      <c r="M667" s="1174" t="s">
        <v>33</v>
      </c>
      <c r="N667" s="1205"/>
      <c r="O667" s="467"/>
      <c r="P667" s="467"/>
      <c r="Q667" s="252"/>
      <c r="R667" s="252"/>
      <c r="S667" s="86">
        <v>47.271999999999998</v>
      </c>
      <c r="T667" s="145">
        <v>0.25</v>
      </c>
      <c r="U667" s="862"/>
      <c r="V667" s="24"/>
      <c r="W667" s="41"/>
      <c r="X667" s="26"/>
      <c r="Y667" s="41"/>
      <c r="Z667" s="41"/>
      <c r="AA667" s="41"/>
      <c r="AB667" s="846"/>
      <c r="AC667" s="26"/>
      <c r="AD667" s="24"/>
      <c r="AE667" s="26"/>
      <c r="AF667" s="75"/>
      <c r="AG667" s="26"/>
      <c r="AH667" s="957"/>
      <c r="AI667" s="957"/>
      <c r="AJ667" s="957"/>
      <c r="AK667" s="957"/>
      <c r="AL667" s="957"/>
      <c r="AM667" s="957"/>
      <c r="AN667" s="957"/>
      <c r="AO667" s="957"/>
      <c r="AP667" s="957"/>
      <c r="AQ667" s="957"/>
      <c r="AR667" s="957"/>
      <c r="AS667" s="957"/>
      <c r="AT667" s="957"/>
      <c r="AU667" s="957"/>
      <c r="AV667" s="957"/>
      <c r="AW667" s="957"/>
      <c r="AX667" s="957"/>
      <c r="AY667" s="957"/>
      <c r="AZ667" s="957"/>
      <c r="BA667" s="957"/>
      <c r="BB667" s="957"/>
      <c r="BC667" s="957"/>
      <c r="BD667" s="957"/>
      <c r="BE667" s="957"/>
      <c r="BF667" s="957"/>
      <c r="BG667" s="957"/>
    </row>
    <row r="668" spans="1:123">
      <c r="A668" s="2172"/>
      <c r="B668" s="2161"/>
      <c r="C668" s="2144"/>
      <c r="D668" s="86" t="s">
        <v>32</v>
      </c>
      <c r="E668" s="78" t="s">
        <v>15</v>
      </c>
      <c r="F668" s="78" t="s">
        <v>15</v>
      </c>
      <c r="G668" s="78" t="s">
        <v>15</v>
      </c>
      <c r="H668" s="78" t="s">
        <v>15</v>
      </c>
      <c r="I668" s="70" t="s">
        <v>15</v>
      </c>
      <c r="J668" s="101" t="s">
        <v>15</v>
      </c>
      <c r="K668" s="70" t="s">
        <v>15</v>
      </c>
      <c r="L668" s="2385"/>
      <c r="M668" s="1174" t="s">
        <v>32</v>
      </c>
      <c r="N668" s="1205"/>
      <c r="O668" s="467"/>
      <c r="P668" s="467"/>
      <c r="Q668" s="252"/>
      <c r="R668" s="252"/>
      <c r="S668" s="122"/>
      <c r="T668" s="41"/>
      <c r="U668" s="854"/>
      <c r="V668" s="24"/>
      <c r="W668" s="41"/>
      <c r="X668" s="26"/>
      <c r="Y668" s="41"/>
      <c r="Z668" s="41"/>
      <c r="AA668" s="41"/>
      <c r="AB668" s="846"/>
      <c r="AC668" s="26"/>
      <c r="AD668" s="24"/>
      <c r="AE668" s="26"/>
      <c r="AF668" s="75"/>
      <c r="AG668" s="26"/>
      <c r="AH668" s="957"/>
      <c r="AI668" s="957"/>
      <c r="AJ668" s="957"/>
      <c r="AK668" s="957"/>
      <c r="AL668" s="957"/>
      <c r="AM668" s="957"/>
      <c r="AN668" s="957"/>
      <c r="AO668" s="957"/>
      <c r="AP668" s="957"/>
      <c r="AQ668" s="957"/>
      <c r="AR668" s="957"/>
      <c r="AS668" s="957"/>
      <c r="AT668" s="957"/>
      <c r="AU668" s="957"/>
      <c r="AV668" s="957"/>
      <c r="AW668" s="957"/>
      <c r="AX668" s="957"/>
      <c r="AY668" s="957"/>
      <c r="AZ668" s="957"/>
      <c r="BA668" s="957"/>
      <c r="BB668" s="957"/>
      <c r="BC668" s="957"/>
      <c r="BD668" s="957"/>
      <c r="BE668" s="957"/>
      <c r="BF668" s="957"/>
      <c r="BG668" s="957"/>
    </row>
    <row r="669" spans="1:123">
      <c r="A669" s="2172"/>
      <c r="B669" s="2161" t="s">
        <v>378</v>
      </c>
      <c r="C669" s="2144" t="s">
        <v>11</v>
      </c>
      <c r="D669" s="86" t="s">
        <v>33</v>
      </c>
      <c r="E669" s="78" t="s">
        <v>15</v>
      </c>
      <c r="F669" s="78" t="s">
        <v>15</v>
      </c>
      <c r="G669" s="78" t="s">
        <v>15</v>
      </c>
      <c r="H669" s="78" t="s">
        <v>15</v>
      </c>
      <c r="I669" s="70" t="s">
        <v>15</v>
      </c>
      <c r="J669" s="101" t="s">
        <v>15</v>
      </c>
      <c r="K669" s="70" t="s">
        <v>15</v>
      </c>
      <c r="L669" s="2385" t="s">
        <v>11</v>
      </c>
      <c r="M669" s="1174" t="s">
        <v>33</v>
      </c>
      <c r="N669" s="1205"/>
      <c r="O669" s="467"/>
      <c r="P669" s="467"/>
      <c r="Q669" s="252"/>
      <c r="R669" s="252"/>
      <c r="S669" s="123"/>
      <c r="T669" s="41"/>
      <c r="U669" s="854"/>
      <c r="V669" s="24"/>
      <c r="W669" s="41"/>
      <c r="X669" s="26"/>
      <c r="Y669" s="41"/>
      <c r="Z669" s="41"/>
      <c r="AA669" s="41"/>
      <c r="AB669" s="846"/>
      <c r="AC669" s="26"/>
      <c r="AD669" s="24"/>
      <c r="AE669" s="26"/>
      <c r="AF669" s="75"/>
      <c r="AG669" s="26"/>
      <c r="AH669" s="957"/>
      <c r="AI669" s="957"/>
      <c r="AJ669" s="957"/>
      <c r="AK669" s="957"/>
      <c r="AL669" s="957"/>
      <c r="AM669" s="957"/>
      <c r="AN669" s="957"/>
      <c r="AO669" s="957"/>
      <c r="AP669" s="957"/>
      <c r="AQ669" s="957"/>
      <c r="AR669" s="957"/>
      <c r="AS669" s="957"/>
      <c r="AT669" s="957"/>
      <c r="AU669" s="957"/>
      <c r="AV669" s="957"/>
      <c r="AW669" s="957"/>
      <c r="AX669" s="957"/>
      <c r="AY669" s="957"/>
      <c r="AZ669" s="957"/>
      <c r="BA669" s="957"/>
      <c r="BB669" s="957"/>
      <c r="BC669" s="957"/>
      <c r="BD669" s="957"/>
      <c r="BE669" s="957"/>
      <c r="BF669" s="957"/>
      <c r="BG669" s="957"/>
    </row>
    <row r="670" spans="1:123" ht="15.75" thickBot="1">
      <c r="A670" s="2172"/>
      <c r="B670" s="2161"/>
      <c r="C670" s="2144"/>
      <c r="D670" s="86" t="s">
        <v>32</v>
      </c>
      <c r="E670" s="78" t="s">
        <v>15</v>
      </c>
      <c r="F670" s="78" t="s">
        <v>15</v>
      </c>
      <c r="G670" s="78" t="s">
        <v>15</v>
      </c>
      <c r="H670" s="78" t="s">
        <v>15</v>
      </c>
      <c r="I670" s="70" t="s">
        <v>15</v>
      </c>
      <c r="J670" s="101" t="s">
        <v>15</v>
      </c>
      <c r="K670" s="70" t="s">
        <v>15</v>
      </c>
      <c r="L670" s="2385"/>
      <c r="M670" s="1174" t="s">
        <v>32</v>
      </c>
      <c r="N670" s="1205"/>
      <c r="O670" s="467"/>
      <c r="P670" s="467"/>
      <c r="Q670" s="252"/>
      <c r="R670" s="252"/>
      <c r="S670" s="185"/>
      <c r="T670" s="41"/>
      <c r="U670" s="854"/>
      <c r="V670" s="28"/>
      <c r="W670" s="97"/>
      <c r="X670" s="29"/>
      <c r="Y670" s="29"/>
      <c r="Z670" s="29"/>
      <c r="AA670" s="29"/>
      <c r="AC670" s="29"/>
      <c r="AD670" s="240"/>
      <c r="AE670" s="764"/>
      <c r="AF670" s="75"/>
      <c r="AG670" s="26"/>
      <c r="AH670" s="957"/>
      <c r="AI670" s="957"/>
      <c r="AJ670" s="957"/>
      <c r="AK670" s="957"/>
      <c r="AL670" s="957"/>
      <c r="AM670" s="957"/>
      <c r="AN670" s="957"/>
      <c r="AO670" s="957"/>
      <c r="AP670" s="957"/>
      <c r="AQ670" s="957"/>
      <c r="AR670" s="957"/>
      <c r="AS670" s="957"/>
      <c r="AT670" s="957"/>
      <c r="AU670" s="957"/>
      <c r="AV670" s="957"/>
      <c r="AW670" s="957"/>
      <c r="AX670" s="957"/>
      <c r="AY670" s="957"/>
      <c r="AZ670" s="957"/>
      <c r="BA670" s="957"/>
      <c r="BB670" s="957"/>
      <c r="BC670" s="957"/>
      <c r="BD670" s="957"/>
      <c r="BE670" s="957"/>
      <c r="BF670" s="957"/>
      <c r="BG670" s="957"/>
    </row>
    <row r="671" spans="1:123" s="705" customFormat="1" ht="9" customHeight="1" thickBot="1">
      <c r="A671" s="695"/>
      <c r="B671" s="818"/>
      <c r="C671" s="712"/>
      <c r="D671" s="699"/>
      <c r="E671" s="712"/>
      <c r="F671" s="712"/>
      <c r="G671" s="712"/>
      <c r="H671" s="712"/>
      <c r="I671" s="712"/>
      <c r="J671" s="698"/>
      <c r="K671" s="699"/>
      <c r="L671" s="698"/>
      <c r="M671" s="700"/>
      <c r="N671" s="1214"/>
      <c r="O671" s="713"/>
      <c r="P671" s="713"/>
      <c r="Q671" s="714"/>
      <c r="R671" s="714"/>
      <c r="S671" s="688"/>
      <c r="T671" s="688"/>
      <c r="U671" s="854"/>
      <c r="V671" s="886"/>
      <c r="W671" s="700"/>
      <c r="X671" s="700"/>
      <c r="Y671" s="704"/>
      <c r="Z671" s="704"/>
      <c r="AA671" s="704"/>
      <c r="AB671" s="846"/>
      <c r="AC671" s="685"/>
      <c r="AD671" s="685"/>
      <c r="AE671" s="685"/>
      <c r="AF671" s="689"/>
      <c r="AG671" s="685"/>
      <c r="AH671" s="958"/>
      <c r="AI671" s="958"/>
      <c r="AJ671" s="958"/>
      <c r="AK671" s="958"/>
      <c r="AL671" s="959"/>
      <c r="AM671" s="959"/>
      <c r="AN671" s="959"/>
      <c r="AO671" s="959"/>
      <c r="AP671" s="959"/>
      <c r="AQ671" s="959"/>
      <c r="AR671" s="959"/>
      <c r="AS671" s="959"/>
      <c r="AT671" s="959"/>
      <c r="AU671" s="959"/>
      <c r="AV671" s="959"/>
      <c r="AW671" s="959"/>
      <c r="AX671" s="959"/>
      <c r="AY671" s="959"/>
      <c r="AZ671" s="959"/>
      <c r="BA671" s="959"/>
      <c r="BB671" s="959"/>
      <c r="BC671" s="959"/>
      <c r="BD671" s="959"/>
      <c r="BE671" s="959"/>
      <c r="BF671" s="959"/>
      <c r="BG671" s="959"/>
      <c r="BH671" s="1125"/>
      <c r="CF671" s="692"/>
      <c r="CG671" s="692"/>
      <c r="CH671" s="692"/>
      <c r="CI671" s="692"/>
      <c r="CJ671" s="692"/>
      <c r="CK671" s="692"/>
      <c r="CL671" s="692"/>
      <c r="CM671" s="692"/>
      <c r="CN671" s="692"/>
      <c r="CO671" s="692"/>
      <c r="CP671" s="692"/>
      <c r="CQ671" s="692"/>
      <c r="CR671" s="692"/>
      <c r="CS671" s="692"/>
      <c r="CT671" s="692"/>
      <c r="CU671" s="692"/>
      <c r="CV671" s="692"/>
      <c r="CW671" s="692"/>
      <c r="CX671" s="692"/>
      <c r="CY671" s="692"/>
      <c r="CZ671" s="692"/>
      <c r="DA671" s="692"/>
      <c r="DB671" s="692"/>
      <c r="DC671" s="692"/>
      <c r="DD671" s="692"/>
      <c r="DE671" s="692"/>
      <c r="DF671" s="692"/>
      <c r="DG671" s="692"/>
      <c r="DH671" s="692"/>
      <c r="DI671" s="693"/>
      <c r="DJ671" s="692"/>
      <c r="DK671" s="692"/>
      <c r="DL671" s="692"/>
      <c r="DM671" s="692"/>
      <c r="DN671" s="692"/>
      <c r="DO671" s="692"/>
      <c r="DP671" s="692"/>
      <c r="DQ671" s="692"/>
      <c r="DR671" s="692"/>
      <c r="DS671" s="692"/>
    </row>
    <row r="672" spans="1:123" s="325" customFormat="1">
      <c r="A672" s="2171" t="s">
        <v>622</v>
      </c>
      <c r="B672" s="823" t="s">
        <v>623</v>
      </c>
      <c r="C672" s="981" t="s">
        <v>12</v>
      </c>
      <c r="D672" s="296" t="s">
        <v>624</v>
      </c>
      <c r="E672" s="296">
        <v>201</v>
      </c>
      <c r="F672" s="296">
        <v>13044.38</v>
      </c>
      <c r="G672" s="296">
        <v>10213.74</v>
      </c>
      <c r="H672" s="360">
        <v>38513.01</v>
      </c>
      <c r="I672" s="361">
        <v>25789.119999999999</v>
      </c>
      <c r="J672" s="1092" t="s">
        <v>12</v>
      </c>
      <c r="K672" s="12" t="s">
        <v>629</v>
      </c>
      <c r="L672" s="1089" t="s">
        <v>15</v>
      </c>
      <c r="M672" s="1090" t="s">
        <v>15</v>
      </c>
      <c r="N672" s="1211">
        <v>2.1293799999999998</v>
      </c>
      <c r="O672" s="364">
        <v>43.17</v>
      </c>
      <c r="P672" s="364">
        <v>4.9320999999999997E-2</v>
      </c>
      <c r="Q672" s="208" t="s">
        <v>15</v>
      </c>
      <c r="R672" s="535">
        <f>N672</f>
        <v>2.1293799999999998</v>
      </c>
      <c r="S672" s="135" t="s">
        <v>68</v>
      </c>
      <c r="T672" s="129" t="s">
        <v>69</v>
      </c>
      <c r="U672" s="858"/>
      <c r="V672" s="2162" t="s">
        <v>2749</v>
      </c>
      <c r="W672" s="980" t="s">
        <v>47</v>
      </c>
      <c r="X672" s="383" t="s">
        <v>719</v>
      </c>
      <c r="Y672" s="539">
        <v>0</v>
      </c>
      <c r="Z672" s="539" t="s">
        <v>40</v>
      </c>
      <c r="AA672" s="172" t="s">
        <v>40</v>
      </c>
      <c r="AB672" s="923"/>
      <c r="AC672" s="330"/>
      <c r="AD672" s="502"/>
      <c r="AE672" s="330"/>
      <c r="AF672" s="231" t="s">
        <v>49</v>
      </c>
      <c r="AG672" s="291" t="s">
        <v>634</v>
      </c>
      <c r="AH672" s="996">
        <f>Y673</f>
        <v>11201.378100880602</v>
      </c>
      <c r="AI672" s="955">
        <v>1522</v>
      </c>
      <c r="AJ672" s="955">
        <v>4886.76</v>
      </c>
      <c r="AK672" s="955">
        <v>3868.05</v>
      </c>
      <c r="AL672" s="962"/>
      <c r="AM672" s="962"/>
      <c r="AN672" s="962"/>
      <c r="AO672" s="962"/>
      <c r="AP672" s="962"/>
      <c r="AQ672" s="962"/>
      <c r="AR672" s="962"/>
      <c r="AS672" s="962"/>
      <c r="AT672" s="962"/>
      <c r="AU672" s="962"/>
      <c r="AV672" s="962"/>
      <c r="AW672" s="962"/>
      <c r="AX672" s="962"/>
      <c r="AY672" s="962"/>
      <c r="AZ672" s="962"/>
      <c r="BA672" s="962"/>
      <c r="BB672" s="962"/>
      <c r="BC672" s="962"/>
      <c r="BD672" s="962"/>
      <c r="BE672" s="962"/>
      <c r="BF672" s="962"/>
      <c r="BG672" s="962"/>
      <c r="BH672" s="1130"/>
      <c r="CF672" s="568"/>
      <c r="CG672" s="568"/>
      <c r="CH672" s="568"/>
      <c r="CI672" s="568"/>
      <c r="CJ672" s="568"/>
      <c r="CK672" s="568"/>
      <c r="CL672" s="568"/>
      <c r="CM672" s="568"/>
      <c r="CN672" s="568"/>
      <c r="CO672" s="568"/>
      <c r="CP672" s="568"/>
      <c r="CQ672" s="568"/>
      <c r="CR672" s="568"/>
      <c r="CS672" s="568"/>
      <c r="CT672" s="568"/>
      <c r="CU672" s="568"/>
      <c r="CV672" s="568"/>
      <c r="CW672" s="568"/>
      <c r="CX672" s="568"/>
      <c r="CY672" s="568"/>
      <c r="CZ672" s="568"/>
      <c r="DA672" s="568"/>
      <c r="DB672" s="568"/>
      <c r="DC672" s="568"/>
      <c r="DD672" s="568"/>
      <c r="DE672" s="568"/>
      <c r="DF672" s="568"/>
      <c r="DG672" s="568"/>
      <c r="DH672" s="568"/>
      <c r="DI672" s="560"/>
      <c r="DJ672" s="568"/>
      <c r="DK672" s="568"/>
      <c r="DL672" s="568"/>
      <c r="DM672" s="568"/>
      <c r="DN672" s="568"/>
      <c r="DO672" s="568"/>
      <c r="DP672" s="568"/>
      <c r="DQ672" s="568"/>
      <c r="DR672" s="568"/>
      <c r="DS672" s="568"/>
    </row>
    <row r="673" spans="1:123">
      <c r="A673" s="2172"/>
      <c r="B673" s="2161" t="s">
        <v>633</v>
      </c>
      <c r="C673" s="2144" t="s">
        <v>11</v>
      </c>
      <c r="D673" s="86" t="s">
        <v>33</v>
      </c>
      <c r="E673" s="86">
        <v>61</v>
      </c>
      <c r="F673" s="148" t="s">
        <v>15</v>
      </c>
      <c r="G673" s="148" t="s">
        <v>15</v>
      </c>
      <c r="H673" s="362">
        <v>45144.69</v>
      </c>
      <c r="I673" s="363">
        <v>40104.33</v>
      </c>
      <c r="J673" s="234" t="s">
        <v>15</v>
      </c>
      <c r="K673" s="233" t="s">
        <v>15</v>
      </c>
      <c r="L673" s="234" t="s">
        <v>15</v>
      </c>
      <c r="M673" s="233" t="s">
        <v>15</v>
      </c>
      <c r="N673" s="1194">
        <v>12215.41728</v>
      </c>
      <c r="O673" s="142">
        <v>9.57</v>
      </c>
      <c r="P673" s="142">
        <v>1276.620377</v>
      </c>
      <c r="Q673" s="195" t="s">
        <v>15</v>
      </c>
      <c r="R673" s="128">
        <f>N673</f>
        <v>12215.41728</v>
      </c>
      <c r="S673" s="324" t="s">
        <v>630</v>
      </c>
      <c r="T673" s="556" t="s">
        <v>310</v>
      </c>
      <c r="U673" s="859"/>
      <c r="V673" s="2164"/>
      <c r="W673" s="720" t="s">
        <v>49</v>
      </c>
      <c r="X673" s="291" t="s">
        <v>634</v>
      </c>
      <c r="Y673" s="169">
        <f>((3000*$R$672)+$R$674+$R$675+$T$679)*(1+$T$681)</f>
        <v>11201.378100880602</v>
      </c>
      <c r="Z673" s="553">
        <f>Y673</f>
        <v>11201.378100880602</v>
      </c>
      <c r="AA673" s="551">
        <f>($S$681/$H$672)*Y673</f>
        <v>1200.9821133423882</v>
      </c>
      <c r="AB673" s="922"/>
      <c r="AC673" s="26"/>
      <c r="AD673" s="24"/>
      <c r="AE673" s="26"/>
      <c r="AF673" s="658" t="s">
        <v>49</v>
      </c>
      <c r="AG673" s="291" t="s">
        <v>635</v>
      </c>
      <c r="AH673" s="996">
        <f>Y674</f>
        <v>127465.5261008806</v>
      </c>
      <c r="AI673" s="159"/>
      <c r="AJ673" s="159">
        <v>73302.63</v>
      </c>
      <c r="AK673" s="159">
        <v>58020.75</v>
      </c>
      <c r="AL673" s="957"/>
      <c r="AM673" s="957"/>
      <c r="AN673" s="957"/>
      <c r="AO673" s="957"/>
      <c r="AP673" s="957"/>
      <c r="AQ673" s="957"/>
      <c r="AR673" s="957"/>
      <c r="AS673" s="957"/>
      <c r="AT673" s="957"/>
      <c r="AU673" s="957"/>
      <c r="AV673" s="957"/>
      <c r="AW673" s="957"/>
      <c r="AX673" s="957"/>
      <c r="AY673" s="957"/>
      <c r="AZ673" s="957"/>
      <c r="BA673" s="957"/>
      <c r="BB673" s="957"/>
      <c r="BC673" s="957"/>
      <c r="BD673" s="957"/>
      <c r="BE673" s="957"/>
      <c r="BF673" s="957"/>
      <c r="BG673" s="957"/>
    </row>
    <row r="674" spans="1:123">
      <c r="A674" s="2172"/>
      <c r="B674" s="2161"/>
      <c r="C674" s="2144"/>
      <c r="D674" s="291" t="s">
        <v>32</v>
      </c>
      <c r="E674" s="86">
        <v>140</v>
      </c>
      <c r="F674" s="148" t="s">
        <v>15</v>
      </c>
      <c r="G674" s="148" t="s">
        <v>15</v>
      </c>
      <c r="H674" s="362">
        <v>35623.49</v>
      </c>
      <c r="I674" s="363">
        <v>15329.16</v>
      </c>
      <c r="J674" s="234" t="s">
        <v>15</v>
      </c>
      <c r="K674" s="233" t="s">
        <v>15</v>
      </c>
      <c r="L674" s="234" t="s">
        <v>15</v>
      </c>
      <c r="M674" s="233" t="s">
        <v>15</v>
      </c>
      <c r="N674" s="537">
        <v>0</v>
      </c>
      <c r="O674" s="146" t="s">
        <v>204</v>
      </c>
      <c r="P674" s="146" t="s">
        <v>204</v>
      </c>
      <c r="Q674" s="195" t="s">
        <v>15</v>
      </c>
      <c r="R674" s="128">
        <f>N674</f>
        <v>0</v>
      </c>
      <c r="S674" s="135" t="s">
        <v>72</v>
      </c>
      <c r="T674" s="201" t="s">
        <v>119</v>
      </c>
      <c r="U674" s="855"/>
      <c r="V674" s="1685" t="s">
        <v>2698</v>
      </c>
      <c r="W674" s="720" t="s">
        <v>49</v>
      </c>
      <c r="X674" s="291" t="s">
        <v>635</v>
      </c>
      <c r="Y674" s="169">
        <f>((45000*$R$672)+$R$674+$R$675+$T$679)*(1+$T$681)</f>
        <v>127465.5261008806</v>
      </c>
      <c r="Z674" s="553">
        <f>Y674</f>
        <v>127465.5261008806</v>
      </c>
      <c r="AA674" s="551">
        <f>($S$681/$H$672)*Y674</f>
        <v>13666.516346136032</v>
      </c>
      <c r="AB674" s="922"/>
      <c r="AC674" s="26"/>
      <c r="AD674" s="24"/>
      <c r="AE674" s="26"/>
      <c r="AF674" s="75"/>
      <c r="AG674" s="26"/>
      <c r="AH674" s="957"/>
      <c r="AI674" s="957"/>
      <c r="AJ674" s="957"/>
      <c r="AK674" s="957"/>
      <c r="AL674" s="957"/>
      <c r="AM674" s="957"/>
      <c r="AN674" s="957"/>
      <c r="AO674" s="957"/>
      <c r="AP674" s="957"/>
      <c r="AQ674" s="957"/>
      <c r="AR674" s="957"/>
      <c r="AS674" s="957"/>
      <c r="AT674" s="957"/>
      <c r="AU674" s="957"/>
      <c r="AV674" s="957"/>
      <c r="AW674" s="957"/>
      <c r="AX674" s="957"/>
      <c r="AY674" s="957"/>
      <c r="AZ674" s="957"/>
      <c r="BA674" s="957"/>
      <c r="BB674" s="957"/>
      <c r="BC674" s="957"/>
      <c r="BD674" s="957"/>
      <c r="BE674" s="957"/>
      <c r="BF674" s="957"/>
      <c r="BG674" s="957"/>
    </row>
    <row r="675" spans="1:123">
      <c r="A675" s="2172"/>
      <c r="B675" s="2161" t="s">
        <v>153</v>
      </c>
      <c r="C675" s="2223" t="s">
        <v>13</v>
      </c>
      <c r="D675" s="86" t="s">
        <v>625</v>
      </c>
      <c r="E675" s="86">
        <v>12</v>
      </c>
      <c r="F675" s="148" t="s">
        <v>15</v>
      </c>
      <c r="G675" s="148" t="s">
        <v>15</v>
      </c>
      <c r="H675" s="362">
        <v>6848.75</v>
      </c>
      <c r="I675" s="363">
        <v>2347.23</v>
      </c>
      <c r="J675" s="234" t="s">
        <v>15</v>
      </c>
      <c r="K675" s="233" t="s">
        <v>15</v>
      </c>
      <c r="L675" s="234" t="s">
        <v>15</v>
      </c>
      <c r="M675" s="233" t="s">
        <v>15</v>
      </c>
      <c r="N675" s="1194">
        <v>7299.9172600000002</v>
      </c>
      <c r="O675" s="142">
        <v>2.95</v>
      </c>
      <c r="P675" s="142">
        <v>2476.7516609999998</v>
      </c>
      <c r="Q675" s="128">
        <f>E675/$E$672</f>
        <v>5.9701492537313432E-2</v>
      </c>
      <c r="R675" s="2129">
        <f>SUMPRODUCT(Q675:Q678,N675:N678)</f>
        <v>-18766.886637014923</v>
      </c>
      <c r="S675" s="154" t="s">
        <v>139</v>
      </c>
      <c r="T675" s="202" t="s">
        <v>140</v>
      </c>
      <c r="U675" s="859"/>
      <c r="V675" s="24"/>
      <c r="W675" s="26"/>
      <c r="X675" s="26"/>
      <c r="Y675" s="26"/>
      <c r="Z675" s="27"/>
      <c r="AA675" s="27"/>
      <c r="AC675" s="26"/>
      <c r="AD675" s="24"/>
      <c r="AE675" s="26"/>
      <c r="AF675" s="75"/>
      <c r="AG675" s="26"/>
      <c r="AH675" s="957"/>
      <c r="AI675" s="957"/>
      <c r="AJ675" s="957"/>
      <c r="AK675" s="957"/>
      <c r="AL675" s="957"/>
      <c r="AM675" s="957"/>
      <c r="AN675" s="957"/>
      <c r="AO675" s="957"/>
      <c r="AP675" s="957"/>
      <c r="AQ675" s="957"/>
      <c r="AR675" s="957"/>
      <c r="AS675" s="957"/>
      <c r="AT675" s="957"/>
      <c r="AU675" s="957"/>
      <c r="AV675" s="957"/>
      <c r="AW675" s="957"/>
      <c r="AX675" s="957"/>
      <c r="AY675" s="957"/>
      <c r="AZ675" s="957"/>
      <c r="BA675" s="957"/>
      <c r="BB675" s="957"/>
      <c r="BC675" s="957"/>
      <c r="BD675" s="957"/>
      <c r="BE675" s="957"/>
      <c r="BF675" s="957"/>
      <c r="BG675" s="957"/>
    </row>
    <row r="676" spans="1:123">
      <c r="A676" s="2172"/>
      <c r="B676" s="2161"/>
      <c r="C676" s="2223"/>
      <c r="D676" s="86" t="s">
        <v>626</v>
      </c>
      <c r="E676" s="86">
        <v>168</v>
      </c>
      <c r="F676" s="148" t="s">
        <v>15</v>
      </c>
      <c r="G676" s="148" t="s">
        <v>15</v>
      </c>
      <c r="H676" s="362">
        <v>97500</v>
      </c>
      <c r="I676" s="363">
        <v>54083.27</v>
      </c>
      <c r="J676" s="234" t="s">
        <v>15</v>
      </c>
      <c r="K676" s="233" t="s">
        <v>15</v>
      </c>
      <c r="L676" s="234" t="s">
        <v>15</v>
      </c>
      <c r="M676" s="233" t="s">
        <v>15</v>
      </c>
      <c r="N676" s="1194">
        <v>-22683.395670000002</v>
      </c>
      <c r="O676" s="142">
        <v>-12.16</v>
      </c>
      <c r="P676" s="142">
        <v>1865.5930800000001</v>
      </c>
      <c r="Q676" s="128">
        <f>E676/$E$672</f>
        <v>0.83582089552238803</v>
      </c>
      <c r="R676" s="2129"/>
      <c r="S676" s="135" t="s">
        <v>74</v>
      </c>
      <c r="T676" s="203" t="s">
        <v>75</v>
      </c>
      <c r="U676" s="858"/>
      <c r="V676" s="24"/>
      <c r="W676" s="26"/>
      <c r="X676" s="26"/>
      <c r="Y676" s="26"/>
      <c r="Z676" s="26"/>
      <c r="AA676" s="26"/>
      <c r="AC676" s="26"/>
      <c r="AD676" s="24"/>
      <c r="AE676" s="26"/>
      <c r="AF676" s="75"/>
      <c r="AG676" s="26"/>
      <c r="AH676" s="957"/>
      <c r="AI676" s="957"/>
      <c r="AJ676" s="957"/>
      <c r="AK676" s="957"/>
      <c r="AL676" s="957"/>
      <c r="AM676" s="957"/>
      <c r="AN676" s="957"/>
      <c r="AO676" s="957"/>
      <c r="AP676" s="957"/>
      <c r="AQ676" s="957"/>
      <c r="AR676" s="957"/>
      <c r="AS676" s="957"/>
      <c r="AT676" s="957"/>
      <c r="AU676" s="957"/>
      <c r="AV676" s="957"/>
      <c r="AW676" s="957"/>
      <c r="AX676" s="957"/>
      <c r="AY676" s="957"/>
      <c r="AZ676" s="957"/>
      <c r="BA676" s="957"/>
      <c r="BB676" s="957"/>
      <c r="BC676" s="957"/>
      <c r="BD676" s="957"/>
      <c r="BE676" s="957"/>
      <c r="BF676" s="957"/>
      <c r="BG676" s="957"/>
    </row>
    <row r="677" spans="1:123">
      <c r="A677" s="2172"/>
      <c r="B677" s="2161"/>
      <c r="C677" s="2223"/>
      <c r="D677" s="86" t="s">
        <v>627</v>
      </c>
      <c r="E677" s="86">
        <v>3</v>
      </c>
      <c r="F677" s="148" t="s">
        <v>15</v>
      </c>
      <c r="G677" s="148" t="s">
        <v>15</v>
      </c>
      <c r="H677" s="362">
        <v>33587.589999999997</v>
      </c>
      <c r="I677" s="363">
        <v>15475.1</v>
      </c>
      <c r="J677" s="234" t="s">
        <v>15</v>
      </c>
      <c r="K677" s="233" t="s">
        <v>15</v>
      </c>
      <c r="L677" s="234" t="s">
        <v>15</v>
      </c>
      <c r="M677" s="233" t="s">
        <v>15</v>
      </c>
      <c r="N677" s="1194">
        <v>-16310.9162</v>
      </c>
      <c r="O677" s="142">
        <v>-4.1900000000000004</v>
      </c>
      <c r="P677" s="142">
        <v>3894.4697209999999</v>
      </c>
      <c r="Q677" s="128">
        <f>E677/$E$672</f>
        <v>1.4925373134328358E-2</v>
      </c>
      <c r="R677" s="2129"/>
      <c r="S677" s="381">
        <v>201</v>
      </c>
      <c r="T677" s="204" t="s">
        <v>15</v>
      </c>
      <c r="U677" s="854"/>
      <c r="V677" s="24"/>
      <c r="W677" s="26"/>
      <c r="X677" s="26"/>
      <c r="Y677" s="26"/>
      <c r="Z677" s="26"/>
      <c r="AA677" s="26"/>
      <c r="AC677" s="26"/>
      <c r="AD677" s="24"/>
      <c r="AE677" s="26"/>
      <c r="AF677" s="75"/>
      <c r="AG677" s="26"/>
      <c r="AH677" s="957"/>
      <c r="AI677" s="957"/>
      <c r="AJ677" s="957"/>
      <c r="AK677" s="957"/>
      <c r="AL677" s="957"/>
      <c r="AM677" s="957"/>
      <c r="AN677" s="957"/>
      <c r="AO677" s="957"/>
      <c r="AP677" s="957"/>
      <c r="AQ677" s="957"/>
      <c r="AR677" s="957"/>
      <c r="AS677" s="957"/>
      <c r="AT677" s="957"/>
      <c r="AU677" s="957"/>
      <c r="AV677" s="957"/>
      <c r="AW677" s="957"/>
      <c r="AX677" s="957"/>
      <c r="AY677" s="957"/>
      <c r="AZ677" s="957"/>
      <c r="BA677" s="957"/>
      <c r="BB677" s="957"/>
      <c r="BC677" s="957"/>
      <c r="BD677" s="957"/>
      <c r="BE677" s="957"/>
      <c r="BF677" s="957"/>
      <c r="BG677" s="957"/>
    </row>
    <row r="678" spans="1:123">
      <c r="A678" s="2172"/>
      <c r="B678" s="2161"/>
      <c r="C678" s="2223"/>
      <c r="D678" s="86" t="s">
        <v>628</v>
      </c>
      <c r="E678" s="86">
        <v>18</v>
      </c>
      <c r="F678" s="148" t="s">
        <v>15</v>
      </c>
      <c r="G678" s="148" t="s">
        <v>15</v>
      </c>
      <c r="H678" s="362">
        <v>50333.33</v>
      </c>
      <c r="I678" s="363">
        <v>23763.54</v>
      </c>
      <c r="J678" s="234" t="s">
        <v>15</v>
      </c>
      <c r="K678" s="233" t="s">
        <v>15</v>
      </c>
      <c r="L678" s="234" t="s">
        <v>15</v>
      </c>
      <c r="M678" s="233" t="s">
        <v>15</v>
      </c>
      <c r="N678" s="1194">
        <v>0</v>
      </c>
      <c r="O678" s="142" t="s">
        <v>574</v>
      </c>
      <c r="P678" s="142" t="s">
        <v>574</v>
      </c>
      <c r="Q678" s="128">
        <f>E678/$E$672</f>
        <v>8.9552238805970144E-2</v>
      </c>
      <c r="R678" s="2129"/>
      <c r="S678" s="135" t="s">
        <v>41</v>
      </c>
      <c r="T678" s="203" t="s">
        <v>42</v>
      </c>
      <c r="U678" s="858"/>
      <c r="V678" s="24"/>
      <c r="W678" s="26"/>
      <c r="X678" s="26"/>
      <c r="Y678" s="26"/>
      <c r="Z678" s="26"/>
      <c r="AA678" s="26"/>
      <c r="AC678" s="26"/>
      <c r="AD678" s="24"/>
      <c r="AE678" s="26"/>
      <c r="AF678" s="75"/>
      <c r="AG678" s="26"/>
      <c r="AH678" s="957"/>
      <c r="AI678" s="957"/>
      <c r="AJ678" s="957"/>
      <c r="AK678" s="957"/>
      <c r="AL678" s="957"/>
      <c r="AM678" s="957"/>
      <c r="AN678" s="957"/>
      <c r="AO678" s="957"/>
      <c r="AP678" s="957"/>
      <c r="AQ678" s="957"/>
      <c r="AR678" s="957"/>
      <c r="AS678" s="957"/>
      <c r="AT678" s="957"/>
      <c r="AU678" s="957"/>
      <c r="AV678" s="957"/>
      <c r="AW678" s="957"/>
      <c r="AX678" s="957"/>
      <c r="AY678" s="957"/>
      <c r="AZ678" s="957"/>
      <c r="BA678" s="957"/>
      <c r="BB678" s="957"/>
      <c r="BC678" s="957"/>
      <c r="BD678" s="957"/>
      <c r="BE678" s="957"/>
      <c r="BF678" s="957"/>
      <c r="BG678" s="957"/>
    </row>
    <row r="679" spans="1:123">
      <c r="A679" s="2172"/>
      <c r="B679" s="2116" t="s">
        <v>194</v>
      </c>
      <c r="C679" s="41"/>
      <c r="D679" s="26"/>
      <c r="E679" s="26"/>
      <c r="F679" s="26"/>
      <c r="G679" s="26"/>
      <c r="H679" s="26"/>
      <c r="I679" s="26"/>
      <c r="J679" s="75"/>
      <c r="K679" s="26"/>
      <c r="L679" s="75"/>
      <c r="M679" s="26"/>
      <c r="N679" s="1205"/>
      <c r="O679" s="467"/>
      <c r="P679" s="467"/>
      <c r="Q679" s="252"/>
      <c r="R679" s="252"/>
      <c r="S679" s="357">
        <v>0.94425199999999998</v>
      </c>
      <c r="T679" s="157">
        <v>20995.191330000001</v>
      </c>
      <c r="U679" s="861"/>
      <c r="V679" s="24"/>
      <c r="W679" s="26"/>
      <c r="X679" s="26"/>
      <c r="Y679" s="26"/>
      <c r="Z679" s="26"/>
      <c r="AA679" s="26"/>
      <c r="AC679" s="26"/>
      <c r="AD679" s="24"/>
      <c r="AE679" s="26"/>
      <c r="AF679" s="75"/>
      <c r="AG679" s="26"/>
      <c r="AH679" s="957"/>
      <c r="AI679" s="957"/>
      <c r="AJ679" s="957"/>
      <c r="AK679" s="957"/>
      <c r="AL679" s="957"/>
      <c r="AM679" s="957"/>
      <c r="AN679" s="957"/>
      <c r="AO679" s="957"/>
      <c r="AP679" s="957"/>
      <c r="AQ679" s="957"/>
      <c r="AR679" s="957"/>
      <c r="AS679" s="957"/>
      <c r="AT679" s="957"/>
      <c r="AU679" s="957"/>
      <c r="AV679" s="957"/>
      <c r="AW679" s="957"/>
      <c r="AX679" s="957"/>
      <c r="AY679" s="957"/>
      <c r="AZ679" s="957"/>
      <c r="BA679" s="957"/>
      <c r="BB679" s="957"/>
      <c r="BC679" s="957"/>
      <c r="BD679" s="957"/>
      <c r="BE679" s="957"/>
      <c r="BF679" s="957"/>
      <c r="BG679" s="957"/>
    </row>
    <row r="680" spans="1:123">
      <c r="A680" s="2172"/>
      <c r="B680" s="2117"/>
      <c r="C680" s="41"/>
      <c r="D680" s="26"/>
      <c r="E680" s="26"/>
      <c r="F680" s="26"/>
      <c r="G680" s="26"/>
      <c r="H680" s="26"/>
      <c r="I680" s="26"/>
      <c r="J680" s="75"/>
      <c r="K680" s="26"/>
      <c r="L680" s="75"/>
      <c r="M680" s="26"/>
      <c r="N680" s="1205"/>
      <c r="O680" s="467"/>
      <c r="P680" s="467"/>
      <c r="Q680" s="252"/>
      <c r="R680" s="252"/>
      <c r="S680" s="118" t="s">
        <v>235</v>
      </c>
      <c r="T680" s="201" t="s">
        <v>391</v>
      </c>
      <c r="U680" s="855"/>
      <c r="V680" s="24"/>
      <c r="W680" s="26"/>
      <c r="X680" s="26"/>
      <c r="Y680" s="26"/>
      <c r="Z680" s="26"/>
      <c r="AA680" s="26"/>
      <c r="AC680" s="26"/>
      <c r="AD680" s="24"/>
      <c r="AE680" s="26"/>
      <c r="AF680" s="75"/>
      <c r="AG680" s="26"/>
      <c r="AH680" s="957"/>
      <c r="AI680" s="957"/>
      <c r="AJ680" s="957"/>
      <c r="AK680" s="957"/>
      <c r="AL680" s="957"/>
      <c r="AM680" s="957"/>
      <c r="AN680" s="957"/>
      <c r="AO680" s="957"/>
      <c r="AP680" s="957"/>
      <c r="AQ680" s="957"/>
      <c r="AR680" s="957"/>
      <c r="AS680" s="957"/>
      <c r="AT680" s="957"/>
      <c r="AU680" s="957"/>
      <c r="AV680" s="957"/>
      <c r="AW680" s="957"/>
      <c r="AX680" s="957"/>
      <c r="AY680" s="957"/>
      <c r="AZ680" s="957"/>
      <c r="BA680" s="957"/>
      <c r="BB680" s="957"/>
      <c r="BC680" s="957"/>
      <c r="BD680" s="957"/>
      <c r="BE680" s="957"/>
      <c r="BF680" s="957"/>
      <c r="BG680" s="957"/>
    </row>
    <row r="681" spans="1:123" ht="15.75" thickBot="1">
      <c r="A681" s="2172"/>
      <c r="B681" s="2118"/>
      <c r="C681" s="41"/>
      <c r="D681" s="26"/>
      <c r="E681" s="26"/>
      <c r="F681" s="26"/>
      <c r="G681" s="26"/>
      <c r="H681" s="26"/>
      <c r="I681" s="26"/>
      <c r="J681" s="186"/>
      <c r="K681" s="184"/>
      <c r="L681" s="186"/>
      <c r="M681" s="184"/>
      <c r="N681" s="1205"/>
      <c r="O681" s="467"/>
      <c r="P681" s="467"/>
      <c r="Q681" s="252"/>
      <c r="R681" s="252"/>
      <c r="S681" s="142">
        <v>4129.2629999999999</v>
      </c>
      <c r="T681" s="207">
        <v>0.3</v>
      </c>
      <c r="U681" s="862"/>
      <c r="V681" s="24"/>
      <c r="W681" s="26"/>
      <c r="X681" s="26"/>
      <c r="Y681" s="26"/>
      <c r="Z681" s="184"/>
      <c r="AA681" s="764"/>
      <c r="AC681" s="26"/>
      <c r="AD681" s="240"/>
      <c r="AE681" s="764"/>
      <c r="AF681" s="75"/>
      <c r="AG681" s="26"/>
      <c r="AH681" s="957"/>
      <c r="AI681" s="957"/>
      <c r="AJ681" s="957"/>
      <c r="AK681" s="957"/>
      <c r="AL681" s="957"/>
      <c r="AM681" s="957"/>
      <c r="AN681" s="957"/>
      <c r="AO681" s="957"/>
      <c r="AP681" s="957"/>
      <c r="AQ681" s="957"/>
      <c r="AR681" s="957"/>
      <c r="AS681" s="957"/>
      <c r="AT681" s="957"/>
      <c r="AU681" s="957"/>
      <c r="AV681" s="957"/>
      <c r="AW681" s="957"/>
      <c r="AX681" s="957"/>
      <c r="AY681" s="957"/>
      <c r="AZ681" s="957"/>
      <c r="BA681" s="957"/>
      <c r="BB681" s="957"/>
      <c r="BC681" s="957"/>
      <c r="BD681" s="957"/>
      <c r="BE681" s="957"/>
      <c r="BF681" s="957"/>
      <c r="BG681" s="957"/>
    </row>
    <row r="682" spans="1:123" s="705" customFormat="1" ht="8.25" customHeight="1" thickBot="1">
      <c r="A682" s="695"/>
      <c r="B682" s="815"/>
      <c r="C682" s="684"/>
      <c r="D682" s="683"/>
      <c r="E682" s="683"/>
      <c r="F682" s="683"/>
      <c r="G682" s="683"/>
      <c r="H682" s="683"/>
      <c r="I682" s="683"/>
      <c r="J682" s="682"/>
      <c r="K682" s="683"/>
      <c r="L682" s="682"/>
      <c r="M682" s="685"/>
      <c r="N682" s="1189"/>
      <c r="O682" s="686"/>
      <c r="P682" s="686"/>
      <c r="Q682" s="687"/>
      <c r="R682" s="687"/>
      <c r="S682" s="688"/>
      <c r="T682" s="688"/>
      <c r="U682" s="854"/>
      <c r="V682" s="893"/>
      <c r="W682" s="685"/>
      <c r="X682" s="685"/>
      <c r="Y682" s="688"/>
      <c r="Z682" s="688"/>
      <c r="AA682" s="688"/>
      <c r="AB682" s="846"/>
      <c r="AC682" s="685"/>
      <c r="AD682" s="685"/>
      <c r="AE682" s="685"/>
      <c r="AF682" s="689"/>
      <c r="AG682" s="685"/>
      <c r="AH682" s="959"/>
      <c r="AI682" s="958"/>
      <c r="AJ682" s="958"/>
      <c r="AK682" s="958"/>
      <c r="AL682" s="958"/>
      <c r="AM682" s="959"/>
      <c r="AN682" s="959"/>
      <c r="AO682" s="959"/>
      <c r="AP682" s="959"/>
      <c r="AQ682" s="959"/>
      <c r="AR682" s="959"/>
      <c r="AS682" s="959"/>
      <c r="AT682" s="959"/>
      <c r="AU682" s="959"/>
      <c r="AV682" s="959"/>
      <c r="AW682" s="959"/>
      <c r="AX682" s="959"/>
      <c r="AY682" s="959"/>
      <c r="AZ682" s="959"/>
      <c r="BA682" s="959"/>
      <c r="BB682" s="959"/>
      <c r="BC682" s="959"/>
      <c r="BD682" s="959"/>
      <c r="BE682" s="959"/>
      <c r="BF682" s="959"/>
      <c r="BG682" s="959"/>
      <c r="BH682" s="1125"/>
      <c r="CF682" s="692"/>
      <c r="CG682" s="692"/>
      <c r="CH682" s="692"/>
      <c r="CI682" s="692"/>
      <c r="CJ682" s="692"/>
      <c r="CK682" s="692"/>
      <c r="CL682" s="692"/>
      <c r="CM682" s="692"/>
      <c r="CN682" s="692"/>
      <c r="CO682" s="692"/>
      <c r="CP682" s="692"/>
      <c r="CQ682" s="692"/>
      <c r="CR682" s="692"/>
      <c r="CS682" s="692"/>
      <c r="CT682" s="692"/>
      <c r="CU682" s="692"/>
      <c r="CV682" s="692"/>
      <c r="CW682" s="692"/>
      <c r="CX682" s="692"/>
      <c r="CY682" s="692"/>
      <c r="CZ682" s="692"/>
      <c r="DA682" s="692"/>
      <c r="DB682" s="692"/>
      <c r="DC682" s="692"/>
      <c r="DD682" s="692"/>
      <c r="DE682" s="692"/>
      <c r="DF682" s="692"/>
      <c r="DG682" s="692"/>
      <c r="DH682" s="692"/>
      <c r="DI682" s="693"/>
      <c r="DJ682" s="692"/>
      <c r="DK682" s="692"/>
      <c r="DL682" s="692"/>
      <c r="DM682" s="692"/>
      <c r="DN682" s="692"/>
      <c r="DO682" s="692"/>
      <c r="DP682" s="692"/>
      <c r="DQ682" s="692"/>
      <c r="DR682" s="692"/>
      <c r="DS682" s="692"/>
    </row>
    <row r="683" spans="1:123" ht="15" customHeight="1">
      <c r="A683" s="2200" t="s">
        <v>1136</v>
      </c>
      <c r="B683" s="819" t="s">
        <v>393</v>
      </c>
      <c r="C683" s="810" t="s">
        <v>12</v>
      </c>
      <c r="D683" s="95" t="s">
        <v>397</v>
      </c>
      <c r="E683" s="213">
        <v>41</v>
      </c>
      <c r="F683" s="94">
        <v>13.62439</v>
      </c>
      <c r="G683" s="94">
        <v>1.2101200000000001</v>
      </c>
      <c r="H683" s="58">
        <v>2464.8000000000002</v>
      </c>
      <c r="I683" s="99">
        <v>756.06</v>
      </c>
      <c r="J683" s="147" t="s">
        <v>12</v>
      </c>
      <c r="K683" s="1140" t="s">
        <v>522</v>
      </c>
      <c r="L683" s="1166" t="s">
        <v>15</v>
      </c>
      <c r="M683" s="70" t="s">
        <v>15</v>
      </c>
      <c r="N683" s="1194">
        <v>289.41374999999999</v>
      </c>
      <c r="O683" s="369">
        <v>6.08</v>
      </c>
      <c r="P683" s="369">
        <v>47.636894400000003</v>
      </c>
      <c r="Q683" s="195" t="s">
        <v>15</v>
      </c>
      <c r="R683" s="128">
        <f>N683</f>
        <v>289.41374999999999</v>
      </c>
      <c r="S683" s="127" t="s">
        <v>68</v>
      </c>
      <c r="T683" s="129" t="s">
        <v>69</v>
      </c>
      <c r="U683" s="858"/>
      <c r="V683" s="2281" t="s">
        <v>2749</v>
      </c>
      <c r="W683" s="232" t="s">
        <v>47</v>
      </c>
      <c r="X683" s="232" t="s">
        <v>416</v>
      </c>
      <c r="Y683" s="200">
        <f>(($R$683*13)+($R$684*24000)+$R$685+$R$687+$R$689+$T$690)*(1+$T$692)</f>
        <v>2650.324579813539</v>
      </c>
      <c r="Z683" s="2291">
        <f>Y684-Y683</f>
        <v>361.76718749999964</v>
      </c>
      <c r="AA683" s="2384">
        <f>(14-13)*$P$683</f>
        <v>47.636894400000003</v>
      </c>
      <c r="AB683" s="922"/>
      <c r="AC683" s="26"/>
      <c r="AD683" s="501"/>
      <c r="AE683" s="581"/>
      <c r="AF683" s="218" t="s">
        <v>47</v>
      </c>
      <c r="AG683" s="232" t="s">
        <v>416</v>
      </c>
      <c r="AH683" s="937">
        <f>Y683</f>
        <v>2650.324579813539</v>
      </c>
      <c r="AI683" s="158">
        <v>1744</v>
      </c>
      <c r="AJ683" s="158">
        <f>AVERAGE(950.1,980.7)*2</f>
        <v>1930.8000000000002</v>
      </c>
      <c r="AK683" s="158">
        <v>1464</v>
      </c>
      <c r="AL683" s="158">
        <f>790.4*2</f>
        <v>1580.8</v>
      </c>
      <c r="AM683" s="957"/>
      <c r="AN683" s="957"/>
      <c r="AO683" s="957"/>
      <c r="AP683" s="957"/>
      <c r="AQ683" s="957"/>
      <c r="AR683" s="957"/>
      <c r="AS683" s="957"/>
      <c r="AT683" s="957"/>
      <c r="AU683" s="957"/>
      <c r="AV683" s="957"/>
      <c r="AW683" s="957"/>
      <c r="AX683" s="957"/>
      <c r="AY683" s="957"/>
      <c r="AZ683" s="957"/>
      <c r="BA683" s="957"/>
      <c r="BB683" s="957"/>
      <c r="BC683" s="957"/>
      <c r="BD683" s="957"/>
      <c r="BE683" s="957"/>
      <c r="BF683" s="957"/>
      <c r="BG683" s="957"/>
    </row>
    <row r="684" spans="1:123">
      <c r="A684" s="2172"/>
      <c r="B684" s="817" t="s">
        <v>398</v>
      </c>
      <c r="C684" s="356" t="s">
        <v>12</v>
      </c>
      <c r="D684" s="95" t="s">
        <v>399</v>
      </c>
      <c r="E684" s="213">
        <v>41</v>
      </c>
      <c r="F684" s="1059">
        <v>48378.05</v>
      </c>
      <c r="G684" s="1059">
        <v>10868.98</v>
      </c>
      <c r="H684" s="58">
        <v>2464.8000000000002</v>
      </c>
      <c r="I684" s="99">
        <v>756.06</v>
      </c>
      <c r="J684" s="448" t="s">
        <v>14</v>
      </c>
      <c r="K684" s="1141" t="s">
        <v>520</v>
      </c>
      <c r="L684" s="101" t="s">
        <v>15</v>
      </c>
      <c r="M684" s="70" t="s">
        <v>15</v>
      </c>
      <c r="N684" s="1194">
        <v>2.5870000000000001E-2</v>
      </c>
      <c r="O684" s="369">
        <v>6.43</v>
      </c>
      <c r="P684" s="369">
        <v>4.0217999999999999E-3</v>
      </c>
      <c r="Q684" s="195" t="s">
        <v>15</v>
      </c>
      <c r="R684" s="128">
        <f>N684</f>
        <v>2.5870000000000001E-2</v>
      </c>
      <c r="S684" s="555" t="s">
        <v>133</v>
      </c>
      <c r="T684" s="556" t="s">
        <v>310</v>
      </c>
      <c r="U684" s="859"/>
      <c r="V684" s="2282"/>
      <c r="W684" s="982" t="s">
        <v>49</v>
      </c>
      <c r="X684" s="291" t="s">
        <v>417</v>
      </c>
      <c r="Y684" s="200">
        <f>(($R$683*14)+($R$684*24000)+$R$685+$R$687+$R$689+$T$690)*(1+$T$692)</f>
        <v>3012.0917673135386</v>
      </c>
      <c r="Z684" s="2292"/>
      <c r="AA684" s="2297"/>
      <c r="AB684" s="922"/>
      <c r="AC684" s="26"/>
      <c r="AD684" s="24"/>
      <c r="AE684" s="26"/>
      <c r="AF684" s="289" t="s">
        <v>49</v>
      </c>
      <c r="AG684" s="291" t="s">
        <v>417</v>
      </c>
      <c r="AH684" s="937">
        <f>Y684</f>
        <v>3012.0917673135386</v>
      </c>
      <c r="AI684" s="158">
        <v>2271</v>
      </c>
      <c r="AJ684" s="158">
        <f>1063.2*2</f>
        <v>2126.4</v>
      </c>
      <c r="AK684" s="158"/>
      <c r="AL684" s="158">
        <f>817.86*2</f>
        <v>1635.72</v>
      </c>
      <c r="AM684" s="957"/>
      <c r="AN684" s="957"/>
      <c r="AO684" s="957"/>
      <c r="AP684" s="957"/>
      <c r="AQ684" s="957"/>
      <c r="AR684" s="957"/>
      <c r="AS684" s="957"/>
      <c r="AT684" s="957"/>
      <c r="AU684" s="957"/>
      <c r="AV684" s="957"/>
      <c r="AW684" s="957"/>
      <c r="AX684" s="957"/>
      <c r="AY684" s="957"/>
      <c r="AZ684" s="957"/>
      <c r="BA684" s="957"/>
      <c r="BB684" s="957"/>
      <c r="BC684" s="957"/>
      <c r="BD684" s="957"/>
      <c r="BE684" s="957"/>
      <c r="BF684" s="957"/>
      <c r="BG684" s="957"/>
    </row>
    <row r="685" spans="1:123">
      <c r="A685" s="2172"/>
      <c r="B685" s="2161" t="s">
        <v>395</v>
      </c>
      <c r="C685" s="2144" t="s">
        <v>11</v>
      </c>
      <c r="D685" s="452">
        <v>1</v>
      </c>
      <c r="E685" s="213">
        <v>24</v>
      </c>
      <c r="F685" s="148" t="s">
        <v>15</v>
      </c>
      <c r="G685" s="148" t="s">
        <v>15</v>
      </c>
      <c r="H685" s="58">
        <v>2648.92</v>
      </c>
      <c r="I685" s="99">
        <v>762.03</v>
      </c>
      <c r="J685" s="101" t="s">
        <v>15</v>
      </c>
      <c r="K685" s="70" t="s">
        <v>15</v>
      </c>
      <c r="L685" s="101" t="s">
        <v>15</v>
      </c>
      <c r="M685" s="70" t="s">
        <v>15</v>
      </c>
      <c r="N685" s="1194">
        <v>0</v>
      </c>
      <c r="O685" s="369" t="s">
        <v>204</v>
      </c>
      <c r="P685" s="369" t="s">
        <v>204</v>
      </c>
      <c r="Q685" s="128">
        <f>E685/SUM($E$685:$E$686)</f>
        <v>0.58536585365853655</v>
      </c>
      <c r="R685" s="2129">
        <f>SUMPRODUCT(Q685:Q686,N685:N686)</f>
        <v>16.284374219512195</v>
      </c>
      <c r="S685" s="127" t="s">
        <v>72</v>
      </c>
      <c r="T685" s="119" t="s">
        <v>119</v>
      </c>
      <c r="U685" s="855"/>
      <c r="V685" s="2282"/>
      <c r="W685" s="982" t="s">
        <v>47</v>
      </c>
      <c r="X685" s="291" t="s">
        <v>405</v>
      </c>
      <c r="Y685" s="200">
        <f>(($R$683*13)+($R$684*60000)+$R$685+$R$687+$R$689+$T$690)*(1+$T$692)</f>
        <v>3814.4745798135386</v>
      </c>
      <c r="Z685" s="2292">
        <f>Y686-Y685</f>
        <v>361.767187500001</v>
      </c>
      <c r="AA685" s="2273">
        <f>(14-13)*$P$683</f>
        <v>47.636894400000003</v>
      </c>
      <c r="AB685" s="922"/>
      <c r="AC685" s="26"/>
      <c r="AD685" s="24"/>
      <c r="AE685" s="26"/>
      <c r="AF685" s="289" t="s">
        <v>47</v>
      </c>
      <c r="AG685" s="291" t="s">
        <v>405</v>
      </c>
      <c r="AH685" s="937">
        <f>Y685</f>
        <v>3814.4745798135386</v>
      </c>
      <c r="AI685" s="158">
        <v>3321</v>
      </c>
      <c r="AJ685" s="158">
        <f>AVERAGE(950.1,980.7)*5</f>
        <v>4827</v>
      </c>
      <c r="AK685" s="158">
        <v>2484</v>
      </c>
      <c r="AL685" s="158">
        <f>790.4*5</f>
        <v>3952</v>
      </c>
      <c r="AM685" s="957"/>
      <c r="AN685" s="957"/>
      <c r="AO685" s="957"/>
      <c r="AP685" s="957"/>
      <c r="AQ685" s="957"/>
      <c r="AR685" s="957"/>
      <c r="AS685" s="957"/>
      <c r="AT685" s="957"/>
      <c r="AU685" s="957"/>
      <c r="AV685" s="957"/>
      <c r="AW685" s="957"/>
      <c r="AX685" s="957"/>
      <c r="AY685" s="957"/>
      <c r="AZ685" s="957"/>
      <c r="BA685" s="957"/>
      <c r="BB685" s="957"/>
      <c r="BC685" s="957"/>
      <c r="BD685" s="957"/>
      <c r="BE685" s="957"/>
      <c r="BF685" s="957"/>
      <c r="BG685" s="957"/>
    </row>
    <row r="686" spans="1:123">
      <c r="A686" s="2172"/>
      <c r="B686" s="2161"/>
      <c r="C686" s="2144"/>
      <c r="D686" s="452">
        <v>3</v>
      </c>
      <c r="E686" s="213">
        <v>17</v>
      </c>
      <c r="F686" s="148" t="s">
        <v>15</v>
      </c>
      <c r="G686" s="148" t="s">
        <v>15</v>
      </c>
      <c r="H686" s="58">
        <v>2204.88</v>
      </c>
      <c r="I686" s="99">
        <v>686.8</v>
      </c>
      <c r="J686" s="101" t="s">
        <v>15</v>
      </c>
      <c r="K686" s="70" t="s">
        <v>15</v>
      </c>
      <c r="L686" s="101" t="s">
        <v>15</v>
      </c>
      <c r="M686" s="70" t="s">
        <v>15</v>
      </c>
      <c r="N686" s="1194">
        <v>39.274079</v>
      </c>
      <c r="O686" s="369">
        <v>0.31</v>
      </c>
      <c r="P686" s="369">
        <v>125.0227167</v>
      </c>
      <c r="Q686" s="128">
        <f>E686/SUM($E$685:$E$686)</f>
        <v>0.41463414634146339</v>
      </c>
      <c r="R686" s="2129"/>
      <c r="S686" s="423" t="s">
        <v>1432</v>
      </c>
      <c r="T686" s="411" t="s">
        <v>140</v>
      </c>
      <c r="U686" s="859"/>
      <c r="V686" s="2283"/>
      <c r="W686" s="982" t="s">
        <v>49</v>
      </c>
      <c r="X686" s="291" t="s">
        <v>415</v>
      </c>
      <c r="Y686" s="200">
        <f>(($R$683*14)+($R$684*60000)+$R$685+$R$687+$R$689+$T$690)*(1+$T$692)</f>
        <v>4176.2417673135396</v>
      </c>
      <c r="Z686" s="2292"/>
      <c r="AA686" s="2297"/>
      <c r="AB686" s="922"/>
      <c r="AC686" s="26"/>
      <c r="AD686" s="24"/>
      <c r="AE686" s="26"/>
      <c r="AF686" s="289" t="s">
        <v>49</v>
      </c>
      <c r="AG686" s="291" t="s">
        <v>415</v>
      </c>
      <c r="AH686" s="937">
        <f>Y686</f>
        <v>4176.2417673135396</v>
      </c>
      <c r="AI686" s="158">
        <v>4638</v>
      </c>
      <c r="AJ686" s="158">
        <f>1063.2*5</f>
        <v>5316</v>
      </c>
      <c r="AK686" s="158"/>
      <c r="AL686" s="158">
        <f>817.86*5</f>
        <v>4089.3</v>
      </c>
      <c r="AM686" s="957"/>
      <c r="AN686" s="957"/>
      <c r="AO686" s="957"/>
      <c r="AP686" s="957"/>
      <c r="AQ686" s="957"/>
      <c r="AR686" s="957"/>
      <c r="AS686" s="957"/>
      <c r="AT686" s="957"/>
      <c r="AU686" s="957"/>
      <c r="AV686" s="957"/>
      <c r="AW686" s="957"/>
      <c r="AX686" s="957"/>
      <c r="AY686" s="957"/>
      <c r="AZ686" s="957"/>
      <c r="BA686" s="957"/>
      <c r="BB686" s="957"/>
      <c r="BC686" s="957"/>
      <c r="BD686" s="957"/>
      <c r="BE686" s="957"/>
      <c r="BF686" s="957"/>
      <c r="BG686" s="957"/>
    </row>
    <row r="687" spans="1:123">
      <c r="A687" s="2172"/>
      <c r="B687" s="2161" t="s">
        <v>396</v>
      </c>
      <c r="C687" s="2144" t="s">
        <v>11</v>
      </c>
      <c r="D687" s="452">
        <v>208</v>
      </c>
      <c r="E687" s="213">
        <v>33</v>
      </c>
      <c r="F687" s="148" t="s">
        <v>15</v>
      </c>
      <c r="G687" s="148" t="s">
        <v>15</v>
      </c>
      <c r="H687" s="58">
        <v>2478.94</v>
      </c>
      <c r="I687" s="99">
        <v>716.25</v>
      </c>
      <c r="J687" s="101" t="s">
        <v>15</v>
      </c>
      <c r="K687" s="70" t="s">
        <v>15</v>
      </c>
      <c r="L687" s="101" t="s">
        <v>15</v>
      </c>
      <c r="M687" s="70" t="s">
        <v>15</v>
      </c>
      <c r="N687" s="1194">
        <v>0</v>
      </c>
      <c r="O687" s="369" t="s">
        <v>204</v>
      </c>
      <c r="P687" s="369" t="s">
        <v>204</v>
      </c>
      <c r="Q687" s="128">
        <f>E687/SUM($E$687:$E$688)</f>
        <v>0.80487804878048785</v>
      </c>
      <c r="R687" s="2129">
        <f>SUMPRODUCT(Q687:Q688,N687:N688)</f>
        <v>28.23881092682927</v>
      </c>
      <c r="S687" s="127" t="s">
        <v>74</v>
      </c>
      <c r="T687" s="129" t="s">
        <v>75</v>
      </c>
      <c r="U687" s="858"/>
      <c r="V687" s="22"/>
      <c r="W687" s="39"/>
      <c r="X687" s="27"/>
      <c r="Y687" s="39"/>
      <c r="Z687" s="39"/>
      <c r="AA687" s="836"/>
      <c r="AC687" s="26"/>
      <c r="AD687" s="24"/>
      <c r="AE687" s="26"/>
      <c r="AF687" s="75"/>
      <c r="AG687" s="26"/>
      <c r="AH687" s="957"/>
      <c r="AI687" s="957"/>
      <c r="AJ687" s="957"/>
      <c r="AK687" s="957"/>
      <c r="AL687" s="957"/>
      <c r="AM687" s="957"/>
      <c r="AN687" s="957"/>
      <c r="AO687" s="957"/>
      <c r="AP687" s="957"/>
      <c r="AQ687" s="957"/>
      <c r="AR687" s="957"/>
      <c r="AS687" s="957"/>
      <c r="AT687" s="957"/>
      <c r="AU687" s="957"/>
      <c r="AV687" s="957"/>
      <c r="AW687" s="957"/>
      <c r="AX687" s="957"/>
      <c r="AY687" s="957"/>
      <c r="AZ687" s="957"/>
      <c r="BA687" s="957"/>
      <c r="BB687" s="957"/>
      <c r="BC687" s="957"/>
      <c r="BD687" s="957"/>
      <c r="BE687" s="957"/>
      <c r="BF687" s="957"/>
      <c r="BG687" s="957"/>
    </row>
    <row r="688" spans="1:123">
      <c r="A688" s="2172"/>
      <c r="B688" s="2161"/>
      <c r="C688" s="2144"/>
      <c r="D688" s="95">
        <v>460</v>
      </c>
      <c r="E688" s="213">
        <v>8</v>
      </c>
      <c r="F688" s="148" t="s">
        <v>15</v>
      </c>
      <c r="G688" s="148" t="s">
        <v>15</v>
      </c>
      <c r="H688" s="58">
        <v>2406.5</v>
      </c>
      <c r="I688" s="99">
        <v>957.27</v>
      </c>
      <c r="J688" s="101" t="s">
        <v>15</v>
      </c>
      <c r="K688" s="70" t="s">
        <v>15</v>
      </c>
      <c r="L688" s="101" t="s">
        <v>15</v>
      </c>
      <c r="M688" s="70" t="s">
        <v>15</v>
      </c>
      <c r="N688" s="1194">
        <v>144.723906</v>
      </c>
      <c r="O688" s="369">
        <v>1.0900000000000001</v>
      </c>
      <c r="P688" s="369">
        <v>132.9881747</v>
      </c>
      <c r="Q688" s="128">
        <f>E688/SUM($E$687:$E$688)</f>
        <v>0.1951219512195122</v>
      </c>
      <c r="R688" s="2129"/>
      <c r="S688" s="95">
        <v>41</v>
      </c>
      <c r="T688" s="117" t="s">
        <v>15</v>
      </c>
      <c r="U688" s="854"/>
      <c r="V688" s="24"/>
      <c r="W688" s="41"/>
      <c r="X688" s="26"/>
      <c r="Y688" s="41"/>
      <c r="Z688" s="41"/>
      <c r="AA688" s="1063"/>
      <c r="AC688" s="26"/>
      <c r="AD688" s="24"/>
      <c r="AE688" s="26"/>
      <c r="AF688" s="75"/>
      <c r="AG688" s="26"/>
      <c r="AH688" s="957"/>
      <c r="AI688" s="957"/>
      <c r="AJ688" s="957"/>
      <c r="AK688" s="957"/>
      <c r="AL688" s="957"/>
      <c r="AM688" s="957"/>
      <c r="AN688" s="957"/>
      <c r="AO688" s="957"/>
      <c r="AP688" s="957"/>
      <c r="AQ688" s="957"/>
      <c r="AR688" s="957"/>
      <c r="AS688" s="957"/>
      <c r="AT688" s="957"/>
      <c r="AU688" s="957"/>
      <c r="AV688" s="957"/>
      <c r="AW688" s="957"/>
      <c r="AX688" s="957"/>
      <c r="AY688" s="957"/>
      <c r="AZ688" s="957"/>
      <c r="BA688" s="957"/>
      <c r="BB688" s="957"/>
      <c r="BC688" s="957"/>
      <c r="BD688" s="957"/>
      <c r="BE688" s="957"/>
      <c r="BF688" s="957"/>
      <c r="BG688" s="957"/>
    </row>
    <row r="689" spans="1:123">
      <c r="A689" s="2172"/>
      <c r="B689" s="2161" t="s">
        <v>125</v>
      </c>
      <c r="C689" s="2144" t="s">
        <v>13</v>
      </c>
      <c r="D689" s="452" t="s">
        <v>190</v>
      </c>
      <c r="E689" s="213">
        <v>8</v>
      </c>
      <c r="F689" s="148" t="s">
        <v>15</v>
      </c>
      <c r="G689" s="148" t="s">
        <v>15</v>
      </c>
      <c r="H689" s="58">
        <v>3018.63</v>
      </c>
      <c r="I689" s="99">
        <v>666.82</v>
      </c>
      <c r="J689" s="101" t="s">
        <v>15</v>
      </c>
      <c r="K689" s="70" t="s">
        <v>15</v>
      </c>
      <c r="L689" s="101" t="s">
        <v>15</v>
      </c>
      <c r="M689" s="70" t="s">
        <v>15</v>
      </c>
      <c r="N689" s="1194">
        <v>-80.570345000000003</v>
      </c>
      <c r="O689" s="369">
        <v>-0.56999999999999995</v>
      </c>
      <c r="P689" s="369">
        <v>141.81093970000001</v>
      </c>
      <c r="Q689" s="128">
        <v>0</v>
      </c>
      <c r="R689" s="2129">
        <f>SUMPRODUCT(Q689:Q691,N689:N691)</f>
        <v>-12.127528295510489</v>
      </c>
      <c r="S689" s="127" t="s">
        <v>41</v>
      </c>
      <c r="T689" s="129" t="s">
        <v>42</v>
      </c>
      <c r="U689" s="858"/>
      <c r="V689" s="24"/>
      <c r="W689" s="41"/>
      <c r="X689" s="26"/>
      <c r="Y689" s="41"/>
      <c r="Z689" s="41"/>
      <c r="AA689" s="1063"/>
      <c r="AC689" s="26"/>
      <c r="AD689" s="24"/>
      <c r="AE689" s="26"/>
      <c r="AF689" s="75"/>
      <c r="AG689" s="26"/>
      <c r="AH689" s="957"/>
      <c r="AI689" s="957"/>
      <c r="AJ689" s="957"/>
      <c r="AK689" s="957"/>
      <c r="AL689" s="957"/>
      <c r="AM689" s="957"/>
      <c r="AN689" s="957"/>
      <c r="AO689" s="957"/>
      <c r="AP689" s="957"/>
      <c r="AQ689" s="957"/>
      <c r="AR689" s="957"/>
      <c r="AS689" s="957"/>
      <c r="AT689" s="957"/>
      <c r="AU689" s="957"/>
      <c r="AV689" s="957"/>
      <c r="AW689" s="957"/>
      <c r="AX689" s="957"/>
      <c r="AY689" s="957"/>
      <c r="AZ689" s="957"/>
      <c r="BA689" s="957"/>
      <c r="BB689" s="957"/>
      <c r="BC689" s="957"/>
      <c r="BD689" s="957"/>
      <c r="BE689" s="957"/>
      <c r="BF689" s="957"/>
      <c r="BG689" s="957"/>
    </row>
    <row r="690" spans="1:123">
      <c r="A690" s="2172"/>
      <c r="B690" s="2161"/>
      <c r="C690" s="2144"/>
      <c r="D690" s="452" t="s">
        <v>400</v>
      </c>
      <c r="E690" s="213">
        <v>24</v>
      </c>
      <c r="F690" s="148" t="s">
        <v>15</v>
      </c>
      <c r="G690" s="148" t="s">
        <v>15</v>
      </c>
      <c r="H690" s="58">
        <v>1971.67</v>
      </c>
      <c r="I690" s="99">
        <v>236.96</v>
      </c>
      <c r="J690" s="101" t="s">
        <v>15</v>
      </c>
      <c r="K690" s="70" t="s">
        <v>15</v>
      </c>
      <c r="L690" s="101" t="s">
        <v>15</v>
      </c>
      <c r="M690" s="70" t="s">
        <v>15</v>
      </c>
      <c r="N690" s="1194">
        <v>-791.32124699999997</v>
      </c>
      <c r="O690" s="369">
        <v>-5.0999999999999996</v>
      </c>
      <c r="P690" s="369">
        <v>155.02771749999999</v>
      </c>
      <c r="Q690" s="128">
        <v>1.532567E-2</v>
      </c>
      <c r="R690" s="2129"/>
      <c r="S690" s="86">
        <v>0.89430900000000002</v>
      </c>
      <c r="T690" s="302">
        <v>-2295.3947429999998</v>
      </c>
      <c r="U690" s="874"/>
      <c r="V690" s="24"/>
      <c r="W690" s="41"/>
      <c r="X690" s="26"/>
      <c r="Y690" s="41"/>
      <c r="Z690" s="41"/>
      <c r="AA690" s="41"/>
      <c r="AB690" s="846"/>
      <c r="AC690" s="26"/>
      <c r="AD690" s="24"/>
      <c r="AE690" s="26"/>
      <c r="AF690" s="75"/>
      <c r="AG690" s="26"/>
      <c r="AH690" s="957"/>
      <c r="AI690" s="957"/>
      <c r="AJ690" s="957"/>
      <c r="AK690" s="957"/>
      <c r="AL690" s="957"/>
      <c r="AM690" s="957"/>
      <c r="AN690" s="957"/>
      <c r="AO690" s="957"/>
      <c r="AP690" s="957"/>
      <c r="AQ690" s="957"/>
      <c r="AR690" s="957"/>
      <c r="AS690" s="957"/>
      <c r="AT690" s="957"/>
      <c r="AU690" s="957"/>
      <c r="AV690" s="957"/>
      <c r="AW690" s="957"/>
      <c r="AX690" s="957"/>
      <c r="AY690" s="957"/>
      <c r="AZ690" s="957"/>
      <c r="BA690" s="957"/>
      <c r="BB690" s="957"/>
      <c r="BC690" s="957"/>
      <c r="BD690" s="957"/>
      <c r="BE690" s="957"/>
      <c r="BF690" s="957"/>
      <c r="BG690" s="957"/>
    </row>
    <row r="691" spans="1:123">
      <c r="A691" s="2172"/>
      <c r="B691" s="2161"/>
      <c r="C691" s="2144"/>
      <c r="D691" s="452" t="s">
        <v>187</v>
      </c>
      <c r="E691" s="213">
        <v>9</v>
      </c>
      <c r="F691" s="148" t="s">
        <v>15</v>
      </c>
      <c r="G691" s="148" t="s">
        <v>15</v>
      </c>
      <c r="H691" s="58">
        <v>3287.56</v>
      </c>
      <c r="I691" s="99">
        <v>714.02</v>
      </c>
      <c r="J691" s="101" t="s">
        <v>15</v>
      </c>
      <c r="K691" s="70" t="s">
        <v>15</v>
      </c>
      <c r="L691" s="101" t="s">
        <v>15</v>
      </c>
      <c r="M691" s="70" t="s">
        <v>15</v>
      </c>
      <c r="N691" s="1194">
        <v>0</v>
      </c>
      <c r="O691" s="369" t="s">
        <v>204</v>
      </c>
      <c r="P691" s="369" t="s">
        <v>204</v>
      </c>
      <c r="Q691" s="128">
        <v>0.17624521100000001</v>
      </c>
      <c r="R691" s="2129"/>
      <c r="S691" s="118" t="s">
        <v>235</v>
      </c>
      <c r="T691" s="119" t="s">
        <v>391</v>
      </c>
      <c r="U691" s="855"/>
      <c r="V691" s="24"/>
      <c r="W691" s="41"/>
      <c r="X691" s="26"/>
      <c r="Y691" s="41"/>
      <c r="Z691" s="41"/>
      <c r="AA691" s="41"/>
      <c r="AB691" s="846"/>
      <c r="AC691" s="26"/>
      <c r="AD691" s="24"/>
      <c r="AE691" s="26"/>
      <c r="AF691" s="75"/>
      <c r="AG691" s="26"/>
      <c r="AH691" s="957"/>
      <c r="AI691" s="957"/>
      <c r="AJ691" s="957"/>
      <c r="AK691" s="957"/>
      <c r="AL691" s="957"/>
      <c r="AM691" s="957"/>
      <c r="AN691" s="957"/>
      <c r="AO691" s="957"/>
      <c r="AP691" s="957"/>
      <c r="AQ691" s="957"/>
      <c r="AR691" s="957"/>
      <c r="AS691" s="957"/>
      <c r="AT691" s="957"/>
      <c r="AU691" s="957"/>
      <c r="AV691" s="957"/>
      <c r="AW691" s="957"/>
      <c r="AX691" s="957"/>
      <c r="AY691" s="957"/>
      <c r="AZ691" s="957"/>
      <c r="BA691" s="957"/>
      <c r="BB691" s="957"/>
      <c r="BC691" s="957"/>
      <c r="BD691" s="957"/>
      <c r="BE691" s="957"/>
      <c r="BF691" s="957"/>
      <c r="BG691" s="957"/>
    </row>
    <row r="692" spans="1:123">
      <c r="A692" s="2172"/>
      <c r="B692" s="817" t="s">
        <v>401</v>
      </c>
      <c r="C692" s="356" t="s">
        <v>12</v>
      </c>
      <c r="D692" s="78" t="s">
        <v>15</v>
      </c>
      <c r="E692" s="78" t="s">
        <v>15</v>
      </c>
      <c r="F692" s="78" t="s">
        <v>15</v>
      </c>
      <c r="G692" s="78" t="s">
        <v>15</v>
      </c>
      <c r="H692" s="78" t="s">
        <v>15</v>
      </c>
      <c r="I692" s="70" t="s">
        <v>15</v>
      </c>
      <c r="J692" s="226" t="s">
        <v>12</v>
      </c>
      <c r="K692" s="1142" t="s">
        <v>403</v>
      </c>
      <c r="L692" s="101" t="s">
        <v>15</v>
      </c>
      <c r="M692" s="70" t="s">
        <v>15</v>
      </c>
      <c r="N692" s="1205"/>
      <c r="O692" s="467"/>
      <c r="P692" s="467"/>
      <c r="Q692" s="252"/>
      <c r="R692" s="252"/>
      <c r="S692" s="86">
        <v>184.548</v>
      </c>
      <c r="T692" s="235">
        <v>0.25</v>
      </c>
      <c r="U692" s="862"/>
      <c r="V692" s="24"/>
      <c r="W692" s="41"/>
      <c r="X692" s="26"/>
      <c r="Y692" s="41"/>
      <c r="Z692" s="41"/>
      <c r="AA692" s="41"/>
      <c r="AB692" s="846"/>
      <c r="AC692" s="26"/>
      <c r="AD692" s="24"/>
      <c r="AE692" s="26"/>
      <c r="AF692" s="75"/>
      <c r="AG692" s="26"/>
      <c r="AH692" s="957"/>
      <c r="AI692" s="957"/>
      <c r="AJ692" s="957"/>
      <c r="AK692" s="957"/>
      <c r="AL692" s="957"/>
      <c r="AM692" s="957"/>
      <c r="AN692" s="957"/>
      <c r="AO692" s="957"/>
      <c r="AP692" s="957"/>
      <c r="AQ692" s="957"/>
      <c r="AR692" s="957"/>
      <c r="AS692" s="957"/>
      <c r="AT692" s="957"/>
      <c r="AU692" s="957"/>
      <c r="AV692" s="957"/>
      <c r="AW692" s="957"/>
      <c r="AX692" s="957"/>
      <c r="AY692" s="957"/>
      <c r="AZ692" s="957"/>
      <c r="BA692" s="957"/>
      <c r="BB692" s="957"/>
      <c r="BC692" s="957"/>
      <c r="BD692" s="957"/>
      <c r="BE692" s="957"/>
      <c r="BF692" s="957"/>
      <c r="BG692" s="957"/>
    </row>
    <row r="693" spans="1:123">
      <c r="A693" s="2172"/>
      <c r="B693" s="1111" t="s">
        <v>402</v>
      </c>
      <c r="C693" s="1112" t="s">
        <v>12</v>
      </c>
      <c r="D693" s="78" t="s">
        <v>15</v>
      </c>
      <c r="E693" s="78" t="s">
        <v>15</v>
      </c>
      <c r="F693" s="78" t="s">
        <v>15</v>
      </c>
      <c r="G693" s="78" t="s">
        <v>15</v>
      </c>
      <c r="H693" s="78" t="s">
        <v>15</v>
      </c>
      <c r="I693" s="70" t="s">
        <v>15</v>
      </c>
      <c r="J693" s="1115" t="s">
        <v>12</v>
      </c>
      <c r="K693" s="1143" t="s">
        <v>404</v>
      </c>
      <c r="L693" s="216" t="s">
        <v>15</v>
      </c>
      <c r="M693" s="70" t="s">
        <v>15</v>
      </c>
      <c r="N693" s="1205"/>
      <c r="O693" s="467"/>
      <c r="P693" s="467"/>
      <c r="Q693" s="252"/>
      <c r="R693" s="252"/>
      <c r="S693" s="22"/>
      <c r="T693" s="837"/>
      <c r="V693" s="24"/>
      <c r="W693" s="41"/>
      <c r="X693" s="26"/>
      <c r="Y693" s="41"/>
      <c r="Z693" s="41"/>
      <c r="AA693" s="41"/>
      <c r="AB693" s="846"/>
      <c r="AC693" s="26"/>
      <c r="AD693" s="24"/>
      <c r="AE693" s="26"/>
      <c r="AF693" s="75"/>
      <c r="AG693" s="26"/>
      <c r="AH693" s="957"/>
      <c r="AI693" s="957"/>
      <c r="AJ693" s="957"/>
      <c r="AK693" s="957"/>
      <c r="AL693" s="957"/>
      <c r="AM693" s="957"/>
      <c r="AN693" s="957"/>
      <c r="AO693" s="957"/>
      <c r="AP693" s="957"/>
      <c r="AQ693" s="957"/>
      <c r="AR693" s="957"/>
      <c r="AS693" s="957"/>
      <c r="AT693" s="957"/>
      <c r="AU693" s="957"/>
      <c r="AV693" s="957"/>
      <c r="AW693" s="957"/>
      <c r="AX693" s="957"/>
      <c r="AY693" s="957"/>
      <c r="AZ693" s="957"/>
      <c r="BA693" s="957"/>
      <c r="BB693" s="957"/>
      <c r="BC693" s="957"/>
      <c r="BD693" s="957"/>
      <c r="BE693" s="957"/>
      <c r="BF693" s="957"/>
      <c r="BG693" s="957"/>
    </row>
    <row r="694" spans="1:123" ht="19.5" thickBot="1">
      <c r="A694" s="1086"/>
      <c r="B694" s="1113"/>
      <c r="C694" s="1114"/>
      <c r="D694" s="26"/>
      <c r="E694" s="26"/>
      <c r="F694" s="26"/>
      <c r="G694" s="26"/>
      <c r="H694" s="26"/>
      <c r="I694" s="26"/>
      <c r="J694" s="1116"/>
      <c r="K694" s="1144"/>
      <c r="L694" s="1102"/>
      <c r="M694" s="26"/>
      <c r="N694" s="1205"/>
      <c r="O694" s="467"/>
      <c r="P694" s="467"/>
      <c r="Q694" s="252"/>
      <c r="R694" s="252"/>
      <c r="S694" s="896"/>
      <c r="T694" s="916"/>
      <c r="V694" s="896"/>
      <c r="W694" s="175"/>
      <c r="X694" s="184"/>
      <c r="Y694" s="175"/>
      <c r="Z694" s="175"/>
      <c r="AA694" s="1117"/>
      <c r="AB694" s="846"/>
      <c r="AC694" s="26"/>
      <c r="AD694" s="896"/>
      <c r="AE694" s="1101"/>
      <c r="AF694" s="75"/>
      <c r="AG694" s="26"/>
      <c r="AH694" s="957"/>
      <c r="AI694" s="957"/>
      <c r="AJ694" s="957"/>
      <c r="AK694" s="957"/>
      <c r="AL694" s="957"/>
      <c r="AM694" s="957"/>
      <c r="AN694" s="957"/>
      <c r="AO694" s="957"/>
      <c r="AP694" s="957"/>
      <c r="AQ694" s="957"/>
      <c r="AR694" s="957"/>
      <c r="AS694" s="957"/>
      <c r="AT694" s="957"/>
      <c r="AU694" s="957"/>
      <c r="AV694" s="957"/>
      <c r="AW694" s="957"/>
      <c r="AX694" s="957"/>
      <c r="AY694" s="957"/>
      <c r="AZ694" s="957"/>
      <c r="BA694" s="957"/>
      <c r="BB694" s="957"/>
      <c r="BC694" s="957"/>
      <c r="BD694" s="957"/>
      <c r="BE694" s="957"/>
      <c r="BF694" s="957"/>
      <c r="BG694" s="957"/>
    </row>
    <row r="695" spans="1:123" s="705" customFormat="1" ht="9" customHeight="1" thickBot="1">
      <c r="A695" s="695"/>
      <c r="B695" s="815"/>
      <c r="C695" s="684"/>
      <c r="D695" s="683"/>
      <c r="E695" s="683"/>
      <c r="F695" s="683"/>
      <c r="G695" s="683"/>
      <c r="H695" s="683"/>
      <c r="I695" s="683"/>
      <c r="J695" s="682"/>
      <c r="K695" s="683"/>
      <c r="L695" s="682"/>
      <c r="M695" s="685"/>
      <c r="N695" s="1189"/>
      <c r="O695" s="686"/>
      <c r="P695" s="686"/>
      <c r="Q695" s="687"/>
      <c r="R695" s="687"/>
      <c r="S695" s="688"/>
      <c r="T695" s="688"/>
      <c r="U695" s="854"/>
      <c r="V695" s="893"/>
      <c r="W695" s="685"/>
      <c r="X695" s="685"/>
      <c r="Y695" s="688"/>
      <c r="Z695" s="688"/>
      <c r="AA695" s="688"/>
      <c r="AB695" s="846"/>
      <c r="AC695" s="685"/>
      <c r="AD695" s="685"/>
      <c r="AE695" s="685"/>
      <c r="AF695" s="689"/>
      <c r="AG695" s="685"/>
      <c r="AH695" s="959"/>
      <c r="AI695" s="959"/>
      <c r="AJ695" s="959"/>
      <c r="AK695" s="959"/>
      <c r="AL695" s="959"/>
      <c r="AM695" s="959"/>
      <c r="AN695" s="958"/>
      <c r="AO695" s="958"/>
      <c r="AP695" s="958"/>
      <c r="AQ695" s="958"/>
      <c r="AR695" s="958"/>
      <c r="AS695" s="958"/>
      <c r="AT695" s="958"/>
      <c r="AU695" s="958"/>
      <c r="AV695" s="958"/>
      <c r="AW695" s="958"/>
      <c r="AX695" s="958"/>
      <c r="AY695" s="958"/>
      <c r="AZ695" s="958"/>
      <c r="BA695" s="958"/>
      <c r="BB695" s="958"/>
      <c r="BC695" s="958"/>
      <c r="BD695" s="958"/>
      <c r="BE695" s="958"/>
      <c r="BF695" s="958"/>
      <c r="BG695" s="958"/>
      <c r="BH695" s="1125"/>
      <c r="CF695" s="692"/>
      <c r="CG695" s="692"/>
      <c r="CH695" s="692"/>
      <c r="CI695" s="692"/>
      <c r="CJ695" s="692"/>
      <c r="CK695" s="692"/>
      <c r="CL695" s="692"/>
      <c r="CM695" s="692"/>
      <c r="CN695" s="692"/>
      <c r="CO695" s="692"/>
      <c r="CP695" s="692"/>
      <c r="CQ695" s="692"/>
      <c r="CR695" s="692"/>
      <c r="CS695" s="692"/>
      <c r="CT695" s="692"/>
      <c r="CU695" s="692"/>
      <c r="CV695" s="692"/>
      <c r="CW695" s="692"/>
      <c r="CX695" s="692"/>
      <c r="CY695" s="692"/>
      <c r="CZ695" s="692"/>
      <c r="DA695" s="692"/>
      <c r="DB695" s="692"/>
      <c r="DC695" s="692"/>
      <c r="DD695" s="692"/>
      <c r="DE695" s="692"/>
      <c r="DF695" s="692"/>
      <c r="DG695" s="692"/>
      <c r="DH695" s="692"/>
      <c r="DI695" s="693"/>
      <c r="DJ695" s="692"/>
      <c r="DK695" s="692"/>
      <c r="DL695" s="692"/>
      <c r="DM695" s="692"/>
      <c r="DN695" s="692"/>
      <c r="DO695" s="692"/>
      <c r="DP695" s="692"/>
      <c r="DQ695" s="692"/>
      <c r="DR695" s="692"/>
      <c r="DS695" s="692"/>
    </row>
    <row r="696" spans="1:123" ht="15" customHeight="1">
      <c r="A696" s="2171" t="s">
        <v>1137</v>
      </c>
      <c r="B696" s="819" t="s">
        <v>16</v>
      </c>
      <c r="C696" s="810" t="s">
        <v>12</v>
      </c>
      <c r="D696" s="348" t="s">
        <v>408</v>
      </c>
      <c r="E696" s="213">
        <v>43</v>
      </c>
      <c r="F696" s="94">
        <v>10.753489999999999</v>
      </c>
      <c r="G696" s="94">
        <v>0.95327700000000004</v>
      </c>
      <c r="H696" s="58">
        <v>28230.67</v>
      </c>
      <c r="I696" s="99">
        <v>28669.07</v>
      </c>
      <c r="J696" s="147" t="s">
        <v>12</v>
      </c>
      <c r="K696" s="15" t="s">
        <v>410</v>
      </c>
      <c r="L696" s="1166" t="s">
        <v>15</v>
      </c>
      <c r="M696" s="70" t="s">
        <v>15</v>
      </c>
      <c r="N696" s="1198">
        <v>2312.2261600000002</v>
      </c>
      <c r="O696" s="473">
        <v>2.02</v>
      </c>
      <c r="P696" s="473">
        <v>1147.4071899999999</v>
      </c>
      <c r="Q696" s="254" t="s">
        <v>15</v>
      </c>
      <c r="R696" s="230">
        <f>N696</f>
        <v>2312.2261600000002</v>
      </c>
      <c r="S696" s="135" t="s">
        <v>68</v>
      </c>
      <c r="T696" s="129" t="s">
        <v>69</v>
      </c>
      <c r="U696" s="858"/>
      <c r="V696" s="2162" t="s">
        <v>2749</v>
      </c>
      <c r="W696" s="982" t="s">
        <v>47</v>
      </c>
      <c r="X696" s="291" t="s">
        <v>448</v>
      </c>
      <c r="Y696" s="236">
        <f>((10.8*$R$696)+(187000*$R$697)+$R$698+$R$700+$R$702+$T$703)*(1+$T$705)</f>
        <v>14805.803281227907</v>
      </c>
      <c r="Z696" s="169" t="s">
        <v>40</v>
      </c>
      <c r="AA696" s="172" t="s">
        <v>40</v>
      </c>
      <c r="AB696" s="923"/>
      <c r="AC696" s="26"/>
      <c r="AD696" s="501"/>
      <c r="AE696" s="581"/>
      <c r="AF696" s="617" t="s">
        <v>49</v>
      </c>
      <c r="AG696" s="219" t="s">
        <v>723</v>
      </c>
      <c r="AH696" s="935">
        <f>((10.9*$R$696)+(240000*$R$697)+$R$698+$R$700+$R$702+$T$703)*1.2</f>
        <v>20163.638420427906</v>
      </c>
      <c r="AI696" s="329">
        <f>14700*1.2</f>
        <v>17640</v>
      </c>
      <c r="AJ696" s="329">
        <f>709*20</f>
        <v>14180</v>
      </c>
      <c r="AK696" s="329">
        <f>785.77*20</f>
        <v>15715.4</v>
      </c>
      <c r="AL696" s="329">
        <f>765.86*20</f>
        <v>15317.2</v>
      </c>
      <c r="AM696" s="329">
        <v>12133.6</v>
      </c>
      <c r="AN696" s="957"/>
      <c r="AO696" s="957"/>
      <c r="AP696" s="957"/>
      <c r="AQ696" s="957"/>
      <c r="AR696" s="957"/>
      <c r="AS696" s="957"/>
      <c r="AT696" s="957"/>
      <c r="AU696" s="957"/>
      <c r="AV696" s="957"/>
      <c r="AW696" s="957"/>
      <c r="AX696" s="957"/>
      <c r="AY696" s="957"/>
      <c r="AZ696" s="957"/>
      <c r="BA696" s="957"/>
      <c r="BB696" s="957"/>
      <c r="BC696" s="957"/>
      <c r="BD696" s="957"/>
      <c r="BE696" s="957"/>
      <c r="BF696" s="957"/>
      <c r="BG696" s="957"/>
    </row>
    <row r="697" spans="1:123" s="622" customFormat="1" ht="45">
      <c r="A697" s="2172"/>
      <c r="B697" s="991" t="s">
        <v>398</v>
      </c>
      <c r="C697" s="981" t="s">
        <v>12</v>
      </c>
      <c r="D697" s="423" t="s">
        <v>409</v>
      </c>
      <c r="E697" s="213">
        <v>43</v>
      </c>
      <c r="F697" s="1059">
        <v>387321.8</v>
      </c>
      <c r="G697" s="1059">
        <v>361279.2</v>
      </c>
      <c r="H697" s="58">
        <v>28230.67</v>
      </c>
      <c r="I697" s="99">
        <v>28669.07</v>
      </c>
      <c r="J697" s="1092" t="s">
        <v>14</v>
      </c>
      <c r="K697" s="1145" t="s">
        <v>521</v>
      </c>
      <c r="L697" s="1089" t="s">
        <v>15</v>
      </c>
      <c r="M697" s="1090" t="s">
        <v>15</v>
      </c>
      <c r="N697" s="1211">
        <v>7.9880000000000007E-2</v>
      </c>
      <c r="O697" s="472">
        <v>27.45</v>
      </c>
      <c r="P697" s="472">
        <v>2.9099999999999998E-3</v>
      </c>
      <c r="Q697" s="208" t="s">
        <v>15</v>
      </c>
      <c r="R697" s="605">
        <f>N697</f>
        <v>7.9880000000000007E-2</v>
      </c>
      <c r="S697" s="217" t="s">
        <v>133</v>
      </c>
      <c r="T697" s="17" t="s">
        <v>310</v>
      </c>
      <c r="U697" s="859"/>
      <c r="V697" s="2163"/>
      <c r="W697" s="1002" t="s">
        <v>49</v>
      </c>
      <c r="X697" s="608" t="s">
        <v>449</v>
      </c>
      <c r="Y697" s="609">
        <f>((10.8*$R$696)+(187000*$R$697)+$R$698+$R$700+$R$702+$T$703)*(1+$T$705)</f>
        <v>14805.803281227907</v>
      </c>
      <c r="Z697" s="606">
        <f>Y697-Y696</f>
        <v>0</v>
      </c>
      <c r="AA697" s="607">
        <f>(10.8-10.8)*$P$696</f>
        <v>0</v>
      </c>
      <c r="AB697" s="922"/>
      <c r="AC697" s="174"/>
      <c r="AD697" s="618"/>
      <c r="AE697" s="174"/>
      <c r="AF697" s="619" t="s">
        <v>49</v>
      </c>
      <c r="AG697" s="608" t="s">
        <v>724</v>
      </c>
      <c r="AH697" s="223">
        <f>((10*$R$696)+(840000*$R$697)+$R$698+$R$700+$R$702+$T$703)*1.2</f>
        <v>75180.03416762792</v>
      </c>
      <c r="AI697" s="996">
        <f>66000*1.2</f>
        <v>79200</v>
      </c>
      <c r="AJ697" s="996"/>
      <c r="AK697" s="996">
        <f>555.15 *70</f>
        <v>38860.5</v>
      </c>
      <c r="AL697" s="996">
        <f>663.09*70</f>
        <v>46416.3</v>
      </c>
      <c r="AM697" s="996">
        <v>39329</v>
      </c>
      <c r="AN697" s="962"/>
      <c r="AO697" s="962"/>
      <c r="AP697" s="962"/>
      <c r="AQ697" s="962"/>
      <c r="AR697" s="962"/>
      <c r="AS697" s="962"/>
      <c r="AT697" s="962"/>
      <c r="AU697" s="962"/>
      <c r="AV697" s="962"/>
      <c r="AW697" s="962"/>
      <c r="AX697" s="962"/>
      <c r="AY697" s="962"/>
      <c r="AZ697" s="962"/>
      <c r="BA697" s="962"/>
      <c r="BB697" s="962"/>
      <c r="BC697" s="962"/>
      <c r="BD697" s="962"/>
      <c r="BE697" s="962"/>
      <c r="BF697" s="962"/>
      <c r="BG697" s="962"/>
      <c r="BH697" s="1131"/>
      <c r="CF697" s="620"/>
      <c r="CG697" s="620"/>
      <c r="CH697" s="620"/>
      <c r="CI697" s="620"/>
      <c r="CJ697" s="620"/>
      <c r="CK697" s="620"/>
      <c r="CL697" s="620"/>
      <c r="CM697" s="620"/>
      <c r="CN697" s="620"/>
      <c r="CO697" s="620"/>
      <c r="CP697" s="620"/>
      <c r="CQ697" s="620"/>
      <c r="CR697" s="620"/>
      <c r="CS697" s="620"/>
      <c r="CT697" s="620"/>
      <c r="CU697" s="620"/>
      <c r="CV697" s="620"/>
      <c r="CW697" s="620"/>
      <c r="CX697" s="620"/>
      <c r="CY697" s="620"/>
      <c r="CZ697" s="620"/>
      <c r="DA697" s="620"/>
      <c r="DB697" s="620"/>
      <c r="DC697" s="620"/>
      <c r="DD697" s="620"/>
      <c r="DE697" s="620"/>
      <c r="DF697" s="620"/>
      <c r="DG697" s="620"/>
      <c r="DH697" s="620"/>
      <c r="DI697" s="621"/>
      <c r="DJ697" s="620"/>
      <c r="DK697" s="620"/>
      <c r="DL697" s="620"/>
      <c r="DM697" s="620"/>
      <c r="DN697" s="620"/>
      <c r="DO697" s="620"/>
      <c r="DP697" s="620"/>
      <c r="DQ697" s="620"/>
      <c r="DR697" s="620"/>
      <c r="DS697" s="620"/>
    </row>
    <row r="698" spans="1:123">
      <c r="A698" s="2172"/>
      <c r="B698" s="2161" t="s">
        <v>396</v>
      </c>
      <c r="C698" s="2144" t="s">
        <v>11</v>
      </c>
      <c r="D698" s="452">
        <v>208</v>
      </c>
      <c r="E698" s="213">
        <v>8</v>
      </c>
      <c r="F698" s="148" t="s">
        <v>15</v>
      </c>
      <c r="G698" s="198" t="s">
        <v>15</v>
      </c>
      <c r="H698" s="58">
        <v>12200</v>
      </c>
      <c r="I698" s="99">
        <v>5507.67</v>
      </c>
      <c r="J698" s="101" t="s">
        <v>15</v>
      </c>
      <c r="K698" s="70" t="s">
        <v>15</v>
      </c>
      <c r="L698" s="101" t="s">
        <v>15</v>
      </c>
      <c r="M698" s="70" t="s">
        <v>15</v>
      </c>
      <c r="N698" s="1194">
        <v>0</v>
      </c>
      <c r="O698" s="369" t="s">
        <v>204</v>
      </c>
      <c r="P698" s="369" t="s">
        <v>204</v>
      </c>
      <c r="Q698" s="128">
        <f>E698/SUM(E698:E699)</f>
        <v>0.18604651162790697</v>
      </c>
      <c r="R698" s="2129">
        <f>SUMPRODUCT(Q698:Q699,N698:N699)</f>
        <v>-1495.6225802325582</v>
      </c>
      <c r="S698" s="135" t="s">
        <v>72</v>
      </c>
      <c r="T698" s="201" t="s">
        <v>119</v>
      </c>
      <c r="U698" s="855"/>
      <c r="V698" s="2163"/>
      <c r="W698" s="982" t="s">
        <v>49</v>
      </c>
      <c r="X698" s="291" t="s">
        <v>450</v>
      </c>
      <c r="Y698" s="550">
        <f>((11.5*$R$696)+(187000*$R$697)+$R$698+$R$700+$R$702+$T$703)*(1+$T$705)</f>
        <v>16748.073255627918</v>
      </c>
      <c r="Z698" s="539">
        <f>Y698-Y696</f>
        <v>1942.2699744000111</v>
      </c>
      <c r="AA698" s="172">
        <f>(11.5-10.8)*$P$696</f>
        <v>803.18503299999907</v>
      </c>
      <c r="AB698" s="923"/>
      <c r="AC698" s="26"/>
      <c r="AD698" s="24"/>
      <c r="AE698" s="26"/>
      <c r="AF698" s="75"/>
      <c r="AG698" s="26"/>
      <c r="AH698" s="957"/>
      <c r="AI698" s="957"/>
      <c r="AJ698" s="957"/>
      <c r="AK698" s="957"/>
      <c r="AL698" s="957"/>
      <c r="AM698" s="957"/>
      <c r="AN698" s="957"/>
      <c r="AO698" s="957"/>
      <c r="AP698" s="957"/>
      <c r="AQ698" s="957"/>
      <c r="AR698" s="957"/>
      <c r="AS698" s="957"/>
      <c r="AT698" s="957"/>
      <c r="AU698" s="957"/>
      <c r="AV698" s="957"/>
      <c r="AW698" s="957"/>
      <c r="AX698" s="957"/>
      <c r="AY698" s="957"/>
      <c r="AZ698" s="957"/>
      <c r="BA698" s="957"/>
      <c r="BB698" s="957"/>
      <c r="BC698" s="957"/>
      <c r="BD698" s="957"/>
      <c r="BE698" s="957"/>
      <c r="BF698" s="957"/>
      <c r="BG698" s="957"/>
    </row>
    <row r="699" spans="1:123">
      <c r="A699" s="2172"/>
      <c r="B699" s="2161"/>
      <c r="C699" s="2144"/>
      <c r="D699" s="95">
        <v>460</v>
      </c>
      <c r="E699" s="213">
        <v>35</v>
      </c>
      <c r="F699" s="148" t="s">
        <v>15</v>
      </c>
      <c r="G699" s="198" t="s">
        <v>15</v>
      </c>
      <c r="H699" s="58">
        <v>31894.83</v>
      </c>
      <c r="I699" s="99">
        <v>30574.09</v>
      </c>
      <c r="J699" s="101" t="s">
        <v>15</v>
      </c>
      <c r="K699" s="70" t="s">
        <v>15</v>
      </c>
      <c r="L699" s="101" t="s">
        <v>15</v>
      </c>
      <c r="M699" s="70" t="s">
        <v>15</v>
      </c>
      <c r="N699" s="1194">
        <v>-1837.4791700000001</v>
      </c>
      <c r="O699" s="369">
        <v>-0.77</v>
      </c>
      <c r="P699" s="369">
        <v>2392.1053099999999</v>
      </c>
      <c r="Q699" s="128">
        <f>E699/SUM(E698:E699)</f>
        <v>0.81395348837209303</v>
      </c>
      <c r="R699" s="2129"/>
      <c r="S699" s="154" t="s">
        <v>139</v>
      </c>
      <c r="T699" s="202" t="s">
        <v>140</v>
      </c>
      <c r="U699" s="859"/>
      <c r="V699" s="2163"/>
      <c r="W699" s="982" t="s">
        <v>49</v>
      </c>
      <c r="X699" s="291" t="s">
        <v>451</v>
      </c>
      <c r="Y699" s="550">
        <f>((12*$R$696)+(187000*$R$697)+$R$698+$R$700+$R$702+$T$703)*(1+$T$705)</f>
        <v>18135.408951627913</v>
      </c>
      <c r="Z699" s="539">
        <f>Y699-Y696</f>
        <v>3329.6056704000057</v>
      </c>
      <c r="AA699" s="172">
        <f>(12-10.8)*$P$696</f>
        <v>1376.888627999999</v>
      </c>
      <c r="AB699" s="923"/>
      <c r="AC699" s="26"/>
      <c r="AD699" s="24"/>
      <c r="AE699" s="26"/>
      <c r="AF699" s="75"/>
      <c r="AG699" s="26"/>
      <c r="AH699" s="957"/>
      <c r="AI699" s="957"/>
      <c r="AJ699" s="957"/>
      <c r="AK699" s="957"/>
      <c r="AL699" s="957"/>
      <c r="AM699" s="957"/>
      <c r="AN699" s="957"/>
      <c r="AO699" s="957"/>
      <c r="AP699" s="957"/>
      <c r="AQ699" s="957"/>
      <c r="AR699" s="957"/>
      <c r="AS699" s="957"/>
      <c r="AT699" s="957"/>
      <c r="AU699" s="957"/>
      <c r="AV699" s="957"/>
      <c r="AW699" s="957"/>
      <c r="AX699" s="957"/>
      <c r="AY699" s="957"/>
      <c r="AZ699" s="957"/>
      <c r="BA699" s="957"/>
      <c r="BB699" s="957"/>
      <c r="BC699" s="957"/>
      <c r="BD699" s="957"/>
      <c r="BE699" s="957"/>
      <c r="BF699" s="957"/>
      <c r="BG699" s="957"/>
    </row>
    <row r="700" spans="1:123">
      <c r="A700" s="2172"/>
      <c r="B700" s="2161" t="s">
        <v>406</v>
      </c>
      <c r="C700" s="2144" t="s">
        <v>11</v>
      </c>
      <c r="D700" s="86" t="s">
        <v>33</v>
      </c>
      <c r="E700" s="213">
        <v>17</v>
      </c>
      <c r="F700" s="148" t="s">
        <v>15</v>
      </c>
      <c r="G700" s="198" t="s">
        <v>15</v>
      </c>
      <c r="H700" s="58">
        <v>44291.35</v>
      </c>
      <c r="I700" s="99">
        <v>34696.26</v>
      </c>
      <c r="J700" s="2237" t="s">
        <v>11</v>
      </c>
      <c r="K700" s="302" t="s">
        <v>33</v>
      </c>
      <c r="L700" s="101" t="s">
        <v>15</v>
      </c>
      <c r="M700" s="70" t="s">
        <v>15</v>
      </c>
      <c r="N700" s="1194">
        <v>-2206.5700499999998</v>
      </c>
      <c r="O700" s="369">
        <v>-1.07</v>
      </c>
      <c r="P700" s="369">
        <v>2064.9250900000002</v>
      </c>
      <c r="Q700" s="128">
        <f>E700/SUM(E700:E701)</f>
        <v>0.39534883720930231</v>
      </c>
      <c r="R700" s="2129">
        <f>SUMPRODUCT(Q700:Q701,N700:N701)</f>
        <v>-872.36490348837197</v>
      </c>
      <c r="S700" s="135" t="s">
        <v>74</v>
      </c>
      <c r="T700" s="203" t="s">
        <v>75</v>
      </c>
      <c r="U700" s="858"/>
      <c r="V700" s="2163"/>
      <c r="W700" s="982" t="s">
        <v>47</v>
      </c>
      <c r="X700" s="292" t="s">
        <v>452</v>
      </c>
      <c r="Y700" s="550">
        <f>((9.8*$R$696)+(500000*$R$697)+$R$698+$R$700+$R$702+$T$703)*(1+$T$705)</f>
        <v>42034.059889227909</v>
      </c>
      <c r="Z700" s="169" t="s">
        <v>40</v>
      </c>
      <c r="AA700" s="172" t="s">
        <v>40</v>
      </c>
      <c r="AB700" s="923"/>
      <c r="AC700" s="26"/>
      <c r="AD700" s="24"/>
      <c r="AE700" s="26"/>
      <c r="AF700" s="75"/>
      <c r="AG700" s="26"/>
      <c r="AH700" s="1024"/>
      <c r="AI700" s="957"/>
      <c r="AJ700" s="957"/>
      <c r="AK700" s="957"/>
      <c r="AL700" s="957"/>
      <c r="AM700" s="957"/>
      <c r="AN700" s="957"/>
      <c r="AO700" s="957"/>
      <c r="AP700" s="957"/>
      <c r="AQ700" s="957"/>
      <c r="AR700" s="957"/>
      <c r="AS700" s="957"/>
      <c r="AT700" s="957"/>
      <c r="AU700" s="957"/>
      <c r="AV700" s="957"/>
      <c r="AW700" s="957"/>
      <c r="AX700" s="957"/>
      <c r="AY700" s="957"/>
      <c r="AZ700" s="957"/>
      <c r="BA700" s="957"/>
      <c r="BB700" s="957"/>
      <c r="BC700" s="957"/>
      <c r="BD700" s="957"/>
      <c r="BE700" s="957"/>
      <c r="BF700" s="957"/>
      <c r="BG700" s="957"/>
    </row>
    <row r="701" spans="1:123">
      <c r="A701" s="2172"/>
      <c r="B701" s="2161"/>
      <c r="C701" s="2144"/>
      <c r="D701" s="86" t="s">
        <v>32</v>
      </c>
      <c r="E701" s="213">
        <v>26</v>
      </c>
      <c r="F701" s="148" t="s">
        <v>15</v>
      </c>
      <c r="G701" s="198" t="s">
        <v>15</v>
      </c>
      <c r="H701" s="58">
        <v>17729.46</v>
      </c>
      <c r="I701" s="99">
        <v>17896.3</v>
      </c>
      <c r="J701" s="2237"/>
      <c r="K701" s="302" t="s">
        <v>32</v>
      </c>
      <c r="L701" s="101" t="s">
        <v>15</v>
      </c>
      <c r="M701" s="70" t="s">
        <v>15</v>
      </c>
      <c r="N701" s="1194">
        <v>0</v>
      </c>
      <c r="O701" s="369" t="s">
        <v>204</v>
      </c>
      <c r="P701" s="369" t="s">
        <v>204</v>
      </c>
      <c r="Q701" s="128">
        <f>E701/SUM(E700:E701)</f>
        <v>0.60465116279069764</v>
      </c>
      <c r="R701" s="2129"/>
      <c r="S701" s="155">
        <v>43</v>
      </c>
      <c r="T701" s="204" t="s">
        <v>15</v>
      </c>
      <c r="U701" s="854"/>
      <c r="V701" s="2163"/>
      <c r="W701" s="982" t="s">
        <v>49</v>
      </c>
      <c r="X701" s="292" t="s">
        <v>453</v>
      </c>
      <c r="Y701" s="550">
        <f>((10.5*$R$696)+(500000*$R$697)+$R$698+$R$700+$R$702+$T$703)*(1+$T$705)</f>
        <v>43976.329863627914</v>
      </c>
      <c r="Z701" s="539">
        <f>Y701-Y700</f>
        <v>1942.2699744000056</v>
      </c>
      <c r="AA701" s="172">
        <f>(10.5-9.8)*$P$696</f>
        <v>803.18503299999907</v>
      </c>
      <c r="AB701" s="923"/>
      <c r="AC701" s="26"/>
      <c r="AD701" s="24"/>
      <c r="AE701" s="26"/>
      <c r="AF701" s="75"/>
      <c r="AG701" s="26"/>
      <c r="AH701" s="1043"/>
      <c r="AI701" s="957"/>
      <c r="AJ701" s="957"/>
      <c r="AK701" s="957"/>
      <c r="AL701" s="957"/>
      <c r="AM701" s="957"/>
      <c r="AN701" s="957"/>
      <c r="AO701" s="957"/>
      <c r="AP701" s="957"/>
      <c r="AQ701" s="957"/>
      <c r="AR701" s="957"/>
      <c r="AS701" s="957"/>
      <c r="AT701" s="957"/>
      <c r="AU701" s="957"/>
      <c r="AV701" s="957"/>
      <c r="AW701" s="957"/>
      <c r="AX701" s="957"/>
      <c r="AY701" s="957"/>
      <c r="AZ701" s="957"/>
      <c r="BA701" s="957"/>
      <c r="BB701" s="957"/>
      <c r="BC701" s="957"/>
      <c r="BD701" s="957"/>
      <c r="BE701" s="957"/>
      <c r="BF701" s="957"/>
      <c r="BG701" s="957"/>
    </row>
    <row r="702" spans="1:123">
      <c r="A702" s="2172"/>
      <c r="B702" s="2161" t="s">
        <v>125</v>
      </c>
      <c r="C702" s="2144" t="s">
        <v>13</v>
      </c>
      <c r="D702" s="291" t="s">
        <v>190</v>
      </c>
      <c r="E702" s="213">
        <v>17</v>
      </c>
      <c r="F702" s="148" t="s">
        <v>15</v>
      </c>
      <c r="G702" s="198" t="s">
        <v>15</v>
      </c>
      <c r="H702" s="58">
        <v>25236.94</v>
      </c>
      <c r="I702" s="99">
        <v>25925.01</v>
      </c>
      <c r="J702" s="101" t="s">
        <v>15</v>
      </c>
      <c r="K702" s="70" t="s">
        <v>15</v>
      </c>
      <c r="L702" s="101" t="s">
        <v>15</v>
      </c>
      <c r="M702" s="70" t="s">
        <v>15</v>
      </c>
      <c r="N702" s="1194">
        <v>-65.424660000000003</v>
      </c>
      <c r="O702" s="369">
        <v>-0.03</v>
      </c>
      <c r="P702" s="369">
        <v>2399.1318000000001</v>
      </c>
      <c r="Q702" s="128">
        <f>E702/SUM($E$702:$E$704)</f>
        <v>0.39534883720930231</v>
      </c>
      <c r="R702" s="2130">
        <f>SUMPRODUCT(Q702:Q704,N702:N704)</f>
        <v>1351.360786744186</v>
      </c>
      <c r="S702" s="135" t="s">
        <v>41</v>
      </c>
      <c r="T702" s="203" t="s">
        <v>42</v>
      </c>
      <c r="U702" s="858"/>
      <c r="V702" s="2163"/>
      <c r="W702" s="982" t="s">
        <v>49</v>
      </c>
      <c r="X702" s="291" t="s">
        <v>454</v>
      </c>
      <c r="Y702" s="550">
        <f>((10.8*$R$696)+(500000*$R$697)+$R$698+$R$700+$R$702+$T$703)*(1+$T$705)</f>
        <v>44808.731281227912</v>
      </c>
      <c r="Z702" s="539">
        <f>Y702-Y700</f>
        <v>2774.6713920000038</v>
      </c>
      <c r="AA702" s="172">
        <f>(10.8-9.8)*$P$696</f>
        <v>1147.4071899999999</v>
      </c>
      <c r="AB702" s="923"/>
      <c r="AC702" s="26"/>
      <c r="AD702" s="24"/>
      <c r="AE702" s="26"/>
      <c r="AF702" s="75"/>
      <c r="AG702" s="26"/>
      <c r="AH702" s="957"/>
      <c r="AI702" s="957"/>
      <c r="AJ702" s="957"/>
      <c r="AK702" s="957"/>
      <c r="AL702" s="957"/>
      <c r="AM702" s="957"/>
      <c r="AN702" s="957"/>
      <c r="AO702" s="957"/>
      <c r="AP702" s="957"/>
      <c r="AQ702" s="957"/>
      <c r="AR702" s="957"/>
      <c r="AS702" s="957"/>
      <c r="AT702" s="957"/>
      <c r="AU702" s="957"/>
      <c r="AV702" s="957"/>
      <c r="AW702" s="957"/>
      <c r="AX702" s="957"/>
      <c r="AY702" s="957"/>
      <c r="AZ702" s="957"/>
      <c r="BA702" s="957"/>
      <c r="BB702" s="957"/>
      <c r="BC702" s="957"/>
      <c r="BD702" s="957"/>
      <c r="BE702" s="957"/>
      <c r="BF702" s="957"/>
      <c r="BG702" s="957"/>
    </row>
    <row r="703" spans="1:123">
      <c r="A703" s="2172"/>
      <c r="B703" s="2161"/>
      <c r="C703" s="2144"/>
      <c r="D703" s="291" t="s">
        <v>407</v>
      </c>
      <c r="E703" s="213">
        <v>9</v>
      </c>
      <c r="F703" s="148" t="s">
        <v>15</v>
      </c>
      <c r="G703" s="198" t="s">
        <v>15</v>
      </c>
      <c r="H703" s="58">
        <v>64166.67</v>
      </c>
      <c r="I703" s="99">
        <v>29815.05</v>
      </c>
      <c r="J703" s="101" t="s">
        <v>15</v>
      </c>
      <c r="K703" s="70" t="s">
        <v>15</v>
      </c>
      <c r="L703" s="101" t="s">
        <v>15</v>
      </c>
      <c r="M703" s="70" t="s">
        <v>15</v>
      </c>
      <c r="N703" s="1194">
        <v>6580.0814499999997</v>
      </c>
      <c r="O703" s="369">
        <v>1.79</v>
      </c>
      <c r="P703" s="369">
        <v>3669.40542</v>
      </c>
      <c r="Q703" s="128">
        <f>E703/SUM($E$702:$E$704)</f>
        <v>0.20930232558139536</v>
      </c>
      <c r="R703" s="2196"/>
      <c r="S703" s="86">
        <v>0.98180900000000004</v>
      </c>
      <c r="T703" s="302">
        <v>-26554.806430000001</v>
      </c>
      <c r="U703" s="874"/>
      <c r="V703" s="2163"/>
      <c r="W703" s="982" t="s">
        <v>49</v>
      </c>
      <c r="X703" s="291" t="s">
        <v>455</v>
      </c>
      <c r="Y703" s="550">
        <f>((9.8*$R$696)+(500000*$R$697)+$R$698+$R$700+$R$702+$T$703)*(1+$T$705)</f>
        <v>42034.059889227909</v>
      </c>
      <c r="Z703" s="539">
        <f>Y703-Y700</f>
        <v>0</v>
      </c>
      <c r="AA703" s="172">
        <f>(9.8-9.8)*$P$696</f>
        <v>0</v>
      </c>
      <c r="AB703" s="923"/>
      <c r="AC703" s="26"/>
      <c r="AD703" s="24"/>
      <c r="AE703" s="26"/>
      <c r="AF703" s="75"/>
      <c r="AG703" s="26"/>
      <c r="AH703" s="957"/>
      <c r="AI703" s="957"/>
      <c r="AJ703" s="957"/>
      <c r="AK703" s="957"/>
      <c r="AL703" s="957"/>
      <c r="AM703" s="957"/>
      <c r="AN703" s="957"/>
      <c r="AO703" s="957"/>
      <c r="AP703" s="957"/>
      <c r="AQ703" s="957"/>
      <c r="AR703" s="957"/>
      <c r="AS703" s="957"/>
      <c r="AT703" s="957"/>
      <c r="AU703" s="957"/>
      <c r="AV703" s="957"/>
      <c r="AW703" s="957"/>
      <c r="AX703" s="957"/>
      <c r="AY703" s="957"/>
      <c r="AZ703" s="957"/>
      <c r="BA703" s="957"/>
      <c r="BB703" s="957"/>
      <c r="BC703" s="957"/>
      <c r="BD703" s="957"/>
      <c r="BE703" s="957"/>
      <c r="BF703" s="957"/>
      <c r="BG703" s="957"/>
    </row>
    <row r="704" spans="1:123">
      <c r="A704" s="2172"/>
      <c r="B704" s="2161"/>
      <c r="C704" s="2144"/>
      <c r="D704" s="291" t="s">
        <v>187</v>
      </c>
      <c r="E704" s="213">
        <v>17</v>
      </c>
      <c r="F704" s="148" t="s">
        <v>15</v>
      </c>
      <c r="G704" s="198" t="s">
        <v>15</v>
      </c>
      <c r="H704" s="58">
        <v>12199.47</v>
      </c>
      <c r="I704" s="99">
        <v>5653.25</v>
      </c>
      <c r="J704" s="101" t="s">
        <v>15</v>
      </c>
      <c r="K704" s="70" t="s">
        <v>15</v>
      </c>
      <c r="L704" s="101" t="s">
        <v>15</v>
      </c>
      <c r="M704" s="70" t="s">
        <v>15</v>
      </c>
      <c r="N704" s="1194">
        <v>0</v>
      </c>
      <c r="O704" s="369" t="s">
        <v>204</v>
      </c>
      <c r="P704" s="369" t="s">
        <v>204</v>
      </c>
      <c r="Q704" s="128">
        <f>E704/SUM($E$702:$E$704)</f>
        <v>0.39534883720930231</v>
      </c>
      <c r="R704" s="2196"/>
      <c r="S704" s="156" t="s">
        <v>235</v>
      </c>
      <c r="T704" s="201" t="s">
        <v>391</v>
      </c>
      <c r="U704" s="855"/>
      <c r="V704" s="2163"/>
      <c r="W704" s="982" t="s">
        <v>47</v>
      </c>
      <c r="X704" s="291" t="s">
        <v>456</v>
      </c>
      <c r="Y704" s="550">
        <f>((11*$R$696)+(77000*$R$697)+$R$698+$R$700+$R$702+$T$703)*(1+$T$705)</f>
        <v>4816.5775596279154</v>
      </c>
      <c r="Z704" s="169" t="s">
        <v>40</v>
      </c>
      <c r="AA704" s="172" t="s">
        <v>40</v>
      </c>
      <c r="AB704" s="923"/>
      <c r="AC704" s="26"/>
      <c r="AD704" s="24"/>
      <c r="AE704" s="26"/>
      <c r="AF704" s="75"/>
      <c r="AG704" s="26"/>
      <c r="AH704" s="957"/>
      <c r="AI704" s="957"/>
      <c r="AJ704" s="957"/>
      <c r="AK704" s="957"/>
      <c r="AL704" s="957"/>
      <c r="AM704" s="957"/>
      <c r="AN704" s="957"/>
      <c r="AO704" s="957"/>
      <c r="AP704" s="957"/>
      <c r="AQ704" s="957"/>
      <c r="AR704" s="957"/>
      <c r="AS704" s="957"/>
      <c r="AT704" s="957"/>
      <c r="AU704" s="957"/>
      <c r="AV704" s="957"/>
      <c r="AW704" s="957"/>
      <c r="AX704" s="957"/>
      <c r="AY704" s="957"/>
      <c r="AZ704" s="957"/>
      <c r="BA704" s="957"/>
      <c r="BB704" s="957"/>
      <c r="BC704" s="957"/>
      <c r="BD704" s="957"/>
      <c r="BE704" s="957"/>
      <c r="BF704" s="957"/>
      <c r="BG704" s="957"/>
    </row>
    <row r="705" spans="1:123">
      <c r="A705" s="2172"/>
      <c r="B705" s="817" t="s">
        <v>401</v>
      </c>
      <c r="C705" s="356" t="s">
        <v>12</v>
      </c>
      <c r="D705" s="78" t="s">
        <v>15</v>
      </c>
      <c r="E705" s="78" t="s">
        <v>15</v>
      </c>
      <c r="F705" s="78" t="s">
        <v>15</v>
      </c>
      <c r="G705" s="199" t="s">
        <v>15</v>
      </c>
      <c r="H705" s="78" t="s">
        <v>15</v>
      </c>
      <c r="I705" s="70" t="s">
        <v>15</v>
      </c>
      <c r="J705" s="226" t="s">
        <v>12</v>
      </c>
      <c r="K705" s="1142" t="s">
        <v>412</v>
      </c>
      <c r="L705" s="101" t="s">
        <v>15</v>
      </c>
      <c r="M705" s="70" t="s">
        <v>15</v>
      </c>
      <c r="N705" s="1215" t="s">
        <v>15</v>
      </c>
      <c r="O705" s="474" t="s">
        <v>15</v>
      </c>
      <c r="P705" s="474" t="s">
        <v>15</v>
      </c>
      <c r="Q705" s="195" t="s">
        <v>15</v>
      </c>
      <c r="R705" s="195" t="s">
        <v>15</v>
      </c>
      <c r="S705" s="86">
        <v>2801.7689999999998</v>
      </c>
      <c r="T705" s="151">
        <v>0.2</v>
      </c>
      <c r="U705" s="862"/>
      <c r="V705" s="2163"/>
      <c r="W705" s="982" t="s">
        <v>49</v>
      </c>
      <c r="X705" s="291" t="s">
        <v>457</v>
      </c>
      <c r="Y705" s="550">
        <f>((11*$R$696)+(77000*$R$697)+$R$698+$R$700+$R$702+$T$703)*(1+$T$705)</f>
        <v>4816.5775596279154</v>
      </c>
      <c r="Z705" s="539">
        <f>Y705-Y704</f>
        <v>0</v>
      </c>
      <c r="AA705" s="172">
        <f>(11-11)*$P$696</f>
        <v>0</v>
      </c>
      <c r="AB705" s="923"/>
      <c r="AC705" s="26"/>
      <c r="AD705" s="24"/>
      <c r="AE705" s="26"/>
      <c r="AF705" s="75"/>
      <c r="AG705" s="26"/>
      <c r="AH705" s="957"/>
      <c r="AI705" s="957"/>
      <c r="AJ705" s="957"/>
      <c r="AK705" s="957"/>
      <c r="AL705" s="957"/>
      <c r="AM705" s="957"/>
      <c r="AN705" s="957"/>
      <c r="AO705" s="957"/>
      <c r="AP705" s="957"/>
      <c r="AQ705" s="957"/>
      <c r="AR705" s="957"/>
      <c r="AS705" s="957"/>
      <c r="AT705" s="957"/>
      <c r="AU705" s="957"/>
      <c r="AV705" s="957"/>
      <c r="AW705" s="957"/>
      <c r="AX705" s="957"/>
      <c r="AY705" s="957"/>
      <c r="AZ705" s="957"/>
      <c r="BA705" s="957"/>
      <c r="BB705" s="957"/>
      <c r="BC705" s="957"/>
      <c r="BD705" s="957"/>
      <c r="BE705" s="957"/>
      <c r="BF705" s="957"/>
      <c r="BG705" s="957"/>
    </row>
    <row r="706" spans="1:123">
      <c r="A706" s="2172"/>
      <c r="B706" s="817" t="s">
        <v>402</v>
      </c>
      <c r="C706" s="356" t="s">
        <v>12</v>
      </c>
      <c r="D706" s="78" t="s">
        <v>15</v>
      </c>
      <c r="E706" s="78" t="s">
        <v>15</v>
      </c>
      <c r="F706" s="78" t="s">
        <v>15</v>
      </c>
      <c r="G706" s="199" t="s">
        <v>15</v>
      </c>
      <c r="H706" s="78" t="s">
        <v>15</v>
      </c>
      <c r="I706" s="70" t="s">
        <v>15</v>
      </c>
      <c r="J706" s="226" t="s">
        <v>12</v>
      </c>
      <c r="K706" s="1142" t="s">
        <v>413</v>
      </c>
      <c r="L706" s="101" t="s">
        <v>15</v>
      </c>
      <c r="M706" s="70" t="s">
        <v>15</v>
      </c>
      <c r="N706" s="1215" t="s">
        <v>15</v>
      </c>
      <c r="O706" s="474" t="s">
        <v>15</v>
      </c>
      <c r="P706" s="474" t="s">
        <v>15</v>
      </c>
      <c r="Q706" s="195" t="s">
        <v>15</v>
      </c>
      <c r="R706" s="195" t="s">
        <v>15</v>
      </c>
      <c r="S706" s="26"/>
      <c r="T706" s="26"/>
      <c r="V706" s="2163"/>
      <c r="W706" s="982" t="s">
        <v>49</v>
      </c>
      <c r="X706" s="291" t="s">
        <v>458</v>
      </c>
      <c r="Y706" s="550">
        <f>((11.5*$R$696)+(77000*$R$697)+$R$698+$R$700+$R$702+$T$703)*(1+$T$705)</f>
        <v>6203.9132556279101</v>
      </c>
      <c r="Z706" s="539">
        <f>Y706-Y704</f>
        <v>1387.3356959999946</v>
      </c>
      <c r="AA706" s="172">
        <f>(11.5-11)*$P$696</f>
        <v>573.70359499999995</v>
      </c>
      <c r="AB706" s="923"/>
      <c r="AC706" s="26"/>
      <c r="AD706" s="24"/>
      <c r="AE706" s="26"/>
      <c r="AF706" s="75"/>
      <c r="AG706" s="26"/>
      <c r="AH706" s="957"/>
      <c r="AI706" s="957"/>
      <c r="AJ706" s="957"/>
      <c r="AK706" s="957"/>
      <c r="AL706" s="957"/>
      <c r="AM706" s="957"/>
      <c r="AN706" s="957"/>
      <c r="AO706" s="957"/>
      <c r="AP706" s="957"/>
      <c r="AQ706" s="957"/>
      <c r="AR706" s="957"/>
      <c r="AS706" s="957"/>
      <c r="AT706" s="957"/>
      <c r="AU706" s="957"/>
      <c r="AV706" s="957"/>
      <c r="AW706" s="957"/>
      <c r="AX706" s="957"/>
      <c r="AY706" s="957"/>
      <c r="AZ706" s="957"/>
      <c r="BA706" s="957"/>
      <c r="BB706" s="957"/>
      <c r="BC706" s="957"/>
      <c r="BD706" s="957"/>
      <c r="BE706" s="957"/>
      <c r="BF706" s="957"/>
      <c r="BG706" s="957"/>
    </row>
    <row r="707" spans="1:123">
      <c r="A707" s="2172"/>
      <c r="B707" s="817" t="s">
        <v>411</v>
      </c>
      <c r="C707" s="356" t="s">
        <v>12</v>
      </c>
      <c r="D707" s="78" t="s">
        <v>15</v>
      </c>
      <c r="E707" s="78" t="s">
        <v>15</v>
      </c>
      <c r="F707" s="78" t="s">
        <v>15</v>
      </c>
      <c r="G707" s="199" t="s">
        <v>15</v>
      </c>
      <c r="H707" s="78" t="s">
        <v>15</v>
      </c>
      <c r="I707" s="70" t="s">
        <v>15</v>
      </c>
      <c r="J707" s="226" t="s">
        <v>12</v>
      </c>
      <c r="K707" s="1142" t="s">
        <v>414</v>
      </c>
      <c r="L707" s="101" t="s">
        <v>15</v>
      </c>
      <c r="M707" s="70" t="s">
        <v>15</v>
      </c>
      <c r="N707" s="1215" t="s">
        <v>15</v>
      </c>
      <c r="O707" s="474" t="s">
        <v>15</v>
      </c>
      <c r="P707" s="474" t="s">
        <v>15</v>
      </c>
      <c r="Q707" s="195" t="s">
        <v>15</v>
      </c>
      <c r="R707" s="195" t="s">
        <v>15</v>
      </c>
      <c r="S707" s="26"/>
      <c r="T707" s="26"/>
      <c r="V707" s="2163"/>
      <c r="W707" s="982" t="s">
        <v>49</v>
      </c>
      <c r="X707" s="291" t="s">
        <v>459</v>
      </c>
      <c r="Y707" s="550">
        <f>((12*$R$696)+(77000*$R$697)+$R$698+$R$700+$R$702+$T$703)*(1+$T$705)</f>
        <v>7591.2489516279093</v>
      </c>
      <c r="Z707" s="539">
        <f>Y707-Y704</f>
        <v>2774.6713919999938</v>
      </c>
      <c r="AA707" s="172">
        <f>(12-11)*$P$696</f>
        <v>1147.4071899999999</v>
      </c>
      <c r="AB707" s="923"/>
      <c r="AC707" s="26"/>
      <c r="AD707" s="24"/>
      <c r="AE707" s="26"/>
      <c r="AF707" s="75"/>
      <c r="AG707" s="26"/>
      <c r="AH707" s="957"/>
      <c r="AI707" s="957"/>
      <c r="AJ707" s="957"/>
      <c r="AK707" s="957"/>
      <c r="AL707" s="957"/>
      <c r="AM707" s="957"/>
      <c r="AN707" s="957"/>
      <c r="AO707" s="957"/>
      <c r="AP707" s="957"/>
      <c r="AQ707" s="957"/>
      <c r="AR707" s="957"/>
      <c r="AS707" s="957"/>
      <c r="AT707" s="957"/>
      <c r="AU707" s="957"/>
      <c r="AV707" s="957"/>
      <c r="AW707" s="957"/>
      <c r="AX707" s="957"/>
      <c r="AY707" s="957"/>
      <c r="AZ707" s="957"/>
      <c r="BA707" s="957"/>
      <c r="BB707" s="957"/>
      <c r="BC707" s="957"/>
      <c r="BD707" s="957"/>
      <c r="BE707" s="957"/>
      <c r="BF707" s="957"/>
      <c r="BG707" s="957"/>
    </row>
    <row r="708" spans="1:123" ht="15" customHeight="1">
      <c r="A708" s="2172"/>
      <c r="B708" s="2116" t="s">
        <v>194</v>
      </c>
      <c r="C708" s="41"/>
      <c r="D708" s="26"/>
      <c r="E708" s="26"/>
      <c r="F708" s="26"/>
      <c r="G708" s="26"/>
      <c r="H708" s="26"/>
      <c r="I708" s="26"/>
      <c r="J708" s="227"/>
      <c r="K708" s="206"/>
      <c r="L708" s="75"/>
      <c r="M708" s="26"/>
      <c r="N708" s="1210"/>
      <c r="O708" s="475"/>
      <c r="P708" s="475"/>
      <c r="Q708" s="252"/>
      <c r="R708" s="264"/>
      <c r="S708" s="26"/>
      <c r="T708" s="26"/>
      <c r="V708" s="2163"/>
      <c r="W708" s="982" t="s">
        <v>47</v>
      </c>
      <c r="X708" s="291" t="s">
        <v>460</v>
      </c>
      <c r="Y708" s="550">
        <f>((11*$R$696)+(112000*$R$697)+$R$698+$R$700+$R$702+$T$703)*(1+$T$705)</f>
        <v>8171.5375596279055</v>
      </c>
      <c r="Z708" s="169" t="s">
        <v>40</v>
      </c>
      <c r="AA708" s="172" t="s">
        <v>40</v>
      </c>
      <c r="AB708" s="923"/>
      <c r="AC708" s="26"/>
      <c r="AD708" s="24"/>
      <c r="AE708" s="26"/>
      <c r="AF708" s="75"/>
      <c r="AG708" s="26"/>
      <c r="AH708" s="957"/>
      <c r="AI708" s="957"/>
      <c r="AJ708" s="957"/>
      <c r="AK708" s="957"/>
      <c r="AL708" s="957"/>
      <c r="AM708" s="957"/>
      <c r="AN708" s="957"/>
      <c r="AO708" s="957"/>
      <c r="AP708" s="957"/>
      <c r="AQ708" s="957"/>
      <c r="AR708" s="957"/>
      <c r="AS708" s="957"/>
      <c r="AT708" s="957"/>
      <c r="AU708" s="957"/>
      <c r="AV708" s="957"/>
      <c r="AW708" s="957"/>
      <c r="AX708" s="957"/>
      <c r="AY708" s="957"/>
      <c r="AZ708" s="957"/>
      <c r="BA708" s="957"/>
      <c r="BB708" s="957"/>
      <c r="BC708" s="957"/>
      <c r="BD708" s="957"/>
      <c r="BE708" s="957"/>
      <c r="BF708" s="957"/>
      <c r="BG708" s="957"/>
    </row>
    <row r="709" spans="1:123">
      <c r="A709" s="2172"/>
      <c r="B709" s="2117"/>
      <c r="C709" s="41"/>
      <c r="D709" s="26"/>
      <c r="E709" s="26"/>
      <c r="F709" s="26"/>
      <c r="G709" s="26"/>
      <c r="H709" s="26"/>
      <c r="I709" s="26"/>
      <c r="J709" s="227"/>
      <c r="K709" s="206"/>
      <c r="L709" s="75"/>
      <c r="M709" s="26"/>
      <c r="N709" s="1210"/>
      <c r="O709" s="475"/>
      <c r="P709" s="475"/>
      <c r="Q709" s="252"/>
      <c r="R709" s="264"/>
      <c r="S709" s="26"/>
      <c r="T709" s="26"/>
      <c r="V709" s="2163"/>
      <c r="W709" s="982" t="s">
        <v>49</v>
      </c>
      <c r="X709" s="291" t="s">
        <v>461</v>
      </c>
      <c r="Y709" s="550">
        <f>((11*$R$696)+(112000*$R$697)+$R$698+$R$700+$R$702+$T$703)*(1+$T$705)</f>
        <v>8171.5375596279055</v>
      </c>
      <c r="Z709" s="539">
        <f>Y709-Y708</f>
        <v>0</v>
      </c>
      <c r="AA709" s="172">
        <f>(11-11)*$P$696</f>
        <v>0</v>
      </c>
      <c r="AB709" s="923"/>
      <c r="AC709" s="26"/>
      <c r="AD709" s="24"/>
      <c r="AE709" s="26"/>
      <c r="AF709" s="75"/>
      <c r="AG709" s="26"/>
      <c r="AH709" s="957"/>
      <c r="AI709" s="957"/>
      <c r="AJ709" s="957"/>
      <c r="AK709" s="957"/>
      <c r="AL709" s="957"/>
      <c r="AM709" s="957"/>
      <c r="AN709" s="957"/>
      <c r="AO709" s="957"/>
      <c r="AP709" s="957"/>
      <c r="AQ709" s="957"/>
      <c r="AR709" s="957"/>
      <c r="AS709" s="957"/>
      <c r="AT709" s="957"/>
      <c r="AU709" s="957"/>
      <c r="AV709" s="957"/>
      <c r="AW709" s="957"/>
      <c r="AX709" s="957"/>
      <c r="AY709" s="957"/>
      <c r="AZ709" s="957"/>
      <c r="BA709" s="957"/>
      <c r="BB709" s="957"/>
      <c r="BC709" s="957"/>
      <c r="BD709" s="957"/>
      <c r="BE709" s="957"/>
      <c r="BF709" s="957"/>
      <c r="BG709" s="957"/>
    </row>
    <row r="710" spans="1:123">
      <c r="A710" s="2172"/>
      <c r="B710" s="2117"/>
      <c r="C710" s="41"/>
      <c r="D710" s="26"/>
      <c r="E710" s="26"/>
      <c r="F710" s="26"/>
      <c r="G710" s="26"/>
      <c r="H710" s="26"/>
      <c r="I710" s="26"/>
      <c r="J710" s="227"/>
      <c r="K710" s="206"/>
      <c r="L710" s="75"/>
      <c r="M710" s="26"/>
      <c r="N710" s="1210"/>
      <c r="O710" s="475"/>
      <c r="P710" s="475"/>
      <c r="Q710" s="252"/>
      <c r="R710" s="264"/>
      <c r="S710" s="26"/>
      <c r="T710" s="26"/>
      <c r="V710" s="2163"/>
      <c r="W710" s="982" t="s">
        <v>49</v>
      </c>
      <c r="X710" s="291" t="s">
        <v>462</v>
      </c>
      <c r="Y710" s="550">
        <f>((11.5*$R$696)+(112000*$R$697)+$R$698+$R$700+$R$702+$T$703)*(1+$T$705)</f>
        <v>9558.8732556279174</v>
      </c>
      <c r="Z710" s="539">
        <f>Y710-Y708</f>
        <v>1387.3356960000119</v>
      </c>
      <c r="AA710" s="172">
        <f>(11.5-11)*$P$696</f>
        <v>573.70359499999995</v>
      </c>
      <c r="AB710" s="923"/>
      <c r="AC710" s="26"/>
      <c r="AD710" s="24"/>
      <c r="AE710" s="26"/>
      <c r="AF710" s="75"/>
      <c r="AG710" s="26"/>
      <c r="AH710" s="957"/>
      <c r="AI710" s="957"/>
      <c r="AJ710" s="957"/>
      <c r="AK710" s="957"/>
      <c r="AL710" s="957"/>
      <c r="AM710" s="957"/>
      <c r="AN710" s="957"/>
      <c r="AO710" s="957"/>
      <c r="AP710" s="957"/>
      <c r="AQ710" s="957"/>
      <c r="AR710" s="957"/>
      <c r="AS710" s="957"/>
      <c r="AT710" s="957"/>
      <c r="AU710" s="957"/>
      <c r="AV710" s="957"/>
      <c r="AW710" s="957"/>
      <c r="AX710" s="957"/>
      <c r="AY710" s="957"/>
      <c r="AZ710" s="957"/>
      <c r="BA710" s="957"/>
      <c r="BB710" s="957"/>
      <c r="BC710" s="957"/>
      <c r="BD710" s="957"/>
      <c r="BE710" s="957"/>
      <c r="BF710" s="957"/>
      <c r="BG710" s="957"/>
    </row>
    <row r="711" spans="1:123">
      <c r="A711" s="2172"/>
      <c r="B711" s="2117"/>
      <c r="C711" s="41"/>
      <c r="D711" s="26"/>
      <c r="E711" s="26"/>
      <c r="F711" s="26"/>
      <c r="G711" s="26"/>
      <c r="H711" s="26"/>
      <c r="I711" s="26"/>
      <c r="J711" s="227"/>
      <c r="K711" s="206"/>
      <c r="L711" s="75"/>
      <c r="M711" s="26"/>
      <c r="N711" s="1210"/>
      <c r="O711" s="475"/>
      <c r="P711" s="475"/>
      <c r="Q711" s="252"/>
      <c r="R711" s="264"/>
      <c r="S711" s="26"/>
      <c r="T711" s="26"/>
      <c r="V711" s="2163"/>
      <c r="W711" s="982" t="s">
        <v>49</v>
      </c>
      <c r="X711" s="291" t="s">
        <v>463</v>
      </c>
      <c r="Y711" s="550">
        <f>((12*$R$696)+(112000*$R$697)+$R$698+$R$700+$R$702+$T$703)*(1+$T$705)</f>
        <v>10946.208951627912</v>
      </c>
      <c r="Z711" s="539">
        <f>Y711-Y708</f>
        <v>2774.6713920000066</v>
      </c>
      <c r="AA711" s="172">
        <f>(12-11)*$P$696</f>
        <v>1147.4071899999999</v>
      </c>
      <c r="AB711" s="923"/>
      <c r="AC711" s="26"/>
      <c r="AD711" s="24"/>
      <c r="AE711" s="26"/>
      <c r="AF711" s="75"/>
      <c r="AG711" s="26"/>
      <c r="AH711" s="957"/>
      <c r="AI711" s="957"/>
      <c r="AJ711" s="957"/>
      <c r="AK711" s="957"/>
      <c r="AL711" s="957"/>
      <c r="AM711" s="957"/>
      <c r="AN711" s="957"/>
      <c r="AO711" s="957"/>
      <c r="AP711" s="957"/>
      <c r="AQ711" s="957"/>
      <c r="AR711" s="957"/>
      <c r="AS711" s="957"/>
      <c r="AT711" s="957"/>
      <c r="AU711" s="957"/>
      <c r="AV711" s="957"/>
      <c r="AW711" s="957"/>
      <c r="AX711" s="957"/>
      <c r="AY711" s="957"/>
      <c r="AZ711" s="957"/>
      <c r="BA711" s="957"/>
      <c r="BB711" s="957"/>
      <c r="BC711" s="957"/>
      <c r="BD711" s="957"/>
      <c r="BE711" s="957"/>
      <c r="BF711" s="957"/>
      <c r="BG711" s="957"/>
    </row>
    <row r="712" spans="1:123">
      <c r="A712" s="2172"/>
      <c r="B712" s="2117"/>
      <c r="C712" s="41"/>
      <c r="D712" s="26"/>
      <c r="E712" s="26"/>
      <c r="F712" s="26"/>
      <c r="G712" s="26"/>
      <c r="H712" s="26"/>
      <c r="I712" s="26"/>
      <c r="J712" s="227"/>
      <c r="K712" s="206"/>
      <c r="L712" s="75"/>
      <c r="M712" s="26"/>
      <c r="N712" s="1210"/>
      <c r="O712" s="475"/>
      <c r="P712" s="475"/>
      <c r="Q712" s="252"/>
      <c r="R712" s="264"/>
      <c r="S712" s="26"/>
      <c r="T712" s="26"/>
      <c r="V712" s="2163"/>
      <c r="W712" s="982" t="s">
        <v>47</v>
      </c>
      <c r="X712" s="291" t="s">
        <v>464</v>
      </c>
      <c r="Y712" s="550">
        <f>((9.5*$R$696)+(760000*$R$697)+$R$698+$R$700+$R$702+$T$703)*(1+$T$705)</f>
        <v>66124.218471627915</v>
      </c>
      <c r="Z712" s="169" t="s">
        <v>40</v>
      </c>
      <c r="AA712" s="172" t="s">
        <v>40</v>
      </c>
      <c r="AB712" s="923"/>
      <c r="AC712" s="26"/>
      <c r="AD712" s="24"/>
      <c r="AE712" s="26"/>
      <c r="AF712" s="75"/>
      <c r="AG712" s="26"/>
      <c r="AH712" s="957"/>
      <c r="AI712" s="957"/>
      <c r="AJ712" s="957"/>
      <c r="AK712" s="957"/>
      <c r="AL712" s="957"/>
      <c r="AM712" s="957"/>
      <c r="AN712" s="957"/>
      <c r="AO712" s="957"/>
      <c r="AP712" s="957"/>
      <c r="AQ712" s="957"/>
      <c r="AR712" s="957"/>
      <c r="AS712" s="957"/>
      <c r="AT712" s="957"/>
      <c r="AU712" s="957"/>
      <c r="AV712" s="957"/>
      <c r="AW712" s="957"/>
      <c r="AX712" s="957"/>
      <c r="AY712" s="957"/>
      <c r="AZ712" s="957"/>
      <c r="BA712" s="957"/>
      <c r="BB712" s="957"/>
      <c r="BC712" s="957"/>
      <c r="BD712" s="957"/>
      <c r="BE712" s="957"/>
      <c r="BF712" s="957"/>
      <c r="BG712" s="957"/>
    </row>
    <row r="713" spans="1:123">
      <c r="A713" s="2172"/>
      <c r="B713" s="2117"/>
      <c r="C713" s="41"/>
      <c r="D713" s="26"/>
      <c r="E713" s="26"/>
      <c r="F713" s="26"/>
      <c r="G713" s="26"/>
      <c r="H713" s="26"/>
      <c r="I713" s="26"/>
      <c r="J713" s="227"/>
      <c r="K713" s="206"/>
      <c r="L713" s="75"/>
      <c r="M713" s="26"/>
      <c r="N713" s="1210"/>
      <c r="O713" s="475"/>
      <c r="P713" s="475"/>
      <c r="Q713" s="252"/>
      <c r="R713" s="264"/>
      <c r="S713" s="26"/>
      <c r="T713" s="26"/>
      <c r="V713" s="2163"/>
      <c r="W713" s="982" t="s">
        <v>49</v>
      </c>
      <c r="X713" s="291" t="s">
        <v>465</v>
      </c>
      <c r="Y713" s="550">
        <f>((10.2*$R$696)+(760000*$R$697)+$R$698+$R$700+$R$702+$T$703)*(1+$T$705)</f>
        <v>68066.488446027899</v>
      </c>
      <c r="Z713" s="539">
        <f>Y713-Y712</f>
        <v>1942.2699743999838</v>
      </c>
      <c r="AA713" s="172">
        <f>(10.2-9.5)*$P$696</f>
        <v>803.18503299999907</v>
      </c>
      <c r="AB713" s="923"/>
      <c r="AC713" s="26"/>
      <c r="AD713" s="24"/>
      <c r="AE713" s="26"/>
      <c r="AF713" s="75"/>
      <c r="AG713" s="26"/>
      <c r="AH713" s="957"/>
      <c r="AI713" s="957"/>
      <c r="AJ713" s="957"/>
      <c r="AK713" s="957"/>
      <c r="AL713" s="957"/>
      <c r="AM713" s="957"/>
      <c r="AN713" s="957"/>
      <c r="AO713" s="957"/>
      <c r="AP713" s="957"/>
      <c r="AQ713" s="957"/>
      <c r="AR713" s="957"/>
      <c r="AS713" s="957"/>
      <c r="AT713" s="957"/>
      <c r="AU713" s="957"/>
      <c r="AV713" s="957"/>
      <c r="AW713" s="957"/>
      <c r="AX713" s="957"/>
      <c r="AY713" s="957"/>
      <c r="AZ713" s="957"/>
      <c r="BA713" s="957"/>
      <c r="BB713" s="957"/>
      <c r="BC713" s="957"/>
      <c r="BD713" s="957"/>
      <c r="BE713" s="957"/>
      <c r="BF713" s="957"/>
      <c r="BG713" s="957"/>
    </row>
    <row r="714" spans="1:123">
      <c r="A714" s="2172"/>
      <c r="B714" s="2117"/>
      <c r="C714" s="41"/>
      <c r="D714" s="26"/>
      <c r="E714" s="26"/>
      <c r="F714" s="26"/>
      <c r="G714" s="26"/>
      <c r="H714" s="26"/>
      <c r="I714" s="26"/>
      <c r="J714" s="227"/>
      <c r="K714" s="206"/>
      <c r="L714" s="75"/>
      <c r="M714" s="26"/>
      <c r="N714" s="1210"/>
      <c r="O714" s="475"/>
      <c r="P714" s="475"/>
      <c r="Q714" s="252"/>
      <c r="R714" s="264"/>
      <c r="S714" s="26"/>
      <c r="T714" s="26"/>
      <c r="V714" s="2163"/>
      <c r="W714" s="982" t="s">
        <v>49</v>
      </c>
      <c r="X714" s="291" t="s">
        <v>466</v>
      </c>
      <c r="Y714" s="550">
        <f>((9.5*$R$696)+(760000*$R$697)+$R$698+$R$700+$R$702+$T$703)*(1+$T$705)</f>
        <v>66124.218471627915</v>
      </c>
      <c r="Z714" s="539">
        <f>Y714-Y712</f>
        <v>0</v>
      </c>
      <c r="AA714" s="172">
        <f>(9.5-9.5)*$P$696</f>
        <v>0</v>
      </c>
      <c r="AB714" s="923"/>
      <c r="AC714" s="26"/>
      <c r="AD714" s="24"/>
      <c r="AE714" s="26"/>
      <c r="AF714" s="75"/>
      <c r="AG714" s="26"/>
      <c r="AH714" s="957"/>
      <c r="AI714" s="957"/>
      <c r="AJ714" s="957"/>
      <c r="AK714" s="957"/>
      <c r="AL714" s="957"/>
      <c r="AM714" s="957"/>
      <c r="AN714" s="957"/>
      <c r="AO714" s="957"/>
      <c r="AP714" s="957"/>
      <c r="AQ714" s="957"/>
      <c r="AR714" s="957"/>
      <c r="AS714" s="957"/>
      <c r="AT714" s="957"/>
      <c r="AU714" s="957"/>
      <c r="AV714" s="957"/>
      <c r="AW714" s="957"/>
      <c r="AX714" s="957"/>
      <c r="AY714" s="957"/>
      <c r="AZ714" s="957"/>
      <c r="BA714" s="957"/>
      <c r="BB714" s="957"/>
      <c r="BC714" s="957"/>
      <c r="BD714" s="957"/>
      <c r="BE714" s="957"/>
      <c r="BF714" s="957"/>
      <c r="BG714" s="957"/>
    </row>
    <row r="715" spans="1:123" ht="15.75" thickBot="1">
      <c r="A715" s="2188"/>
      <c r="B715" s="2118"/>
      <c r="C715" s="813"/>
      <c r="D715" s="26"/>
      <c r="E715" s="26"/>
      <c r="F715" s="26"/>
      <c r="G715" s="26"/>
      <c r="H715" s="26"/>
      <c r="I715" s="26"/>
      <c r="J715" s="228"/>
      <c r="K715" s="206"/>
      <c r="L715" s="186"/>
      <c r="M715" s="26"/>
      <c r="N715" s="1216"/>
      <c r="O715" s="476"/>
      <c r="P715" s="476"/>
      <c r="Q715" s="255"/>
      <c r="R715" s="265"/>
      <c r="S715" s="26"/>
      <c r="T715" s="26"/>
      <c r="V715" s="2414"/>
      <c r="W715" s="982" t="s">
        <v>49</v>
      </c>
      <c r="X715" s="291" t="s">
        <v>467</v>
      </c>
      <c r="Y715" s="550">
        <f>((9.7*$R$696)+(760000*$R$697)+$R$698+$R$700+$R$702+$T$703)*(1+$T$705)</f>
        <v>66679.152750027904</v>
      </c>
      <c r="Z715" s="539">
        <f>Y715-Y712</f>
        <v>554.93427839998913</v>
      </c>
      <c r="AA715" s="320">
        <f>(9.7-9.5)*$P$696</f>
        <v>229.48143799999917</v>
      </c>
      <c r="AB715" s="923"/>
      <c r="AC715" s="26"/>
      <c r="AD715" s="240"/>
      <c r="AE715" s="764"/>
      <c r="AF715" s="186"/>
      <c r="AG715" s="26"/>
      <c r="AH715" s="957"/>
      <c r="AI715" s="957"/>
      <c r="AJ715" s="957"/>
      <c r="AK715" s="957"/>
      <c r="AL715" s="957"/>
      <c r="AM715" s="957"/>
      <c r="AN715" s="957"/>
      <c r="AO715" s="957"/>
      <c r="AP715" s="957"/>
      <c r="AQ715" s="957"/>
      <c r="AR715" s="957"/>
      <c r="AS715" s="957"/>
      <c r="AT715" s="957"/>
      <c r="AU715" s="957"/>
      <c r="AV715" s="957"/>
      <c r="AW715" s="957"/>
      <c r="AX715" s="957"/>
      <c r="AY715" s="957"/>
      <c r="AZ715" s="957"/>
      <c r="BA715" s="957"/>
      <c r="BB715" s="957"/>
      <c r="BC715" s="957"/>
      <c r="BD715" s="957"/>
      <c r="BE715" s="957"/>
      <c r="BF715" s="957"/>
      <c r="BG715" s="957"/>
    </row>
    <row r="716" spans="1:123" s="705" customFormat="1" ht="9" customHeight="1" thickBot="1">
      <c r="A716" s="695"/>
      <c r="B716" s="815"/>
      <c r="C716" s="684"/>
      <c r="D716" s="683"/>
      <c r="E716" s="683"/>
      <c r="F716" s="683"/>
      <c r="G716" s="683"/>
      <c r="H716" s="683"/>
      <c r="I716" s="683"/>
      <c r="J716" s="682"/>
      <c r="K716" s="683"/>
      <c r="L716" s="682"/>
      <c r="M716" s="685"/>
      <c r="N716" s="1189"/>
      <c r="O716" s="686"/>
      <c r="P716" s="686"/>
      <c r="Q716" s="687"/>
      <c r="R716" s="687"/>
      <c r="S716" s="688"/>
      <c r="T716" s="688"/>
      <c r="U716" s="854"/>
      <c r="V716" s="893"/>
      <c r="W716" s="685"/>
      <c r="X716" s="685"/>
      <c r="Y716" s="688"/>
      <c r="Z716" s="688"/>
      <c r="AA716" s="688"/>
      <c r="AB716" s="846"/>
      <c r="AC716" s="685"/>
      <c r="AD716" s="685"/>
      <c r="AE716" s="685"/>
      <c r="AF716" s="689"/>
      <c r="AG716" s="685"/>
      <c r="AH716" s="958"/>
      <c r="AI716" s="958"/>
      <c r="AJ716" s="958"/>
      <c r="AK716" s="958"/>
      <c r="AL716" s="958"/>
      <c r="AM716" s="959"/>
      <c r="AN716" s="959"/>
      <c r="AO716" s="959"/>
      <c r="AP716" s="959"/>
      <c r="AQ716" s="959"/>
      <c r="AR716" s="959"/>
      <c r="AS716" s="959"/>
      <c r="AT716" s="959"/>
      <c r="AU716" s="959"/>
      <c r="AV716" s="959"/>
      <c r="AW716" s="959"/>
      <c r="AX716" s="959"/>
      <c r="AY716" s="959"/>
      <c r="AZ716" s="959"/>
      <c r="BA716" s="959"/>
      <c r="BB716" s="959"/>
      <c r="BC716" s="959"/>
      <c r="BD716" s="959"/>
      <c r="BE716" s="959"/>
      <c r="BF716" s="959"/>
      <c r="BG716" s="959"/>
      <c r="BH716" s="1125"/>
      <c r="CF716" s="692"/>
      <c r="CG716" s="692"/>
      <c r="CH716" s="692"/>
      <c r="CI716" s="692"/>
      <c r="CJ716" s="692"/>
      <c r="CK716" s="692"/>
      <c r="CL716" s="692"/>
      <c r="CM716" s="692"/>
      <c r="CN716" s="692"/>
      <c r="CO716" s="692"/>
      <c r="CP716" s="692"/>
      <c r="CQ716" s="692"/>
      <c r="CR716" s="692"/>
      <c r="CS716" s="692"/>
      <c r="CT716" s="692"/>
      <c r="CU716" s="692"/>
      <c r="CV716" s="692"/>
      <c r="CW716" s="692"/>
      <c r="CX716" s="692"/>
      <c r="CY716" s="692"/>
      <c r="CZ716" s="692"/>
      <c r="DA716" s="692"/>
      <c r="DB716" s="692"/>
      <c r="DC716" s="692"/>
      <c r="DD716" s="692"/>
      <c r="DE716" s="692"/>
      <c r="DF716" s="692"/>
      <c r="DG716" s="692"/>
      <c r="DH716" s="692"/>
      <c r="DI716" s="693"/>
      <c r="DJ716" s="692"/>
      <c r="DK716" s="692"/>
      <c r="DL716" s="692"/>
      <c r="DM716" s="692"/>
      <c r="DN716" s="692"/>
      <c r="DO716" s="692"/>
      <c r="DP716" s="692"/>
      <c r="DQ716" s="692"/>
      <c r="DR716" s="692"/>
      <c r="DS716" s="692"/>
    </row>
    <row r="717" spans="1:123" ht="15" customHeight="1">
      <c r="A717" s="2119" t="s">
        <v>507</v>
      </c>
      <c r="B717" s="819" t="s">
        <v>394</v>
      </c>
      <c r="C717" s="810" t="s">
        <v>12</v>
      </c>
      <c r="D717" s="86" t="s">
        <v>420</v>
      </c>
      <c r="E717" s="213">
        <v>37</v>
      </c>
      <c r="F717" s="94">
        <v>202.35409999999999</v>
      </c>
      <c r="G717" s="94">
        <v>96.027709999999999</v>
      </c>
      <c r="H717" s="58">
        <v>103957.36</v>
      </c>
      <c r="I717" s="99">
        <v>46978.97</v>
      </c>
      <c r="J717" s="147" t="s">
        <v>12</v>
      </c>
      <c r="K717" s="307" t="s">
        <v>78</v>
      </c>
      <c r="L717" s="1166" t="s">
        <v>15</v>
      </c>
      <c r="M717" s="1175" t="s">
        <v>15</v>
      </c>
      <c r="N717" s="1211">
        <v>504.8886</v>
      </c>
      <c r="O717" s="369">
        <v>40.67</v>
      </c>
      <c r="P717" s="369">
        <v>12.41361</v>
      </c>
      <c r="Q717" s="195" t="s">
        <v>15</v>
      </c>
      <c r="R717" s="128">
        <f>N717</f>
        <v>504.8886</v>
      </c>
      <c r="S717" s="127" t="s">
        <v>68</v>
      </c>
      <c r="T717" s="129" t="s">
        <v>69</v>
      </c>
      <c r="U717" s="858"/>
      <c r="V717" s="2162" t="s">
        <v>2749</v>
      </c>
      <c r="W717" s="232" t="s">
        <v>47</v>
      </c>
      <c r="X717" s="238" t="s">
        <v>427</v>
      </c>
      <c r="Y717" s="237" t="s">
        <v>15</v>
      </c>
      <c r="Z717" s="2285" t="s">
        <v>15</v>
      </c>
      <c r="AA717" s="2216" t="s">
        <v>15</v>
      </c>
      <c r="AB717" s="848"/>
      <c r="AC717" s="26"/>
      <c r="AD717" s="501"/>
      <c r="AE717" s="581"/>
      <c r="AF717" s="218" t="s">
        <v>47</v>
      </c>
      <c r="AG717" s="291" t="s">
        <v>430</v>
      </c>
      <c r="AH717" s="158">
        <f>Y719</f>
        <v>18617.052333249958</v>
      </c>
      <c r="AI717" s="159"/>
      <c r="AJ717" s="159"/>
      <c r="AK717" s="159"/>
      <c r="AL717" s="159"/>
      <c r="AM717" s="957"/>
      <c r="AN717" s="957"/>
      <c r="AO717" s="957"/>
      <c r="AP717" s="957"/>
      <c r="AQ717" s="957"/>
      <c r="AR717" s="957"/>
      <c r="AS717" s="957"/>
      <c r="AT717" s="957"/>
      <c r="AU717" s="957"/>
      <c r="AV717" s="957"/>
      <c r="AW717" s="957"/>
      <c r="AX717" s="957"/>
      <c r="AY717" s="957"/>
      <c r="AZ717" s="957"/>
      <c r="BA717" s="957"/>
      <c r="BB717" s="957"/>
      <c r="BC717" s="957"/>
      <c r="BD717" s="957"/>
      <c r="BE717" s="957"/>
      <c r="BF717" s="957"/>
      <c r="BG717" s="957"/>
    </row>
    <row r="718" spans="1:123" ht="15" customHeight="1">
      <c r="A718" s="2120"/>
      <c r="B718" s="817" t="s">
        <v>418</v>
      </c>
      <c r="C718" s="356" t="s">
        <v>12</v>
      </c>
      <c r="D718" s="86" t="s">
        <v>421</v>
      </c>
      <c r="E718" s="213">
        <v>37</v>
      </c>
      <c r="F718" s="94">
        <v>1.1822699999999999</v>
      </c>
      <c r="G718" s="94">
        <v>5.4672999999999999E-2</v>
      </c>
      <c r="H718" s="58">
        <v>103957.36</v>
      </c>
      <c r="I718" s="99">
        <v>46978.97</v>
      </c>
      <c r="J718" s="448" t="s">
        <v>12</v>
      </c>
      <c r="K718" s="15" t="s">
        <v>425</v>
      </c>
      <c r="L718" s="101" t="s">
        <v>15</v>
      </c>
      <c r="M718" s="70" t="s">
        <v>15</v>
      </c>
      <c r="N718" s="1211">
        <v>-113083.37480000001</v>
      </c>
      <c r="O718" s="369">
        <v>-5.19</v>
      </c>
      <c r="P718" s="369">
        <v>21774.981100000001</v>
      </c>
      <c r="Q718" s="195" t="s">
        <v>15</v>
      </c>
      <c r="R718" s="128">
        <f>N718</f>
        <v>-113083.37480000001</v>
      </c>
      <c r="S718" s="555" t="s">
        <v>133</v>
      </c>
      <c r="T718" s="17" t="s">
        <v>310</v>
      </c>
      <c r="U718" s="859"/>
      <c r="V718" s="2163"/>
      <c r="W718" s="982" t="s">
        <v>49</v>
      </c>
      <c r="X718" s="196" t="s">
        <v>428</v>
      </c>
      <c r="Y718" s="78" t="s">
        <v>15</v>
      </c>
      <c r="Z718" s="2286"/>
      <c r="AA718" s="2217"/>
      <c r="AB718" s="848"/>
      <c r="AC718" s="26"/>
      <c r="AD718" s="24"/>
      <c r="AE718" s="26"/>
      <c r="AF718" s="289" t="s">
        <v>49</v>
      </c>
      <c r="AG718" s="291" t="s">
        <v>429</v>
      </c>
      <c r="AH718" s="158">
        <f>Y720</f>
        <v>54238.315395249992</v>
      </c>
      <c r="AI718" s="159"/>
      <c r="AJ718" s="159">
        <f>488*50</f>
        <v>24400</v>
      </c>
      <c r="AK718" s="159">
        <f>552.09* 50</f>
        <v>27604.5</v>
      </c>
      <c r="AL718" s="159"/>
      <c r="AM718" s="957"/>
      <c r="AN718" s="957"/>
      <c r="AO718" s="957"/>
      <c r="AP718" s="957"/>
      <c r="AQ718" s="957"/>
      <c r="AR718" s="957"/>
      <c r="AS718" s="957"/>
      <c r="AT718" s="957"/>
      <c r="AU718" s="957"/>
      <c r="AV718" s="957"/>
      <c r="AW718" s="957"/>
      <c r="AX718" s="957"/>
      <c r="AY718" s="957"/>
      <c r="AZ718" s="957"/>
      <c r="BA718" s="957"/>
      <c r="BB718" s="957"/>
      <c r="BC718" s="957"/>
      <c r="BD718" s="957"/>
      <c r="BE718" s="957"/>
      <c r="BF718" s="957"/>
      <c r="BG718" s="957"/>
    </row>
    <row r="719" spans="1:123" ht="15" customHeight="1">
      <c r="A719" s="2120"/>
      <c r="B719" s="2191" t="s">
        <v>419</v>
      </c>
      <c r="C719" s="2179" t="s">
        <v>13</v>
      </c>
      <c r="D719" s="86" t="s">
        <v>422</v>
      </c>
      <c r="E719" s="213">
        <v>23</v>
      </c>
      <c r="F719" s="148" t="s">
        <v>15</v>
      </c>
      <c r="G719" s="148" t="s">
        <v>15</v>
      </c>
      <c r="H719" s="58">
        <v>123724.89</v>
      </c>
      <c r="I719" s="99">
        <v>41052.519999999997</v>
      </c>
      <c r="J719" s="2218" t="s">
        <v>13</v>
      </c>
      <c r="K719" s="15" t="s">
        <v>422</v>
      </c>
      <c r="L719" s="101" t="s">
        <v>15</v>
      </c>
      <c r="M719" s="70" t="s">
        <v>15</v>
      </c>
      <c r="N719" s="1211">
        <v>0</v>
      </c>
      <c r="O719" s="369" t="s">
        <v>204</v>
      </c>
      <c r="P719" s="369" t="s">
        <v>204</v>
      </c>
      <c r="Q719" s="195" t="s">
        <v>15</v>
      </c>
      <c r="R719" s="128">
        <f>N719</f>
        <v>0</v>
      </c>
      <c r="S719" s="127" t="s">
        <v>72</v>
      </c>
      <c r="T719" s="201" t="s">
        <v>119</v>
      </c>
      <c r="U719" s="855"/>
      <c r="V719" s="2163"/>
      <c r="W719" s="982" t="s">
        <v>47</v>
      </c>
      <c r="X719" s="291" t="s">
        <v>430</v>
      </c>
      <c r="Y719" s="200">
        <f>((50*$R$717)+($R$718*1.26)+$R$719+$R$722+$T$724)*(1+$T$726)</f>
        <v>18617.052333249958</v>
      </c>
      <c r="Z719" s="2213">
        <f>Y720-Y719</f>
        <v>35621.263062000035</v>
      </c>
      <c r="AA719" s="2214">
        <f>(1.26-1.008)*$P$718</f>
        <v>5487.2952372</v>
      </c>
      <c r="AB719" s="922"/>
      <c r="AC719" s="26"/>
      <c r="AD719" s="24"/>
      <c r="AE719" s="26"/>
      <c r="AF719" s="289" t="s">
        <v>47</v>
      </c>
      <c r="AG719" s="267" t="s">
        <v>512</v>
      </c>
      <c r="AH719" s="158">
        <f>Y723</f>
        <v>52820.089708249958</v>
      </c>
      <c r="AI719" s="2170">
        <f>50000*1.25</f>
        <v>62500</v>
      </c>
      <c r="AJ719" s="159"/>
      <c r="AK719" s="159"/>
      <c r="AL719" s="159"/>
      <c r="AM719" s="957"/>
      <c r="AN719" s="957"/>
      <c r="AO719" s="957"/>
      <c r="AP719" s="957"/>
      <c r="AQ719" s="957"/>
      <c r="AR719" s="957"/>
      <c r="AS719" s="957"/>
      <c r="AT719" s="957"/>
      <c r="AU719" s="957"/>
      <c r="AV719" s="957"/>
      <c r="AW719" s="957"/>
      <c r="AX719" s="957"/>
      <c r="AY719" s="957"/>
      <c r="AZ719" s="957"/>
      <c r="BA719" s="957"/>
      <c r="BB719" s="957"/>
      <c r="BC719" s="957"/>
      <c r="BD719" s="957"/>
      <c r="BE719" s="957"/>
      <c r="BF719" s="957"/>
      <c r="BG719" s="957"/>
    </row>
    <row r="720" spans="1:123" ht="15" customHeight="1">
      <c r="A720" s="2120"/>
      <c r="B720" s="2192"/>
      <c r="C720" s="2187"/>
      <c r="D720" s="86" t="s">
        <v>423</v>
      </c>
      <c r="E720" s="213">
        <v>14</v>
      </c>
      <c r="F720" s="148" t="s">
        <v>15</v>
      </c>
      <c r="G720" s="148" t="s">
        <v>15</v>
      </c>
      <c r="H720" s="58">
        <v>71482.14</v>
      </c>
      <c r="I720" s="99">
        <v>37849.620000000003</v>
      </c>
      <c r="J720" s="2219"/>
      <c r="K720" s="199" t="s">
        <v>15</v>
      </c>
      <c r="L720" s="101" t="s">
        <v>15</v>
      </c>
      <c r="M720" s="70" t="s">
        <v>15</v>
      </c>
      <c r="N720" s="1211">
        <v>2117.9998999999998</v>
      </c>
      <c r="O720" s="369">
        <v>0.77</v>
      </c>
      <c r="P720" s="369">
        <v>2736.4059600000001</v>
      </c>
      <c r="Q720" s="195" t="s">
        <v>15</v>
      </c>
      <c r="R720" s="128">
        <f>N720</f>
        <v>2117.9998999999998</v>
      </c>
      <c r="S720" s="423" t="s">
        <v>1435</v>
      </c>
      <c r="T720" s="202" t="s">
        <v>140</v>
      </c>
      <c r="U720" s="859"/>
      <c r="V720" s="2163"/>
      <c r="W720" s="982" t="s">
        <v>49</v>
      </c>
      <c r="X720" s="291" t="s">
        <v>429</v>
      </c>
      <c r="Y720" s="200">
        <f>((50*$R$717)+($R$718*1.008)+$R$719+$R$722+$T$724)*(1+$T$726)</f>
        <v>54238.315395249992</v>
      </c>
      <c r="Z720" s="2213"/>
      <c r="AA720" s="2214"/>
      <c r="AB720" s="922"/>
      <c r="AC720" s="26"/>
      <c r="AD720" s="24"/>
      <c r="AE720" s="26"/>
      <c r="AF720" s="289" t="s">
        <v>49</v>
      </c>
      <c r="AG720" s="267" t="s">
        <v>431</v>
      </c>
      <c r="AH720" s="158">
        <f>Y724</f>
        <v>88441.35277024997</v>
      </c>
      <c r="AI720" s="2170"/>
      <c r="AJ720" s="159"/>
      <c r="AK720" s="159"/>
      <c r="AL720" s="159"/>
      <c r="AM720" s="957"/>
      <c r="AN720" s="957"/>
      <c r="AO720" s="957"/>
      <c r="AP720" s="957"/>
      <c r="AQ720" s="957"/>
      <c r="AR720" s="957"/>
      <c r="AS720" s="957"/>
      <c r="AT720" s="957"/>
      <c r="AU720" s="957"/>
      <c r="AV720" s="957"/>
      <c r="AW720" s="957"/>
      <c r="AX720" s="957"/>
      <c r="AY720" s="957"/>
      <c r="AZ720" s="957"/>
      <c r="BA720" s="957"/>
      <c r="BB720" s="957"/>
      <c r="BC720" s="957"/>
      <c r="BD720" s="957"/>
      <c r="BE720" s="957"/>
      <c r="BF720" s="957"/>
      <c r="BG720" s="957"/>
    </row>
    <row r="721" spans="1:59" ht="15" customHeight="1">
      <c r="A721" s="2120"/>
      <c r="B721" s="2222"/>
      <c r="C721" s="2180"/>
      <c r="D721" s="196" t="s">
        <v>426</v>
      </c>
      <c r="E721" s="148" t="s">
        <v>15</v>
      </c>
      <c r="F721" s="148" t="s">
        <v>15</v>
      </c>
      <c r="G721" s="148" t="s">
        <v>15</v>
      </c>
      <c r="H721" s="148" t="s">
        <v>15</v>
      </c>
      <c r="I721" s="233" t="s">
        <v>15</v>
      </c>
      <c r="J721" s="2220"/>
      <c r="K721" s="1142" t="s">
        <v>426</v>
      </c>
      <c r="L721" s="101" t="s">
        <v>15</v>
      </c>
      <c r="M721" s="70" t="s">
        <v>15</v>
      </c>
      <c r="N721" s="1215" t="s">
        <v>15</v>
      </c>
      <c r="O721" s="474" t="s">
        <v>15</v>
      </c>
      <c r="P721" s="474" t="s">
        <v>15</v>
      </c>
      <c r="Q721" s="195" t="s">
        <v>15</v>
      </c>
      <c r="R721" s="195" t="s">
        <v>15</v>
      </c>
      <c r="S721" s="127" t="s">
        <v>74</v>
      </c>
      <c r="T721" s="203" t="s">
        <v>75</v>
      </c>
      <c r="U721" s="858"/>
      <c r="V721" s="2163"/>
      <c r="W721" s="982" t="s">
        <v>47</v>
      </c>
      <c r="X721" s="291" t="s">
        <v>1145</v>
      </c>
      <c r="Y721" s="200">
        <f>((130*$R$717)+($R$718*1.26)+$R$719+$R$722+$T$724)*(1+$T$726)</f>
        <v>69105.912333249958</v>
      </c>
      <c r="Z721" s="2213">
        <f>Y722-Y721</f>
        <v>35621.263062000013</v>
      </c>
      <c r="AA721" s="2214">
        <f>(1.26-1.008)*P718</f>
        <v>5487.2952372</v>
      </c>
      <c r="AB721" s="922"/>
      <c r="AC721" s="26"/>
      <c r="AD721" s="24"/>
      <c r="AE721" s="26"/>
      <c r="AF721" s="289" t="s">
        <v>47</v>
      </c>
      <c r="AG721" s="291" t="s">
        <v>1145</v>
      </c>
      <c r="AH721" s="158">
        <f>Y721</f>
        <v>69105.912333249958</v>
      </c>
      <c r="AI721" s="159"/>
      <c r="AJ721" s="159"/>
      <c r="AK721" s="159"/>
      <c r="AL721" s="2170">
        <v>92571</v>
      </c>
      <c r="AM721" s="957"/>
      <c r="AN721" s="957"/>
      <c r="AO721" s="957"/>
      <c r="AP721" s="957"/>
      <c r="AQ721" s="957"/>
      <c r="AR721" s="957"/>
      <c r="AS721" s="957"/>
      <c r="AT721" s="957"/>
      <c r="AU721" s="957"/>
      <c r="AV721" s="957"/>
      <c r="AW721" s="957"/>
      <c r="AX721" s="957"/>
      <c r="AY721" s="957"/>
      <c r="AZ721" s="957"/>
      <c r="BA721" s="957"/>
      <c r="BB721" s="957"/>
      <c r="BC721" s="957"/>
      <c r="BD721" s="957"/>
      <c r="BE721" s="957"/>
      <c r="BF721" s="957"/>
      <c r="BG721" s="957"/>
    </row>
    <row r="722" spans="1:59" ht="15" customHeight="1">
      <c r="A722" s="2120"/>
      <c r="B722" s="2161" t="s">
        <v>125</v>
      </c>
      <c r="C722" s="2144" t="s">
        <v>13</v>
      </c>
      <c r="D722" s="348" t="s">
        <v>190</v>
      </c>
      <c r="E722" s="213">
        <v>17</v>
      </c>
      <c r="F722" s="148" t="s">
        <v>15</v>
      </c>
      <c r="G722" s="148" t="s">
        <v>15</v>
      </c>
      <c r="H722" s="58">
        <v>106925.29</v>
      </c>
      <c r="I722" s="99">
        <v>52283.32</v>
      </c>
      <c r="J722" s="234" t="s">
        <v>15</v>
      </c>
      <c r="K722" s="233" t="s">
        <v>15</v>
      </c>
      <c r="L722" s="101" t="s">
        <v>15</v>
      </c>
      <c r="M722" s="70" t="s">
        <v>15</v>
      </c>
      <c r="N722" s="1211">
        <v>4253.6887999999999</v>
      </c>
      <c r="O722" s="369">
        <v>1.86</v>
      </c>
      <c r="P722" s="369">
        <v>2288.0484999999999</v>
      </c>
      <c r="Q722" s="128">
        <v>0.16200000000000001</v>
      </c>
      <c r="R722" s="2129">
        <f>SUMPRODUCT(Q722:Q724,N722:N724)</f>
        <v>-4129.8778853999993</v>
      </c>
      <c r="S722" s="95">
        <v>37</v>
      </c>
      <c r="T722" s="204" t="s">
        <v>15</v>
      </c>
      <c r="U722" s="854"/>
      <c r="V722" s="2164"/>
      <c r="W722" s="982" t="s">
        <v>49</v>
      </c>
      <c r="X722" s="291" t="s">
        <v>1146</v>
      </c>
      <c r="Y722" s="200">
        <f>((130*$R$717)+($R$718*1.008)+$R$719+$R$722+$T$724)*(1+$T$726)</f>
        <v>104727.17539524997</v>
      </c>
      <c r="Z722" s="2213"/>
      <c r="AA722" s="2214"/>
      <c r="AB722" s="922"/>
      <c r="AC722" s="26"/>
      <c r="AD722" s="24"/>
      <c r="AE722" s="26"/>
      <c r="AF722" s="289" t="s">
        <v>49</v>
      </c>
      <c r="AG722" s="291" t="s">
        <v>1146</v>
      </c>
      <c r="AH722" s="158">
        <f>Y722</f>
        <v>104727.17539524997</v>
      </c>
      <c r="AI722" s="159"/>
      <c r="AJ722" s="159"/>
      <c r="AK722" s="159"/>
      <c r="AL722" s="2170"/>
      <c r="AM722" s="957"/>
      <c r="AN722" s="957"/>
      <c r="AO722" s="957"/>
      <c r="AP722" s="957"/>
      <c r="AQ722" s="957"/>
      <c r="AR722" s="957"/>
      <c r="AS722" s="957"/>
      <c r="AT722" s="957"/>
      <c r="AU722" s="957"/>
      <c r="AV722" s="957"/>
      <c r="AW722" s="957"/>
      <c r="AX722" s="957"/>
      <c r="AY722" s="957"/>
      <c r="AZ722" s="957"/>
      <c r="BA722" s="957"/>
      <c r="BB722" s="957"/>
      <c r="BC722" s="957"/>
      <c r="BD722" s="957"/>
      <c r="BE722" s="957"/>
      <c r="BF722" s="957"/>
      <c r="BG722" s="957"/>
    </row>
    <row r="723" spans="1:59" ht="15" customHeight="1">
      <c r="A723" s="2120"/>
      <c r="B723" s="2161"/>
      <c r="C723" s="2144"/>
      <c r="D723" s="348" t="s">
        <v>187</v>
      </c>
      <c r="E723" s="213">
        <v>7</v>
      </c>
      <c r="F723" s="148" t="s">
        <v>15</v>
      </c>
      <c r="G723" s="148" t="s">
        <v>15</v>
      </c>
      <c r="H723" s="58">
        <v>119714.29</v>
      </c>
      <c r="I723" s="99">
        <v>46417.36</v>
      </c>
      <c r="J723" s="101" t="s">
        <v>15</v>
      </c>
      <c r="K723" s="70" t="s">
        <v>15</v>
      </c>
      <c r="L723" s="101" t="s">
        <v>15</v>
      </c>
      <c r="M723" s="70" t="s">
        <v>15</v>
      </c>
      <c r="N723" s="1211">
        <v>-18678.199499999999</v>
      </c>
      <c r="O723" s="369">
        <v>-6.75</v>
      </c>
      <c r="P723" s="369">
        <v>2767.5444499999999</v>
      </c>
      <c r="Q723" s="128">
        <v>0.25800000000000001</v>
      </c>
      <c r="R723" s="2129"/>
      <c r="S723" s="127" t="s">
        <v>41</v>
      </c>
      <c r="T723" s="203" t="s">
        <v>42</v>
      </c>
      <c r="U723" s="858"/>
      <c r="V723" s="2143" t="s">
        <v>2698</v>
      </c>
      <c r="W723" s="982" t="s">
        <v>47</v>
      </c>
      <c r="X723" s="267" t="s">
        <v>512</v>
      </c>
      <c r="Y723" s="200">
        <f>((100*$R$717)+($R$718*1.26)+$R$720+$R$722+$T$724)*(1+$T$726)</f>
        <v>52820.089708249958</v>
      </c>
      <c r="Z723" s="2213">
        <f>Y724-Y723</f>
        <v>35621.263062000013</v>
      </c>
      <c r="AA723" s="2214">
        <f>(1.26-1.008)*P718</f>
        <v>5487.2952372</v>
      </c>
      <c r="AC723" s="26"/>
      <c r="AD723" s="24"/>
      <c r="AE723" s="26"/>
      <c r="AF723" s="289" t="s">
        <v>47</v>
      </c>
      <c r="AG723" s="267" t="s">
        <v>1147</v>
      </c>
      <c r="AH723" s="158">
        <f>Y725</f>
        <v>21264.552208249952</v>
      </c>
      <c r="AI723" s="159"/>
      <c r="AJ723" s="159"/>
      <c r="AK723" s="159"/>
      <c r="AL723" s="2170">
        <v>41840</v>
      </c>
      <c r="AM723" s="957"/>
      <c r="AN723" s="957"/>
      <c r="AO723" s="957"/>
      <c r="AP723" s="957"/>
      <c r="AQ723" s="957"/>
      <c r="AR723" s="957"/>
      <c r="AS723" s="957"/>
      <c r="AT723" s="957"/>
      <c r="AU723" s="957"/>
      <c r="AV723" s="957"/>
      <c r="AW723" s="957"/>
      <c r="AX723" s="957"/>
      <c r="AY723" s="957"/>
      <c r="AZ723" s="957"/>
      <c r="BA723" s="957"/>
      <c r="BB723" s="957"/>
      <c r="BC723" s="957"/>
      <c r="BD723" s="957"/>
      <c r="BE723" s="957"/>
      <c r="BF723" s="957"/>
      <c r="BG723" s="957"/>
    </row>
    <row r="724" spans="1:59" ht="15" customHeight="1">
      <c r="A724" s="2120"/>
      <c r="B724" s="2161"/>
      <c r="C724" s="2179"/>
      <c r="D724" s="205" t="s">
        <v>424</v>
      </c>
      <c r="E724" s="213">
        <v>13</v>
      </c>
      <c r="F724" s="197" t="s">
        <v>15</v>
      </c>
      <c r="G724" s="197" t="s">
        <v>15</v>
      </c>
      <c r="H724" s="58">
        <v>91591.73</v>
      </c>
      <c r="I724" s="99">
        <v>39700.1</v>
      </c>
      <c r="J724" s="216" t="s">
        <v>15</v>
      </c>
      <c r="K724" s="22" t="s">
        <v>15</v>
      </c>
      <c r="L724" s="216" t="s">
        <v>15</v>
      </c>
      <c r="M724" s="22" t="s">
        <v>15</v>
      </c>
      <c r="N724" s="1211">
        <v>0</v>
      </c>
      <c r="O724" s="369" t="s">
        <v>204</v>
      </c>
      <c r="P724" s="369" t="s">
        <v>204</v>
      </c>
      <c r="Q724" s="256">
        <v>5.1999999999999998E-2</v>
      </c>
      <c r="R724" s="2130"/>
      <c r="S724" s="357">
        <v>0.98802199999999996</v>
      </c>
      <c r="T724" s="420">
        <v>136264.14199999999</v>
      </c>
      <c r="U724" s="861"/>
      <c r="V724" s="2143"/>
      <c r="W724" s="982" t="s">
        <v>49</v>
      </c>
      <c r="X724" s="267" t="s">
        <v>431</v>
      </c>
      <c r="Y724" s="200">
        <f>((100*$R$717)+($R$718*1.008)+$R$720+$R$722+$T$724)*(1+$T$726)</f>
        <v>88441.35277024997</v>
      </c>
      <c r="Z724" s="2213"/>
      <c r="AA724" s="2214"/>
      <c r="AC724" s="26"/>
      <c r="AD724" s="24"/>
      <c r="AE724" s="26"/>
      <c r="AF724" s="289" t="s">
        <v>49</v>
      </c>
      <c r="AG724" s="267" t="s">
        <v>1148</v>
      </c>
      <c r="AH724" s="158">
        <f>Y726</f>
        <v>56885.815270249986</v>
      </c>
      <c r="AI724" s="159"/>
      <c r="AJ724" s="159"/>
      <c r="AK724" s="159"/>
      <c r="AL724" s="2170"/>
      <c r="AM724" s="957"/>
      <c r="AN724" s="957"/>
      <c r="AO724" s="957"/>
      <c r="AP724" s="957"/>
      <c r="AQ724" s="957"/>
      <c r="AR724" s="957"/>
      <c r="AS724" s="957"/>
      <c r="AT724" s="957"/>
      <c r="AU724" s="957"/>
      <c r="AV724" s="957"/>
      <c r="AW724" s="957"/>
      <c r="AX724" s="957"/>
      <c r="AY724" s="957"/>
      <c r="AZ724" s="957"/>
      <c r="BA724" s="957"/>
      <c r="BB724" s="957"/>
      <c r="BC724" s="957"/>
      <c r="BD724" s="957"/>
      <c r="BE724" s="957"/>
      <c r="BF724" s="957"/>
      <c r="BG724" s="957"/>
    </row>
    <row r="725" spans="1:59" ht="15" customHeight="1">
      <c r="A725" s="2120"/>
      <c r="B725" s="2116" t="s">
        <v>194</v>
      </c>
      <c r="C725" s="1118"/>
      <c r="D725" s="27"/>
      <c r="E725" s="39"/>
      <c r="F725" s="39"/>
      <c r="G725" s="39"/>
      <c r="H725" s="27"/>
      <c r="I725" s="27"/>
      <c r="J725" s="102"/>
      <c r="K725" s="27"/>
      <c r="L725" s="102"/>
      <c r="M725" s="27"/>
      <c r="N725" s="1217"/>
      <c r="O725" s="477"/>
      <c r="P725" s="477"/>
      <c r="Q725" s="253"/>
      <c r="R725" s="266"/>
      <c r="S725" s="156" t="s">
        <v>235</v>
      </c>
      <c r="T725" s="201" t="s">
        <v>391</v>
      </c>
      <c r="U725" s="855"/>
      <c r="V725" s="2143" t="s">
        <v>2698</v>
      </c>
      <c r="W725" s="982" t="s">
        <v>47</v>
      </c>
      <c r="X725" s="267" t="s">
        <v>1147</v>
      </c>
      <c r="Y725" s="200">
        <f>((50*$R$717)+($R$718*1.26)+$R$720+$R$722+$T$724)*(1+$T$726)</f>
        <v>21264.552208249952</v>
      </c>
      <c r="Z725" s="2213">
        <f>Y726-Y725</f>
        <v>35621.263062000035</v>
      </c>
      <c r="AA725" s="2214">
        <f>(1.26-1.008)*P718</f>
        <v>5487.2952372</v>
      </c>
      <c r="AC725" s="26"/>
      <c r="AD725" s="24"/>
      <c r="AE725" s="26"/>
      <c r="AF725" s="75"/>
      <c r="AG725" s="26"/>
      <c r="AH725" s="957"/>
      <c r="AI725" s="957"/>
      <c r="AJ725" s="957"/>
      <c r="AK725" s="957"/>
      <c r="AL725" s="957"/>
      <c r="AM725" s="957"/>
      <c r="AN725" s="957"/>
      <c r="AO725" s="957"/>
      <c r="AP725" s="957"/>
      <c r="AQ725" s="957"/>
      <c r="AR725" s="957"/>
      <c r="AS725" s="957"/>
      <c r="AT725" s="957"/>
      <c r="AU725" s="957"/>
      <c r="AV725" s="957"/>
      <c r="AW725" s="957"/>
      <c r="AX725" s="957"/>
      <c r="AY725" s="957"/>
      <c r="AZ725" s="957"/>
      <c r="BA725" s="957"/>
      <c r="BB725" s="957"/>
      <c r="BC725" s="957"/>
      <c r="BD725" s="957"/>
      <c r="BE725" s="957"/>
      <c r="BF725" s="957"/>
      <c r="BG725" s="957"/>
    </row>
    <row r="726" spans="1:59" ht="15.75" customHeight="1">
      <c r="A726" s="2120"/>
      <c r="B726" s="2117"/>
      <c r="C726" s="1119"/>
      <c r="D726" s="26"/>
      <c r="E726" s="41"/>
      <c r="F726" s="41"/>
      <c r="G726" s="41"/>
      <c r="H726" s="26"/>
      <c r="I726" s="26"/>
      <c r="J726" s="75"/>
      <c r="K726" s="26"/>
      <c r="L726" s="75"/>
      <c r="M726" s="26"/>
      <c r="N726" s="1210"/>
      <c r="O726" s="475"/>
      <c r="P726" s="475"/>
      <c r="Q726" s="252"/>
      <c r="R726" s="264"/>
      <c r="S726" s="86">
        <v>3787.7159999999999</v>
      </c>
      <c r="T726" s="207">
        <v>0.25</v>
      </c>
      <c r="U726" s="862"/>
      <c r="V726" s="2143"/>
      <c r="W726" s="982" t="s">
        <v>49</v>
      </c>
      <c r="X726" s="267" t="s">
        <v>1148</v>
      </c>
      <c r="Y726" s="200">
        <f>((50*$R$717)+($R$718*1.008)+$R$720+$R$722+$T$724)*(1+$T$726)</f>
        <v>56885.815270249986</v>
      </c>
      <c r="Z726" s="2213"/>
      <c r="AA726" s="2214"/>
      <c r="AC726" s="26"/>
      <c r="AD726" s="24"/>
      <c r="AE726" s="26"/>
      <c r="AF726" s="75"/>
      <c r="AG726" s="26"/>
      <c r="AH726" s="957"/>
      <c r="AI726" s="957"/>
      <c r="AJ726" s="957"/>
      <c r="AK726" s="957"/>
      <c r="AL726" s="957"/>
      <c r="AM726" s="957"/>
      <c r="AN726" s="957"/>
      <c r="AO726" s="957"/>
      <c r="AP726" s="957"/>
      <c r="AQ726" s="957"/>
      <c r="AR726" s="957"/>
      <c r="AS726" s="957"/>
      <c r="AT726" s="957"/>
      <c r="AU726" s="957"/>
      <c r="AV726" s="957"/>
      <c r="AW726" s="957"/>
      <c r="AX726" s="957"/>
      <c r="AY726" s="957"/>
      <c r="AZ726" s="957"/>
      <c r="BA726" s="957"/>
      <c r="BB726" s="957"/>
      <c r="BC726" s="957"/>
      <c r="BD726" s="957"/>
      <c r="BE726" s="957"/>
      <c r="BF726" s="957"/>
      <c r="BG726" s="957"/>
    </row>
    <row r="727" spans="1:59" ht="19.5" customHeight="1">
      <c r="A727" s="2120"/>
      <c r="B727" s="2117"/>
      <c r="C727" s="1119"/>
      <c r="D727" s="26"/>
      <c r="E727" s="41"/>
      <c r="F727" s="41"/>
      <c r="G727" s="41"/>
      <c r="H727" s="26"/>
      <c r="I727" s="26"/>
      <c r="J727" s="75"/>
      <c r="K727" s="26"/>
      <c r="L727" s="75"/>
      <c r="M727" s="26"/>
      <c r="N727" s="1210"/>
      <c r="O727" s="475"/>
      <c r="P727" s="475"/>
      <c r="Q727" s="252"/>
      <c r="R727" s="252"/>
      <c r="S727" s="1121"/>
      <c r="T727" s="1097"/>
      <c r="U727" s="862"/>
      <c r="V727" s="1122"/>
      <c r="W727" s="26"/>
      <c r="X727" s="730"/>
      <c r="Y727" s="1123"/>
      <c r="Z727" s="164"/>
      <c r="AA727" s="164"/>
      <c r="AC727" s="26"/>
      <c r="AD727" s="24"/>
      <c r="AE727" s="782"/>
      <c r="AF727" s="75"/>
      <c r="AG727" s="26"/>
      <c r="AH727" s="957"/>
      <c r="AI727" s="957"/>
      <c r="AJ727" s="957"/>
      <c r="AK727" s="957"/>
      <c r="AL727" s="957"/>
      <c r="AM727" s="957"/>
      <c r="AN727" s="957"/>
      <c r="AO727" s="957"/>
      <c r="AP727" s="957"/>
      <c r="AQ727" s="957"/>
      <c r="AR727" s="957"/>
      <c r="AS727" s="957"/>
      <c r="AT727" s="957"/>
      <c r="AU727" s="957"/>
      <c r="AV727" s="957"/>
      <c r="AW727" s="957"/>
      <c r="AX727" s="957"/>
      <c r="AY727" s="957"/>
      <c r="AZ727" s="957"/>
      <c r="BA727" s="957"/>
      <c r="BB727" s="957"/>
      <c r="BC727" s="957"/>
      <c r="BD727" s="957"/>
      <c r="BE727" s="957"/>
      <c r="BF727" s="957"/>
      <c r="BG727" s="957"/>
    </row>
    <row r="728" spans="1:59" ht="19.5" customHeight="1">
      <c r="A728" s="2120"/>
      <c r="B728" s="2117"/>
      <c r="C728" s="1119"/>
      <c r="D728" s="26"/>
      <c r="E728" s="41"/>
      <c r="F728" s="41"/>
      <c r="G728" s="41"/>
      <c r="H728" s="26"/>
      <c r="I728" s="26"/>
      <c r="J728" s="75"/>
      <c r="K728" s="26"/>
      <c r="L728" s="75"/>
      <c r="M728" s="26"/>
      <c r="N728" s="1210"/>
      <c r="O728" s="475"/>
      <c r="P728" s="475"/>
      <c r="Q728" s="252"/>
      <c r="R728" s="252"/>
      <c r="S728" s="1121"/>
      <c r="T728" s="1097"/>
      <c r="U728" s="862"/>
      <c r="V728" s="1122"/>
      <c r="W728" s="26"/>
      <c r="X728" s="730"/>
      <c r="Y728" s="1123"/>
      <c r="Z728" s="164"/>
      <c r="AA728" s="164"/>
      <c r="AC728" s="26"/>
      <c r="AD728" s="24"/>
      <c r="AE728" s="782"/>
      <c r="AF728" s="75"/>
      <c r="AG728" s="26"/>
      <c r="AH728" s="957"/>
      <c r="AI728" s="957"/>
      <c r="AJ728" s="957"/>
      <c r="AK728" s="957"/>
      <c r="AL728" s="957"/>
      <c r="AM728" s="957"/>
      <c r="AN728" s="957"/>
      <c r="AO728" s="957"/>
      <c r="AP728" s="957"/>
      <c r="AQ728" s="957"/>
      <c r="AR728" s="957"/>
      <c r="AS728" s="957"/>
      <c r="AT728" s="957"/>
      <c r="AU728" s="957"/>
      <c r="AV728" s="957"/>
      <c r="AW728" s="957"/>
      <c r="AX728" s="957"/>
      <c r="AY728" s="957"/>
      <c r="AZ728" s="957"/>
      <c r="BA728" s="957"/>
      <c r="BB728" s="957"/>
      <c r="BC728" s="957"/>
      <c r="BD728" s="957"/>
      <c r="BE728" s="957"/>
      <c r="BF728" s="957"/>
      <c r="BG728" s="957"/>
    </row>
    <row r="729" spans="1:59" ht="19.5" customHeight="1">
      <c r="A729" s="2120"/>
      <c r="B729" s="2117"/>
      <c r="C729" s="1119"/>
      <c r="D729" s="26"/>
      <c r="E729" s="41"/>
      <c r="F729" s="41"/>
      <c r="G729" s="41"/>
      <c r="H729" s="26"/>
      <c r="I729" s="26"/>
      <c r="J729" s="75"/>
      <c r="K729" s="26"/>
      <c r="L729" s="75"/>
      <c r="M729" s="26"/>
      <c r="N729" s="1210"/>
      <c r="O729" s="475"/>
      <c r="P729" s="475"/>
      <c r="Q729" s="252"/>
      <c r="R729" s="252"/>
      <c r="S729" s="1121"/>
      <c r="T729" s="1097"/>
      <c r="U729" s="862"/>
      <c r="V729" s="1122"/>
      <c r="W729" s="26"/>
      <c r="X729" s="730"/>
      <c r="Y729" s="1123"/>
      <c r="Z729" s="164"/>
      <c r="AA729" s="164"/>
      <c r="AC729" s="26"/>
      <c r="AD729" s="24"/>
      <c r="AE729" s="782"/>
      <c r="AF729" s="75"/>
      <c r="AG729" s="26"/>
      <c r="AH729" s="957"/>
      <c r="AI729" s="957"/>
      <c r="AJ729" s="957"/>
      <c r="AK729" s="957"/>
      <c r="AL729" s="957"/>
      <c r="AM729" s="957"/>
      <c r="AN729" s="957"/>
      <c r="AO729" s="957"/>
      <c r="AP729" s="957"/>
      <c r="AQ729" s="957"/>
      <c r="AR729" s="957"/>
      <c r="AS729" s="957"/>
      <c r="AT729" s="957"/>
      <c r="AU729" s="957"/>
      <c r="AV729" s="957"/>
      <c r="AW729" s="957"/>
      <c r="AX729" s="957"/>
      <c r="AY729" s="957"/>
      <c r="AZ729" s="957"/>
      <c r="BA729" s="957"/>
      <c r="BB729" s="957"/>
      <c r="BC729" s="957"/>
      <c r="BD729" s="957"/>
      <c r="BE729" s="957"/>
      <c r="BF729" s="957"/>
      <c r="BG729" s="957"/>
    </row>
    <row r="730" spans="1:59" ht="19.5" customHeight="1">
      <c r="A730" s="2120"/>
      <c r="B730" s="2117"/>
      <c r="C730" s="1119"/>
      <c r="D730" s="26"/>
      <c r="E730" s="41"/>
      <c r="F730" s="41"/>
      <c r="G730" s="41"/>
      <c r="H730" s="26"/>
      <c r="I730" s="26"/>
      <c r="J730" s="75"/>
      <c r="K730" s="26"/>
      <c r="L730" s="75"/>
      <c r="M730" s="26"/>
      <c r="N730" s="1210"/>
      <c r="O730" s="475"/>
      <c r="P730" s="475"/>
      <c r="Q730" s="252"/>
      <c r="R730" s="252"/>
      <c r="S730" s="1121"/>
      <c r="T730" s="1097"/>
      <c r="U730" s="862"/>
      <c r="V730" s="1122"/>
      <c r="W730" s="26"/>
      <c r="X730" s="730"/>
      <c r="Y730" s="1123"/>
      <c r="Z730" s="164"/>
      <c r="AA730" s="164"/>
      <c r="AC730" s="26"/>
      <c r="AD730" s="24"/>
      <c r="AE730" s="782"/>
      <c r="AF730" s="75"/>
      <c r="AG730" s="26"/>
      <c r="AH730" s="957"/>
      <c r="AI730" s="957"/>
      <c r="AJ730" s="957"/>
      <c r="AK730" s="957"/>
      <c r="AL730" s="957"/>
      <c r="AM730" s="957"/>
      <c r="AN730" s="957"/>
      <c r="AO730" s="957"/>
      <c r="AP730" s="957"/>
      <c r="AQ730" s="957"/>
      <c r="AR730" s="957"/>
      <c r="AS730" s="957"/>
      <c r="AT730" s="957"/>
      <c r="AU730" s="957"/>
      <c r="AV730" s="957"/>
      <c r="AW730" s="957"/>
      <c r="AX730" s="957"/>
      <c r="AY730" s="957"/>
      <c r="AZ730" s="957"/>
      <c r="BA730" s="957"/>
      <c r="BB730" s="957"/>
      <c r="BC730" s="957"/>
      <c r="BD730" s="957"/>
      <c r="BE730" s="957"/>
      <c r="BF730" s="957"/>
      <c r="BG730" s="957"/>
    </row>
    <row r="731" spans="1:59" ht="19.5" customHeight="1">
      <c r="A731" s="2120"/>
      <c r="B731" s="2117"/>
      <c r="C731" s="1119"/>
      <c r="D731" s="26"/>
      <c r="E731" s="41"/>
      <c r="F731" s="41"/>
      <c r="G731" s="41"/>
      <c r="H731" s="26"/>
      <c r="I731" s="26"/>
      <c r="J731" s="75"/>
      <c r="K731" s="26"/>
      <c r="L731" s="75"/>
      <c r="M731" s="26"/>
      <c r="N731" s="1210"/>
      <c r="O731" s="475"/>
      <c r="P731" s="475"/>
      <c r="Q731" s="252"/>
      <c r="R731" s="252"/>
      <c r="S731" s="1121"/>
      <c r="T731" s="1097"/>
      <c r="U731" s="862"/>
      <c r="V731" s="1122"/>
      <c r="W731" s="26"/>
      <c r="X731" s="730"/>
      <c r="Y731" s="1123"/>
      <c r="Z731" s="164"/>
      <c r="AA731" s="164"/>
      <c r="AC731" s="26"/>
      <c r="AD731" s="24"/>
      <c r="AE731" s="782"/>
      <c r="AF731" s="75"/>
      <c r="AG731" s="26"/>
      <c r="AH731" s="957"/>
      <c r="AI731" s="957"/>
      <c r="AJ731" s="957"/>
      <c r="AK731" s="957"/>
      <c r="AL731" s="957"/>
      <c r="AM731" s="957"/>
      <c r="AN731" s="957"/>
      <c r="AO731" s="957"/>
      <c r="AP731" s="957"/>
      <c r="AQ731" s="957"/>
      <c r="AR731" s="957"/>
      <c r="AS731" s="957"/>
      <c r="AT731" s="957"/>
      <c r="AU731" s="957"/>
      <c r="AV731" s="957"/>
      <c r="AW731" s="957"/>
      <c r="AX731" s="957"/>
      <c r="AY731" s="957"/>
      <c r="AZ731" s="957"/>
      <c r="BA731" s="957"/>
      <c r="BB731" s="957"/>
      <c r="BC731" s="957"/>
      <c r="BD731" s="957"/>
      <c r="BE731" s="957"/>
      <c r="BF731" s="957"/>
      <c r="BG731" s="957"/>
    </row>
    <row r="732" spans="1:59" ht="19.5" customHeight="1">
      <c r="A732" s="2120"/>
      <c r="B732" s="2117"/>
      <c r="C732" s="1119"/>
      <c r="D732" s="26"/>
      <c r="E732" s="41"/>
      <c r="F732" s="41"/>
      <c r="G732" s="41"/>
      <c r="H732" s="26"/>
      <c r="I732" s="26"/>
      <c r="J732" s="75"/>
      <c r="K732" s="26"/>
      <c r="L732" s="75"/>
      <c r="M732" s="26"/>
      <c r="N732" s="1210"/>
      <c r="O732" s="475"/>
      <c r="P732" s="475"/>
      <c r="Q732" s="252"/>
      <c r="R732" s="252"/>
      <c r="S732" s="1121"/>
      <c r="T732" s="1097"/>
      <c r="U732" s="862"/>
      <c r="V732" s="1122"/>
      <c r="W732" s="26"/>
      <c r="X732" s="730"/>
      <c r="Y732" s="1123"/>
      <c r="Z732" s="164"/>
      <c r="AA732" s="164"/>
      <c r="AC732" s="26"/>
      <c r="AD732" s="24"/>
      <c r="AE732" s="782"/>
      <c r="AF732" s="75"/>
      <c r="AG732" s="26"/>
      <c r="AH732" s="957"/>
      <c r="AI732" s="957"/>
      <c r="AJ732" s="957"/>
      <c r="AK732" s="957"/>
      <c r="AL732" s="957"/>
      <c r="AM732" s="957"/>
      <c r="AN732" s="957"/>
      <c r="AO732" s="957"/>
      <c r="AP732" s="957"/>
      <c r="AQ732" s="957"/>
      <c r="AR732" s="957"/>
      <c r="AS732" s="957"/>
      <c r="AT732" s="957"/>
      <c r="AU732" s="957"/>
      <c r="AV732" s="957"/>
      <c r="AW732" s="957"/>
      <c r="AX732" s="957"/>
      <c r="AY732" s="957"/>
      <c r="AZ732" s="957"/>
      <c r="BA732" s="957"/>
      <c r="BB732" s="957"/>
      <c r="BC732" s="957"/>
      <c r="BD732" s="957"/>
      <c r="BE732" s="957"/>
      <c r="BF732" s="957"/>
      <c r="BG732" s="957"/>
    </row>
    <row r="733" spans="1:59" ht="19.5" customHeight="1">
      <c r="A733" s="2120"/>
      <c r="B733" s="2117"/>
      <c r="C733" s="1119"/>
      <c r="D733" s="26"/>
      <c r="E733" s="41"/>
      <c r="F733" s="41"/>
      <c r="G733" s="41"/>
      <c r="H733" s="26"/>
      <c r="I733" s="26"/>
      <c r="J733" s="75"/>
      <c r="K733" s="26"/>
      <c r="L733" s="75"/>
      <c r="M733" s="26"/>
      <c r="N733" s="1210"/>
      <c r="O733" s="475"/>
      <c r="P733" s="475"/>
      <c r="Q733" s="252"/>
      <c r="R733" s="252"/>
      <c r="S733" s="1121"/>
      <c r="T733" s="1097"/>
      <c r="U733" s="862"/>
      <c r="V733" s="1122"/>
      <c r="W733" s="26"/>
      <c r="X733" s="730"/>
      <c r="Y733" s="1123"/>
      <c r="Z733" s="164"/>
      <c r="AA733" s="164"/>
      <c r="AC733" s="26"/>
      <c r="AD733" s="24"/>
      <c r="AE733" s="782"/>
      <c r="AF733" s="75"/>
      <c r="AG733" s="26"/>
      <c r="AH733" s="957"/>
      <c r="AI733" s="957"/>
      <c r="AJ733" s="957"/>
      <c r="AK733" s="957"/>
      <c r="AL733" s="957"/>
      <c r="AM733" s="957"/>
      <c r="AN733" s="957"/>
      <c r="AO733" s="957"/>
      <c r="AP733" s="957"/>
      <c r="AQ733" s="957"/>
      <c r="AR733" s="957"/>
      <c r="AS733" s="957"/>
      <c r="AT733" s="957"/>
      <c r="AU733" s="957"/>
      <c r="AV733" s="957"/>
      <c r="AW733" s="957"/>
      <c r="AX733" s="957"/>
      <c r="AY733" s="957"/>
      <c r="AZ733" s="957"/>
      <c r="BA733" s="957"/>
      <c r="BB733" s="957"/>
      <c r="BC733" s="957"/>
      <c r="BD733" s="957"/>
      <c r="BE733" s="957"/>
      <c r="BF733" s="957"/>
      <c r="BG733" s="957"/>
    </row>
    <row r="734" spans="1:59" ht="19.5" customHeight="1">
      <c r="A734" s="2120"/>
      <c r="B734" s="2117"/>
      <c r="C734" s="1119"/>
      <c r="D734" s="26"/>
      <c r="E734" s="41"/>
      <c r="F734" s="41"/>
      <c r="G734" s="41"/>
      <c r="H734" s="26"/>
      <c r="I734" s="26"/>
      <c r="J734" s="75"/>
      <c r="K734" s="26"/>
      <c r="L734" s="75"/>
      <c r="M734" s="26"/>
      <c r="N734" s="1210"/>
      <c r="O734" s="475"/>
      <c r="P734" s="475"/>
      <c r="Q734" s="252"/>
      <c r="R734" s="252"/>
      <c r="S734" s="1121"/>
      <c r="T734" s="1097"/>
      <c r="U734" s="862"/>
      <c r="V734" s="1122"/>
      <c r="W734" s="26"/>
      <c r="X734" s="730"/>
      <c r="Y734" s="1123"/>
      <c r="Z734" s="164"/>
      <c r="AA734" s="164"/>
      <c r="AC734" s="26"/>
      <c r="AD734" s="24"/>
      <c r="AE734" s="782"/>
      <c r="AF734" s="75"/>
      <c r="AG734" s="26"/>
      <c r="AH734" s="957"/>
      <c r="AI734" s="957"/>
      <c r="AJ734" s="957"/>
      <c r="AK734" s="957"/>
      <c r="AL734" s="957"/>
      <c r="AM734" s="957"/>
      <c r="AN734" s="957"/>
      <c r="AO734" s="957"/>
      <c r="AP734" s="957"/>
      <c r="AQ734" s="957"/>
      <c r="AR734" s="957"/>
      <c r="AS734" s="957"/>
      <c r="AT734" s="957"/>
      <c r="AU734" s="957"/>
      <c r="AV734" s="957"/>
      <c r="AW734" s="957"/>
      <c r="AX734" s="957"/>
      <c r="AY734" s="957"/>
      <c r="AZ734" s="957"/>
      <c r="BA734" s="957"/>
      <c r="BB734" s="957"/>
      <c r="BC734" s="957"/>
      <c r="BD734" s="957"/>
      <c r="BE734" s="957"/>
      <c r="BF734" s="957"/>
      <c r="BG734" s="957"/>
    </row>
    <row r="735" spans="1:59" ht="19.5" customHeight="1">
      <c r="A735" s="2120"/>
      <c r="B735" s="2117"/>
      <c r="C735" s="1119"/>
      <c r="D735" s="26"/>
      <c r="E735" s="41"/>
      <c r="F735" s="41"/>
      <c r="G735" s="41"/>
      <c r="H735" s="26"/>
      <c r="I735" s="26"/>
      <c r="J735" s="75"/>
      <c r="K735" s="26"/>
      <c r="L735" s="75"/>
      <c r="M735" s="26"/>
      <c r="N735" s="1210"/>
      <c r="O735" s="475"/>
      <c r="P735" s="475"/>
      <c r="Q735" s="252"/>
      <c r="R735" s="252"/>
      <c r="S735" s="1121"/>
      <c r="T735" s="1097"/>
      <c r="U735" s="862"/>
      <c r="V735" s="1122"/>
      <c r="W735" s="26"/>
      <c r="X735" s="730"/>
      <c r="Y735" s="1123"/>
      <c r="Z735" s="164"/>
      <c r="AA735" s="164"/>
      <c r="AC735" s="26"/>
      <c r="AD735" s="24"/>
      <c r="AE735" s="782"/>
      <c r="AF735" s="75"/>
      <c r="AG735" s="26"/>
      <c r="AH735" s="957"/>
      <c r="AI735" s="957"/>
      <c r="AJ735" s="957"/>
      <c r="AK735" s="957"/>
      <c r="AL735" s="957"/>
      <c r="AM735" s="957"/>
      <c r="AN735" s="957"/>
      <c r="AO735" s="957"/>
      <c r="AP735" s="957"/>
      <c r="AQ735" s="957"/>
      <c r="AR735" s="957"/>
      <c r="AS735" s="957"/>
      <c r="AT735" s="957"/>
      <c r="AU735" s="957"/>
      <c r="AV735" s="957"/>
      <c r="AW735" s="957"/>
      <c r="AX735" s="957"/>
      <c r="AY735" s="957"/>
      <c r="AZ735" s="957"/>
      <c r="BA735" s="957"/>
      <c r="BB735" s="957"/>
      <c r="BC735" s="957"/>
      <c r="BD735" s="957"/>
      <c r="BE735" s="957"/>
      <c r="BF735" s="957"/>
      <c r="BG735" s="957"/>
    </row>
    <row r="736" spans="1:59" ht="19.5" customHeight="1">
      <c r="A736" s="2120"/>
      <c r="B736" s="2117"/>
      <c r="C736" s="1119"/>
      <c r="D736" s="26"/>
      <c r="E736" s="41"/>
      <c r="F736" s="41"/>
      <c r="G736" s="41"/>
      <c r="H736" s="26"/>
      <c r="I736" s="26"/>
      <c r="J736" s="75"/>
      <c r="K736" s="26"/>
      <c r="L736" s="75"/>
      <c r="M736" s="26"/>
      <c r="N736" s="1210"/>
      <c r="O736" s="475"/>
      <c r="P736" s="475"/>
      <c r="Q736" s="252"/>
      <c r="R736" s="252"/>
      <c r="S736" s="1121"/>
      <c r="T736" s="1097"/>
      <c r="U736" s="862"/>
      <c r="V736" s="1122"/>
      <c r="W736" s="26"/>
      <c r="X736" s="730"/>
      <c r="Y736" s="1123"/>
      <c r="Z736" s="164"/>
      <c r="AA736" s="164"/>
      <c r="AC736" s="26"/>
      <c r="AD736" s="24"/>
      <c r="AE736" s="782"/>
      <c r="AF736" s="75"/>
      <c r="AG736" s="26"/>
      <c r="AH736" s="957"/>
      <c r="AI736" s="957"/>
      <c r="AJ736" s="957"/>
      <c r="AK736" s="957"/>
      <c r="AL736" s="957"/>
      <c r="AM736" s="957"/>
      <c r="AN736" s="957"/>
      <c r="AO736" s="957"/>
      <c r="AP736" s="957"/>
      <c r="AQ736" s="957"/>
      <c r="AR736" s="957"/>
      <c r="AS736" s="957"/>
      <c r="AT736" s="957"/>
      <c r="AU736" s="957"/>
      <c r="AV736" s="957"/>
      <c r="AW736" s="957"/>
      <c r="AX736" s="957"/>
      <c r="AY736" s="957"/>
      <c r="AZ736" s="957"/>
      <c r="BA736" s="957"/>
      <c r="BB736" s="957"/>
      <c r="BC736" s="957"/>
      <c r="BD736" s="957"/>
      <c r="BE736" s="957"/>
      <c r="BF736" s="957"/>
      <c r="BG736" s="957"/>
    </row>
    <row r="737" spans="1:123" ht="19.5" customHeight="1" thickBot="1">
      <c r="A737" s="2125"/>
      <c r="B737" s="2118"/>
      <c r="C737" s="1120"/>
      <c r="D737" s="184"/>
      <c r="E737" s="175"/>
      <c r="F737" s="175"/>
      <c r="G737" s="175"/>
      <c r="H737" s="184"/>
      <c r="I737" s="184"/>
      <c r="J737" s="186"/>
      <c r="K737" s="184"/>
      <c r="L737" s="186"/>
      <c r="M737" s="184"/>
      <c r="N737" s="1216"/>
      <c r="O737" s="476"/>
      <c r="P737" s="476"/>
      <c r="Q737" s="255"/>
      <c r="R737" s="255"/>
      <c r="S737" s="1121"/>
      <c r="T737" s="1097"/>
      <c r="U737" s="862"/>
      <c r="V737" s="1122"/>
      <c r="W737" s="26"/>
      <c r="X737" s="730"/>
      <c r="Y737" s="1123"/>
      <c r="Z737" s="164"/>
      <c r="AA737" s="164"/>
      <c r="AC737" s="26"/>
      <c r="AD737" s="896"/>
      <c r="AE737" s="1101"/>
      <c r="AF737" s="75"/>
      <c r="AG737" s="26"/>
      <c r="AH737" s="957"/>
      <c r="AI737" s="957"/>
      <c r="AJ737" s="957"/>
      <c r="AK737" s="957"/>
      <c r="AL737" s="957"/>
      <c r="AM737" s="957"/>
      <c r="AN737" s="957"/>
      <c r="AO737" s="957"/>
      <c r="AP737" s="957"/>
      <c r="AQ737" s="957"/>
      <c r="AR737" s="957"/>
      <c r="AS737" s="957"/>
      <c r="AT737" s="957"/>
      <c r="AU737" s="957"/>
      <c r="AV737" s="957"/>
      <c r="AW737" s="957"/>
      <c r="AX737" s="957"/>
      <c r="AY737" s="957"/>
      <c r="AZ737" s="957"/>
      <c r="BA737" s="957"/>
      <c r="BB737" s="957"/>
      <c r="BC737" s="957"/>
      <c r="BD737" s="957"/>
      <c r="BE737" s="957"/>
      <c r="BF737" s="957"/>
      <c r="BG737" s="957"/>
    </row>
    <row r="738" spans="1:123" s="705" customFormat="1" ht="9" customHeight="1" thickBot="1">
      <c r="A738" s="695"/>
      <c r="B738" s="815"/>
      <c r="C738" s="684"/>
      <c r="D738" s="683"/>
      <c r="E738" s="683"/>
      <c r="F738" s="683"/>
      <c r="G738" s="683"/>
      <c r="H738" s="683"/>
      <c r="I738" s="683"/>
      <c r="J738" s="682"/>
      <c r="K738" s="683"/>
      <c r="L738" s="682"/>
      <c r="M738" s="685"/>
      <c r="N738" s="1189"/>
      <c r="O738" s="686"/>
      <c r="P738" s="686"/>
      <c r="Q738" s="687"/>
      <c r="R738" s="687"/>
      <c r="S738" s="688"/>
      <c r="T738" s="688"/>
      <c r="U738" s="854"/>
      <c r="V738" s="893"/>
      <c r="W738" s="685"/>
      <c r="X738" s="685"/>
      <c r="Y738" s="688"/>
      <c r="Z738" s="688"/>
      <c r="AA738" s="688"/>
      <c r="AB738" s="846"/>
      <c r="AC738" s="685"/>
      <c r="AD738" s="685"/>
      <c r="AE738" s="685"/>
      <c r="AF738" s="689"/>
      <c r="AG738" s="685"/>
      <c r="AH738" s="958"/>
      <c r="AI738" s="958"/>
      <c r="AJ738" s="958"/>
      <c r="AK738" s="958"/>
      <c r="AL738" s="958"/>
      <c r="AM738" s="958"/>
      <c r="AN738" s="958"/>
      <c r="AO738" s="959"/>
      <c r="AP738" s="959"/>
      <c r="AQ738" s="959"/>
      <c r="AR738" s="959"/>
      <c r="AS738" s="959"/>
      <c r="AT738" s="959"/>
      <c r="AU738" s="959"/>
      <c r="AV738" s="959"/>
      <c r="AW738" s="959"/>
      <c r="AX738" s="959"/>
      <c r="AY738" s="959"/>
      <c r="AZ738" s="959"/>
      <c r="BA738" s="959"/>
      <c r="BB738" s="959"/>
      <c r="BC738" s="959"/>
      <c r="BD738" s="959"/>
      <c r="BE738" s="959"/>
      <c r="BF738" s="959"/>
      <c r="BG738" s="959"/>
      <c r="BH738" s="1125"/>
      <c r="CF738" s="692"/>
      <c r="CG738" s="692"/>
      <c r="CH738" s="692"/>
      <c r="CI738" s="692"/>
      <c r="CJ738" s="692"/>
      <c r="CK738" s="692"/>
      <c r="CL738" s="692"/>
      <c r="CM738" s="692"/>
      <c r="CN738" s="692"/>
      <c r="CO738" s="692"/>
      <c r="CP738" s="692"/>
      <c r="CQ738" s="692"/>
      <c r="CR738" s="692"/>
      <c r="CS738" s="692"/>
      <c r="CT738" s="692"/>
      <c r="CU738" s="692"/>
      <c r="CV738" s="692"/>
      <c r="CW738" s="692"/>
      <c r="CX738" s="692"/>
      <c r="CY738" s="692"/>
      <c r="CZ738" s="692"/>
      <c r="DA738" s="692"/>
      <c r="DB738" s="692"/>
      <c r="DC738" s="692"/>
      <c r="DD738" s="692"/>
      <c r="DE738" s="692"/>
      <c r="DF738" s="692"/>
      <c r="DG738" s="692"/>
      <c r="DH738" s="692"/>
      <c r="DI738" s="693"/>
      <c r="DJ738" s="692"/>
      <c r="DK738" s="692"/>
      <c r="DL738" s="692"/>
      <c r="DM738" s="692"/>
      <c r="DN738" s="692"/>
      <c r="DO738" s="692"/>
      <c r="DP738" s="692"/>
      <c r="DQ738" s="692"/>
      <c r="DR738" s="692"/>
      <c r="DS738" s="692"/>
    </row>
    <row r="739" spans="1:123" ht="30" customHeight="1">
      <c r="A739" s="2119" t="s">
        <v>1138</v>
      </c>
      <c r="B739" s="823" t="s">
        <v>394</v>
      </c>
      <c r="C739" s="811" t="s">
        <v>12</v>
      </c>
      <c r="D739" s="296" t="s">
        <v>433</v>
      </c>
      <c r="E739" s="213">
        <v>48</v>
      </c>
      <c r="F739" s="94">
        <v>252.8792</v>
      </c>
      <c r="G739" s="94">
        <v>124.3673</v>
      </c>
      <c r="H739" s="58">
        <v>97928.28</v>
      </c>
      <c r="I739" s="99">
        <v>45776.62</v>
      </c>
      <c r="J739" s="231" t="s">
        <v>14</v>
      </c>
      <c r="K739" s="1146" t="s">
        <v>523</v>
      </c>
      <c r="L739" s="1167" t="s">
        <v>15</v>
      </c>
      <c r="M739" s="1176" t="s">
        <v>15</v>
      </c>
      <c r="N739" s="1211">
        <v>251.29249999999999</v>
      </c>
      <c r="O739" s="472">
        <v>8.4499999999999993</v>
      </c>
      <c r="P739" s="472">
        <v>29.74014</v>
      </c>
      <c r="Q739" s="208" t="s">
        <v>15</v>
      </c>
      <c r="R739" s="535">
        <f>N739</f>
        <v>251.29249999999999</v>
      </c>
      <c r="S739" s="127" t="s">
        <v>68</v>
      </c>
      <c r="T739" s="129" t="s">
        <v>69</v>
      </c>
      <c r="U739" s="858"/>
      <c r="V739" s="2162" t="s">
        <v>2749</v>
      </c>
      <c r="W739" s="720" t="s">
        <v>47</v>
      </c>
      <c r="X739" s="62" t="s">
        <v>436</v>
      </c>
      <c r="Y739" s="538">
        <f>((175*$R$739)+(0.634*$R$740)+$R$741+$T$746)*(1+$T$748)</f>
        <v>74824.214227439981</v>
      </c>
      <c r="Z739" s="2213">
        <f>Y740-Y739</f>
        <v>30530.284486680001</v>
      </c>
      <c r="AA739" s="2251">
        <f>(0.634-0.507)*$P$740</f>
        <v>7229.5528217900001</v>
      </c>
      <c r="AB739" s="922"/>
      <c r="AC739" s="26"/>
      <c r="AD739" s="501"/>
      <c r="AE739" s="581"/>
      <c r="AF739" s="231" t="s">
        <v>47</v>
      </c>
      <c r="AG739" s="720" t="s">
        <v>436</v>
      </c>
      <c r="AH739" s="158">
        <f t="shared" ref="AH739:AH750" si="23">Y739</f>
        <v>74824.214227439981</v>
      </c>
      <c r="AI739" s="159"/>
      <c r="AJ739" s="159"/>
      <c r="AK739" s="159"/>
      <c r="AL739" s="159"/>
      <c r="AM739" s="159"/>
      <c r="AN739" s="159"/>
      <c r="AO739" s="957"/>
      <c r="AP739" s="957"/>
      <c r="AQ739" s="957"/>
      <c r="AR739" s="957"/>
      <c r="AS739" s="957"/>
      <c r="AT739" s="957"/>
      <c r="AU739" s="957"/>
      <c r="AV739" s="957"/>
      <c r="AW739" s="957"/>
      <c r="AX739" s="957"/>
      <c r="AY739" s="957"/>
      <c r="AZ739" s="957"/>
      <c r="BA739" s="957"/>
      <c r="BB739" s="957"/>
      <c r="BC739" s="957"/>
      <c r="BD739" s="957"/>
      <c r="BE739" s="957"/>
      <c r="BF739" s="957"/>
      <c r="BG739" s="957"/>
    </row>
    <row r="740" spans="1:123" ht="15" customHeight="1">
      <c r="A740" s="2120"/>
      <c r="B740" s="817" t="s">
        <v>418</v>
      </c>
      <c r="C740" s="356" t="s">
        <v>12</v>
      </c>
      <c r="D740" s="86" t="s">
        <v>434</v>
      </c>
      <c r="E740" s="213">
        <v>48</v>
      </c>
      <c r="F740" s="94">
        <v>0.62406300000000003</v>
      </c>
      <c r="G740" s="94">
        <v>7.9306000000000001E-2</v>
      </c>
      <c r="H740" s="58">
        <v>97928.28</v>
      </c>
      <c r="I740" s="99">
        <v>45776.62</v>
      </c>
      <c r="J740" s="448" t="s">
        <v>12</v>
      </c>
      <c r="K740" s="15" t="s">
        <v>435</v>
      </c>
      <c r="L740" s="101" t="s">
        <v>15</v>
      </c>
      <c r="M740" s="70" t="s">
        <v>15</v>
      </c>
      <c r="N740" s="1211">
        <v>-200329.95069999999</v>
      </c>
      <c r="O740" s="369">
        <v>-3.52</v>
      </c>
      <c r="P740" s="369">
        <v>56925.61277</v>
      </c>
      <c r="Q740" s="195" t="s">
        <v>15</v>
      </c>
      <c r="R740" s="128">
        <f>N740</f>
        <v>-200329.95069999999</v>
      </c>
      <c r="S740" s="555" t="s">
        <v>133</v>
      </c>
      <c r="T740" s="17" t="s">
        <v>310</v>
      </c>
      <c r="U740" s="859"/>
      <c r="V740" s="2163"/>
      <c r="W740" s="982" t="s">
        <v>49</v>
      </c>
      <c r="X740" s="291" t="s">
        <v>437</v>
      </c>
      <c r="Y740" s="719">
        <f>((175*$R$739)+(0.507*$R$740)+$R$741+$T$746)*(1+$T$748)</f>
        <v>105354.49871411998</v>
      </c>
      <c r="Z740" s="2213"/>
      <c r="AA740" s="2214"/>
      <c r="AB740" s="922"/>
      <c r="AC740" s="26"/>
      <c r="AD740" s="24"/>
      <c r="AE740" s="26"/>
      <c r="AF740" s="289" t="s">
        <v>49</v>
      </c>
      <c r="AG740" s="291" t="s">
        <v>437</v>
      </c>
      <c r="AH740" s="158">
        <f t="shared" si="23"/>
        <v>105354.49871411998</v>
      </c>
      <c r="AI740" s="159"/>
      <c r="AJ740" s="159"/>
      <c r="AK740" s="159"/>
      <c r="AL740" s="159">
        <f>591.08*175</f>
        <v>103439</v>
      </c>
      <c r="AM740" s="159"/>
      <c r="AN740" s="159"/>
      <c r="AO740" s="957"/>
      <c r="AP740" s="957"/>
      <c r="AQ740" s="957"/>
      <c r="AR740" s="957"/>
      <c r="AS740" s="957"/>
      <c r="AT740" s="957"/>
      <c r="AU740" s="957"/>
      <c r="AV740" s="957"/>
      <c r="AW740" s="957"/>
      <c r="AX740" s="957"/>
      <c r="AY740" s="957"/>
      <c r="AZ740" s="957"/>
      <c r="BA740" s="957"/>
      <c r="BB740" s="957"/>
      <c r="BC740" s="957"/>
      <c r="BD740" s="957"/>
      <c r="BE740" s="957"/>
      <c r="BF740" s="957"/>
      <c r="BG740" s="957"/>
    </row>
    <row r="741" spans="1:123" ht="15" customHeight="1">
      <c r="A741" s="2120"/>
      <c r="B741" s="2191" t="s">
        <v>419</v>
      </c>
      <c r="C741" s="2223" t="s">
        <v>13</v>
      </c>
      <c r="D741" s="86" t="s">
        <v>432</v>
      </c>
      <c r="E741" s="213">
        <v>10</v>
      </c>
      <c r="F741" s="148" t="s">
        <v>15</v>
      </c>
      <c r="G741" s="148" t="s">
        <v>15</v>
      </c>
      <c r="H741" s="58">
        <v>116440</v>
      </c>
      <c r="I741" s="99">
        <v>17458.79</v>
      </c>
      <c r="J741" s="2274" t="s">
        <v>13</v>
      </c>
      <c r="K741" s="15" t="s">
        <v>432</v>
      </c>
      <c r="L741" s="101" t="s">
        <v>15</v>
      </c>
      <c r="M741" s="70" t="s">
        <v>15</v>
      </c>
      <c r="N741" s="1211">
        <v>-18496.303400000001</v>
      </c>
      <c r="O741" s="369">
        <v>-2.93</v>
      </c>
      <c r="P741" s="369">
        <v>6309.6350899999998</v>
      </c>
      <c r="Q741" s="195" t="s">
        <v>15</v>
      </c>
      <c r="R741" s="128">
        <f>N741</f>
        <v>-18496.303400000001</v>
      </c>
      <c r="S741" s="127" t="s">
        <v>72</v>
      </c>
      <c r="T741" s="201" t="s">
        <v>119</v>
      </c>
      <c r="U741" s="855"/>
      <c r="V741" s="2163"/>
      <c r="W741" s="982" t="s">
        <v>47</v>
      </c>
      <c r="X741" s="291" t="s">
        <v>438</v>
      </c>
      <c r="Y741" s="719">
        <f>((300*$R$739)+(0.576*$R$740)+$R$741+$T$746)*(1+$T$748)</f>
        <v>126461.05379615999</v>
      </c>
      <c r="Z741" s="2213">
        <f>Y742-Y741</f>
        <v>27645.533196599994</v>
      </c>
      <c r="AA741" s="2214">
        <f>(0.576-0.461)*$P$740</f>
        <v>6546.4454685499959</v>
      </c>
      <c r="AB741" s="922"/>
      <c r="AC741" s="26"/>
      <c r="AD741" s="24"/>
      <c r="AE741" s="26"/>
      <c r="AF741" s="289" t="s">
        <v>47</v>
      </c>
      <c r="AG741" s="291" t="s">
        <v>438</v>
      </c>
      <c r="AH741" s="158">
        <f t="shared" si="23"/>
        <v>126461.05379615999</v>
      </c>
      <c r="AI741" s="2170">
        <f>121338*1.2</f>
        <v>145605.6</v>
      </c>
      <c r="AJ741" s="159">
        <f>337*300</f>
        <v>101100</v>
      </c>
      <c r="AK741" s="159"/>
      <c r="AL741" s="159"/>
      <c r="AM741" s="159"/>
      <c r="AN741" s="159"/>
      <c r="AO741" s="957"/>
      <c r="AP741" s="957"/>
      <c r="AQ741" s="957"/>
      <c r="AR741" s="957"/>
      <c r="AS741" s="957"/>
      <c r="AT741" s="957"/>
      <c r="AU741" s="957"/>
      <c r="AV741" s="957"/>
      <c r="AW741" s="957"/>
      <c r="AX741" s="957"/>
      <c r="AY741" s="957"/>
      <c r="AZ741" s="957"/>
      <c r="BA741" s="957"/>
      <c r="BB741" s="957"/>
      <c r="BC741" s="957"/>
      <c r="BD741" s="957"/>
      <c r="BE741" s="957"/>
      <c r="BF741" s="957"/>
      <c r="BG741" s="957"/>
    </row>
    <row r="742" spans="1:123" ht="15" customHeight="1">
      <c r="A742" s="2120"/>
      <c r="B742" s="2192"/>
      <c r="C742" s="2223"/>
      <c r="D742" s="86" t="s">
        <v>422</v>
      </c>
      <c r="E742" s="213">
        <v>31</v>
      </c>
      <c r="F742" s="148" t="s">
        <v>15</v>
      </c>
      <c r="G742" s="148" t="s">
        <v>15</v>
      </c>
      <c r="H742" s="58">
        <v>105028.47</v>
      </c>
      <c r="I742" s="99">
        <v>46995.32</v>
      </c>
      <c r="J742" s="2274"/>
      <c r="K742" s="15" t="s">
        <v>422</v>
      </c>
      <c r="L742" s="101" t="s">
        <v>15</v>
      </c>
      <c r="M742" s="70" t="s">
        <v>15</v>
      </c>
      <c r="N742" s="1211">
        <v>0</v>
      </c>
      <c r="O742" s="369" t="s">
        <v>204</v>
      </c>
      <c r="P742" s="369" t="s">
        <v>204</v>
      </c>
      <c r="Q742" s="195" t="s">
        <v>15</v>
      </c>
      <c r="R742" s="128">
        <f>N742</f>
        <v>0</v>
      </c>
      <c r="S742" s="423" t="s">
        <v>139</v>
      </c>
      <c r="T742" s="202" t="s">
        <v>140</v>
      </c>
      <c r="U742" s="859"/>
      <c r="V742" s="2163"/>
      <c r="W742" s="982" t="s">
        <v>49</v>
      </c>
      <c r="X742" s="291" t="s">
        <v>439</v>
      </c>
      <c r="Y742" s="719">
        <f>((300*$R$739)+(0.461*$R$740)+$R$741+$T$746)*(1+$T$748)</f>
        <v>154106.58699275999</v>
      </c>
      <c r="Z742" s="2213"/>
      <c r="AA742" s="2214"/>
      <c r="AB742" s="922"/>
      <c r="AC742" s="26"/>
      <c r="AD742" s="24"/>
      <c r="AE742" s="26"/>
      <c r="AF742" s="289" t="s">
        <v>49</v>
      </c>
      <c r="AG742" s="291" t="s">
        <v>439</v>
      </c>
      <c r="AH742" s="158">
        <f t="shared" si="23"/>
        <v>154106.58699275999</v>
      </c>
      <c r="AI742" s="2170"/>
      <c r="AJ742" s="159">
        <f>353*300</f>
        <v>105900</v>
      </c>
      <c r="AK742" s="159"/>
      <c r="AL742" s="159">
        <f>279.01*300</f>
        <v>83703</v>
      </c>
      <c r="AM742" s="159"/>
      <c r="AN742" s="159"/>
      <c r="AO742" s="957"/>
      <c r="AP742" s="957"/>
      <c r="AQ742" s="957"/>
      <c r="AR742" s="957"/>
      <c r="AS742" s="957"/>
      <c r="AT742" s="957"/>
      <c r="AU742" s="957"/>
      <c r="AV742" s="957"/>
      <c r="AW742" s="957"/>
      <c r="AX742" s="957"/>
      <c r="AY742" s="957"/>
      <c r="AZ742" s="957"/>
      <c r="BA742" s="957"/>
      <c r="BB742" s="957"/>
      <c r="BC742" s="957"/>
      <c r="BD742" s="957"/>
      <c r="BE742" s="957"/>
      <c r="BF742" s="957"/>
      <c r="BG742" s="957"/>
    </row>
    <row r="743" spans="1:123" ht="15" customHeight="1">
      <c r="A743" s="2120"/>
      <c r="B743" s="2192"/>
      <c r="C743" s="2223"/>
      <c r="D743" s="86" t="s">
        <v>423</v>
      </c>
      <c r="E743" s="213">
        <v>7</v>
      </c>
      <c r="F743" s="148" t="s">
        <v>15</v>
      </c>
      <c r="G743" s="148" t="s">
        <v>15</v>
      </c>
      <c r="H743" s="58">
        <v>40039.29</v>
      </c>
      <c r="I743" s="99">
        <v>13170.43</v>
      </c>
      <c r="J743" s="2274"/>
      <c r="K743" s="233" t="s">
        <v>15</v>
      </c>
      <c r="L743" s="101" t="s">
        <v>15</v>
      </c>
      <c r="M743" s="70" t="s">
        <v>15</v>
      </c>
      <c r="N743" s="1211">
        <v>-4315.6963999999998</v>
      </c>
      <c r="O743" s="369">
        <v>-0.57999999999999996</v>
      </c>
      <c r="P743" s="369">
        <v>7472.9398600000004</v>
      </c>
      <c r="Q743" s="195" t="s">
        <v>15</v>
      </c>
      <c r="R743" s="128">
        <f>N743</f>
        <v>-4315.6963999999998</v>
      </c>
      <c r="S743" s="127" t="s">
        <v>74</v>
      </c>
      <c r="T743" s="203" t="s">
        <v>75</v>
      </c>
      <c r="U743" s="858"/>
      <c r="V743" s="2163"/>
      <c r="W743" s="982" t="s">
        <v>47</v>
      </c>
      <c r="X743" s="291" t="s">
        <v>440</v>
      </c>
      <c r="Y743" s="719">
        <f>((100*$R$739)+(0.7*$R$740)+$R$741+$T$746)*(1+$T$748)</f>
        <v>36341.757132000006</v>
      </c>
      <c r="Z743" s="2213">
        <f>Y744-Y743</f>
        <v>33655.431717599968</v>
      </c>
      <c r="AA743" s="2214">
        <f>(0.7-0.56)*$P$740</f>
        <v>7969.5857877999943</v>
      </c>
      <c r="AB743" s="922"/>
      <c r="AC743" s="26"/>
      <c r="AD743" s="24"/>
      <c r="AE743" s="26"/>
      <c r="AF743" s="289" t="s">
        <v>47</v>
      </c>
      <c r="AG743" s="291" t="s">
        <v>440</v>
      </c>
      <c r="AH743" s="158">
        <f t="shared" si="23"/>
        <v>36341.757132000006</v>
      </c>
      <c r="AI743" s="2170">
        <f>41720*1.2</f>
        <v>50064</v>
      </c>
      <c r="AJ743" s="159"/>
      <c r="AK743" s="159"/>
      <c r="AL743" s="159"/>
      <c r="AM743" s="159"/>
      <c r="AN743" s="159"/>
      <c r="AO743" s="957"/>
      <c r="AP743" s="957"/>
      <c r="AQ743" s="957"/>
      <c r="AR743" s="957"/>
      <c r="AS743" s="957"/>
      <c r="AT743" s="957"/>
      <c r="AU743" s="957"/>
      <c r="AV743" s="957"/>
      <c r="AW743" s="957"/>
      <c r="AX743" s="957"/>
      <c r="AY743" s="957"/>
      <c r="AZ743" s="957"/>
      <c r="BA743" s="957"/>
      <c r="BB743" s="957"/>
      <c r="BC743" s="957"/>
      <c r="BD743" s="957"/>
      <c r="BE743" s="957"/>
      <c r="BF743" s="957"/>
      <c r="BG743" s="957"/>
    </row>
    <row r="744" spans="1:123" ht="15" customHeight="1">
      <c r="A744" s="2120"/>
      <c r="B744" s="2222"/>
      <c r="C744" s="2173"/>
      <c r="D744" s="209" t="s">
        <v>426</v>
      </c>
      <c r="E744" s="197" t="s">
        <v>15</v>
      </c>
      <c r="F744" s="197" t="s">
        <v>15</v>
      </c>
      <c r="G744" s="197" t="s">
        <v>15</v>
      </c>
      <c r="H744" s="197" t="s">
        <v>15</v>
      </c>
      <c r="I744" s="122" t="s">
        <v>15</v>
      </c>
      <c r="J744" s="2218"/>
      <c r="K744" s="1143" t="s">
        <v>426</v>
      </c>
      <c r="L744" s="216" t="s">
        <v>15</v>
      </c>
      <c r="M744" s="22" t="s">
        <v>15</v>
      </c>
      <c r="N744" s="1218" t="s">
        <v>15</v>
      </c>
      <c r="O744" s="478" t="s">
        <v>15</v>
      </c>
      <c r="P744" s="478" t="s">
        <v>15</v>
      </c>
      <c r="Q744" s="257" t="s">
        <v>15</v>
      </c>
      <c r="R744" s="257" t="s">
        <v>15</v>
      </c>
      <c r="S744" s="95">
        <v>48</v>
      </c>
      <c r="T744" s="204" t="s">
        <v>15</v>
      </c>
      <c r="U744" s="854"/>
      <c r="V744" s="2163"/>
      <c r="W744" s="982" t="s">
        <v>49</v>
      </c>
      <c r="X744" s="291" t="s">
        <v>441</v>
      </c>
      <c r="Y744" s="719">
        <f>((100*$R$739)+(0.56*$R$740)+$R$741+$T$746)*(1+$T$748)</f>
        <v>69997.188849599974</v>
      </c>
      <c r="Z744" s="2213"/>
      <c r="AA744" s="2214"/>
      <c r="AB744" s="922"/>
      <c r="AC744" s="26"/>
      <c r="AD744" s="24"/>
      <c r="AE744" s="26"/>
      <c r="AF744" s="289" t="s">
        <v>49</v>
      </c>
      <c r="AG744" s="291" t="s">
        <v>441</v>
      </c>
      <c r="AH744" s="158">
        <f t="shared" si="23"/>
        <v>69997.188849599974</v>
      </c>
      <c r="AI744" s="2170"/>
      <c r="AJ744" s="159"/>
      <c r="AK744" s="159"/>
      <c r="AL744" s="159">
        <f>670.26*100</f>
        <v>67026</v>
      </c>
      <c r="AM744" s="159"/>
      <c r="AN744" s="159"/>
      <c r="AO744" s="957"/>
      <c r="AP744" s="957"/>
      <c r="AQ744" s="957"/>
      <c r="AR744" s="957"/>
      <c r="AS744" s="957"/>
      <c r="AT744" s="957"/>
      <c r="AU744" s="957"/>
      <c r="AV744" s="957"/>
      <c r="AW744" s="957"/>
      <c r="AX744" s="957"/>
      <c r="AY744" s="957"/>
      <c r="AZ744" s="957"/>
      <c r="BA744" s="957"/>
      <c r="BB744" s="957"/>
      <c r="BC744" s="957"/>
      <c r="BD744" s="957"/>
      <c r="BE744" s="957"/>
      <c r="BF744" s="957"/>
      <c r="BG744" s="957"/>
    </row>
    <row r="745" spans="1:123" ht="15" customHeight="1">
      <c r="A745" s="2120"/>
      <c r="B745" s="2116" t="s">
        <v>194</v>
      </c>
      <c r="C745" s="39"/>
      <c r="D745" s="27"/>
      <c r="E745" s="27"/>
      <c r="F745" s="27"/>
      <c r="G745" s="27"/>
      <c r="H745" s="27"/>
      <c r="I745" s="27"/>
      <c r="J745" s="102"/>
      <c r="K745" s="27"/>
      <c r="L745" s="102"/>
      <c r="M745" s="27"/>
      <c r="N745" s="1217"/>
      <c r="O745" s="477"/>
      <c r="P745" s="477"/>
      <c r="Q745" s="253"/>
      <c r="R745" s="266"/>
      <c r="S745" s="135" t="s">
        <v>41</v>
      </c>
      <c r="T745" s="203" t="s">
        <v>42</v>
      </c>
      <c r="U745" s="858"/>
      <c r="V745" s="2163"/>
      <c r="W745" s="982" t="s">
        <v>47</v>
      </c>
      <c r="X745" s="291" t="s">
        <v>442</v>
      </c>
      <c r="Y745" s="719">
        <f>((225*$R$739)+(0.718*$R$740)+$R$742+$T$746)*(1+$T$748)</f>
        <v>91904.069276880022</v>
      </c>
      <c r="Z745" s="2213">
        <f>Y746-Y745</f>
        <v>34617.015480959977</v>
      </c>
      <c r="AA745" s="2214">
        <f>(0.718-0.574)*$P$740</f>
        <v>8197.2882388800008</v>
      </c>
      <c r="AB745" s="922"/>
      <c r="AC745" s="26"/>
      <c r="AD745" s="24"/>
      <c r="AE745" s="26"/>
      <c r="AF745" s="289" t="s">
        <v>47</v>
      </c>
      <c r="AG745" s="291" t="s">
        <v>442</v>
      </c>
      <c r="AH745" s="158">
        <f t="shared" si="23"/>
        <v>91904.069276880022</v>
      </c>
      <c r="AI745" s="955"/>
      <c r="AJ745" s="159"/>
      <c r="AK745" s="159">
        <f>347*225</f>
        <v>78075</v>
      </c>
      <c r="AL745" s="159">
        <f>361.01*225</f>
        <v>81227.25</v>
      </c>
      <c r="AM745" s="2170">
        <f>AVERAGE(85772,103554)</f>
        <v>94663</v>
      </c>
      <c r="AN745" s="159">
        <f>363.24*225</f>
        <v>81729</v>
      </c>
      <c r="AO745" s="957"/>
      <c r="AP745" s="957"/>
      <c r="AQ745" s="957"/>
      <c r="AR745" s="957"/>
      <c r="AS745" s="957"/>
      <c r="AT745" s="957"/>
      <c r="AU745" s="957"/>
      <c r="AV745" s="957"/>
      <c r="AW745" s="957"/>
      <c r="AX745" s="957"/>
      <c r="AY745" s="957"/>
      <c r="AZ745" s="957"/>
      <c r="BA745" s="957"/>
      <c r="BB745" s="957"/>
      <c r="BC745" s="957"/>
      <c r="BD745" s="957"/>
      <c r="BE745" s="957"/>
      <c r="BF745" s="957"/>
      <c r="BG745" s="957"/>
    </row>
    <row r="746" spans="1:123" ht="15" customHeight="1">
      <c r="A746" s="2120"/>
      <c r="B746" s="2117"/>
      <c r="C746" s="41"/>
      <c r="D746" s="26"/>
      <c r="E746" s="26"/>
      <c r="F746" s="26"/>
      <c r="G746" s="26"/>
      <c r="H746" s="26"/>
      <c r="I746" s="26"/>
      <c r="J746" s="75"/>
      <c r="K746" s="26"/>
      <c r="L746" s="75"/>
      <c r="M746" s="26"/>
      <c r="N746" s="1210"/>
      <c r="O746" s="475"/>
      <c r="P746" s="475"/>
      <c r="Q746" s="252"/>
      <c r="R746" s="264"/>
      <c r="S746" s="357">
        <v>0.90649599999999997</v>
      </c>
      <c r="T746" s="420">
        <v>163882.81649999999</v>
      </c>
      <c r="U746" s="861"/>
      <c r="V746" s="2163"/>
      <c r="W746" s="982" t="s">
        <v>49</v>
      </c>
      <c r="X746" s="291" t="s">
        <v>443</v>
      </c>
      <c r="Y746" s="719">
        <f>((225*$R$739)+(0.574*$R$740)+$R$742+$T$746)*(1+$T$748)</f>
        <v>126521.08475784</v>
      </c>
      <c r="Z746" s="2213"/>
      <c r="AA746" s="2214"/>
      <c r="AB746" s="922"/>
      <c r="AC746" s="26"/>
      <c r="AD746" s="24"/>
      <c r="AE746" s="26"/>
      <c r="AF746" s="289" t="s">
        <v>49</v>
      </c>
      <c r="AG746" s="291" t="s">
        <v>443</v>
      </c>
      <c r="AH746" s="158">
        <f t="shared" si="23"/>
        <v>126521.08475784</v>
      </c>
      <c r="AI746" s="955"/>
      <c r="AJ746" s="159"/>
      <c r="AK746" s="159">
        <f>372*225</f>
        <v>83700</v>
      </c>
      <c r="AL746" s="159">
        <f>431.02*225</f>
        <v>96979.5</v>
      </c>
      <c r="AM746" s="2170"/>
      <c r="AN746" s="159"/>
      <c r="AO746" s="957"/>
      <c r="AP746" s="957"/>
      <c r="AQ746" s="957"/>
      <c r="AR746" s="957"/>
      <c r="AS746" s="957"/>
      <c r="AT746" s="957"/>
      <c r="AU746" s="957"/>
      <c r="AV746" s="957"/>
      <c r="AW746" s="957"/>
      <c r="AX746" s="957"/>
      <c r="AY746" s="957"/>
      <c r="AZ746" s="957"/>
      <c r="BA746" s="957"/>
      <c r="BB746" s="957"/>
      <c r="BC746" s="957"/>
      <c r="BD746" s="957"/>
      <c r="BE746" s="957"/>
      <c r="BF746" s="957"/>
      <c r="BG746" s="957"/>
    </row>
    <row r="747" spans="1:123" ht="15" customHeight="1">
      <c r="A747" s="2120"/>
      <c r="B747" s="2117"/>
      <c r="C747" s="41"/>
      <c r="D747" s="26"/>
      <c r="E747" s="26"/>
      <c r="F747" s="26"/>
      <c r="G747" s="26"/>
      <c r="H747" s="26"/>
      <c r="I747" s="26"/>
      <c r="J747" s="75"/>
      <c r="K747" s="26"/>
      <c r="L747" s="75"/>
      <c r="M747" s="26"/>
      <c r="N747" s="1210"/>
      <c r="O747" s="475"/>
      <c r="P747" s="475"/>
      <c r="Q747" s="252"/>
      <c r="R747" s="264"/>
      <c r="S747" s="156" t="s">
        <v>235</v>
      </c>
      <c r="T747" s="201" t="s">
        <v>391</v>
      </c>
      <c r="U747" s="855"/>
      <c r="V747" s="2163"/>
      <c r="W747" s="982" t="s">
        <v>47</v>
      </c>
      <c r="X747" s="291" t="s">
        <v>444</v>
      </c>
      <c r="Y747" s="719">
        <f>((300*$R$739)+(0.639*$R$740)+$R$742+$T$746)*(1+$T$748)</f>
        <v>133511.67360323999</v>
      </c>
      <c r="Z747" s="2213">
        <f>Y748-Y747</f>
        <v>30770.680427519983</v>
      </c>
      <c r="AA747" s="2214">
        <f>(0.639-0.511)*$P$740</f>
        <v>7286.4784345600001</v>
      </c>
      <c r="AB747" s="922"/>
      <c r="AC747" s="26"/>
      <c r="AD747" s="24"/>
      <c r="AE747" s="26"/>
      <c r="AF747" s="289" t="s">
        <v>47</v>
      </c>
      <c r="AG747" s="291" t="s">
        <v>444</v>
      </c>
      <c r="AH747" s="158">
        <f t="shared" si="23"/>
        <v>133511.67360323999</v>
      </c>
      <c r="AI747" s="2170">
        <f>121338*1.2</f>
        <v>145605.6</v>
      </c>
      <c r="AJ747" s="159"/>
      <c r="AK747" s="159"/>
      <c r="AL747" s="159">
        <f>293.32*300</f>
        <v>87996</v>
      </c>
      <c r="AM747" s="2170">
        <v>119767</v>
      </c>
      <c r="AN747" s="159">
        <f>288.81*300</f>
        <v>86643</v>
      </c>
      <c r="AO747" s="957"/>
      <c r="AP747" s="957"/>
      <c r="AQ747" s="957"/>
      <c r="AR747" s="957"/>
      <c r="AS747" s="957"/>
      <c r="AT747" s="957"/>
      <c r="AU747" s="957"/>
      <c r="AV747" s="957"/>
      <c r="AW747" s="957"/>
      <c r="AX747" s="957"/>
      <c r="AY747" s="957"/>
      <c r="AZ747" s="957"/>
      <c r="BA747" s="957"/>
      <c r="BB747" s="957"/>
      <c r="BC747" s="957"/>
      <c r="BD747" s="957"/>
      <c r="BE747" s="957"/>
      <c r="BF747" s="957"/>
      <c r="BG747" s="957"/>
    </row>
    <row r="748" spans="1:123" ht="15" customHeight="1">
      <c r="A748" s="2120"/>
      <c r="B748" s="2117"/>
      <c r="C748" s="1119"/>
      <c r="D748" s="26"/>
      <c r="E748" s="26"/>
      <c r="F748" s="26"/>
      <c r="G748" s="26"/>
      <c r="H748" s="26"/>
      <c r="I748" s="26"/>
      <c r="J748" s="75"/>
      <c r="K748" s="26"/>
      <c r="L748" s="75"/>
      <c r="M748" s="26"/>
      <c r="N748" s="1210"/>
      <c r="O748" s="475"/>
      <c r="P748" s="475"/>
      <c r="Q748" s="252"/>
      <c r="R748" s="264"/>
      <c r="S748" s="86">
        <v>10905.322</v>
      </c>
      <c r="T748" s="207">
        <v>0.2</v>
      </c>
      <c r="U748" s="862"/>
      <c r="V748" s="2163"/>
      <c r="W748" s="982" t="s">
        <v>49</v>
      </c>
      <c r="X748" s="291" t="s">
        <v>445</v>
      </c>
      <c r="Y748" s="719">
        <f>((300*$R$739)+(0.511*$R$740)+$R$742+$T$746)*(1+$T$748)</f>
        <v>164282.35403075998</v>
      </c>
      <c r="Z748" s="2213"/>
      <c r="AA748" s="2214"/>
      <c r="AB748" s="922"/>
      <c r="AC748" s="26"/>
      <c r="AD748" s="24"/>
      <c r="AE748" s="26"/>
      <c r="AF748" s="289" t="s">
        <v>49</v>
      </c>
      <c r="AG748" s="291" t="s">
        <v>445</v>
      </c>
      <c r="AH748" s="158">
        <f t="shared" si="23"/>
        <v>164282.35403075998</v>
      </c>
      <c r="AI748" s="2170"/>
      <c r="AJ748" s="159"/>
      <c r="AK748" s="159"/>
      <c r="AL748" s="159">
        <f>341.32*300</f>
        <v>102396</v>
      </c>
      <c r="AM748" s="2170"/>
      <c r="AN748" s="159"/>
      <c r="AO748" s="957"/>
      <c r="AP748" s="957"/>
      <c r="AQ748" s="957"/>
      <c r="AR748" s="957"/>
      <c r="AS748" s="957"/>
      <c r="AT748" s="957"/>
      <c r="AU748" s="957"/>
      <c r="AV748" s="957"/>
      <c r="AW748" s="957"/>
      <c r="AX748" s="957"/>
      <c r="AY748" s="957"/>
      <c r="AZ748" s="957"/>
      <c r="BA748" s="957"/>
      <c r="BB748" s="957"/>
      <c r="BC748" s="957"/>
      <c r="BD748" s="957"/>
      <c r="BE748" s="957"/>
      <c r="BF748" s="957"/>
      <c r="BG748" s="957"/>
    </row>
    <row r="749" spans="1:123" ht="15" customHeight="1">
      <c r="A749" s="2120"/>
      <c r="B749" s="2117"/>
      <c r="C749" s="1119"/>
      <c r="D749" s="26"/>
      <c r="E749" s="26"/>
      <c r="F749" s="26"/>
      <c r="G749" s="26"/>
      <c r="H749" s="26"/>
      <c r="I749" s="26"/>
      <c r="J749" s="75"/>
      <c r="K749" s="26"/>
      <c r="L749" s="75"/>
      <c r="M749" s="26"/>
      <c r="N749" s="1210"/>
      <c r="O749" s="475"/>
      <c r="P749" s="475"/>
      <c r="Q749" s="252"/>
      <c r="R749" s="252"/>
      <c r="S749" s="26"/>
      <c r="T749" s="26"/>
      <c r="V749" s="2163"/>
      <c r="W749" s="982" t="s">
        <v>47</v>
      </c>
      <c r="X749" s="291" t="s">
        <v>446</v>
      </c>
      <c r="Y749" s="719">
        <f>((100*$R$739)+(0.79*$R$740)+$R$742+$T$746)*(1+$T$748)</f>
        <v>36901.686536399997</v>
      </c>
      <c r="Z749" s="2213">
        <f>Y750-Y749</f>
        <v>37982.558652719992</v>
      </c>
      <c r="AA749" s="2214">
        <f>(0.79-0.632)*$P$740</f>
        <v>8994.2468176600014</v>
      </c>
      <c r="AB749" s="922"/>
      <c r="AC749" s="26"/>
      <c r="AD749" s="24"/>
      <c r="AE749" s="26"/>
      <c r="AF749" s="289" t="s">
        <v>47</v>
      </c>
      <c r="AG749" s="291" t="s">
        <v>446</v>
      </c>
      <c r="AH749" s="158">
        <f t="shared" si="23"/>
        <v>36901.686536399997</v>
      </c>
      <c r="AI749" s="2170">
        <f>41720*1.2</f>
        <v>50064</v>
      </c>
      <c r="AJ749" s="159"/>
      <c r="AK749" s="159">
        <f>443*100</f>
        <v>44300</v>
      </c>
      <c r="AL749" s="159">
        <f>475.38*100</f>
        <v>47538</v>
      </c>
      <c r="AM749" s="2170">
        <v>57530</v>
      </c>
      <c r="AN749" s="159">
        <f>454.88*100</f>
        <v>45488</v>
      </c>
      <c r="AO749" s="957"/>
      <c r="AP749" s="957"/>
      <c r="AQ749" s="957"/>
      <c r="AR749" s="957"/>
      <c r="AS749" s="957"/>
      <c r="AT749" s="957"/>
      <c r="AU749" s="957"/>
      <c r="AV749" s="957"/>
      <c r="AW749" s="957"/>
      <c r="AX749" s="957"/>
      <c r="AY749" s="957"/>
      <c r="AZ749" s="957"/>
      <c r="BA749" s="957"/>
      <c r="BB749" s="957"/>
      <c r="BC749" s="957"/>
      <c r="BD749" s="957"/>
      <c r="BE749" s="957"/>
      <c r="BF749" s="957"/>
      <c r="BG749" s="957"/>
    </row>
    <row r="750" spans="1:123" ht="15.75" customHeight="1" thickBot="1">
      <c r="A750" s="2120"/>
      <c r="B750" s="2117"/>
      <c r="C750" s="1119"/>
      <c r="D750" s="26"/>
      <c r="E750" s="26"/>
      <c r="F750" s="26"/>
      <c r="G750" s="26"/>
      <c r="H750" s="26"/>
      <c r="I750" s="26"/>
      <c r="J750" s="75"/>
      <c r="K750" s="26"/>
      <c r="L750" s="75"/>
      <c r="M750" s="26"/>
      <c r="N750" s="1210"/>
      <c r="O750" s="475"/>
      <c r="P750" s="475"/>
      <c r="Q750" s="252"/>
      <c r="R750" s="252"/>
      <c r="S750" s="26"/>
      <c r="T750" s="26"/>
      <c r="V750" s="2414"/>
      <c r="W750" s="19" t="s">
        <v>49</v>
      </c>
      <c r="X750" s="19" t="s">
        <v>447</v>
      </c>
      <c r="Y750" s="1087">
        <f>((100*$R$739)+(0.632*$R$740)+$R$742+$T$746)*(1+$T$748)</f>
        <v>74884.245189119989</v>
      </c>
      <c r="Z750" s="2277"/>
      <c r="AA750" s="2273"/>
      <c r="AB750" s="922"/>
      <c r="AC750" s="26"/>
      <c r="AD750" s="24"/>
      <c r="AE750" s="26"/>
      <c r="AF750" s="1241" t="s">
        <v>49</v>
      </c>
      <c r="AG750" s="291" t="s">
        <v>447</v>
      </c>
      <c r="AH750" s="158">
        <f t="shared" si="23"/>
        <v>74884.245189119989</v>
      </c>
      <c r="AI750" s="2170"/>
      <c r="AJ750" s="159"/>
      <c r="AK750" s="159">
        <f>492*100</f>
        <v>49200</v>
      </c>
      <c r="AL750" s="159">
        <f>603.51*100</f>
        <v>60351</v>
      </c>
      <c r="AM750" s="2170"/>
      <c r="AN750" s="159"/>
      <c r="AO750" s="957"/>
      <c r="AP750" s="957"/>
      <c r="AQ750" s="957"/>
      <c r="AR750" s="957"/>
      <c r="AS750" s="957"/>
      <c r="AT750" s="957"/>
      <c r="AU750" s="957"/>
      <c r="AV750" s="957"/>
      <c r="AW750" s="957"/>
      <c r="AX750" s="957"/>
      <c r="AY750" s="957"/>
      <c r="AZ750" s="957"/>
      <c r="BA750" s="957"/>
      <c r="BB750" s="957"/>
      <c r="BC750" s="957"/>
      <c r="BD750" s="957"/>
      <c r="BE750" s="957"/>
      <c r="BF750" s="957"/>
      <c r="BG750" s="957"/>
    </row>
    <row r="751" spans="1:123" s="705" customFormat="1" ht="9" customHeight="1" thickBot="1">
      <c r="A751" s="695"/>
      <c r="B751" s="815"/>
      <c r="C751" s="684"/>
      <c r="D751" s="683"/>
      <c r="E751" s="683"/>
      <c r="F751" s="683"/>
      <c r="G751" s="683"/>
      <c r="H751" s="683"/>
      <c r="I751" s="683"/>
      <c r="J751" s="682"/>
      <c r="K751" s="683"/>
      <c r="L751" s="682"/>
      <c r="M751" s="685"/>
      <c r="N751" s="1189"/>
      <c r="O751" s="686"/>
      <c r="P751" s="686"/>
      <c r="Q751" s="687"/>
      <c r="R751" s="687"/>
      <c r="S751" s="688"/>
      <c r="T751" s="688"/>
      <c r="U751" s="854"/>
      <c r="V751" s="893"/>
      <c r="W751" s="685"/>
      <c r="X751" s="685"/>
      <c r="Y751" s="688"/>
      <c r="Z751" s="688"/>
      <c r="AA751" s="688"/>
      <c r="AB751" s="846"/>
      <c r="AC751" s="685"/>
      <c r="AD751" s="685"/>
      <c r="AE751" s="685"/>
      <c r="AF751" s="689"/>
      <c r="AG751" s="685"/>
      <c r="AH751" s="960"/>
      <c r="AI751" s="960"/>
      <c r="AJ751" s="960"/>
      <c r="AK751" s="961"/>
      <c r="AL751" s="961"/>
      <c r="AM751" s="961"/>
      <c r="AN751" s="961"/>
      <c r="AO751" s="959"/>
      <c r="AP751" s="959"/>
      <c r="AQ751" s="959"/>
      <c r="AR751" s="959"/>
      <c r="AS751" s="959"/>
      <c r="AT751" s="959"/>
      <c r="AU751" s="959"/>
      <c r="AV751" s="959"/>
      <c r="AW751" s="959"/>
      <c r="AX751" s="959"/>
      <c r="AY751" s="959"/>
      <c r="AZ751" s="959"/>
      <c r="BA751" s="959"/>
      <c r="BB751" s="959"/>
      <c r="BC751" s="959"/>
      <c r="BD751" s="959"/>
      <c r="BE751" s="959"/>
      <c r="BF751" s="959"/>
      <c r="BG751" s="959"/>
      <c r="BH751" s="1125"/>
      <c r="CF751" s="692"/>
      <c r="CG751" s="692"/>
      <c r="CH751" s="692"/>
      <c r="CI751" s="692"/>
      <c r="CJ751" s="692"/>
      <c r="CK751" s="692"/>
      <c r="CL751" s="692"/>
      <c r="CM751" s="692"/>
      <c r="CN751" s="692"/>
      <c r="CO751" s="692"/>
      <c r="CP751" s="692"/>
      <c r="CQ751" s="692"/>
      <c r="CR751" s="692"/>
      <c r="CS751" s="692"/>
      <c r="CT751" s="692"/>
      <c r="CU751" s="692"/>
      <c r="CV751" s="692"/>
      <c r="CW751" s="692"/>
      <c r="CX751" s="692"/>
      <c r="CY751" s="692"/>
      <c r="CZ751" s="692"/>
      <c r="DA751" s="692"/>
      <c r="DB751" s="692"/>
      <c r="DC751" s="692"/>
      <c r="DD751" s="692"/>
      <c r="DE751" s="692"/>
      <c r="DF751" s="692"/>
      <c r="DG751" s="692"/>
      <c r="DH751" s="692"/>
      <c r="DI751" s="693"/>
      <c r="DJ751" s="692"/>
      <c r="DK751" s="692"/>
      <c r="DL751" s="692"/>
      <c r="DM751" s="692"/>
      <c r="DN751" s="692"/>
      <c r="DO751" s="692"/>
      <c r="DP751" s="692"/>
      <c r="DQ751" s="692"/>
      <c r="DR751" s="692"/>
      <c r="DS751" s="692"/>
    </row>
    <row r="752" spans="1:123" s="327" customFormat="1" ht="30">
      <c r="A752" s="2171" t="s">
        <v>1357</v>
      </c>
      <c r="B752" s="823" t="s">
        <v>394</v>
      </c>
      <c r="C752" s="811" t="s">
        <v>12</v>
      </c>
      <c r="D752" s="173" t="s">
        <v>956</v>
      </c>
      <c r="E752" s="173">
        <v>23</v>
      </c>
      <c r="F752" s="472">
        <v>776.08699999999999</v>
      </c>
      <c r="G752" s="472">
        <v>384.90539999999999</v>
      </c>
      <c r="H752" s="372">
        <v>333054.34999999998</v>
      </c>
      <c r="I752" s="373">
        <v>176477.45</v>
      </c>
      <c r="J752" s="231" t="s">
        <v>14</v>
      </c>
      <c r="K752" s="1136" t="s">
        <v>523</v>
      </c>
      <c r="L752" s="1167" t="s">
        <v>15</v>
      </c>
      <c r="M752" s="1176" t="s">
        <v>15</v>
      </c>
      <c r="N752" s="1207">
        <v>442.77940000000001</v>
      </c>
      <c r="O752" s="472">
        <v>27.36</v>
      </c>
      <c r="P752" s="603">
        <v>16.186199999999999</v>
      </c>
      <c r="Q752" s="208" t="s">
        <v>15</v>
      </c>
      <c r="R752" s="586">
        <f>N752</f>
        <v>442.77940000000001</v>
      </c>
      <c r="S752" s="127" t="s">
        <v>68</v>
      </c>
      <c r="T752" s="129" t="s">
        <v>69</v>
      </c>
      <c r="U752" s="858"/>
      <c r="V752" s="2402" t="s">
        <v>2749</v>
      </c>
      <c r="W752" s="720" t="s">
        <v>47</v>
      </c>
      <c r="X752" s="74" t="s">
        <v>960</v>
      </c>
      <c r="Y752" s="590">
        <f>((500*R739)+(0.573*R740)+R741+T746)*(1+$T$748)</f>
        <v>187492.44161867999</v>
      </c>
      <c r="Z752" s="423" t="s">
        <v>40</v>
      </c>
      <c r="AA752" s="411" t="s">
        <v>40</v>
      </c>
      <c r="AB752" s="848"/>
      <c r="AC752" s="330"/>
      <c r="AD752" s="597"/>
      <c r="AE752" s="330"/>
      <c r="AF752" s="231" t="s">
        <v>47</v>
      </c>
      <c r="AG752" s="74" t="s">
        <v>960</v>
      </c>
      <c r="AH752" s="996">
        <f>Y752</f>
        <v>187492.44161867999</v>
      </c>
      <c r="AI752" s="955">
        <f>290*500</f>
        <v>145000</v>
      </c>
      <c r="AJ752" s="955"/>
      <c r="AK752" s="962"/>
      <c r="AL752" s="962"/>
      <c r="AM752" s="962"/>
      <c r="AN752" s="962"/>
      <c r="AO752" s="962"/>
      <c r="AP752" s="962"/>
      <c r="AQ752" s="962"/>
      <c r="AR752" s="962"/>
      <c r="AS752" s="962"/>
      <c r="AT752" s="962"/>
      <c r="AU752" s="962"/>
      <c r="AV752" s="962"/>
      <c r="AW752" s="962"/>
      <c r="AX752" s="962"/>
      <c r="AY752" s="962"/>
      <c r="AZ752" s="962"/>
      <c r="BA752" s="962"/>
      <c r="BB752" s="962"/>
      <c r="BC752" s="962"/>
      <c r="BD752" s="962"/>
      <c r="BE752" s="962"/>
      <c r="BF752" s="962"/>
      <c r="BG752" s="962"/>
      <c r="BH752" s="1130"/>
    </row>
    <row r="753" spans="1:123" s="557" customFormat="1">
      <c r="A753" s="2172"/>
      <c r="B753" s="817" t="s">
        <v>418</v>
      </c>
      <c r="C753" s="356" t="s">
        <v>12</v>
      </c>
      <c r="D753" s="88" t="s">
        <v>957</v>
      </c>
      <c r="E753" s="88">
        <v>23</v>
      </c>
      <c r="F753" s="152">
        <v>0.55434799999999995</v>
      </c>
      <c r="G753" s="152">
        <v>2.3199999999999998E-2</v>
      </c>
      <c r="H753" s="367">
        <v>333054.34999999998</v>
      </c>
      <c r="I753" s="368">
        <v>176477.45</v>
      </c>
      <c r="J753" s="448" t="s">
        <v>12</v>
      </c>
      <c r="K753" s="15" t="s">
        <v>958</v>
      </c>
      <c r="L753" s="101" t="s">
        <v>15</v>
      </c>
      <c r="M753" s="70" t="s">
        <v>15</v>
      </c>
      <c r="N753" s="1208">
        <v>-448127.41110000003</v>
      </c>
      <c r="O753" s="369">
        <v>-1.99</v>
      </c>
      <c r="P753" s="463">
        <v>224689.723</v>
      </c>
      <c r="Q753" s="195" t="s">
        <v>15</v>
      </c>
      <c r="R753" s="251">
        <f>N753</f>
        <v>-448127.41110000003</v>
      </c>
      <c r="S753" s="589" t="s">
        <v>133</v>
      </c>
      <c r="T753" s="17" t="s">
        <v>310</v>
      </c>
      <c r="U753" s="859"/>
      <c r="V753" s="2404"/>
      <c r="W753" s="982" t="s">
        <v>49</v>
      </c>
      <c r="X753" s="292" t="s">
        <v>959</v>
      </c>
      <c r="Y753" s="165">
        <f>((500*R752)+(0.461*R753)+R754+T759)*(1+$T$761)</f>
        <v>302924.30180676002</v>
      </c>
      <c r="Z753" s="165">
        <f>Y753-Y752</f>
        <v>115431.86018808003</v>
      </c>
      <c r="AA753" s="351"/>
      <c r="AB753" s="846"/>
      <c r="AC753" s="26"/>
      <c r="AD753" s="24"/>
      <c r="AE753" s="26"/>
      <c r="AF753" s="289" t="s">
        <v>49</v>
      </c>
      <c r="AG753" s="292" t="s">
        <v>959</v>
      </c>
      <c r="AH753" s="996">
        <f>Y753</f>
        <v>302924.30180676002</v>
      </c>
      <c r="AI753" s="159">
        <f>373*500</f>
        <v>186500</v>
      </c>
      <c r="AJ753" s="159">
        <f>475.46*500</f>
        <v>237730</v>
      </c>
      <c r="AK753" s="957"/>
      <c r="AL753" s="957"/>
      <c r="AM753" s="957"/>
      <c r="AN753" s="957"/>
      <c r="AO753" s="957"/>
      <c r="AP753" s="957"/>
      <c r="AQ753" s="957"/>
      <c r="AR753" s="957"/>
      <c r="AS753" s="957"/>
      <c r="AT753" s="957"/>
      <c r="AU753" s="957"/>
      <c r="AV753" s="957"/>
      <c r="AW753" s="957"/>
      <c r="AX753" s="957"/>
      <c r="AY753" s="957"/>
      <c r="AZ753" s="957"/>
      <c r="BA753" s="957"/>
      <c r="BB753" s="957"/>
      <c r="BC753" s="957"/>
      <c r="BD753" s="957"/>
      <c r="BE753" s="957"/>
      <c r="BF753" s="957"/>
      <c r="BG753" s="957"/>
      <c r="BH753" s="1125"/>
    </row>
    <row r="754" spans="1:123" s="557" customFormat="1">
      <c r="A754" s="2172"/>
      <c r="B754" s="2161" t="s">
        <v>125</v>
      </c>
      <c r="C754" s="2179" t="s">
        <v>13</v>
      </c>
      <c r="D754" s="88" t="s">
        <v>190</v>
      </c>
      <c r="E754" s="88">
        <v>9</v>
      </c>
      <c r="F754" s="148" t="s">
        <v>15</v>
      </c>
      <c r="G754" s="148" t="s">
        <v>15</v>
      </c>
      <c r="H754" s="367">
        <v>302055.56</v>
      </c>
      <c r="I754" s="368">
        <v>149658.92000000001</v>
      </c>
      <c r="J754" s="101" t="s">
        <v>15</v>
      </c>
      <c r="K754" s="70" t="s">
        <v>15</v>
      </c>
      <c r="L754" s="101" t="s">
        <v>15</v>
      </c>
      <c r="M754" s="70" t="s">
        <v>15</v>
      </c>
      <c r="N754" s="1208">
        <v>-3328.02</v>
      </c>
      <c r="O754" s="369">
        <v>-0.3</v>
      </c>
      <c r="P754" s="463">
        <v>11015.486699999999</v>
      </c>
      <c r="Q754" s="251">
        <v>0.254</v>
      </c>
      <c r="R754" s="2202">
        <f>SUMPRODUCT(Q754:Q756,N754:N756)</f>
        <v>-3218.0456106000001</v>
      </c>
      <c r="S754" s="127" t="s">
        <v>72</v>
      </c>
      <c r="T754" s="201" t="s">
        <v>119</v>
      </c>
      <c r="U754" s="855"/>
      <c r="V754" s="24"/>
      <c r="W754" s="26"/>
      <c r="X754" s="26"/>
      <c r="Y754" s="41"/>
      <c r="Z754" s="41"/>
      <c r="AA754" s="41"/>
      <c r="AB754" s="846"/>
      <c r="AC754" s="26"/>
      <c r="AD754" s="24"/>
      <c r="AE754" s="26"/>
      <c r="AF754" s="75"/>
      <c r="AG754" s="26"/>
      <c r="AH754" s="957"/>
      <c r="AI754" s="957"/>
      <c r="AJ754" s="957"/>
      <c r="AK754" s="957"/>
      <c r="AL754" s="957"/>
      <c r="AM754" s="957"/>
      <c r="AN754" s="957"/>
      <c r="AO754" s="957"/>
      <c r="AP754" s="957"/>
      <c r="AQ754" s="957"/>
      <c r="AR754" s="957"/>
      <c r="AS754" s="957"/>
      <c r="AT754" s="957"/>
      <c r="AU754" s="957"/>
      <c r="AV754" s="957"/>
      <c r="AW754" s="957"/>
      <c r="AX754" s="957"/>
      <c r="AY754" s="957"/>
      <c r="AZ754" s="957"/>
      <c r="BA754" s="957"/>
      <c r="BB754" s="957"/>
      <c r="BC754" s="957"/>
      <c r="BD754" s="957"/>
      <c r="BE754" s="957"/>
      <c r="BF754" s="957"/>
      <c r="BG754" s="957"/>
      <c r="BH754" s="1125"/>
    </row>
    <row r="755" spans="1:123" s="557" customFormat="1">
      <c r="A755" s="2172"/>
      <c r="B755" s="2161"/>
      <c r="C755" s="2187"/>
      <c r="D755" s="88" t="s">
        <v>187</v>
      </c>
      <c r="E755" s="88">
        <v>4</v>
      </c>
      <c r="F755" s="148" t="s">
        <v>15</v>
      </c>
      <c r="G755" s="148" t="s">
        <v>15</v>
      </c>
      <c r="H755" s="367">
        <v>141750</v>
      </c>
      <c r="I755" s="368">
        <v>17783.419999999998</v>
      </c>
      <c r="J755" s="101" t="s">
        <v>15</v>
      </c>
      <c r="K755" s="70" t="s">
        <v>15</v>
      </c>
      <c r="L755" s="101" t="s">
        <v>15</v>
      </c>
      <c r="M755" s="70" t="s">
        <v>15</v>
      </c>
      <c r="N755" s="1208">
        <v>-9845.3466000000008</v>
      </c>
      <c r="O755" s="369">
        <v>-0.59</v>
      </c>
      <c r="P755" s="463">
        <v>16806.801100000001</v>
      </c>
      <c r="Q755" s="251">
        <v>0.24099999999999999</v>
      </c>
      <c r="R755" s="2202"/>
      <c r="S755" s="423" t="s">
        <v>1435</v>
      </c>
      <c r="T755" s="202" t="s">
        <v>140</v>
      </c>
      <c r="U755" s="859"/>
      <c r="V755" s="24"/>
      <c r="W755" s="26"/>
      <c r="X755" s="26"/>
      <c r="Y755" s="41"/>
      <c r="Z755" s="41"/>
      <c r="AA755" s="41"/>
      <c r="AB755" s="846"/>
      <c r="AC755" s="26"/>
      <c r="AD755" s="24"/>
      <c r="AE755" s="26"/>
      <c r="AF755" s="75"/>
      <c r="AG755" s="26"/>
      <c r="AH755" s="957"/>
      <c r="AI755" s="957"/>
      <c r="AJ755" s="957"/>
      <c r="AK755" s="957"/>
      <c r="AL755" s="957"/>
      <c r="AM755" s="957"/>
      <c r="AN755" s="957"/>
      <c r="AO755" s="957"/>
      <c r="AP755" s="957"/>
      <c r="AQ755" s="957"/>
      <c r="AR755" s="957"/>
      <c r="AS755" s="957"/>
      <c r="AT755" s="957"/>
      <c r="AU755" s="957"/>
      <c r="AV755" s="957"/>
      <c r="AW755" s="957"/>
      <c r="AX755" s="957"/>
      <c r="AY755" s="957"/>
      <c r="AZ755" s="957"/>
      <c r="BA755" s="957"/>
      <c r="BB755" s="957"/>
      <c r="BC755" s="957"/>
      <c r="BD755" s="957"/>
      <c r="BE755" s="957"/>
      <c r="BF755" s="957"/>
      <c r="BG755" s="957"/>
      <c r="BH755" s="1125"/>
    </row>
    <row r="756" spans="1:123" s="557" customFormat="1">
      <c r="A756" s="2172"/>
      <c r="B756" s="2161"/>
      <c r="C756" s="2180"/>
      <c r="D756" s="88" t="s">
        <v>424</v>
      </c>
      <c r="E756" s="88">
        <v>10</v>
      </c>
      <c r="F756" s="148" t="s">
        <v>15</v>
      </c>
      <c r="G756" s="148" t="s">
        <v>15</v>
      </c>
      <c r="H756" s="367">
        <v>437475</v>
      </c>
      <c r="I756" s="368">
        <v>163628.57999999999</v>
      </c>
      <c r="J756" s="101" t="s">
        <v>15</v>
      </c>
      <c r="K756" s="70" t="s">
        <v>15</v>
      </c>
      <c r="L756" s="101" t="s">
        <v>15</v>
      </c>
      <c r="M756" s="70" t="s">
        <v>15</v>
      </c>
      <c r="N756" s="1208">
        <v>0</v>
      </c>
      <c r="O756" s="369" t="s">
        <v>574</v>
      </c>
      <c r="P756" s="463" t="s">
        <v>574</v>
      </c>
      <c r="Q756" s="251">
        <v>0.13900000000000001</v>
      </c>
      <c r="R756" s="2202"/>
      <c r="S756" s="127" t="s">
        <v>74</v>
      </c>
      <c r="T756" s="203" t="s">
        <v>75</v>
      </c>
      <c r="U756" s="858"/>
      <c r="V756" s="24"/>
      <c r="W756" s="26"/>
      <c r="X756" s="26"/>
      <c r="Y756" s="41"/>
      <c r="Z756" s="41"/>
      <c r="AA756" s="41"/>
      <c r="AB756" s="846"/>
      <c r="AC756" s="26"/>
      <c r="AD756" s="24"/>
      <c r="AE756" s="26"/>
      <c r="AF756" s="75"/>
      <c r="AG756" s="26"/>
      <c r="AH756" s="957"/>
      <c r="AI756" s="957"/>
      <c r="AJ756" s="957"/>
      <c r="AK756" s="957"/>
      <c r="AL756" s="957"/>
      <c r="AM756" s="957"/>
      <c r="AN756" s="957"/>
      <c r="AO756" s="957"/>
      <c r="AP756" s="957"/>
      <c r="AQ756" s="957"/>
      <c r="AR756" s="957"/>
      <c r="AS756" s="957"/>
      <c r="AT756" s="957"/>
      <c r="AU756" s="957"/>
      <c r="AV756" s="957"/>
      <c r="AW756" s="957"/>
      <c r="AX756" s="957"/>
      <c r="AY756" s="957"/>
      <c r="AZ756" s="957"/>
      <c r="BA756" s="957"/>
      <c r="BB756" s="957"/>
      <c r="BC756" s="957"/>
      <c r="BD756" s="957"/>
      <c r="BE756" s="957"/>
      <c r="BF756" s="957"/>
      <c r="BG756" s="957"/>
      <c r="BH756" s="1125"/>
    </row>
    <row r="757" spans="1:123" s="557" customFormat="1" ht="15" customHeight="1">
      <c r="A757" s="2172"/>
      <c r="B757" s="2122" t="s">
        <v>194</v>
      </c>
      <c r="C757" s="313"/>
      <c r="D757" s="330"/>
      <c r="E757" s="330"/>
      <c r="F757" s="330"/>
      <c r="G757" s="330"/>
      <c r="H757" s="330"/>
      <c r="I757" s="330"/>
      <c r="J757" s="105"/>
      <c r="K757" s="330"/>
      <c r="L757" s="75"/>
      <c r="M757" s="26"/>
      <c r="N757" s="1205"/>
      <c r="O757" s="467"/>
      <c r="P757" s="467"/>
      <c r="Q757" s="252"/>
      <c r="R757" s="252"/>
      <c r="S757" s="95">
        <f>E752</f>
        <v>23</v>
      </c>
      <c r="T757" s="204" t="s">
        <v>15</v>
      </c>
      <c r="U757" s="854"/>
      <c r="V757" s="24"/>
      <c r="W757" s="26"/>
      <c r="X757" s="26"/>
      <c r="Y757" s="41"/>
      <c r="Z757" s="41"/>
      <c r="AA757" s="41"/>
      <c r="AB757" s="846"/>
      <c r="AC757" s="26"/>
      <c r="AD757" s="24"/>
      <c r="AE757" s="26"/>
      <c r="AF757" s="75"/>
      <c r="AG757" s="26"/>
      <c r="AH757" s="957"/>
      <c r="AI757" s="957"/>
      <c r="AJ757" s="957"/>
      <c r="AK757" s="957"/>
      <c r="AL757" s="957"/>
      <c r="AM757" s="957"/>
      <c r="AN757" s="957"/>
      <c r="AO757" s="957"/>
      <c r="AP757" s="957"/>
      <c r="AQ757" s="957"/>
      <c r="AR757" s="957"/>
      <c r="AS757" s="957"/>
      <c r="AT757" s="957"/>
      <c r="AU757" s="957"/>
      <c r="AV757" s="957"/>
      <c r="AW757" s="957"/>
      <c r="AX757" s="957"/>
      <c r="AY757" s="957"/>
      <c r="AZ757" s="957"/>
      <c r="BA757" s="957"/>
      <c r="BB757" s="957"/>
      <c r="BC757" s="957"/>
      <c r="BD757" s="957"/>
      <c r="BE757" s="957"/>
      <c r="BF757" s="957"/>
      <c r="BG757" s="957"/>
      <c r="BH757" s="1125"/>
    </row>
    <row r="758" spans="1:123" s="557" customFormat="1">
      <c r="A758" s="2172"/>
      <c r="B758" s="2123"/>
      <c r="C758" s="174"/>
      <c r="D758" s="330"/>
      <c r="E758" s="330"/>
      <c r="F758" s="330"/>
      <c r="G758" s="330"/>
      <c r="H758" s="330"/>
      <c r="I758" s="330"/>
      <c r="J758" s="105"/>
      <c r="K758" s="330"/>
      <c r="L758" s="105"/>
      <c r="M758" s="26"/>
      <c r="N758" s="1205"/>
      <c r="O758" s="467"/>
      <c r="P758" s="467"/>
      <c r="Q758" s="252"/>
      <c r="R758" s="252"/>
      <c r="S758" s="127" t="s">
        <v>41</v>
      </c>
      <c r="T758" s="203" t="s">
        <v>42</v>
      </c>
      <c r="U758" s="858"/>
      <c r="V758" s="24"/>
      <c r="W758" s="26"/>
      <c r="X758" s="26"/>
      <c r="Y758" s="41"/>
      <c r="Z758" s="41"/>
      <c r="AA758" s="41"/>
      <c r="AB758" s="846"/>
      <c r="AC758" s="26"/>
      <c r="AD758" s="24"/>
      <c r="AE758" s="26"/>
      <c r="AF758" s="75"/>
      <c r="AG758" s="26"/>
      <c r="AH758" s="957"/>
      <c r="AI758" s="957"/>
      <c r="AJ758" s="957"/>
      <c r="AK758" s="957"/>
      <c r="AL758" s="957"/>
      <c r="AM758" s="957"/>
      <c r="AN758" s="957"/>
      <c r="AO758" s="957"/>
      <c r="AP758" s="957"/>
      <c r="AQ758" s="957"/>
      <c r="AR758" s="957"/>
      <c r="AS758" s="957"/>
      <c r="AT758" s="957"/>
      <c r="AU758" s="957"/>
      <c r="AV758" s="957"/>
      <c r="AW758" s="957"/>
      <c r="AX758" s="957"/>
      <c r="AY758" s="957"/>
      <c r="AZ758" s="957"/>
      <c r="BA758" s="957"/>
      <c r="BB758" s="957"/>
      <c r="BC758" s="957"/>
      <c r="BD758" s="957"/>
      <c r="BE758" s="957"/>
      <c r="BF758" s="957"/>
      <c r="BG758" s="957"/>
      <c r="BH758" s="1125"/>
    </row>
    <row r="759" spans="1:123" s="557" customFormat="1">
      <c r="A759" s="2172"/>
      <c r="B759" s="2123"/>
      <c r="C759" s="174"/>
      <c r="D759" s="330"/>
      <c r="E759" s="330"/>
      <c r="F759" s="330"/>
      <c r="G759" s="330"/>
      <c r="H759" s="330"/>
      <c r="I759" s="330"/>
      <c r="J759" s="105"/>
      <c r="K759" s="330"/>
      <c r="L759" s="105"/>
      <c r="M759" s="26"/>
      <c r="N759" s="1205"/>
      <c r="O759" s="467"/>
      <c r="P759" s="467"/>
      <c r="Q759" s="252"/>
      <c r="R759" s="252"/>
      <c r="S759" s="357">
        <v>0.98766900000000002</v>
      </c>
      <c r="T759" s="604">
        <v>240852.00030000001</v>
      </c>
      <c r="U759" s="860"/>
      <c r="V759" s="24"/>
      <c r="W759" s="26"/>
      <c r="X759" s="26"/>
      <c r="Y759" s="41"/>
      <c r="Z759" s="41"/>
      <c r="AA759" s="41"/>
      <c r="AB759" s="846"/>
      <c r="AC759" s="26"/>
      <c r="AD759" s="24"/>
      <c r="AE759" s="26"/>
      <c r="AF759" s="75"/>
      <c r="AG759" s="26"/>
      <c r="AH759" s="957"/>
      <c r="AI759" s="957"/>
      <c r="AJ759" s="957"/>
      <c r="AK759" s="957"/>
      <c r="AL759" s="957"/>
      <c r="AM759" s="957"/>
      <c r="AN759" s="957"/>
      <c r="AO759" s="957"/>
      <c r="AP759" s="957"/>
      <c r="AQ759" s="957"/>
      <c r="AR759" s="957"/>
      <c r="AS759" s="957"/>
      <c r="AT759" s="957"/>
      <c r="AU759" s="957"/>
      <c r="AV759" s="957"/>
      <c r="AW759" s="957"/>
      <c r="AX759" s="957"/>
      <c r="AY759" s="957"/>
      <c r="AZ759" s="957"/>
      <c r="BA759" s="957"/>
      <c r="BB759" s="957"/>
      <c r="BC759" s="957"/>
      <c r="BD759" s="957"/>
      <c r="BE759" s="957"/>
      <c r="BF759" s="957"/>
      <c r="BG759" s="957"/>
      <c r="BH759" s="1125"/>
    </row>
    <row r="760" spans="1:123" s="557" customFormat="1">
      <c r="A760" s="2172"/>
      <c r="B760" s="2123"/>
      <c r="C760" s="174"/>
      <c r="D760" s="330"/>
      <c r="E760" s="330"/>
      <c r="F760" s="330"/>
      <c r="G760" s="330"/>
      <c r="H760" s="330"/>
      <c r="I760" s="330"/>
      <c r="J760" s="105"/>
      <c r="K760" s="330"/>
      <c r="L760" s="105"/>
      <c r="M760" s="26"/>
      <c r="N760" s="1205"/>
      <c r="O760" s="467"/>
      <c r="P760" s="467"/>
      <c r="Q760" s="252"/>
      <c r="R760" s="252"/>
      <c r="S760" s="118" t="s">
        <v>235</v>
      </c>
      <c r="T760" s="201" t="s">
        <v>391</v>
      </c>
      <c r="U760" s="855"/>
      <c r="V760" s="24"/>
      <c r="W760" s="26"/>
      <c r="X760" s="26"/>
      <c r="Y760" s="41"/>
      <c r="Z760" s="41"/>
      <c r="AA760" s="41"/>
      <c r="AB760" s="846"/>
      <c r="AC760" s="26"/>
      <c r="AD760" s="24"/>
      <c r="AE760" s="26"/>
      <c r="AF760" s="75"/>
      <c r="AG760" s="26"/>
      <c r="AH760" s="957"/>
      <c r="AI760" s="957"/>
      <c r="AJ760" s="957"/>
      <c r="AK760" s="957"/>
      <c r="AL760" s="957"/>
      <c r="AM760" s="957"/>
      <c r="AN760" s="957"/>
      <c r="AO760" s="957"/>
      <c r="AP760" s="957"/>
      <c r="AQ760" s="957"/>
      <c r="AR760" s="957"/>
      <c r="AS760" s="957"/>
      <c r="AT760" s="957"/>
      <c r="AU760" s="957"/>
      <c r="AV760" s="957"/>
      <c r="AW760" s="957"/>
      <c r="AX760" s="957"/>
      <c r="AY760" s="957"/>
      <c r="AZ760" s="957"/>
      <c r="BA760" s="957"/>
      <c r="BB760" s="957"/>
      <c r="BC760" s="957"/>
      <c r="BD760" s="957"/>
      <c r="BE760" s="957"/>
      <c r="BF760" s="957"/>
      <c r="BG760" s="957"/>
      <c r="BH760" s="1125"/>
    </row>
    <row r="761" spans="1:123" s="557" customFormat="1" ht="15.75" thickBot="1">
      <c r="A761" s="2172"/>
      <c r="B761" s="2124"/>
      <c r="C761" s="174"/>
      <c r="D761" s="330"/>
      <c r="E761" s="330"/>
      <c r="F761" s="330"/>
      <c r="G761" s="330"/>
      <c r="H761" s="330"/>
      <c r="I761" s="330"/>
      <c r="J761" s="105"/>
      <c r="K761" s="330"/>
      <c r="L761" s="105"/>
      <c r="M761" s="26"/>
      <c r="N761" s="1205"/>
      <c r="O761" s="467"/>
      <c r="P761" s="467"/>
      <c r="Q761" s="252"/>
      <c r="R761" s="252"/>
      <c r="S761" s="86">
        <v>15465.169</v>
      </c>
      <c r="T761" s="207">
        <v>0.2</v>
      </c>
      <c r="U761" s="862"/>
      <c r="V761" s="24"/>
      <c r="W761" s="26"/>
      <c r="X761" s="26"/>
      <c r="Y761" s="41"/>
      <c r="Z761" s="41"/>
      <c r="AA761" s="41"/>
      <c r="AB761" s="846"/>
      <c r="AC761" s="26"/>
      <c r="AD761" s="240"/>
      <c r="AE761" s="26"/>
      <c r="AF761" s="75"/>
      <c r="AG761" s="26"/>
      <c r="AH761" s="957"/>
      <c r="AI761" s="957"/>
      <c r="AJ761" s="957"/>
      <c r="AK761" s="957"/>
      <c r="AL761" s="957"/>
      <c r="AM761" s="957"/>
      <c r="AN761" s="957"/>
      <c r="AO761" s="957"/>
      <c r="AP761" s="957"/>
      <c r="AQ761" s="957"/>
      <c r="AR761" s="957"/>
      <c r="AS761" s="957"/>
      <c r="AT761" s="957"/>
      <c r="AU761" s="957"/>
      <c r="AV761" s="957"/>
      <c r="AW761" s="957"/>
      <c r="AX761" s="957"/>
      <c r="AY761" s="957"/>
      <c r="AZ761" s="957"/>
      <c r="BA761" s="957"/>
      <c r="BB761" s="957"/>
      <c r="BC761" s="957"/>
      <c r="BD761" s="957"/>
      <c r="BE761" s="957"/>
      <c r="BF761" s="957"/>
      <c r="BG761" s="957"/>
      <c r="BH761" s="1125"/>
    </row>
    <row r="762" spans="1:123" s="705" customFormat="1" ht="9" customHeight="1" thickBot="1">
      <c r="A762" s="695"/>
      <c r="B762" s="815"/>
      <c r="C762" s="684"/>
      <c r="D762" s="683"/>
      <c r="E762" s="683"/>
      <c r="F762" s="683"/>
      <c r="G762" s="683"/>
      <c r="H762" s="683"/>
      <c r="I762" s="683"/>
      <c r="J762" s="682"/>
      <c r="K762" s="683"/>
      <c r="L762" s="682"/>
      <c r="M762" s="685"/>
      <c r="N762" s="1189"/>
      <c r="O762" s="686"/>
      <c r="P762" s="686"/>
      <c r="Q762" s="687"/>
      <c r="R762" s="687"/>
      <c r="S762" s="688"/>
      <c r="T762" s="688"/>
      <c r="U762" s="854"/>
      <c r="V762" s="893"/>
      <c r="W762" s="685"/>
      <c r="X762" s="685"/>
      <c r="Y762" s="688"/>
      <c r="Z762" s="688"/>
      <c r="AA762" s="688"/>
      <c r="AB762" s="846"/>
      <c r="AC762" s="685"/>
      <c r="AD762" s="685"/>
      <c r="AE762" s="685"/>
      <c r="AF762" s="689"/>
      <c r="AG762" s="685"/>
      <c r="AH762" s="959"/>
      <c r="AI762" s="959"/>
      <c r="AJ762" s="959"/>
      <c r="AK762" s="959"/>
      <c r="AL762" s="959"/>
      <c r="AM762" s="959"/>
      <c r="AN762" s="958"/>
      <c r="AO762" s="958"/>
      <c r="AP762" s="958"/>
      <c r="AQ762" s="958"/>
      <c r="AR762" s="958"/>
      <c r="AS762" s="958"/>
      <c r="AT762" s="958"/>
      <c r="AU762" s="958"/>
      <c r="AV762" s="958"/>
      <c r="AW762" s="958"/>
      <c r="AX762" s="958"/>
      <c r="AY762" s="958"/>
      <c r="AZ762" s="958"/>
      <c r="BA762" s="958"/>
      <c r="BB762" s="958"/>
      <c r="BC762" s="958"/>
      <c r="BD762" s="958"/>
      <c r="BE762" s="958"/>
      <c r="BF762" s="958"/>
      <c r="BG762" s="958"/>
      <c r="BH762" s="1125"/>
      <c r="CF762" s="692"/>
      <c r="CG762" s="692"/>
      <c r="CH762" s="692"/>
      <c r="CI762" s="692"/>
      <c r="CJ762" s="692"/>
      <c r="CK762" s="692"/>
      <c r="CL762" s="692"/>
      <c r="CM762" s="692"/>
      <c r="CN762" s="692"/>
      <c r="CO762" s="692"/>
      <c r="CP762" s="692"/>
      <c r="CQ762" s="692"/>
      <c r="CR762" s="692"/>
      <c r="CS762" s="692"/>
      <c r="CT762" s="692"/>
      <c r="CU762" s="692"/>
      <c r="CV762" s="692"/>
      <c r="CW762" s="692"/>
      <c r="CX762" s="692"/>
      <c r="CY762" s="692"/>
      <c r="CZ762" s="692"/>
      <c r="DA762" s="692"/>
      <c r="DB762" s="692"/>
      <c r="DC762" s="692"/>
      <c r="DD762" s="692"/>
      <c r="DE762" s="692"/>
      <c r="DF762" s="692"/>
      <c r="DG762" s="692"/>
      <c r="DH762" s="692"/>
      <c r="DI762" s="693"/>
      <c r="DJ762" s="692"/>
      <c r="DK762" s="692"/>
      <c r="DL762" s="692"/>
      <c r="DM762" s="692"/>
      <c r="DN762" s="692"/>
      <c r="DO762" s="692"/>
      <c r="DP762" s="692"/>
      <c r="DQ762" s="692"/>
      <c r="DR762" s="692"/>
      <c r="DS762" s="692"/>
    </row>
    <row r="763" spans="1:123" ht="15" customHeight="1">
      <c r="A763" s="2171" t="s">
        <v>655</v>
      </c>
      <c r="B763" s="819" t="s">
        <v>645</v>
      </c>
      <c r="C763" s="811" t="s">
        <v>12</v>
      </c>
      <c r="D763" s="358" t="s">
        <v>646</v>
      </c>
      <c r="E763" s="358">
        <v>34</v>
      </c>
      <c r="F763" s="229">
        <v>47470.59</v>
      </c>
      <c r="G763" s="229">
        <v>11089.81</v>
      </c>
      <c r="H763" s="386">
        <v>2870.69</v>
      </c>
      <c r="I763" s="412">
        <v>1004.92</v>
      </c>
      <c r="J763" s="231" t="s">
        <v>14</v>
      </c>
      <c r="K763" s="307" t="s">
        <v>649</v>
      </c>
      <c r="L763" s="298" t="s">
        <v>15</v>
      </c>
      <c r="M763" s="1135" t="s">
        <v>15</v>
      </c>
      <c r="N763" s="1194">
        <v>2.4892999999999998E-2</v>
      </c>
      <c r="O763" s="142">
        <v>5.69</v>
      </c>
      <c r="P763" s="142">
        <v>4.3740000000000003E-3</v>
      </c>
      <c r="Q763" s="195" t="s">
        <v>15</v>
      </c>
      <c r="R763" s="128">
        <f>N763</f>
        <v>2.4892999999999998E-2</v>
      </c>
      <c r="S763" s="135" t="s">
        <v>68</v>
      </c>
      <c r="T763" s="150" t="s">
        <v>69</v>
      </c>
      <c r="U763" s="858"/>
      <c r="V763" s="2134" t="s">
        <v>2749</v>
      </c>
      <c r="W763" s="720" t="s">
        <v>47</v>
      </c>
      <c r="X763" s="291" t="s">
        <v>651</v>
      </c>
      <c r="Y763" s="169">
        <f>((40000*$R$763)+($R$764*13)+$R$765+$T$770)*(1+$T$772)</f>
        <v>3446.5689559367997</v>
      </c>
      <c r="Z763" s="452" t="s">
        <v>40</v>
      </c>
      <c r="AA763" s="172" t="s">
        <v>40</v>
      </c>
      <c r="AB763" s="923"/>
      <c r="AC763" s="26"/>
      <c r="AD763" s="24"/>
      <c r="AE763" s="26"/>
      <c r="AF763" s="231" t="s">
        <v>47</v>
      </c>
      <c r="AG763" s="291" t="s">
        <v>1149</v>
      </c>
      <c r="AH763" s="158">
        <f>((60000*$R$763)+($R$764*13)+$R$765+$T$770)*1.2</f>
        <v>4044.0009559367995</v>
      </c>
      <c r="AI763" s="158">
        <v>3168</v>
      </c>
      <c r="AJ763" s="158">
        <f>959*5</f>
        <v>4795</v>
      </c>
      <c r="AK763" s="957"/>
      <c r="AL763" s="957"/>
      <c r="AM763" s="957"/>
      <c r="AN763" s="957"/>
      <c r="AO763" s="957"/>
      <c r="AP763" s="957"/>
      <c r="AQ763" s="957"/>
      <c r="AR763" s="957"/>
      <c r="AS763" s="957"/>
      <c r="AT763" s="957"/>
      <c r="AU763" s="957"/>
      <c r="AV763" s="957"/>
      <c r="AW763" s="957"/>
      <c r="AX763" s="957"/>
      <c r="AY763" s="957"/>
      <c r="AZ763" s="957"/>
      <c r="BA763" s="957"/>
      <c r="BB763" s="957"/>
      <c r="BC763" s="957"/>
      <c r="BD763" s="957"/>
      <c r="BE763" s="957"/>
      <c r="BF763" s="957"/>
      <c r="BG763" s="957"/>
    </row>
    <row r="764" spans="1:123">
      <c r="A764" s="2172"/>
      <c r="B764" s="817" t="s">
        <v>393</v>
      </c>
      <c r="C764" s="981" t="s">
        <v>12</v>
      </c>
      <c r="D764" s="86" t="s">
        <v>647</v>
      </c>
      <c r="E764" s="86">
        <v>34</v>
      </c>
      <c r="F764" s="152">
        <v>13.17647</v>
      </c>
      <c r="G764" s="152">
        <v>0.57580399999999998</v>
      </c>
      <c r="H764" s="367">
        <v>2870.69</v>
      </c>
      <c r="I764" s="368">
        <v>1004.92</v>
      </c>
      <c r="J764" s="289" t="s">
        <v>12</v>
      </c>
      <c r="K764" s="15" t="s">
        <v>650</v>
      </c>
      <c r="L764" s="234" t="s">
        <v>15</v>
      </c>
      <c r="M764" s="233" t="s">
        <v>15</v>
      </c>
      <c r="N764" s="1194">
        <v>354.90783599999997</v>
      </c>
      <c r="O764" s="142">
        <v>3.64</v>
      </c>
      <c r="P764" s="142">
        <v>97.413668999999999</v>
      </c>
      <c r="Q764" s="195" t="s">
        <v>15</v>
      </c>
      <c r="R764" s="128">
        <f>N764</f>
        <v>354.90783599999997</v>
      </c>
      <c r="S764" s="324" t="s">
        <v>630</v>
      </c>
      <c r="T764" s="556" t="s">
        <v>310</v>
      </c>
      <c r="U764" s="859"/>
      <c r="V764" s="2135"/>
      <c r="W764" s="720" t="s">
        <v>49</v>
      </c>
      <c r="X764" s="291" t="s">
        <v>652</v>
      </c>
      <c r="Y764" s="169">
        <f>((40000*$R$763)+($R$764*14)+$R$765+$T$770)*(1+$T$772)</f>
        <v>3872.4583591368</v>
      </c>
      <c r="Z764" s="169">
        <f>Y764-$Y$763</f>
        <v>425.88940320000029</v>
      </c>
      <c r="AA764" s="576">
        <f>(14-13)*$P$764</f>
        <v>97.413668999999999</v>
      </c>
      <c r="AB764" s="918"/>
      <c r="AC764" s="26"/>
      <c r="AD764" s="24"/>
      <c r="AE764" s="26"/>
      <c r="AF764" s="658" t="s">
        <v>49</v>
      </c>
      <c r="AG764" s="291" t="s">
        <v>1150</v>
      </c>
      <c r="AH764" s="158">
        <f>((60000*$R$763)+($R$764*14)+$R$765+$T$770)*1.2</f>
        <v>4469.8903591367998</v>
      </c>
      <c r="AI764" s="158"/>
      <c r="AJ764" s="158">
        <f>995*5</f>
        <v>4975</v>
      </c>
      <c r="AK764" s="957"/>
      <c r="AL764" s="957"/>
      <c r="AM764" s="957"/>
      <c r="AN764" s="957"/>
      <c r="AO764" s="957"/>
      <c r="AP764" s="957"/>
      <c r="AQ764" s="957"/>
      <c r="AR764" s="957"/>
      <c r="AS764" s="957"/>
      <c r="AT764" s="957"/>
      <c r="AU764" s="957"/>
      <c r="AV764" s="957"/>
      <c r="AW764" s="957"/>
      <c r="AX764" s="957"/>
      <c r="AY764" s="957"/>
      <c r="AZ764" s="957"/>
      <c r="BA764" s="957"/>
      <c r="BB764" s="957"/>
      <c r="BC764" s="957"/>
      <c r="BD764" s="957"/>
      <c r="BE764" s="957"/>
      <c r="BF764" s="957"/>
      <c r="BG764" s="957"/>
    </row>
    <row r="765" spans="1:123">
      <c r="A765" s="2172"/>
      <c r="B765" s="2161" t="s">
        <v>153</v>
      </c>
      <c r="C765" s="2223" t="s">
        <v>13</v>
      </c>
      <c r="D765" s="291" t="s">
        <v>648</v>
      </c>
      <c r="E765" s="86">
        <v>1</v>
      </c>
      <c r="F765" s="355" t="s">
        <v>15</v>
      </c>
      <c r="G765" s="148" t="s">
        <v>15</v>
      </c>
      <c r="H765" s="367">
        <v>6256</v>
      </c>
      <c r="I765" s="233" t="s">
        <v>15</v>
      </c>
      <c r="J765" s="234" t="s">
        <v>15</v>
      </c>
      <c r="K765" s="233" t="s">
        <v>15</v>
      </c>
      <c r="L765" s="234" t="s">
        <v>15</v>
      </c>
      <c r="M765" s="233" t="s">
        <v>15</v>
      </c>
      <c r="N765" s="1194">
        <v>3061.6191520000002</v>
      </c>
      <c r="O765" s="142">
        <v>9.85</v>
      </c>
      <c r="P765" s="142">
        <v>310.72088500000001</v>
      </c>
      <c r="Q765" s="128">
        <v>0</v>
      </c>
      <c r="R765" s="2129">
        <f>SUMPRODUCT(Q765:Q768,N765:N768)</f>
        <v>175.61085961399999</v>
      </c>
      <c r="S765" s="135" t="s">
        <v>72</v>
      </c>
      <c r="T765" s="119" t="s">
        <v>119</v>
      </c>
      <c r="U765" s="855"/>
      <c r="V765" s="2135"/>
      <c r="W765" s="720" t="s">
        <v>49</v>
      </c>
      <c r="X765" s="291" t="s">
        <v>653</v>
      </c>
      <c r="Y765" s="169">
        <f>((40000*$R$763)+($R$764*15)+$R$765+$T$770)*(1+$T$772)</f>
        <v>4298.3477623367999</v>
      </c>
      <c r="Z765" s="169">
        <f>Y765-$Y$763</f>
        <v>851.77880640000012</v>
      </c>
      <c r="AA765" s="576">
        <f>(15-13)*$P$764</f>
        <v>194.827338</v>
      </c>
      <c r="AB765" s="918"/>
      <c r="AC765" s="26"/>
      <c r="AD765" s="24"/>
      <c r="AE765" s="26"/>
      <c r="AF765" s="658" t="s">
        <v>49</v>
      </c>
      <c r="AG765" s="291" t="s">
        <v>1151</v>
      </c>
      <c r="AH765" s="158">
        <f>((60000*$R$763)+($R$764*15)+$R$765+$T$770)*1.2</f>
        <v>4895.7797623367987</v>
      </c>
      <c r="AI765" s="158"/>
      <c r="AJ765" s="158"/>
      <c r="AK765" s="957"/>
      <c r="AL765" s="957"/>
      <c r="AM765" s="957"/>
      <c r="AN765" s="957"/>
      <c r="AO765" s="957"/>
      <c r="AP765" s="957"/>
      <c r="AQ765" s="957"/>
      <c r="AR765" s="957"/>
      <c r="AS765" s="957"/>
      <c r="AT765" s="957"/>
      <c r="AU765" s="957"/>
      <c r="AV765" s="957"/>
      <c r="AW765" s="957"/>
      <c r="AX765" s="957"/>
      <c r="AY765" s="957"/>
      <c r="AZ765" s="957"/>
      <c r="BA765" s="957"/>
      <c r="BB765" s="957"/>
      <c r="BC765" s="957"/>
      <c r="BD765" s="957"/>
      <c r="BE765" s="957"/>
      <c r="BF765" s="957"/>
      <c r="BG765" s="957"/>
    </row>
    <row r="766" spans="1:123">
      <c r="A766" s="2172"/>
      <c r="B766" s="2161"/>
      <c r="C766" s="2223"/>
      <c r="D766" s="291" t="s">
        <v>400</v>
      </c>
      <c r="E766" s="86">
        <v>22</v>
      </c>
      <c r="F766" s="355" t="s">
        <v>15</v>
      </c>
      <c r="G766" s="148" t="s">
        <v>15</v>
      </c>
      <c r="H766" s="367">
        <v>2307.27</v>
      </c>
      <c r="I766" s="368">
        <v>301.77</v>
      </c>
      <c r="J766" s="234" t="s">
        <v>15</v>
      </c>
      <c r="K766" s="233" t="s">
        <v>15</v>
      </c>
      <c r="L766" s="234" t="s">
        <v>15</v>
      </c>
      <c r="M766" s="233" t="s">
        <v>15</v>
      </c>
      <c r="N766" s="1194">
        <v>-527.29331100000002</v>
      </c>
      <c r="O766" s="142">
        <v>-3.22</v>
      </c>
      <c r="P766" s="142">
        <v>163.587155</v>
      </c>
      <c r="Q766" s="128">
        <v>3.3000000000000002E-2</v>
      </c>
      <c r="R766" s="2129"/>
      <c r="S766" s="154" t="s">
        <v>1432</v>
      </c>
      <c r="T766" s="411" t="s">
        <v>140</v>
      </c>
      <c r="U766" s="859"/>
      <c r="V766" s="2136"/>
      <c r="W766" s="720" t="s">
        <v>49</v>
      </c>
      <c r="X766" s="291" t="s">
        <v>654</v>
      </c>
      <c r="Y766" s="169">
        <f>((40000*$R$763)+($R$764*14.5)+$R$765+$T$770)*(1+$T$772)</f>
        <v>4085.4030607368004</v>
      </c>
      <c r="Z766" s="169">
        <f>Y766-$Y$763</f>
        <v>638.83410480000066</v>
      </c>
      <c r="AA766" s="576">
        <f>(14.5-13)*$P$764</f>
        <v>146.12050349999998</v>
      </c>
      <c r="AB766" s="918"/>
      <c r="AC766" s="26"/>
      <c r="AD766" s="24"/>
      <c r="AE766" s="26"/>
      <c r="AF766" s="658" t="s">
        <v>49</v>
      </c>
      <c r="AG766" s="291" t="s">
        <v>1152</v>
      </c>
      <c r="AH766" s="158">
        <f>((60000*$R$763)+($R$764*14.5)+$R$765+$T$770)*1.2</f>
        <v>4682.8350607368002</v>
      </c>
      <c r="AI766" s="158"/>
      <c r="AJ766" s="158"/>
      <c r="AK766" s="957"/>
      <c r="AL766" s="957"/>
      <c r="AM766" s="957"/>
      <c r="AN766" s="957"/>
      <c r="AO766" s="957"/>
      <c r="AP766" s="957"/>
      <c r="AQ766" s="957"/>
      <c r="AR766" s="957"/>
      <c r="AS766" s="957"/>
      <c r="AT766" s="957"/>
      <c r="AU766" s="957"/>
      <c r="AV766" s="957"/>
      <c r="AW766" s="957"/>
      <c r="AX766" s="957"/>
      <c r="AY766" s="957"/>
      <c r="AZ766" s="957"/>
      <c r="BA766" s="957"/>
      <c r="BB766" s="957"/>
      <c r="BC766" s="957"/>
      <c r="BD766" s="957"/>
      <c r="BE766" s="957"/>
      <c r="BF766" s="957"/>
      <c r="BG766" s="957"/>
    </row>
    <row r="767" spans="1:123">
      <c r="A767" s="2172"/>
      <c r="B767" s="2161"/>
      <c r="C767" s="2223"/>
      <c r="D767" s="291" t="s">
        <v>190</v>
      </c>
      <c r="E767" s="86">
        <v>8</v>
      </c>
      <c r="F767" s="355" t="s">
        <v>15</v>
      </c>
      <c r="G767" s="148" t="s">
        <v>15</v>
      </c>
      <c r="H767" s="367">
        <v>3987.54</v>
      </c>
      <c r="I767" s="368">
        <v>630.62</v>
      </c>
      <c r="J767" s="234" t="s">
        <v>15</v>
      </c>
      <c r="K767" s="233" t="s">
        <v>15</v>
      </c>
      <c r="L767" s="234" t="s">
        <v>15</v>
      </c>
      <c r="M767" s="233" t="s">
        <v>15</v>
      </c>
      <c r="N767" s="1194">
        <v>751.01766099999998</v>
      </c>
      <c r="O767" s="142">
        <v>3.85</v>
      </c>
      <c r="P767" s="142">
        <v>194.827338</v>
      </c>
      <c r="Q767" s="128">
        <v>0.25700000000000001</v>
      </c>
      <c r="R767" s="2129"/>
      <c r="S767" s="135" t="s">
        <v>74</v>
      </c>
      <c r="T767" s="129" t="s">
        <v>75</v>
      </c>
      <c r="U767" s="858"/>
      <c r="V767" s="24"/>
      <c r="W767" s="26"/>
      <c r="X767" s="26"/>
      <c r="Y767" s="41"/>
      <c r="Z767" s="39"/>
      <c r="AA767" s="39"/>
      <c r="AB767" s="846"/>
      <c r="AC767" s="26"/>
      <c r="AD767" s="24"/>
      <c r="AE767" s="26"/>
      <c r="AF767" s="75"/>
      <c r="AG767" s="26"/>
      <c r="AH767" s="957"/>
      <c r="AI767" s="957"/>
      <c r="AJ767" s="957"/>
      <c r="AK767" s="957"/>
      <c r="AL767" s="957"/>
      <c r="AM767" s="957"/>
      <c r="AN767" s="957"/>
      <c r="AO767" s="957"/>
      <c r="AP767" s="957"/>
      <c r="AQ767" s="957"/>
      <c r="AR767" s="957"/>
      <c r="AS767" s="957"/>
      <c r="AT767" s="957"/>
      <c r="AU767" s="957"/>
      <c r="AV767" s="957"/>
      <c r="AW767" s="957"/>
      <c r="AX767" s="957"/>
      <c r="AY767" s="957"/>
      <c r="AZ767" s="957"/>
      <c r="BA767" s="957"/>
      <c r="BB767" s="957"/>
      <c r="BC767" s="957"/>
      <c r="BD767" s="957"/>
      <c r="BE767" s="957"/>
      <c r="BF767" s="957"/>
      <c r="BG767" s="957"/>
    </row>
    <row r="768" spans="1:123">
      <c r="A768" s="2172"/>
      <c r="B768" s="2161"/>
      <c r="C768" s="2223"/>
      <c r="D768" s="292" t="s">
        <v>187</v>
      </c>
      <c r="E768" s="86">
        <v>3</v>
      </c>
      <c r="F768" s="355" t="s">
        <v>15</v>
      </c>
      <c r="G768" s="148" t="s">
        <v>15</v>
      </c>
      <c r="H768" s="367">
        <v>2895.67</v>
      </c>
      <c r="I768" s="368">
        <v>320.14999999999998</v>
      </c>
      <c r="J768" s="234" t="s">
        <v>15</v>
      </c>
      <c r="K768" s="233" t="s">
        <v>15</v>
      </c>
      <c r="L768" s="234" t="s">
        <v>15</v>
      </c>
      <c r="M768" s="233" t="s">
        <v>15</v>
      </c>
      <c r="N768" s="1194">
        <v>0</v>
      </c>
      <c r="O768" s="142" t="s">
        <v>574</v>
      </c>
      <c r="P768" s="142" t="s">
        <v>574</v>
      </c>
      <c r="Q768" s="128">
        <v>0.112</v>
      </c>
      <c r="R768" s="2252"/>
      <c r="S768" s="86">
        <f>E763</f>
        <v>34</v>
      </c>
      <c r="T768" s="117" t="s">
        <v>15</v>
      </c>
      <c r="U768" s="854"/>
      <c r="V768" s="24"/>
      <c r="W768" s="26"/>
      <c r="X768" s="26"/>
      <c r="Y768" s="41"/>
      <c r="Z768" s="41"/>
      <c r="AA768" s="41"/>
      <c r="AB768" s="846"/>
      <c r="AC768" s="26"/>
      <c r="AD768" s="24"/>
      <c r="AE768" s="26"/>
      <c r="AF768" s="75"/>
      <c r="AG768" s="26"/>
      <c r="AH768" s="957"/>
      <c r="AI768" s="957"/>
      <c r="AJ768" s="957"/>
      <c r="AK768" s="957"/>
      <c r="AL768" s="957"/>
      <c r="AM768" s="957"/>
      <c r="AN768" s="957"/>
      <c r="AO768" s="957"/>
      <c r="AP768" s="957"/>
      <c r="AQ768" s="957"/>
      <c r="AR768" s="957"/>
      <c r="AS768" s="957"/>
      <c r="AT768" s="957"/>
      <c r="AU768" s="957"/>
      <c r="AV768" s="957"/>
      <c r="AW768" s="957"/>
      <c r="AX768" s="957"/>
      <c r="AY768" s="957"/>
      <c r="AZ768" s="957"/>
      <c r="BA768" s="957"/>
      <c r="BB768" s="957"/>
      <c r="BC768" s="957"/>
      <c r="BD768" s="957"/>
      <c r="BE768" s="957"/>
      <c r="BF768" s="957"/>
      <c r="BG768" s="957"/>
    </row>
    <row r="769" spans="1:123" ht="15" customHeight="1">
      <c r="A769" s="2172"/>
      <c r="B769" s="2117" t="s">
        <v>194</v>
      </c>
      <c r="C769" s="330"/>
      <c r="D769" s="26"/>
      <c r="E769" s="26"/>
      <c r="F769" s="26"/>
      <c r="G769" s="26"/>
      <c r="H769" s="26"/>
      <c r="I769" s="26"/>
      <c r="J769" s="75"/>
      <c r="K769" s="26"/>
      <c r="L769" s="75"/>
      <c r="M769" s="26"/>
      <c r="N769" s="1210"/>
      <c r="O769" s="475"/>
      <c r="P769" s="475"/>
      <c r="Q769" s="252"/>
      <c r="R769" s="252"/>
      <c r="S769" s="127" t="s">
        <v>41</v>
      </c>
      <c r="T769" s="129" t="s">
        <v>42</v>
      </c>
      <c r="U769" s="858"/>
      <c r="V769" s="24"/>
      <c r="W769" s="26"/>
      <c r="X769" s="26"/>
      <c r="Y769" s="41"/>
      <c r="Z769" s="41"/>
      <c r="AA769" s="41"/>
      <c r="AB769" s="846"/>
      <c r="AC769" s="26"/>
      <c r="AD769" s="24"/>
      <c r="AE769" s="26"/>
      <c r="AF769" s="75"/>
      <c r="AG769" s="26"/>
      <c r="AH769" s="957"/>
      <c r="AI769" s="957"/>
      <c r="AJ769" s="957"/>
      <c r="AK769" s="957"/>
      <c r="AL769" s="957"/>
      <c r="AM769" s="957"/>
      <c r="AN769" s="957"/>
      <c r="AO769" s="957"/>
      <c r="AP769" s="957"/>
      <c r="AQ769" s="957"/>
      <c r="AR769" s="957"/>
      <c r="AS769" s="957"/>
      <c r="AT769" s="957"/>
      <c r="AU769" s="957"/>
      <c r="AV769" s="957"/>
      <c r="AW769" s="957"/>
      <c r="AX769" s="957"/>
      <c r="AY769" s="957"/>
      <c r="AZ769" s="957"/>
      <c r="BA769" s="957"/>
      <c r="BB769" s="957"/>
      <c r="BC769" s="957"/>
      <c r="BD769" s="957"/>
      <c r="BE769" s="957"/>
      <c r="BF769" s="957"/>
      <c r="BG769" s="957"/>
    </row>
    <row r="770" spans="1:123">
      <c r="A770" s="2172"/>
      <c r="B770" s="2117"/>
      <c r="C770" s="41"/>
      <c r="D770" s="26"/>
      <c r="E770" s="26"/>
      <c r="F770" s="26"/>
      <c r="G770" s="26"/>
      <c r="H770" s="26"/>
      <c r="I770" s="26"/>
      <c r="J770" s="75"/>
      <c r="K770" s="26"/>
      <c r="L770" s="75"/>
      <c r="M770" s="26"/>
      <c r="N770" s="1210"/>
      <c r="O770" s="475"/>
      <c r="P770" s="475"/>
      <c r="Q770" s="252"/>
      <c r="R770" s="252"/>
      <c r="S770" s="357">
        <v>0.94089800000000001</v>
      </c>
      <c r="T770" s="419">
        <v>-2912.991931</v>
      </c>
      <c r="U770" s="861"/>
      <c r="V770" s="24"/>
      <c r="W770" s="26"/>
      <c r="X770" s="26"/>
      <c r="Y770" s="41"/>
      <c r="Z770" s="41"/>
      <c r="AA770" s="41"/>
      <c r="AB770" s="846"/>
      <c r="AC770" s="26"/>
      <c r="AD770" s="24"/>
      <c r="AE770" s="26"/>
      <c r="AF770" s="75"/>
      <c r="AG770" s="26"/>
      <c r="AH770" s="957"/>
      <c r="AI770" s="957"/>
      <c r="AJ770" s="957"/>
      <c r="AK770" s="957"/>
      <c r="AL770" s="957"/>
      <c r="AM770" s="957"/>
      <c r="AN770" s="957"/>
      <c r="AO770" s="957"/>
      <c r="AP770" s="957"/>
      <c r="AQ770" s="957"/>
      <c r="AR770" s="957"/>
      <c r="AS770" s="957"/>
      <c r="AT770" s="957"/>
      <c r="AU770" s="957"/>
      <c r="AV770" s="957"/>
      <c r="AW770" s="957"/>
      <c r="AX770" s="957"/>
      <c r="AY770" s="957"/>
      <c r="AZ770" s="957"/>
      <c r="BA770" s="957"/>
      <c r="BB770" s="957"/>
      <c r="BC770" s="957"/>
      <c r="BD770" s="957"/>
      <c r="BE770" s="957"/>
      <c r="BF770" s="957"/>
      <c r="BG770" s="957"/>
    </row>
    <row r="771" spans="1:123">
      <c r="A771" s="2172"/>
      <c r="B771" s="2117"/>
      <c r="C771" s="41"/>
      <c r="D771" s="26"/>
      <c r="E771" s="26"/>
      <c r="F771" s="26"/>
      <c r="G771" s="26"/>
      <c r="H771" s="26"/>
      <c r="I771" s="26"/>
      <c r="J771" s="75"/>
      <c r="K771" s="26"/>
      <c r="L771" s="75"/>
      <c r="M771" s="26"/>
      <c r="N771" s="1210"/>
      <c r="O771" s="475"/>
      <c r="P771" s="475"/>
      <c r="Q771" s="252"/>
      <c r="R771" s="252"/>
      <c r="S771" s="118" t="s">
        <v>235</v>
      </c>
      <c r="T771" s="119" t="s">
        <v>391</v>
      </c>
      <c r="U771" s="855"/>
      <c r="V771" s="24"/>
      <c r="W771" s="26"/>
      <c r="X771" s="26"/>
      <c r="Y771" s="41"/>
      <c r="Z771" s="41"/>
      <c r="AA771" s="41"/>
      <c r="AB771" s="846"/>
      <c r="AC771" s="26"/>
      <c r="AD771" s="24"/>
      <c r="AE771" s="26"/>
      <c r="AF771" s="75"/>
      <c r="AG771" s="26"/>
      <c r="AH771" s="957"/>
      <c r="AI771" s="957"/>
      <c r="AJ771" s="957"/>
      <c r="AK771" s="957"/>
      <c r="AL771" s="957"/>
      <c r="AM771" s="957"/>
      <c r="AN771" s="957"/>
      <c r="AO771" s="957"/>
      <c r="AP771" s="957"/>
      <c r="AQ771" s="957"/>
      <c r="AR771" s="957"/>
      <c r="AS771" s="957"/>
      <c r="AT771" s="957"/>
      <c r="AU771" s="957"/>
      <c r="AV771" s="957"/>
      <c r="AW771" s="957"/>
      <c r="AX771" s="957"/>
      <c r="AY771" s="957"/>
      <c r="AZ771" s="957"/>
      <c r="BA771" s="957"/>
      <c r="BB771" s="957"/>
      <c r="BC771" s="957"/>
      <c r="BD771" s="957"/>
      <c r="BE771" s="957"/>
      <c r="BF771" s="957"/>
      <c r="BG771" s="957"/>
    </row>
    <row r="772" spans="1:123" ht="15.75" thickBot="1">
      <c r="A772" s="2172"/>
      <c r="B772" s="2118"/>
      <c r="C772" s="41"/>
      <c r="D772" s="26"/>
      <c r="E772" s="26"/>
      <c r="F772" s="26"/>
      <c r="G772" s="26"/>
      <c r="H772" s="26"/>
      <c r="I772" s="26"/>
      <c r="J772" s="186"/>
      <c r="K772" s="184"/>
      <c r="L772" s="186"/>
      <c r="M772" s="184"/>
      <c r="N772" s="1210"/>
      <c r="O772" s="475"/>
      <c r="P772" s="475"/>
      <c r="Q772" s="252"/>
      <c r="R772" s="252"/>
      <c r="S772" s="86">
        <v>182.44</v>
      </c>
      <c r="T772" s="365">
        <v>0.2</v>
      </c>
      <c r="U772" s="862"/>
      <c r="V772" s="24"/>
      <c r="W772" s="26"/>
      <c r="X772" s="26"/>
      <c r="Y772" s="41"/>
      <c r="Z772" s="175"/>
      <c r="AA772" s="813"/>
      <c r="AB772" s="846"/>
      <c r="AC772" s="26"/>
      <c r="AD772" s="240"/>
      <c r="AE772" s="764"/>
      <c r="AF772" s="75"/>
      <c r="AG772" s="26"/>
      <c r="AH772" s="957"/>
      <c r="AI772" s="957"/>
      <c r="AJ772" s="957"/>
      <c r="AK772" s="957"/>
      <c r="AL772" s="957"/>
      <c r="AM772" s="957"/>
      <c r="AN772" s="957"/>
      <c r="AO772" s="957"/>
      <c r="AP772" s="957"/>
      <c r="AQ772" s="957"/>
      <c r="AR772" s="957"/>
      <c r="AS772" s="957"/>
      <c r="AT772" s="957"/>
      <c r="AU772" s="957"/>
      <c r="AV772" s="957"/>
      <c r="AW772" s="957"/>
      <c r="AX772" s="957"/>
      <c r="AY772" s="957"/>
      <c r="AZ772" s="957"/>
      <c r="BA772" s="957"/>
      <c r="BB772" s="957"/>
      <c r="BC772" s="957"/>
      <c r="BD772" s="957"/>
      <c r="BE772" s="957"/>
      <c r="BF772" s="957"/>
      <c r="BG772" s="957"/>
    </row>
    <row r="773" spans="1:123" s="705" customFormat="1" ht="8.25" customHeight="1" thickBot="1">
      <c r="A773" s="695"/>
      <c r="B773" s="815"/>
      <c r="C773" s="684"/>
      <c r="D773" s="683"/>
      <c r="E773" s="683"/>
      <c r="F773" s="683"/>
      <c r="G773" s="683"/>
      <c r="H773" s="683"/>
      <c r="I773" s="683"/>
      <c r="J773" s="682"/>
      <c r="K773" s="683"/>
      <c r="L773" s="682"/>
      <c r="M773" s="685"/>
      <c r="N773" s="1189"/>
      <c r="O773" s="686"/>
      <c r="P773" s="686"/>
      <c r="Q773" s="687"/>
      <c r="R773" s="687"/>
      <c r="S773" s="688"/>
      <c r="T773" s="688"/>
      <c r="U773" s="854"/>
      <c r="V773" s="893"/>
      <c r="W773" s="685"/>
      <c r="X773" s="685"/>
      <c r="Y773" s="688"/>
      <c r="Z773" s="688"/>
      <c r="AA773" s="688"/>
      <c r="AB773" s="846"/>
      <c r="AC773" s="685"/>
      <c r="AD773" s="685"/>
      <c r="AE773" s="685"/>
      <c r="AF773" s="689"/>
      <c r="AG773" s="685"/>
      <c r="AH773" s="958"/>
      <c r="AI773" s="958"/>
      <c r="AJ773" s="958"/>
      <c r="AK773" s="958"/>
      <c r="AL773" s="958"/>
      <c r="AM773" s="959"/>
      <c r="AN773" s="959"/>
      <c r="AO773" s="959"/>
      <c r="AP773" s="959"/>
      <c r="AQ773" s="959"/>
      <c r="AR773" s="959"/>
      <c r="AS773" s="959"/>
      <c r="AT773" s="959"/>
      <c r="AU773" s="959"/>
      <c r="AV773" s="959"/>
      <c r="AW773" s="959"/>
      <c r="AX773" s="959"/>
      <c r="AY773" s="959"/>
      <c r="AZ773" s="959"/>
      <c r="BA773" s="959"/>
      <c r="BB773" s="959"/>
      <c r="BC773" s="959"/>
      <c r="BD773" s="959"/>
      <c r="BE773" s="959"/>
      <c r="BF773" s="959"/>
      <c r="BG773" s="959"/>
      <c r="BH773" s="1125"/>
      <c r="CF773" s="692"/>
      <c r="CG773" s="692"/>
      <c r="CH773" s="692"/>
      <c r="CI773" s="692"/>
      <c r="CJ773" s="692"/>
      <c r="CK773" s="692"/>
      <c r="CL773" s="692"/>
      <c r="CM773" s="692"/>
      <c r="CN773" s="692"/>
      <c r="CO773" s="692"/>
      <c r="CP773" s="692"/>
      <c r="CQ773" s="692"/>
      <c r="CR773" s="692"/>
      <c r="CS773" s="692"/>
      <c r="CT773" s="692"/>
      <c r="CU773" s="692"/>
      <c r="CV773" s="692"/>
      <c r="CW773" s="692"/>
      <c r="CX773" s="692"/>
      <c r="CY773" s="692"/>
      <c r="CZ773" s="692"/>
      <c r="DA773" s="692"/>
      <c r="DB773" s="692"/>
      <c r="DC773" s="692"/>
      <c r="DD773" s="692"/>
      <c r="DE773" s="692"/>
      <c r="DF773" s="692"/>
      <c r="DG773" s="692"/>
      <c r="DH773" s="692"/>
      <c r="DI773" s="693"/>
      <c r="DJ773" s="692"/>
      <c r="DK773" s="692"/>
      <c r="DL773" s="692"/>
      <c r="DM773" s="692"/>
      <c r="DN773" s="692"/>
      <c r="DO773" s="692"/>
      <c r="DP773" s="692"/>
      <c r="DQ773" s="692"/>
      <c r="DR773" s="692"/>
      <c r="DS773" s="692"/>
    </row>
    <row r="774" spans="1:123" s="325" customFormat="1" ht="30">
      <c r="A774" s="2171" t="s">
        <v>1139</v>
      </c>
      <c r="B774" s="823" t="s">
        <v>645</v>
      </c>
      <c r="C774" s="811" t="s">
        <v>12</v>
      </c>
      <c r="D774" s="387" t="s">
        <v>656</v>
      </c>
      <c r="E774" s="387">
        <v>39</v>
      </c>
      <c r="F774" s="387">
        <v>127384.6</v>
      </c>
      <c r="G774" s="387">
        <v>53567.77</v>
      </c>
      <c r="H774" s="388">
        <v>11172.4</v>
      </c>
      <c r="I774" s="389">
        <v>5748.77</v>
      </c>
      <c r="J774" s="658" t="s">
        <v>14</v>
      </c>
      <c r="K774" s="1147" t="s">
        <v>720</v>
      </c>
      <c r="L774" s="1089" t="s">
        <v>15</v>
      </c>
      <c r="M774" s="1090" t="s">
        <v>15</v>
      </c>
      <c r="N774" s="1219">
        <v>8.8907E-2</v>
      </c>
      <c r="O774" s="393">
        <v>10.44</v>
      </c>
      <c r="P774" s="393">
        <v>8.5199999999999998E-3</v>
      </c>
      <c r="Q774" s="483" t="s">
        <v>15</v>
      </c>
      <c r="R774" s="390">
        <f>N774</f>
        <v>8.8907E-2</v>
      </c>
      <c r="S774" s="149" t="s">
        <v>68</v>
      </c>
      <c r="T774" s="150" t="s">
        <v>69</v>
      </c>
      <c r="U774" s="858"/>
      <c r="V774" s="2162" t="s">
        <v>2749</v>
      </c>
      <c r="W774" s="720" t="s">
        <v>47</v>
      </c>
      <c r="X774" s="62" t="s">
        <v>672</v>
      </c>
      <c r="Y774" s="538">
        <f>((187000*$R$774)+($R$775*10.6)+$R$778+$R$776+$T$781)*(1+$T$783)</f>
        <v>18560.517225636922</v>
      </c>
      <c r="Z774" s="555" t="s">
        <v>40</v>
      </c>
      <c r="AA774" s="556" t="s">
        <v>40</v>
      </c>
      <c r="AB774" s="848"/>
      <c r="AC774" s="330"/>
      <c r="AD774" s="502"/>
      <c r="AE774" s="330"/>
      <c r="AF774" s="623" t="s">
        <v>49</v>
      </c>
      <c r="AG774" s="62" t="s">
        <v>725</v>
      </c>
      <c r="AH774" s="996">
        <f>((90000*$R$774)+($R$775*10.7)+$R$778+$R$776+$T$781)*1.2</f>
        <v>8406.5937483969246</v>
      </c>
      <c r="AI774" s="996">
        <f>4000*1.2</f>
        <v>4800</v>
      </c>
      <c r="AJ774" s="996"/>
      <c r="AK774" s="996"/>
      <c r="AL774" s="996"/>
      <c r="AM774" s="962"/>
      <c r="AN774" s="962"/>
      <c r="AO774" s="962"/>
      <c r="AP774" s="962"/>
      <c r="AQ774" s="962"/>
      <c r="AR774" s="962"/>
      <c r="AS774" s="962"/>
      <c r="AT774" s="962"/>
      <c r="AU774" s="962"/>
      <c r="AV774" s="962"/>
      <c r="AW774" s="962"/>
      <c r="AX774" s="962"/>
      <c r="AY774" s="962"/>
      <c r="AZ774" s="962"/>
      <c r="BA774" s="962"/>
      <c r="BB774" s="962"/>
      <c r="BC774" s="962"/>
      <c r="BD774" s="962"/>
      <c r="BE774" s="962"/>
      <c r="BF774" s="962"/>
      <c r="BG774" s="962"/>
      <c r="BH774" s="1130"/>
      <c r="CF774" s="568"/>
      <c r="CG774" s="568"/>
      <c r="CH774" s="568"/>
      <c r="CI774" s="568"/>
      <c r="CJ774" s="568"/>
      <c r="CK774" s="568"/>
      <c r="CL774" s="568"/>
      <c r="CM774" s="568"/>
      <c r="CN774" s="568"/>
      <c r="CO774" s="568"/>
      <c r="CP774" s="568"/>
      <c r="CQ774" s="568"/>
      <c r="CR774" s="568"/>
      <c r="CS774" s="568"/>
      <c r="CT774" s="568"/>
      <c r="CU774" s="568"/>
      <c r="CV774" s="568"/>
      <c r="CW774" s="568"/>
      <c r="CX774" s="568"/>
      <c r="CY774" s="568"/>
      <c r="CZ774" s="568"/>
      <c r="DA774" s="568"/>
      <c r="DB774" s="568"/>
      <c r="DC774" s="568"/>
      <c r="DD774" s="568"/>
      <c r="DE774" s="568"/>
      <c r="DF774" s="568"/>
      <c r="DG774" s="568"/>
      <c r="DH774" s="568"/>
      <c r="DI774" s="560"/>
      <c r="DJ774" s="568"/>
      <c r="DK774" s="568"/>
      <c r="DL774" s="568"/>
      <c r="DM774" s="568"/>
      <c r="DN774" s="568"/>
      <c r="DO774" s="568"/>
      <c r="DP774" s="568"/>
      <c r="DQ774" s="568"/>
      <c r="DR774" s="568"/>
      <c r="DS774" s="568"/>
    </row>
    <row r="775" spans="1:123">
      <c r="A775" s="2172"/>
      <c r="B775" s="817" t="s">
        <v>16</v>
      </c>
      <c r="C775" s="981" t="s">
        <v>12</v>
      </c>
      <c r="D775" s="89" t="s">
        <v>657</v>
      </c>
      <c r="E775" s="88">
        <v>39</v>
      </c>
      <c r="F775" s="152">
        <v>11.21923</v>
      </c>
      <c r="G775" s="152">
        <v>0.61554600000000004</v>
      </c>
      <c r="H775" s="367">
        <v>11172.4</v>
      </c>
      <c r="I775" s="368">
        <v>5748.77</v>
      </c>
      <c r="J775" s="786" t="s">
        <v>12</v>
      </c>
      <c r="K775" s="15" t="s">
        <v>663</v>
      </c>
      <c r="L775" s="234" t="s">
        <v>15</v>
      </c>
      <c r="M775" s="233" t="s">
        <v>15</v>
      </c>
      <c r="N775" s="1194">
        <v>1623.761023</v>
      </c>
      <c r="O775" s="142">
        <v>1.99</v>
      </c>
      <c r="P775" s="142">
        <v>813.92516000000001</v>
      </c>
      <c r="Q775" s="195" t="s">
        <v>15</v>
      </c>
      <c r="R775" s="128">
        <f>N775</f>
        <v>1623.761023</v>
      </c>
      <c r="S775" s="31" t="s">
        <v>630</v>
      </c>
      <c r="T775" s="556" t="s">
        <v>310</v>
      </c>
      <c r="U775" s="859"/>
      <c r="V775" s="2163"/>
      <c r="W775" s="720" t="s">
        <v>49</v>
      </c>
      <c r="X775" s="291" t="s">
        <v>671</v>
      </c>
      <c r="Y775" s="169">
        <f>((187000*$R$774)+($R$775*11.5)+$R$778+$R$776+$T$781)*(1+$T$783)</f>
        <v>20314.179130476925</v>
      </c>
      <c r="Z775" s="169">
        <f>Y775-Y774</f>
        <v>1753.6619048400025</v>
      </c>
      <c r="AA775" s="576">
        <f>(11.5-10.6)*$P$775</f>
        <v>732.53264400000035</v>
      </c>
      <c r="AB775" s="918"/>
      <c r="AC775" s="26"/>
      <c r="AD775" s="24"/>
      <c r="AE775" s="26"/>
      <c r="AF775" s="658" t="s">
        <v>47</v>
      </c>
      <c r="AG775" s="720" t="s">
        <v>1153</v>
      </c>
      <c r="AH775" s="158">
        <f>((120000*$R$774)+($R$775*10.9)+$R$778+$R$776+$T$781)*1.2</f>
        <v>11996.948393916928</v>
      </c>
      <c r="AI775" s="158"/>
      <c r="AJ775" s="158">
        <f>748*10</f>
        <v>7480</v>
      </c>
      <c r="AK775" s="158"/>
      <c r="AL775" s="158"/>
      <c r="AM775" s="957"/>
      <c r="AN775" s="957"/>
      <c r="AO775" s="957"/>
      <c r="AP775" s="957"/>
      <c r="AQ775" s="957"/>
      <c r="AR775" s="957"/>
      <c r="AS775" s="957"/>
      <c r="AT775" s="957"/>
      <c r="AU775" s="957"/>
      <c r="AV775" s="957"/>
      <c r="AW775" s="957"/>
      <c r="AX775" s="957"/>
      <c r="AY775" s="957"/>
      <c r="AZ775" s="957"/>
      <c r="BA775" s="957"/>
      <c r="BB775" s="957"/>
      <c r="BC775" s="957"/>
      <c r="BD775" s="957"/>
      <c r="BE775" s="957"/>
      <c r="BF775" s="957"/>
      <c r="BG775" s="957"/>
    </row>
    <row r="776" spans="1:123">
      <c r="A776" s="2172"/>
      <c r="B776" s="2161" t="s">
        <v>658</v>
      </c>
      <c r="C776" s="2144" t="s">
        <v>11</v>
      </c>
      <c r="D776" s="23" t="s">
        <v>32</v>
      </c>
      <c r="E776" s="88">
        <v>34</v>
      </c>
      <c r="F776" s="148" t="s">
        <v>15</v>
      </c>
      <c r="G776" s="148" t="s">
        <v>15</v>
      </c>
      <c r="H776" s="367">
        <v>10171.379999999999</v>
      </c>
      <c r="I776" s="368">
        <v>5281.06</v>
      </c>
      <c r="J776" s="234" t="s">
        <v>15</v>
      </c>
      <c r="K776" s="233" t="s">
        <v>15</v>
      </c>
      <c r="L776" s="234" t="s">
        <v>15</v>
      </c>
      <c r="M776" s="233" t="s">
        <v>15</v>
      </c>
      <c r="N776" s="1194">
        <v>-6775.3744420000003</v>
      </c>
      <c r="O776" s="142">
        <v>-5.07</v>
      </c>
      <c r="P776" s="142">
        <v>1337.593893</v>
      </c>
      <c r="Q776" s="128">
        <f t="shared" ref="Q776:Q782" si="24">E776/$E$775</f>
        <v>0.87179487179487181</v>
      </c>
      <c r="R776" s="2129">
        <f>SUMPRODUCT(Q776:Q777,N776:N777)</f>
        <v>-5906.7366930256412</v>
      </c>
      <c r="S776" s="127" t="s">
        <v>72</v>
      </c>
      <c r="T776" s="119" t="s">
        <v>119</v>
      </c>
      <c r="U776" s="855"/>
      <c r="V776" s="2163"/>
      <c r="W776" s="720" t="s">
        <v>49</v>
      </c>
      <c r="X776" s="291" t="s">
        <v>670</v>
      </c>
      <c r="Y776" s="169">
        <f>((187000*$R$774)+($R$775*12)+$R$778+$R$776+$T$781)*(1+$T$783)</f>
        <v>21288.435744276921</v>
      </c>
      <c r="Z776" s="169">
        <f>Y776-Y774</f>
        <v>2727.9185186399991</v>
      </c>
      <c r="AA776" s="576">
        <f>(12-10.6)*$P$775</f>
        <v>1139.4952240000002</v>
      </c>
      <c r="AB776" s="918"/>
      <c r="AC776" s="26"/>
      <c r="AD776" s="24"/>
      <c r="AE776" s="26"/>
      <c r="AF776" s="658" t="s">
        <v>47</v>
      </c>
      <c r="AG776" s="291" t="s">
        <v>1154</v>
      </c>
      <c r="AH776" s="158">
        <f>((180000*$R$774)+($R$775*10.5)+$R$778+$R$776+$T$781)*1.2</f>
        <v>17618.847102876924</v>
      </c>
      <c r="AI776" s="158"/>
      <c r="AJ776" s="158">
        <f>739*15</f>
        <v>11085</v>
      </c>
      <c r="AK776" s="158"/>
      <c r="AL776" s="158">
        <f>1075*15</f>
        <v>16125</v>
      </c>
      <c r="AM776" s="957"/>
      <c r="AN776" s="957"/>
      <c r="AO776" s="957"/>
      <c r="AP776" s="957"/>
      <c r="AQ776" s="957"/>
      <c r="AR776" s="957"/>
      <c r="AS776" s="957"/>
      <c r="AT776" s="957"/>
      <c r="AU776" s="957"/>
      <c r="AV776" s="957"/>
      <c r="AW776" s="957"/>
      <c r="AX776" s="957"/>
      <c r="AY776" s="957"/>
      <c r="AZ776" s="957"/>
      <c r="BA776" s="957"/>
      <c r="BB776" s="957"/>
      <c r="BC776" s="957"/>
      <c r="BD776" s="957"/>
      <c r="BE776" s="957"/>
      <c r="BF776" s="957"/>
      <c r="BG776" s="957"/>
    </row>
    <row r="777" spans="1:123">
      <c r="A777" s="2172"/>
      <c r="B777" s="2161"/>
      <c r="C777" s="2144"/>
      <c r="D777" s="23" t="s">
        <v>33</v>
      </c>
      <c r="E777" s="88">
        <v>5</v>
      </c>
      <c r="F777" s="148" t="s">
        <v>15</v>
      </c>
      <c r="G777" s="148" t="s">
        <v>15</v>
      </c>
      <c r="H777" s="367">
        <v>17979.3</v>
      </c>
      <c r="I777" s="368">
        <v>4175.55</v>
      </c>
      <c r="J777" s="234" t="s">
        <v>15</v>
      </c>
      <c r="K777" s="233" t="s">
        <v>15</v>
      </c>
      <c r="L777" s="234" t="s">
        <v>15</v>
      </c>
      <c r="M777" s="233" t="s">
        <v>15</v>
      </c>
      <c r="N777" s="1194">
        <v>0</v>
      </c>
      <c r="O777" s="146" t="s">
        <v>204</v>
      </c>
      <c r="P777" s="146" t="s">
        <v>204</v>
      </c>
      <c r="Q777" s="128">
        <f t="shared" si="24"/>
        <v>0.12820512820512819</v>
      </c>
      <c r="R777" s="2129"/>
      <c r="S777" s="423" t="s">
        <v>139</v>
      </c>
      <c r="T777" s="411" t="s">
        <v>140</v>
      </c>
      <c r="U777" s="859"/>
      <c r="V777" s="2163"/>
      <c r="W777" s="720" t="s">
        <v>47</v>
      </c>
      <c r="X777" s="291" t="s">
        <v>669</v>
      </c>
      <c r="Y777" s="169">
        <f>((77000*$R$774)+($R$775*11)+$R$778+$R$776+$T$781)*(1+$T$783)</f>
        <v>7604.1985166769264</v>
      </c>
      <c r="Z777" s="452" t="s">
        <v>40</v>
      </c>
      <c r="AA777" s="117" t="s">
        <v>40</v>
      </c>
      <c r="AB777" s="846"/>
      <c r="AC777" s="26"/>
      <c r="AD777" s="24"/>
      <c r="AE777" s="26"/>
      <c r="AF777" s="658" t="s">
        <v>47</v>
      </c>
      <c r="AG777" s="291" t="s">
        <v>1156</v>
      </c>
      <c r="AH777" s="158">
        <f>((120000*$R$774)+($R$775*11)+$R$778+$R$776+$T$781)*1.2</f>
        <v>12191.799716676924</v>
      </c>
      <c r="AI777" s="158"/>
      <c r="AJ777" s="158"/>
      <c r="AK777" s="158">
        <f>1020*10</f>
        <v>10200</v>
      </c>
      <c r="AL777" s="158"/>
      <c r="AM777" s="957"/>
      <c r="AN777" s="957"/>
      <c r="AO777" s="957"/>
      <c r="AP777" s="957"/>
      <c r="AQ777" s="957"/>
      <c r="AR777" s="957"/>
      <c r="AS777" s="957"/>
      <c r="AT777" s="957"/>
      <c r="AU777" s="957"/>
      <c r="AV777" s="957"/>
      <c r="AW777" s="957"/>
      <c r="AX777" s="957"/>
      <c r="AY777" s="957"/>
      <c r="AZ777" s="957"/>
      <c r="BA777" s="957"/>
      <c r="BB777" s="957"/>
      <c r="BC777" s="957"/>
      <c r="BD777" s="957"/>
      <c r="BE777" s="957"/>
      <c r="BF777" s="957"/>
      <c r="BG777" s="957"/>
    </row>
    <row r="778" spans="1:123">
      <c r="A778" s="2172"/>
      <c r="B778" s="2161" t="s">
        <v>659</v>
      </c>
      <c r="C778" s="2144" t="s">
        <v>13</v>
      </c>
      <c r="D778" s="88" t="s">
        <v>660</v>
      </c>
      <c r="E778" s="88">
        <v>7</v>
      </c>
      <c r="F778" s="148" t="s">
        <v>15</v>
      </c>
      <c r="G778" s="148" t="s">
        <v>15</v>
      </c>
      <c r="H778" s="367">
        <v>8118.31</v>
      </c>
      <c r="I778" s="368">
        <v>3922.94</v>
      </c>
      <c r="J778" s="234" t="s">
        <v>15</v>
      </c>
      <c r="K778" s="233" t="s">
        <v>15</v>
      </c>
      <c r="L778" s="234" t="s">
        <v>15</v>
      </c>
      <c r="M778" s="233" t="s">
        <v>15</v>
      </c>
      <c r="N778" s="1194">
        <v>-5622.1753310000004</v>
      </c>
      <c r="O778" s="142">
        <v>-4.4400000000000004</v>
      </c>
      <c r="P778" s="142">
        <v>1264.845638</v>
      </c>
      <c r="Q778" s="128">
        <f t="shared" si="24"/>
        <v>0.17948717948717949</v>
      </c>
      <c r="R778" s="2129">
        <f>SUMPRODUCT(Q778:Q782,N778:N782)</f>
        <v>-3133.8976007435904</v>
      </c>
      <c r="S778" s="127" t="s">
        <v>74</v>
      </c>
      <c r="T778" s="129" t="s">
        <v>75</v>
      </c>
      <c r="U778" s="858"/>
      <c r="V778" s="2163"/>
      <c r="W778" s="720" t="s">
        <v>49</v>
      </c>
      <c r="X778" s="291" t="s">
        <v>668</v>
      </c>
      <c r="Y778" s="169">
        <f>((77000*$R$774)+($R$775*11.5)+$R$778+$R$776+$T$781)*(1+$T$783)</f>
        <v>8578.4551304769284</v>
      </c>
      <c r="Z778" s="169">
        <f>Y778-Y777</f>
        <v>974.25661380000201</v>
      </c>
      <c r="AA778" s="576">
        <f>(11.5-11)*$P$775</f>
        <v>406.96258</v>
      </c>
      <c r="AB778" s="918"/>
      <c r="AC778" s="26"/>
      <c r="AD778" s="24"/>
      <c r="AE778" s="26"/>
      <c r="AF778" s="658" t="s">
        <v>47</v>
      </c>
      <c r="AG778" s="291" t="s">
        <v>1155</v>
      </c>
      <c r="AH778" s="158">
        <f>((360000*$R$774)+($R$775*10.5)+$R$778+$R$776+$T$781)*1.2</f>
        <v>36822.759102876924</v>
      </c>
      <c r="AI778" s="158"/>
      <c r="AJ778" s="158">
        <f>729*30</f>
        <v>21870</v>
      </c>
      <c r="AK778" s="158"/>
      <c r="AL778" s="158"/>
      <c r="AM778" s="957"/>
      <c r="AN778" s="957"/>
      <c r="AO778" s="957"/>
      <c r="AP778" s="957"/>
      <c r="AQ778" s="957"/>
      <c r="AR778" s="957"/>
      <c r="AS778" s="957"/>
      <c r="AT778" s="957"/>
      <c r="AU778" s="957"/>
      <c r="AV778" s="957"/>
      <c r="AW778" s="957"/>
      <c r="AX778" s="957"/>
      <c r="AY778" s="957"/>
      <c r="AZ778" s="957"/>
      <c r="BA778" s="957"/>
      <c r="BB778" s="957"/>
      <c r="BC778" s="957"/>
      <c r="BD778" s="957"/>
      <c r="BE778" s="957"/>
      <c r="BF778" s="957"/>
      <c r="BG778" s="957"/>
    </row>
    <row r="779" spans="1:123">
      <c r="A779" s="2172"/>
      <c r="B779" s="2161"/>
      <c r="C779" s="2144"/>
      <c r="D779" s="88" t="s">
        <v>648</v>
      </c>
      <c r="E779" s="88">
        <v>3</v>
      </c>
      <c r="F779" s="148" t="s">
        <v>15</v>
      </c>
      <c r="G779" s="148" t="s">
        <v>15</v>
      </c>
      <c r="H779" s="367">
        <v>14822.67</v>
      </c>
      <c r="I779" s="368">
        <v>7408.93</v>
      </c>
      <c r="J779" s="234" t="s">
        <v>15</v>
      </c>
      <c r="K779" s="233" t="s">
        <v>15</v>
      </c>
      <c r="L779" s="234" t="s">
        <v>15</v>
      </c>
      <c r="M779" s="233" t="s">
        <v>15</v>
      </c>
      <c r="N779" s="1194">
        <v>-513.25068399999998</v>
      </c>
      <c r="O779" s="142">
        <v>-0.33</v>
      </c>
      <c r="P779" s="142">
        <v>1567.930445</v>
      </c>
      <c r="Q779" s="128">
        <f t="shared" si="24"/>
        <v>7.6923076923076927E-2</v>
      </c>
      <c r="R779" s="2129"/>
      <c r="S779" s="86">
        <f>E775</f>
        <v>39</v>
      </c>
      <c r="T779" s="117" t="s">
        <v>15</v>
      </c>
      <c r="U779" s="854"/>
      <c r="V779" s="2163"/>
      <c r="W779" s="720" t="s">
        <v>49</v>
      </c>
      <c r="X779" s="291" t="s">
        <v>667</v>
      </c>
      <c r="Y779" s="169">
        <f>((77000*$R$774)+($R$775*12)+$R$778+$R$776+$T$781)*(1+$T$783)</f>
        <v>9552.7117442769268</v>
      </c>
      <c r="Z779" s="169">
        <f>Y779-Y777</f>
        <v>1948.5132276000004</v>
      </c>
      <c r="AA779" s="576">
        <f>(12-11)*$P$775</f>
        <v>813.92516000000001</v>
      </c>
      <c r="AB779" s="918"/>
      <c r="AC779" s="26"/>
      <c r="AD779" s="24"/>
      <c r="AE779" s="26"/>
      <c r="AF779" s="104"/>
      <c r="AG779" s="27"/>
      <c r="AH779" s="957"/>
      <c r="AI779" s="957"/>
      <c r="AJ779" s="957"/>
      <c r="AK779" s="957"/>
      <c r="AL779" s="957"/>
      <c r="AM779" s="957"/>
      <c r="AN779" s="957"/>
      <c r="AO779" s="957"/>
      <c r="AP779" s="957"/>
      <c r="AQ779" s="957"/>
      <c r="AR779" s="957"/>
      <c r="AS779" s="957"/>
      <c r="AT779" s="957"/>
      <c r="AU779" s="957"/>
      <c r="AV779" s="957"/>
      <c r="AW779" s="957"/>
      <c r="AX779" s="957"/>
      <c r="AY779" s="957"/>
      <c r="AZ779" s="957"/>
      <c r="BA779" s="957"/>
      <c r="BB779" s="957"/>
      <c r="BC779" s="957"/>
      <c r="BD779" s="957"/>
      <c r="BE779" s="957"/>
      <c r="BF779" s="957"/>
      <c r="BG779" s="957"/>
    </row>
    <row r="780" spans="1:123">
      <c r="A780" s="2172"/>
      <c r="B780" s="2161"/>
      <c r="C780" s="2144"/>
      <c r="D780" s="88" t="s">
        <v>661</v>
      </c>
      <c r="E780" s="88">
        <v>14</v>
      </c>
      <c r="F780" s="148" t="s">
        <v>15</v>
      </c>
      <c r="G780" s="148" t="s">
        <v>15</v>
      </c>
      <c r="H780" s="367">
        <v>11105.32</v>
      </c>
      <c r="I780" s="368">
        <v>6184.71</v>
      </c>
      <c r="J780" s="234" t="s">
        <v>15</v>
      </c>
      <c r="K780" s="233" t="s">
        <v>15</v>
      </c>
      <c r="L780" s="234" t="s">
        <v>15</v>
      </c>
      <c r="M780" s="233" t="s">
        <v>15</v>
      </c>
      <c r="N780" s="1194">
        <v>-5020.2660990000004</v>
      </c>
      <c r="O780" s="142">
        <v>-4.68</v>
      </c>
      <c r="P780" s="142">
        <v>1072.6951979999999</v>
      </c>
      <c r="Q780" s="128">
        <f t="shared" si="24"/>
        <v>0.35897435897435898</v>
      </c>
      <c r="R780" s="2129"/>
      <c r="S780" s="127" t="s">
        <v>41</v>
      </c>
      <c r="T780" s="129" t="s">
        <v>42</v>
      </c>
      <c r="U780" s="858"/>
      <c r="V780" s="2163"/>
      <c r="W780" s="720" t="s">
        <v>47</v>
      </c>
      <c r="X780" s="291" t="s">
        <v>666</v>
      </c>
      <c r="Y780" s="169">
        <f>((112000*$R$774)+($R$775*11)+$R$778+$R$776+$T$781)*(1+$T$783)</f>
        <v>11338.292516676922</v>
      </c>
      <c r="Z780" s="452" t="s">
        <v>40</v>
      </c>
      <c r="AA780" s="117" t="s">
        <v>40</v>
      </c>
      <c r="AB780" s="846"/>
      <c r="AC780" s="26"/>
      <c r="AD780" s="24"/>
      <c r="AE780" s="26"/>
      <c r="AF780" s="105"/>
      <c r="AG780" s="26"/>
      <c r="AH780" s="957"/>
      <c r="AI780" s="957"/>
      <c r="AJ780" s="957"/>
      <c r="AK780" s="957"/>
      <c r="AL780" s="957"/>
      <c r="AM780" s="957"/>
      <c r="AN780" s="957"/>
      <c r="AO780" s="957"/>
      <c r="AP780" s="957"/>
      <c r="AQ780" s="957"/>
      <c r="AR780" s="957"/>
      <c r="AS780" s="957"/>
      <c r="AT780" s="957"/>
      <c r="AU780" s="957"/>
      <c r="AV780" s="957"/>
      <c r="AW780" s="957"/>
      <c r="AX780" s="957"/>
      <c r="AY780" s="957"/>
      <c r="AZ780" s="957"/>
      <c r="BA780" s="957"/>
      <c r="BB780" s="957"/>
      <c r="BC780" s="957"/>
      <c r="BD780" s="957"/>
      <c r="BE780" s="957"/>
      <c r="BF780" s="957"/>
      <c r="BG780" s="957"/>
    </row>
    <row r="781" spans="1:123">
      <c r="A781" s="2172"/>
      <c r="B781" s="2161"/>
      <c r="C781" s="2144"/>
      <c r="D781" s="88" t="s">
        <v>575</v>
      </c>
      <c r="E781" s="88">
        <v>9</v>
      </c>
      <c r="F781" s="148" t="s">
        <v>15</v>
      </c>
      <c r="G781" s="148" t="s">
        <v>15</v>
      </c>
      <c r="H781" s="367">
        <v>11775.87</v>
      </c>
      <c r="I781" s="368">
        <v>5076.6000000000004</v>
      </c>
      <c r="J781" s="234" t="s">
        <v>15</v>
      </c>
      <c r="K781" s="233" t="s">
        <v>15</v>
      </c>
      <c r="L781" s="234" t="s">
        <v>15</v>
      </c>
      <c r="M781" s="233" t="s">
        <v>15</v>
      </c>
      <c r="N781" s="1194">
        <v>0</v>
      </c>
      <c r="O781" s="142" t="s">
        <v>574</v>
      </c>
      <c r="P781" s="142" t="s">
        <v>574</v>
      </c>
      <c r="Q781" s="128">
        <f t="shared" si="24"/>
        <v>0.23076923076923078</v>
      </c>
      <c r="R781" s="2129"/>
      <c r="S781" s="357">
        <v>0.87296799999999997</v>
      </c>
      <c r="T781" s="420">
        <v>-9329.7438619999994</v>
      </c>
      <c r="U781" s="861"/>
      <c r="V781" s="2163"/>
      <c r="W781" s="720" t="s">
        <v>49</v>
      </c>
      <c r="X781" s="291" t="s">
        <v>665</v>
      </c>
      <c r="Y781" s="169">
        <f>((112000*$R$774)+($R$775*11.5)+$R$778+$R$776+$T$781)*(1+$T$783)</f>
        <v>12312.549130476922</v>
      </c>
      <c r="Z781" s="169">
        <f>Y781-Y780</f>
        <v>974.2566138000002</v>
      </c>
      <c r="AA781" s="576">
        <f>(11.5-11)*$P$775</f>
        <v>406.96258</v>
      </c>
      <c r="AB781" s="918"/>
      <c r="AC781" s="26"/>
      <c r="AD781" s="24"/>
      <c r="AE781" s="26"/>
      <c r="AF781" s="75"/>
      <c r="AG781" s="26"/>
      <c r="AH781" s="957"/>
      <c r="AI781" s="957"/>
      <c r="AJ781" s="957"/>
      <c r="AK781" s="957"/>
      <c r="AL781" s="957"/>
      <c r="AM781" s="957"/>
      <c r="AN781" s="957"/>
      <c r="AO781" s="957"/>
      <c r="AP781" s="957"/>
      <c r="AQ781" s="957"/>
      <c r="AR781" s="957"/>
      <c r="AS781" s="957"/>
      <c r="AT781" s="957"/>
      <c r="AU781" s="957"/>
      <c r="AV781" s="957"/>
      <c r="AW781" s="957"/>
      <c r="AX781" s="957"/>
      <c r="AY781" s="957"/>
      <c r="AZ781" s="957"/>
      <c r="BA781" s="957"/>
      <c r="BB781" s="957"/>
      <c r="BC781" s="957"/>
      <c r="BD781" s="957"/>
      <c r="BE781" s="957"/>
      <c r="BF781" s="957"/>
      <c r="BG781" s="957"/>
    </row>
    <row r="782" spans="1:123">
      <c r="A782" s="2172"/>
      <c r="B782" s="2161"/>
      <c r="C782" s="2144"/>
      <c r="D782" s="88" t="s">
        <v>662</v>
      </c>
      <c r="E782" s="88">
        <v>6</v>
      </c>
      <c r="F782" s="148" t="s">
        <v>15</v>
      </c>
      <c r="G782" s="148" t="s">
        <v>15</v>
      </c>
      <c r="H782" s="367">
        <v>12161.67</v>
      </c>
      <c r="I782" s="368">
        <v>6867.37</v>
      </c>
      <c r="J782" s="234" t="s">
        <v>15</v>
      </c>
      <c r="K782" s="233" t="s">
        <v>15</v>
      </c>
      <c r="L782" s="234" t="s">
        <v>15</v>
      </c>
      <c r="M782" s="233" t="s">
        <v>15</v>
      </c>
      <c r="N782" s="1194">
        <v>-1840.550279</v>
      </c>
      <c r="O782" s="142">
        <v>-1.37</v>
      </c>
      <c r="P782" s="142">
        <v>1345.26656</v>
      </c>
      <c r="Q782" s="128">
        <f t="shared" si="24"/>
        <v>0.15384615384615385</v>
      </c>
      <c r="R782" s="2129"/>
      <c r="S782" s="118" t="s">
        <v>235</v>
      </c>
      <c r="T782" s="119" t="s">
        <v>391</v>
      </c>
      <c r="U782" s="855"/>
      <c r="V782" s="2164"/>
      <c r="W782" s="720" t="s">
        <v>49</v>
      </c>
      <c r="X782" s="291" t="s">
        <v>664</v>
      </c>
      <c r="Y782" s="169">
        <f>((112000*$R$774)+($R$775*12)+$R$778+$R$776+$T$781)*(1+$T$783)</f>
        <v>13286.805744276922</v>
      </c>
      <c r="Z782" s="169">
        <f>Y782-Y780</f>
        <v>1948.5132276000004</v>
      </c>
      <c r="AA782" s="576">
        <f>(12-11)*$P$775</f>
        <v>813.92516000000001</v>
      </c>
      <c r="AB782" s="918"/>
      <c r="AC782" s="26"/>
      <c r="AD782" s="24"/>
      <c r="AE782" s="26"/>
      <c r="AF782" s="105"/>
      <c r="AG782" s="26"/>
      <c r="AH782" s="957"/>
      <c r="AI782" s="957"/>
      <c r="AJ782" s="957"/>
      <c r="AK782" s="957"/>
      <c r="AL782" s="957"/>
      <c r="AM782" s="957"/>
      <c r="AN782" s="957"/>
      <c r="AO782" s="957"/>
      <c r="AP782" s="957"/>
      <c r="AQ782" s="957"/>
      <c r="AR782" s="957"/>
      <c r="AS782" s="957"/>
      <c r="AT782" s="957"/>
      <c r="AU782" s="957"/>
      <c r="AV782" s="957"/>
      <c r="AW782" s="957"/>
      <c r="AX782" s="957"/>
      <c r="AY782" s="957"/>
      <c r="AZ782" s="957"/>
      <c r="BA782" s="957"/>
      <c r="BB782" s="957"/>
      <c r="BC782" s="957"/>
      <c r="BD782" s="957"/>
      <c r="BE782" s="957"/>
      <c r="BF782" s="957"/>
      <c r="BG782" s="957"/>
    </row>
    <row r="783" spans="1:123" ht="30.75" thickBot="1">
      <c r="A783" s="2172"/>
      <c r="B783" s="993" t="s">
        <v>194</v>
      </c>
      <c r="C783" s="41"/>
      <c r="D783" s="26"/>
      <c r="E783" s="26"/>
      <c r="F783" s="26"/>
      <c r="G783" s="26"/>
      <c r="H783" s="26"/>
      <c r="I783" s="26"/>
      <c r="J783" s="186"/>
      <c r="K783" s="184"/>
      <c r="L783" s="186"/>
      <c r="M783" s="184"/>
      <c r="N783" s="1220"/>
      <c r="O783" s="481"/>
      <c r="P783" s="481"/>
      <c r="Q783" s="391"/>
      <c r="R783" s="392"/>
      <c r="S783" s="394">
        <v>1573.57</v>
      </c>
      <c r="T783" s="421">
        <v>0.2</v>
      </c>
      <c r="U783" s="870"/>
      <c r="V783" s="24"/>
      <c r="W783" s="26"/>
      <c r="X783" s="26"/>
      <c r="Y783" s="26"/>
      <c r="Z783" s="370"/>
      <c r="AA783" s="370"/>
      <c r="AC783" s="26"/>
      <c r="AD783" s="240"/>
      <c r="AE783" s="764"/>
      <c r="AF783" s="377"/>
      <c r="AG783" s="184"/>
      <c r="AH783" s="1037"/>
      <c r="AI783" s="957"/>
      <c r="AJ783" s="957"/>
      <c r="AK783" s="957"/>
      <c r="AL783" s="957"/>
      <c r="AM783" s="957"/>
      <c r="AN783" s="957"/>
      <c r="AO783" s="957"/>
      <c r="AP783" s="957"/>
      <c r="AQ783" s="957"/>
      <c r="AR783" s="957"/>
      <c r="AS783" s="957"/>
      <c r="AT783" s="957"/>
      <c r="AU783" s="957"/>
      <c r="AV783" s="957"/>
      <c r="AW783" s="957"/>
      <c r="AX783" s="957"/>
      <c r="AY783" s="957"/>
      <c r="AZ783" s="957"/>
      <c r="BA783" s="957"/>
      <c r="BB783" s="957"/>
      <c r="BC783" s="957"/>
      <c r="BD783" s="957"/>
      <c r="BE783" s="957"/>
      <c r="BF783" s="957"/>
      <c r="BG783" s="957"/>
    </row>
    <row r="784" spans="1:123" s="705" customFormat="1" ht="9" customHeight="1" thickBot="1">
      <c r="A784" s="695"/>
      <c r="B784" s="815"/>
      <c r="C784" s="684"/>
      <c r="D784" s="683"/>
      <c r="E784" s="683"/>
      <c r="F784" s="683"/>
      <c r="G784" s="683"/>
      <c r="H784" s="683"/>
      <c r="I784" s="683"/>
      <c r="J784" s="682"/>
      <c r="K784" s="683"/>
      <c r="L784" s="682"/>
      <c r="M784" s="685"/>
      <c r="N784" s="1189"/>
      <c r="O784" s="686"/>
      <c r="P784" s="686"/>
      <c r="Q784" s="687"/>
      <c r="R784" s="687"/>
      <c r="S784" s="688"/>
      <c r="T784" s="688"/>
      <c r="U784" s="854"/>
      <c r="V784" s="893"/>
      <c r="W784" s="685"/>
      <c r="X784" s="685"/>
      <c r="Y784" s="688"/>
      <c r="Z784" s="688"/>
      <c r="AA784" s="688"/>
      <c r="AB784" s="846"/>
      <c r="AC784" s="685"/>
      <c r="AD784" s="685"/>
      <c r="AE784" s="685"/>
      <c r="AF784" s="689"/>
      <c r="AG784" s="685"/>
      <c r="AH784" s="958"/>
      <c r="AI784" s="958"/>
      <c r="AJ784" s="958"/>
      <c r="AK784" s="958"/>
      <c r="AL784" s="958"/>
      <c r="AM784" s="958"/>
      <c r="AN784" s="958"/>
      <c r="AO784" s="959"/>
      <c r="AP784" s="959"/>
      <c r="AQ784" s="959"/>
      <c r="AR784" s="959"/>
      <c r="AS784" s="959"/>
      <c r="AT784" s="959"/>
      <c r="AU784" s="959"/>
      <c r="AV784" s="959"/>
      <c r="AW784" s="959"/>
      <c r="AX784" s="959"/>
      <c r="AY784" s="959"/>
      <c r="AZ784" s="959"/>
      <c r="BA784" s="959"/>
      <c r="BB784" s="959"/>
      <c r="BC784" s="959"/>
      <c r="BD784" s="959"/>
      <c r="BE784" s="959"/>
      <c r="BF784" s="959"/>
      <c r="BG784" s="959"/>
      <c r="BH784" s="1125"/>
      <c r="CF784" s="692"/>
      <c r="CG784" s="692"/>
      <c r="CH784" s="692"/>
      <c r="CI784" s="692"/>
      <c r="CJ784" s="692"/>
      <c r="CK784" s="692"/>
      <c r="CL784" s="692"/>
      <c r="CM784" s="692"/>
      <c r="CN784" s="692"/>
      <c r="CO784" s="692"/>
      <c r="CP784" s="692"/>
      <c r="CQ784" s="692"/>
      <c r="CR784" s="692"/>
      <c r="CS784" s="692"/>
      <c r="CT784" s="692"/>
      <c r="CU784" s="692"/>
      <c r="CV784" s="692"/>
      <c r="CW784" s="692"/>
      <c r="CX784" s="692"/>
      <c r="CY784" s="692"/>
      <c r="CZ784" s="692"/>
      <c r="DA784" s="692"/>
      <c r="DB784" s="692"/>
      <c r="DC784" s="692"/>
      <c r="DD784" s="692"/>
      <c r="DE784" s="692"/>
      <c r="DF784" s="692"/>
      <c r="DG784" s="692"/>
      <c r="DH784" s="692"/>
      <c r="DI784" s="693"/>
      <c r="DJ784" s="692"/>
      <c r="DK784" s="692"/>
      <c r="DL784" s="692"/>
      <c r="DM784" s="692"/>
      <c r="DN784" s="692"/>
      <c r="DO784" s="692"/>
      <c r="DP784" s="692"/>
      <c r="DQ784" s="692"/>
      <c r="DR784" s="692"/>
      <c r="DS784" s="692"/>
    </row>
    <row r="785" spans="1:59" ht="30" customHeight="1">
      <c r="A785" s="2119" t="s">
        <v>1140</v>
      </c>
      <c r="B785" s="824" t="s">
        <v>713</v>
      </c>
      <c r="C785" s="981" t="s">
        <v>12</v>
      </c>
      <c r="D785" s="296" t="s">
        <v>548</v>
      </c>
      <c r="E785" s="296">
        <v>22</v>
      </c>
      <c r="F785" s="364">
        <v>1123.136</v>
      </c>
      <c r="G785" s="364">
        <v>819.11040000000003</v>
      </c>
      <c r="H785" s="360">
        <v>38864.39</v>
      </c>
      <c r="I785" s="361">
        <v>16676.259999999998</v>
      </c>
      <c r="J785" s="658" t="s">
        <v>14</v>
      </c>
      <c r="K785" s="1148" t="s">
        <v>714</v>
      </c>
      <c r="L785" s="1089" t="s">
        <v>15</v>
      </c>
      <c r="M785" s="1090" t="s">
        <v>15</v>
      </c>
      <c r="N785" s="1211">
        <v>13.3049</v>
      </c>
      <c r="O785" s="364">
        <v>5.36</v>
      </c>
      <c r="P785" s="364">
        <v>2.4811000000000001</v>
      </c>
      <c r="Q785" s="208" t="s">
        <v>15</v>
      </c>
      <c r="R785" s="535">
        <f>N785</f>
        <v>13.3049</v>
      </c>
      <c r="S785" s="127" t="s">
        <v>68</v>
      </c>
      <c r="T785" s="129" t="s">
        <v>69</v>
      </c>
      <c r="U785" s="858"/>
      <c r="V785" s="2162" t="s">
        <v>2749</v>
      </c>
      <c r="W785" s="720" t="s">
        <v>47</v>
      </c>
      <c r="X785" s="62" t="s">
        <v>557</v>
      </c>
      <c r="Y785" s="538">
        <f xml:space="preserve"> ((1400*$R$785)+(0.77*$R$786)+$R$787+$T$792)*(1+$T$794)</f>
        <v>4870.8566644679286</v>
      </c>
      <c r="Z785" s="423" t="s">
        <v>40</v>
      </c>
      <c r="AA785" s="411" t="s">
        <v>40</v>
      </c>
      <c r="AB785" s="848"/>
      <c r="AC785" s="26"/>
      <c r="AD785" s="24"/>
      <c r="AE785" s="26"/>
      <c r="AF785" s="231" t="s">
        <v>47</v>
      </c>
      <c r="AG785" s="729" t="s">
        <v>1163</v>
      </c>
      <c r="AH785" s="996">
        <f xml:space="preserve"> ((1400*$R$785)+(0.8*$R$786)+$R$787+$T$792)*1.2</f>
        <v>19886.312254067951</v>
      </c>
      <c r="AI785" s="955"/>
      <c r="AJ785" s="955">
        <f>10.54*1400</f>
        <v>14755.999999999998</v>
      </c>
      <c r="AK785" s="955">
        <f>11.89*1400</f>
        <v>16646</v>
      </c>
      <c r="AL785" s="955"/>
      <c r="AM785" s="955"/>
      <c r="AN785" s="956"/>
      <c r="AO785" s="957"/>
      <c r="AP785" s="957"/>
      <c r="AQ785" s="957"/>
      <c r="AR785" s="957"/>
      <c r="AS785" s="957"/>
      <c r="AT785" s="957"/>
      <c r="AU785" s="957"/>
      <c r="AV785" s="957"/>
      <c r="AW785" s="957"/>
      <c r="AX785" s="957"/>
      <c r="AY785" s="957"/>
      <c r="AZ785" s="957"/>
      <c r="BA785" s="957"/>
      <c r="BB785" s="957"/>
      <c r="BC785" s="957"/>
      <c r="BD785" s="957"/>
      <c r="BE785" s="957"/>
      <c r="BF785" s="957"/>
      <c r="BG785" s="957"/>
    </row>
    <row r="786" spans="1:59" ht="45">
      <c r="A786" s="2120"/>
      <c r="B786" s="824" t="s">
        <v>554</v>
      </c>
      <c r="C786" s="981" t="s">
        <v>12</v>
      </c>
      <c r="D786" s="296" t="s">
        <v>549</v>
      </c>
      <c r="E786" s="296">
        <v>22</v>
      </c>
      <c r="F786" s="378">
        <v>0.82237400000000005</v>
      </c>
      <c r="G786" s="378">
        <v>1.9252999999999999E-2</v>
      </c>
      <c r="H786" s="360">
        <v>38864.39</v>
      </c>
      <c r="I786" s="361">
        <v>16676.259999999998</v>
      </c>
      <c r="J786" s="1092" t="s">
        <v>12</v>
      </c>
      <c r="K786" s="1148" t="s">
        <v>715</v>
      </c>
      <c r="L786" s="1089" t="s">
        <v>15</v>
      </c>
      <c r="M786" s="1090" t="s">
        <v>15</v>
      </c>
      <c r="N786" s="1211">
        <v>417095.98859999998</v>
      </c>
      <c r="O786" s="364">
        <v>2.25</v>
      </c>
      <c r="P786" s="364">
        <v>185461.31099999999</v>
      </c>
      <c r="Q786" s="208" t="s">
        <v>15</v>
      </c>
      <c r="R786" s="535">
        <f>N786</f>
        <v>417095.98859999998</v>
      </c>
      <c r="S786" s="555" t="s">
        <v>630</v>
      </c>
      <c r="T786" s="556" t="s">
        <v>310</v>
      </c>
      <c r="U786" s="859"/>
      <c r="V786" s="2163"/>
      <c r="W786" s="720" t="s">
        <v>49</v>
      </c>
      <c r="X786" s="62" t="s">
        <v>555</v>
      </c>
      <c r="Y786" s="538">
        <f>( (1400*$R$785)+(0.85*$R$786)+$R$787+$T$792)*(1+$T$794)</f>
        <v>44912.071570067965</v>
      </c>
      <c r="Z786" s="538">
        <f>Y786-Y785</f>
        <v>40041.214905600034</v>
      </c>
      <c r="AA786" s="540">
        <f>(0.85-0.77)*$P$786</f>
        <v>14836.904879999991</v>
      </c>
      <c r="AB786" s="922"/>
      <c r="AC786" s="26"/>
      <c r="AD786" s="24"/>
      <c r="AE786" s="26"/>
      <c r="AF786" s="658" t="s">
        <v>49</v>
      </c>
      <c r="AG786" s="729" t="s">
        <v>1164</v>
      </c>
      <c r="AH786" s="996">
        <f>( (1400*$R$785)+(0.85*$R$786)+$R$787+$T$792)*1.2</f>
        <v>44912.071570067965</v>
      </c>
      <c r="AI786" s="955"/>
      <c r="AJ786" s="955">
        <f>37.87*1400</f>
        <v>53018</v>
      </c>
      <c r="AK786" s="955">
        <f>12.2*1400</f>
        <v>17080</v>
      </c>
      <c r="AL786" s="955"/>
      <c r="AM786" s="955"/>
      <c r="AN786" s="956">
        <v>17271</v>
      </c>
      <c r="AO786" s="957"/>
      <c r="AP786" s="957"/>
      <c r="AQ786" s="957"/>
      <c r="AR786" s="957"/>
      <c r="AS786" s="957"/>
      <c r="AT786" s="957"/>
      <c r="AU786" s="957"/>
      <c r="AV786" s="957"/>
      <c r="AW786" s="957"/>
      <c r="AX786" s="957"/>
      <c r="AY786" s="957"/>
      <c r="AZ786" s="957"/>
      <c r="BA786" s="957"/>
      <c r="BB786" s="957"/>
      <c r="BC786" s="957"/>
      <c r="BD786" s="957"/>
      <c r="BE786" s="957"/>
      <c r="BF786" s="957"/>
      <c r="BG786" s="957"/>
    </row>
    <row r="787" spans="1:59" ht="15" customHeight="1">
      <c r="A787" s="2120"/>
      <c r="B787" s="2161" t="s">
        <v>153</v>
      </c>
      <c r="C787" s="2144" t="s">
        <v>13</v>
      </c>
      <c r="D787" s="291" t="s">
        <v>550</v>
      </c>
      <c r="E787" s="86">
        <v>7</v>
      </c>
      <c r="F787" s="148" t="s">
        <v>15</v>
      </c>
      <c r="G787" s="148" t="s">
        <v>15</v>
      </c>
      <c r="H787" s="362">
        <v>50177.66</v>
      </c>
      <c r="I787" s="363">
        <v>15198.5</v>
      </c>
      <c r="J787" s="234" t="s">
        <v>15</v>
      </c>
      <c r="K787" s="233" t="s">
        <v>15</v>
      </c>
      <c r="L787" s="234" t="s">
        <v>15</v>
      </c>
      <c r="M787" s="233" t="s">
        <v>15</v>
      </c>
      <c r="N787" s="1194">
        <v>30808.0275</v>
      </c>
      <c r="O787" s="142">
        <v>4.83</v>
      </c>
      <c r="P787" s="142">
        <v>6377.8923000000004</v>
      </c>
      <c r="Q787" s="128">
        <v>0.04</v>
      </c>
      <c r="R787" s="2129">
        <f>SUMPRODUCT(Q787:Q790,N787:N790)</f>
        <v>6196.076598390001</v>
      </c>
      <c r="S787" s="127" t="s">
        <v>72</v>
      </c>
      <c r="T787" s="119" t="s">
        <v>119</v>
      </c>
      <c r="U787" s="855"/>
      <c r="V787" s="2163"/>
      <c r="W787" s="34" t="s">
        <v>49</v>
      </c>
      <c r="X787" s="291" t="s">
        <v>556</v>
      </c>
      <c r="Y787" s="169">
        <f xml:space="preserve"> ((1400*$R$785)+(0.85*$R$786)+$R$787+$T$792)*(1+$T$794)</f>
        <v>44912.071570067965</v>
      </c>
      <c r="Z787" s="169">
        <f>Y787-Y785</f>
        <v>40041.214905600034</v>
      </c>
      <c r="AA787" s="172">
        <f>(0.85-0.77)*$P$786</f>
        <v>14836.904879999991</v>
      </c>
      <c r="AB787" s="923"/>
      <c r="AC787" s="26"/>
      <c r="AD787" s="24"/>
      <c r="AE787" s="26"/>
      <c r="AF787" s="33" t="s">
        <v>49</v>
      </c>
      <c r="AG787" s="267" t="s">
        <v>1165</v>
      </c>
      <c r="AH787" s="158">
        <f xml:space="preserve"> ((600*$R$785)+(0.85*$R$786)+$R$787+$T$792)*1.2</f>
        <v>32139.367570067989</v>
      </c>
      <c r="AI787" s="955">
        <v>16473</v>
      </c>
      <c r="AJ787" s="955">
        <f>600*37.87</f>
        <v>22722</v>
      </c>
      <c r="AK787" s="955"/>
      <c r="AL787" s="955"/>
      <c r="AM787" s="955"/>
      <c r="AN787" s="956"/>
      <c r="AO787" s="957"/>
      <c r="AP787" s="957"/>
      <c r="AQ787" s="957"/>
      <c r="AR787" s="957"/>
      <c r="AS787" s="957"/>
      <c r="AT787" s="957"/>
      <c r="AU787" s="957"/>
      <c r="AV787" s="957"/>
      <c r="AW787" s="957"/>
      <c r="AX787" s="957"/>
      <c r="AY787" s="957"/>
      <c r="AZ787" s="957"/>
      <c r="BA787" s="957"/>
      <c r="BB787" s="957"/>
      <c r="BC787" s="957"/>
      <c r="BD787" s="957"/>
      <c r="BE787" s="957"/>
      <c r="BF787" s="957"/>
      <c r="BG787" s="957"/>
    </row>
    <row r="788" spans="1:59" ht="15" customHeight="1">
      <c r="A788" s="2120"/>
      <c r="B788" s="2161"/>
      <c r="C788" s="2144"/>
      <c r="D788" s="291" t="s">
        <v>551</v>
      </c>
      <c r="E788" s="86">
        <v>7</v>
      </c>
      <c r="F788" s="148" t="s">
        <v>15</v>
      </c>
      <c r="G788" s="148" t="s">
        <v>15</v>
      </c>
      <c r="H788" s="362">
        <v>36204.29</v>
      </c>
      <c r="I788" s="363">
        <v>11712.03</v>
      </c>
      <c r="J788" s="234" t="s">
        <v>15</v>
      </c>
      <c r="K788" s="233" t="s">
        <v>15</v>
      </c>
      <c r="L788" s="234" t="s">
        <v>15</v>
      </c>
      <c r="M788" s="233" t="s">
        <v>15</v>
      </c>
      <c r="N788" s="1194">
        <v>32634.815900000001</v>
      </c>
      <c r="O788" s="142">
        <v>3.61</v>
      </c>
      <c r="P788" s="142">
        <v>9029.1761000000006</v>
      </c>
      <c r="Q788" s="128">
        <v>0.15210000000000001</v>
      </c>
      <c r="R788" s="2129"/>
      <c r="S788" s="423" t="s">
        <v>1435</v>
      </c>
      <c r="T788" s="411" t="s">
        <v>140</v>
      </c>
      <c r="U788" s="859"/>
      <c r="V788" s="2163"/>
      <c r="W788" s="982" t="s">
        <v>47</v>
      </c>
      <c r="X788" s="291" t="s">
        <v>1157</v>
      </c>
      <c r="Y788" s="169">
        <f xml:space="preserve"> ((3000*$R$785)+(0.77*$R$786)+$R$787+$T$792)*(1+$T$794)</f>
        <v>30416.264664467959</v>
      </c>
      <c r="Z788" s="95" t="s">
        <v>40</v>
      </c>
      <c r="AA788" s="351" t="s">
        <v>40</v>
      </c>
      <c r="AB788" s="846"/>
      <c r="AC788" s="26"/>
      <c r="AD788" s="24"/>
      <c r="AE788" s="26"/>
      <c r="AF788" s="289" t="s">
        <v>47</v>
      </c>
      <c r="AG788" s="267" t="s">
        <v>1171</v>
      </c>
      <c r="AH788" s="158">
        <f xml:space="preserve"> ((1000*$R$785)+(0.8*$R$786)+$R$787+$T$792)*1.2</f>
        <v>13499.960254067997</v>
      </c>
      <c r="AI788" s="996"/>
      <c r="AJ788" s="996"/>
      <c r="AK788" s="996"/>
      <c r="AL788" s="955">
        <f>39540*1.2</f>
        <v>47448</v>
      </c>
      <c r="AM788" s="955">
        <f>21000*1.2</f>
        <v>25200</v>
      </c>
      <c r="AN788" s="956">
        <v>15089</v>
      </c>
      <c r="AO788" s="957"/>
      <c r="AP788" s="957"/>
      <c r="AQ788" s="957"/>
      <c r="AR788" s="957"/>
      <c r="AS788" s="957"/>
      <c r="AT788" s="957"/>
      <c r="AU788" s="957"/>
      <c r="AV788" s="957"/>
      <c r="AW788" s="957"/>
      <c r="AX788" s="957"/>
      <c r="AY788" s="957"/>
      <c r="AZ788" s="957"/>
      <c r="BA788" s="957"/>
      <c r="BB788" s="957"/>
      <c r="BC788" s="957"/>
      <c r="BD788" s="957"/>
      <c r="BE788" s="957"/>
      <c r="BF788" s="957"/>
      <c r="BG788" s="957"/>
    </row>
    <row r="789" spans="1:59" ht="15" customHeight="1">
      <c r="A789" s="2120"/>
      <c r="B789" s="2161"/>
      <c r="C789" s="2144"/>
      <c r="D789" s="291" t="s">
        <v>552</v>
      </c>
      <c r="E789" s="86">
        <v>5</v>
      </c>
      <c r="F789" s="148" t="s">
        <v>15</v>
      </c>
      <c r="G789" s="148" t="s">
        <v>15</v>
      </c>
      <c r="H789" s="362">
        <v>34951</v>
      </c>
      <c r="I789" s="363">
        <v>20687.599999999999</v>
      </c>
      <c r="J789" s="234" t="s">
        <v>15</v>
      </c>
      <c r="K789" s="233" t="s">
        <v>15</v>
      </c>
      <c r="L789" s="234" t="s">
        <v>15</v>
      </c>
      <c r="M789" s="233" t="s">
        <v>15</v>
      </c>
      <c r="N789" s="1194">
        <v>11676.4517</v>
      </c>
      <c r="O789" s="142">
        <v>1.76</v>
      </c>
      <c r="P789" s="142">
        <v>6652.1953999999996</v>
      </c>
      <c r="Q789" s="128">
        <v>0</v>
      </c>
      <c r="R789" s="2129"/>
      <c r="S789" s="127" t="s">
        <v>74</v>
      </c>
      <c r="T789" s="129" t="s">
        <v>75</v>
      </c>
      <c r="U789" s="858"/>
      <c r="V789" s="2163"/>
      <c r="W789" s="34" t="s">
        <v>49</v>
      </c>
      <c r="X789" s="291" t="s">
        <v>1158</v>
      </c>
      <c r="Y789" s="169">
        <f xml:space="preserve"> ((3000*$R$785)+(0.8*$R$786)+$R$787+$T$792)*(1+$T$794)</f>
        <v>45431.720254067979</v>
      </c>
      <c r="Z789" s="169">
        <f>Y789-Y788</f>
        <v>15015.45558960002</v>
      </c>
      <c r="AA789" s="172">
        <f>(0.8-0.77)*$P$786</f>
        <v>5563.8393300000043</v>
      </c>
      <c r="AB789" s="923"/>
      <c r="AC789" s="26"/>
      <c r="AD789" s="24"/>
      <c r="AE789" s="26"/>
      <c r="AF789" s="33" t="s">
        <v>49</v>
      </c>
      <c r="AG789" s="267" t="s">
        <v>1166</v>
      </c>
      <c r="AH789" s="158">
        <f xml:space="preserve"> ((3000*$R$785)+(0.77*$R$786)+$R$787+$T$792)*1.2</f>
        <v>30416.264664467959</v>
      </c>
      <c r="AI789" s="955"/>
      <c r="AJ789" s="955"/>
      <c r="AK789" s="955">
        <f>11.09*3000</f>
        <v>33270</v>
      </c>
      <c r="AL789" s="955"/>
      <c r="AM789" s="955"/>
      <c r="AN789" s="956">
        <v>26724</v>
      </c>
      <c r="AO789" s="957"/>
      <c r="AP789" s="957"/>
      <c r="AQ789" s="957"/>
      <c r="AR789" s="957"/>
      <c r="AS789" s="957"/>
      <c r="AT789" s="957"/>
      <c r="AU789" s="957"/>
      <c r="AV789" s="957"/>
      <c r="AW789" s="957"/>
      <c r="AX789" s="957"/>
      <c r="AY789" s="957"/>
      <c r="AZ789" s="957"/>
      <c r="BA789" s="957"/>
      <c r="BB789" s="957"/>
      <c r="BC789" s="957"/>
      <c r="BD789" s="957"/>
      <c r="BE789" s="957"/>
      <c r="BF789" s="957"/>
      <c r="BG789" s="957"/>
    </row>
    <row r="790" spans="1:59" ht="15" customHeight="1">
      <c r="A790" s="2120"/>
      <c r="B790" s="2161"/>
      <c r="C790" s="2144"/>
      <c r="D790" s="292" t="s">
        <v>553</v>
      </c>
      <c r="E790" s="86">
        <v>3</v>
      </c>
      <c r="F790" s="148" t="s">
        <v>15</v>
      </c>
      <c r="G790" s="148" t="s">
        <v>15</v>
      </c>
      <c r="H790" s="362">
        <v>25196</v>
      </c>
      <c r="I790" s="363">
        <v>12973.76</v>
      </c>
      <c r="J790" s="234" t="s">
        <v>15</v>
      </c>
      <c r="K790" s="233" t="s">
        <v>15</v>
      </c>
      <c r="L790" s="234" t="s">
        <v>15</v>
      </c>
      <c r="M790" s="233" t="s">
        <v>15</v>
      </c>
      <c r="N790" s="537">
        <v>0</v>
      </c>
      <c r="O790" s="146" t="s">
        <v>204</v>
      </c>
      <c r="P790" s="146" t="s">
        <v>204</v>
      </c>
      <c r="Q790" s="128">
        <v>1.0999999999999999E-2</v>
      </c>
      <c r="R790" s="2129"/>
      <c r="S790" s="95">
        <v>22</v>
      </c>
      <c r="T790" s="117" t="s">
        <v>15</v>
      </c>
      <c r="U790" s="854"/>
      <c r="V790" s="2163"/>
      <c r="W790" s="34" t="s">
        <v>49</v>
      </c>
      <c r="X790" s="291" t="s">
        <v>1159</v>
      </c>
      <c r="Y790" s="169">
        <f xml:space="preserve"> ((3000*$R$785)+(0.8*$R$786)+$R$787+$T$792)*(1+$T$794)</f>
        <v>45431.720254067979</v>
      </c>
      <c r="Z790" s="169">
        <f>Y790-Y788</f>
        <v>15015.45558960002</v>
      </c>
      <c r="AA790" s="172">
        <f>(0.8-0.77)*$P$786</f>
        <v>5563.8393300000043</v>
      </c>
      <c r="AB790" s="923"/>
      <c r="AC790" s="26"/>
      <c r="AD790" s="24"/>
      <c r="AE790" s="26"/>
      <c r="AF790" s="33" t="s">
        <v>49</v>
      </c>
      <c r="AG790" s="267" t="s">
        <v>1167</v>
      </c>
      <c r="AH790" s="158">
        <f xml:space="preserve"> ((3000*$R$785)+(0.8*$R$786)+$R$787+$T$792)*1.2</f>
        <v>45431.720254067979</v>
      </c>
      <c r="AI790" s="955"/>
      <c r="AJ790" s="955"/>
      <c r="AK790" s="955">
        <f>11.09*3000</f>
        <v>33270</v>
      </c>
      <c r="AL790" s="996">
        <f>105000*1.2</f>
        <v>126000</v>
      </c>
      <c r="AM790" s="955">
        <f>40000*1.2</f>
        <v>48000</v>
      </c>
      <c r="AN790" s="956"/>
      <c r="AO790" s="957"/>
      <c r="AP790" s="957"/>
      <c r="AQ790" s="957"/>
      <c r="AR790" s="957"/>
      <c r="AS790" s="957"/>
      <c r="AT790" s="957"/>
      <c r="AU790" s="957"/>
      <c r="AV790" s="957"/>
      <c r="AW790" s="957"/>
      <c r="AX790" s="957"/>
      <c r="AY790" s="957"/>
      <c r="AZ790" s="957"/>
      <c r="BA790" s="957"/>
      <c r="BB790" s="957"/>
      <c r="BC790" s="957"/>
      <c r="BD790" s="957"/>
      <c r="BE790" s="957"/>
      <c r="BF790" s="957"/>
      <c r="BG790" s="957"/>
    </row>
    <row r="791" spans="1:59" ht="15" customHeight="1">
      <c r="A791" s="2120"/>
      <c r="B791" s="2116" t="s">
        <v>194</v>
      </c>
      <c r="C791" s="41"/>
      <c r="D791" s="26"/>
      <c r="E791" s="26"/>
      <c r="F791" s="26"/>
      <c r="G791" s="26"/>
      <c r="H791" s="26"/>
      <c r="I791" s="26"/>
      <c r="J791" s="75"/>
      <c r="K791" s="26"/>
      <c r="L791" s="1168"/>
      <c r="M791" s="39"/>
      <c r="N791" s="1210"/>
      <c r="O791" s="475"/>
      <c r="P791" s="475"/>
      <c r="Q791" s="252"/>
      <c r="R791" s="252"/>
      <c r="S791" s="127" t="s">
        <v>41</v>
      </c>
      <c r="T791" s="125" t="s">
        <v>42</v>
      </c>
      <c r="U791" s="858"/>
      <c r="V791" s="2163"/>
      <c r="W791" s="982" t="s">
        <v>47</v>
      </c>
      <c r="X791" s="291" t="s">
        <v>1162</v>
      </c>
      <c r="Y791" s="169">
        <f xml:space="preserve"> ((250*$R$785)+(0.8*$R$786)+$R$787+$T$792)*(1+$T$794)</f>
        <v>1525.5502540679415</v>
      </c>
      <c r="Z791" s="95" t="s">
        <v>40</v>
      </c>
      <c r="AA791" s="351" t="s">
        <v>40</v>
      </c>
      <c r="AB791" s="846"/>
      <c r="AC791" s="26"/>
      <c r="AD791" s="24"/>
      <c r="AE791" s="26"/>
      <c r="AF791" s="289" t="s">
        <v>47</v>
      </c>
      <c r="AG791" s="267" t="s">
        <v>1168</v>
      </c>
      <c r="AH791" s="158">
        <f xml:space="preserve"> ((250*$R$785)+(0.8*$R$786)+$R$787+$T$792)*1.2</f>
        <v>1525.5502540679415</v>
      </c>
      <c r="AI791" s="955">
        <v>3270</v>
      </c>
      <c r="AJ791" s="955"/>
      <c r="AK791" s="955">
        <f>19.53*200</f>
        <v>3906</v>
      </c>
      <c r="AL791" s="955"/>
      <c r="AM791" s="955"/>
      <c r="AN791" s="956">
        <v>2795</v>
      </c>
      <c r="AO791" s="957"/>
      <c r="AP791" s="957"/>
      <c r="AQ791" s="957"/>
      <c r="AR791" s="957"/>
      <c r="AS791" s="957"/>
      <c r="AT791" s="957"/>
      <c r="AU791" s="957"/>
      <c r="AV791" s="957"/>
      <c r="AW791" s="957"/>
      <c r="AX791" s="957"/>
      <c r="AY791" s="957"/>
      <c r="AZ791" s="957"/>
      <c r="BA791" s="957"/>
      <c r="BB791" s="957"/>
      <c r="BC791" s="957"/>
      <c r="BD791" s="957"/>
      <c r="BE791" s="957"/>
      <c r="BF791" s="957"/>
      <c r="BG791" s="957"/>
    </row>
    <row r="792" spans="1:59" ht="15" customHeight="1">
      <c r="A792" s="2120"/>
      <c r="B792" s="2117"/>
      <c r="C792" s="41"/>
      <c r="D792" s="26"/>
      <c r="E792" s="26"/>
      <c r="F792" s="26"/>
      <c r="G792" s="26"/>
      <c r="H792" s="26"/>
      <c r="I792" s="26"/>
      <c r="J792" s="75"/>
      <c r="K792" s="26"/>
      <c r="L792" s="75"/>
      <c r="M792" s="26"/>
      <c r="N792" s="1210"/>
      <c r="O792" s="475"/>
      <c r="P792" s="475"/>
      <c r="Q792" s="252"/>
      <c r="R792" s="252"/>
      <c r="S792" s="359">
        <v>0.77548600000000001</v>
      </c>
      <c r="T792" s="157">
        <v>-341927.80060000002</v>
      </c>
      <c r="U792" s="861"/>
      <c r="V792" s="2163"/>
      <c r="W792" s="34" t="s">
        <v>49</v>
      </c>
      <c r="X792" s="291" t="s">
        <v>1161</v>
      </c>
      <c r="Y792" s="169">
        <f>( (250*$R$785)+(0.82*$R$786)+$R$787+$T$792)*(1+$T$794)</f>
        <v>11535.853980467933</v>
      </c>
      <c r="Z792" s="169">
        <f>Y792-Y791</f>
        <v>10010.303726399992</v>
      </c>
      <c r="AA792" s="172">
        <f>(0.82-0.8)*$P$786</f>
        <v>3709.2262199999823</v>
      </c>
      <c r="AB792" s="923"/>
      <c r="AC792" s="26"/>
      <c r="AD792" s="24"/>
      <c r="AE792" s="26"/>
      <c r="AF792" s="33" t="s">
        <v>49</v>
      </c>
      <c r="AG792" s="267" t="s">
        <v>1169</v>
      </c>
      <c r="AH792" s="158">
        <f>( (250*$R$785)+(0.82*$R$786)+$R$787+$T$792)*1.2</f>
        <v>11535.853980467933</v>
      </c>
      <c r="AI792" s="955"/>
      <c r="AJ792" s="955"/>
      <c r="AK792" s="955">
        <f>20.9*250</f>
        <v>5225</v>
      </c>
      <c r="AL792" s="955"/>
      <c r="AM792" s="955"/>
      <c r="AN792" s="956"/>
      <c r="AO792" s="957"/>
      <c r="AP792" s="957"/>
      <c r="AQ792" s="957"/>
      <c r="AR792" s="957"/>
      <c r="AS792" s="957"/>
      <c r="AT792" s="957"/>
      <c r="AU792" s="957"/>
      <c r="AV792" s="957"/>
      <c r="AW792" s="957"/>
      <c r="AX792" s="957"/>
      <c r="AY792" s="957"/>
      <c r="AZ792" s="957"/>
      <c r="BA792" s="957"/>
      <c r="BB792" s="957"/>
      <c r="BC792" s="957"/>
      <c r="BD792" s="957"/>
      <c r="BE792" s="957"/>
      <c r="BF792" s="957"/>
      <c r="BG792" s="957"/>
    </row>
    <row r="793" spans="1:59" ht="15" customHeight="1">
      <c r="A793" s="2120"/>
      <c r="B793" s="2117"/>
      <c r="C793" s="41"/>
      <c r="D793" s="26"/>
      <c r="E793" s="26"/>
      <c r="F793" s="26"/>
      <c r="G793" s="26"/>
      <c r="H793" s="26"/>
      <c r="I793" s="26"/>
      <c r="J793" s="75"/>
      <c r="K793" s="26"/>
      <c r="L793" s="75"/>
      <c r="M793" s="26"/>
      <c r="N793" s="1210"/>
      <c r="O793" s="475"/>
      <c r="P793" s="475"/>
      <c r="Q793" s="252"/>
      <c r="R793" s="252"/>
      <c r="S793" s="118" t="s">
        <v>235</v>
      </c>
      <c r="T793" s="119" t="s">
        <v>391</v>
      </c>
      <c r="U793" s="855"/>
      <c r="V793" s="2164"/>
      <c r="W793" s="34" t="s">
        <v>49</v>
      </c>
      <c r="X793" s="291" t="s">
        <v>1160</v>
      </c>
      <c r="Y793" s="169">
        <f>((250*$R$785)+(0.82*$R$786)+$R$787+$T$792)*(1+$T$794)</f>
        <v>11535.853980467933</v>
      </c>
      <c r="Z793" s="169">
        <f>Y793-Y791</f>
        <v>10010.303726399992</v>
      </c>
      <c r="AA793" s="172">
        <f>(0.82-0.8)*$P$786</f>
        <v>3709.2262199999823</v>
      </c>
      <c r="AB793" s="923"/>
      <c r="AC793" s="26"/>
      <c r="AD793" s="24"/>
      <c r="AE793" s="26"/>
      <c r="AF793" s="33" t="s">
        <v>49</v>
      </c>
      <c r="AG793" s="267" t="s">
        <v>1170</v>
      </c>
      <c r="AH793" s="158">
        <f>((200*$R$785)+(0.82*$R$786)+$R$787+$T$792)*1.2</f>
        <v>10737.559980467939</v>
      </c>
      <c r="AI793" s="955"/>
      <c r="AJ793" s="955"/>
      <c r="AK793" s="955"/>
      <c r="AL793" s="955">
        <f>7000*1.2</f>
        <v>8400</v>
      </c>
      <c r="AM793" s="955">
        <f>15000*1.2</f>
        <v>18000</v>
      </c>
      <c r="AN793" s="956"/>
      <c r="AO793" s="957"/>
      <c r="AP793" s="957"/>
      <c r="AQ793" s="957"/>
      <c r="AR793" s="957"/>
      <c r="AS793" s="957"/>
      <c r="AT793" s="957"/>
      <c r="AU793" s="957"/>
      <c r="AV793" s="957"/>
      <c r="AW793" s="957"/>
      <c r="AX793" s="957"/>
      <c r="AY793" s="957"/>
      <c r="AZ793" s="957"/>
      <c r="BA793" s="957"/>
      <c r="BB793" s="957"/>
      <c r="BC793" s="957"/>
      <c r="BD793" s="957"/>
      <c r="BE793" s="957"/>
      <c r="BF793" s="957"/>
      <c r="BG793" s="957"/>
    </row>
    <row r="794" spans="1:59" ht="15.75" customHeight="1">
      <c r="A794" s="2120"/>
      <c r="B794" s="2117"/>
      <c r="C794" s="41"/>
      <c r="D794" s="26"/>
      <c r="E794" s="26"/>
      <c r="F794" s="26"/>
      <c r="G794" s="26"/>
      <c r="H794" s="26"/>
      <c r="I794" s="26"/>
      <c r="J794" s="75"/>
      <c r="K794" s="26"/>
      <c r="L794" s="75"/>
      <c r="M794" s="26"/>
      <c r="N794" s="1210"/>
      <c r="O794" s="475"/>
      <c r="P794" s="475"/>
      <c r="Q794" s="252"/>
      <c r="R794" s="252"/>
      <c r="S794" s="1242">
        <v>6020.8720000000003</v>
      </c>
      <c r="T794" s="235">
        <v>0.2</v>
      </c>
      <c r="U794" s="862"/>
      <c r="V794" s="22"/>
      <c r="W794" s="26"/>
      <c r="X794" s="26"/>
      <c r="Y794" s="26"/>
      <c r="Z794" s="27"/>
      <c r="AA794" s="837"/>
      <c r="AC794" s="26"/>
      <c r="AD794" s="24"/>
      <c r="AE794" s="26"/>
      <c r="AF794" s="75"/>
      <c r="AG794" s="730"/>
      <c r="AH794" s="957"/>
      <c r="AI794" s="957"/>
      <c r="AJ794" s="957"/>
      <c r="AK794" s="957"/>
      <c r="AL794" s="957"/>
      <c r="AM794" s="957"/>
      <c r="AN794" s="957"/>
      <c r="AO794" s="957"/>
      <c r="AP794" s="957"/>
      <c r="AQ794" s="957"/>
      <c r="AR794" s="957"/>
      <c r="AS794" s="957"/>
      <c r="AT794" s="957"/>
      <c r="AU794" s="957"/>
      <c r="AV794" s="957"/>
      <c r="AW794" s="957"/>
      <c r="AX794" s="957"/>
      <c r="AY794" s="957"/>
      <c r="AZ794" s="957"/>
      <c r="BA794" s="957"/>
      <c r="BB794" s="957"/>
      <c r="BC794" s="957"/>
      <c r="BD794" s="957"/>
      <c r="BE794" s="957"/>
      <c r="BF794" s="957"/>
      <c r="BG794" s="957"/>
    </row>
    <row r="795" spans="1:59" ht="19.5" customHeight="1">
      <c r="A795" s="2120"/>
      <c r="B795" s="2117"/>
      <c r="C795" s="41"/>
      <c r="D795" s="26"/>
      <c r="E795" s="26"/>
      <c r="F795" s="26"/>
      <c r="G795" s="26"/>
      <c r="H795" s="26"/>
      <c r="I795" s="26"/>
      <c r="J795" s="75"/>
      <c r="K795" s="26"/>
      <c r="L795" s="75"/>
      <c r="M795" s="26"/>
      <c r="N795" s="1210"/>
      <c r="O795" s="475"/>
      <c r="P795" s="475"/>
      <c r="Q795" s="252"/>
      <c r="R795" s="252"/>
      <c r="S795" s="1243"/>
      <c r="T795" s="1244"/>
      <c r="U795" s="862"/>
      <c r="V795" s="24"/>
      <c r="W795" s="26"/>
      <c r="X795" s="26"/>
      <c r="Y795" s="26"/>
      <c r="Z795" s="26"/>
      <c r="AA795" s="909"/>
      <c r="AC795" s="26"/>
      <c r="AD795" s="24"/>
      <c r="AE795" s="782"/>
      <c r="AF795" s="75"/>
      <c r="AG795" s="730"/>
      <c r="AH795" s="957"/>
      <c r="AI795" s="957"/>
      <c r="AJ795" s="957"/>
      <c r="AK795" s="957"/>
      <c r="AL795" s="957"/>
      <c r="AM795" s="957"/>
      <c r="AN795" s="957"/>
      <c r="AO795" s="957"/>
      <c r="AP795" s="957"/>
      <c r="AQ795" s="957"/>
      <c r="AR795" s="957"/>
      <c r="AS795" s="957"/>
      <c r="AT795" s="957"/>
      <c r="AU795" s="957"/>
      <c r="AV795" s="957"/>
      <c r="AW795" s="957"/>
      <c r="AX795" s="957"/>
      <c r="AY795" s="957"/>
      <c r="AZ795" s="957"/>
      <c r="BA795" s="957"/>
      <c r="BB795" s="957"/>
      <c r="BC795" s="957"/>
      <c r="BD795" s="957"/>
      <c r="BE795" s="957"/>
      <c r="BF795" s="957"/>
      <c r="BG795" s="957"/>
    </row>
    <row r="796" spans="1:59" ht="19.5" customHeight="1">
      <c r="A796" s="2120"/>
      <c r="B796" s="2117"/>
      <c r="C796" s="41"/>
      <c r="D796" s="26"/>
      <c r="E796" s="26"/>
      <c r="F796" s="26"/>
      <c r="G796" s="26"/>
      <c r="H796" s="26"/>
      <c r="I796" s="26"/>
      <c r="J796" s="75"/>
      <c r="K796" s="26"/>
      <c r="L796" s="75"/>
      <c r="M796" s="26"/>
      <c r="N796" s="1210"/>
      <c r="O796" s="475"/>
      <c r="P796" s="475"/>
      <c r="Q796" s="252"/>
      <c r="R796" s="252"/>
      <c r="S796" s="1245"/>
      <c r="T796" s="1246"/>
      <c r="U796" s="862"/>
      <c r="V796" s="24"/>
      <c r="W796" s="26"/>
      <c r="X796" s="26"/>
      <c r="Y796" s="26"/>
      <c r="Z796" s="26"/>
      <c r="AA796" s="909"/>
      <c r="AC796" s="26"/>
      <c r="AD796" s="24"/>
      <c r="AE796" s="782"/>
      <c r="AF796" s="75"/>
      <c r="AG796" s="730"/>
      <c r="AH796" s="957"/>
      <c r="AI796" s="957"/>
      <c r="AJ796" s="957"/>
      <c r="AK796" s="957"/>
      <c r="AL796" s="957"/>
      <c r="AM796" s="957"/>
      <c r="AN796" s="957"/>
      <c r="AO796" s="957"/>
      <c r="AP796" s="957"/>
      <c r="AQ796" s="957"/>
      <c r="AR796" s="957"/>
      <c r="AS796" s="957"/>
      <c r="AT796" s="957"/>
      <c r="AU796" s="957"/>
      <c r="AV796" s="957"/>
      <c r="AW796" s="957"/>
      <c r="AX796" s="957"/>
      <c r="AY796" s="957"/>
      <c r="AZ796" s="957"/>
      <c r="BA796" s="957"/>
      <c r="BB796" s="957"/>
      <c r="BC796" s="957"/>
      <c r="BD796" s="957"/>
      <c r="BE796" s="957"/>
      <c r="BF796" s="957"/>
      <c r="BG796" s="957"/>
    </row>
    <row r="797" spans="1:59" ht="19.5" customHeight="1">
      <c r="A797" s="2120"/>
      <c r="B797" s="2117"/>
      <c r="C797" s="41"/>
      <c r="D797" s="26"/>
      <c r="E797" s="26"/>
      <c r="F797" s="26"/>
      <c r="G797" s="26"/>
      <c r="H797" s="26"/>
      <c r="I797" s="26"/>
      <c r="J797" s="75"/>
      <c r="K797" s="26"/>
      <c r="L797" s="75"/>
      <c r="M797" s="26"/>
      <c r="N797" s="1210"/>
      <c r="O797" s="475"/>
      <c r="P797" s="475"/>
      <c r="Q797" s="252"/>
      <c r="R797" s="252"/>
      <c r="S797" s="1245"/>
      <c r="T797" s="1246"/>
      <c r="U797" s="862"/>
      <c r="V797" s="24"/>
      <c r="W797" s="26"/>
      <c r="X797" s="26"/>
      <c r="Y797" s="26"/>
      <c r="Z797" s="26"/>
      <c r="AA797" s="909"/>
      <c r="AC797" s="26"/>
      <c r="AD797" s="24"/>
      <c r="AE797" s="782"/>
      <c r="AF797" s="75"/>
      <c r="AG797" s="730"/>
      <c r="AH797" s="957"/>
      <c r="AI797" s="957"/>
      <c r="AJ797" s="957"/>
      <c r="AK797" s="957"/>
      <c r="AL797" s="957"/>
      <c r="AM797" s="957"/>
      <c r="AN797" s="957"/>
      <c r="AO797" s="957"/>
      <c r="AP797" s="957"/>
      <c r="AQ797" s="957"/>
      <c r="AR797" s="957"/>
      <c r="AS797" s="957"/>
      <c r="AT797" s="957"/>
      <c r="AU797" s="957"/>
      <c r="AV797" s="957"/>
      <c r="AW797" s="957"/>
      <c r="AX797" s="957"/>
      <c r="AY797" s="957"/>
      <c r="AZ797" s="957"/>
      <c r="BA797" s="957"/>
      <c r="BB797" s="957"/>
      <c r="BC797" s="957"/>
      <c r="BD797" s="957"/>
      <c r="BE797" s="957"/>
      <c r="BF797" s="957"/>
      <c r="BG797" s="957"/>
    </row>
    <row r="798" spans="1:59" ht="19.5" customHeight="1">
      <c r="A798" s="2120"/>
      <c r="B798" s="2117"/>
      <c r="C798" s="41"/>
      <c r="D798" s="26"/>
      <c r="E798" s="26"/>
      <c r="F798" s="26"/>
      <c r="G798" s="26"/>
      <c r="H798" s="26"/>
      <c r="I798" s="26"/>
      <c r="J798" s="75"/>
      <c r="K798" s="26"/>
      <c r="L798" s="75"/>
      <c r="M798" s="26"/>
      <c r="N798" s="1210"/>
      <c r="O798" s="475"/>
      <c r="P798" s="475"/>
      <c r="Q798" s="252"/>
      <c r="R798" s="252"/>
      <c r="S798" s="1245"/>
      <c r="T798" s="1246"/>
      <c r="U798" s="862"/>
      <c r="V798" s="24"/>
      <c r="W798" s="26"/>
      <c r="X798" s="26"/>
      <c r="Y798" s="26"/>
      <c r="Z798" s="26"/>
      <c r="AA798" s="909"/>
      <c r="AC798" s="26"/>
      <c r="AD798" s="24"/>
      <c r="AE798" s="782"/>
      <c r="AF798" s="75"/>
      <c r="AG798" s="730"/>
      <c r="AH798" s="957"/>
      <c r="AI798" s="957"/>
      <c r="AJ798" s="957"/>
      <c r="AK798" s="957"/>
      <c r="AL798" s="957"/>
      <c r="AM798" s="957"/>
      <c r="AN798" s="957"/>
      <c r="AO798" s="957"/>
      <c r="AP798" s="957"/>
      <c r="AQ798" s="957"/>
      <c r="AR798" s="957"/>
      <c r="AS798" s="957"/>
      <c r="AT798" s="957"/>
      <c r="AU798" s="957"/>
      <c r="AV798" s="957"/>
      <c r="AW798" s="957"/>
      <c r="AX798" s="957"/>
      <c r="AY798" s="957"/>
      <c r="AZ798" s="957"/>
      <c r="BA798" s="957"/>
      <c r="BB798" s="957"/>
      <c r="BC798" s="957"/>
      <c r="BD798" s="957"/>
      <c r="BE798" s="957"/>
      <c r="BF798" s="957"/>
      <c r="BG798" s="957"/>
    </row>
    <row r="799" spans="1:59" ht="19.5" customHeight="1">
      <c r="A799" s="2120"/>
      <c r="B799" s="2117"/>
      <c r="C799" s="41"/>
      <c r="D799" s="26"/>
      <c r="E799" s="26"/>
      <c r="F799" s="26"/>
      <c r="G799" s="26"/>
      <c r="H799" s="26"/>
      <c r="I799" s="26"/>
      <c r="J799" s="75"/>
      <c r="K799" s="26"/>
      <c r="L799" s="75"/>
      <c r="M799" s="26"/>
      <c r="N799" s="1210"/>
      <c r="O799" s="475"/>
      <c r="P799" s="475"/>
      <c r="Q799" s="252"/>
      <c r="R799" s="252"/>
      <c r="S799" s="1245"/>
      <c r="T799" s="1246"/>
      <c r="U799" s="862"/>
      <c r="V799" s="24"/>
      <c r="W799" s="26"/>
      <c r="X799" s="26"/>
      <c r="Y799" s="26"/>
      <c r="Z799" s="26"/>
      <c r="AA799" s="909"/>
      <c r="AC799" s="26"/>
      <c r="AD799" s="24"/>
      <c r="AE799" s="782"/>
      <c r="AF799" s="75"/>
      <c r="AG799" s="730"/>
      <c r="AH799" s="957"/>
      <c r="AI799" s="957"/>
      <c r="AJ799" s="957"/>
      <c r="AK799" s="957"/>
      <c r="AL799" s="957"/>
      <c r="AM799" s="957"/>
      <c r="AN799" s="957"/>
      <c r="AO799" s="957"/>
      <c r="AP799" s="957"/>
      <c r="AQ799" s="957"/>
      <c r="AR799" s="957"/>
      <c r="AS799" s="957"/>
      <c r="AT799" s="957"/>
      <c r="AU799" s="957"/>
      <c r="AV799" s="957"/>
      <c r="AW799" s="957"/>
      <c r="AX799" s="957"/>
      <c r="AY799" s="957"/>
      <c r="AZ799" s="957"/>
      <c r="BA799" s="957"/>
      <c r="BB799" s="957"/>
      <c r="BC799" s="957"/>
      <c r="BD799" s="957"/>
      <c r="BE799" s="957"/>
      <c r="BF799" s="957"/>
      <c r="BG799" s="957"/>
    </row>
    <row r="800" spans="1:59" ht="19.5" customHeight="1">
      <c r="A800" s="2120"/>
      <c r="B800" s="2117"/>
      <c r="C800" s="41"/>
      <c r="D800" s="26"/>
      <c r="E800" s="26"/>
      <c r="F800" s="26"/>
      <c r="G800" s="26"/>
      <c r="H800" s="26"/>
      <c r="I800" s="26"/>
      <c r="J800" s="75"/>
      <c r="K800" s="26"/>
      <c r="L800" s="75"/>
      <c r="M800" s="26"/>
      <c r="N800" s="1210"/>
      <c r="O800" s="475"/>
      <c r="P800" s="475"/>
      <c r="Q800" s="252"/>
      <c r="R800" s="252"/>
      <c r="S800" s="1245"/>
      <c r="T800" s="1246"/>
      <c r="U800" s="862"/>
      <c r="V800" s="24"/>
      <c r="W800" s="26"/>
      <c r="X800" s="26"/>
      <c r="Y800" s="26"/>
      <c r="Z800" s="26"/>
      <c r="AA800" s="909"/>
      <c r="AC800" s="26"/>
      <c r="AD800" s="24"/>
      <c r="AE800" s="782"/>
      <c r="AF800" s="75"/>
      <c r="AG800" s="730"/>
      <c r="AH800" s="957"/>
      <c r="AI800" s="957"/>
      <c r="AJ800" s="957"/>
      <c r="AK800" s="957"/>
      <c r="AL800" s="957"/>
      <c r="AM800" s="957"/>
      <c r="AN800" s="957"/>
      <c r="AO800" s="957"/>
      <c r="AP800" s="957"/>
      <c r="AQ800" s="957"/>
      <c r="AR800" s="957"/>
      <c r="AS800" s="957"/>
      <c r="AT800" s="957"/>
      <c r="AU800" s="957"/>
      <c r="AV800" s="957"/>
      <c r="AW800" s="957"/>
      <c r="AX800" s="957"/>
      <c r="AY800" s="957"/>
      <c r="AZ800" s="957"/>
      <c r="BA800" s="957"/>
      <c r="BB800" s="957"/>
      <c r="BC800" s="957"/>
      <c r="BD800" s="957"/>
      <c r="BE800" s="957"/>
      <c r="BF800" s="957"/>
      <c r="BG800" s="957"/>
    </row>
    <row r="801" spans="1:123" ht="19.5" customHeight="1">
      <c r="A801" s="2120"/>
      <c r="B801" s="2117"/>
      <c r="C801" s="41"/>
      <c r="D801" s="26"/>
      <c r="E801" s="26"/>
      <c r="F801" s="26"/>
      <c r="G801" s="26"/>
      <c r="H801" s="26"/>
      <c r="I801" s="26"/>
      <c r="J801" s="75"/>
      <c r="K801" s="26"/>
      <c r="L801" s="75"/>
      <c r="M801" s="26"/>
      <c r="N801" s="1210"/>
      <c r="O801" s="475"/>
      <c r="P801" s="475"/>
      <c r="Q801" s="252"/>
      <c r="R801" s="252"/>
      <c r="S801" s="1245"/>
      <c r="T801" s="1246"/>
      <c r="U801" s="862"/>
      <c r="V801" s="24"/>
      <c r="W801" s="26"/>
      <c r="X801" s="26"/>
      <c r="Y801" s="26"/>
      <c r="Z801" s="26"/>
      <c r="AA801" s="909"/>
      <c r="AC801" s="26"/>
      <c r="AD801" s="24"/>
      <c r="AE801" s="782"/>
      <c r="AF801" s="75"/>
      <c r="AG801" s="730"/>
      <c r="AH801" s="957"/>
      <c r="AI801" s="957"/>
      <c r="AJ801" s="957"/>
      <c r="AK801" s="957"/>
      <c r="AL801" s="957"/>
      <c r="AM801" s="957"/>
      <c r="AN801" s="957"/>
      <c r="AO801" s="957"/>
      <c r="AP801" s="957"/>
      <c r="AQ801" s="957"/>
      <c r="AR801" s="957"/>
      <c r="AS801" s="957"/>
      <c r="AT801" s="957"/>
      <c r="AU801" s="957"/>
      <c r="AV801" s="957"/>
      <c r="AW801" s="957"/>
      <c r="AX801" s="957"/>
      <c r="AY801" s="957"/>
      <c r="AZ801" s="957"/>
      <c r="BA801" s="957"/>
      <c r="BB801" s="957"/>
      <c r="BC801" s="957"/>
      <c r="BD801" s="957"/>
      <c r="BE801" s="957"/>
      <c r="BF801" s="957"/>
      <c r="BG801" s="957"/>
    </row>
    <row r="802" spans="1:123" ht="19.5" customHeight="1">
      <c r="A802" s="2120"/>
      <c r="B802" s="2117"/>
      <c r="C802" s="41"/>
      <c r="D802" s="26"/>
      <c r="E802" s="26"/>
      <c r="F802" s="26"/>
      <c r="G802" s="26"/>
      <c r="H802" s="26"/>
      <c r="I802" s="26"/>
      <c r="J802" s="75"/>
      <c r="K802" s="26"/>
      <c r="L802" s="75"/>
      <c r="M802" s="26"/>
      <c r="N802" s="1210"/>
      <c r="O802" s="475"/>
      <c r="P802" s="475"/>
      <c r="Q802" s="252"/>
      <c r="R802" s="252"/>
      <c r="S802" s="1245"/>
      <c r="T802" s="1246"/>
      <c r="U802" s="862"/>
      <c r="V802" s="24"/>
      <c r="W802" s="26"/>
      <c r="X802" s="26"/>
      <c r="Y802" s="26"/>
      <c r="Z802" s="26"/>
      <c r="AA802" s="909"/>
      <c r="AC802" s="26"/>
      <c r="AD802" s="24"/>
      <c r="AE802" s="782"/>
      <c r="AF802" s="75"/>
      <c r="AG802" s="730"/>
      <c r="AH802" s="957"/>
      <c r="AI802" s="957"/>
      <c r="AJ802" s="957"/>
      <c r="AK802" s="957"/>
      <c r="AL802" s="957"/>
      <c r="AM802" s="957"/>
      <c r="AN802" s="957"/>
      <c r="AO802" s="957"/>
      <c r="AP802" s="957"/>
      <c r="AQ802" s="957"/>
      <c r="AR802" s="957"/>
      <c r="AS802" s="957"/>
      <c r="AT802" s="957"/>
      <c r="AU802" s="957"/>
      <c r="AV802" s="957"/>
      <c r="AW802" s="957"/>
      <c r="AX802" s="957"/>
      <c r="AY802" s="957"/>
      <c r="AZ802" s="957"/>
      <c r="BA802" s="957"/>
      <c r="BB802" s="957"/>
      <c r="BC802" s="957"/>
      <c r="BD802" s="957"/>
      <c r="BE802" s="957"/>
      <c r="BF802" s="957"/>
      <c r="BG802" s="957"/>
    </row>
    <row r="803" spans="1:123" ht="19.5" customHeight="1">
      <c r="A803" s="2120"/>
      <c r="B803" s="2117"/>
      <c r="C803" s="41"/>
      <c r="D803" s="26"/>
      <c r="E803" s="26"/>
      <c r="F803" s="26"/>
      <c r="G803" s="26"/>
      <c r="H803" s="26"/>
      <c r="I803" s="26"/>
      <c r="J803" s="75"/>
      <c r="K803" s="26"/>
      <c r="L803" s="75"/>
      <c r="M803" s="26"/>
      <c r="N803" s="1210"/>
      <c r="O803" s="475"/>
      <c r="P803" s="475"/>
      <c r="Q803" s="252"/>
      <c r="R803" s="252"/>
      <c r="S803" s="1245"/>
      <c r="T803" s="1246"/>
      <c r="U803" s="862"/>
      <c r="V803" s="24"/>
      <c r="W803" s="26"/>
      <c r="X803" s="26"/>
      <c r="Y803" s="26"/>
      <c r="Z803" s="26"/>
      <c r="AA803" s="909"/>
      <c r="AC803" s="26"/>
      <c r="AD803" s="24"/>
      <c r="AE803" s="782"/>
      <c r="AF803" s="75"/>
      <c r="AG803" s="730"/>
      <c r="AH803" s="957"/>
      <c r="AI803" s="957"/>
      <c r="AJ803" s="957"/>
      <c r="AK803" s="957"/>
      <c r="AL803" s="957"/>
      <c r="AM803" s="957"/>
      <c r="AN803" s="957"/>
      <c r="AO803" s="957"/>
      <c r="AP803" s="957"/>
      <c r="AQ803" s="957"/>
      <c r="AR803" s="957"/>
      <c r="AS803" s="957"/>
      <c r="AT803" s="957"/>
      <c r="AU803" s="957"/>
      <c r="AV803" s="957"/>
      <c r="AW803" s="957"/>
      <c r="AX803" s="957"/>
      <c r="AY803" s="957"/>
      <c r="AZ803" s="957"/>
      <c r="BA803" s="957"/>
      <c r="BB803" s="957"/>
      <c r="BC803" s="957"/>
      <c r="BD803" s="957"/>
      <c r="BE803" s="957"/>
      <c r="BF803" s="957"/>
      <c r="BG803" s="957"/>
    </row>
    <row r="804" spans="1:123" ht="19.5" customHeight="1">
      <c r="A804" s="2120"/>
      <c r="B804" s="2117"/>
      <c r="C804" s="41"/>
      <c r="D804" s="26"/>
      <c r="E804" s="26"/>
      <c r="F804" s="26"/>
      <c r="G804" s="26"/>
      <c r="H804" s="26"/>
      <c r="I804" s="26"/>
      <c r="J804" s="75"/>
      <c r="K804" s="26"/>
      <c r="L804" s="75"/>
      <c r="M804" s="26"/>
      <c r="N804" s="1210"/>
      <c r="O804" s="475"/>
      <c r="P804" s="475"/>
      <c r="Q804" s="252"/>
      <c r="R804" s="252"/>
      <c r="S804" s="1245"/>
      <c r="T804" s="1246"/>
      <c r="U804" s="862"/>
      <c r="V804" s="24"/>
      <c r="W804" s="26"/>
      <c r="X804" s="26"/>
      <c r="Y804" s="26"/>
      <c r="Z804" s="26"/>
      <c r="AA804" s="909"/>
      <c r="AC804" s="26"/>
      <c r="AD804" s="24"/>
      <c r="AE804" s="782"/>
      <c r="AF804" s="75"/>
      <c r="AG804" s="730"/>
      <c r="AH804" s="957"/>
      <c r="AI804" s="957"/>
      <c r="AJ804" s="957"/>
      <c r="AK804" s="957"/>
      <c r="AL804" s="957"/>
      <c r="AM804" s="957"/>
      <c r="AN804" s="957"/>
      <c r="AO804" s="957"/>
      <c r="AP804" s="957"/>
      <c r="AQ804" s="957"/>
      <c r="AR804" s="957"/>
      <c r="AS804" s="957"/>
      <c r="AT804" s="957"/>
      <c r="AU804" s="957"/>
      <c r="AV804" s="957"/>
      <c r="AW804" s="957"/>
      <c r="AX804" s="957"/>
      <c r="AY804" s="957"/>
      <c r="AZ804" s="957"/>
      <c r="BA804" s="957"/>
      <c r="BB804" s="957"/>
      <c r="BC804" s="957"/>
      <c r="BD804" s="957"/>
      <c r="BE804" s="957"/>
      <c r="BF804" s="957"/>
      <c r="BG804" s="957"/>
    </row>
    <row r="805" spans="1:123" ht="19.5" customHeight="1" thickBot="1">
      <c r="A805" s="2125"/>
      <c r="B805" s="2118"/>
      <c r="C805" s="41"/>
      <c r="D805" s="26"/>
      <c r="E805" s="26"/>
      <c r="F805" s="26"/>
      <c r="G805" s="26"/>
      <c r="H805" s="26"/>
      <c r="I805" s="26"/>
      <c r="J805" s="75"/>
      <c r="K805" s="26"/>
      <c r="L805" s="75"/>
      <c r="M805" s="26"/>
      <c r="N805" s="1210"/>
      <c r="O805" s="475"/>
      <c r="P805" s="475"/>
      <c r="Q805" s="252"/>
      <c r="R805" s="252"/>
      <c r="S805" s="1247"/>
      <c r="T805" s="1248"/>
      <c r="U805" s="862"/>
      <c r="V805" s="896"/>
      <c r="W805" s="26"/>
      <c r="X805" s="26"/>
      <c r="Y805" s="26"/>
      <c r="Z805" s="764"/>
      <c r="AA805" s="916"/>
      <c r="AC805" s="26"/>
      <c r="AD805" s="896"/>
      <c r="AE805" s="1101"/>
      <c r="AF805" s="75"/>
      <c r="AG805" s="730"/>
      <c r="AH805" s="957"/>
      <c r="AI805" s="957"/>
      <c r="AJ805" s="957"/>
      <c r="AK805" s="957"/>
      <c r="AL805" s="957"/>
      <c r="AM805" s="957"/>
      <c r="AN805" s="957"/>
      <c r="AO805" s="957"/>
      <c r="AP805" s="957"/>
      <c r="AQ805" s="957"/>
      <c r="AR805" s="957"/>
      <c r="AS805" s="957"/>
      <c r="AT805" s="957"/>
      <c r="AU805" s="957"/>
      <c r="AV805" s="957"/>
      <c r="AW805" s="957"/>
      <c r="AX805" s="957"/>
      <c r="AY805" s="957"/>
      <c r="AZ805" s="957"/>
      <c r="BA805" s="957"/>
      <c r="BB805" s="957"/>
      <c r="BC805" s="957"/>
      <c r="BD805" s="957"/>
      <c r="BE805" s="957"/>
      <c r="BF805" s="957"/>
      <c r="BG805" s="957"/>
    </row>
    <row r="806" spans="1:123" s="705" customFormat="1" ht="9" customHeight="1" thickBot="1">
      <c r="A806" s="695"/>
      <c r="B806" s="815"/>
      <c r="C806" s="684"/>
      <c r="D806" s="683"/>
      <c r="E806" s="683"/>
      <c r="F806" s="683"/>
      <c r="G806" s="683"/>
      <c r="H806" s="683"/>
      <c r="I806" s="683"/>
      <c r="J806" s="682"/>
      <c r="K806" s="683"/>
      <c r="L806" s="682"/>
      <c r="M806" s="685"/>
      <c r="N806" s="1189"/>
      <c r="O806" s="686"/>
      <c r="P806" s="686"/>
      <c r="Q806" s="687"/>
      <c r="R806" s="687"/>
      <c r="S806" s="688"/>
      <c r="T806" s="688"/>
      <c r="U806" s="854"/>
      <c r="V806" s="893"/>
      <c r="W806" s="685"/>
      <c r="X806" s="685"/>
      <c r="Y806" s="688"/>
      <c r="Z806" s="688"/>
      <c r="AA806" s="688"/>
      <c r="AB806" s="846"/>
      <c r="AC806" s="685"/>
      <c r="AD806" s="685"/>
      <c r="AE806" s="685"/>
      <c r="AF806" s="689"/>
      <c r="AG806" s="685"/>
      <c r="AH806" s="958"/>
      <c r="AI806" s="958"/>
      <c r="AJ806" s="958"/>
      <c r="AK806" s="959"/>
      <c r="AL806" s="959"/>
      <c r="AM806" s="959"/>
      <c r="AN806" s="959"/>
      <c r="AO806" s="959"/>
      <c r="AP806" s="959"/>
      <c r="AQ806" s="959"/>
      <c r="AR806" s="959"/>
      <c r="AS806" s="959"/>
      <c r="AT806" s="959"/>
      <c r="AU806" s="959"/>
      <c r="AV806" s="959"/>
      <c r="AW806" s="959"/>
      <c r="AX806" s="959"/>
      <c r="AY806" s="959"/>
      <c r="AZ806" s="959"/>
      <c r="BA806" s="959"/>
      <c r="BB806" s="959"/>
      <c r="BC806" s="959"/>
      <c r="BD806" s="959"/>
      <c r="BE806" s="959"/>
      <c r="BF806" s="959"/>
      <c r="BG806" s="959"/>
      <c r="BH806" s="1125"/>
      <c r="CF806" s="692"/>
      <c r="CG806" s="692"/>
      <c r="CH806" s="692"/>
      <c r="CI806" s="692"/>
      <c r="CJ806" s="692"/>
      <c r="CK806" s="692"/>
      <c r="CL806" s="692"/>
      <c r="CM806" s="692"/>
      <c r="CN806" s="692"/>
      <c r="CO806" s="692"/>
      <c r="CP806" s="692"/>
      <c r="CQ806" s="692"/>
      <c r="CR806" s="692"/>
      <c r="CS806" s="692"/>
      <c r="CT806" s="692"/>
      <c r="CU806" s="692"/>
      <c r="CV806" s="692"/>
      <c r="CW806" s="692"/>
      <c r="CX806" s="692"/>
      <c r="CY806" s="692"/>
      <c r="CZ806" s="692"/>
      <c r="DA806" s="692"/>
      <c r="DB806" s="692"/>
      <c r="DC806" s="692"/>
      <c r="DD806" s="692"/>
      <c r="DE806" s="692"/>
      <c r="DF806" s="692"/>
      <c r="DG806" s="692"/>
      <c r="DH806" s="692"/>
      <c r="DI806" s="693"/>
      <c r="DJ806" s="692"/>
      <c r="DK806" s="692"/>
      <c r="DL806" s="692"/>
      <c r="DM806" s="692"/>
      <c r="DN806" s="692"/>
      <c r="DO806" s="692"/>
      <c r="DP806" s="692"/>
      <c r="DQ806" s="692"/>
      <c r="DR806" s="692"/>
      <c r="DS806" s="692"/>
    </row>
    <row r="807" spans="1:123">
      <c r="A807" s="2171" t="s">
        <v>828</v>
      </c>
      <c r="B807" s="816" t="s">
        <v>394</v>
      </c>
      <c r="C807" s="809" t="s">
        <v>12</v>
      </c>
      <c r="D807" s="401" t="s">
        <v>814</v>
      </c>
      <c r="E807" s="401">
        <v>39</v>
      </c>
      <c r="F807" s="601">
        <v>360.25639999999999</v>
      </c>
      <c r="G807" s="601">
        <v>229.18029999999999</v>
      </c>
      <c r="H807" s="367">
        <v>35842.44</v>
      </c>
      <c r="I807" s="368">
        <v>22568.32</v>
      </c>
      <c r="J807" s="268" t="s">
        <v>15</v>
      </c>
      <c r="K807" s="132" t="s">
        <v>15</v>
      </c>
      <c r="L807" s="268" t="s">
        <v>15</v>
      </c>
      <c r="M807" s="132" t="s">
        <v>15</v>
      </c>
      <c r="N807" s="1193">
        <v>85.731930000000006</v>
      </c>
      <c r="O807" s="427">
        <v>14.26</v>
      </c>
      <c r="P807" s="427">
        <v>6.0100889999999998</v>
      </c>
      <c r="Q807" s="275" t="s">
        <v>15</v>
      </c>
      <c r="R807" s="258">
        <f>N807</f>
        <v>85.731930000000006</v>
      </c>
      <c r="S807" s="428" t="s">
        <v>68</v>
      </c>
      <c r="T807" s="125" t="s">
        <v>69</v>
      </c>
      <c r="U807" s="858"/>
      <c r="V807" s="2162" t="s">
        <v>2749</v>
      </c>
      <c r="W807" s="232" t="s">
        <v>47</v>
      </c>
      <c r="X807" s="232" t="s">
        <v>817</v>
      </c>
      <c r="Y807" s="305" t="s">
        <v>40</v>
      </c>
      <c r="Z807" s="305" t="s">
        <v>40</v>
      </c>
      <c r="AA807" s="577"/>
      <c r="AB807" s="918"/>
      <c r="AC807" s="26"/>
      <c r="AD807" s="24"/>
      <c r="AE807" s="26"/>
      <c r="AF807" s="218" t="s">
        <v>47</v>
      </c>
      <c r="AG807" s="232" t="s">
        <v>817</v>
      </c>
      <c r="AH807" s="158"/>
      <c r="AI807" s="158"/>
      <c r="AJ807" s="158"/>
      <c r="AK807" s="957"/>
      <c r="AL807" s="957"/>
      <c r="AM807" s="957"/>
      <c r="AN807" s="957"/>
      <c r="AO807" s="957"/>
      <c r="AP807" s="957"/>
      <c r="AQ807" s="957"/>
      <c r="AR807" s="957"/>
      <c r="AS807" s="957"/>
      <c r="AT807" s="957"/>
      <c r="AU807" s="957"/>
      <c r="AV807" s="957"/>
      <c r="AW807" s="957"/>
      <c r="AX807" s="957"/>
      <c r="AY807" s="957"/>
      <c r="AZ807" s="957"/>
      <c r="BA807" s="957"/>
      <c r="BB807" s="957"/>
      <c r="BC807" s="957"/>
      <c r="BD807" s="957"/>
      <c r="BE807" s="957"/>
      <c r="BF807" s="957"/>
      <c r="BG807" s="957"/>
    </row>
    <row r="808" spans="1:123">
      <c r="A808" s="2172"/>
      <c r="B808" s="2161" t="s">
        <v>153</v>
      </c>
      <c r="C808" s="2144" t="s">
        <v>13</v>
      </c>
      <c r="D808" s="291" t="s">
        <v>815</v>
      </c>
      <c r="E808" s="86">
        <v>20</v>
      </c>
      <c r="F808" s="195" t="s">
        <v>15</v>
      </c>
      <c r="G808" s="195" t="s">
        <v>15</v>
      </c>
      <c r="H808" s="367">
        <v>28651.1</v>
      </c>
      <c r="I808" s="368">
        <v>16363.41</v>
      </c>
      <c r="J808" s="234" t="s">
        <v>15</v>
      </c>
      <c r="K808" s="233" t="s">
        <v>15</v>
      </c>
      <c r="L808" s="234" t="s">
        <v>15</v>
      </c>
      <c r="M808" s="233" t="s">
        <v>15</v>
      </c>
      <c r="N808" s="537">
        <v>0</v>
      </c>
      <c r="O808" s="593" t="s">
        <v>40</v>
      </c>
      <c r="P808" s="593" t="s">
        <v>40</v>
      </c>
      <c r="Q808" s="587">
        <f>E808/E807</f>
        <v>0.51282051282051277</v>
      </c>
      <c r="R808" s="2129">
        <f>SUMPRODUCT(Q808:Q809,N808:N809)</f>
        <v>-8026.672676666667</v>
      </c>
      <c r="S808" s="324" t="s">
        <v>630</v>
      </c>
      <c r="T808" s="556" t="s">
        <v>310</v>
      </c>
      <c r="U808" s="859"/>
      <c r="V808" s="2163"/>
      <c r="W808" s="982" t="s">
        <v>49</v>
      </c>
      <c r="X808" s="291" t="s">
        <v>818</v>
      </c>
      <c r="Y808" s="169">
        <f>(($R$807*100)+$R$808+$T$814)*(1+$T$816)</f>
        <v>16743.128428</v>
      </c>
      <c r="Z808" s="169">
        <f t="shared" ref="Z808:Z814" si="25">Y808</f>
        <v>16743.128428</v>
      </c>
      <c r="AA808" s="576">
        <f t="shared" ref="AA808:AA814" si="26">$S$816/$H$807*Z808</f>
        <v>2886.5949140148437</v>
      </c>
      <c r="AB808" s="918"/>
      <c r="AC808" s="26"/>
      <c r="AD808" s="24"/>
      <c r="AE808" s="26"/>
      <c r="AF808" s="289" t="s">
        <v>49</v>
      </c>
      <c r="AG808" s="291" t="s">
        <v>818</v>
      </c>
      <c r="AH808" s="158">
        <f t="shared" ref="AH808:AH814" si="27">Y808</f>
        <v>16743.128428</v>
      </c>
      <c r="AI808" s="158"/>
      <c r="AJ808" s="158">
        <f>10500*1.2</f>
        <v>12600</v>
      </c>
      <c r="AK808" s="957"/>
      <c r="AL808" s="957"/>
      <c r="AM808" s="957"/>
      <c r="AN808" s="957"/>
      <c r="AO808" s="957"/>
      <c r="AP808" s="957"/>
      <c r="AQ808" s="957"/>
      <c r="AR808" s="957"/>
      <c r="AS808" s="957"/>
      <c r="AT808" s="957"/>
      <c r="AU808" s="957"/>
      <c r="AV808" s="957"/>
      <c r="AW808" s="957"/>
      <c r="AX808" s="957"/>
      <c r="AY808" s="957"/>
      <c r="AZ808" s="957"/>
      <c r="BA808" s="957"/>
      <c r="BB808" s="957"/>
      <c r="BC808" s="957"/>
      <c r="BD808" s="957"/>
      <c r="BE808" s="957"/>
      <c r="BF808" s="957"/>
      <c r="BG808" s="957"/>
    </row>
    <row r="809" spans="1:123">
      <c r="A809" s="2172"/>
      <c r="B809" s="2161"/>
      <c r="C809" s="2144"/>
      <c r="D809" s="291" t="s">
        <v>816</v>
      </c>
      <c r="E809" s="86">
        <v>19</v>
      </c>
      <c r="F809" s="195" t="s">
        <v>15</v>
      </c>
      <c r="G809" s="195" t="s">
        <v>15</v>
      </c>
      <c r="H809" s="367">
        <v>43412.26</v>
      </c>
      <c r="I809" s="368">
        <v>25974.33</v>
      </c>
      <c r="J809" s="234" t="s">
        <v>15</v>
      </c>
      <c r="K809" s="233" t="s">
        <v>15</v>
      </c>
      <c r="L809" s="234" t="s">
        <v>15</v>
      </c>
      <c r="M809" s="233" t="s">
        <v>15</v>
      </c>
      <c r="N809" s="1194">
        <v>-16475.801810000001</v>
      </c>
      <c r="O809" s="142">
        <v>-6.06</v>
      </c>
      <c r="P809" s="142">
        <v>2720.1355720000001</v>
      </c>
      <c r="Q809" s="587">
        <f>E809/E807</f>
        <v>0.48717948717948717</v>
      </c>
      <c r="R809" s="2129"/>
      <c r="S809" s="135" t="s">
        <v>72</v>
      </c>
      <c r="T809" s="201" t="s">
        <v>119</v>
      </c>
      <c r="U809" s="855"/>
      <c r="V809" s="2163"/>
      <c r="W809" s="982" t="s">
        <v>49</v>
      </c>
      <c r="X809" s="291" t="s">
        <v>819</v>
      </c>
      <c r="Y809" s="169">
        <f>(($R$807*200)+$R$808+$T$814)*(1+$T$816)</f>
        <v>27030.960028000005</v>
      </c>
      <c r="Z809" s="169">
        <f t="shared" si="25"/>
        <v>27030.960028000005</v>
      </c>
      <c r="AA809" s="576">
        <f t="shared" si="26"/>
        <v>4660.2659755793247</v>
      </c>
      <c r="AB809" s="918"/>
      <c r="AC809" s="26"/>
      <c r="AD809" s="24"/>
      <c r="AE809" s="26"/>
      <c r="AF809" s="289" t="s">
        <v>49</v>
      </c>
      <c r="AG809" s="291" t="s">
        <v>819</v>
      </c>
      <c r="AH809" s="158">
        <f t="shared" si="27"/>
        <v>27030.960028000005</v>
      </c>
      <c r="AI809" s="158"/>
      <c r="AJ809" s="158"/>
      <c r="AK809" s="957"/>
      <c r="AL809" s="957"/>
      <c r="AM809" s="957"/>
      <c r="AN809" s="957"/>
      <c r="AO809" s="957"/>
      <c r="AP809" s="957"/>
      <c r="AQ809" s="957"/>
      <c r="AR809" s="957"/>
      <c r="AS809" s="957"/>
      <c r="AT809" s="957"/>
      <c r="AU809" s="957"/>
      <c r="AV809" s="957"/>
      <c r="AW809" s="957"/>
      <c r="AX809" s="957"/>
      <c r="AY809" s="957"/>
      <c r="AZ809" s="957"/>
      <c r="BA809" s="957"/>
      <c r="BB809" s="957"/>
      <c r="BC809" s="957"/>
      <c r="BD809" s="957"/>
      <c r="BE809" s="957"/>
      <c r="BF809" s="957"/>
      <c r="BG809" s="957"/>
    </row>
    <row r="810" spans="1:123" ht="15" customHeight="1">
      <c r="A810" s="2172"/>
      <c r="B810" s="2116" t="s">
        <v>194</v>
      </c>
      <c r="C810" s="41"/>
      <c r="D810" s="26"/>
      <c r="E810" s="26"/>
      <c r="F810" s="26"/>
      <c r="G810" s="26"/>
      <c r="H810" s="26"/>
      <c r="I810" s="26"/>
      <c r="J810" s="75"/>
      <c r="K810" s="26"/>
      <c r="L810" s="75"/>
      <c r="M810" s="26"/>
      <c r="N810" s="1210"/>
      <c r="O810" s="475"/>
      <c r="P810" s="475"/>
      <c r="Q810" s="252"/>
      <c r="R810" s="252"/>
      <c r="S810" s="423" t="s">
        <v>139</v>
      </c>
      <c r="T810" s="202" t="s">
        <v>140</v>
      </c>
      <c r="U810" s="859"/>
      <c r="V810" s="2163"/>
      <c r="W810" s="982" t="s">
        <v>49</v>
      </c>
      <c r="X810" s="291" t="s">
        <v>820</v>
      </c>
      <c r="Y810" s="169">
        <f>(($R$807*300)+$R$808+$T$814)*(1+$T$816)</f>
        <v>37318.791627999999</v>
      </c>
      <c r="Z810" s="169">
        <f t="shared" si="25"/>
        <v>37318.791627999999</v>
      </c>
      <c r="AA810" s="576">
        <f t="shared" si="26"/>
        <v>6433.9370371438044</v>
      </c>
      <c r="AB810" s="918"/>
      <c r="AC810" s="26"/>
      <c r="AD810" s="24"/>
      <c r="AE810" s="26"/>
      <c r="AF810" s="289" t="s">
        <v>49</v>
      </c>
      <c r="AG810" s="291" t="s">
        <v>820</v>
      </c>
      <c r="AH810" s="158">
        <f t="shared" si="27"/>
        <v>37318.791627999999</v>
      </c>
      <c r="AI810" s="158">
        <v>62700</v>
      </c>
      <c r="AJ810" s="158">
        <f>31500*1.2</f>
        <v>37800</v>
      </c>
      <c r="AK810" s="957"/>
      <c r="AL810" s="957"/>
      <c r="AM810" s="957"/>
      <c r="AN810" s="957"/>
      <c r="AO810" s="957"/>
      <c r="AP810" s="957"/>
      <c r="AQ810" s="957"/>
      <c r="AR810" s="957"/>
      <c r="AS810" s="957"/>
      <c r="AT810" s="957"/>
      <c r="AU810" s="957"/>
      <c r="AV810" s="957"/>
      <c r="AW810" s="957"/>
      <c r="AX810" s="957"/>
      <c r="AY810" s="957"/>
      <c r="AZ810" s="957"/>
      <c r="BA810" s="957"/>
      <c r="BB810" s="957"/>
      <c r="BC810" s="957"/>
      <c r="BD810" s="957"/>
      <c r="BE810" s="957"/>
      <c r="BF810" s="957"/>
      <c r="BG810" s="957"/>
    </row>
    <row r="811" spans="1:123">
      <c r="A811" s="2172"/>
      <c r="B811" s="2117"/>
      <c r="C811" s="41"/>
      <c r="D811" s="26"/>
      <c r="E811" s="26"/>
      <c r="F811" s="26"/>
      <c r="G811" s="26"/>
      <c r="H811" s="26"/>
      <c r="I811" s="26"/>
      <c r="J811" s="75"/>
      <c r="K811" s="26"/>
      <c r="L811" s="75"/>
      <c r="M811" s="26"/>
      <c r="N811" s="1210"/>
      <c r="O811" s="475"/>
      <c r="P811" s="475"/>
      <c r="Q811" s="252"/>
      <c r="R811" s="252"/>
      <c r="S811" s="127" t="s">
        <v>74</v>
      </c>
      <c r="T811" s="203" t="s">
        <v>75</v>
      </c>
      <c r="U811" s="858"/>
      <c r="V811" s="2163"/>
      <c r="W811" s="982" t="s">
        <v>49</v>
      </c>
      <c r="X811" s="291" t="s">
        <v>821</v>
      </c>
      <c r="Y811" s="169">
        <f>(($R$807*400)+$R$808+$T$814)*(1+$T$816)</f>
        <v>47606.623228000004</v>
      </c>
      <c r="Z811" s="169">
        <f t="shared" si="25"/>
        <v>47606.623228000004</v>
      </c>
      <c r="AA811" s="576">
        <f t="shared" si="26"/>
        <v>8207.608098708286</v>
      </c>
      <c r="AB811" s="918"/>
      <c r="AC811" s="26"/>
      <c r="AD811" s="24"/>
      <c r="AE811" s="26"/>
      <c r="AF811" s="289" t="s">
        <v>49</v>
      </c>
      <c r="AG811" s="291" t="s">
        <v>821</v>
      </c>
      <c r="AH811" s="158">
        <f t="shared" si="27"/>
        <v>47606.623228000004</v>
      </c>
      <c r="AI811" s="158">
        <v>81700</v>
      </c>
      <c r="AJ811" s="158"/>
      <c r="AK811" s="957"/>
      <c r="AL811" s="957"/>
      <c r="AM811" s="957"/>
      <c r="AN811" s="957"/>
      <c r="AO811" s="957"/>
      <c r="AP811" s="957"/>
      <c r="AQ811" s="957"/>
      <c r="AR811" s="957"/>
      <c r="AS811" s="957"/>
      <c r="AT811" s="957"/>
      <c r="AU811" s="957"/>
      <c r="AV811" s="957"/>
      <c r="AW811" s="957"/>
      <c r="AX811" s="957"/>
      <c r="AY811" s="957"/>
      <c r="AZ811" s="957"/>
      <c r="BA811" s="957"/>
      <c r="BB811" s="957"/>
      <c r="BC811" s="957"/>
      <c r="BD811" s="957"/>
      <c r="BE811" s="957"/>
      <c r="BF811" s="957"/>
      <c r="BG811" s="957"/>
    </row>
    <row r="812" spans="1:123">
      <c r="A812" s="2172"/>
      <c r="B812" s="2117"/>
      <c r="C812" s="41"/>
      <c r="D812" s="26"/>
      <c r="E812" s="26"/>
      <c r="F812" s="26"/>
      <c r="G812" s="26"/>
      <c r="H812" s="26"/>
      <c r="I812" s="26"/>
      <c r="J812" s="75"/>
      <c r="K812" s="26"/>
      <c r="L812" s="75"/>
      <c r="M812" s="26"/>
      <c r="N812" s="1210"/>
      <c r="O812" s="475"/>
      <c r="P812" s="475"/>
      <c r="Q812" s="252"/>
      <c r="R812" s="252"/>
      <c r="S812" s="86">
        <f>E807</f>
        <v>39</v>
      </c>
      <c r="T812" s="204" t="s">
        <v>15</v>
      </c>
      <c r="U812" s="854"/>
      <c r="V812" s="2163"/>
      <c r="W812" s="982" t="s">
        <v>49</v>
      </c>
      <c r="X812" s="291" t="s">
        <v>822</v>
      </c>
      <c r="Y812" s="169">
        <f>(($R$807*500)+$R$808+$T$814)*(1+$T$816)</f>
        <v>57894.454828000002</v>
      </c>
      <c r="Z812" s="169">
        <f t="shared" si="25"/>
        <v>57894.454828000002</v>
      </c>
      <c r="AA812" s="576">
        <f t="shared" si="26"/>
        <v>9981.2791602727666</v>
      </c>
      <c r="AB812" s="918"/>
      <c r="AC812" s="26"/>
      <c r="AD812" s="24"/>
      <c r="AE812" s="26"/>
      <c r="AF812" s="289" t="s">
        <v>49</v>
      </c>
      <c r="AG812" s="291" t="s">
        <v>822</v>
      </c>
      <c r="AH812" s="158">
        <f t="shared" si="27"/>
        <v>57894.454828000002</v>
      </c>
      <c r="AI812" s="158"/>
      <c r="AJ812" s="158"/>
      <c r="AK812" s="957"/>
      <c r="AL812" s="957"/>
      <c r="AM812" s="957"/>
      <c r="AN812" s="957"/>
      <c r="AO812" s="957"/>
      <c r="AP812" s="957"/>
      <c r="AQ812" s="957"/>
      <c r="AR812" s="957"/>
      <c r="AS812" s="957"/>
      <c r="AT812" s="957"/>
      <c r="AU812" s="957"/>
      <c r="AV812" s="957"/>
      <c r="AW812" s="957"/>
      <c r="AX812" s="957"/>
      <c r="AY812" s="957"/>
      <c r="AZ812" s="957"/>
      <c r="BA812" s="957"/>
      <c r="BB812" s="957"/>
      <c r="BC812" s="957"/>
      <c r="BD812" s="957"/>
      <c r="BE812" s="957"/>
      <c r="BF812" s="957"/>
      <c r="BG812" s="957"/>
    </row>
    <row r="813" spans="1:123">
      <c r="A813" s="2172"/>
      <c r="B813" s="2117"/>
      <c r="C813" s="41"/>
      <c r="D813" s="26"/>
      <c r="E813" s="26"/>
      <c r="F813" s="26"/>
      <c r="G813" s="26"/>
      <c r="H813" s="26"/>
      <c r="I813" s="26"/>
      <c r="J813" s="75"/>
      <c r="K813" s="26"/>
      <c r="L813" s="75"/>
      <c r="M813" s="26"/>
      <c r="N813" s="1210"/>
      <c r="O813" s="475"/>
      <c r="P813" s="475"/>
      <c r="Q813" s="252"/>
      <c r="R813" s="252"/>
      <c r="S813" s="127" t="s">
        <v>41</v>
      </c>
      <c r="T813" s="203" t="s">
        <v>42</v>
      </c>
      <c r="U813" s="858"/>
      <c r="V813" s="2163"/>
      <c r="W813" s="982" t="s">
        <v>49</v>
      </c>
      <c r="X813" s="291" t="s">
        <v>823</v>
      </c>
      <c r="Y813" s="169">
        <f>(($R$807*600)+$R$808+$T$814)*(1+$T$816)</f>
        <v>68182.286427999992</v>
      </c>
      <c r="Z813" s="169">
        <f t="shared" si="25"/>
        <v>68182.286427999992</v>
      </c>
      <c r="AA813" s="576">
        <f t="shared" si="26"/>
        <v>11754.950221837245</v>
      </c>
      <c r="AB813" s="918"/>
      <c r="AC813" s="26"/>
      <c r="AD813" s="24"/>
      <c r="AE813" s="26"/>
      <c r="AF813" s="289" t="s">
        <v>49</v>
      </c>
      <c r="AG813" s="291" t="s">
        <v>823</v>
      </c>
      <c r="AH813" s="158">
        <f t="shared" si="27"/>
        <v>68182.286427999992</v>
      </c>
      <c r="AI813" s="158">
        <v>115100</v>
      </c>
      <c r="AJ813" s="158"/>
      <c r="AK813" s="957"/>
      <c r="AL813" s="957"/>
      <c r="AM813" s="957"/>
      <c r="AN813" s="957"/>
      <c r="AO813" s="957"/>
      <c r="AP813" s="957"/>
      <c r="AQ813" s="957"/>
      <c r="AR813" s="957"/>
      <c r="AS813" s="957"/>
      <c r="AT813" s="957"/>
      <c r="AU813" s="957"/>
      <c r="AV813" s="957"/>
      <c r="AW813" s="957"/>
      <c r="AX813" s="957"/>
      <c r="AY813" s="957"/>
      <c r="AZ813" s="957"/>
      <c r="BA813" s="957"/>
      <c r="BB813" s="957"/>
      <c r="BC813" s="957"/>
      <c r="BD813" s="957"/>
      <c r="BE813" s="957"/>
      <c r="BF813" s="957"/>
      <c r="BG813" s="957"/>
    </row>
    <row r="814" spans="1:123">
      <c r="A814" s="2172"/>
      <c r="B814" s="2117"/>
      <c r="C814" s="41"/>
      <c r="D814" s="26"/>
      <c r="E814" s="26"/>
      <c r="F814" s="26"/>
      <c r="G814" s="26"/>
      <c r="H814" s="26"/>
      <c r="I814" s="26"/>
      <c r="J814" s="75"/>
      <c r="K814" s="26"/>
      <c r="L814" s="75"/>
      <c r="M814" s="26"/>
      <c r="N814" s="1210"/>
      <c r="O814" s="475"/>
      <c r="P814" s="475"/>
      <c r="Q814" s="252"/>
      <c r="R814" s="252"/>
      <c r="S814" s="450">
        <v>0.86616400000000004</v>
      </c>
      <c r="T814" s="315">
        <v>13406.0867</v>
      </c>
      <c r="U814" s="875"/>
      <c r="V814" s="2164"/>
      <c r="W814" s="982" t="s">
        <v>49</v>
      </c>
      <c r="X814" s="291" t="s">
        <v>824</v>
      </c>
      <c r="Y814" s="169">
        <f>(($R$807*700)+$R$808+$T$814)*(1+$T$816)</f>
        <v>78470.118027999997</v>
      </c>
      <c r="Z814" s="169">
        <f t="shared" si="25"/>
        <v>78470.118027999997</v>
      </c>
      <c r="AA814" s="576">
        <f t="shared" si="26"/>
        <v>13528.621283401726</v>
      </c>
      <c r="AB814" s="918"/>
      <c r="AC814" s="26"/>
      <c r="AD814" s="24"/>
      <c r="AE814" s="26"/>
      <c r="AF814" s="289" t="s">
        <v>49</v>
      </c>
      <c r="AG814" s="291" t="s">
        <v>824</v>
      </c>
      <c r="AH814" s="158">
        <f t="shared" si="27"/>
        <v>78470.118027999997</v>
      </c>
      <c r="AI814" s="158"/>
      <c r="AJ814" s="158"/>
      <c r="AK814" s="957"/>
      <c r="AL814" s="957"/>
      <c r="AM814" s="957"/>
      <c r="AN814" s="957"/>
      <c r="AO814" s="957"/>
      <c r="AP814" s="957"/>
      <c r="AQ814" s="957"/>
      <c r="AR814" s="957"/>
      <c r="AS814" s="957"/>
      <c r="AT814" s="957"/>
      <c r="AU814" s="957"/>
      <c r="AV814" s="957"/>
      <c r="AW814" s="957"/>
      <c r="AX814" s="957"/>
      <c r="AY814" s="957"/>
      <c r="AZ814" s="957"/>
      <c r="BA814" s="957"/>
      <c r="BB814" s="957"/>
      <c r="BC814" s="957"/>
      <c r="BD814" s="957"/>
      <c r="BE814" s="957"/>
      <c r="BF814" s="957"/>
      <c r="BG814" s="957"/>
    </row>
    <row r="815" spans="1:123">
      <c r="A815" s="2172"/>
      <c r="B815" s="2117"/>
      <c r="C815" s="41"/>
      <c r="D815" s="26"/>
      <c r="E815" s="26"/>
      <c r="F815" s="26"/>
      <c r="G815" s="26"/>
      <c r="H815" s="26"/>
      <c r="I815" s="26"/>
      <c r="J815" s="75"/>
      <c r="K815" s="26"/>
      <c r="L815" s="75"/>
      <c r="M815" s="26"/>
      <c r="N815" s="1210"/>
      <c r="O815" s="475"/>
      <c r="P815" s="475"/>
      <c r="Q815" s="252"/>
      <c r="R815" s="252"/>
      <c r="S815" s="118" t="s">
        <v>235</v>
      </c>
      <c r="T815" s="201" t="s">
        <v>391</v>
      </c>
      <c r="U815" s="855"/>
      <c r="V815" s="24"/>
      <c r="W815" s="26"/>
      <c r="X815" s="26"/>
      <c r="Y815" s="26"/>
      <c r="Z815" s="27"/>
      <c r="AA815" s="27"/>
      <c r="AC815" s="26"/>
      <c r="AD815" s="24"/>
      <c r="AE815" s="26"/>
      <c r="AF815" s="75"/>
      <c r="AG815" s="26"/>
      <c r="AH815" s="957"/>
      <c r="AI815" s="957"/>
      <c r="AJ815" s="957"/>
      <c r="AK815" s="957"/>
      <c r="AL815" s="957"/>
      <c r="AM815" s="957"/>
      <c r="AN815" s="957"/>
      <c r="AO815" s="957"/>
      <c r="AP815" s="957"/>
      <c r="AQ815" s="957"/>
      <c r="AR815" s="957"/>
      <c r="AS815" s="957"/>
      <c r="AT815" s="957"/>
      <c r="AU815" s="957"/>
      <c r="AV815" s="957"/>
      <c r="AW815" s="957"/>
      <c r="AX815" s="957"/>
      <c r="AY815" s="957"/>
      <c r="AZ815" s="957"/>
      <c r="BA815" s="957"/>
      <c r="BB815" s="957"/>
      <c r="BC815" s="957"/>
      <c r="BD815" s="957"/>
      <c r="BE815" s="957"/>
      <c r="BF815" s="957"/>
      <c r="BG815" s="957"/>
    </row>
    <row r="816" spans="1:123" ht="15.75" thickBot="1">
      <c r="A816" s="2172"/>
      <c r="B816" s="2117"/>
      <c r="C816" s="41"/>
      <c r="D816" s="26"/>
      <c r="E816" s="26"/>
      <c r="F816" s="26"/>
      <c r="G816" s="26"/>
      <c r="H816" s="26"/>
      <c r="I816" s="26"/>
      <c r="J816" s="75"/>
      <c r="K816" s="26"/>
      <c r="L816" s="75"/>
      <c r="M816" s="26"/>
      <c r="N816" s="1210"/>
      <c r="O816" s="475"/>
      <c r="P816" s="475"/>
      <c r="Q816" s="252"/>
      <c r="R816" s="252"/>
      <c r="S816" s="449">
        <v>6179.4070000000002</v>
      </c>
      <c r="T816" s="207">
        <v>0.2</v>
      </c>
      <c r="U816" s="862"/>
      <c r="V816" s="24"/>
      <c r="W816" s="26"/>
      <c r="X816" s="26"/>
      <c r="Y816" s="26"/>
      <c r="Z816" s="184"/>
      <c r="AA816" s="764"/>
      <c r="AC816" s="26"/>
      <c r="AD816" s="240"/>
      <c r="AE816" s="764"/>
      <c r="AF816" s="75"/>
      <c r="AG816" s="26"/>
      <c r="AH816" s="957"/>
      <c r="AI816" s="957"/>
      <c r="AJ816" s="957"/>
      <c r="AK816" s="957"/>
      <c r="AL816" s="957"/>
      <c r="AM816" s="957"/>
      <c r="AN816" s="957"/>
      <c r="AO816" s="957"/>
      <c r="AP816" s="957"/>
      <c r="AQ816" s="957"/>
      <c r="AR816" s="957"/>
      <c r="AS816" s="957"/>
      <c r="AT816" s="957"/>
      <c r="AU816" s="957"/>
      <c r="AV816" s="957"/>
      <c r="AW816" s="957"/>
      <c r="AX816" s="957"/>
      <c r="AY816" s="957"/>
      <c r="AZ816" s="957"/>
      <c r="BA816" s="957"/>
      <c r="BB816" s="957"/>
      <c r="BC816" s="957"/>
      <c r="BD816" s="957"/>
      <c r="BE816" s="957"/>
      <c r="BF816" s="957"/>
      <c r="BG816" s="957"/>
    </row>
    <row r="817" spans="1:113" s="808" customFormat="1" ht="25.5" customHeight="1" thickBot="1">
      <c r="A817" s="721" t="s">
        <v>1109</v>
      </c>
      <c r="B817" s="1054"/>
      <c r="C817" s="684"/>
      <c r="D817" s="683"/>
      <c r="E817" s="683"/>
      <c r="F817" s="683"/>
      <c r="G817" s="683"/>
      <c r="H817" s="683"/>
      <c r="I817" s="683"/>
      <c r="J817" s="682"/>
      <c r="K817" s="683"/>
      <c r="L817" s="682"/>
      <c r="M817" s="685"/>
      <c r="N817" s="1189"/>
      <c r="O817" s="686"/>
      <c r="P817" s="686"/>
      <c r="Q817" s="687"/>
      <c r="R817" s="687"/>
      <c r="S817" s="688"/>
      <c r="T817" s="688"/>
      <c r="U817" s="891"/>
      <c r="V817" s="893"/>
      <c r="W817" s="685"/>
      <c r="X817" s="685"/>
      <c r="Y817" s="685"/>
      <c r="Z817" s="685"/>
      <c r="AA817" s="685"/>
      <c r="AB817" s="852"/>
      <c r="AC817" s="685"/>
      <c r="AD817" s="685"/>
      <c r="AE817" s="685"/>
      <c r="AF817" s="689"/>
      <c r="AG817" s="685"/>
      <c r="AH817" s="959"/>
      <c r="AI817" s="959"/>
      <c r="AJ817" s="959"/>
      <c r="AK817" s="959"/>
      <c r="AL817" s="959"/>
      <c r="AM817" s="959"/>
      <c r="AN817" s="959"/>
      <c r="AO817" s="959"/>
      <c r="AP817" s="959"/>
      <c r="AQ817" s="959"/>
      <c r="AR817" s="959"/>
      <c r="AS817" s="959"/>
      <c r="AT817" s="959" t="s">
        <v>321</v>
      </c>
      <c r="AU817" s="959" t="s">
        <v>322</v>
      </c>
      <c r="AV817" s="959"/>
      <c r="AW817" s="959"/>
      <c r="AX817" s="959"/>
      <c r="AY817" s="959"/>
      <c r="AZ817" s="959"/>
      <c r="BA817" s="959"/>
      <c r="BB817" s="959"/>
      <c r="BC817" s="959"/>
      <c r="BD817" s="959"/>
      <c r="BE817" s="959"/>
      <c r="BF817" s="959"/>
      <c r="BG817" s="959"/>
      <c r="BH817" s="1126"/>
      <c r="DI817" s="740"/>
    </row>
    <row r="818" spans="1:113" ht="15" customHeight="1">
      <c r="A818" s="2184" t="s">
        <v>1358</v>
      </c>
      <c r="B818" s="952" t="s">
        <v>213</v>
      </c>
      <c r="C818" s="835" t="s">
        <v>12</v>
      </c>
      <c r="D818" s="595" t="s">
        <v>343</v>
      </c>
      <c r="E818" s="595">
        <v>54</v>
      </c>
      <c r="F818" s="595">
        <v>0.63111099999999998</v>
      </c>
      <c r="G818" s="595">
        <v>3.9029000000000001E-2</v>
      </c>
      <c r="H818" s="792">
        <v>746.58</v>
      </c>
      <c r="I818" s="792">
        <v>366.44</v>
      </c>
      <c r="J818" s="953" t="s">
        <v>12</v>
      </c>
      <c r="K818" s="1149" t="s">
        <v>237</v>
      </c>
      <c r="L818" s="1091" t="s">
        <v>15</v>
      </c>
      <c r="M818" s="1088" t="s">
        <v>15</v>
      </c>
      <c r="N818" s="1221">
        <v>2332.5061959999998</v>
      </c>
      <c r="O818" s="466">
        <v>2.3199999999999998</v>
      </c>
      <c r="P818" s="466">
        <v>1005.121496</v>
      </c>
      <c r="Q818" s="241" t="s">
        <v>15</v>
      </c>
      <c r="R818" s="258">
        <f>N818</f>
        <v>2332.5061959999998</v>
      </c>
      <c r="S818" s="115" t="s">
        <v>68</v>
      </c>
      <c r="T818" s="116" t="s">
        <v>69</v>
      </c>
      <c r="U818" s="855"/>
      <c r="V818" s="2162" t="s">
        <v>2749</v>
      </c>
      <c r="W818" s="66" t="s">
        <v>47</v>
      </c>
      <c r="X818" s="232" t="s">
        <v>240</v>
      </c>
      <c r="Y818" s="945">
        <f>((30*$R$819)+(0.61*$R$818)+$R$822+$T$825)*(1+$T$827)</f>
        <v>514.41843764399982</v>
      </c>
      <c r="Z818" s="945" t="s">
        <v>40</v>
      </c>
      <c r="AA818" s="954" t="s">
        <v>40</v>
      </c>
      <c r="AB818" s="919"/>
      <c r="AC818" s="909"/>
      <c r="AD818" s="2295" t="s">
        <v>142</v>
      </c>
      <c r="AE818" s="2296"/>
      <c r="AF818" s="946" t="s">
        <v>47</v>
      </c>
      <c r="AG818" s="232" t="s">
        <v>243</v>
      </c>
      <c r="AH818" s="967">
        <f>Y822</f>
        <v>565.0487816359996</v>
      </c>
      <c r="AI818" s="967">
        <v>493.95</v>
      </c>
      <c r="AJ818" s="967">
        <v>438</v>
      </c>
      <c r="AK818" s="967">
        <v>368.68</v>
      </c>
      <c r="AL818" s="967">
        <v>434</v>
      </c>
      <c r="AM818" s="967"/>
      <c r="AN818" s="967"/>
      <c r="AO818" s="967"/>
      <c r="AP818" s="967"/>
      <c r="AQ818" s="967"/>
      <c r="AR818" s="967"/>
      <c r="AS818" s="2113">
        <v>1002</v>
      </c>
      <c r="AT818" s="1012"/>
      <c r="AU818" s="1023"/>
      <c r="AV818" s="1012"/>
      <c r="AW818" s="1012"/>
      <c r="AX818" s="1012"/>
      <c r="AY818" s="1012"/>
      <c r="AZ818" s="1012"/>
      <c r="BA818" s="1012"/>
      <c r="BB818" s="1012"/>
      <c r="BC818" s="1012"/>
      <c r="BD818" s="1012"/>
      <c r="BE818" s="1012"/>
      <c r="BF818" s="1012"/>
      <c r="BG818" s="1012"/>
    </row>
    <row r="819" spans="1:113">
      <c r="A819" s="2185"/>
      <c r="B819" s="1048" t="s">
        <v>536</v>
      </c>
      <c r="C819" s="23" t="s">
        <v>12</v>
      </c>
      <c r="D819" s="595" t="s">
        <v>344</v>
      </c>
      <c r="E819" s="595">
        <v>54</v>
      </c>
      <c r="F819" s="595">
        <v>43.72222</v>
      </c>
      <c r="G819" s="595">
        <v>7.3263980000000002</v>
      </c>
      <c r="H819" s="552">
        <v>746.58</v>
      </c>
      <c r="I819" s="552">
        <v>366.44</v>
      </c>
      <c r="J819" s="33" t="s">
        <v>12</v>
      </c>
      <c r="K819" s="15" t="s">
        <v>236</v>
      </c>
      <c r="L819" s="1089" t="s">
        <v>15</v>
      </c>
      <c r="M819" s="1090" t="s">
        <v>15</v>
      </c>
      <c r="N819" s="1221">
        <v>9.0676509999999997</v>
      </c>
      <c r="O819" s="466">
        <v>2.08</v>
      </c>
      <c r="P819" s="466">
        <v>4.3614540000000002</v>
      </c>
      <c r="Q819" s="208" t="s">
        <v>15</v>
      </c>
      <c r="R819" s="128">
        <f>N819</f>
        <v>9.0676509999999997</v>
      </c>
      <c r="S819" s="452" t="s">
        <v>584</v>
      </c>
      <c r="T819" s="117" t="s">
        <v>132</v>
      </c>
      <c r="U819" s="854"/>
      <c r="V819" s="2163"/>
      <c r="W819" s="34" t="s">
        <v>49</v>
      </c>
      <c r="X819" s="291" t="s">
        <v>239</v>
      </c>
      <c r="Y819" s="158">
        <f>((30*$R$819)+(0.62*$R$818)+$R$822+$R$820+$T$825)*(1+$T$827)</f>
        <v>712.55990087948101</v>
      </c>
      <c r="Z819" s="158">
        <f>Y819-$Y$818</f>
        <v>198.14146323548118</v>
      </c>
      <c r="AA819" s="170">
        <f>(0.62-0.61)*$P$818</f>
        <v>10.051214960000008</v>
      </c>
      <c r="AB819" s="919"/>
      <c r="AC819" s="909"/>
      <c r="AD819" s="49" t="s">
        <v>98</v>
      </c>
      <c r="AE819" s="405" t="e">
        <f>AVERAGE($AU$818:$AU$823)</f>
        <v>#DIV/0!</v>
      </c>
      <c r="AF819" s="113" t="s">
        <v>49</v>
      </c>
      <c r="AG819" s="291" t="s">
        <v>244</v>
      </c>
      <c r="AH819" s="168">
        <f>Y823</f>
        <v>816.837887379481</v>
      </c>
      <c r="AI819" s="168">
        <v>542.95000000000005</v>
      </c>
      <c r="AJ819" s="168">
        <v>497</v>
      </c>
      <c r="AK819" s="168">
        <v>412.29</v>
      </c>
      <c r="AL819" s="168">
        <v>497</v>
      </c>
      <c r="AM819" s="168"/>
      <c r="AN819" s="168"/>
      <c r="AO819" s="168"/>
      <c r="AP819" s="168"/>
      <c r="AQ819" s="168"/>
      <c r="AR819" s="168"/>
      <c r="AS819" s="2114"/>
      <c r="AT819" s="1012"/>
      <c r="AU819" s="1023"/>
      <c r="AV819" s="1012"/>
      <c r="AW819" s="1012"/>
      <c r="AX819" s="1012"/>
      <c r="AY819" s="1012"/>
      <c r="AZ819" s="1012"/>
      <c r="BA819" s="1012"/>
      <c r="BB819" s="1012"/>
      <c r="BC819" s="1012"/>
      <c r="BD819" s="1012"/>
      <c r="BE819" s="1012"/>
      <c r="BF819" s="1012"/>
      <c r="BG819" s="1012"/>
    </row>
    <row r="820" spans="1:113">
      <c r="A820" s="2185"/>
      <c r="B820" s="2161" t="s">
        <v>367</v>
      </c>
      <c r="C820" s="2144" t="s">
        <v>11</v>
      </c>
      <c r="D820" s="34" t="s">
        <v>33</v>
      </c>
      <c r="E820" s="213">
        <v>17</v>
      </c>
      <c r="F820" s="321" t="s">
        <v>15</v>
      </c>
      <c r="G820" s="321" t="s">
        <v>15</v>
      </c>
      <c r="H820" s="552">
        <v>1168.55</v>
      </c>
      <c r="I820" s="552">
        <v>310.64681250000001</v>
      </c>
      <c r="J820" s="1089" t="s">
        <v>15</v>
      </c>
      <c r="K820" s="1090" t="s">
        <v>15</v>
      </c>
      <c r="L820" s="1089" t="s">
        <v>15</v>
      </c>
      <c r="M820" s="1090" t="s">
        <v>15</v>
      </c>
      <c r="N820" s="1221">
        <v>473.20474000000002</v>
      </c>
      <c r="O820" s="466">
        <v>5.17</v>
      </c>
      <c r="P820" s="466">
        <v>91.470608999999996</v>
      </c>
      <c r="Q820" s="143">
        <f>E820/$E$819</f>
        <v>0.31481481481481483</v>
      </c>
      <c r="R820" s="2129">
        <f>SUMPRODUCT(N820:N821,Q820:Q821)</f>
        <v>148.9718625925926</v>
      </c>
      <c r="S820" s="118" t="s">
        <v>72</v>
      </c>
      <c r="T820" s="119" t="s">
        <v>119</v>
      </c>
      <c r="U820" s="855"/>
      <c r="V820" s="2163"/>
      <c r="W820" s="34" t="s">
        <v>49</v>
      </c>
      <c r="X820" s="291" t="s">
        <v>241</v>
      </c>
      <c r="Y820" s="158">
        <f>((30*$R$819)+(0.65*$R$818)+$R$822+$R$820+$T$825)*(1+$T$827)</f>
        <v>793.03136464148133</v>
      </c>
      <c r="Z820" s="158">
        <f>Y820-$Y$818</f>
        <v>278.61292699748151</v>
      </c>
      <c r="AA820" s="170">
        <f>(0.65-0.61)*$P$818</f>
        <v>40.204859840000033</v>
      </c>
      <c r="AB820" s="919"/>
      <c r="AC820" s="909"/>
      <c r="AD820" s="49" t="s">
        <v>143</v>
      </c>
      <c r="AE820" s="405" t="e">
        <f>STDEV($AU$818:$AU$823)</f>
        <v>#DIV/0!</v>
      </c>
      <c r="AF820" s="113" t="s">
        <v>49</v>
      </c>
      <c r="AG820" s="291" t="s">
        <v>245</v>
      </c>
      <c r="AH820" s="168">
        <f>Y824</f>
        <v>950.95699364948121</v>
      </c>
      <c r="AI820" s="168">
        <v>795.95</v>
      </c>
      <c r="AJ820" s="168">
        <v>924.43</v>
      </c>
      <c r="AK820" s="168">
        <v>1193.51</v>
      </c>
      <c r="AL820" s="168"/>
      <c r="AM820" s="168"/>
      <c r="AN820" s="168"/>
      <c r="AO820" s="168"/>
      <c r="AP820" s="168">
        <v>649</v>
      </c>
      <c r="AQ820" s="168"/>
      <c r="AR820" s="168"/>
      <c r="AS820" s="2114"/>
      <c r="AT820" s="1012"/>
      <c r="AU820" s="1023"/>
      <c r="AV820" s="1012"/>
      <c r="AW820" s="1012"/>
      <c r="AX820" s="1012"/>
      <c r="AY820" s="1012"/>
      <c r="AZ820" s="1012"/>
      <c r="BA820" s="1012"/>
      <c r="BB820" s="1012"/>
      <c r="BC820" s="1012"/>
      <c r="BD820" s="1012"/>
      <c r="BE820" s="1012"/>
      <c r="BF820" s="1012"/>
      <c r="BG820" s="1012"/>
    </row>
    <row r="821" spans="1:113">
      <c r="A821" s="2185"/>
      <c r="B821" s="2161"/>
      <c r="C821" s="2144"/>
      <c r="D821" s="34" t="s">
        <v>32</v>
      </c>
      <c r="E821" s="213">
        <v>37</v>
      </c>
      <c r="F821" s="321" t="s">
        <v>15</v>
      </c>
      <c r="G821" s="321" t="s">
        <v>15</v>
      </c>
      <c r="H821" s="552">
        <v>552.70837840000002</v>
      </c>
      <c r="I821" s="552">
        <v>179.13137330000001</v>
      </c>
      <c r="J821" s="1089" t="s">
        <v>15</v>
      </c>
      <c r="K821" s="1090" t="s">
        <v>15</v>
      </c>
      <c r="L821" s="1089" t="s">
        <v>15</v>
      </c>
      <c r="M821" s="1090" t="s">
        <v>15</v>
      </c>
      <c r="N821" s="537">
        <v>0</v>
      </c>
      <c r="O821" s="144" t="s">
        <v>204</v>
      </c>
      <c r="P821" s="144" t="s">
        <v>204</v>
      </c>
      <c r="Q821" s="143">
        <f>E821/$E$819</f>
        <v>0.68518518518518523</v>
      </c>
      <c r="R821" s="2129"/>
      <c r="S821" s="423" t="s">
        <v>1433</v>
      </c>
      <c r="T821" s="411" t="s">
        <v>140</v>
      </c>
      <c r="U821" s="859"/>
      <c r="V821" s="2163"/>
      <c r="W821" s="34" t="s">
        <v>49</v>
      </c>
      <c r="X821" s="291" t="s">
        <v>242</v>
      </c>
      <c r="Y821" s="158">
        <f>((30*$R$819)+(0.7*$R$818)+$R$822+$R$820+$T$825)*(1+$T$827)</f>
        <v>927.15047091148097</v>
      </c>
      <c r="Z821" s="158">
        <f>Y821-$Y$818</f>
        <v>412.73203326748114</v>
      </c>
      <c r="AA821" s="170">
        <f>(0.7-0.61)*$P$818</f>
        <v>90.460934639999962</v>
      </c>
      <c r="AB821" s="919"/>
      <c r="AC821" s="909"/>
      <c r="AD821" s="49" t="s">
        <v>144</v>
      </c>
      <c r="AE821" s="405">
        <f>MIN($AU$818:$AU$823)</f>
        <v>0</v>
      </c>
      <c r="AF821" s="113" t="s">
        <v>49</v>
      </c>
      <c r="AG821" s="291" t="s">
        <v>246</v>
      </c>
      <c r="AH821" s="168">
        <f>Y825</f>
        <v>1031.4284574114813</v>
      </c>
      <c r="AI821" s="168">
        <v>809.95</v>
      </c>
      <c r="AJ821" s="168"/>
      <c r="AK821" s="168"/>
      <c r="AL821" s="168"/>
      <c r="AM821" s="168">
        <v>872.99</v>
      </c>
      <c r="AN821" s="168"/>
      <c r="AO821" s="168">
        <v>1085</v>
      </c>
      <c r="AP821" s="168"/>
      <c r="AQ821" s="168"/>
      <c r="AR821" s="168"/>
      <c r="AS821" s="2115"/>
      <c r="AT821" s="1012"/>
      <c r="AU821" s="1023"/>
      <c r="AV821" s="1012"/>
      <c r="AW821" s="1012"/>
      <c r="AX821" s="1012"/>
      <c r="AY821" s="1012"/>
      <c r="AZ821" s="1012"/>
      <c r="BA821" s="1012"/>
      <c r="BB821" s="1012"/>
      <c r="BC821" s="1012"/>
      <c r="BD821" s="1012"/>
      <c r="BE821" s="1012"/>
      <c r="BF821" s="1012"/>
      <c r="BG821" s="1012"/>
    </row>
    <row r="822" spans="1:113">
      <c r="A822" s="2185"/>
      <c r="B822" s="2405" t="s">
        <v>125</v>
      </c>
      <c r="C822" s="2173" t="s">
        <v>13</v>
      </c>
      <c r="D822" s="7" t="s">
        <v>583</v>
      </c>
      <c r="E822" s="348">
        <v>2</v>
      </c>
      <c r="F822" s="321" t="s">
        <v>15</v>
      </c>
      <c r="G822" s="321" t="s">
        <v>15</v>
      </c>
      <c r="H822" s="552">
        <v>442.75</v>
      </c>
      <c r="I822" s="552">
        <v>16.260000000000002</v>
      </c>
      <c r="J822" s="1089" t="s">
        <v>15</v>
      </c>
      <c r="K822" s="1090" t="s">
        <v>15</v>
      </c>
      <c r="L822" s="1089" t="s">
        <v>15</v>
      </c>
      <c r="M822" s="1090" t="s">
        <v>15</v>
      </c>
      <c r="N822" s="1221">
        <v>-163.91021599999999</v>
      </c>
      <c r="O822" s="466">
        <v>-0.95</v>
      </c>
      <c r="P822" s="466">
        <v>173.27078700000001</v>
      </c>
      <c r="Q822" s="143">
        <v>0</v>
      </c>
      <c r="R822" s="2130">
        <f>SUMPRODUCT(N822:N825,Q822:Q825)</f>
        <v>0</v>
      </c>
      <c r="S822" s="118" t="s">
        <v>74</v>
      </c>
      <c r="T822" s="119" t="s">
        <v>75</v>
      </c>
      <c r="U822" s="855"/>
      <c r="V822" s="2163"/>
      <c r="W822" s="34" t="s">
        <v>47</v>
      </c>
      <c r="X822" s="291" t="s">
        <v>243</v>
      </c>
      <c r="Y822" s="158">
        <f>((40*$R$819)+(0.59*$R$818)+$R$822+$T$825)*(1+$T$827)</f>
        <v>565.0487816359996</v>
      </c>
      <c r="Z822" s="158" t="s">
        <v>40</v>
      </c>
      <c r="AA822" s="170" t="s">
        <v>40</v>
      </c>
      <c r="AB822" s="919"/>
      <c r="AC822" s="909"/>
      <c r="AD822" s="50" t="s">
        <v>145</v>
      </c>
      <c r="AE822" s="406">
        <f>MAX($AU$818:$AU$823)</f>
        <v>0</v>
      </c>
      <c r="AF822" s="113" t="s">
        <v>47</v>
      </c>
      <c r="AG822" s="291" t="s">
        <v>251</v>
      </c>
      <c r="AH822" s="168">
        <f>Y830</f>
        <v>693.13329087399961</v>
      </c>
      <c r="AI822" s="168">
        <v>939.95</v>
      </c>
      <c r="AJ822" s="168"/>
      <c r="AK822" s="168">
        <v>810.21</v>
      </c>
      <c r="AL822" s="168">
        <v>728</v>
      </c>
      <c r="AM822" s="168"/>
      <c r="AN822" s="168">
        <v>754.45</v>
      </c>
      <c r="AO822" s="168"/>
      <c r="AP822" s="168"/>
      <c r="AQ822" s="168"/>
      <c r="AR822" s="168"/>
      <c r="AS822" s="168">
        <v>1428</v>
      </c>
      <c r="AT822" s="1012"/>
      <c r="AU822" s="1023"/>
      <c r="AV822" s="1012"/>
      <c r="AW822" s="1012"/>
      <c r="AX822" s="1012"/>
      <c r="AY822" s="1012"/>
      <c r="AZ822" s="1012"/>
      <c r="BA822" s="1012"/>
      <c r="BB822" s="1012"/>
      <c r="BC822" s="1012"/>
      <c r="BD822" s="1012"/>
      <c r="BE822" s="1012"/>
      <c r="BF822" s="1012"/>
      <c r="BG822" s="1012"/>
    </row>
    <row r="823" spans="1:113">
      <c r="A823" s="2185"/>
      <c r="B823" s="2406"/>
      <c r="C823" s="2174"/>
      <c r="D823" s="423" t="s">
        <v>214</v>
      </c>
      <c r="E823" s="595">
        <v>8</v>
      </c>
      <c r="F823" s="321" t="s">
        <v>15</v>
      </c>
      <c r="G823" s="321" t="s">
        <v>15</v>
      </c>
      <c r="H823" s="552">
        <v>529.25</v>
      </c>
      <c r="I823" s="552">
        <v>210.72</v>
      </c>
      <c r="J823" s="1089" t="s">
        <v>15</v>
      </c>
      <c r="K823" s="1090" t="s">
        <v>15</v>
      </c>
      <c r="L823" s="1089" t="s">
        <v>15</v>
      </c>
      <c r="M823" s="1090" t="s">
        <v>15</v>
      </c>
      <c r="N823" s="537">
        <v>0</v>
      </c>
      <c r="O823" s="144" t="s">
        <v>204</v>
      </c>
      <c r="P823" s="144" t="s">
        <v>204</v>
      </c>
      <c r="Q823" s="143">
        <v>0</v>
      </c>
      <c r="R823" s="2196"/>
      <c r="S823" s="452">
        <v>54</v>
      </c>
      <c r="T823" s="411" t="s">
        <v>15</v>
      </c>
      <c r="U823" s="859"/>
      <c r="V823" s="2163"/>
      <c r="W823" s="34" t="s">
        <v>49</v>
      </c>
      <c r="X823" s="291" t="s">
        <v>244</v>
      </c>
      <c r="Y823" s="158">
        <f>((40*$R$819)+(0.62*$R$818)+$R$822+$R$820+$T$825)*(1+$T$827)</f>
        <v>816.837887379481</v>
      </c>
      <c r="Z823" s="158">
        <f>Y823-$Y$822</f>
        <v>251.7891057434814</v>
      </c>
      <c r="AA823" s="170">
        <f>(0.62-0.59)*$P$818</f>
        <v>30.153644880000027</v>
      </c>
      <c r="AB823" s="919"/>
      <c r="AC823" s="26"/>
      <c r="AD823" s="22"/>
      <c r="AE823" s="27"/>
      <c r="AF823" s="56" t="s">
        <v>47</v>
      </c>
      <c r="AG823" s="19" t="s">
        <v>255</v>
      </c>
      <c r="AH823" s="168">
        <f>Y834</f>
        <v>769.07880686199974</v>
      </c>
      <c r="AI823" s="168"/>
      <c r="AJ823" s="168"/>
      <c r="AK823" s="168">
        <v>742.55</v>
      </c>
      <c r="AL823" s="168"/>
      <c r="AM823" s="168"/>
      <c r="AN823" s="168"/>
      <c r="AO823" s="168"/>
      <c r="AP823" s="168">
        <v>816.41</v>
      </c>
      <c r="AQ823" s="168">
        <v>722.89</v>
      </c>
      <c r="AR823" s="168">
        <v>789.99</v>
      </c>
      <c r="AS823" s="168">
        <v>1512</v>
      </c>
      <c r="AT823" s="1012"/>
      <c r="AU823" s="1023"/>
      <c r="AV823" s="1012"/>
      <c r="AW823" s="1012"/>
      <c r="AX823" s="1012"/>
      <c r="AY823" s="1012"/>
      <c r="AZ823" s="1012"/>
      <c r="BA823" s="1012"/>
      <c r="BB823" s="1012"/>
      <c r="BC823" s="1012"/>
      <c r="BD823" s="1012"/>
      <c r="BE823" s="1012"/>
      <c r="BF823" s="1012"/>
      <c r="BG823" s="1012"/>
    </row>
    <row r="824" spans="1:113">
      <c r="A824" s="2185"/>
      <c r="B824" s="2406"/>
      <c r="C824" s="2174"/>
      <c r="D824" s="423" t="s">
        <v>215</v>
      </c>
      <c r="E824" s="595">
        <v>14</v>
      </c>
      <c r="F824" s="321" t="s">
        <v>15</v>
      </c>
      <c r="G824" s="321" t="s">
        <v>15</v>
      </c>
      <c r="H824" s="552">
        <v>702.04</v>
      </c>
      <c r="I824" s="552">
        <v>275.45999999999998</v>
      </c>
      <c r="J824" s="1089" t="s">
        <v>15</v>
      </c>
      <c r="K824" s="1090" t="s">
        <v>15</v>
      </c>
      <c r="L824" s="1089" t="s">
        <v>15</v>
      </c>
      <c r="M824" s="1090" t="s">
        <v>15</v>
      </c>
      <c r="N824" s="1221">
        <v>4.6269450000000001</v>
      </c>
      <c r="O824" s="466">
        <v>0.05</v>
      </c>
      <c r="P824" s="466">
        <v>100.94708799999999</v>
      </c>
      <c r="Q824" s="143">
        <v>0</v>
      </c>
      <c r="R824" s="2196"/>
      <c r="S824" s="118" t="s">
        <v>41</v>
      </c>
      <c r="T824" s="119" t="s">
        <v>42</v>
      </c>
      <c r="U824" s="855"/>
      <c r="V824" s="2163"/>
      <c r="W824" s="34" t="s">
        <v>49</v>
      </c>
      <c r="X824" s="291" t="s">
        <v>245</v>
      </c>
      <c r="Y824" s="158">
        <f>((40*$R$819)+(0.67*$R$818)+$R$822+$R$820+$T$825)*(1+$T$827)</f>
        <v>950.95699364948121</v>
      </c>
      <c r="Z824" s="158">
        <f>Y824-$Y$822</f>
        <v>385.9082120134816</v>
      </c>
      <c r="AA824" s="170">
        <f>(0.67-0.59)*$P$818</f>
        <v>80.409719680000066</v>
      </c>
      <c r="AB824" s="919"/>
      <c r="AC824" s="26"/>
      <c r="AD824" s="24"/>
      <c r="AE824" s="26"/>
      <c r="AF824" s="102"/>
      <c r="AG824" s="27"/>
      <c r="AH824" s="1013"/>
      <c r="AI824" s="1013"/>
      <c r="AJ824" s="1013"/>
      <c r="AK824" s="1013"/>
      <c r="AL824" s="1013"/>
      <c r="AM824" s="1013"/>
      <c r="AN824" s="1013"/>
      <c r="AO824" s="1013"/>
      <c r="AP824" s="1013"/>
      <c r="AQ824" s="1013"/>
      <c r="AR824" s="1013"/>
      <c r="AS824" s="957"/>
      <c r="AT824" s="957"/>
      <c r="AU824" s="957"/>
      <c r="AV824" s="957"/>
      <c r="AW824" s="957"/>
      <c r="AX824" s="957"/>
      <c r="AY824" s="957"/>
      <c r="AZ824" s="957"/>
      <c r="BA824" s="957"/>
      <c r="BB824" s="957"/>
      <c r="BC824" s="957"/>
      <c r="BD824" s="957"/>
      <c r="BE824" s="957"/>
      <c r="BF824" s="957"/>
      <c r="BG824" s="957"/>
    </row>
    <row r="825" spans="1:113">
      <c r="A825" s="2185"/>
      <c r="B825" s="2407"/>
      <c r="C825" s="2175"/>
      <c r="D825" s="423" t="s">
        <v>216</v>
      </c>
      <c r="E825" s="595">
        <v>30</v>
      </c>
      <c r="F825" s="321" t="s">
        <v>15</v>
      </c>
      <c r="G825" s="321" t="s">
        <v>15</v>
      </c>
      <c r="H825" s="540">
        <v>845.58</v>
      </c>
      <c r="I825" s="540">
        <v>412.52</v>
      </c>
      <c r="J825" s="1089" t="s">
        <v>15</v>
      </c>
      <c r="K825" s="1090" t="s">
        <v>15</v>
      </c>
      <c r="L825" s="1089" t="s">
        <v>15</v>
      </c>
      <c r="M825" s="1090" t="s">
        <v>15</v>
      </c>
      <c r="N825" s="1221">
        <v>-33.311503999999999</v>
      </c>
      <c r="O825" s="466">
        <v>-0.35</v>
      </c>
      <c r="P825" s="466">
        <v>94.795472000000004</v>
      </c>
      <c r="Q825" s="143">
        <v>0</v>
      </c>
      <c r="R825" s="2155"/>
      <c r="S825" s="314">
        <v>0.690554</v>
      </c>
      <c r="T825" s="315">
        <v>-1247.5379290000001</v>
      </c>
      <c r="U825" s="875"/>
      <c r="V825" s="2163"/>
      <c r="W825" s="34" t="s">
        <v>49</v>
      </c>
      <c r="X825" s="291" t="s">
        <v>246</v>
      </c>
      <c r="Y825" s="158">
        <f>((40*$R$819)+(0.7*$R$818)+$R$822+$R$820+$T$825)*(1+$T$827)</f>
        <v>1031.4284574114813</v>
      </c>
      <c r="Z825" s="158">
        <f>Y825-$Y$822</f>
        <v>466.3796757754817</v>
      </c>
      <c r="AA825" s="170">
        <f>(0.7-0.59)*$P$818</f>
        <v>110.56336455999998</v>
      </c>
      <c r="AB825" s="919"/>
      <c r="AC825" s="26"/>
      <c r="AD825" s="24"/>
      <c r="AE825" s="26"/>
      <c r="AF825" s="75"/>
      <c r="AG825" s="26"/>
      <c r="AH825" s="957"/>
      <c r="AI825" s="957"/>
      <c r="AJ825" s="957"/>
      <c r="AK825" s="957"/>
      <c r="AL825" s="957"/>
      <c r="AM825" s="957"/>
      <c r="AN825" s="957"/>
      <c r="AO825" s="957"/>
      <c r="AP825" s="957"/>
      <c r="AQ825" s="957"/>
      <c r="AR825" s="957"/>
      <c r="AS825" s="957"/>
      <c r="AT825" s="957"/>
      <c r="AU825" s="957"/>
      <c r="AV825" s="957"/>
      <c r="AW825" s="957"/>
      <c r="AX825" s="957"/>
      <c r="AY825" s="957"/>
      <c r="AZ825" s="957"/>
      <c r="BA825" s="957"/>
      <c r="BB825" s="957"/>
      <c r="BC825" s="957"/>
      <c r="BD825" s="957"/>
      <c r="BE825" s="957"/>
      <c r="BF825" s="957"/>
      <c r="BG825" s="957"/>
    </row>
    <row r="826" spans="1:113" ht="15" customHeight="1">
      <c r="A826" s="2185"/>
      <c r="B826" s="2116" t="s">
        <v>194</v>
      </c>
      <c r="C826" s="41"/>
      <c r="D826" s="26"/>
      <c r="E826" s="26"/>
      <c r="F826" s="26"/>
      <c r="G826" s="26"/>
      <c r="H826" s="26"/>
      <c r="I826" s="26"/>
      <c r="J826" s="75"/>
      <c r="K826" s="26"/>
      <c r="L826" s="75"/>
      <c r="M826" s="26"/>
      <c r="N826" s="1205"/>
      <c r="O826" s="467"/>
      <c r="P826" s="467"/>
      <c r="Q826" s="252"/>
      <c r="R826" s="252"/>
      <c r="S826" s="127" t="s">
        <v>235</v>
      </c>
      <c r="T826" s="119" t="s">
        <v>391</v>
      </c>
      <c r="U826" s="855"/>
      <c r="V826" s="2163"/>
      <c r="W826" s="34" t="s">
        <v>47</v>
      </c>
      <c r="X826" s="291" t="s">
        <v>247</v>
      </c>
      <c r="Y826" s="158">
        <f>((50*$R$819)+(0.57*$R$818)+$R$822+$T$825)*(1+$T$827)</f>
        <v>615.67912562799972</v>
      </c>
      <c r="Z826" s="158" t="s">
        <v>40</v>
      </c>
      <c r="AA826" s="170" t="s">
        <v>40</v>
      </c>
      <c r="AB826" s="919"/>
      <c r="AC826" s="26"/>
      <c r="AD826" s="24"/>
      <c r="AE826" s="26"/>
      <c r="AF826" s="75"/>
      <c r="AG826" s="26"/>
      <c r="AH826" s="957"/>
      <c r="AI826" s="957"/>
      <c r="AJ826" s="957"/>
      <c r="AK826" s="957"/>
      <c r="AL826" s="957"/>
      <c r="AM826" s="957"/>
      <c r="AN826" s="957"/>
      <c r="AO826" s="957"/>
      <c r="AP826" s="957"/>
      <c r="AQ826" s="957"/>
      <c r="AR826" s="957"/>
      <c r="AS826" s="957"/>
      <c r="AT826" s="957"/>
      <c r="AU826" s="957"/>
      <c r="AV826" s="957"/>
      <c r="AW826" s="957"/>
      <c r="AX826" s="957"/>
      <c r="AY826" s="957"/>
      <c r="AZ826" s="957"/>
      <c r="BA826" s="957"/>
      <c r="BB826" s="957"/>
      <c r="BC826" s="957"/>
      <c r="BD826" s="957"/>
      <c r="BE826" s="957"/>
      <c r="BF826" s="957"/>
      <c r="BG826" s="957"/>
    </row>
    <row r="827" spans="1:113">
      <c r="A827" s="2185"/>
      <c r="B827" s="2117"/>
      <c r="C827" s="41"/>
      <c r="D827" s="26"/>
      <c r="E827" s="26"/>
      <c r="F827" s="26"/>
      <c r="G827" s="26"/>
      <c r="H827" s="26"/>
      <c r="I827" s="26"/>
      <c r="J827" s="75"/>
      <c r="K827" s="26"/>
      <c r="L827" s="75"/>
      <c r="M827" s="26"/>
      <c r="N827" s="1205"/>
      <c r="O827" s="467"/>
      <c r="P827" s="467"/>
      <c r="Q827" s="252"/>
      <c r="R827" s="252"/>
      <c r="S827" s="326">
        <v>153.53399999999999</v>
      </c>
      <c r="T827" s="415">
        <v>0.15</v>
      </c>
      <c r="U827" s="862"/>
      <c r="V827" s="2163"/>
      <c r="W827" s="34" t="s">
        <v>49</v>
      </c>
      <c r="X827" s="291" t="s">
        <v>248</v>
      </c>
      <c r="Y827" s="158">
        <f>((50*$R$819)+(0.62*$R$818)+$R$822+$R$820+$T$825)*(1+$T$827)</f>
        <v>921.11587387948134</v>
      </c>
      <c r="Z827" s="158">
        <f>Y827-$Y$826</f>
        <v>305.43674825148162</v>
      </c>
      <c r="AA827" s="170">
        <f>(0.62-0.57)*$P$818</f>
        <v>50.256074800000043</v>
      </c>
      <c r="AB827" s="919"/>
      <c r="AC827" s="26"/>
      <c r="AD827" s="24"/>
      <c r="AE827" s="26"/>
      <c r="AF827" s="75"/>
      <c r="AG827" s="26"/>
      <c r="AH827" s="957"/>
      <c r="AI827" s="957"/>
      <c r="AJ827" s="957"/>
      <c r="AK827" s="957"/>
      <c r="AL827" s="957"/>
      <c r="AM827" s="957"/>
      <c r="AN827" s="957"/>
      <c r="AO827" s="957"/>
      <c r="AP827" s="957"/>
      <c r="AQ827" s="957"/>
      <c r="AR827" s="957"/>
      <c r="AS827" s="957"/>
      <c r="AT827" s="957"/>
      <c r="AU827" s="957"/>
      <c r="AV827" s="957"/>
      <c r="AW827" s="957"/>
      <c r="AX827" s="957"/>
      <c r="AY827" s="957"/>
      <c r="AZ827" s="957"/>
      <c r="BA827" s="957"/>
      <c r="BB827" s="957"/>
      <c r="BC827" s="957"/>
      <c r="BD827" s="957"/>
      <c r="BE827" s="957"/>
      <c r="BF827" s="957"/>
      <c r="BG827" s="957"/>
    </row>
    <row r="828" spans="1:113">
      <c r="A828" s="2185"/>
      <c r="B828" s="2117"/>
      <c r="C828" s="41"/>
      <c r="D828" s="26"/>
      <c r="E828" s="26"/>
      <c r="F828" s="26"/>
      <c r="G828" s="26"/>
      <c r="H828" s="26"/>
      <c r="I828" s="26"/>
      <c r="J828" s="75"/>
      <c r="K828" s="26"/>
      <c r="L828" s="75"/>
      <c r="M828" s="26"/>
      <c r="N828" s="1205"/>
      <c r="O828" s="467"/>
      <c r="P828" s="467"/>
      <c r="Q828" s="252"/>
      <c r="R828" s="252"/>
      <c r="S828" s="24"/>
      <c r="T828" s="26"/>
      <c r="V828" s="2163"/>
      <c r="W828" s="34" t="s">
        <v>49</v>
      </c>
      <c r="X828" s="291" t="s">
        <v>249</v>
      </c>
      <c r="Y828" s="158">
        <f>((50*$R$819)+(0.67*$R$818)+$R$822+$R$820+$T$825)*(1+$T$827)</f>
        <v>1055.2349801494815</v>
      </c>
      <c r="Z828" s="158">
        <f>Y828-$Y$826</f>
        <v>439.55585452148182</v>
      </c>
      <c r="AA828" s="170">
        <f>(0.67-0.57)*$P$818</f>
        <v>100.51214960000009</v>
      </c>
      <c r="AB828" s="919"/>
      <c r="AC828" s="26"/>
      <c r="AD828" s="24"/>
      <c r="AE828" s="26"/>
      <c r="AF828" s="75"/>
      <c r="AG828" s="26"/>
      <c r="AH828" s="957"/>
      <c r="AI828" s="957"/>
      <c r="AJ828" s="957"/>
      <c r="AK828" s="957"/>
      <c r="AL828" s="957"/>
      <c r="AM828" s="957"/>
      <c r="AN828" s="957"/>
      <c r="AO828" s="957"/>
      <c r="AP828" s="957"/>
      <c r="AQ828" s="957"/>
      <c r="AR828" s="957"/>
      <c r="AS828" s="957"/>
      <c r="AT828" s="957"/>
      <c r="AU828" s="957"/>
      <c r="AV828" s="957"/>
      <c r="AW828" s="957"/>
      <c r="AX828" s="957"/>
      <c r="AY828" s="957"/>
      <c r="AZ828" s="957"/>
      <c r="BA828" s="957"/>
      <c r="BB828" s="957"/>
      <c r="BC828" s="957"/>
      <c r="BD828" s="957"/>
      <c r="BE828" s="957"/>
      <c r="BF828" s="957"/>
      <c r="BG828" s="957"/>
    </row>
    <row r="829" spans="1:113">
      <c r="A829" s="2185"/>
      <c r="B829" s="2117"/>
      <c r="C829" s="41"/>
      <c r="D829" s="26"/>
      <c r="E829" s="26"/>
      <c r="F829" s="26"/>
      <c r="G829" s="26"/>
      <c r="H829" s="26"/>
      <c r="I829" s="26"/>
      <c r="J829" s="75"/>
      <c r="K829" s="26"/>
      <c r="L829" s="75"/>
      <c r="M829" s="26"/>
      <c r="N829" s="1205"/>
      <c r="O829" s="467"/>
      <c r="P829" s="467"/>
      <c r="Q829" s="252"/>
      <c r="R829" s="252"/>
      <c r="S829" s="123"/>
      <c r="T829" s="41"/>
      <c r="U829" s="854"/>
      <c r="V829" s="2163"/>
      <c r="W829" s="34" t="s">
        <v>49</v>
      </c>
      <c r="X829" s="291" t="s">
        <v>250</v>
      </c>
      <c r="Y829" s="158">
        <f>((50*$R$819)+(0.7*$R$818)+$R$822+$R$820+$T$825)*(1+$T$827)</f>
        <v>1135.7064439114811</v>
      </c>
      <c r="Z829" s="158">
        <f>Y829-$Y$826</f>
        <v>520.02731828348135</v>
      </c>
      <c r="AA829" s="170">
        <f>(0.7-0.57)*$P$818</f>
        <v>130.66579447999999</v>
      </c>
      <c r="AB829" s="919"/>
      <c r="AC829" s="26"/>
      <c r="AD829" s="24"/>
      <c r="AE829" s="26"/>
      <c r="AF829" s="75"/>
      <c r="AG829" s="26"/>
      <c r="AH829" s="957"/>
      <c r="AI829" s="957"/>
      <c r="AJ829" s="957"/>
      <c r="AK829" s="957"/>
      <c r="AL829" s="957"/>
      <c r="AM829" s="957"/>
      <c r="AN829" s="957"/>
      <c r="AO829" s="957"/>
      <c r="AP829" s="957"/>
      <c r="AQ829" s="957"/>
      <c r="AR829" s="957"/>
      <c r="AS829" s="957"/>
      <c r="AT829" s="957"/>
      <c r="AU829" s="957"/>
      <c r="AV829" s="957"/>
      <c r="AW829" s="957"/>
      <c r="AX829" s="957"/>
      <c r="AY829" s="957"/>
      <c r="AZ829" s="957"/>
      <c r="BA829" s="957"/>
      <c r="BB829" s="957"/>
      <c r="BC829" s="957"/>
      <c r="BD829" s="957"/>
      <c r="BE829" s="957"/>
      <c r="BF829" s="957"/>
      <c r="BG829" s="957"/>
    </row>
    <row r="830" spans="1:113">
      <c r="A830" s="2185"/>
      <c r="B830" s="2117"/>
      <c r="C830" s="41"/>
      <c r="D830" s="26"/>
      <c r="E830" s="26"/>
      <c r="F830" s="26"/>
      <c r="G830" s="26"/>
      <c r="H830" s="26"/>
      <c r="I830" s="26"/>
      <c r="J830" s="75"/>
      <c r="K830" s="26"/>
      <c r="L830" s="75"/>
      <c r="M830" s="26"/>
      <c r="N830" s="1205"/>
      <c r="O830" s="467"/>
      <c r="P830" s="467"/>
      <c r="Q830" s="252"/>
      <c r="R830" s="252"/>
      <c r="S830" s="123"/>
      <c r="T830" s="41"/>
      <c r="U830" s="854"/>
      <c r="V830" s="2163"/>
      <c r="W830" s="34" t="s">
        <v>47</v>
      </c>
      <c r="X830" s="291" t="s">
        <v>251</v>
      </c>
      <c r="Y830" s="158">
        <f>((60*$R$819)+(0.56*$R$818)+$R$822+$T$825)*(1+$T$827)</f>
        <v>693.13329087399961</v>
      </c>
      <c r="Z830" s="158" t="s">
        <v>40</v>
      </c>
      <c r="AA830" s="170" t="s">
        <v>40</v>
      </c>
      <c r="AB830" s="919"/>
      <c r="AC830" s="26"/>
      <c r="AD830" s="24"/>
      <c r="AE830" s="26"/>
      <c r="AF830" s="75"/>
      <c r="AG830" s="26"/>
      <c r="AH830" s="957"/>
      <c r="AI830" s="957"/>
      <c r="AJ830" s="957"/>
      <c r="AK830" s="957"/>
      <c r="AL830" s="957"/>
      <c r="AM830" s="957"/>
      <c r="AN830" s="957"/>
      <c r="AO830" s="957"/>
      <c r="AP830" s="957"/>
      <c r="AQ830" s="957"/>
      <c r="AR830" s="957"/>
      <c r="AS830" s="957"/>
      <c r="AT830" s="957"/>
      <c r="AU830" s="957"/>
      <c r="AV830" s="957"/>
      <c r="AW830" s="957"/>
      <c r="AX830" s="957"/>
      <c r="AY830" s="957"/>
      <c r="AZ830" s="957"/>
      <c r="BA830" s="957"/>
      <c r="BB830" s="957"/>
      <c r="BC830" s="957"/>
      <c r="BD830" s="957"/>
      <c r="BE830" s="957"/>
      <c r="BF830" s="957"/>
      <c r="BG830" s="957"/>
    </row>
    <row r="831" spans="1:113">
      <c r="A831" s="2185"/>
      <c r="B831" s="2117"/>
      <c r="C831" s="41"/>
      <c r="D831" s="26"/>
      <c r="E831" s="26"/>
      <c r="F831" s="26"/>
      <c r="G831" s="26"/>
      <c r="H831" s="26"/>
      <c r="I831" s="26"/>
      <c r="J831" s="75"/>
      <c r="K831" s="26"/>
      <c r="L831" s="75"/>
      <c r="M831" s="26"/>
      <c r="N831" s="1205"/>
      <c r="O831" s="467"/>
      <c r="P831" s="467"/>
      <c r="Q831" s="252"/>
      <c r="R831" s="252"/>
      <c r="S831" s="123"/>
      <c r="T831" s="41"/>
      <c r="U831" s="854"/>
      <c r="V831" s="2163"/>
      <c r="W831" s="34" t="s">
        <v>49</v>
      </c>
      <c r="X831" s="291" t="s">
        <v>252</v>
      </c>
      <c r="Y831" s="158">
        <f>((60*$R$819)+(0.62*$R$818)+$R$822+$R$820+$T$825)*(1+$T$827)</f>
        <v>1025.3938603794811</v>
      </c>
      <c r="Z831" s="158">
        <f>Y831-$Y$830</f>
        <v>332.2605695054815</v>
      </c>
      <c r="AA831" s="170">
        <f>(0.62-0.56)*$P$818</f>
        <v>60.307289759999939</v>
      </c>
      <c r="AB831" s="919"/>
      <c r="AC831" s="26"/>
      <c r="AD831" s="24"/>
      <c r="AE831" s="26"/>
      <c r="AF831" s="75"/>
      <c r="AG831" s="26"/>
      <c r="AH831" s="957"/>
      <c r="AI831" s="957"/>
      <c r="AJ831" s="957"/>
      <c r="AK831" s="957"/>
      <c r="AL831" s="957"/>
      <c r="AM831" s="957"/>
      <c r="AN831" s="957"/>
      <c r="AO831" s="957"/>
      <c r="AP831" s="957"/>
      <c r="AQ831" s="957"/>
      <c r="AR831" s="957"/>
      <c r="AS831" s="957"/>
      <c r="AT831" s="957"/>
      <c r="AU831" s="957"/>
      <c r="AV831" s="957"/>
      <c r="AW831" s="957"/>
      <c r="AX831" s="957"/>
      <c r="AY831" s="957"/>
      <c r="AZ831" s="957"/>
      <c r="BA831" s="957"/>
      <c r="BB831" s="957"/>
      <c r="BC831" s="957"/>
      <c r="BD831" s="957"/>
      <c r="BE831" s="957"/>
      <c r="BF831" s="957"/>
      <c r="BG831" s="957"/>
    </row>
    <row r="832" spans="1:113">
      <c r="A832" s="2185"/>
      <c r="B832" s="2117"/>
      <c r="C832" s="41"/>
      <c r="D832" s="26"/>
      <c r="E832" s="26"/>
      <c r="F832" s="26"/>
      <c r="G832" s="26"/>
      <c r="H832" s="26"/>
      <c r="I832" s="26"/>
      <c r="J832" s="75"/>
      <c r="K832" s="26"/>
      <c r="L832" s="75"/>
      <c r="M832" s="26"/>
      <c r="N832" s="1205"/>
      <c r="O832" s="467"/>
      <c r="P832" s="467"/>
      <c r="Q832" s="252"/>
      <c r="R832" s="252"/>
      <c r="S832" s="123"/>
      <c r="T832" s="41"/>
      <c r="U832" s="854"/>
      <c r="V832" s="2163"/>
      <c r="W832" s="34" t="s">
        <v>49</v>
      </c>
      <c r="X832" s="291" t="s">
        <v>253</v>
      </c>
      <c r="Y832" s="158">
        <f>((60*$R$819)+(0.66*$R$818)+$R$822+$R$820+$T$825)*(1+$T$827)</f>
        <v>1132.6891453954809</v>
      </c>
      <c r="Z832" s="158">
        <f>Y832-$Y$830</f>
        <v>439.55585452148125</v>
      </c>
      <c r="AA832" s="170">
        <f>(0.66-0.56)*$P$818</f>
        <v>100.51214959999997</v>
      </c>
      <c r="AB832" s="919"/>
      <c r="AC832" s="26"/>
      <c r="AD832" s="24"/>
      <c r="AE832" s="26"/>
      <c r="AF832" s="75"/>
      <c r="AG832" s="26"/>
      <c r="AH832" s="957"/>
      <c r="AI832" s="957"/>
      <c r="AJ832" s="957"/>
      <c r="AK832" s="957"/>
      <c r="AL832" s="957"/>
      <c r="AM832" s="957"/>
      <c r="AN832" s="957"/>
      <c r="AO832" s="957"/>
      <c r="AP832" s="957"/>
      <c r="AQ832" s="957"/>
      <c r="AR832" s="957"/>
      <c r="AS832" s="957"/>
      <c r="AT832" s="957"/>
      <c r="AU832" s="957"/>
      <c r="AV832" s="957"/>
      <c r="AW832" s="957"/>
      <c r="AX832" s="957"/>
      <c r="AY832" s="957"/>
      <c r="AZ832" s="957"/>
      <c r="BA832" s="957"/>
      <c r="BB832" s="957"/>
      <c r="BC832" s="957"/>
      <c r="BD832" s="957"/>
      <c r="BE832" s="957"/>
      <c r="BF832" s="957"/>
      <c r="BG832" s="957"/>
    </row>
    <row r="833" spans="1:123">
      <c r="A833" s="2185"/>
      <c r="B833" s="2117"/>
      <c r="C833" s="41"/>
      <c r="D833" s="26"/>
      <c r="E833" s="26"/>
      <c r="F833" s="26"/>
      <c r="G833" s="26"/>
      <c r="H833" s="26"/>
      <c r="I833" s="26"/>
      <c r="J833" s="75"/>
      <c r="K833" s="26"/>
      <c r="L833" s="75"/>
      <c r="M833" s="26"/>
      <c r="N833" s="1205"/>
      <c r="O833" s="467"/>
      <c r="P833" s="467"/>
      <c r="Q833" s="252"/>
      <c r="R833" s="252"/>
      <c r="S833" s="123"/>
      <c r="T833" s="41"/>
      <c r="U833" s="854"/>
      <c r="V833" s="2163"/>
      <c r="W833" s="34" t="s">
        <v>49</v>
      </c>
      <c r="X833" s="291" t="s">
        <v>254</v>
      </c>
      <c r="Y833" s="158">
        <f>((60*$R$819)+(0.7*$R$818)+$R$822+$R$820+$T$825)*(1+$T$827)</f>
        <v>1239.9844304114808</v>
      </c>
      <c r="Z833" s="158">
        <f>Y833-$Y$830</f>
        <v>546.85113953748123</v>
      </c>
      <c r="AA833" s="170">
        <f>(0.7-0.56)*$P$818</f>
        <v>140.71700943999991</v>
      </c>
      <c r="AB833" s="919"/>
      <c r="AC833" s="26"/>
      <c r="AD833" s="24"/>
      <c r="AE833" s="26"/>
      <c r="AF833" s="75"/>
      <c r="AG833" s="26"/>
      <c r="AH833" s="957"/>
      <c r="AI833" s="957"/>
      <c r="AJ833" s="957"/>
      <c r="AK833" s="957"/>
      <c r="AL833" s="957"/>
      <c r="AM833" s="957"/>
      <c r="AN833" s="957"/>
      <c r="AO833" s="957"/>
      <c r="AP833" s="957"/>
      <c r="AQ833" s="957"/>
      <c r="AR833" s="957"/>
      <c r="AS833" s="957"/>
      <c r="AT833" s="957"/>
      <c r="AU833" s="957"/>
      <c r="AV833" s="957"/>
      <c r="AW833" s="957"/>
      <c r="AX833" s="957"/>
      <c r="AY833" s="957"/>
      <c r="AZ833" s="957"/>
      <c r="BA833" s="957"/>
      <c r="BB833" s="957"/>
      <c r="BC833" s="957"/>
      <c r="BD833" s="957"/>
      <c r="BE833" s="957"/>
      <c r="BF833" s="957"/>
      <c r="BG833" s="957"/>
    </row>
    <row r="834" spans="1:123">
      <c r="A834" s="2185"/>
      <c r="B834" s="2117"/>
      <c r="C834" s="41"/>
      <c r="D834" s="26"/>
      <c r="E834" s="26"/>
      <c r="F834" s="26"/>
      <c r="G834" s="26"/>
      <c r="H834" s="26"/>
      <c r="I834" s="26"/>
      <c r="J834" s="75"/>
      <c r="K834" s="26"/>
      <c r="L834" s="75"/>
      <c r="M834" s="26"/>
      <c r="N834" s="1205"/>
      <c r="O834" s="467"/>
      <c r="P834" s="467"/>
      <c r="Q834" s="252"/>
      <c r="R834" s="252"/>
      <c r="S834" s="123"/>
      <c r="T834" s="41"/>
      <c r="U834" s="854"/>
      <c r="V834" s="2163"/>
      <c r="W834" s="34" t="s">
        <v>47</v>
      </c>
      <c r="X834" s="291" t="s">
        <v>255</v>
      </c>
      <c r="Y834" s="158">
        <f>((75*$R$819)+(0.53*$R$818)+$R$822+$T$825)*(1+$T$827)</f>
        <v>769.07880686199974</v>
      </c>
      <c r="Z834" s="158" t="s">
        <v>40</v>
      </c>
      <c r="AA834" s="170" t="s">
        <v>40</v>
      </c>
      <c r="AB834" s="919"/>
      <c r="AC834" s="26"/>
      <c r="AD834" s="24"/>
      <c r="AE834" s="26"/>
      <c r="AF834" s="75"/>
      <c r="AG834" s="26"/>
      <c r="AH834" s="957"/>
      <c r="AI834" s="957"/>
      <c r="AJ834" s="957"/>
      <c r="AK834" s="957"/>
      <c r="AL834" s="957"/>
      <c r="AM834" s="957"/>
      <c r="AN834" s="957"/>
      <c r="AO834" s="957"/>
      <c r="AP834" s="957"/>
      <c r="AQ834" s="957"/>
      <c r="AR834" s="957"/>
      <c r="AS834" s="957"/>
      <c r="AT834" s="957"/>
      <c r="AU834" s="957"/>
      <c r="AV834" s="957"/>
      <c r="AW834" s="957"/>
      <c r="AX834" s="957"/>
      <c r="AY834" s="957"/>
      <c r="AZ834" s="957"/>
      <c r="BA834" s="957"/>
      <c r="BB834" s="957"/>
      <c r="BC834" s="957"/>
      <c r="BD834" s="957"/>
      <c r="BE834" s="957"/>
      <c r="BF834" s="957"/>
      <c r="BG834" s="957"/>
    </row>
    <row r="835" spans="1:123">
      <c r="A835" s="2185"/>
      <c r="B835" s="2117"/>
      <c r="C835" s="41"/>
      <c r="D835" s="26"/>
      <c r="E835" s="26"/>
      <c r="F835" s="26"/>
      <c r="G835" s="26"/>
      <c r="H835" s="26"/>
      <c r="I835" s="26"/>
      <c r="J835" s="75"/>
      <c r="K835" s="26"/>
      <c r="L835" s="75"/>
      <c r="M835" s="26"/>
      <c r="N835" s="1205"/>
      <c r="O835" s="467"/>
      <c r="P835" s="467"/>
      <c r="Q835" s="252"/>
      <c r="R835" s="252"/>
      <c r="S835" s="123"/>
      <c r="T835" s="41"/>
      <c r="U835" s="854"/>
      <c r="V835" s="2163"/>
      <c r="W835" s="34" t="s">
        <v>49</v>
      </c>
      <c r="X835" s="291" t="s">
        <v>256</v>
      </c>
      <c r="Y835" s="158">
        <f>((75*$R$819)+(0.62*$R$818)+$R$822+$R$820+$T$825)*(1+$T$827)</f>
        <v>1181.810840129481</v>
      </c>
      <c r="Z835" s="158">
        <f>Y835-$Y$834</f>
        <v>412.73203326748126</v>
      </c>
      <c r="AA835" s="170">
        <f>(0.62-0.53)*$P$818</f>
        <v>90.460934639999962</v>
      </c>
      <c r="AB835" s="919"/>
      <c r="AC835" s="26"/>
      <c r="AD835" s="24"/>
      <c r="AE835" s="26"/>
      <c r="AF835" s="75"/>
      <c r="AG835" s="26"/>
      <c r="AH835" s="957"/>
      <c r="AI835" s="957"/>
      <c r="AJ835" s="957"/>
      <c r="AK835" s="957"/>
      <c r="AL835" s="957"/>
      <c r="AM835" s="957"/>
      <c r="AN835" s="957"/>
      <c r="AO835" s="957"/>
      <c r="AP835" s="957"/>
      <c r="AQ835" s="957"/>
      <c r="AR835" s="957"/>
      <c r="AS835" s="957"/>
      <c r="AT835" s="957"/>
      <c r="AU835" s="957"/>
      <c r="AV835" s="957"/>
      <c r="AW835" s="957"/>
      <c r="AX835" s="957"/>
      <c r="AY835" s="957"/>
      <c r="AZ835" s="957"/>
      <c r="BA835" s="957"/>
      <c r="BB835" s="957"/>
      <c r="BC835" s="957"/>
      <c r="BD835" s="957"/>
      <c r="BE835" s="957"/>
      <c r="BF835" s="957"/>
      <c r="BG835" s="957"/>
    </row>
    <row r="836" spans="1:123">
      <c r="A836" s="2185"/>
      <c r="B836" s="2117"/>
      <c r="C836" s="41"/>
      <c r="D836" s="26"/>
      <c r="E836" s="26"/>
      <c r="F836" s="26"/>
      <c r="G836" s="26"/>
      <c r="H836" s="26"/>
      <c r="I836" s="26"/>
      <c r="J836" s="75"/>
      <c r="K836" s="26"/>
      <c r="L836" s="75"/>
      <c r="M836" s="26"/>
      <c r="N836" s="1205"/>
      <c r="O836" s="467"/>
      <c r="P836" s="467"/>
      <c r="Q836" s="252"/>
      <c r="R836" s="252"/>
      <c r="S836" s="123"/>
      <c r="T836" s="41"/>
      <c r="U836" s="854"/>
      <c r="V836" s="2163"/>
      <c r="W836" s="34" t="s">
        <v>49</v>
      </c>
      <c r="X836" s="291" t="s">
        <v>257</v>
      </c>
      <c r="Y836" s="158">
        <f>((75*$R$819)+(0.66*$R$818)+$R$822+$R$820+$T$825)*(1+$T$827)</f>
        <v>1289.1061251454812</v>
      </c>
      <c r="Z836" s="158">
        <f>Y836-$Y$834</f>
        <v>520.02731828348146</v>
      </c>
      <c r="AA836" s="170">
        <f>(0.66-0.53)*$P$818</f>
        <v>130.66579447999999</v>
      </c>
      <c r="AB836" s="919"/>
      <c r="AC836" s="26"/>
      <c r="AD836" s="24"/>
      <c r="AE836" s="26"/>
      <c r="AF836" s="75"/>
      <c r="AG836" s="26"/>
      <c r="AH836" s="957"/>
      <c r="AI836" s="957"/>
      <c r="AJ836" s="957"/>
      <c r="AK836" s="957"/>
      <c r="AL836" s="957"/>
      <c r="AM836" s="957"/>
      <c r="AN836" s="957"/>
      <c r="AO836" s="957"/>
      <c r="AP836" s="957"/>
      <c r="AQ836" s="957"/>
      <c r="AR836" s="957"/>
      <c r="AS836" s="957"/>
      <c r="AT836" s="957"/>
      <c r="AU836" s="957"/>
      <c r="AV836" s="957"/>
      <c r="AW836" s="957"/>
      <c r="AX836" s="957"/>
      <c r="AY836" s="957"/>
      <c r="AZ836" s="957"/>
      <c r="BA836" s="957"/>
      <c r="BB836" s="957"/>
      <c r="BC836" s="957"/>
      <c r="BD836" s="957"/>
      <c r="BE836" s="957"/>
      <c r="BF836" s="957"/>
      <c r="BG836" s="957"/>
    </row>
    <row r="837" spans="1:123" ht="15.75" thickBot="1">
      <c r="A837" s="2185"/>
      <c r="B837" s="2118"/>
      <c r="C837" s="41"/>
      <c r="D837" s="26"/>
      <c r="E837" s="26"/>
      <c r="F837" s="26"/>
      <c r="G837" s="26"/>
      <c r="H837" s="26"/>
      <c r="I837" s="26"/>
      <c r="J837" s="75"/>
      <c r="K837" s="26"/>
      <c r="L837" s="75"/>
      <c r="M837" s="26"/>
      <c r="N837" s="1205"/>
      <c r="O837" s="467"/>
      <c r="P837" s="467"/>
      <c r="Q837" s="252"/>
      <c r="R837" s="252"/>
      <c r="S837" s="123"/>
      <c r="T837" s="41"/>
      <c r="U837" s="854"/>
      <c r="V837" s="2414"/>
      <c r="W837" s="34" t="s">
        <v>49</v>
      </c>
      <c r="X837" s="291" t="s">
        <v>258</v>
      </c>
      <c r="Y837" s="158">
        <f>((75*$R$819)+(0.7*$R$818)+$R$822+$R$820+$T$825)*(1+$T$827)</f>
        <v>1396.4014101614807</v>
      </c>
      <c r="Z837" s="158">
        <f>Y837-$Y$834</f>
        <v>627.32260329948099</v>
      </c>
      <c r="AA837" s="170">
        <f>(0.7-0.53)*$P$818</f>
        <v>170.87065431999991</v>
      </c>
      <c r="AB837" s="919"/>
      <c r="AC837" s="26"/>
      <c r="AD837" s="24"/>
      <c r="AE837" s="26"/>
      <c r="AF837" s="75"/>
      <c r="AG837" s="26"/>
      <c r="AH837" s="957"/>
      <c r="AI837" s="957"/>
      <c r="AJ837" s="957"/>
      <c r="AK837" s="957"/>
      <c r="AL837" s="957"/>
      <c r="AM837" s="957"/>
      <c r="AN837" s="957"/>
      <c r="AO837" s="957"/>
      <c r="AP837" s="957"/>
      <c r="AQ837" s="957"/>
      <c r="AR837" s="957"/>
      <c r="AS837" s="957"/>
      <c r="AT837" s="957"/>
      <c r="AU837" s="957"/>
      <c r="AV837" s="957"/>
      <c r="AW837" s="957"/>
      <c r="AX837" s="957"/>
      <c r="AY837" s="957"/>
      <c r="AZ837" s="957"/>
      <c r="BA837" s="957"/>
      <c r="BB837" s="957"/>
      <c r="BC837" s="957"/>
      <c r="BD837" s="957"/>
      <c r="BE837" s="957"/>
      <c r="BF837" s="957"/>
      <c r="BG837" s="957"/>
    </row>
    <row r="838" spans="1:123" s="808" customFormat="1" ht="9" customHeight="1" thickBot="1">
      <c r="A838" s="695"/>
      <c r="B838" s="815"/>
      <c r="C838" s="684"/>
      <c r="D838" s="683"/>
      <c r="E838" s="683"/>
      <c r="F838" s="683"/>
      <c r="G838" s="683"/>
      <c r="H838" s="683"/>
      <c r="I838" s="683"/>
      <c r="J838" s="682"/>
      <c r="K838" s="683"/>
      <c r="L838" s="682"/>
      <c r="M838" s="685"/>
      <c r="N838" s="1189"/>
      <c r="O838" s="686"/>
      <c r="P838" s="686"/>
      <c r="Q838" s="687"/>
      <c r="R838" s="687"/>
      <c r="S838" s="688"/>
      <c r="T838" s="688"/>
      <c r="U838" s="891"/>
      <c r="V838" s="893"/>
      <c r="W838" s="685"/>
      <c r="X838" s="685"/>
      <c r="Y838" s="685"/>
      <c r="Z838" s="685"/>
      <c r="AA838" s="685"/>
      <c r="AB838" s="852"/>
      <c r="AC838" s="685"/>
      <c r="AD838" s="685"/>
      <c r="AE838" s="685"/>
      <c r="AF838" s="689"/>
      <c r="AG838" s="685"/>
      <c r="AH838" s="959"/>
      <c r="AI838" s="959"/>
      <c r="AJ838" s="959"/>
      <c r="AK838" s="959"/>
      <c r="AL838" s="959"/>
      <c r="AM838" s="959"/>
      <c r="AN838" s="959"/>
      <c r="AO838" s="959"/>
      <c r="AP838" s="959"/>
      <c r="AQ838" s="959"/>
      <c r="AR838" s="959"/>
      <c r="AS838" s="959"/>
      <c r="AT838" s="959"/>
      <c r="AU838" s="959"/>
      <c r="AV838" s="959" t="s">
        <v>321</v>
      </c>
      <c r="AW838" s="959" t="s">
        <v>322</v>
      </c>
      <c r="AX838" s="959"/>
      <c r="AY838" s="959"/>
      <c r="AZ838" s="959"/>
      <c r="BA838" s="959"/>
      <c r="BB838" s="959"/>
      <c r="BC838" s="959"/>
      <c r="BD838" s="959"/>
      <c r="BE838" s="959"/>
      <c r="BF838" s="959"/>
      <c r="BG838" s="959"/>
      <c r="BH838" s="1126"/>
      <c r="DI838" s="740"/>
    </row>
    <row r="839" spans="1:123" s="337" customFormat="1">
      <c r="A839" s="2184" t="s">
        <v>636</v>
      </c>
      <c r="B839" s="952" t="s">
        <v>213</v>
      </c>
      <c r="C839" s="835" t="s">
        <v>12</v>
      </c>
      <c r="D839" s="595" t="s">
        <v>598</v>
      </c>
      <c r="E839" s="594">
        <v>33</v>
      </c>
      <c r="F839" s="594">
        <v>0.92</v>
      </c>
      <c r="G839" s="594">
        <v>1.6393999999999999E-2</v>
      </c>
      <c r="H839" s="596">
        <v>427.19</v>
      </c>
      <c r="I839" s="332">
        <v>188.93</v>
      </c>
      <c r="J839" s="1" t="s">
        <v>12</v>
      </c>
      <c r="K839" s="1150" t="s">
        <v>599</v>
      </c>
      <c r="L839" s="1169" t="s">
        <v>15</v>
      </c>
      <c r="M839" s="1177" t="s">
        <v>15</v>
      </c>
      <c r="N839" s="1221">
        <v>8916.7788459999992</v>
      </c>
      <c r="O839" s="466">
        <v>5.19</v>
      </c>
      <c r="P839" s="488">
        <v>1716.4656709999999</v>
      </c>
      <c r="Q839" s="948" t="s">
        <v>15</v>
      </c>
      <c r="R839" s="949">
        <f>N839</f>
        <v>8916.7788459999992</v>
      </c>
      <c r="S839" s="950" t="s">
        <v>68</v>
      </c>
      <c r="T839" s="951" t="s">
        <v>69</v>
      </c>
      <c r="U839" s="876"/>
      <c r="V839" s="2415" t="s">
        <v>2749</v>
      </c>
      <c r="W839" s="616" t="s">
        <v>47</v>
      </c>
      <c r="X839" s="797" t="s">
        <v>608</v>
      </c>
      <c r="Y839" s="945">
        <f>((30*$R$840)+(0.93*$R$839)+$R$841+$T$846)*(1+$T$848)</f>
        <v>361.48050610590332</v>
      </c>
      <c r="Z839" s="2240">
        <f>Y840-Y839</f>
        <v>205.08591345799863</v>
      </c>
      <c r="AA839" s="2238">
        <f>(0.95-0.93)*$P$839</f>
        <v>34.329313419999842</v>
      </c>
      <c r="AB839" s="924"/>
      <c r="AC839" s="347"/>
      <c r="AD839" s="2140" t="s">
        <v>142</v>
      </c>
      <c r="AE839" s="2151"/>
      <c r="AF839" s="1" t="s">
        <v>47</v>
      </c>
      <c r="AG839" s="616" t="s">
        <v>637</v>
      </c>
      <c r="AH839" s="945">
        <f>((30*$R$840)+(0.93*$R$839)+$R$841+$T$846)*1.15</f>
        <v>361.48050610590332</v>
      </c>
      <c r="AI839" s="935">
        <v>347</v>
      </c>
      <c r="AJ839" s="935">
        <v>248</v>
      </c>
      <c r="AK839" s="935">
        <v>518.04</v>
      </c>
      <c r="AL839" s="935">
        <v>459.49</v>
      </c>
      <c r="AM839" s="935"/>
      <c r="AN839" s="935"/>
      <c r="AO839" s="935"/>
      <c r="AP839" s="935"/>
      <c r="AQ839" s="935"/>
      <c r="AR839" s="935"/>
      <c r="AS839" s="935"/>
      <c r="AT839" s="935"/>
      <c r="AU839" s="1030"/>
      <c r="AV839" s="1012">
        <f t="shared" ref="AV839:AV846" si="28">AH839-AVERAGE(AI839:AU839)</f>
        <v>-31.651993894096677</v>
      </c>
      <c r="AW839" s="1326">
        <f t="shared" ref="AW839:AW846" si="29">AV839/AVERAGE(AI839:AU839)</f>
        <v>-8.0512279941487103E-2</v>
      </c>
      <c r="AX839" s="1024"/>
      <c r="AY839" s="1024"/>
      <c r="AZ839" s="1024"/>
      <c r="BA839" s="1024"/>
      <c r="BB839" s="1024"/>
      <c r="BC839" s="1024"/>
      <c r="BD839" s="1024"/>
      <c r="BE839" s="1024"/>
      <c r="BF839" s="1024"/>
      <c r="BG839" s="1024"/>
      <c r="BH839" s="1132"/>
      <c r="CF839" s="559"/>
      <c r="CG839" s="559"/>
      <c r="CH839" s="559"/>
      <c r="CI839" s="559"/>
      <c r="CJ839" s="559"/>
      <c r="CK839" s="559"/>
      <c r="CL839" s="559"/>
      <c r="CM839" s="559"/>
      <c r="CN839" s="559"/>
      <c r="CO839" s="559"/>
      <c r="CP839" s="559"/>
      <c r="CQ839" s="559"/>
      <c r="CR839" s="559"/>
      <c r="CS839" s="559"/>
      <c r="CT839" s="559"/>
      <c r="CU839" s="559"/>
      <c r="CV839" s="559"/>
      <c r="CW839" s="559"/>
      <c r="CX839" s="559"/>
      <c r="CY839" s="559"/>
      <c r="CZ839" s="559"/>
      <c r="DA839" s="559"/>
      <c r="DB839" s="559"/>
      <c r="DC839" s="559"/>
      <c r="DD839" s="559"/>
      <c r="DE839" s="559"/>
      <c r="DF839" s="559"/>
      <c r="DG839" s="559"/>
      <c r="DH839" s="559"/>
      <c r="DI839" s="562"/>
      <c r="DJ839" s="559"/>
      <c r="DK839" s="559"/>
      <c r="DL839" s="559"/>
      <c r="DM839" s="559"/>
      <c r="DN839" s="559"/>
      <c r="DO839" s="559"/>
      <c r="DP839" s="559"/>
      <c r="DQ839" s="559"/>
      <c r="DR839" s="559"/>
      <c r="DS839" s="559"/>
    </row>
    <row r="840" spans="1:123" s="337" customFormat="1">
      <c r="A840" s="2185"/>
      <c r="B840" s="1048" t="s">
        <v>600</v>
      </c>
      <c r="C840" s="23" t="s">
        <v>12</v>
      </c>
      <c r="D840" s="595" t="s">
        <v>601</v>
      </c>
      <c r="E840" s="594">
        <v>33</v>
      </c>
      <c r="F840" s="594">
        <v>42.666670000000003</v>
      </c>
      <c r="G840" s="594">
        <v>12.586370000000001</v>
      </c>
      <c r="H840" s="596">
        <v>427.19</v>
      </c>
      <c r="I840" s="332">
        <v>188.93</v>
      </c>
      <c r="J840" s="336" t="s">
        <v>12</v>
      </c>
      <c r="K840" s="559" t="s">
        <v>236</v>
      </c>
      <c r="L840" s="342" t="s">
        <v>15</v>
      </c>
      <c r="M840" s="341" t="s">
        <v>15</v>
      </c>
      <c r="N840" s="1221">
        <v>14.085943</v>
      </c>
      <c r="O840" s="466">
        <v>6.7</v>
      </c>
      <c r="P840" s="488">
        <v>2.1022280000000002</v>
      </c>
      <c r="Q840" s="482" t="s">
        <v>15</v>
      </c>
      <c r="R840" s="352">
        <f>N840</f>
        <v>14.085943</v>
      </c>
      <c r="S840" s="338" t="s">
        <v>238</v>
      </c>
      <c r="T840" s="308" t="s">
        <v>132</v>
      </c>
      <c r="U840" s="877"/>
      <c r="V840" s="2416"/>
      <c r="W840" s="335" t="s">
        <v>49</v>
      </c>
      <c r="X840" s="338" t="s">
        <v>602</v>
      </c>
      <c r="Y840" s="158">
        <f>((30*$R$840)+(0.95*$R$839)+$R$841+$T$846)*(1+$T$848)</f>
        <v>566.56641956390195</v>
      </c>
      <c r="Z840" s="2241"/>
      <c r="AA840" s="2239"/>
      <c r="AB840" s="924"/>
      <c r="AC840" s="347"/>
      <c r="AD840" s="20" t="s">
        <v>98</v>
      </c>
      <c r="AE840" s="405">
        <f>AVERAGE($AW$839:$AW$846)</f>
        <v>6.6047867734256291E-2</v>
      </c>
      <c r="AF840" s="336" t="s">
        <v>49</v>
      </c>
      <c r="AG840" s="335" t="s">
        <v>602</v>
      </c>
      <c r="AH840" s="158">
        <f>((30*$R$840)+(0.95*$R$839)+$R$841+$T$846)*1.15</f>
        <v>566.56641956390195</v>
      </c>
      <c r="AI840" s="937"/>
      <c r="AJ840" s="937"/>
      <c r="AK840" s="937"/>
      <c r="AL840" s="937"/>
      <c r="AM840" s="937"/>
      <c r="AN840" s="937"/>
      <c r="AO840" s="937">
        <v>336.25</v>
      </c>
      <c r="AP840" s="937">
        <v>435.35</v>
      </c>
      <c r="AQ840" s="937"/>
      <c r="AR840" s="937"/>
      <c r="AS840" s="937"/>
      <c r="AT840" s="937"/>
      <c r="AU840" s="937"/>
      <c r="AV840" s="1012">
        <f t="shared" si="28"/>
        <v>180.76641956390193</v>
      </c>
      <c r="AW840" s="1326">
        <f t="shared" si="29"/>
        <v>0.46854955822680644</v>
      </c>
      <c r="AX840" s="1024"/>
      <c r="AY840" s="1024"/>
      <c r="AZ840" s="1024"/>
      <c r="BA840" s="1024"/>
      <c r="BB840" s="1024"/>
      <c r="BC840" s="1024"/>
      <c r="BD840" s="1024"/>
      <c r="BE840" s="1024"/>
      <c r="BF840" s="1024"/>
      <c r="BG840" s="1024"/>
      <c r="BH840" s="1132"/>
      <c r="CF840" s="559"/>
      <c r="CG840" s="559"/>
      <c r="CH840" s="559"/>
      <c r="CI840" s="559"/>
      <c r="CJ840" s="559"/>
      <c r="CK840" s="559"/>
      <c r="CL840" s="559"/>
      <c r="CM840" s="559"/>
      <c r="CN840" s="559"/>
      <c r="CO840" s="559"/>
      <c r="CP840" s="559"/>
      <c r="CQ840" s="559"/>
      <c r="CR840" s="559"/>
      <c r="CS840" s="559"/>
      <c r="CT840" s="559"/>
      <c r="CU840" s="559"/>
      <c r="CV840" s="559"/>
      <c r="CW840" s="559"/>
      <c r="CX840" s="559"/>
      <c r="CY840" s="559"/>
      <c r="CZ840" s="559"/>
      <c r="DA840" s="559"/>
      <c r="DB840" s="559"/>
      <c r="DC840" s="559"/>
      <c r="DD840" s="559"/>
      <c r="DE840" s="559"/>
      <c r="DF840" s="559"/>
      <c r="DG840" s="559"/>
      <c r="DH840" s="559"/>
      <c r="DI840" s="562"/>
      <c r="DJ840" s="559"/>
      <c r="DK840" s="559"/>
      <c r="DL840" s="559"/>
      <c r="DM840" s="559"/>
      <c r="DN840" s="559"/>
      <c r="DO840" s="559"/>
      <c r="DP840" s="559"/>
      <c r="DQ840" s="559"/>
      <c r="DR840" s="559"/>
      <c r="DS840" s="559"/>
    </row>
    <row r="841" spans="1:123" s="337" customFormat="1">
      <c r="A841" s="2185"/>
      <c r="B841" s="2161" t="s">
        <v>125</v>
      </c>
      <c r="C841" s="2144" t="s">
        <v>13</v>
      </c>
      <c r="D841" s="346" t="s">
        <v>603</v>
      </c>
      <c r="E841" s="594">
        <v>7</v>
      </c>
      <c r="F841" s="340" t="s">
        <v>15</v>
      </c>
      <c r="G841" s="340" t="s">
        <v>15</v>
      </c>
      <c r="H841" s="596">
        <v>375.85</v>
      </c>
      <c r="I841" s="332">
        <v>67.8</v>
      </c>
      <c r="J841" s="342" t="s">
        <v>15</v>
      </c>
      <c r="K841" s="341" t="s">
        <v>15</v>
      </c>
      <c r="L841" s="342" t="s">
        <v>15</v>
      </c>
      <c r="M841" s="341" t="s">
        <v>15</v>
      </c>
      <c r="N841" s="1221">
        <v>23.947389999999999</v>
      </c>
      <c r="O841" s="466">
        <v>0.44</v>
      </c>
      <c r="P841" s="488">
        <v>55.040239999999997</v>
      </c>
      <c r="Q841" s="143">
        <v>0</v>
      </c>
      <c r="R841" s="2210">
        <f>SUMPRODUCT(N841:N844,Q841:Q844)</f>
        <v>8.7675850946999994</v>
      </c>
      <c r="S841" s="339" t="s">
        <v>72</v>
      </c>
      <c r="T841" s="416" t="s">
        <v>119</v>
      </c>
      <c r="U841" s="876"/>
      <c r="V841" s="2416"/>
      <c r="W841" s="335" t="s">
        <v>47</v>
      </c>
      <c r="X841" s="338" t="s">
        <v>609</v>
      </c>
      <c r="Y841" s="158">
        <f>((40*$R$840)+(0.92*$R$839)+$R$841+$T$846)*(1+$T$848)</f>
        <v>420.92589387690447</v>
      </c>
      <c r="Z841" s="2240">
        <f>Y842-Y841</f>
        <v>205.08591345799863</v>
      </c>
      <c r="AA841" s="2238">
        <f>(0.94-0.92)*$P$839</f>
        <v>34.329313419999842</v>
      </c>
      <c r="AB841" s="924"/>
      <c r="AC841" s="347"/>
      <c r="AD841" s="20" t="s">
        <v>143</v>
      </c>
      <c r="AE841" s="405">
        <f>STDEV($AW$839:$AW$846)</f>
        <v>0.33298750089755802</v>
      </c>
      <c r="AF841" s="336" t="s">
        <v>47</v>
      </c>
      <c r="AG841" s="335" t="s">
        <v>638</v>
      </c>
      <c r="AH841" s="158">
        <f>((40*$R$840)+(0.92*$R$839)+$R$841+$T$846)*1.15</f>
        <v>420.92589387690447</v>
      </c>
      <c r="AI841" s="937">
        <v>338</v>
      </c>
      <c r="AJ841" s="937">
        <v>251.21</v>
      </c>
      <c r="AK841" s="937">
        <v>504.59</v>
      </c>
      <c r="AL841" s="937">
        <v>447.53</v>
      </c>
      <c r="AM841" s="937"/>
      <c r="AN841" s="937"/>
      <c r="AO841" s="937"/>
      <c r="AP841" s="937"/>
      <c r="AQ841" s="937"/>
      <c r="AR841" s="937"/>
      <c r="AS841" s="937"/>
      <c r="AT841" s="937"/>
      <c r="AU841" s="937"/>
      <c r="AV841" s="1012">
        <f t="shared" si="28"/>
        <v>35.593393876904486</v>
      </c>
      <c r="AW841" s="1326">
        <f t="shared" si="29"/>
        <v>9.2370599097933576E-2</v>
      </c>
      <c r="AX841" s="1024"/>
      <c r="AY841" s="1024"/>
      <c r="AZ841" s="1024"/>
      <c r="BA841" s="1024"/>
      <c r="BB841" s="1024"/>
      <c r="BC841" s="1024"/>
      <c r="BD841" s="1024"/>
      <c r="BE841" s="1024"/>
      <c r="BF841" s="1024"/>
      <c r="BG841" s="1024"/>
      <c r="BH841" s="1132"/>
      <c r="CF841" s="559"/>
      <c r="CG841" s="559"/>
      <c r="CH841" s="559"/>
      <c r="CI841" s="559"/>
      <c r="CJ841" s="559"/>
      <c r="CK841" s="559"/>
      <c r="CL841" s="559"/>
      <c r="CM841" s="559"/>
      <c r="CN841" s="559"/>
      <c r="CO841" s="559"/>
      <c r="CP841" s="559"/>
      <c r="CQ841" s="559"/>
      <c r="CR841" s="559"/>
      <c r="CS841" s="559"/>
      <c r="CT841" s="559"/>
      <c r="CU841" s="559"/>
      <c r="CV841" s="559"/>
      <c r="CW841" s="559"/>
      <c r="CX841" s="559"/>
      <c r="CY841" s="559"/>
      <c r="CZ841" s="559"/>
      <c r="DA841" s="559"/>
      <c r="DB841" s="559"/>
      <c r="DC841" s="559"/>
      <c r="DD841" s="559"/>
      <c r="DE841" s="559"/>
      <c r="DF841" s="559"/>
      <c r="DG841" s="559"/>
      <c r="DH841" s="559"/>
      <c r="DI841" s="562"/>
      <c r="DJ841" s="559"/>
      <c r="DK841" s="559"/>
      <c r="DL841" s="559"/>
      <c r="DM841" s="559"/>
      <c r="DN841" s="559"/>
      <c r="DO841" s="559"/>
      <c r="DP841" s="559"/>
      <c r="DQ841" s="559"/>
      <c r="DR841" s="559"/>
      <c r="DS841" s="559"/>
    </row>
    <row r="842" spans="1:123" s="337" customFormat="1">
      <c r="A842" s="2185"/>
      <c r="B842" s="2161"/>
      <c r="C842" s="2144"/>
      <c r="D842" s="346" t="s">
        <v>214</v>
      </c>
      <c r="E842" s="594">
        <v>7</v>
      </c>
      <c r="F842" s="340" t="s">
        <v>15</v>
      </c>
      <c r="G842" s="340" t="s">
        <v>15</v>
      </c>
      <c r="H842" s="596">
        <v>382.73</v>
      </c>
      <c r="I842" s="332">
        <v>83.27</v>
      </c>
      <c r="J842" s="342" t="s">
        <v>15</v>
      </c>
      <c r="K842" s="341" t="s">
        <v>15</v>
      </c>
      <c r="L842" s="342" t="s">
        <v>15</v>
      </c>
      <c r="M842" s="341" t="s">
        <v>15</v>
      </c>
      <c r="N842" s="1221">
        <v>0</v>
      </c>
      <c r="O842" s="468" t="s">
        <v>204</v>
      </c>
      <c r="P842" s="489" t="s">
        <v>204</v>
      </c>
      <c r="Q842" s="143">
        <v>0</v>
      </c>
      <c r="R842" s="2210"/>
      <c r="S842" s="345" t="s">
        <v>1433</v>
      </c>
      <c r="T842" s="417" t="s">
        <v>140</v>
      </c>
      <c r="U842" s="878"/>
      <c r="V842" s="2416"/>
      <c r="W842" s="335" t="s">
        <v>49</v>
      </c>
      <c r="X842" s="338" t="s">
        <v>604</v>
      </c>
      <c r="Y842" s="158">
        <f>((40*$R$840)+(0.94*$R$839)+$R$841+$T$846)*(1+$T$848)</f>
        <v>626.0118073349031</v>
      </c>
      <c r="Z842" s="2241"/>
      <c r="AA842" s="2239"/>
      <c r="AB842" s="924"/>
      <c r="AC842" s="347"/>
      <c r="AD842" s="20" t="s">
        <v>144</v>
      </c>
      <c r="AE842" s="405">
        <f>MIN($AW$839:$AW$846)</f>
        <v>-0.42711629116882166</v>
      </c>
      <c r="AF842" s="336" t="s">
        <v>49</v>
      </c>
      <c r="AG842" s="335" t="s">
        <v>604</v>
      </c>
      <c r="AH842" s="158">
        <f>((40*$R$840)+(0.94*$R$839)+$R$841+$T$846)*1.15</f>
        <v>626.0118073349031</v>
      </c>
      <c r="AI842" s="937">
        <v>799</v>
      </c>
      <c r="AJ842" s="937"/>
      <c r="AK842" s="937">
        <v>847.21</v>
      </c>
      <c r="AL842" s="937">
        <v>751.4</v>
      </c>
      <c r="AM842" s="937">
        <v>995</v>
      </c>
      <c r="AN842" s="937"/>
      <c r="AO842" s="937"/>
      <c r="AP842" s="937"/>
      <c r="AQ842" s="937"/>
      <c r="AR842" s="937"/>
      <c r="AS842" s="937"/>
      <c r="AT842" s="937"/>
      <c r="AU842" s="937"/>
      <c r="AV842" s="1012">
        <f t="shared" si="28"/>
        <v>-222.14069266509694</v>
      </c>
      <c r="AW842" s="1326">
        <f t="shared" si="29"/>
        <v>-0.26191126320454983</v>
      </c>
      <c r="AX842" s="1024"/>
      <c r="AY842" s="1024"/>
      <c r="AZ842" s="1024"/>
      <c r="BA842" s="1024"/>
      <c r="BB842" s="1024"/>
      <c r="BC842" s="1024"/>
      <c r="BD842" s="1024"/>
      <c r="BE842" s="1024"/>
      <c r="BF842" s="1024"/>
      <c r="BG842" s="1024"/>
      <c r="BH842" s="1132"/>
      <c r="CF842" s="559"/>
      <c r="CG842" s="559"/>
      <c r="CH842" s="559"/>
      <c r="CI842" s="559"/>
      <c r="CJ842" s="559"/>
      <c r="CK842" s="559"/>
      <c r="CL842" s="559"/>
      <c r="CM842" s="559"/>
      <c r="CN842" s="559"/>
      <c r="CO842" s="559"/>
      <c r="CP842" s="559"/>
      <c r="CQ842" s="559"/>
      <c r="CR842" s="559"/>
      <c r="CS842" s="559"/>
      <c r="CT842" s="559"/>
      <c r="CU842" s="559"/>
      <c r="CV842" s="559"/>
      <c r="CW842" s="559"/>
      <c r="CX842" s="559"/>
      <c r="CY842" s="559"/>
      <c r="CZ842" s="559"/>
      <c r="DA842" s="559"/>
      <c r="DB842" s="559"/>
      <c r="DC842" s="559"/>
      <c r="DD842" s="559"/>
      <c r="DE842" s="559"/>
      <c r="DF842" s="559"/>
      <c r="DG842" s="559"/>
      <c r="DH842" s="559"/>
      <c r="DI842" s="562"/>
      <c r="DJ842" s="559"/>
      <c r="DK842" s="559"/>
      <c r="DL842" s="559"/>
      <c r="DM842" s="559"/>
      <c r="DN842" s="559"/>
      <c r="DO842" s="559"/>
      <c r="DP842" s="559"/>
      <c r="DQ842" s="559"/>
      <c r="DR842" s="559"/>
      <c r="DS842" s="559"/>
    </row>
    <row r="843" spans="1:123" s="337" customFormat="1">
      <c r="A843" s="2185"/>
      <c r="B843" s="2161"/>
      <c r="C843" s="2144"/>
      <c r="D843" s="346" t="s">
        <v>215</v>
      </c>
      <c r="E843" s="594">
        <v>9</v>
      </c>
      <c r="F843" s="340" t="s">
        <v>15</v>
      </c>
      <c r="G843" s="340" t="s">
        <v>15</v>
      </c>
      <c r="H843" s="596">
        <v>602.92999999999995</v>
      </c>
      <c r="I843" s="332">
        <v>280.51</v>
      </c>
      <c r="J843" s="342" t="s">
        <v>15</v>
      </c>
      <c r="K843" s="341" t="s">
        <v>15</v>
      </c>
      <c r="L843" s="342" t="s">
        <v>15</v>
      </c>
      <c r="M843" s="341" t="s">
        <v>15</v>
      </c>
      <c r="N843" s="1221">
        <v>113.717057</v>
      </c>
      <c r="O843" s="466">
        <v>2.11</v>
      </c>
      <c r="P843" s="488">
        <v>53.949168999999998</v>
      </c>
      <c r="Q843" s="143">
        <v>7.7100000000000002E-2</v>
      </c>
      <c r="R843" s="2210"/>
      <c r="S843" s="339" t="s">
        <v>74</v>
      </c>
      <c r="T843" s="416" t="s">
        <v>75</v>
      </c>
      <c r="U843" s="876"/>
      <c r="V843" s="2416"/>
      <c r="W843" s="335" t="s">
        <v>47</v>
      </c>
      <c r="X843" s="338" t="s">
        <v>610</v>
      </c>
      <c r="Y843" s="158">
        <f>((50*$R$840)+(0.9*$R$839)+$R$841+$T$846)*(1+$T$848)</f>
        <v>377.82832491890417</v>
      </c>
      <c r="Z843" s="2240">
        <f>Y844-Y843</f>
        <v>307.62887018700008</v>
      </c>
      <c r="AA843" s="2238">
        <f>(0.93-0.9)*$P$839</f>
        <v>51.493970130000044</v>
      </c>
      <c r="AB843" s="924"/>
      <c r="AC843" s="347"/>
      <c r="AD843" s="20" t="s">
        <v>145</v>
      </c>
      <c r="AE843" s="405">
        <f>MAX($AW$839:$AW$846)</f>
        <v>0.54532781393114749</v>
      </c>
      <c r="AF843" s="336" t="s">
        <v>47</v>
      </c>
      <c r="AG843" s="335" t="s">
        <v>639</v>
      </c>
      <c r="AH843" s="158">
        <f>((50*$R$840)+(0.9*$R$839)+$R$841+$T$846)*1.15</f>
        <v>377.82832491890417</v>
      </c>
      <c r="AI843" s="937">
        <v>298</v>
      </c>
      <c r="AJ843" s="937">
        <v>298</v>
      </c>
      <c r="AK843" s="937"/>
      <c r="AL843" s="937"/>
      <c r="AM843" s="937">
        <v>432.95</v>
      </c>
      <c r="AN843" s="937">
        <v>443.95</v>
      </c>
      <c r="AO843" s="937"/>
      <c r="AP843" s="937"/>
      <c r="AQ843" s="937"/>
      <c r="AR843" s="937"/>
      <c r="AS843" s="937"/>
      <c r="AT843" s="937"/>
      <c r="AU843" s="937"/>
      <c r="AV843" s="1012">
        <f t="shared" si="28"/>
        <v>9.6033249189041499</v>
      </c>
      <c r="AW843" s="1326">
        <f t="shared" si="29"/>
        <v>2.6080045947190302E-2</v>
      </c>
      <c r="AX843" s="1024"/>
      <c r="AY843" s="1024"/>
      <c r="AZ843" s="1024"/>
      <c r="BA843" s="1024"/>
      <c r="BB843" s="1024"/>
      <c r="BC843" s="1024"/>
      <c r="BD843" s="1024"/>
      <c r="BE843" s="1024"/>
      <c r="BF843" s="1024"/>
      <c r="BG843" s="1024"/>
      <c r="BH843" s="1132"/>
      <c r="CF843" s="559"/>
      <c r="CG843" s="559"/>
      <c r="CH843" s="559"/>
      <c r="CI843" s="559"/>
      <c r="CJ843" s="559"/>
      <c r="CK843" s="559"/>
      <c r="CL843" s="559"/>
      <c r="CM843" s="559"/>
      <c r="CN843" s="559"/>
      <c r="CO843" s="559"/>
      <c r="CP843" s="559"/>
      <c r="CQ843" s="559"/>
      <c r="CR843" s="559"/>
      <c r="CS843" s="559"/>
      <c r="CT843" s="559"/>
      <c r="CU843" s="559"/>
      <c r="CV843" s="559"/>
      <c r="CW843" s="559"/>
      <c r="CX843" s="559"/>
      <c r="CY843" s="559"/>
      <c r="CZ843" s="559"/>
      <c r="DA843" s="559"/>
      <c r="DB843" s="559"/>
      <c r="DC843" s="559"/>
      <c r="DD843" s="559"/>
      <c r="DE843" s="559"/>
      <c r="DF843" s="559"/>
      <c r="DG843" s="559"/>
      <c r="DH843" s="559"/>
      <c r="DI843" s="562"/>
      <c r="DJ843" s="559"/>
      <c r="DK843" s="559"/>
      <c r="DL843" s="559"/>
      <c r="DM843" s="559"/>
      <c r="DN843" s="559"/>
      <c r="DO843" s="559"/>
      <c r="DP843" s="559"/>
      <c r="DQ843" s="559"/>
      <c r="DR843" s="559"/>
      <c r="DS843" s="559"/>
    </row>
    <row r="844" spans="1:123" s="337" customFormat="1">
      <c r="A844" s="2185"/>
      <c r="B844" s="2161"/>
      <c r="C844" s="2144"/>
      <c r="D844" s="346" t="s">
        <v>216</v>
      </c>
      <c r="E844" s="594">
        <v>10</v>
      </c>
      <c r="F844" s="340" t="s">
        <v>15</v>
      </c>
      <c r="G844" s="340" t="s">
        <v>15</v>
      </c>
      <c r="H844" s="596">
        <v>336.07</v>
      </c>
      <c r="I844" s="332">
        <v>74.790000000000006</v>
      </c>
      <c r="J844" s="343" t="s">
        <v>15</v>
      </c>
      <c r="K844" s="1151" t="s">
        <v>15</v>
      </c>
      <c r="L844" s="343" t="s">
        <v>15</v>
      </c>
      <c r="M844" s="1151" t="s">
        <v>15</v>
      </c>
      <c r="N844" s="1221">
        <v>-12.290048000000001</v>
      </c>
      <c r="O844" s="466">
        <v>-0.24</v>
      </c>
      <c r="P844" s="488">
        <v>51.727885999999998</v>
      </c>
      <c r="Q844" s="143">
        <v>0</v>
      </c>
      <c r="R844" s="2210"/>
      <c r="S844" s="338">
        <v>32</v>
      </c>
      <c r="T844" s="341" t="s">
        <v>15</v>
      </c>
      <c r="U844" s="878"/>
      <c r="V844" s="2416"/>
      <c r="W844" s="335" t="s">
        <v>49</v>
      </c>
      <c r="X844" s="338" t="s">
        <v>605</v>
      </c>
      <c r="Y844" s="158">
        <f>((50*$R$840)+(0.93*$R$839)+$R$841+$T$846)*(1+$T$848)</f>
        <v>685.45719510590425</v>
      </c>
      <c r="Z844" s="2241"/>
      <c r="AA844" s="2239"/>
      <c r="AB844" s="924"/>
      <c r="AC844" s="347"/>
      <c r="AD844" s="403"/>
      <c r="AE844" s="347"/>
      <c r="AF844" s="336" t="s">
        <v>49</v>
      </c>
      <c r="AG844" s="335" t="s">
        <v>605</v>
      </c>
      <c r="AH844" s="158">
        <f>((50*$R$840)+(0.93*$R$839)+$R$841+$T$846)*1.15</f>
        <v>685.45719510590425</v>
      </c>
      <c r="AI844" s="937"/>
      <c r="AJ844" s="937">
        <v>460.75</v>
      </c>
      <c r="AK844" s="937"/>
      <c r="AL844" s="937"/>
      <c r="AM844" s="937"/>
      <c r="AN844" s="937">
        <v>629.95000000000005</v>
      </c>
      <c r="AO844" s="937">
        <v>318.58</v>
      </c>
      <c r="AP844" s="937">
        <v>364.99</v>
      </c>
      <c r="AQ844" s="937"/>
      <c r="AR844" s="937"/>
      <c r="AS844" s="937"/>
      <c r="AT844" s="937"/>
      <c r="AU844" s="937"/>
      <c r="AV844" s="1012">
        <f t="shared" si="28"/>
        <v>241.88969510590425</v>
      </c>
      <c r="AW844" s="1326">
        <f t="shared" si="29"/>
        <v>0.54532781393114749</v>
      </c>
      <c r="AX844" s="1024"/>
      <c r="AY844" s="1024"/>
      <c r="AZ844" s="1024"/>
      <c r="BA844" s="1024"/>
      <c r="BB844" s="1024"/>
      <c r="BC844" s="1024"/>
      <c r="BD844" s="1024"/>
      <c r="BE844" s="1024"/>
      <c r="BF844" s="1024"/>
      <c r="BG844" s="1024"/>
      <c r="BH844" s="1132"/>
      <c r="CF844" s="559"/>
      <c r="CG844" s="559"/>
      <c r="CH844" s="559"/>
      <c r="CI844" s="559"/>
      <c r="CJ844" s="559"/>
      <c r="CK844" s="559"/>
      <c r="CL844" s="559"/>
      <c r="CM844" s="559"/>
      <c r="CN844" s="559"/>
      <c r="CO844" s="559"/>
      <c r="CP844" s="559"/>
      <c r="CQ844" s="559"/>
      <c r="CR844" s="559"/>
      <c r="CS844" s="559"/>
      <c r="CT844" s="559"/>
      <c r="CU844" s="559"/>
      <c r="CV844" s="559"/>
      <c r="CW844" s="559"/>
      <c r="CX844" s="559"/>
      <c r="CY844" s="559"/>
      <c r="CZ844" s="559"/>
      <c r="DA844" s="559"/>
      <c r="DB844" s="559"/>
      <c r="DC844" s="559"/>
      <c r="DD844" s="559"/>
      <c r="DE844" s="559"/>
      <c r="DF844" s="559"/>
      <c r="DG844" s="559"/>
      <c r="DH844" s="559"/>
      <c r="DI844" s="562"/>
      <c r="DJ844" s="559"/>
      <c r="DK844" s="559"/>
      <c r="DL844" s="559"/>
      <c r="DM844" s="559"/>
      <c r="DN844" s="559"/>
      <c r="DO844" s="559"/>
      <c r="DP844" s="559"/>
      <c r="DQ844" s="559"/>
      <c r="DR844" s="559"/>
      <c r="DS844" s="559"/>
    </row>
    <row r="845" spans="1:123" s="337" customFormat="1">
      <c r="A845" s="2185"/>
      <c r="B845" s="2116" t="s">
        <v>194</v>
      </c>
      <c r="C845" s="41"/>
      <c r="D845" s="347"/>
      <c r="E845" s="347"/>
      <c r="F845" s="347"/>
      <c r="G845" s="347"/>
      <c r="H845" s="347"/>
      <c r="I845" s="347"/>
      <c r="J845" s="344"/>
      <c r="K845" s="331"/>
      <c r="L845" s="344"/>
      <c r="M845" s="331"/>
      <c r="N845" s="1222"/>
      <c r="O845" s="561"/>
      <c r="P845" s="561"/>
      <c r="Q845" s="563"/>
      <c r="R845" s="347"/>
      <c r="S845" s="339" t="s">
        <v>41</v>
      </c>
      <c r="T845" s="418" t="s">
        <v>42</v>
      </c>
      <c r="U845" s="876"/>
      <c r="V845" s="2416"/>
      <c r="W845" s="335" t="s">
        <v>47</v>
      </c>
      <c r="X845" s="338" t="s">
        <v>611</v>
      </c>
      <c r="Y845" s="158">
        <f>((60*$R$840)+(0.89*$R$839)+$R$841+$T$846)*(1+$T$848)</f>
        <v>437.27371268990322</v>
      </c>
      <c r="Z845" s="2240">
        <f>Y846-Y845</f>
        <v>307.62887018700218</v>
      </c>
      <c r="AA845" s="2238">
        <f>(0.92-0.89)*$P$839</f>
        <v>51.493970130000044</v>
      </c>
      <c r="AB845" s="924"/>
      <c r="AC845" s="347"/>
      <c r="AD845" s="403"/>
      <c r="AE845" s="347"/>
      <c r="AF845" s="336" t="s">
        <v>49</v>
      </c>
      <c r="AG845" s="335" t="s">
        <v>640</v>
      </c>
      <c r="AH845" s="158">
        <f>((66*$R$840)+(0.88*$R$839)+$R$841+$T$846)*1.15</f>
        <v>431.92376266090417</v>
      </c>
      <c r="AI845" s="937"/>
      <c r="AJ845" s="937"/>
      <c r="AK845" s="937"/>
      <c r="AL845" s="937"/>
      <c r="AM845" s="937">
        <v>765</v>
      </c>
      <c r="AN845" s="937">
        <v>707.95</v>
      </c>
      <c r="AO845" s="937">
        <v>788.89</v>
      </c>
      <c r="AP845" s="937"/>
      <c r="AQ845" s="937"/>
      <c r="AR845" s="937"/>
      <c r="AS845" s="937"/>
      <c r="AT845" s="937"/>
      <c r="AU845" s="937"/>
      <c r="AV845" s="1012">
        <f t="shared" si="28"/>
        <v>-322.02290400576254</v>
      </c>
      <c r="AW845" s="1326">
        <f t="shared" si="29"/>
        <v>-0.42711629116882166</v>
      </c>
      <c r="AX845" s="1024"/>
      <c r="AY845" s="1024"/>
      <c r="AZ845" s="1024"/>
      <c r="BA845" s="1024"/>
      <c r="BB845" s="1024"/>
      <c r="BC845" s="1024"/>
      <c r="BD845" s="1024"/>
      <c r="BE845" s="1024"/>
      <c r="BF845" s="1024"/>
      <c r="BG845" s="1024"/>
      <c r="BH845" s="1132"/>
      <c r="CF845" s="559"/>
      <c r="CG845" s="559"/>
      <c r="CH845" s="559"/>
      <c r="CI845" s="559"/>
      <c r="CJ845" s="559"/>
      <c r="CK845" s="559"/>
      <c r="CL845" s="559"/>
      <c r="CM845" s="559"/>
      <c r="CN845" s="559"/>
      <c r="CO845" s="559"/>
      <c r="CP845" s="559"/>
      <c r="CQ845" s="559"/>
      <c r="CR845" s="559"/>
      <c r="CS845" s="559"/>
      <c r="CT845" s="559"/>
      <c r="CU845" s="559"/>
      <c r="CV845" s="559"/>
      <c r="CW845" s="559"/>
      <c r="CX845" s="559"/>
      <c r="CY845" s="559"/>
      <c r="CZ845" s="559"/>
      <c r="DA845" s="559"/>
      <c r="DB845" s="559"/>
      <c r="DC845" s="559"/>
      <c r="DD845" s="559"/>
      <c r="DE845" s="559"/>
      <c r="DF845" s="559"/>
      <c r="DG845" s="559"/>
      <c r="DH845" s="559"/>
      <c r="DI845" s="562"/>
      <c r="DJ845" s="559"/>
      <c r="DK845" s="559"/>
      <c r="DL845" s="559"/>
      <c r="DM845" s="559"/>
      <c r="DN845" s="559"/>
      <c r="DO845" s="559"/>
      <c r="DP845" s="559"/>
      <c r="DQ845" s="559"/>
      <c r="DR845" s="559"/>
      <c r="DS845" s="559"/>
    </row>
    <row r="846" spans="1:123" s="337" customFormat="1">
      <c r="A846" s="2185"/>
      <c r="B846" s="2117"/>
      <c r="C846" s="41"/>
      <c r="D846" s="347"/>
      <c r="E846" s="347"/>
      <c r="F846" s="347"/>
      <c r="G846" s="347"/>
      <c r="H846" s="347"/>
      <c r="I846" s="347"/>
      <c r="J846" s="349"/>
      <c r="K846" s="347"/>
      <c r="L846" s="349"/>
      <c r="M846" s="347"/>
      <c r="N846" s="1222"/>
      <c r="O846" s="561"/>
      <c r="P846" s="561"/>
      <c r="Q846" s="563"/>
      <c r="R846" s="347"/>
      <c r="S846" s="322">
        <v>0.75454200000000005</v>
      </c>
      <c r="T846" s="315">
        <v>-8409.6193270000003</v>
      </c>
      <c r="U846" s="875"/>
      <c r="V846" s="2416"/>
      <c r="W846" s="335" t="s">
        <v>49</v>
      </c>
      <c r="X846" s="338" t="s">
        <v>606</v>
      </c>
      <c r="Y846" s="158">
        <f>((60*$R$840)+(0.92*$R$839)+$R$841+$T$846)*(1+$T$848)</f>
        <v>744.9025828769054</v>
      </c>
      <c r="Z846" s="2241"/>
      <c r="AA846" s="2239"/>
      <c r="AB846" s="924"/>
      <c r="AC846" s="347"/>
      <c r="AD846" s="403"/>
      <c r="AE846" s="347"/>
      <c r="AF846" s="336" t="s">
        <v>49</v>
      </c>
      <c r="AG846" s="335" t="s">
        <v>641</v>
      </c>
      <c r="AH846" s="158">
        <f>((66*$R$840)+(0.92*$R$839)+$R$841+$T$846)*1.15</f>
        <v>842.09558957690365</v>
      </c>
      <c r="AI846" s="937"/>
      <c r="AJ846" s="937"/>
      <c r="AK846" s="937"/>
      <c r="AL846" s="937"/>
      <c r="AM846" s="937"/>
      <c r="AN846" s="937">
        <v>775.95</v>
      </c>
      <c r="AO846" s="937"/>
      <c r="AP846" s="937">
        <v>629.99</v>
      </c>
      <c r="AQ846" s="937"/>
      <c r="AR846" s="937"/>
      <c r="AS846" s="937"/>
      <c r="AT846" s="937"/>
      <c r="AU846" s="937">
        <v>761.44</v>
      </c>
      <c r="AV846" s="1012">
        <f t="shared" si="28"/>
        <v>119.63558957690361</v>
      </c>
      <c r="AW846" s="1326">
        <f t="shared" si="29"/>
        <v>0.1655947589858312</v>
      </c>
      <c r="AX846" s="1024"/>
      <c r="AY846" s="1024"/>
      <c r="AZ846" s="1024"/>
      <c r="BA846" s="1024"/>
      <c r="BB846" s="1024"/>
      <c r="BC846" s="1024"/>
      <c r="BD846" s="1024"/>
      <c r="BE846" s="1024"/>
      <c r="BF846" s="1024"/>
      <c r="BG846" s="1024"/>
      <c r="BH846" s="1132"/>
      <c r="CF846" s="559"/>
      <c r="CG846" s="559"/>
      <c r="CH846" s="559"/>
      <c r="CI846" s="559"/>
      <c r="CJ846" s="559"/>
      <c r="CK846" s="559"/>
      <c r="CL846" s="559"/>
      <c r="CM846" s="559"/>
      <c r="CN846" s="559"/>
      <c r="CO846" s="559"/>
      <c r="CP846" s="559"/>
      <c r="CQ846" s="559"/>
      <c r="CR846" s="559"/>
      <c r="CS846" s="559"/>
      <c r="CT846" s="559"/>
      <c r="CU846" s="559"/>
      <c r="CV846" s="559"/>
      <c r="CW846" s="559"/>
      <c r="CX846" s="559"/>
      <c r="CY846" s="559"/>
      <c r="CZ846" s="559"/>
      <c r="DA846" s="559"/>
      <c r="DB846" s="559"/>
      <c r="DC846" s="559"/>
      <c r="DD846" s="559"/>
      <c r="DE846" s="559"/>
      <c r="DF846" s="559"/>
      <c r="DG846" s="559"/>
      <c r="DH846" s="559"/>
      <c r="DI846" s="562"/>
      <c r="DJ846" s="559"/>
      <c r="DK846" s="559"/>
      <c r="DL846" s="559"/>
      <c r="DM846" s="559"/>
      <c r="DN846" s="559"/>
      <c r="DO846" s="559"/>
      <c r="DP846" s="559"/>
      <c r="DQ846" s="559"/>
      <c r="DR846" s="559"/>
      <c r="DS846" s="559"/>
    </row>
    <row r="847" spans="1:123" s="337" customFormat="1">
      <c r="A847" s="2185"/>
      <c r="B847" s="2117"/>
      <c r="C847" s="41"/>
      <c r="D847" s="347"/>
      <c r="E847" s="347"/>
      <c r="F847" s="347"/>
      <c r="G847" s="347"/>
      <c r="H847" s="347"/>
      <c r="I847" s="347"/>
      <c r="J847" s="349"/>
      <c r="K847" s="347"/>
      <c r="L847" s="349"/>
      <c r="M847" s="347"/>
      <c r="N847" s="1222"/>
      <c r="O847" s="561"/>
      <c r="P847" s="561"/>
      <c r="Q847" s="563"/>
      <c r="R847" s="347"/>
      <c r="S847" s="127" t="s">
        <v>235</v>
      </c>
      <c r="T847" s="119" t="s">
        <v>391</v>
      </c>
      <c r="U847" s="855"/>
      <c r="V847" s="2416"/>
      <c r="W847" s="335" t="s">
        <v>47</v>
      </c>
      <c r="X847" s="338" t="s">
        <v>612</v>
      </c>
      <c r="Y847" s="158">
        <f>((75*$R$840)+(0.87*$R$839)+$R$841+$T$846)*(1+$T$848)</f>
        <v>475.17031598190323</v>
      </c>
      <c r="Z847" s="2240">
        <f>Y848-Y847</f>
        <v>410.17182691600152</v>
      </c>
      <c r="AA847" s="2238">
        <f>(0.91-0.87)*$P$839</f>
        <v>68.658626840000053</v>
      </c>
      <c r="AB847" s="924"/>
      <c r="AC847" s="347"/>
      <c r="AD847" s="403"/>
      <c r="AE847" s="347"/>
      <c r="AF847" s="306"/>
      <c r="AG847" s="347"/>
      <c r="AH847" s="1024"/>
      <c r="AI847" s="1024"/>
      <c r="AJ847" s="1024"/>
      <c r="AK847" s="1024"/>
      <c r="AL847" s="1024"/>
      <c r="AM847" s="1024"/>
      <c r="AN847" s="1024"/>
      <c r="AO847" s="1024"/>
      <c r="AP847" s="1024"/>
      <c r="AQ847" s="1024"/>
      <c r="AR847" s="1024"/>
      <c r="AS847" s="1024"/>
      <c r="AT847" s="1024"/>
      <c r="AU847" s="1024"/>
      <c r="AV847" s="1024"/>
      <c r="AW847" s="1024"/>
      <c r="AX847" s="1024"/>
      <c r="AY847" s="1024"/>
      <c r="AZ847" s="1024"/>
      <c r="BA847" s="1024"/>
      <c r="BB847" s="1024"/>
      <c r="BC847" s="1024"/>
      <c r="BD847" s="1024"/>
      <c r="BE847" s="1024"/>
      <c r="BF847" s="1024"/>
      <c r="BG847" s="1024"/>
      <c r="BH847" s="1132"/>
      <c r="CF847" s="559"/>
      <c r="CG847" s="559"/>
      <c r="CH847" s="559"/>
      <c r="CI847" s="559"/>
      <c r="CJ847" s="559"/>
      <c r="CK847" s="559"/>
      <c r="CL847" s="559"/>
      <c r="CM847" s="559"/>
      <c r="CN847" s="559"/>
      <c r="CO847" s="559"/>
      <c r="CP847" s="559"/>
      <c r="CQ847" s="559"/>
      <c r="CR847" s="559"/>
      <c r="CS847" s="559"/>
      <c r="CT847" s="559"/>
      <c r="CU847" s="559"/>
      <c r="CV847" s="559"/>
      <c r="CW847" s="559"/>
      <c r="CX847" s="559"/>
      <c r="CY847" s="559"/>
      <c r="CZ847" s="559"/>
      <c r="DA847" s="559"/>
      <c r="DB847" s="559"/>
      <c r="DC847" s="559"/>
      <c r="DD847" s="559"/>
      <c r="DE847" s="559"/>
      <c r="DF847" s="559"/>
      <c r="DG847" s="559"/>
      <c r="DH847" s="559"/>
      <c r="DI847" s="562"/>
      <c r="DJ847" s="559"/>
      <c r="DK847" s="559"/>
      <c r="DL847" s="559"/>
      <c r="DM847" s="559"/>
      <c r="DN847" s="559"/>
      <c r="DO847" s="559"/>
      <c r="DP847" s="559"/>
      <c r="DQ847" s="559"/>
      <c r="DR847" s="559"/>
      <c r="DS847" s="559"/>
    </row>
    <row r="848" spans="1:123" s="337" customFormat="1" ht="15.75" thickBot="1">
      <c r="A848" s="2185"/>
      <c r="B848" s="2215"/>
      <c r="C848" s="41"/>
      <c r="D848" s="347"/>
      <c r="E848" s="347"/>
      <c r="F848" s="347"/>
      <c r="G848" s="347"/>
      <c r="H848" s="347"/>
      <c r="I848" s="347"/>
      <c r="J848" s="334"/>
      <c r="K848" s="1152"/>
      <c r="L848" s="334"/>
      <c r="M848" s="1152"/>
      <c r="N848" s="1222"/>
      <c r="O848" s="561"/>
      <c r="P848" s="561"/>
      <c r="Q848" s="563"/>
      <c r="R848" s="347"/>
      <c r="S848" s="348">
        <v>71.263999999999996</v>
      </c>
      <c r="T848" s="415">
        <v>0.15</v>
      </c>
      <c r="U848" s="862"/>
      <c r="V848" s="2417"/>
      <c r="W848" s="335" t="s">
        <v>49</v>
      </c>
      <c r="X848" s="338" t="s">
        <v>607</v>
      </c>
      <c r="Y848" s="158">
        <f>((75*$R$840)+(0.91*$R$839)+$R$841+$T$846)*(1+$T$848)</f>
        <v>885.34214289790475</v>
      </c>
      <c r="Z848" s="2241"/>
      <c r="AA848" s="2239"/>
      <c r="AB848" s="924"/>
      <c r="AC848" s="347"/>
      <c r="AD848" s="404"/>
      <c r="AE848" s="838"/>
      <c r="AF848" s="306"/>
      <c r="AG848" s="347"/>
      <c r="AH848" s="1024"/>
      <c r="AI848" s="1024"/>
      <c r="AJ848" s="1024"/>
      <c r="AK848" s="1024"/>
      <c r="AL848" s="1024"/>
      <c r="AM848" s="1024"/>
      <c r="AN848" s="1024"/>
      <c r="AO848" s="1024"/>
      <c r="AP848" s="1024"/>
      <c r="AQ848" s="1024"/>
      <c r="AR848" s="1024"/>
      <c r="AS848" s="1024"/>
      <c r="AT848" s="1024"/>
      <c r="AU848" s="1024"/>
      <c r="AV848" s="1024"/>
      <c r="AW848" s="1024"/>
      <c r="AX848" s="1024"/>
      <c r="AY848" s="1024"/>
      <c r="AZ848" s="1024"/>
      <c r="BA848" s="1024"/>
      <c r="BB848" s="1024"/>
      <c r="BC848" s="1024"/>
      <c r="BD848" s="1024"/>
      <c r="BE848" s="1024"/>
      <c r="BF848" s="1024"/>
      <c r="BG848" s="1024"/>
      <c r="BH848" s="1132"/>
      <c r="CF848" s="559"/>
      <c r="CG848" s="559"/>
      <c r="CH848" s="559"/>
      <c r="CI848" s="559"/>
      <c r="CJ848" s="559"/>
      <c r="CK848" s="559"/>
      <c r="CL848" s="559"/>
      <c r="CM848" s="559"/>
      <c r="CN848" s="559"/>
      <c r="CO848" s="559"/>
      <c r="CP848" s="559"/>
      <c r="CQ848" s="559"/>
      <c r="CR848" s="559"/>
      <c r="CS848" s="559"/>
      <c r="CT848" s="559"/>
      <c r="CU848" s="559"/>
      <c r="CV848" s="559"/>
      <c r="CW848" s="559"/>
      <c r="CX848" s="559"/>
      <c r="CY848" s="559"/>
      <c r="CZ848" s="559"/>
      <c r="DA848" s="559"/>
      <c r="DB848" s="559"/>
      <c r="DC848" s="559"/>
      <c r="DD848" s="559"/>
      <c r="DE848" s="559"/>
      <c r="DF848" s="559"/>
      <c r="DG848" s="559"/>
      <c r="DH848" s="559"/>
      <c r="DI848" s="562"/>
      <c r="DJ848" s="559"/>
      <c r="DK848" s="559"/>
      <c r="DL848" s="559"/>
      <c r="DM848" s="559"/>
      <c r="DN848" s="559"/>
      <c r="DO848" s="559"/>
      <c r="DP848" s="559"/>
      <c r="DQ848" s="559"/>
      <c r="DR848" s="559"/>
      <c r="DS848" s="559"/>
    </row>
    <row r="849" spans="1:123" s="705" customFormat="1" ht="9" customHeight="1" thickBot="1">
      <c r="A849" s="695"/>
      <c r="B849" s="815"/>
      <c r="C849" s="684"/>
      <c r="D849" s="683"/>
      <c r="E849" s="683"/>
      <c r="F849" s="683"/>
      <c r="G849" s="683"/>
      <c r="H849" s="683"/>
      <c r="I849" s="683"/>
      <c r="J849" s="682"/>
      <c r="K849" s="683"/>
      <c r="L849" s="682"/>
      <c r="M849" s="685"/>
      <c r="N849" s="1189"/>
      <c r="O849" s="686"/>
      <c r="P849" s="686"/>
      <c r="Q849" s="687"/>
      <c r="R849" s="687"/>
      <c r="S849" s="688"/>
      <c r="T849" s="688"/>
      <c r="U849" s="854"/>
      <c r="V849" s="893"/>
      <c r="W849" s="685"/>
      <c r="X849" s="685"/>
      <c r="Y849" s="685"/>
      <c r="Z849" s="685"/>
      <c r="AA849" s="685"/>
      <c r="AB849" s="849"/>
      <c r="AC849" s="685"/>
      <c r="AD849" s="685"/>
      <c r="AE849" s="685"/>
      <c r="AF849" s="689"/>
      <c r="AG849" s="685"/>
      <c r="AH849" s="959"/>
      <c r="AI849" s="959"/>
      <c r="AJ849" s="959"/>
      <c r="AK849" s="959"/>
      <c r="AL849" s="959"/>
      <c r="AM849" s="959"/>
      <c r="AN849" s="959"/>
      <c r="AO849" s="959"/>
      <c r="AP849" s="959"/>
      <c r="AQ849" s="959"/>
      <c r="AR849" s="959"/>
      <c r="AS849" s="959"/>
      <c r="AT849" s="959"/>
      <c r="AU849" s="959"/>
      <c r="AV849" s="959" t="s">
        <v>321</v>
      </c>
      <c r="AW849" s="959" t="s">
        <v>322</v>
      </c>
      <c r="AX849" s="959"/>
      <c r="AY849" s="958"/>
      <c r="AZ849" s="958"/>
      <c r="BA849" s="958"/>
      <c r="BB849" s="958"/>
      <c r="BC849" s="958"/>
      <c r="BD849" s="958"/>
      <c r="BE849" s="958"/>
      <c r="BF849" s="958"/>
      <c r="BG849" s="958"/>
      <c r="BH849" s="1125"/>
      <c r="CF849" s="692"/>
      <c r="CG849" s="692"/>
      <c r="CH849" s="692"/>
      <c r="CI849" s="692"/>
      <c r="CJ849" s="692"/>
      <c r="CK849" s="692"/>
      <c r="CL849" s="692"/>
      <c r="CM849" s="692"/>
      <c r="CN849" s="692"/>
      <c r="CO849" s="692"/>
      <c r="CP849" s="692"/>
      <c r="CQ849" s="692"/>
      <c r="CR849" s="692"/>
      <c r="CS849" s="692"/>
      <c r="CT849" s="692"/>
      <c r="CU849" s="692"/>
      <c r="CV849" s="692"/>
      <c r="CW849" s="692"/>
      <c r="CX849" s="692"/>
      <c r="CY849" s="692"/>
      <c r="CZ849" s="692"/>
      <c r="DA849" s="692"/>
      <c r="DB849" s="692"/>
      <c r="DC849" s="692"/>
      <c r="DD849" s="692"/>
      <c r="DE849" s="692"/>
      <c r="DF849" s="692"/>
      <c r="DG849" s="692"/>
      <c r="DH849" s="692"/>
      <c r="DI849" s="693"/>
      <c r="DJ849" s="692"/>
      <c r="DK849" s="692"/>
      <c r="DL849" s="692"/>
      <c r="DM849" s="692"/>
      <c r="DN849" s="692"/>
      <c r="DO849" s="692"/>
      <c r="DP849" s="692"/>
      <c r="DQ849" s="692"/>
      <c r="DR849" s="692"/>
      <c r="DS849" s="692"/>
    </row>
    <row r="850" spans="1:123">
      <c r="A850" s="2184" t="s">
        <v>230</v>
      </c>
      <c r="B850" s="817" t="s">
        <v>213</v>
      </c>
      <c r="C850" s="356" t="s">
        <v>12</v>
      </c>
      <c r="D850" s="423" t="s">
        <v>219</v>
      </c>
      <c r="E850" s="57">
        <v>32</v>
      </c>
      <c r="F850" s="91">
        <v>87.88</v>
      </c>
      <c r="G850" s="91">
        <v>4.67</v>
      </c>
      <c r="H850" s="58">
        <v>916.82</v>
      </c>
      <c r="I850" s="98">
        <v>226.77</v>
      </c>
      <c r="J850" s="289" t="s">
        <v>14</v>
      </c>
      <c r="K850" s="15" t="s">
        <v>220</v>
      </c>
      <c r="L850" s="289" t="s">
        <v>14</v>
      </c>
      <c r="M850" s="15" t="s">
        <v>221</v>
      </c>
      <c r="N850" s="537">
        <v>13.98</v>
      </c>
      <c r="O850" s="536">
        <v>2.97</v>
      </c>
      <c r="P850" s="536">
        <v>4.71</v>
      </c>
      <c r="Q850" s="208" t="s">
        <v>15</v>
      </c>
      <c r="R850" s="260">
        <f>N850</f>
        <v>13.98</v>
      </c>
      <c r="S850" s="127" t="s">
        <v>68</v>
      </c>
      <c r="T850" s="129" t="s">
        <v>69</v>
      </c>
      <c r="U850" s="858"/>
      <c r="V850" s="2162" t="s">
        <v>2749</v>
      </c>
      <c r="W850" s="982" t="s">
        <v>47</v>
      </c>
      <c r="X850" s="982" t="s">
        <v>243</v>
      </c>
      <c r="Y850" s="1064">
        <f>Y822</f>
        <v>565.0487816359996</v>
      </c>
      <c r="Z850" s="158" t="s">
        <v>40</v>
      </c>
      <c r="AA850" s="166"/>
      <c r="AB850" s="923"/>
      <c r="AC850" s="837"/>
      <c r="AD850" s="2140" t="s">
        <v>142</v>
      </c>
      <c r="AE850" s="2151"/>
      <c r="AF850" s="33" t="s">
        <v>129</v>
      </c>
      <c r="AG850" s="34" t="s">
        <v>224</v>
      </c>
      <c r="AH850" s="168">
        <f>Y851</f>
        <v>593.30390625000007</v>
      </c>
      <c r="AI850" s="937">
        <v>549</v>
      </c>
      <c r="AJ850" s="937"/>
      <c r="AK850" s="937"/>
      <c r="AL850" s="937"/>
      <c r="AM850" s="937">
        <v>574.4</v>
      </c>
      <c r="AN850" s="937">
        <v>584.99</v>
      </c>
      <c r="AO850" s="937"/>
      <c r="AP850" s="937"/>
      <c r="AQ850" s="937"/>
      <c r="AR850" s="937">
        <v>584.99</v>
      </c>
      <c r="AS850" s="937"/>
      <c r="AT850" s="937"/>
      <c r="AU850" s="937"/>
      <c r="AV850" s="937"/>
      <c r="AW850" s="937"/>
      <c r="AX850" s="1010"/>
      <c r="AY850" s="1012">
        <f t="shared" ref="AY850:AY855" si="30">AH850-AVERAGE(AI850:AX850)</f>
        <v>19.958906250000041</v>
      </c>
      <c r="AZ850" s="1326">
        <f>AY850/AVERAGE(AI850:AX850)</f>
        <v>3.4811337414645704E-2</v>
      </c>
      <c r="BA850" s="957"/>
      <c r="BB850" s="957"/>
      <c r="BC850" s="1012"/>
      <c r="BD850" s="1012"/>
      <c r="BE850" s="1012"/>
      <c r="BF850" s="1012"/>
      <c r="BG850" s="1012"/>
    </row>
    <row r="851" spans="1:123">
      <c r="A851" s="2185"/>
      <c r="B851" s="817" t="s">
        <v>535</v>
      </c>
      <c r="C851" s="356" t="s">
        <v>12</v>
      </c>
      <c r="D851" s="423" t="s">
        <v>222</v>
      </c>
      <c r="E851" s="57">
        <v>32</v>
      </c>
      <c r="F851" s="91">
        <v>184.99</v>
      </c>
      <c r="G851" s="91">
        <v>31.84</v>
      </c>
      <c r="H851" s="58">
        <v>916.82</v>
      </c>
      <c r="I851" s="98">
        <v>226.77</v>
      </c>
      <c r="J851" s="289" t="s">
        <v>15</v>
      </c>
      <c r="K851" s="15" t="s">
        <v>15</v>
      </c>
      <c r="L851" s="289" t="s">
        <v>14</v>
      </c>
      <c r="M851" s="1178" t="s">
        <v>518</v>
      </c>
      <c r="N851" s="537">
        <v>5.55</v>
      </c>
      <c r="O851" s="536">
        <v>8.4700000000000006</v>
      </c>
      <c r="P851" s="536">
        <v>0.65500000000000003</v>
      </c>
      <c r="Q851" s="208" t="s">
        <v>15</v>
      </c>
      <c r="R851" s="260">
        <f>N851</f>
        <v>5.55</v>
      </c>
      <c r="S851" s="452" t="s">
        <v>205</v>
      </c>
      <c r="T851" s="117" t="s">
        <v>132</v>
      </c>
      <c r="U851" s="854"/>
      <c r="V851" s="2163"/>
      <c r="W851" s="982" t="s">
        <v>49</v>
      </c>
      <c r="X851" s="34" t="s">
        <v>224</v>
      </c>
      <c r="Y851" s="169">
        <f>((82*$R$850)+(120*$R$851)+$R$852+$T$857)*(1+$T$859)</f>
        <v>593.30390625000007</v>
      </c>
      <c r="Z851" s="169">
        <f>Y851-$Y$850</f>
        <v>28.255124614000465</v>
      </c>
      <c r="AA851" s="191">
        <f>(88.09/H850)*Y851</f>
        <v>57.005891125370859</v>
      </c>
      <c r="AB851" s="919"/>
      <c r="AC851" s="909"/>
      <c r="AD851" s="20" t="s">
        <v>98</v>
      </c>
      <c r="AE851" s="405">
        <f>AVERAGE($AZ$850:$AZ$855)</f>
        <v>1.1034295015427556E-2</v>
      </c>
      <c r="AF851" s="33" t="s">
        <v>129</v>
      </c>
      <c r="AG851" s="34" t="s">
        <v>225</v>
      </c>
      <c r="AH851" s="168">
        <f>Y852</f>
        <v>1166.8289062500005</v>
      </c>
      <c r="AI851" s="937"/>
      <c r="AJ851" s="937">
        <v>1217.32</v>
      </c>
      <c r="AK851" s="937">
        <v>1124.95</v>
      </c>
      <c r="AL851" s="937"/>
      <c r="AM851" s="937"/>
      <c r="AN851" s="937">
        <v>1123.95</v>
      </c>
      <c r="AO851" s="937"/>
      <c r="AP851" s="937"/>
      <c r="AQ851" s="937"/>
      <c r="AR851" s="937"/>
      <c r="AS851" s="937"/>
      <c r="AT851" s="937">
        <v>1217.32</v>
      </c>
      <c r="AU851" s="937"/>
      <c r="AV851" s="937"/>
      <c r="AW851" s="937"/>
      <c r="AX851" s="1010"/>
      <c r="AY851" s="1012">
        <f t="shared" si="30"/>
        <v>-4.0560937499994907</v>
      </c>
      <c r="AZ851" s="1326">
        <f t="shared" ref="AZ851:AZ855" si="31">AY851/AVERAGE(AI851:AX851)</f>
        <v>-3.4641264940617486E-3</v>
      </c>
      <c r="BA851" s="957"/>
      <c r="BB851" s="957"/>
      <c r="BC851" s="1012"/>
      <c r="BD851" s="1012"/>
      <c r="BE851" s="1012"/>
      <c r="BF851" s="1012"/>
      <c r="BG851" s="1012"/>
    </row>
    <row r="852" spans="1:123">
      <c r="A852" s="2185"/>
      <c r="B852" s="2177" t="s">
        <v>223</v>
      </c>
      <c r="C852" s="2179" t="s">
        <v>11</v>
      </c>
      <c r="D852" s="423" t="s">
        <v>33</v>
      </c>
      <c r="E852" s="57">
        <v>10</v>
      </c>
      <c r="F852" s="321" t="s">
        <v>15</v>
      </c>
      <c r="G852" s="321" t="s">
        <v>15</v>
      </c>
      <c r="H852" s="58">
        <v>863.7</v>
      </c>
      <c r="I852" s="98">
        <v>178.16</v>
      </c>
      <c r="J852" s="289" t="s">
        <v>15</v>
      </c>
      <c r="K852" s="15" t="s">
        <v>15</v>
      </c>
      <c r="L852" s="289" t="s">
        <v>15</v>
      </c>
      <c r="M852" s="15" t="s">
        <v>15</v>
      </c>
      <c r="N852" s="537">
        <v>-119.99</v>
      </c>
      <c r="O852" s="536">
        <v>-2.6</v>
      </c>
      <c r="P852" s="536">
        <v>46.15</v>
      </c>
      <c r="Q852" s="251">
        <f>10/32</f>
        <v>0.3125</v>
      </c>
      <c r="R852" s="2176">
        <f>SUMPRODUCT(N852:N853,Q852:Q853)</f>
        <v>-37.496874999999996</v>
      </c>
      <c r="S852" s="127" t="s">
        <v>72</v>
      </c>
      <c r="T852" s="119" t="s">
        <v>119</v>
      </c>
      <c r="U852" s="855"/>
      <c r="V852" s="2163"/>
      <c r="W852" s="982" t="s">
        <v>49</v>
      </c>
      <c r="X852" s="34" t="s">
        <v>225</v>
      </c>
      <c r="Y852" s="169">
        <f>((91*$R$850)+(180*$R$851)+$R$852+$T$857)*(1+$T$859)</f>
        <v>1166.8289062500005</v>
      </c>
      <c r="Z852" s="169">
        <f>Y852-$Y$850</f>
        <v>601.7801246140009</v>
      </c>
      <c r="AA852" s="191">
        <f>(88.09/H850)*Y852</f>
        <v>112.11138320669548</v>
      </c>
      <c r="AB852" s="919"/>
      <c r="AC852" s="909"/>
      <c r="AD852" s="20" t="s">
        <v>143</v>
      </c>
      <c r="AE852" s="405">
        <f>STDEV($AZ$850:$AZ$855)</f>
        <v>0.21822645967944085</v>
      </c>
      <c r="AF852" s="33" t="s">
        <v>129</v>
      </c>
      <c r="AG852" s="34" t="s">
        <v>226</v>
      </c>
      <c r="AH852" s="168">
        <f>Y853</f>
        <v>993.65390625000055</v>
      </c>
      <c r="AI852" s="937"/>
      <c r="AJ852" s="937">
        <v>1356.47</v>
      </c>
      <c r="AK852" s="937"/>
      <c r="AL852" s="937"/>
      <c r="AM852" s="937"/>
      <c r="AN852" s="937"/>
      <c r="AO852" s="937">
        <v>1356.55</v>
      </c>
      <c r="AP852" s="937">
        <v>1378.61</v>
      </c>
      <c r="AQ852" s="937"/>
      <c r="AR852" s="937"/>
      <c r="AS852" s="937"/>
      <c r="AT852" s="937"/>
      <c r="AU852" s="937">
        <v>1347.46</v>
      </c>
      <c r="AV852" s="937"/>
      <c r="AW852" s="937"/>
      <c r="AX852" s="1010"/>
      <c r="AY852" s="1012">
        <f t="shared" si="30"/>
        <v>-366.11859374999949</v>
      </c>
      <c r="AZ852" s="1326">
        <f t="shared" si="31"/>
        <v>-0.26924988830852181</v>
      </c>
      <c r="BA852" s="957"/>
      <c r="BB852" s="957"/>
      <c r="BC852" s="1012"/>
      <c r="BD852" s="1012"/>
      <c r="BE852" s="1012"/>
      <c r="BF852" s="1012"/>
      <c r="BG852" s="1012"/>
    </row>
    <row r="853" spans="1:123">
      <c r="A853" s="2185"/>
      <c r="B853" s="2178"/>
      <c r="C853" s="2180"/>
      <c r="D853" s="423" t="s">
        <v>32</v>
      </c>
      <c r="E853" s="57">
        <v>22</v>
      </c>
      <c r="F853" s="321" t="s">
        <v>15</v>
      </c>
      <c r="G853" s="321" t="s">
        <v>15</v>
      </c>
      <c r="H853" s="58">
        <v>940.95</v>
      </c>
      <c r="I853" s="98">
        <v>245.67</v>
      </c>
      <c r="J853" s="289" t="s">
        <v>15</v>
      </c>
      <c r="K853" s="15" t="s">
        <v>15</v>
      </c>
      <c r="L853" s="289" t="s">
        <v>15</v>
      </c>
      <c r="M853" s="15" t="s">
        <v>15</v>
      </c>
      <c r="N853" s="537">
        <v>0</v>
      </c>
      <c r="O853" s="146" t="s">
        <v>204</v>
      </c>
      <c r="P853" s="87" t="s">
        <v>204</v>
      </c>
      <c r="Q853" s="251">
        <f>22/32</f>
        <v>0.6875</v>
      </c>
      <c r="R853" s="2154"/>
      <c r="S853" s="423" t="s">
        <v>139</v>
      </c>
      <c r="T853" s="411" t="s">
        <v>140</v>
      </c>
      <c r="U853" s="859"/>
      <c r="V853" s="2163"/>
      <c r="W853" s="982" t="s">
        <v>49</v>
      </c>
      <c r="X853" s="34" t="s">
        <v>226</v>
      </c>
      <c r="Y853" s="169">
        <f>((93*$R$850)+(150*$R$851)+$R$852+$T$857)*(1+$T$859)</f>
        <v>993.65390625000055</v>
      </c>
      <c r="Z853" s="169">
        <f>Y853-$Y$850</f>
        <v>428.60512461400094</v>
      </c>
      <c r="AA853" s="191">
        <f>88.09/H850*Y853</f>
        <v>95.472363824483054</v>
      </c>
      <c r="AB853" s="919"/>
      <c r="AC853" s="909"/>
      <c r="AD853" s="20" t="s">
        <v>144</v>
      </c>
      <c r="AE853" s="405">
        <f>MIN($AZ$849:$AZ$855)</f>
        <v>-0.26924988830852181</v>
      </c>
      <c r="AF853" s="33" t="s">
        <v>129</v>
      </c>
      <c r="AG853" s="34" t="s">
        <v>227</v>
      </c>
      <c r="AH853" s="168">
        <f>Y855</f>
        <v>1148.3039062500004</v>
      </c>
      <c r="AI853" s="937"/>
      <c r="AJ853" s="937"/>
      <c r="AK853" s="937"/>
      <c r="AL853" s="937">
        <v>1240.95</v>
      </c>
      <c r="AM853" s="937"/>
      <c r="AN853" s="937"/>
      <c r="AO853" s="937"/>
      <c r="AP853" s="937">
        <v>1115.27</v>
      </c>
      <c r="AQ853" s="937"/>
      <c r="AR853" s="937"/>
      <c r="AS853" s="937">
        <v>1060.8699999999999</v>
      </c>
      <c r="AT853" s="937"/>
      <c r="AU853" s="937"/>
      <c r="AV853" s="937">
        <v>1189</v>
      </c>
      <c r="AW853" s="937"/>
      <c r="AX853" s="1010"/>
      <c r="AY853" s="1012">
        <f t="shared" si="30"/>
        <v>-3.2185937499996271</v>
      </c>
      <c r="AZ853" s="1326">
        <f t="shared" si="31"/>
        <v>-2.7950767353652466E-3</v>
      </c>
      <c r="BA853" s="957"/>
      <c r="BB853" s="957"/>
      <c r="BC853" s="1012"/>
      <c r="BD853" s="1012"/>
      <c r="BE853" s="1012"/>
      <c r="BF853" s="1012"/>
      <c r="BG853" s="1012"/>
    </row>
    <row r="854" spans="1:123" ht="15" customHeight="1">
      <c r="A854" s="2185"/>
      <c r="B854" s="2116" t="s">
        <v>194</v>
      </c>
      <c r="C854" s="41"/>
      <c r="D854" s="26"/>
      <c r="E854" s="26"/>
      <c r="F854" s="26"/>
      <c r="G854" s="26"/>
      <c r="H854" s="26"/>
      <c r="I854" s="26"/>
      <c r="J854" s="75"/>
      <c r="K854" s="26"/>
      <c r="L854" s="75"/>
      <c r="M854" s="26"/>
      <c r="N854" s="1205"/>
      <c r="O854" s="467"/>
      <c r="P854" s="467"/>
      <c r="Q854" s="252"/>
      <c r="R854" s="252"/>
      <c r="S854" s="127" t="s">
        <v>74</v>
      </c>
      <c r="T854" s="129" t="s">
        <v>75</v>
      </c>
      <c r="U854" s="858"/>
      <c r="V854" s="2163"/>
      <c r="W854" s="982" t="s">
        <v>47</v>
      </c>
      <c r="X854" s="982" t="s">
        <v>255</v>
      </c>
      <c r="Y854" s="1064">
        <f>Y834</f>
        <v>769.07880686199974</v>
      </c>
      <c r="Z854" s="158" t="s">
        <v>40</v>
      </c>
      <c r="AA854" s="191"/>
      <c r="AB854" s="919"/>
      <c r="AC854" s="909"/>
      <c r="AD854" s="20" t="s">
        <v>145</v>
      </c>
      <c r="AE854" s="405">
        <f>MAX($AZ$850:$AZ$855)</f>
        <v>0.39637401483389051</v>
      </c>
      <c r="AF854" s="33" t="s">
        <v>129</v>
      </c>
      <c r="AG854" s="34" t="s">
        <v>228</v>
      </c>
      <c r="AH854" s="168">
        <f t="shared" ref="AH854:AH855" si="32">Y856</f>
        <v>1530.1289062499998</v>
      </c>
      <c r="AI854" s="937"/>
      <c r="AJ854" s="937">
        <v>1706.11</v>
      </c>
      <c r="AK854" s="937"/>
      <c r="AL854" s="937">
        <v>1678.95</v>
      </c>
      <c r="AM854" s="937"/>
      <c r="AN854" s="937"/>
      <c r="AO854" s="937"/>
      <c r="AP854" s="937"/>
      <c r="AQ854" s="937">
        <v>1657.99</v>
      </c>
      <c r="AR854" s="937"/>
      <c r="AS854" s="937"/>
      <c r="AT854" s="937"/>
      <c r="AU854" s="937"/>
      <c r="AV854" s="937"/>
      <c r="AW854" s="937">
        <v>1678.88</v>
      </c>
      <c r="AX854" s="1010"/>
      <c r="AY854" s="1012">
        <f t="shared" si="30"/>
        <v>-150.3535937500003</v>
      </c>
      <c r="AZ854" s="1326">
        <f t="shared" si="31"/>
        <v>-8.9470490618022078E-2</v>
      </c>
      <c r="BA854" s="957"/>
      <c r="BB854" s="957"/>
      <c r="BC854" s="1012"/>
      <c r="BD854" s="1012"/>
      <c r="BE854" s="1012"/>
      <c r="BF854" s="1012"/>
      <c r="BG854" s="1012"/>
    </row>
    <row r="855" spans="1:123">
      <c r="A855" s="2185"/>
      <c r="B855" s="2117"/>
      <c r="C855" s="41"/>
      <c r="D855" s="26"/>
      <c r="E855" s="26"/>
      <c r="F855" s="26"/>
      <c r="G855" s="26"/>
      <c r="H855" s="26"/>
      <c r="I855" s="26"/>
      <c r="J855" s="75"/>
      <c r="K855" s="26"/>
      <c r="L855" s="75"/>
      <c r="M855" s="26"/>
      <c r="N855" s="1205"/>
      <c r="O855" s="467"/>
      <c r="P855" s="467"/>
      <c r="Q855" s="252"/>
      <c r="R855" s="252"/>
      <c r="S855" s="95">
        <v>32</v>
      </c>
      <c r="T855" s="117" t="s">
        <v>15</v>
      </c>
      <c r="U855" s="854"/>
      <c r="V855" s="2163"/>
      <c r="W855" s="982" t="s">
        <v>49</v>
      </c>
      <c r="X855" s="34" t="s">
        <v>227</v>
      </c>
      <c r="Y855" s="169">
        <f>((82*$R$850)+(200*$R$851)+$R$852+$T$857)*(1+$T$859)</f>
        <v>1148.3039062500004</v>
      </c>
      <c r="Z855" s="169">
        <f>Y855-$Y$854</f>
        <v>379.22509938800067</v>
      </c>
      <c r="AA855" s="191">
        <f>88.09/H850*Y855</f>
        <v>110.33146212076802</v>
      </c>
      <c r="AB855" s="919"/>
      <c r="AC855" s="26"/>
      <c r="AD855" s="22"/>
      <c r="AE855" s="27"/>
      <c r="AF855" s="56" t="s">
        <v>129</v>
      </c>
      <c r="AG855" s="36" t="s">
        <v>229</v>
      </c>
      <c r="AH855" s="168">
        <f t="shared" si="32"/>
        <v>1323.05390625</v>
      </c>
      <c r="AI855" s="937">
        <v>945</v>
      </c>
      <c r="AJ855" s="937">
        <v>955</v>
      </c>
      <c r="AK855" s="937"/>
      <c r="AL855" s="937"/>
      <c r="AM855" s="937"/>
      <c r="AN855" s="937"/>
      <c r="AO855" s="937"/>
      <c r="AP855" s="937"/>
      <c r="AQ855" s="937"/>
      <c r="AR855" s="937">
        <v>989.99</v>
      </c>
      <c r="AS855" s="937"/>
      <c r="AT855" s="937"/>
      <c r="AU855" s="937"/>
      <c r="AV855" s="937"/>
      <c r="AW855" s="937"/>
      <c r="AX855" s="1010">
        <v>899.98</v>
      </c>
      <c r="AY855" s="1012">
        <f t="shared" si="30"/>
        <v>375.56140625</v>
      </c>
      <c r="AZ855" s="1326">
        <f t="shared" si="31"/>
        <v>0.39637401483389051</v>
      </c>
      <c r="BA855" s="957"/>
      <c r="BB855" s="957"/>
      <c r="BC855" s="1012"/>
      <c r="BD855" s="1012"/>
      <c r="BE855" s="1012"/>
      <c r="BF855" s="1012"/>
      <c r="BG855" s="1012"/>
    </row>
    <row r="856" spans="1:123">
      <c r="A856" s="2185"/>
      <c r="B856" s="2117"/>
      <c r="C856" s="41"/>
      <c r="D856" s="26"/>
      <c r="E856" s="26"/>
      <c r="F856" s="26"/>
      <c r="G856" s="26"/>
      <c r="H856" s="26"/>
      <c r="I856" s="26"/>
      <c r="J856" s="75"/>
      <c r="K856" s="26"/>
      <c r="L856" s="75"/>
      <c r="M856" s="26"/>
      <c r="N856" s="1205"/>
      <c r="O856" s="467"/>
      <c r="P856" s="467"/>
      <c r="Q856" s="252"/>
      <c r="R856" s="252"/>
      <c r="S856" s="127" t="s">
        <v>41</v>
      </c>
      <c r="T856" s="129" t="s">
        <v>42</v>
      </c>
      <c r="U856" s="858"/>
      <c r="V856" s="2163"/>
      <c r="W856" s="982" t="s">
        <v>49</v>
      </c>
      <c r="X856" s="34" t="s">
        <v>228</v>
      </c>
      <c r="Y856" s="169">
        <f>((84*$R$850)+(250*$R$851)+$R$852+$T$857)*(1+$T$859)</f>
        <v>1530.1289062499998</v>
      </c>
      <c r="Z856" s="169">
        <f>Y856-$Y$854</f>
        <v>761.05009938800004</v>
      </c>
      <c r="AA856" s="191">
        <f>88.09/H850*Y856</f>
        <v>147.01801373395267</v>
      </c>
      <c r="AB856" s="919"/>
      <c r="AC856" s="26"/>
      <c r="AD856" s="24"/>
      <c r="AE856" s="26"/>
      <c r="AF856" s="102"/>
      <c r="AG856" s="27"/>
      <c r="AH856" s="1013"/>
      <c r="AI856" s="1013"/>
      <c r="AJ856" s="1013"/>
      <c r="AK856" s="1013"/>
      <c r="AL856" s="1013"/>
      <c r="AM856" s="1013"/>
      <c r="AN856" s="1013"/>
      <c r="AO856" s="1013"/>
      <c r="AP856" s="1013"/>
      <c r="AQ856" s="1013"/>
      <c r="AR856" s="1013"/>
      <c r="AS856" s="1013"/>
      <c r="AT856" s="1013"/>
      <c r="AU856" s="1013"/>
      <c r="AV856" s="1013"/>
      <c r="AW856" s="1013"/>
      <c r="AX856" s="1013"/>
      <c r="AY856" s="957"/>
      <c r="AZ856" s="957"/>
      <c r="BA856" s="957"/>
      <c r="BB856" s="957"/>
      <c r="BC856" s="957"/>
      <c r="BD856" s="957"/>
      <c r="BE856" s="957"/>
      <c r="BF856" s="957"/>
      <c r="BG856" s="957"/>
    </row>
    <row r="857" spans="1:123">
      <c r="A857" s="2185"/>
      <c r="B857" s="2117"/>
      <c r="C857" s="41"/>
      <c r="D857" s="26"/>
      <c r="E857" s="26"/>
      <c r="F857" s="26"/>
      <c r="G857" s="26"/>
      <c r="H857" s="26"/>
      <c r="I857" s="26"/>
      <c r="J857" s="75"/>
      <c r="K857" s="26"/>
      <c r="L857" s="75"/>
      <c r="M857" s="26"/>
      <c r="N857" s="1205"/>
      <c r="O857" s="467"/>
      <c r="P857" s="467"/>
      <c r="Q857" s="252"/>
      <c r="R857" s="252"/>
      <c r="S857" s="452">
        <v>0.76800000000000002</v>
      </c>
      <c r="T857" s="117">
        <v>-1300.22</v>
      </c>
      <c r="U857" s="854"/>
      <c r="V857" s="2164"/>
      <c r="W857" s="19" t="s">
        <v>49</v>
      </c>
      <c r="X857" s="36" t="s">
        <v>229</v>
      </c>
      <c r="Y857" s="169">
        <f>((92*$R$850)+(200*$R$851)+$R$852+$T$857)*(1+$T$859)</f>
        <v>1323.05390625</v>
      </c>
      <c r="Z857" s="304">
        <f>Y857-$Y$854</f>
        <v>553.97509938800022</v>
      </c>
      <c r="AA857" s="192">
        <f>88.09/H850*Y857</f>
        <v>127.12181082607546</v>
      </c>
      <c r="AB857" s="919"/>
      <c r="AC857" s="26"/>
      <c r="AD857" s="24"/>
      <c r="AE857" s="26"/>
      <c r="AF857" s="75"/>
      <c r="AG857" s="26"/>
      <c r="AH857" s="957"/>
      <c r="AI857" s="957"/>
      <c r="AJ857" s="957"/>
      <c r="AK857" s="957"/>
      <c r="AL857" s="957"/>
      <c r="AM857" s="957"/>
      <c r="AN857" s="957"/>
      <c r="AO857" s="957"/>
      <c r="AP857" s="957"/>
      <c r="AQ857" s="957"/>
      <c r="AR857" s="957"/>
      <c r="AS857" s="957"/>
      <c r="AT857" s="957"/>
      <c r="AU857" s="957"/>
      <c r="AV857" s="957"/>
      <c r="AW857" s="957"/>
      <c r="AX857" s="957"/>
      <c r="AY857" s="957"/>
      <c r="AZ857" s="957"/>
      <c r="BA857" s="957"/>
      <c r="BB857" s="957"/>
      <c r="BC857" s="957"/>
      <c r="BD857" s="957"/>
      <c r="BE857" s="957"/>
      <c r="BF857" s="957"/>
      <c r="BG857" s="957"/>
    </row>
    <row r="858" spans="1:123" ht="18.75">
      <c r="A858" s="696"/>
      <c r="B858" s="2117"/>
      <c r="C858" s="41"/>
      <c r="D858" s="26"/>
      <c r="E858" s="26"/>
      <c r="F858" s="26"/>
      <c r="G858" s="26"/>
      <c r="H858" s="26"/>
      <c r="I858" s="26"/>
      <c r="J858" s="75"/>
      <c r="K858" s="26"/>
      <c r="L858" s="75"/>
      <c r="M858" s="26"/>
      <c r="N858" s="1205"/>
      <c r="O858" s="467"/>
      <c r="P858" s="467"/>
      <c r="Q858" s="252"/>
      <c r="R858" s="252"/>
      <c r="S858" s="127" t="s">
        <v>235</v>
      </c>
      <c r="T858" s="119" t="s">
        <v>391</v>
      </c>
      <c r="U858" s="855"/>
      <c r="V858" s="122"/>
      <c r="W858" s="39"/>
      <c r="X858" s="39"/>
      <c r="Y858" s="39"/>
      <c r="Z858" s="39"/>
      <c r="AA858" s="39"/>
      <c r="AB858" s="846"/>
      <c r="AC858" s="26"/>
      <c r="AD858" s="24"/>
      <c r="AE858" s="26"/>
      <c r="AF858" s="75"/>
      <c r="AG858" s="26"/>
      <c r="AH858" s="957"/>
      <c r="AI858" s="957"/>
      <c r="AJ858" s="957"/>
      <c r="AK858" s="957"/>
      <c r="AL858" s="957"/>
      <c r="AM858" s="957"/>
      <c r="AN858" s="957"/>
      <c r="AO858" s="957"/>
      <c r="AP858" s="957"/>
      <c r="AQ858" s="957"/>
      <c r="AR858" s="957"/>
      <c r="AS858" s="957"/>
      <c r="AT858" s="957"/>
      <c r="AU858" s="957"/>
      <c r="AV858" s="957"/>
      <c r="AW858" s="957"/>
      <c r="AX858" s="957"/>
      <c r="AY858" s="957"/>
      <c r="AZ858" s="957"/>
      <c r="BA858" s="957"/>
      <c r="BB858" s="957"/>
      <c r="BC858" s="957"/>
      <c r="BD858" s="957"/>
      <c r="BE858" s="957"/>
      <c r="BF858" s="957"/>
      <c r="BG858" s="957"/>
    </row>
    <row r="859" spans="1:123" ht="19.5" thickBot="1">
      <c r="A859" s="696"/>
      <c r="B859" s="2118"/>
      <c r="C859" s="41"/>
      <c r="D859" s="26"/>
      <c r="E859" s="26"/>
      <c r="F859" s="26"/>
      <c r="G859" s="26"/>
      <c r="H859" s="26"/>
      <c r="I859" s="26"/>
      <c r="J859" s="75"/>
      <c r="K859" s="26"/>
      <c r="L859" s="75"/>
      <c r="M859" s="26"/>
      <c r="N859" s="1205"/>
      <c r="O859" s="467"/>
      <c r="P859" s="467"/>
      <c r="Q859" s="252"/>
      <c r="R859" s="252"/>
      <c r="S859" s="190">
        <v>88.09</v>
      </c>
      <c r="T859" s="365">
        <v>0.25</v>
      </c>
      <c r="U859" s="862"/>
      <c r="V859" s="899"/>
      <c r="W859" s="175"/>
      <c r="X859" s="175"/>
      <c r="Y859" s="175"/>
      <c r="Z859" s="175"/>
      <c r="AA859" s="813"/>
      <c r="AB859" s="846"/>
      <c r="AC859" s="764"/>
      <c r="AD859" s="24"/>
      <c r="AE859" s="764"/>
      <c r="AF859" s="75"/>
      <c r="AG859" s="26"/>
      <c r="AH859" s="957"/>
      <c r="AI859" s="957"/>
      <c r="AJ859" s="957"/>
      <c r="AK859" s="957"/>
      <c r="AL859" s="957"/>
      <c r="AM859" s="957"/>
      <c r="AN859" s="957"/>
      <c r="AO859" s="957"/>
      <c r="AP859" s="957"/>
      <c r="AQ859" s="957"/>
      <c r="AR859" s="957"/>
      <c r="AS859" s="957"/>
      <c r="AT859" s="957"/>
      <c r="AU859" s="957"/>
      <c r="AV859" s="957"/>
      <c r="AW859" s="957"/>
      <c r="AX859" s="957"/>
      <c r="AY859" s="957"/>
      <c r="AZ859" s="957"/>
      <c r="BA859" s="957"/>
      <c r="BB859" s="957"/>
      <c r="BC859" s="957"/>
      <c r="BD859" s="957"/>
      <c r="BE859" s="957"/>
      <c r="BF859" s="957"/>
      <c r="BG859" s="957"/>
    </row>
    <row r="860" spans="1:123" s="705" customFormat="1" ht="9" customHeight="1" thickBot="1">
      <c r="A860" s="695"/>
      <c r="B860" s="815"/>
      <c r="C860" s="684"/>
      <c r="D860" s="683"/>
      <c r="E860" s="683"/>
      <c r="F860" s="683"/>
      <c r="G860" s="683"/>
      <c r="H860" s="683"/>
      <c r="I860" s="683"/>
      <c r="J860" s="682"/>
      <c r="K860" s="683"/>
      <c r="L860" s="682"/>
      <c r="M860" s="685"/>
      <c r="N860" s="1189"/>
      <c r="O860" s="686"/>
      <c r="P860" s="686"/>
      <c r="Q860" s="687"/>
      <c r="R860" s="687"/>
      <c r="S860" s="688"/>
      <c r="T860" s="688"/>
      <c r="U860" s="854"/>
      <c r="V860" s="893"/>
      <c r="W860" s="685"/>
      <c r="X860" s="685"/>
      <c r="Y860" s="685"/>
      <c r="Z860" s="685"/>
      <c r="AA860" s="685"/>
      <c r="AB860" s="849"/>
      <c r="AC860" s="685"/>
      <c r="AD860" s="685"/>
      <c r="AE860" s="685"/>
      <c r="AF860" s="689"/>
      <c r="AG860" s="685"/>
      <c r="AH860" s="959"/>
      <c r="AI860" s="959"/>
      <c r="AJ860" s="959"/>
      <c r="AK860" s="959"/>
      <c r="AL860" s="959"/>
      <c r="AM860" s="959"/>
      <c r="AN860" s="959"/>
      <c r="AO860" s="959"/>
      <c r="AP860" s="959"/>
      <c r="AQ860" s="959"/>
      <c r="AR860" s="959"/>
      <c r="AS860" s="959"/>
      <c r="AT860" s="959"/>
      <c r="AU860" s="959"/>
      <c r="AV860" s="959" t="s">
        <v>321</v>
      </c>
      <c r="AW860" s="958" t="s">
        <v>322</v>
      </c>
      <c r="AX860" s="958"/>
      <c r="AY860" s="958"/>
      <c r="AZ860" s="958"/>
      <c r="BA860" s="958"/>
      <c r="BB860" s="958"/>
      <c r="BC860" s="958"/>
      <c r="BD860" s="958"/>
      <c r="BE860" s="958"/>
      <c r="BF860" s="958"/>
      <c r="BG860" s="958"/>
      <c r="BH860" s="1125"/>
      <c r="CF860" s="692"/>
      <c r="CG860" s="692"/>
      <c r="CH860" s="692"/>
      <c r="CI860" s="692"/>
      <c r="CJ860" s="692"/>
      <c r="CK860" s="692"/>
      <c r="CL860" s="692"/>
      <c r="CM860" s="692"/>
      <c r="CN860" s="692"/>
      <c r="CO860" s="692"/>
      <c r="CP860" s="692"/>
      <c r="CQ860" s="692"/>
      <c r="CR860" s="692"/>
      <c r="CS860" s="692"/>
      <c r="CT860" s="692"/>
      <c r="CU860" s="692"/>
      <c r="CV860" s="692"/>
      <c r="CW860" s="692"/>
      <c r="CX860" s="692"/>
      <c r="CY860" s="692"/>
      <c r="CZ860" s="692"/>
      <c r="DA860" s="692"/>
      <c r="DB860" s="692"/>
      <c r="DC860" s="692"/>
      <c r="DD860" s="692"/>
      <c r="DE860" s="692"/>
      <c r="DF860" s="692"/>
      <c r="DG860" s="692"/>
      <c r="DH860" s="692"/>
      <c r="DI860" s="693"/>
      <c r="DJ860" s="692"/>
      <c r="DK860" s="692"/>
      <c r="DL860" s="692"/>
      <c r="DM860" s="692"/>
      <c r="DN860" s="692"/>
      <c r="DO860" s="692"/>
      <c r="DP860" s="692"/>
      <c r="DQ860" s="692"/>
      <c r="DR860" s="692"/>
      <c r="DS860" s="692"/>
    </row>
    <row r="861" spans="1:123" ht="15" customHeight="1">
      <c r="A861" s="2119" t="s">
        <v>287</v>
      </c>
      <c r="B861" s="817" t="s">
        <v>534</v>
      </c>
      <c r="C861" s="356" t="s">
        <v>12</v>
      </c>
      <c r="D861" s="291" t="s">
        <v>276</v>
      </c>
      <c r="E861" s="213">
        <v>25</v>
      </c>
      <c r="F861" s="91">
        <v>59.6</v>
      </c>
      <c r="G861" s="91">
        <v>13.06</v>
      </c>
      <c r="H861" s="58">
        <v>1575.36</v>
      </c>
      <c r="I861" s="99">
        <v>327.67</v>
      </c>
      <c r="J861" s="101" t="s">
        <v>15</v>
      </c>
      <c r="K861" s="70" t="s">
        <v>15</v>
      </c>
      <c r="L861" s="289" t="s">
        <v>12</v>
      </c>
      <c r="M861" s="103" t="s">
        <v>277</v>
      </c>
      <c r="N861" s="537">
        <v>23.23</v>
      </c>
      <c r="O861" s="536">
        <v>6.47</v>
      </c>
      <c r="P861" s="536">
        <v>639.71</v>
      </c>
      <c r="Q861" s="195" t="s">
        <v>15</v>
      </c>
      <c r="R861" s="128">
        <f>N861</f>
        <v>23.23</v>
      </c>
      <c r="S861" s="149" t="s">
        <v>68</v>
      </c>
      <c r="T861" s="150" t="s">
        <v>69</v>
      </c>
      <c r="U861" s="858"/>
      <c r="V861" s="2242" t="s">
        <v>2698</v>
      </c>
      <c r="W861" s="760" t="s">
        <v>47</v>
      </c>
      <c r="X861" s="983" t="s">
        <v>609</v>
      </c>
      <c r="Y861" s="224">
        <f>Y841</f>
        <v>420.92589387690447</v>
      </c>
      <c r="Z861" s="200" t="s">
        <v>40</v>
      </c>
      <c r="AA861" s="225" t="s">
        <v>40</v>
      </c>
      <c r="AB861" s="925"/>
      <c r="AC861" s="837"/>
      <c r="AD861" s="2157" t="s">
        <v>142</v>
      </c>
      <c r="AE861" s="2158"/>
      <c r="AF861" s="109" t="s">
        <v>47</v>
      </c>
      <c r="AG861" s="292" t="s">
        <v>280</v>
      </c>
      <c r="AH861" s="168"/>
      <c r="AI861" s="937">
        <v>1199</v>
      </c>
      <c r="AJ861" s="937">
        <v>1139</v>
      </c>
      <c r="AK861" s="937">
        <v>1199</v>
      </c>
      <c r="AL861" s="937">
        <v>1229</v>
      </c>
      <c r="AM861" s="937"/>
      <c r="AN861" s="937"/>
      <c r="AO861" s="937"/>
      <c r="AP861" s="937"/>
      <c r="AQ861" s="937"/>
      <c r="AR861" s="937"/>
      <c r="AS861" s="937"/>
      <c r="AT861" s="937"/>
      <c r="AU861" s="937"/>
      <c r="AV861" s="1010"/>
      <c r="AW861" s="1032"/>
      <c r="AX861" s="1012"/>
      <c r="AY861" s="1012"/>
      <c r="AZ861" s="1012"/>
      <c r="BA861" s="1012"/>
      <c r="BB861" s="1012"/>
      <c r="BC861" s="1012"/>
      <c r="BD861" s="1012"/>
      <c r="BE861" s="1012"/>
      <c r="BF861" s="1012"/>
      <c r="BG861" s="1012"/>
    </row>
    <row r="862" spans="1:123" ht="15" customHeight="1">
      <c r="A862" s="2120"/>
      <c r="B862" s="817" t="s">
        <v>272</v>
      </c>
      <c r="C862" s="356" t="s">
        <v>12</v>
      </c>
      <c r="D862" s="292" t="s">
        <v>275</v>
      </c>
      <c r="E862" s="213">
        <v>25</v>
      </c>
      <c r="F862" s="91">
        <v>4.43</v>
      </c>
      <c r="G862" s="91">
        <v>0.626</v>
      </c>
      <c r="H862" s="58">
        <v>1575.36</v>
      </c>
      <c r="I862" s="99">
        <v>327.67</v>
      </c>
      <c r="J862" s="101" t="s">
        <v>15</v>
      </c>
      <c r="K862" s="70" t="s">
        <v>15</v>
      </c>
      <c r="L862" s="289" t="s">
        <v>15</v>
      </c>
      <c r="M862" s="15" t="s">
        <v>15</v>
      </c>
      <c r="N862" s="537">
        <v>-230.48</v>
      </c>
      <c r="O862" s="536">
        <v>3.17</v>
      </c>
      <c r="P862" s="536">
        <v>72.760000000000005</v>
      </c>
      <c r="Q862" s="195" t="s">
        <v>15</v>
      </c>
      <c r="R862" s="128">
        <f>N862</f>
        <v>-230.48</v>
      </c>
      <c r="S862" s="452" t="s">
        <v>279</v>
      </c>
      <c r="T862" s="272" t="s">
        <v>519</v>
      </c>
      <c r="U862" s="869"/>
      <c r="V862" s="2242"/>
      <c r="W862" s="760" t="s">
        <v>49</v>
      </c>
      <c r="X862" s="1327" t="s">
        <v>281</v>
      </c>
      <c r="Y862" s="165">
        <f>((40*$R$861)+(4*$R$862)+(2*$R$863)+$R$864+$T$868)+(1+$T$870)</f>
        <v>1761.23</v>
      </c>
      <c r="Z862" s="200">
        <f t="shared" ref="Z862" si="33">Y862-$Y$861</f>
        <v>1340.3041061230956</v>
      </c>
      <c r="AA862" s="191">
        <f>110.11/H861*Y862</f>
        <v>123.1014087573634</v>
      </c>
      <c r="AB862" s="919"/>
      <c r="AC862" s="909"/>
      <c r="AD862" s="20" t="s">
        <v>98</v>
      </c>
      <c r="AE862" s="405">
        <f>AVERAGE($AX$862:$AX$866)</f>
        <v>1.9668226801450861E-2</v>
      </c>
      <c r="AF862" s="109" t="s">
        <v>49</v>
      </c>
      <c r="AG862" s="34" t="s">
        <v>281</v>
      </c>
      <c r="AH862" s="168">
        <f>Y862</f>
        <v>1761.23</v>
      </c>
      <c r="AI862" s="937"/>
      <c r="AJ862" s="937"/>
      <c r="AK862" s="937">
        <v>1449</v>
      </c>
      <c r="AL862" s="937">
        <v>1599</v>
      </c>
      <c r="AM862" s="937"/>
      <c r="AN862" s="937"/>
      <c r="AO862" s="937"/>
      <c r="AP862" s="937">
        <v>1398</v>
      </c>
      <c r="AQ862" s="937">
        <v>1614</v>
      </c>
      <c r="AR862" s="937"/>
      <c r="AS862" s="937"/>
      <c r="AT862" s="937"/>
      <c r="AU862" s="937"/>
      <c r="AV862" s="1010"/>
      <c r="AW862" s="1012">
        <f>AH862-AVERAGE(AI862:AV862)</f>
        <v>246.23000000000002</v>
      </c>
      <c r="AX862" s="1326">
        <f>AW862/AVERAGE(AH862:AV862)</f>
        <v>0.15741130231434189</v>
      </c>
      <c r="AY862" s="1012"/>
      <c r="AZ862" s="1012"/>
      <c r="BA862" s="1012"/>
      <c r="BB862" s="1012"/>
      <c r="BC862" s="1012"/>
      <c r="BD862" s="1012"/>
      <c r="BE862" s="1012"/>
      <c r="BF862" s="1012"/>
      <c r="BG862" s="1012"/>
    </row>
    <row r="863" spans="1:123" ht="15" customHeight="1">
      <c r="A863" s="2120"/>
      <c r="B863" s="817" t="s">
        <v>213</v>
      </c>
      <c r="C863" s="356" t="s">
        <v>12</v>
      </c>
      <c r="D863" s="292" t="s">
        <v>274</v>
      </c>
      <c r="E863" s="213">
        <v>25</v>
      </c>
      <c r="F863" s="91">
        <v>2.29</v>
      </c>
      <c r="G863" s="91">
        <v>0.158</v>
      </c>
      <c r="H863" s="58">
        <v>1575.36</v>
      </c>
      <c r="I863" s="99">
        <v>327.67</v>
      </c>
      <c r="J863" s="101" t="s">
        <v>15</v>
      </c>
      <c r="K863" s="70" t="s">
        <v>15</v>
      </c>
      <c r="L863" s="289" t="s">
        <v>12</v>
      </c>
      <c r="M863" s="103" t="s">
        <v>278</v>
      </c>
      <c r="N863" s="537">
        <v>-782.21</v>
      </c>
      <c r="O863" s="536">
        <v>2.52</v>
      </c>
      <c r="P863" s="536">
        <v>310.08</v>
      </c>
      <c r="Q863" s="195" t="s">
        <v>15</v>
      </c>
      <c r="R863" s="128">
        <f>N863</f>
        <v>-782.21</v>
      </c>
      <c r="S863" s="127" t="s">
        <v>72</v>
      </c>
      <c r="T863" s="119" t="s">
        <v>119</v>
      </c>
      <c r="U863" s="855"/>
      <c r="V863" s="2242"/>
      <c r="W863" s="760" t="s">
        <v>49</v>
      </c>
      <c r="X863" s="34" t="s">
        <v>282</v>
      </c>
      <c r="Y863" s="165">
        <f>((50*$R$861)+(4.5*$R$862)+(2.4*$R$863)+$R$864+$T$868)+(1+$T$870)</f>
        <v>1565.4059999999999</v>
      </c>
      <c r="Z863" s="200">
        <f>Y863-$Y$843</f>
        <v>1187.5776750810958</v>
      </c>
      <c r="AA863" s="191">
        <f>110.11/H861*Y863</f>
        <v>109.41426382541134</v>
      </c>
      <c r="AB863" s="919"/>
      <c r="AC863" s="909"/>
      <c r="AD863" s="20" t="s">
        <v>143</v>
      </c>
      <c r="AE863" s="405">
        <f>STDEV($AX$862:$AX$866)</f>
        <v>0.36138277161763288</v>
      </c>
      <c r="AF863" s="109" t="s">
        <v>49</v>
      </c>
      <c r="AG863" s="34" t="s">
        <v>282</v>
      </c>
      <c r="AH863" s="168">
        <f t="shared" ref="AH863:AH867" si="34">Y863</f>
        <v>1565.4059999999999</v>
      </c>
      <c r="AI863" s="937"/>
      <c r="AJ863" s="937"/>
      <c r="AK863" s="937"/>
      <c r="AL863" s="937"/>
      <c r="AM863" s="937">
        <v>2612</v>
      </c>
      <c r="AN863" s="937"/>
      <c r="AO863" s="937"/>
      <c r="AP863" s="937">
        <v>2495</v>
      </c>
      <c r="AQ863" s="937"/>
      <c r="AR863" s="937">
        <v>2399</v>
      </c>
      <c r="AS863" s="937"/>
      <c r="AT863" s="937"/>
      <c r="AU863" s="937"/>
      <c r="AV863" s="1010">
        <v>2399</v>
      </c>
      <c r="AW863" s="1012">
        <f t="shared" ref="AW863:AW866" si="35">AH863-AVERAGE(AI863:AV863)</f>
        <v>-910.84400000000005</v>
      </c>
      <c r="AX863" s="1326">
        <f t="shared" ref="AX863:AX866" si="36">AW863/AVERAGE(AH863:AV863)</f>
        <v>-0.39704087196216081</v>
      </c>
      <c r="AY863" s="1012"/>
      <c r="AZ863" s="1012"/>
      <c r="BA863" s="1012"/>
      <c r="BB863" s="1012"/>
      <c r="BC863" s="1012"/>
      <c r="BD863" s="1012"/>
      <c r="BE863" s="1012"/>
      <c r="BF863" s="1012"/>
      <c r="BG863" s="1012"/>
    </row>
    <row r="864" spans="1:123" ht="15" customHeight="1">
      <c r="A864" s="2120"/>
      <c r="B864" s="2161" t="s">
        <v>273</v>
      </c>
      <c r="C864" s="2144" t="s">
        <v>11</v>
      </c>
      <c r="D864" s="291" t="s">
        <v>263</v>
      </c>
      <c r="E864" s="213">
        <v>22</v>
      </c>
      <c r="F864" s="78" t="s">
        <v>15</v>
      </c>
      <c r="G864" s="78" t="s">
        <v>15</v>
      </c>
      <c r="H864" s="58">
        <v>1613.64</v>
      </c>
      <c r="I864" s="99">
        <v>328.68</v>
      </c>
      <c r="J864" s="101" t="s">
        <v>15</v>
      </c>
      <c r="K864" s="70" t="s">
        <v>15</v>
      </c>
      <c r="L864" s="289" t="s">
        <v>15</v>
      </c>
      <c r="M864" s="15" t="s">
        <v>15</v>
      </c>
      <c r="N864" s="537">
        <v>361.35</v>
      </c>
      <c r="O864" s="460">
        <v>2.2999999999999998</v>
      </c>
      <c r="P864" s="460">
        <v>157.07</v>
      </c>
      <c r="Q864" s="195" t="s">
        <v>15</v>
      </c>
      <c r="R864" s="128">
        <f>N864</f>
        <v>361.35</v>
      </c>
      <c r="S864" s="423" t="s">
        <v>139</v>
      </c>
      <c r="T864" s="411" t="s">
        <v>140</v>
      </c>
      <c r="U864" s="859"/>
      <c r="V864" s="2242"/>
      <c r="W864" s="760" t="s">
        <v>49</v>
      </c>
      <c r="X864" s="34" t="s">
        <v>283</v>
      </c>
      <c r="Y864" s="165">
        <f>((50*$R$861)+(5.5*$R$862)+(2.45*$R$863)+$R$864+$T$868)+(1+$T$870)</f>
        <v>1295.8154999999997</v>
      </c>
      <c r="Z864" s="200">
        <f>Y864-$Y$843</f>
        <v>917.98717508109553</v>
      </c>
      <c r="AA864" s="191">
        <f>110.11/H861*Y864</f>
        <v>90.571199411563057</v>
      </c>
      <c r="AB864" s="919"/>
      <c r="AC864" s="909"/>
      <c r="AD864" s="20" t="s">
        <v>144</v>
      </c>
      <c r="AE864" s="405">
        <f>MIN($AX$862:$AX$866)</f>
        <v>-0.39704087196216081</v>
      </c>
      <c r="AF864" s="109" t="s">
        <v>49</v>
      </c>
      <c r="AG864" s="34" t="s">
        <v>283</v>
      </c>
      <c r="AH864" s="168">
        <f t="shared" si="34"/>
        <v>1295.8154999999997</v>
      </c>
      <c r="AI864" s="937"/>
      <c r="AJ864" s="937"/>
      <c r="AK864" s="937"/>
      <c r="AL864" s="937">
        <v>1165</v>
      </c>
      <c r="AM864" s="937">
        <v>1735</v>
      </c>
      <c r="AN864" s="937">
        <v>1219</v>
      </c>
      <c r="AO864" s="937">
        <v>1468</v>
      </c>
      <c r="AP864" s="937"/>
      <c r="AQ864" s="937"/>
      <c r="AR864" s="937"/>
      <c r="AS864" s="937"/>
      <c r="AT864" s="937"/>
      <c r="AU864" s="937"/>
      <c r="AV864" s="1010"/>
      <c r="AW864" s="1012">
        <f t="shared" si="35"/>
        <v>-100.9345000000003</v>
      </c>
      <c r="AX864" s="1326">
        <f t="shared" si="36"/>
        <v>-7.3323554873728866E-2</v>
      </c>
      <c r="AY864" s="1012"/>
      <c r="AZ864" s="1012"/>
      <c r="BA864" s="1012"/>
      <c r="BB864" s="1012"/>
      <c r="BC864" s="1012"/>
      <c r="BD864" s="1012"/>
      <c r="BE864" s="1012"/>
      <c r="BF864" s="1012"/>
      <c r="BG864" s="1012"/>
    </row>
    <row r="865" spans="1:123" ht="15" customHeight="1">
      <c r="A865" s="2120"/>
      <c r="B865" s="2161"/>
      <c r="C865" s="2144"/>
      <c r="D865" s="291" t="s">
        <v>264</v>
      </c>
      <c r="E865" s="213">
        <v>3</v>
      </c>
      <c r="F865" s="78" t="s">
        <v>15</v>
      </c>
      <c r="G865" s="78" t="s">
        <v>15</v>
      </c>
      <c r="H865" s="58">
        <v>1294.67</v>
      </c>
      <c r="I865" s="99">
        <v>140.43</v>
      </c>
      <c r="J865" s="101" t="s">
        <v>15</v>
      </c>
      <c r="K865" s="70" t="s">
        <v>15</v>
      </c>
      <c r="L865" s="289" t="s">
        <v>15</v>
      </c>
      <c r="M865" s="15" t="s">
        <v>15</v>
      </c>
      <c r="N865" s="537">
        <v>0</v>
      </c>
      <c r="O865" s="144" t="s">
        <v>204</v>
      </c>
      <c r="P865" s="144" t="s">
        <v>204</v>
      </c>
      <c r="Q865" s="195" t="s">
        <v>15</v>
      </c>
      <c r="R865" s="128">
        <f>N865</f>
        <v>0</v>
      </c>
      <c r="S865" s="127" t="s">
        <v>74</v>
      </c>
      <c r="T865" s="129" t="s">
        <v>75</v>
      </c>
      <c r="U865" s="858"/>
      <c r="V865" s="2242"/>
      <c r="W865" s="760" t="s">
        <v>49</v>
      </c>
      <c r="X865" s="34" t="s">
        <v>284</v>
      </c>
      <c r="Y865" s="165">
        <f>((60*$R$861)+(4.5*$R$862)+(2.33*$R$863)+$R$864+$T$868)+(1+$T$870)</f>
        <v>1852.4607000000001</v>
      </c>
      <c r="Z865" s="200">
        <f>Y865-$Y$845</f>
        <v>1415.1869873100968</v>
      </c>
      <c r="AA865" s="191">
        <f>110.11/H861*Y865</f>
        <v>129.47799085732785</v>
      </c>
      <c r="AB865" s="919"/>
      <c r="AC865" s="909"/>
      <c r="AD865" s="20" t="s">
        <v>145</v>
      </c>
      <c r="AE865" s="405">
        <f>MAX($AX$862:$AX$866)</f>
        <v>0.56057432381440031</v>
      </c>
      <c r="AF865" s="109" t="s">
        <v>49</v>
      </c>
      <c r="AG865" s="34" t="s">
        <v>284</v>
      </c>
      <c r="AH865" s="168">
        <f t="shared" si="34"/>
        <v>1852.4607000000001</v>
      </c>
      <c r="AI865" s="937"/>
      <c r="AJ865" s="937"/>
      <c r="AK865" s="937"/>
      <c r="AL865" s="937">
        <v>2279</v>
      </c>
      <c r="AM865" s="937"/>
      <c r="AN865" s="937"/>
      <c r="AO865" s="937"/>
      <c r="AP865" s="937">
        <v>2099</v>
      </c>
      <c r="AQ865" s="937"/>
      <c r="AR865" s="937"/>
      <c r="AS865" s="937">
        <v>1889</v>
      </c>
      <c r="AT865" s="937">
        <v>2399</v>
      </c>
      <c r="AU865" s="937"/>
      <c r="AV865" s="1010"/>
      <c r="AW865" s="1012">
        <f t="shared" si="35"/>
        <v>-314.03929999999991</v>
      </c>
      <c r="AX865" s="1326">
        <f t="shared" si="36"/>
        <v>-0.14928006528559826</v>
      </c>
      <c r="AY865" s="1012"/>
      <c r="AZ865" s="1012"/>
      <c r="BA865" s="1012"/>
      <c r="BB865" s="1012"/>
      <c r="BC865" s="1012"/>
      <c r="BD865" s="1012"/>
      <c r="BE865" s="1012"/>
      <c r="BF865" s="1012"/>
      <c r="BG865" s="1012"/>
    </row>
    <row r="866" spans="1:123" ht="15" customHeight="1">
      <c r="A866" s="2120"/>
      <c r="B866" s="2116" t="s">
        <v>194</v>
      </c>
      <c r="C866" s="41"/>
      <c r="D866" s="26"/>
      <c r="E866" s="27"/>
      <c r="F866" s="26"/>
      <c r="G866" s="26"/>
      <c r="H866" s="26"/>
      <c r="I866" s="26"/>
      <c r="J866" s="75"/>
      <c r="K866" s="26"/>
      <c r="L866" s="75"/>
      <c r="M866" s="26"/>
      <c r="N866" s="1205"/>
      <c r="O866" s="467"/>
      <c r="P866" s="467"/>
      <c r="Q866" s="252"/>
      <c r="R866" s="252"/>
      <c r="S866" s="95">
        <v>25</v>
      </c>
      <c r="T866" s="117" t="s">
        <v>15</v>
      </c>
      <c r="U866" s="854"/>
      <c r="V866" s="2242"/>
      <c r="W866" s="760" t="s">
        <v>49</v>
      </c>
      <c r="X866" s="34" t="s">
        <v>285</v>
      </c>
      <c r="Y866" s="165">
        <f>((80*$R$861)+(2.2*$R$862)+(2.51*$R$863)+$R$864+$T$868)+(1+$T$870)</f>
        <v>2706.3669</v>
      </c>
      <c r="Z866" s="200">
        <f>Y866-$Y$847</f>
        <v>2231.1965840180969</v>
      </c>
      <c r="AA866" s="191">
        <f>110.11/H861*Y866</f>
        <v>189.16188005217856</v>
      </c>
      <c r="AB866" s="919"/>
      <c r="AC866" s="26"/>
      <c r="AD866" s="22"/>
      <c r="AE866" s="27"/>
      <c r="AF866" s="109" t="s">
        <v>49</v>
      </c>
      <c r="AG866" s="34" t="s">
        <v>285</v>
      </c>
      <c r="AH866" s="168">
        <f t="shared" si="34"/>
        <v>2706.3669</v>
      </c>
      <c r="AI866" s="937"/>
      <c r="AJ866" s="937"/>
      <c r="AK866" s="937"/>
      <c r="AL866" s="937">
        <v>2026</v>
      </c>
      <c r="AM866" s="937">
        <v>1785</v>
      </c>
      <c r="AN866" s="937"/>
      <c r="AO866" s="937"/>
      <c r="AP866" s="937"/>
      <c r="AQ866" s="937"/>
      <c r="AR866" s="937"/>
      <c r="AS866" s="937"/>
      <c r="AT866" s="937"/>
      <c r="AU866" s="937">
        <v>1103.8900000000001</v>
      </c>
      <c r="AV866" s="1010"/>
      <c r="AW866" s="1012">
        <f t="shared" si="35"/>
        <v>1068.0702333333331</v>
      </c>
      <c r="AX866" s="1326">
        <f t="shared" si="36"/>
        <v>0.56057432381440031</v>
      </c>
      <c r="AY866" s="1012"/>
      <c r="AZ866" s="1012"/>
      <c r="BA866" s="1012"/>
      <c r="BB866" s="1012"/>
      <c r="BC866" s="1012"/>
      <c r="BD866" s="1012"/>
      <c r="BE866" s="1012"/>
      <c r="BF866" s="1012"/>
      <c r="BG866" s="1012"/>
    </row>
    <row r="867" spans="1:123" ht="15" customHeight="1">
      <c r="A867" s="2120"/>
      <c r="B867" s="2117"/>
      <c r="C867" s="41"/>
      <c r="D867" s="26"/>
      <c r="E867" s="26"/>
      <c r="F867" s="26"/>
      <c r="G867" s="26"/>
      <c r="H867" s="26"/>
      <c r="I867" s="26"/>
      <c r="J867" s="75"/>
      <c r="K867" s="26"/>
      <c r="L867" s="75"/>
      <c r="M867" s="26"/>
      <c r="N867" s="1205"/>
      <c r="O867" s="467"/>
      <c r="P867" s="467"/>
      <c r="Q867" s="252"/>
      <c r="R867" s="252"/>
      <c r="S867" s="127" t="s">
        <v>41</v>
      </c>
      <c r="T867" s="129" t="s">
        <v>42</v>
      </c>
      <c r="U867" s="858"/>
      <c r="V867" s="2242"/>
      <c r="W867" s="760" t="s">
        <v>49</v>
      </c>
      <c r="X867" s="34" t="s">
        <v>286</v>
      </c>
      <c r="Y867" s="165">
        <f>((80*$R$861)+(4.5*$R$862)+(2.33*$R$863)+$R$864+$T$868)+(1+$T$870)</f>
        <v>2317.0607</v>
      </c>
      <c r="Z867" s="200">
        <f>Y867-$Y$847</f>
        <v>1841.8903840180967</v>
      </c>
      <c r="AA867" s="191">
        <f>110.11/H861*Y867</f>
        <v>161.95127061560532</v>
      </c>
      <c r="AB867" s="919"/>
      <c r="AC867" s="26"/>
      <c r="AD867" s="24"/>
      <c r="AE867" s="26"/>
      <c r="AF867" s="114" t="s">
        <v>49</v>
      </c>
      <c r="AG867" s="36" t="s">
        <v>286</v>
      </c>
      <c r="AH867" s="168">
        <f t="shared" si="34"/>
        <v>2317.0607</v>
      </c>
      <c r="AI867" s="1033"/>
      <c r="AJ867" s="1033"/>
      <c r="AK867" s="1033"/>
      <c r="AL867" s="1033"/>
      <c r="AM867" s="1033"/>
      <c r="AN867" s="1033"/>
      <c r="AO867" s="1033"/>
      <c r="AP867" s="1033"/>
      <c r="AQ867" s="1033"/>
      <c r="AR867" s="1033"/>
      <c r="AS867" s="1033"/>
      <c r="AT867" s="1033"/>
      <c r="AU867" s="1033"/>
      <c r="AV867" s="1034"/>
      <c r="AW867" s="1012"/>
      <c r="AX867" s="1326"/>
      <c r="AY867" s="1012"/>
      <c r="AZ867" s="1012"/>
      <c r="BA867" s="1012"/>
      <c r="BB867" s="1012"/>
      <c r="BC867" s="1012"/>
      <c r="BD867" s="1012"/>
      <c r="BE867" s="1012"/>
      <c r="BF867" s="1012"/>
      <c r="BG867" s="1012"/>
    </row>
    <row r="868" spans="1:123" ht="15" customHeight="1">
      <c r="A868" s="2120"/>
      <c r="B868" s="2117"/>
      <c r="C868" s="41"/>
      <c r="D868" s="26"/>
      <c r="E868" s="26"/>
      <c r="F868" s="26"/>
      <c r="G868" s="26"/>
      <c r="H868" s="26"/>
      <c r="I868" s="26"/>
      <c r="J868" s="75"/>
      <c r="K868" s="26"/>
      <c r="L868" s="75"/>
      <c r="M868" s="26"/>
      <c r="N868" s="1205"/>
      <c r="O868" s="467"/>
      <c r="P868" s="467"/>
      <c r="Q868" s="252"/>
      <c r="R868" s="252"/>
      <c r="S868" s="25">
        <v>0.77700000000000002</v>
      </c>
      <c r="T868" s="121">
        <v>2955.87</v>
      </c>
      <c r="U868" s="854"/>
      <c r="V868" s="22"/>
      <c r="W868" s="27"/>
      <c r="X868" s="27"/>
      <c r="Y868" s="39"/>
      <c r="Z868" s="39"/>
      <c r="AA868" s="39"/>
      <c r="AB868" s="846"/>
      <c r="AC868" s="26"/>
      <c r="AD868" s="24"/>
      <c r="AE868" s="26"/>
      <c r="AF868" s="102"/>
      <c r="AG868" s="27"/>
      <c r="AH868" s="1013"/>
      <c r="AI868" s="1013"/>
      <c r="AJ868" s="1013"/>
      <c r="AK868" s="1013"/>
      <c r="AL868" s="1013"/>
      <c r="AM868" s="1013"/>
      <c r="AN868" s="1013"/>
      <c r="AO868" s="1013"/>
      <c r="AP868" s="1013"/>
      <c r="AQ868" s="1013"/>
      <c r="AR868" s="1013"/>
      <c r="AS868" s="1013"/>
      <c r="AT868" s="1013"/>
      <c r="AU868" s="1013"/>
      <c r="AV868" s="1013"/>
      <c r="AW868" s="957"/>
      <c r="AX868" s="957"/>
      <c r="AY868" s="957"/>
      <c r="AZ868" s="957"/>
      <c r="BA868" s="957"/>
      <c r="BB868" s="957"/>
      <c r="BC868" s="957"/>
      <c r="BD868" s="957"/>
      <c r="BE868" s="957"/>
      <c r="BF868" s="957"/>
      <c r="BG868" s="957"/>
    </row>
    <row r="869" spans="1:123" ht="18.75" customHeight="1">
      <c r="A869" s="2120"/>
      <c r="B869" s="2117"/>
      <c r="C869" s="41"/>
      <c r="D869" s="26"/>
      <c r="E869" s="26"/>
      <c r="F869" s="26"/>
      <c r="G869" s="26"/>
      <c r="H869" s="26"/>
      <c r="I869" s="26"/>
      <c r="J869" s="75"/>
      <c r="K869" s="26"/>
      <c r="L869" s="75"/>
      <c r="M869" s="26"/>
      <c r="N869" s="1205"/>
      <c r="O869" s="467"/>
      <c r="P869" s="467"/>
      <c r="Q869" s="252"/>
      <c r="R869" s="252"/>
      <c r="S869" s="127" t="s">
        <v>235</v>
      </c>
      <c r="T869" s="119" t="s">
        <v>391</v>
      </c>
      <c r="U869" s="855"/>
      <c r="V869" s="24"/>
      <c r="W869" s="26"/>
      <c r="X869" s="26"/>
      <c r="Y869" s="41"/>
      <c r="Z869" s="41"/>
      <c r="AA869" s="41"/>
      <c r="AB869" s="846"/>
      <c r="AC869" s="26"/>
      <c r="AD869" s="24"/>
      <c r="AE869" s="26"/>
      <c r="AF869" s="75"/>
      <c r="AG869" s="26"/>
      <c r="AH869" s="957"/>
      <c r="AI869" s="957"/>
      <c r="AJ869" s="957"/>
      <c r="AK869" s="957"/>
      <c r="AL869" s="957"/>
      <c r="AM869" s="957"/>
      <c r="AN869" s="957"/>
      <c r="AO869" s="957"/>
      <c r="AP869" s="957"/>
      <c r="AQ869" s="957"/>
      <c r="AR869" s="957"/>
      <c r="AS869" s="957"/>
      <c r="AT869" s="957"/>
      <c r="AU869" s="957"/>
      <c r="AV869" s="957"/>
      <c r="AW869" s="957"/>
      <c r="AX869" s="957"/>
      <c r="AY869" s="957"/>
      <c r="AZ869" s="957"/>
      <c r="BA869" s="957"/>
      <c r="BB869" s="957"/>
      <c r="BC869" s="957"/>
      <c r="BD869" s="957"/>
      <c r="BE869" s="957"/>
      <c r="BF869" s="957"/>
      <c r="BG869" s="957"/>
    </row>
    <row r="870" spans="1:123" ht="19.5" customHeight="1" thickBot="1">
      <c r="A870" s="2145"/>
      <c r="B870" s="2118"/>
      <c r="C870" s="41"/>
      <c r="D870" s="26"/>
      <c r="E870" s="26"/>
      <c r="F870" s="26"/>
      <c r="G870" s="26"/>
      <c r="H870" s="26"/>
      <c r="I870" s="26"/>
      <c r="J870" s="75"/>
      <c r="K870" s="26"/>
      <c r="L870" s="75"/>
      <c r="M870" s="26"/>
      <c r="N870" s="1205"/>
      <c r="O870" s="467"/>
      <c r="P870" s="467"/>
      <c r="Q870" s="252"/>
      <c r="R870" s="252"/>
      <c r="S870" s="194">
        <v>110.11</v>
      </c>
      <c r="T870" s="151">
        <v>0.15</v>
      </c>
      <c r="U870" s="862"/>
      <c r="V870" s="24"/>
      <c r="W870" s="26"/>
      <c r="X870" s="26"/>
      <c r="Y870" s="41"/>
      <c r="Z870" s="41"/>
      <c r="AA870" s="41"/>
      <c r="AB870" s="846"/>
      <c r="AC870" s="29"/>
      <c r="AD870" s="28"/>
      <c r="AE870" s="29"/>
      <c r="AF870" s="108"/>
      <c r="AG870" s="26"/>
      <c r="AH870" s="957"/>
      <c r="AI870" s="957"/>
      <c r="AJ870" s="957"/>
      <c r="AK870" s="957"/>
      <c r="AL870" s="957"/>
      <c r="AM870" s="957"/>
      <c r="AN870" s="957"/>
      <c r="AO870" s="957"/>
      <c r="AP870" s="957"/>
      <c r="AQ870" s="957"/>
      <c r="AR870" s="957"/>
      <c r="AS870" s="957"/>
      <c r="AT870" s="957"/>
      <c r="AU870" s="957"/>
      <c r="AV870" s="957"/>
      <c r="AW870" s="957"/>
      <c r="AX870" s="957"/>
      <c r="AY870" s="957"/>
      <c r="AZ870" s="957"/>
      <c r="BA870" s="957"/>
      <c r="BB870" s="957"/>
      <c r="BC870" s="957"/>
      <c r="BD870" s="957"/>
      <c r="BE870" s="957"/>
      <c r="BF870" s="957"/>
      <c r="BG870" s="957"/>
    </row>
    <row r="871" spans="1:123" s="808" customFormat="1" ht="25.5" customHeight="1" thickBot="1">
      <c r="A871" s="721" t="s">
        <v>1110</v>
      </c>
      <c r="B871" s="1054"/>
      <c r="C871" s="684"/>
      <c r="D871" s="683"/>
      <c r="E871" s="683"/>
      <c r="F871" s="683"/>
      <c r="G871" s="683"/>
      <c r="H871" s="683"/>
      <c r="I871" s="683"/>
      <c r="J871" s="682"/>
      <c r="K871" s="683"/>
      <c r="L871" s="682"/>
      <c r="M871" s="685"/>
      <c r="N871" s="1189"/>
      <c r="O871" s="686"/>
      <c r="P871" s="686"/>
      <c r="Q871" s="687"/>
      <c r="R871" s="687"/>
      <c r="S871" s="688"/>
      <c r="T871" s="688"/>
      <c r="U871" s="891"/>
      <c r="V871" s="893"/>
      <c r="W871" s="685"/>
      <c r="X871" s="685"/>
      <c r="Y871" s="685"/>
      <c r="Z871" s="685"/>
      <c r="AA871" s="685"/>
      <c r="AB871" s="852"/>
      <c r="AC871" s="685"/>
      <c r="AD871" s="685"/>
      <c r="AE871" s="685"/>
      <c r="AF871" s="689"/>
      <c r="AG871" s="685"/>
      <c r="AH871" s="959"/>
      <c r="AI871" s="959"/>
      <c r="AJ871" s="959"/>
      <c r="AK871" s="959"/>
      <c r="AL871" s="959"/>
      <c r="AM871" s="959"/>
      <c r="AN871" s="959"/>
      <c r="AO871" s="959"/>
      <c r="AP871" s="959"/>
      <c r="AQ871" s="959"/>
      <c r="AR871" s="959"/>
      <c r="AS871" s="959"/>
      <c r="AT871" s="959" t="s">
        <v>321</v>
      </c>
      <c r="AU871" s="959" t="s">
        <v>322</v>
      </c>
      <c r="AV871" s="959"/>
      <c r="AW871" s="959"/>
      <c r="AX871" s="959"/>
      <c r="AY871" s="959"/>
      <c r="AZ871" s="959"/>
      <c r="BA871" s="959"/>
      <c r="BB871" s="959"/>
      <c r="BC871" s="959"/>
      <c r="BD871" s="959"/>
      <c r="BE871" s="959"/>
      <c r="BF871" s="959"/>
      <c r="BG871" s="959"/>
      <c r="BH871" s="1126"/>
      <c r="DI871" s="740"/>
    </row>
    <row r="872" spans="1:123" s="76" customFormat="1" ht="15" customHeight="1">
      <c r="A872" s="2184" t="s">
        <v>1359</v>
      </c>
      <c r="B872" s="939" t="s">
        <v>585</v>
      </c>
      <c r="C872" s="835" t="s">
        <v>12</v>
      </c>
      <c r="D872" s="941" t="s">
        <v>592</v>
      </c>
      <c r="E872" s="942">
        <v>65</v>
      </c>
      <c r="F872" s="594">
        <v>262298.40000000002</v>
      </c>
      <c r="G872" s="594">
        <v>144055.79999999999</v>
      </c>
      <c r="H872" s="792">
        <v>6603.16</v>
      </c>
      <c r="I872" s="792">
        <v>3412.96</v>
      </c>
      <c r="J872" s="328" t="s">
        <v>14</v>
      </c>
      <c r="K872" s="327" t="s">
        <v>595</v>
      </c>
      <c r="L872" s="1091" t="s">
        <v>15</v>
      </c>
      <c r="M872" s="1088" t="s">
        <v>15</v>
      </c>
      <c r="N872" s="1221">
        <v>1.129E-2</v>
      </c>
      <c r="O872" s="466">
        <v>8.23</v>
      </c>
      <c r="P872" s="488">
        <v>1.371E-3</v>
      </c>
      <c r="Q872" s="241" t="s">
        <v>15</v>
      </c>
      <c r="R872" s="943">
        <f>N872</f>
        <v>1.129E-2</v>
      </c>
      <c r="S872" s="944" t="s">
        <v>68</v>
      </c>
      <c r="T872" s="116" t="s">
        <v>69</v>
      </c>
      <c r="U872" s="855"/>
      <c r="V872" s="2402" t="s">
        <v>2749</v>
      </c>
      <c r="W872" s="741" t="s">
        <v>47</v>
      </c>
      <c r="X872" s="741" t="s">
        <v>613</v>
      </c>
      <c r="Y872" s="945">
        <f>((80*$R$873)+(0.8*$R$874)+(125000*$R$872)+$R$875+$R$877+$R$881+$T$879)*(1+$T$881)</f>
        <v>4885.9919119384658</v>
      </c>
      <c r="Z872" s="945" t="s">
        <v>40</v>
      </c>
      <c r="AA872" s="663" t="s">
        <v>40</v>
      </c>
      <c r="AB872" s="846"/>
      <c r="AC872" s="26"/>
      <c r="AD872" s="2140" t="s">
        <v>142</v>
      </c>
      <c r="AE872" s="2151"/>
      <c r="AF872" s="946" t="s">
        <v>47</v>
      </c>
      <c r="AG872" s="947" t="s">
        <v>616</v>
      </c>
      <c r="AH872" s="936">
        <f>Y872</f>
        <v>4885.9919119384658</v>
      </c>
      <c r="AI872" s="158">
        <v>3341.77</v>
      </c>
      <c r="AJ872" s="158"/>
      <c r="AK872" s="158">
        <v>3743</v>
      </c>
      <c r="AL872" s="158"/>
      <c r="AM872" s="158">
        <v>3457.35</v>
      </c>
      <c r="AN872" s="158"/>
      <c r="AO872" s="158"/>
      <c r="AP872" s="158"/>
      <c r="AQ872" s="158"/>
      <c r="AR872" s="158">
        <v>4185</v>
      </c>
      <c r="AS872" s="158"/>
      <c r="AT872" s="158"/>
      <c r="AU872" s="158"/>
      <c r="AV872" s="158"/>
      <c r="AW872" s="158">
        <v>4250</v>
      </c>
      <c r="AX872" s="158">
        <v>5041</v>
      </c>
      <c r="AY872" s="158"/>
      <c r="AZ872" s="158"/>
      <c r="BA872" s="158"/>
      <c r="BB872" s="1012">
        <f>AH872-AVERAGE(AI872:BA872)</f>
        <v>882.97191193846538</v>
      </c>
      <c r="BC872" s="503">
        <f>BB872/AVERAGE(AI872:BA872)</f>
        <v>0.22057644277032473</v>
      </c>
      <c r="BD872" s="957">
        <f>MIN(AI872:BA872)</f>
        <v>3341.77</v>
      </c>
      <c r="BE872" s="957">
        <f>MAX(AI872:BA872)</f>
        <v>5041</v>
      </c>
      <c r="BF872" s="503">
        <f>(BE872-BD872)/BE872</f>
        <v>0.33708192818885141</v>
      </c>
      <c r="BG872" s="957"/>
      <c r="BH872" s="1125"/>
      <c r="CF872" s="557"/>
      <c r="CG872" s="557"/>
      <c r="CH872" s="557"/>
      <c r="CI872" s="557"/>
      <c r="CJ872" s="557"/>
      <c r="CK872" s="557"/>
      <c r="CL872" s="557"/>
      <c r="CM872" s="557"/>
      <c r="CN872" s="557"/>
      <c r="CO872" s="557"/>
      <c r="CP872" s="557"/>
      <c r="CQ872" s="557"/>
      <c r="CR872" s="557"/>
      <c r="CS872" s="557"/>
      <c r="CT872" s="557"/>
      <c r="CU872" s="557"/>
      <c r="CV872" s="557"/>
      <c r="CW872" s="557"/>
      <c r="CX872" s="557"/>
      <c r="CY872" s="557"/>
      <c r="CZ872" s="557"/>
      <c r="DA872" s="557"/>
      <c r="DB872" s="557"/>
      <c r="DC872" s="557"/>
      <c r="DD872" s="557"/>
      <c r="DE872" s="557"/>
      <c r="DF872" s="557"/>
      <c r="DG872" s="557"/>
      <c r="DH872" s="557"/>
      <c r="DI872" s="569"/>
      <c r="DJ872" s="557"/>
      <c r="DK872" s="557"/>
      <c r="DL872" s="557"/>
      <c r="DM872" s="557"/>
      <c r="DN872" s="557"/>
      <c r="DO872" s="557"/>
      <c r="DP872" s="557"/>
      <c r="DQ872" s="557"/>
      <c r="DR872" s="557"/>
      <c r="DS872" s="557"/>
    </row>
    <row r="873" spans="1:123" s="76" customFormat="1">
      <c r="A873" s="2185"/>
      <c r="B873" s="986" t="s">
        <v>536</v>
      </c>
      <c r="C873" s="23" t="s">
        <v>12</v>
      </c>
      <c r="D873" s="348" t="s">
        <v>593</v>
      </c>
      <c r="E873" s="316">
        <v>65</v>
      </c>
      <c r="F873" s="594">
        <v>88.438460000000006</v>
      </c>
      <c r="G873" s="594">
        <v>19.981729999999999</v>
      </c>
      <c r="H873" s="552">
        <v>6603.16</v>
      </c>
      <c r="I873" s="552">
        <v>3412.96</v>
      </c>
      <c r="J873" s="1089" t="s">
        <v>15</v>
      </c>
      <c r="K873" s="1090" t="s">
        <v>15</v>
      </c>
      <c r="L873" s="1089" t="s">
        <v>15</v>
      </c>
      <c r="M873" s="1090" t="s">
        <v>15</v>
      </c>
      <c r="N873" s="1221">
        <v>29.92304</v>
      </c>
      <c r="O873" s="466">
        <v>2.77</v>
      </c>
      <c r="P873" s="488">
        <v>10.79571</v>
      </c>
      <c r="Q873" s="208" t="s">
        <v>15</v>
      </c>
      <c r="R873" s="251">
        <f>N873</f>
        <v>29.92304</v>
      </c>
      <c r="S873" s="356" t="s">
        <v>597</v>
      </c>
      <c r="T873" s="117" t="s">
        <v>132</v>
      </c>
      <c r="U873" s="854"/>
      <c r="V873" s="2403"/>
      <c r="W873" s="34" t="s">
        <v>49</v>
      </c>
      <c r="X873" s="292" t="s">
        <v>614</v>
      </c>
      <c r="Y873" s="158">
        <f>((75*$R$873)+(0.83*$R$874)+(125000*$R$872)+$R$875+$R$877+$R$881+$T$879)*(1+$T$881)</f>
        <v>5105.9551612434616</v>
      </c>
      <c r="Z873" s="158">
        <f>Y873-Y872</f>
        <v>219.96324930499577</v>
      </c>
      <c r="AA873" s="170">
        <f>(0.83-0.8)*$P$874</f>
        <v>86.33897624999976</v>
      </c>
      <c r="AB873" s="919"/>
      <c r="AC873" s="26"/>
      <c r="AD873" s="20" t="s">
        <v>98</v>
      </c>
      <c r="AE873" s="405">
        <f>AVERAGE($BC$872:$BC$878)</f>
        <v>0.19728018335010158</v>
      </c>
      <c r="AF873" s="113" t="s">
        <v>49</v>
      </c>
      <c r="AG873" s="354" t="s">
        <v>617</v>
      </c>
      <c r="AH873" s="158">
        <f>((55*$R$873)+(0.95*$R$874)+(100000*$R$872)+$R$875+$R$877+$R$881+$T$879)*(1+$T$881)</f>
        <v>5661.2206584634614</v>
      </c>
      <c r="AI873" s="158">
        <v>4689.1499999999996</v>
      </c>
      <c r="AJ873" s="158">
        <v>3458.31</v>
      </c>
      <c r="AK873" s="158"/>
      <c r="AL873" s="158"/>
      <c r="AM873" s="158"/>
      <c r="AN873" s="158">
        <v>5482.53</v>
      </c>
      <c r="AO873" s="158">
        <v>4016.71</v>
      </c>
      <c r="AP873" s="158"/>
      <c r="AQ873" s="158"/>
      <c r="AR873" s="158"/>
      <c r="AS873" s="158"/>
      <c r="AT873" s="158"/>
      <c r="AU873" s="158"/>
      <c r="AV873" s="158"/>
      <c r="AW873" s="158"/>
      <c r="AX873" s="158"/>
      <c r="AY873" s="158"/>
      <c r="AZ873" s="158"/>
      <c r="BA873" s="158"/>
      <c r="BB873" s="1012">
        <f t="shared" ref="BB873:BB878" si="37">AH873-AVERAGE(AI873:BA873)</f>
        <v>1249.5456584634621</v>
      </c>
      <c r="BC873" s="503">
        <f t="shared" ref="BC873:BC878" si="38">BB873/AVERAGE(AI873:BA873)</f>
        <v>0.283236108385922</v>
      </c>
      <c r="BD873" s="957">
        <f t="shared" ref="BD873:BD878" si="39">MIN(AI873:BA873)</f>
        <v>3458.31</v>
      </c>
      <c r="BE873" s="957">
        <f t="shared" ref="BE873:BE878" si="40">MAX(AI873:BA873)</f>
        <v>5482.53</v>
      </c>
      <c r="BF873" s="503">
        <f t="shared" ref="BF873:BF878" si="41">(BE873-BD873)/BE873</f>
        <v>0.36921275396577857</v>
      </c>
      <c r="BG873" s="957"/>
      <c r="BH873" s="1125"/>
      <c r="CF873" s="557"/>
      <c r="CG873" s="557"/>
      <c r="CH873" s="557"/>
      <c r="CI873" s="557"/>
      <c r="CJ873" s="557"/>
      <c r="CK873" s="557"/>
      <c r="CL873" s="557"/>
      <c r="CM873" s="557"/>
      <c r="CN873" s="557"/>
      <c r="CO873" s="557"/>
      <c r="CP873" s="557"/>
      <c r="CQ873" s="557"/>
      <c r="CR873" s="557"/>
      <c r="CS873" s="557"/>
      <c r="CT873" s="557"/>
      <c r="CU873" s="557"/>
      <c r="CV873" s="557"/>
      <c r="CW873" s="557"/>
      <c r="CX873" s="557"/>
      <c r="CY873" s="557"/>
      <c r="CZ873" s="557"/>
      <c r="DA873" s="557"/>
      <c r="DB873" s="557"/>
      <c r="DC873" s="557"/>
      <c r="DD873" s="557"/>
      <c r="DE873" s="557"/>
      <c r="DF873" s="557"/>
      <c r="DG873" s="557"/>
      <c r="DH873" s="557"/>
      <c r="DI873" s="569"/>
      <c r="DJ873" s="557"/>
      <c r="DK873" s="557"/>
      <c r="DL873" s="557"/>
      <c r="DM873" s="557"/>
      <c r="DN873" s="557"/>
      <c r="DO873" s="557"/>
      <c r="DP873" s="557"/>
      <c r="DQ873" s="557"/>
      <c r="DR873" s="557"/>
      <c r="DS873" s="557"/>
    </row>
    <row r="874" spans="1:123" s="76" customFormat="1">
      <c r="A874" s="2185"/>
      <c r="B874" s="986" t="s">
        <v>218</v>
      </c>
      <c r="C874" s="23" t="s">
        <v>12</v>
      </c>
      <c r="D874" s="348" t="s">
        <v>594</v>
      </c>
      <c r="E874" s="316">
        <v>65</v>
      </c>
      <c r="F874" s="594">
        <v>0.84256900000000001</v>
      </c>
      <c r="G874" s="594">
        <v>6.6915000000000002E-2</v>
      </c>
      <c r="H874" s="552">
        <v>6603.16</v>
      </c>
      <c r="I874" s="552">
        <v>3412.96</v>
      </c>
      <c r="J874" s="33" t="s">
        <v>12</v>
      </c>
      <c r="K874" s="327" t="s">
        <v>596</v>
      </c>
      <c r="L874" s="1089" t="s">
        <v>15</v>
      </c>
      <c r="M874" s="1090" t="s">
        <v>15</v>
      </c>
      <c r="N874" s="1221">
        <v>11362.919690000001</v>
      </c>
      <c r="O874" s="466">
        <v>3.95</v>
      </c>
      <c r="P874" s="488">
        <v>2877.9658749999999</v>
      </c>
      <c r="Q874" s="208" t="s">
        <v>15</v>
      </c>
      <c r="R874" s="251">
        <f>N874</f>
        <v>11362.919690000001</v>
      </c>
      <c r="S874" s="156" t="s">
        <v>72</v>
      </c>
      <c r="T874" s="119" t="s">
        <v>119</v>
      </c>
      <c r="U874" s="855"/>
      <c r="V874" s="2404"/>
      <c r="W874" s="34" t="s">
        <v>49</v>
      </c>
      <c r="X874" s="292" t="s">
        <v>615</v>
      </c>
      <c r="Y874" s="158">
        <f>((75*$R$873)+(0.9*$R$874)+(125000*$R$872)+$R$875+$R$877+$R$881+$T$879)*(1+$T$881)</f>
        <v>6020.6701962884636</v>
      </c>
      <c r="Z874" s="158">
        <f>Y874-Y872</f>
        <v>1134.6782843499977</v>
      </c>
      <c r="AA874" s="170">
        <f>(0.9-0.8)*$P$874</f>
        <v>287.79658749999993</v>
      </c>
      <c r="AB874" s="919"/>
      <c r="AC874" s="26"/>
      <c r="AD874" s="20" t="s">
        <v>143</v>
      </c>
      <c r="AE874" s="405">
        <f>STDEV($BC$872:$BC$878)</f>
        <v>0.15129843200233162</v>
      </c>
      <c r="AF874" s="113" t="s">
        <v>49</v>
      </c>
      <c r="AG874" s="354" t="s">
        <v>618</v>
      </c>
      <c r="AH874" s="158">
        <f>((100*$R$873)+(0.92*$R$874)+(400000*$R$872)+$R$875+$R$877+$R$881+$T$879)*(1+$T$881)</f>
        <v>10712.767249158464</v>
      </c>
      <c r="AI874" s="158">
        <v>9235</v>
      </c>
      <c r="AJ874" s="158"/>
      <c r="AK874" s="158"/>
      <c r="AL874" s="158"/>
      <c r="AM874" s="158"/>
      <c r="AN874" s="158"/>
      <c r="AO874" s="158">
        <v>8572</v>
      </c>
      <c r="AP874" s="158">
        <v>5579</v>
      </c>
      <c r="AQ874" s="158">
        <v>9181.76</v>
      </c>
      <c r="AR874" s="158">
        <v>11264</v>
      </c>
      <c r="AS874" s="158"/>
      <c r="AT874" s="158">
        <v>9959</v>
      </c>
      <c r="AU874" s="158">
        <v>8246</v>
      </c>
      <c r="AV874" s="158">
        <v>11058</v>
      </c>
      <c r="AW874" s="158"/>
      <c r="AX874" s="158"/>
      <c r="AY874" s="158"/>
      <c r="AZ874" s="158"/>
      <c r="BA874" s="158"/>
      <c r="BB874" s="1012">
        <f t="shared" si="37"/>
        <v>1575.9222491584624</v>
      </c>
      <c r="BC874" s="503">
        <f t="shared" si="38"/>
        <v>0.17247991502082635</v>
      </c>
      <c r="BD874" s="957">
        <f t="shared" si="39"/>
        <v>5579</v>
      </c>
      <c r="BE874" s="957">
        <f t="shared" si="40"/>
        <v>11264</v>
      </c>
      <c r="BF874" s="503">
        <f t="shared" si="41"/>
        <v>0.50470525568181823</v>
      </c>
      <c r="BG874" s="957"/>
      <c r="BH874" s="1125"/>
      <c r="CF874" s="557"/>
      <c r="CG874" s="557"/>
      <c r="CH874" s="557"/>
      <c r="CI874" s="557"/>
      <c r="CJ874" s="557"/>
      <c r="CK874" s="557"/>
      <c r="CL874" s="557"/>
      <c r="CM874" s="557"/>
      <c r="CN874" s="557"/>
      <c r="CO874" s="557"/>
      <c r="CP874" s="557"/>
      <c r="CQ874" s="557"/>
      <c r="CR874" s="557"/>
      <c r="CS874" s="557"/>
      <c r="CT874" s="557"/>
      <c r="CU874" s="557"/>
      <c r="CV874" s="557"/>
      <c r="CW874" s="557"/>
      <c r="CX874" s="557"/>
      <c r="CY874" s="557"/>
      <c r="CZ874" s="557"/>
      <c r="DA874" s="557"/>
      <c r="DB874" s="557"/>
      <c r="DC874" s="557"/>
      <c r="DD874" s="557"/>
      <c r="DE874" s="557"/>
      <c r="DF874" s="557"/>
      <c r="DG874" s="557"/>
      <c r="DH874" s="557"/>
      <c r="DI874" s="569"/>
      <c r="DJ874" s="557"/>
      <c r="DK874" s="557"/>
      <c r="DL874" s="557"/>
      <c r="DM874" s="557"/>
      <c r="DN874" s="557"/>
      <c r="DO874" s="557"/>
      <c r="DP874" s="557"/>
      <c r="DQ874" s="557"/>
      <c r="DR874" s="557"/>
      <c r="DS874" s="557"/>
    </row>
    <row r="875" spans="1:123" s="76" customFormat="1">
      <c r="A875" s="2185"/>
      <c r="B875" s="2181" t="s">
        <v>586</v>
      </c>
      <c r="C875" s="2182" t="s">
        <v>11</v>
      </c>
      <c r="D875" s="74" t="s">
        <v>33</v>
      </c>
      <c r="E875" s="74">
        <v>25</v>
      </c>
      <c r="F875" s="294" t="s">
        <v>15</v>
      </c>
      <c r="G875" s="321" t="s">
        <v>15</v>
      </c>
      <c r="H875" s="552">
        <v>8471.5300000000007</v>
      </c>
      <c r="I875" s="552">
        <v>2967.61</v>
      </c>
      <c r="J875" s="1089" t="s">
        <v>15</v>
      </c>
      <c r="K875" s="1090" t="s">
        <v>15</v>
      </c>
      <c r="L875" s="1089" t="s">
        <v>15</v>
      </c>
      <c r="M875" s="1090" t="s">
        <v>15</v>
      </c>
      <c r="N875" s="1221">
        <v>945.48841000000004</v>
      </c>
      <c r="O875" s="466">
        <v>2.5499999999999998</v>
      </c>
      <c r="P875" s="488">
        <v>370.601474</v>
      </c>
      <c r="Q875" s="251">
        <f t="shared" ref="Q875:Q880" si="42">E875/$E$874</f>
        <v>0.38461538461538464</v>
      </c>
      <c r="R875" s="2202">
        <f>SUMPRODUCT(Q875:Q876,N875:N876)</f>
        <v>363.64938846153848</v>
      </c>
      <c r="S875" s="154" t="s">
        <v>139</v>
      </c>
      <c r="T875" s="411" t="s">
        <v>140</v>
      </c>
      <c r="U875" s="859"/>
      <c r="V875" s="900"/>
      <c r="W875" s="26"/>
      <c r="X875" s="26"/>
      <c r="Y875" s="41"/>
      <c r="Z875" s="41"/>
      <c r="AA875" s="41"/>
      <c r="AB875" s="846"/>
      <c r="AC875" s="26"/>
      <c r="AD875" s="20" t="s">
        <v>144</v>
      </c>
      <c r="AE875" s="405">
        <f>MIN($BC$872:$BC$878)</f>
        <v>-3.7860675241580134E-2</v>
      </c>
      <c r="AF875" s="113" t="s">
        <v>49</v>
      </c>
      <c r="AG875" s="354" t="s">
        <v>619</v>
      </c>
      <c r="AH875" s="158">
        <f>((130*$R$873)+(0.96*$R$874)+(300000*$R$872)+$R$875+$R$877+$R$881+$T$879)*(1+$T$881)</f>
        <v>10969.456434898462</v>
      </c>
      <c r="AI875" s="158"/>
      <c r="AJ875" s="158"/>
      <c r="AK875" s="158">
        <v>10510</v>
      </c>
      <c r="AL875" s="158">
        <v>9579.9500000000007</v>
      </c>
      <c r="AM875" s="158"/>
      <c r="AN875" s="158">
        <v>11921.94</v>
      </c>
      <c r="AO875" s="158">
        <v>8374.77</v>
      </c>
      <c r="AP875" s="158"/>
      <c r="AQ875" s="158"/>
      <c r="AR875" s="158"/>
      <c r="AS875" s="158"/>
      <c r="AT875" s="158"/>
      <c r="AU875" s="158"/>
      <c r="AV875" s="158"/>
      <c r="AW875" s="158"/>
      <c r="AX875" s="158"/>
      <c r="AY875" s="158">
        <v>12062</v>
      </c>
      <c r="AZ875" s="158"/>
      <c r="BA875" s="158"/>
      <c r="BB875" s="1012">
        <f t="shared" si="37"/>
        <v>479.72443489846228</v>
      </c>
      <c r="BC875" s="503">
        <f t="shared" si="38"/>
        <v>4.5732763706304629E-2</v>
      </c>
      <c r="BD875" s="957">
        <f t="shared" si="39"/>
        <v>8374.77</v>
      </c>
      <c r="BE875" s="957">
        <f t="shared" si="40"/>
        <v>12062</v>
      </c>
      <c r="BF875" s="503">
        <f t="shared" si="41"/>
        <v>0.3056897695241253</v>
      </c>
      <c r="BG875" s="957"/>
      <c r="BH875" s="1125"/>
      <c r="CF875" s="557"/>
      <c r="CG875" s="557"/>
      <c r="CH875" s="557"/>
      <c r="CI875" s="557"/>
      <c r="CJ875" s="557"/>
      <c r="CK875" s="557"/>
      <c r="CL875" s="557"/>
      <c r="CM875" s="557"/>
      <c r="CN875" s="557"/>
      <c r="CO875" s="557"/>
      <c r="CP875" s="557"/>
      <c r="CQ875" s="557"/>
      <c r="CR875" s="557"/>
      <c r="CS875" s="557"/>
      <c r="CT875" s="557"/>
      <c r="CU875" s="557"/>
      <c r="CV875" s="557"/>
      <c r="CW875" s="557"/>
      <c r="CX875" s="557"/>
      <c r="CY875" s="557"/>
      <c r="CZ875" s="557"/>
      <c r="DA875" s="557"/>
      <c r="DB875" s="557"/>
      <c r="DC875" s="557"/>
      <c r="DD875" s="557"/>
      <c r="DE875" s="557"/>
      <c r="DF875" s="557"/>
      <c r="DG875" s="557"/>
      <c r="DH875" s="557"/>
      <c r="DI875" s="569"/>
      <c r="DJ875" s="557"/>
      <c r="DK875" s="557"/>
      <c r="DL875" s="557"/>
      <c r="DM875" s="557"/>
      <c r="DN875" s="557"/>
      <c r="DO875" s="557"/>
      <c r="DP875" s="557"/>
      <c r="DQ875" s="557"/>
      <c r="DR875" s="557"/>
      <c r="DS875" s="557"/>
    </row>
    <row r="876" spans="1:123" s="76" customFormat="1">
      <c r="A876" s="2185"/>
      <c r="B876" s="2181"/>
      <c r="C876" s="2383"/>
      <c r="D876" s="74" t="s">
        <v>32</v>
      </c>
      <c r="E876" s="74">
        <v>40</v>
      </c>
      <c r="F876" s="294" t="s">
        <v>15</v>
      </c>
      <c r="G876" s="321" t="s">
        <v>15</v>
      </c>
      <c r="H876" s="552">
        <v>5435.43</v>
      </c>
      <c r="I876" s="552">
        <v>3171.64</v>
      </c>
      <c r="J876" s="1089" t="s">
        <v>15</v>
      </c>
      <c r="K876" s="1090" t="s">
        <v>15</v>
      </c>
      <c r="L876" s="1089" t="s">
        <v>15</v>
      </c>
      <c r="M876" s="1090" t="s">
        <v>15</v>
      </c>
      <c r="N876" s="1223">
        <v>0</v>
      </c>
      <c r="O876" s="144" t="s">
        <v>204</v>
      </c>
      <c r="P876" s="144" t="s">
        <v>204</v>
      </c>
      <c r="Q876" s="251">
        <f t="shared" si="42"/>
        <v>0.61538461538461542</v>
      </c>
      <c r="R876" s="2202"/>
      <c r="S876" s="156" t="s">
        <v>74</v>
      </c>
      <c r="T876" s="119" t="s">
        <v>75</v>
      </c>
      <c r="U876" s="855"/>
      <c r="V876" s="900"/>
      <c r="W876" s="26"/>
      <c r="X876" s="26"/>
      <c r="Y876" s="41"/>
      <c r="Z876" s="41"/>
      <c r="AA876" s="41"/>
      <c r="AB876" s="846"/>
      <c r="AC876" s="26"/>
      <c r="AD876" s="20" t="s">
        <v>145</v>
      </c>
      <c r="AE876" s="405">
        <f>MAX($BC$872:$BC$878)</f>
        <v>0.39774332375677102</v>
      </c>
      <c r="AF876" s="113" t="s">
        <v>49</v>
      </c>
      <c r="AG876" s="354" t="s">
        <v>620</v>
      </c>
      <c r="AH876" s="158">
        <f>((100*$R$873)+(0.82*$R$874)+(199900*$R$872)+$R$875+$R$877+$R$881+$T$879)*(1+$T$881)</f>
        <v>6808.0331348084646</v>
      </c>
      <c r="AI876" s="158">
        <v>4595.07</v>
      </c>
      <c r="AJ876" s="158">
        <v>3730.59</v>
      </c>
      <c r="AK876" s="158"/>
      <c r="AL876" s="158"/>
      <c r="AM876" s="158"/>
      <c r="AN876" s="158"/>
      <c r="AO876" s="158">
        <v>5236</v>
      </c>
      <c r="AP876" s="158"/>
      <c r="AQ876" s="158"/>
      <c r="AR876" s="158">
        <v>4100</v>
      </c>
      <c r="AS876" s="158"/>
      <c r="AT876" s="158"/>
      <c r="AU876" s="158"/>
      <c r="AV876" s="158"/>
      <c r="AW876" s="158"/>
      <c r="AX876" s="158"/>
      <c r="AY876" s="158"/>
      <c r="AZ876" s="158">
        <v>6692</v>
      </c>
      <c r="BA876" s="158"/>
      <c r="BB876" s="1012">
        <f t="shared" si="37"/>
        <v>1937.3011348084647</v>
      </c>
      <c r="BC876" s="503">
        <f t="shared" si="38"/>
        <v>0.39774332375677102</v>
      </c>
      <c r="BD876" s="957">
        <f t="shared" si="39"/>
        <v>3730.59</v>
      </c>
      <c r="BE876" s="957">
        <f t="shared" si="40"/>
        <v>6692</v>
      </c>
      <c r="BF876" s="503">
        <f t="shared" si="41"/>
        <v>0.44252988643156005</v>
      </c>
      <c r="BG876" s="957"/>
      <c r="BH876" s="1125"/>
      <c r="CF876" s="557"/>
      <c r="CG876" s="557"/>
      <c r="CH876" s="557"/>
      <c r="CI876" s="557"/>
      <c r="CJ876" s="557"/>
      <c r="CK876" s="557"/>
      <c r="CL876" s="557"/>
      <c r="CM876" s="557"/>
      <c r="CN876" s="557"/>
      <c r="CO876" s="557"/>
      <c r="CP876" s="557"/>
      <c r="CQ876" s="557"/>
      <c r="CR876" s="557"/>
      <c r="CS876" s="557"/>
      <c r="CT876" s="557"/>
      <c r="CU876" s="557"/>
      <c r="CV876" s="557"/>
      <c r="CW876" s="557"/>
      <c r="CX876" s="557"/>
      <c r="CY876" s="557"/>
      <c r="CZ876" s="557"/>
      <c r="DA876" s="557"/>
      <c r="DB876" s="557"/>
      <c r="DC876" s="557"/>
      <c r="DD876" s="557"/>
      <c r="DE876" s="557"/>
      <c r="DF876" s="557"/>
      <c r="DG876" s="557"/>
      <c r="DH876" s="557"/>
      <c r="DI876" s="569"/>
      <c r="DJ876" s="557"/>
      <c r="DK876" s="557"/>
      <c r="DL876" s="557"/>
      <c r="DM876" s="557"/>
      <c r="DN876" s="557"/>
      <c r="DO876" s="557"/>
      <c r="DP876" s="557"/>
      <c r="DQ876" s="557"/>
      <c r="DR876" s="557"/>
      <c r="DS876" s="557"/>
    </row>
    <row r="877" spans="1:123" s="76" customFormat="1">
      <c r="A877" s="2185"/>
      <c r="B877" s="2181" t="s">
        <v>587</v>
      </c>
      <c r="C877" s="2179" t="s">
        <v>13</v>
      </c>
      <c r="D877" s="348" t="s">
        <v>588</v>
      </c>
      <c r="E877" s="316">
        <v>44</v>
      </c>
      <c r="F877" s="294" t="s">
        <v>15</v>
      </c>
      <c r="G877" s="321" t="s">
        <v>15</v>
      </c>
      <c r="H877" s="552">
        <v>8233.98</v>
      </c>
      <c r="I877" s="552">
        <v>2607.0700000000002</v>
      </c>
      <c r="J877" s="1089" t="s">
        <v>15</v>
      </c>
      <c r="K877" s="1090" t="s">
        <v>15</v>
      </c>
      <c r="L877" s="1089" t="s">
        <v>15</v>
      </c>
      <c r="M877" s="1090" t="s">
        <v>15</v>
      </c>
      <c r="N877" s="1223">
        <v>3778.6696400000001</v>
      </c>
      <c r="O877" s="728">
        <v>2.58</v>
      </c>
      <c r="P877" s="728">
        <v>1464.451607</v>
      </c>
      <c r="Q877" s="251">
        <f t="shared" si="42"/>
        <v>0.67692307692307696</v>
      </c>
      <c r="R877" s="2202">
        <f>SUMPRODUCT(Q877:Q880,N877:N880)</f>
        <v>2564.9649186153847</v>
      </c>
      <c r="S877" s="356">
        <v>65</v>
      </c>
      <c r="T877" s="411" t="s">
        <v>15</v>
      </c>
      <c r="U877" s="859"/>
      <c r="V877" s="900"/>
      <c r="W877" s="26"/>
      <c r="X877" s="26"/>
      <c r="Y877" s="41"/>
      <c r="Z877" s="41"/>
      <c r="AA877" s="41"/>
      <c r="AB877" s="846"/>
      <c r="AC877" s="26"/>
      <c r="AD877" s="24"/>
      <c r="AE877" s="26"/>
      <c r="AF877" s="113" t="s">
        <v>49</v>
      </c>
      <c r="AG877" s="354" t="s">
        <v>621</v>
      </c>
      <c r="AH877" s="158">
        <f>((80*$R$873)+(0.94*$R$874)+(150000*$R$872)+$R$875+$R$877+$R$881+$T$879)*(1+$T$881)</f>
        <v>7040.0094820284658</v>
      </c>
      <c r="AI877" s="158"/>
      <c r="AJ877" s="158"/>
      <c r="AK877" s="158"/>
      <c r="AL877" s="158"/>
      <c r="AM877" s="158">
        <v>4297</v>
      </c>
      <c r="AN877" s="158"/>
      <c r="AO877" s="158">
        <v>5105</v>
      </c>
      <c r="AP877" s="158"/>
      <c r="AQ877" s="158">
        <v>4576.6899999999996</v>
      </c>
      <c r="AR877" s="158"/>
      <c r="AS877" s="158"/>
      <c r="AT877" s="158"/>
      <c r="AU877" s="158">
        <v>6017</v>
      </c>
      <c r="AV877" s="158"/>
      <c r="AW877" s="158"/>
      <c r="AX877" s="158"/>
      <c r="AY877" s="158"/>
      <c r="AZ877" s="158"/>
      <c r="BA877" s="158">
        <v>7101</v>
      </c>
      <c r="BB877" s="1012">
        <f t="shared" si="37"/>
        <v>1620.671482028466</v>
      </c>
      <c r="BC877" s="503">
        <f t="shared" si="38"/>
        <v>0.29905340505214217</v>
      </c>
      <c r="BD877" s="957">
        <f t="shared" si="39"/>
        <v>4297</v>
      </c>
      <c r="BE877" s="957">
        <f t="shared" si="40"/>
        <v>7101</v>
      </c>
      <c r="BF877" s="503">
        <f t="shared" si="41"/>
        <v>0.39487396141388537</v>
      </c>
      <c r="BG877" s="957"/>
      <c r="BH877" s="1125"/>
      <c r="CF877" s="557"/>
      <c r="CG877" s="557"/>
      <c r="CH877" s="557"/>
      <c r="CI877" s="557"/>
      <c r="CJ877" s="557"/>
      <c r="CK877" s="557"/>
      <c r="CL877" s="557"/>
      <c r="CM877" s="557"/>
      <c r="CN877" s="557"/>
      <c r="CO877" s="557"/>
      <c r="CP877" s="557"/>
      <c r="CQ877" s="557"/>
      <c r="CR877" s="557"/>
      <c r="CS877" s="557"/>
      <c r="CT877" s="557"/>
      <c r="CU877" s="557"/>
      <c r="CV877" s="557"/>
      <c r="CW877" s="557"/>
      <c r="CX877" s="557"/>
      <c r="CY877" s="557"/>
      <c r="CZ877" s="557"/>
      <c r="DA877" s="557"/>
      <c r="DB877" s="557"/>
      <c r="DC877" s="557"/>
      <c r="DD877" s="557"/>
      <c r="DE877" s="557"/>
      <c r="DF877" s="557"/>
      <c r="DG877" s="557"/>
      <c r="DH877" s="557"/>
      <c r="DI877" s="569"/>
      <c r="DJ877" s="557"/>
      <c r="DK877" s="557"/>
      <c r="DL877" s="557"/>
      <c r="DM877" s="557"/>
      <c r="DN877" s="557"/>
      <c r="DO877" s="557"/>
      <c r="DP877" s="557"/>
      <c r="DQ877" s="557"/>
      <c r="DR877" s="557"/>
      <c r="DS877" s="557"/>
    </row>
    <row r="878" spans="1:123" s="76" customFormat="1">
      <c r="A878" s="2185"/>
      <c r="B878" s="2181"/>
      <c r="C878" s="2187"/>
      <c r="D878" s="348" t="s">
        <v>589</v>
      </c>
      <c r="E878" s="316">
        <v>5</v>
      </c>
      <c r="F878" s="294" t="s">
        <v>15</v>
      </c>
      <c r="G878" s="321" t="s">
        <v>15</v>
      </c>
      <c r="H878" s="552">
        <v>1300.83</v>
      </c>
      <c r="I878" s="552">
        <v>593.36</v>
      </c>
      <c r="J878" s="1089" t="s">
        <v>15</v>
      </c>
      <c r="K878" s="1090" t="s">
        <v>15</v>
      </c>
      <c r="L878" s="1089" t="s">
        <v>15</v>
      </c>
      <c r="M878" s="1090" t="s">
        <v>15</v>
      </c>
      <c r="N878" s="1223">
        <v>0</v>
      </c>
      <c r="O878" s="144" t="s">
        <v>204</v>
      </c>
      <c r="P878" s="144" t="s">
        <v>204</v>
      </c>
      <c r="Q878" s="251">
        <f t="shared" si="42"/>
        <v>7.6923076923076927E-2</v>
      </c>
      <c r="R878" s="2202"/>
      <c r="S878" s="156" t="s">
        <v>41</v>
      </c>
      <c r="T878" s="119" t="s">
        <v>42</v>
      </c>
      <c r="U878" s="855"/>
      <c r="V878" s="900"/>
      <c r="W878" s="26"/>
      <c r="X878" s="26"/>
      <c r="Y878" s="41"/>
      <c r="Z878" s="41"/>
      <c r="AA878" s="41"/>
      <c r="AB878" s="846"/>
      <c r="AC878" s="26"/>
      <c r="AD878" s="24"/>
      <c r="AE878" s="26"/>
      <c r="AF878" s="113" t="s">
        <v>49</v>
      </c>
      <c r="AG878" s="354" t="s">
        <v>2764</v>
      </c>
      <c r="AH878" s="158">
        <f>((100*$R$873)+(0.8*$R$874)+(199900*$R$872)+$R$875+$R$877+$R$881+$T$879)*(1+$T$881)</f>
        <v>6546.6859819384663</v>
      </c>
      <c r="AI878" s="158">
        <v>7511</v>
      </c>
      <c r="AJ878" s="158"/>
      <c r="AK878" s="158">
        <v>7155</v>
      </c>
      <c r="AL878" s="158"/>
      <c r="AM878" s="158">
        <v>5536.11</v>
      </c>
      <c r="AN878" s="158">
        <v>6963</v>
      </c>
      <c r="AO878" s="158"/>
      <c r="AP878" s="158"/>
      <c r="AQ878" s="158"/>
      <c r="AR878" s="158">
        <v>5620</v>
      </c>
      <c r="AS878" s="158">
        <v>6935</v>
      </c>
      <c r="AT878" s="158"/>
      <c r="AU878" s="158">
        <v>7910</v>
      </c>
      <c r="AV878" s="158"/>
      <c r="AW878" s="158"/>
      <c r="AX878" s="158"/>
      <c r="AY878" s="158"/>
      <c r="AZ878" s="158"/>
      <c r="BA878" s="158"/>
      <c r="BB878" s="1012">
        <f t="shared" si="37"/>
        <v>-257.61544663296263</v>
      </c>
      <c r="BC878" s="503">
        <f t="shared" si="38"/>
        <v>-3.7860675241580134E-2</v>
      </c>
      <c r="BD878" s="957">
        <f t="shared" si="39"/>
        <v>5536.11</v>
      </c>
      <c r="BE878" s="957">
        <f t="shared" si="40"/>
        <v>7910</v>
      </c>
      <c r="BF878" s="503">
        <f t="shared" si="41"/>
        <v>0.30011251580278131</v>
      </c>
      <c r="BG878" s="957"/>
      <c r="BH878" s="1125"/>
      <c r="CF878" s="557"/>
      <c r="CG878" s="557"/>
      <c r="CH878" s="557"/>
      <c r="CI878" s="557"/>
      <c r="CJ878" s="557"/>
      <c r="CK878" s="557"/>
      <c r="CL878" s="557"/>
      <c r="CM878" s="557"/>
      <c r="CN878" s="557"/>
      <c r="CO878" s="557"/>
      <c r="CP878" s="557"/>
      <c r="CQ878" s="557"/>
      <c r="CR878" s="557"/>
      <c r="CS878" s="557"/>
      <c r="CT878" s="557"/>
      <c r="CU878" s="557"/>
      <c r="CV878" s="557"/>
      <c r="CW878" s="557"/>
      <c r="CX878" s="557"/>
      <c r="CY878" s="557"/>
      <c r="CZ878" s="557"/>
      <c r="DA878" s="557"/>
      <c r="DB878" s="557"/>
      <c r="DC878" s="557"/>
      <c r="DD878" s="557"/>
      <c r="DE878" s="557"/>
      <c r="DF878" s="557"/>
      <c r="DG878" s="557"/>
      <c r="DH878" s="557"/>
      <c r="DI878" s="569"/>
      <c r="DJ878" s="557"/>
      <c r="DK878" s="557"/>
      <c r="DL878" s="557"/>
      <c r="DM878" s="557"/>
      <c r="DN878" s="557"/>
      <c r="DO878" s="557"/>
      <c r="DP878" s="557"/>
      <c r="DQ878" s="557"/>
      <c r="DR878" s="557"/>
      <c r="DS878" s="557"/>
    </row>
    <row r="879" spans="1:123" s="76" customFormat="1">
      <c r="A879" s="2185"/>
      <c r="B879" s="2181"/>
      <c r="C879" s="2187"/>
      <c r="D879" s="348" t="s">
        <v>590</v>
      </c>
      <c r="E879" s="316">
        <v>1</v>
      </c>
      <c r="F879" s="294" t="s">
        <v>15</v>
      </c>
      <c r="G879" s="321" t="s">
        <v>15</v>
      </c>
      <c r="H879" s="552">
        <v>2032.19</v>
      </c>
      <c r="I879" s="552" t="s">
        <v>574</v>
      </c>
      <c r="J879" s="1089" t="s">
        <v>15</v>
      </c>
      <c r="K879" s="1090" t="s">
        <v>15</v>
      </c>
      <c r="L879" s="1089" t="s">
        <v>15</v>
      </c>
      <c r="M879" s="1090" t="s">
        <v>15</v>
      </c>
      <c r="N879" s="1223">
        <v>0</v>
      </c>
      <c r="O879" s="144" t="s">
        <v>204</v>
      </c>
      <c r="P879" s="144" t="s">
        <v>204</v>
      </c>
      <c r="Q879" s="251">
        <f t="shared" si="42"/>
        <v>1.5384615384615385E-2</v>
      </c>
      <c r="R879" s="2202"/>
      <c r="S879" s="314">
        <v>0.87611399999999995</v>
      </c>
      <c r="T879" s="315">
        <v>-11575.35464</v>
      </c>
      <c r="U879" s="875"/>
      <c r="V879" s="900"/>
      <c r="W879" s="26"/>
      <c r="X879" s="26"/>
      <c r="Y879" s="41"/>
      <c r="Z879" s="41"/>
      <c r="AA879" s="41"/>
      <c r="AB879" s="846"/>
      <c r="AC879" s="26"/>
      <c r="AD879" s="24"/>
      <c r="AE879" s="26"/>
      <c r="AF879" s="75"/>
      <c r="AG879" s="26"/>
      <c r="AH879" s="957"/>
      <c r="AI879" s="957"/>
      <c r="AJ879" s="957"/>
      <c r="AK879" s="957"/>
      <c r="AL879" s="957"/>
      <c r="AM879" s="957"/>
      <c r="AN879" s="957"/>
      <c r="AO879" s="957"/>
      <c r="AP879" s="957"/>
      <c r="AQ879" s="957"/>
      <c r="AR879" s="957"/>
      <c r="AS879" s="957"/>
      <c r="AT879" s="957"/>
      <c r="AU879" s="957"/>
      <c r="AV879" s="957"/>
      <c r="AW879" s="957"/>
      <c r="AX879" s="957"/>
      <c r="AY879" s="957"/>
      <c r="AZ879" s="957"/>
      <c r="BA879" s="957"/>
      <c r="BB879" s="957"/>
      <c r="BC879" s="957"/>
      <c r="BD879" s="957"/>
      <c r="BE879" s="957"/>
      <c r="BF879" s="957"/>
      <c r="BG879" s="957"/>
      <c r="BH879" s="1125"/>
      <c r="CF879" s="557"/>
      <c r="CG879" s="557"/>
      <c r="CH879" s="557"/>
      <c r="CI879" s="557"/>
      <c r="CJ879" s="557"/>
      <c r="CK879" s="557"/>
      <c r="CL879" s="557"/>
      <c r="CM879" s="557"/>
      <c r="CN879" s="557"/>
      <c r="CO879" s="557"/>
      <c r="CP879" s="557"/>
      <c r="CQ879" s="557"/>
      <c r="CR879" s="557"/>
      <c r="CS879" s="557"/>
      <c r="CT879" s="557"/>
      <c r="CU879" s="557"/>
      <c r="CV879" s="557"/>
      <c r="CW879" s="557"/>
      <c r="CX879" s="557"/>
      <c r="CY879" s="557"/>
      <c r="CZ879" s="557"/>
      <c r="DA879" s="557"/>
      <c r="DB879" s="557"/>
      <c r="DC879" s="557"/>
      <c r="DD879" s="557"/>
      <c r="DE879" s="557"/>
      <c r="DF879" s="557"/>
      <c r="DG879" s="557"/>
      <c r="DH879" s="557"/>
      <c r="DI879" s="569"/>
      <c r="DJ879" s="557"/>
      <c r="DK879" s="557"/>
      <c r="DL879" s="557"/>
      <c r="DM879" s="557"/>
      <c r="DN879" s="557"/>
      <c r="DO879" s="557"/>
      <c r="DP879" s="557"/>
      <c r="DQ879" s="557"/>
      <c r="DR879" s="557"/>
      <c r="DS879" s="557"/>
    </row>
    <row r="880" spans="1:123" s="76" customFormat="1">
      <c r="A880" s="2185"/>
      <c r="B880" s="2181"/>
      <c r="C880" s="2180"/>
      <c r="D880" s="434" t="s">
        <v>591</v>
      </c>
      <c r="E880" s="316">
        <v>15</v>
      </c>
      <c r="F880" s="294" t="s">
        <v>15</v>
      </c>
      <c r="G880" s="321" t="s">
        <v>15</v>
      </c>
      <c r="H880" s="552">
        <v>3891.6</v>
      </c>
      <c r="I880" s="552">
        <v>2122.0300000000002</v>
      </c>
      <c r="J880" s="1089" t="s">
        <v>15</v>
      </c>
      <c r="K880" s="1090" t="s">
        <v>15</v>
      </c>
      <c r="L880" s="1089" t="s">
        <v>15</v>
      </c>
      <c r="M880" s="1090" t="s">
        <v>15</v>
      </c>
      <c r="N880" s="1223">
        <v>30.75037</v>
      </c>
      <c r="O880" s="728">
        <v>0.02</v>
      </c>
      <c r="P880" s="728">
        <v>1473.027233</v>
      </c>
      <c r="Q880" s="251">
        <f t="shared" si="42"/>
        <v>0.23076923076923078</v>
      </c>
      <c r="R880" s="2202"/>
      <c r="S880" s="135" t="s">
        <v>235</v>
      </c>
      <c r="T880" s="119" t="s">
        <v>391</v>
      </c>
      <c r="U880" s="855"/>
      <c r="V880" s="900"/>
      <c r="W880" s="26"/>
      <c r="X880" s="26"/>
      <c r="Y880" s="41"/>
      <c r="Z880" s="41"/>
      <c r="AA880" s="41"/>
      <c r="AB880" s="846"/>
      <c r="AC880" s="26"/>
      <c r="AD880" s="24"/>
      <c r="AE880" s="26"/>
      <c r="AF880" s="75"/>
      <c r="AG880" s="26"/>
      <c r="AH880" s="957"/>
      <c r="AI880" s="957"/>
      <c r="AJ880" s="957"/>
      <c r="AK880" s="957"/>
      <c r="AL880" s="957"/>
      <c r="AM880" s="957"/>
      <c r="AN880" s="957"/>
      <c r="AO880" s="957"/>
      <c r="AP880" s="957"/>
      <c r="AQ880" s="957"/>
      <c r="AR880" s="957"/>
      <c r="AS880" s="957"/>
      <c r="AT880" s="957"/>
      <c r="AU880" s="957"/>
      <c r="AV880" s="957"/>
      <c r="AW880" s="957"/>
      <c r="AX880" s="957"/>
      <c r="AY880" s="957"/>
      <c r="AZ880" s="957"/>
      <c r="BA880" s="957"/>
      <c r="BB880" s="957"/>
      <c r="BC880" s="957"/>
      <c r="BD880" s="957"/>
      <c r="BE880" s="957"/>
      <c r="BF880" s="957"/>
      <c r="BG880" s="957"/>
      <c r="BH880" s="1125"/>
      <c r="CF880" s="557"/>
      <c r="CG880" s="557"/>
      <c r="CH880" s="557"/>
      <c r="CI880" s="557"/>
      <c r="CJ880" s="557"/>
      <c r="CK880" s="557"/>
      <c r="CL880" s="557"/>
      <c r="CM880" s="557"/>
      <c r="CN880" s="557"/>
      <c r="CO880" s="557"/>
      <c r="CP880" s="557"/>
      <c r="CQ880" s="557"/>
      <c r="CR880" s="557"/>
      <c r="CS880" s="557"/>
      <c r="CT880" s="557"/>
      <c r="CU880" s="557"/>
      <c r="CV880" s="557"/>
      <c r="CW880" s="557"/>
      <c r="CX880" s="557"/>
      <c r="CY880" s="557"/>
      <c r="CZ880" s="557"/>
      <c r="DA880" s="557"/>
      <c r="DB880" s="557"/>
      <c r="DC880" s="557"/>
      <c r="DD880" s="557"/>
      <c r="DE880" s="557"/>
      <c r="DF880" s="557"/>
      <c r="DG880" s="557"/>
      <c r="DH880" s="557"/>
      <c r="DI880" s="569"/>
      <c r="DJ880" s="557"/>
      <c r="DK880" s="557"/>
      <c r="DL880" s="557"/>
      <c r="DM880" s="557"/>
      <c r="DN880" s="557"/>
      <c r="DO880" s="557"/>
      <c r="DP880" s="557"/>
      <c r="DQ880" s="557"/>
      <c r="DR880" s="557"/>
      <c r="DS880" s="557"/>
    </row>
    <row r="881" spans="1:123" s="76" customFormat="1">
      <c r="A881" s="2185"/>
      <c r="B881" s="2161" t="s">
        <v>125</v>
      </c>
      <c r="C881" s="2182" t="s">
        <v>13</v>
      </c>
      <c r="D881" s="74" t="s">
        <v>583</v>
      </c>
      <c r="E881" s="74">
        <v>60</v>
      </c>
      <c r="F881" s="294" t="s">
        <v>15</v>
      </c>
      <c r="G881" s="321" t="s">
        <v>15</v>
      </c>
      <c r="H881" s="552">
        <v>7045.02</v>
      </c>
      <c r="I881" s="552">
        <v>3167.08</v>
      </c>
      <c r="J881" s="1089" t="s">
        <v>15</v>
      </c>
      <c r="K881" s="1090" t="s">
        <v>15</v>
      </c>
      <c r="L881" s="1089" t="s">
        <v>15</v>
      </c>
      <c r="M881" s="1090" t="s">
        <v>15</v>
      </c>
      <c r="N881" s="1224">
        <v>74.073009999999996</v>
      </c>
      <c r="O881" s="595">
        <v>0.05</v>
      </c>
      <c r="P881" s="595">
        <v>1407.288333</v>
      </c>
      <c r="Q881" s="143">
        <v>0</v>
      </c>
      <c r="R881" s="2176">
        <f>SUMPRODUCT(Q881:Q882,N881:N882)</f>
        <v>0</v>
      </c>
      <c r="S881" s="348">
        <v>862.79100000000005</v>
      </c>
      <c r="T881" s="415">
        <v>0.15</v>
      </c>
      <c r="U881" s="862"/>
      <c r="V881" s="900"/>
      <c r="W881" s="26"/>
      <c r="X881" s="26"/>
      <c r="Y881" s="41"/>
      <c r="Z881" s="41"/>
      <c r="AA881" s="41"/>
      <c r="AB881" s="846"/>
      <c r="AC881" s="26"/>
      <c r="AD881" s="24"/>
      <c r="AE881" s="26"/>
      <c r="AF881" s="75"/>
      <c r="AG881" s="26"/>
      <c r="AH881" s="957"/>
      <c r="AI881" s="957"/>
      <c r="AJ881" s="957"/>
      <c r="AK881" s="957"/>
      <c r="AL881" s="957"/>
      <c r="AM881" s="957"/>
      <c r="AN881" s="957"/>
      <c r="AO881" s="957"/>
      <c r="AP881" s="957"/>
      <c r="AQ881" s="957"/>
      <c r="AR881" s="957"/>
      <c r="AS881" s="957"/>
      <c r="AT881" s="957"/>
      <c r="AU881" s="957"/>
      <c r="AV881" s="957"/>
      <c r="AW881" s="957"/>
      <c r="AX881" s="957"/>
      <c r="AY881" s="957"/>
      <c r="AZ881" s="957"/>
      <c r="BA881" s="957"/>
      <c r="BB881" s="957"/>
      <c r="BC881" s="957"/>
      <c r="BD881" s="957"/>
      <c r="BE881" s="957"/>
      <c r="BF881" s="957"/>
      <c r="BG881" s="957"/>
      <c r="BH881" s="1125"/>
      <c r="CF881" s="557"/>
      <c r="CG881" s="557"/>
      <c r="CH881" s="557"/>
      <c r="CI881" s="557"/>
      <c r="CJ881" s="557"/>
      <c r="CK881" s="557"/>
      <c r="CL881" s="557"/>
      <c r="CM881" s="557"/>
      <c r="CN881" s="557"/>
      <c r="CO881" s="557"/>
      <c r="CP881" s="557"/>
      <c r="CQ881" s="557"/>
      <c r="CR881" s="557"/>
      <c r="CS881" s="557"/>
      <c r="CT881" s="557"/>
      <c r="CU881" s="557"/>
      <c r="CV881" s="557"/>
      <c r="CW881" s="557"/>
      <c r="CX881" s="557"/>
      <c r="CY881" s="557"/>
      <c r="CZ881" s="557"/>
      <c r="DA881" s="557"/>
      <c r="DB881" s="557"/>
      <c r="DC881" s="557"/>
      <c r="DD881" s="557"/>
      <c r="DE881" s="557"/>
      <c r="DF881" s="557"/>
      <c r="DG881" s="557"/>
      <c r="DH881" s="557"/>
      <c r="DI881" s="569"/>
      <c r="DJ881" s="557"/>
      <c r="DK881" s="557"/>
      <c r="DL881" s="557"/>
      <c r="DM881" s="557"/>
      <c r="DN881" s="557"/>
      <c r="DO881" s="557"/>
      <c r="DP881" s="557"/>
      <c r="DQ881" s="557"/>
      <c r="DR881" s="557"/>
      <c r="DS881" s="557"/>
    </row>
    <row r="882" spans="1:123" s="76" customFormat="1">
      <c r="A882" s="2185"/>
      <c r="B882" s="2161"/>
      <c r="C882" s="2183"/>
      <c r="D882" s="74" t="s">
        <v>216</v>
      </c>
      <c r="E882" s="74">
        <v>5</v>
      </c>
      <c r="F882" s="294" t="s">
        <v>15</v>
      </c>
      <c r="G882" s="321" t="s">
        <v>15</v>
      </c>
      <c r="H882" s="540">
        <v>1300.83</v>
      </c>
      <c r="I882" s="540">
        <v>593.36</v>
      </c>
      <c r="J882" s="1089" t="s">
        <v>15</v>
      </c>
      <c r="K882" s="1090" t="s">
        <v>15</v>
      </c>
      <c r="L882" s="1089" t="s">
        <v>15</v>
      </c>
      <c r="M882" s="1090" t="s">
        <v>15</v>
      </c>
      <c r="N882" s="1223">
        <v>0</v>
      </c>
      <c r="O882" s="144" t="s">
        <v>204</v>
      </c>
      <c r="P882" s="144" t="s">
        <v>204</v>
      </c>
      <c r="Q882" s="143">
        <v>0</v>
      </c>
      <c r="R882" s="2154"/>
      <c r="S882" s="122"/>
      <c r="T882" s="41"/>
      <c r="U882" s="854"/>
      <c r="V882" s="900"/>
      <c r="W882" s="26"/>
      <c r="X882" s="26"/>
      <c r="Y882" s="41"/>
      <c r="Z882" s="41"/>
      <c r="AA882" s="41"/>
      <c r="AB882" s="846"/>
      <c r="AC882" s="26"/>
      <c r="AD882" s="24"/>
      <c r="AE882" s="26"/>
      <c r="AF882" s="75"/>
      <c r="AG882" s="26"/>
      <c r="AH882" s="957"/>
      <c r="AI882" s="957"/>
      <c r="AJ882" s="957"/>
      <c r="AK882" s="957"/>
      <c r="AL882" s="957"/>
      <c r="AM882" s="957"/>
      <c r="AN882" s="957"/>
      <c r="AO882" s="957"/>
      <c r="AP882" s="957"/>
      <c r="AQ882" s="957"/>
      <c r="AR882" s="957"/>
      <c r="AS882" s="957"/>
      <c r="AT882" s="957"/>
      <c r="AU882" s="957"/>
      <c r="AV882" s="957"/>
      <c r="AW882" s="957"/>
      <c r="AX882" s="957"/>
      <c r="AY882" s="957"/>
      <c r="AZ882" s="957"/>
      <c r="BA882" s="957"/>
      <c r="BB882" s="957"/>
      <c r="BC882" s="957"/>
      <c r="BD882" s="957"/>
      <c r="BE882" s="957"/>
      <c r="BF882" s="957"/>
      <c r="BG882" s="957"/>
      <c r="BH882" s="1125"/>
      <c r="CF882" s="557"/>
      <c r="CG882" s="557"/>
      <c r="CH882" s="557"/>
      <c r="CI882" s="557"/>
      <c r="CJ882" s="557"/>
      <c r="CK882" s="557"/>
      <c r="CL882" s="557"/>
      <c r="CM882" s="557"/>
      <c r="CN882" s="557"/>
      <c r="CO882" s="557"/>
      <c r="CP882" s="557"/>
      <c r="CQ882" s="557"/>
      <c r="CR882" s="557"/>
      <c r="CS882" s="557"/>
      <c r="CT882" s="557"/>
      <c r="CU882" s="557"/>
      <c r="CV882" s="557"/>
      <c r="CW882" s="557"/>
      <c r="CX882" s="557"/>
      <c r="CY882" s="557"/>
      <c r="CZ882" s="557"/>
      <c r="DA882" s="557"/>
      <c r="DB882" s="557"/>
      <c r="DC882" s="557"/>
      <c r="DD882" s="557"/>
      <c r="DE882" s="557"/>
      <c r="DF882" s="557"/>
      <c r="DG882" s="557"/>
      <c r="DH882" s="557"/>
      <c r="DI882" s="569"/>
      <c r="DJ882" s="557"/>
      <c r="DK882" s="557"/>
      <c r="DL882" s="557"/>
      <c r="DM882" s="557"/>
      <c r="DN882" s="557"/>
      <c r="DO882" s="557"/>
      <c r="DP882" s="557"/>
      <c r="DQ882" s="557"/>
      <c r="DR882" s="557"/>
      <c r="DS882" s="557"/>
    </row>
    <row r="883" spans="1:123" s="76" customFormat="1" ht="15" customHeight="1">
      <c r="A883" s="2185"/>
      <c r="B883" s="2116" t="s">
        <v>194</v>
      </c>
      <c r="C883" s="174"/>
      <c r="D883" s="330"/>
      <c r="E883" s="330"/>
      <c r="F883" s="330"/>
      <c r="G883" s="330"/>
      <c r="H883" s="330"/>
      <c r="I883" s="330"/>
      <c r="J883" s="105"/>
      <c r="K883" s="330"/>
      <c r="L883" s="105"/>
      <c r="M883" s="26"/>
      <c r="N883" s="1205"/>
      <c r="O883" s="467"/>
      <c r="P883" s="467"/>
      <c r="Q883" s="252"/>
      <c r="R883" s="252"/>
      <c r="S883" s="123"/>
      <c r="T883" s="41"/>
      <c r="U883" s="854"/>
      <c r="V883" s="900"/>
      <c r="W883" s="26"/>
      <c r="X883" s="26"/>
      <c r="Y883" s="41"/>
      <c r="Z883" s="41"/>
      <c r="AA883" s="41"/>
      <c r="AB883" s="846"/>
      <c r="AC883" s="26"/>
      <c r="AD883" s="24"/>
      <c r="AE883" s="26"/>
      <c r="AF883" s="75"/>
      <c r="AG883" s="26"/>
      <c r="AH883" s="957"/>
      <c r="AI883" s="957"/>
      <c r="AJ883" s="957"/>
      <c r="AK883" s="957"/>
      <c r="AL883" s="957"/>
      <c r="AM883" s="957"/>
      <c r="AN883" s="957"/>
      <c r="AO883" s="957"/>
      <c r="AP883" s="957"/>
      <c r="AQ883" s="957"/>
      <c r="AR883" s="957"/>
      <c r="AS883" s="957"/>
      <c r="AT883" s="957"/>
      <c r="AU883" s="957"/>
      <c r="AV883" s="957"/>
      <c r="AW883" s="957"/>
      <c r="AX883" s="957"/>
      <c r="AY883" s="957"/>
      <c r="AZ883" s="957"/>
      <c r="BA883" s="957"/>
      <c r="BB883" s="957"/>
      <c r="BC883" s="957"/>
      <c r="BD883" s="957"/>
      <c r="BE883" s="957"/>
      <c r="BF883" s="957"/>
      <c r="BG883" s="957"/>
      <c r="BH883" s="1125"/>
      <c r="CF883" s="557"/>
      <c r="CG883" s="557"/>
      <c r="CH883" s="557"/>
      <c r="CI883" s="557"/>
      <c r="CJ883" s="557"/>
      <c r="CK883" s="557"/>
      <c r="CL883" s="557"/>
      <c r="CM883" s="557"/>
      <c r="CN883" s="557"/>
      <c r="CO883" s="557"/>
      <c r="CP883" s="557"/>
      <c r="CQ883" s="557"/>
      <c r="CR883" s="557"/>
      <c r="CS883" s="557"/>
      <c r="CT883" s="557"/>
      <c r="CU883" s="557"/>
      <c r="CV883" s="557"/>
      <c r="CW883" s="557"/>
      <c r="CX883" s="557"/>
      <c r="CY883" s="557"/>
      <c r="CZ883" s="557"/>
      <c r="DA883" s="557"/>
      <c r="DB883" s="557"/>
      <c r="DC883" s="557"/>
      <c r="DD883" s="557"/>
      <c r="DE883" s="557"/>
      <c r="DF883" s="557"/>
      <c r="DG883" s="557"/>
      <c r="DH883" s="557"/>
      <c r="DI883" s="569"/>
      <c r="DJ883" s="557"/>
      <c r="DK883" s="557"/>
      <c r="DL883" s="557"/>
      <c r="DM883" s="557"/>
      <c r="DN883" s="557"/>
      <c r="DO883" s="557"/>
      <c r="DP883" s="557"/>
      <c r="DQ883" s="557"/>
      <c r="DR883" s="557"/>
      <c r="DS883" s="557"/>
    </row>
    <row r="884" spans="1:123" s="76" customFormat="1">
      <c r="A884" s="2185"/>
      <c r="B884" s="2117"/>
      <c r="C884" s="174"/>
      <c r="D884" s="330"/>
      <c r="E884" s="330"/>
      <c r="F884" s="330"/>
      <c r="G884" s="330"/>
      <c r="H884" s="330"/>
      <c r="I884" s="330"/>
      <c r="J884" s="105"/>
      <c r="K884" s="330"/>
      <c r="L884" s="105"/>
      <c r="M884" s="26"/>
      <c r="N884" s="1205"/>
      <c r="O884" s="467"/>
      <c r="P884" s="467"/>
      <c r="Q884" s="252"/>
      <c r="R884" s="252"/>
      <c r="S884" s="123"/>
      <c r="T884" s="41"/>
      <c r="U884" s="854"/>
      <c r="V884" s="900"/>
      <c r="W884" s="26"/>
      <c r="X884" s="26"/>
      <c r="Y884" s="41"/>
      <c r="Z884" s="41"/>
      <c r="AA884" s="41"/>
      <c r="AB884" s="846"/>
      <c r="AC884" s="26"/>
      <c r="AD884" s="24"/>
      <c r="AE884" s="26"/>
      <c r="AF884" s="75"/>
      <c r="AG884" s="26"/>
      <c r="AH884" s="957"/>
      <c r="AI884" s="957"/>
      <c r="AJ884" s="957"/>
      <c r="AK884" s="957"/>
      <c r="AL884" s="957"/>
      <c r="AM884" s="957"/>
      <c r="AN884" s="957"/>
      <c r="AO884" s="957"/>
      <c r="AP884" s="957"/>
      <c r="AQ884" s="957"/>
      <c r="AR884" s="957"/>
      <c r="AS884" s="957"/>
      <c r="AT884" s="957"/>
      <c r="AU884" s="957"/>
      <c r="AV884" s="957"/>
      <c r="AW884" s="957"/>
      <c r="AX884" s="957"/>
      <c r="AY884" s="957"/>
      <c r="AZ884" s="957"/>
      <c r="BA884" s="957"/>
      <c r="BB884" s="957"/>
      <c r="BC884" s="957"/>
      <c r="BD884" s="957"/>
      <c r="BE884" s="957"/>
      <c r="BF884" s="957"/>
      <c r="BG884" s="957"/>
      <c r="BH884" s="1125"/>
      <c r="CF884" s="557"/>
      <c r="CG884" s="557"/>
      <c r="CH884" s="557"/>
      <c r="CI884" s="557"/>
      <c r="CJ884" s="557"/>
      <c r="CK884" s="557"/>
      <c r="CL884" s="557"/>
      <c r="CM884" s="557"/>
      <c r="CN884" s="557"/>
      <c r="CO884" s="557"/>
      <c r="CP884" s="557"/>
      <c r="CQ884" s="557"/>
      <c r="CR884" s="557"/>
      <c r="CS884" s="557"/>
      <c r="CT884" s="557"/>
      <c r="CU884" s="557"/>
      <c r="CV884" s="557"/>
      <c r="CW884" s="557"/>
      <c r="CX884" s="557"/>
      <c r="CY884" s="557"/>
      <c r="CZ884" s="557"/>
      <c r="DA884" s="557"/>
      <c r="DB884" s="557"/>
      <c r="DC884" s="557"/>
      <c r="DD884" s="557"/>
      <c r="DE884" s="557"/>
      <c r="DF884" s="557"/>
      <c r="DG884" s="557"/>
      <c r="DH884" s="557"/>
      <c r="DI884" s="569"/>
      <c r="DJ884" s="557"/>
      <c r="DK884" s="557"/>
      <c r="DL884" s="557"/>
      <c r="DM884" s="557"/>
      <c r="DN884" s="557"/>
      <c r="DO884" s="557"/>
      <c r="DP884" s="557"/>
      <c r="DQ884" s="557"/>
      <c r="DR884" s="557"/>
      <c r="DS884" s="557"/>
    </row>
    <row r="885" spans="1:123" s="76" customFormat="1">
      <c r="A885" s="2185"/>
      <c r="B885" s="2117"/>
      <c r="C885" s="174"/>
      <c r="D885" s="330"/>
      <c r="E885" s="330"/>
      <c r="F885" s="330"/>
      <c r="G885" s="330"/>
      <c r="H885" s="330"/>
      <c r="I885" s="330"/>
      <c r="J885" s="105"/>
      <c r="K885" s="330"/>
      <c r="L885" s="105"/>
      <c r="M885" s="26"/>
      <c r="N885" s="1205"/>
      <c r="O885" s="467"/>
      <c r="P885" s="467"/>
      <c r="Q885" s="252"/>
      <c r="R885" s="252"/>
      <c r="S885" s="123"/>
      <c r="T885" s="41"/>
      <c r="U885" s="854"/>
      <c r="V885" s="900"/>
      <c r="W885" s="26"/>
      <c r="X885" s="26"/>
      <c r="Y885" s="41"/>
      <c r="Z885" s="41"/>
      <c r="AA885" s="41"/>
      <c r="AB885" s="846"/>
      <c r="AC885" s="26"/>
      <c r="AD885" s="24"/>
      <c r="AE885" s="26"/>
      <c r="AF885" s="75"/>
      <c r="AG885" s="26"/>
      <c r="AH885" s="957"/>
      <c r="AI885" s="957"/>
      <c r="AJ885" s="957"/>
      <c r="AK885" s="957"/>
      <c r="AL885" s="957"/>
      <c r="AM885" s="957"/>
      <c r="AN885" s="957"/>
      <c r="AO885" s="957"/>
      <c r="AP885" s="957"/>
      <c r="AQ885" s="957"/>
      <c r="AR885" s="957"/>
      <c r="AS885" s="957"/>
      <c r="AT885" s="957"/>
      <c r="AU885" s="957"/>
      <c r="AV885" s="957"/>
      <c r="AW885" s="957"/>
      <c r="AX885" s="957"/>
      <c r="AY885" s="957"/>
      <c r="AZ885" s="957"/>
      <c r="BA885" s="957"/>
      <c r="BB885" s="957"/>
      <c r="BC885" s="957"/>
      <c r="BD885" s="957"/>
      <c r="BE885" s="957"/>
      <c r="BF885" s="957"/>
      <c r="BG885" s="957"/>
      <c r="BH885" s="1125"/>
      <c r="CF885" s="557"/>
      <c r="CG885" s="557"/>
      <c r="CH885" s="557"/>
      <c r="CI885" s="557"/>
      <c r="CJ885" s="557"/>
      <c r="CK885" s="557"/>
      <c r="CL885" s="557"/>
      <c r="CM885" s="557"/>
      <c r="CN885" s="557"/>
      <c r="CO885" s="557"/>
      <c r="CP885" s="557"/>
      <c r="CQ885" s="557"/>
      <c r="CR885" s="557"/>
      <c r="CS885" s="557"/>
      <c r="CT885" s="557"/>
      <c r="CU885" s="557"/>
      <c r="CV885" s="557"/>
      <c r="CW885" s="557"/>
      <c r="CX885" s="557"/>
      <c r="CY885" s="557"/>
      <c r="CZ885" s="557"/>
      <c r="DA885" s="557"/>
      <c r="DB885" s="557"/>
      <c r="DC885" s="557"/>
      <c r="DD885" s="557"/>
      <c r="DE885" s="557"/>
      <c r="DF885" s="557"/>
      <c r="DG885" s="557"/>
      <c r="DH885" s="557"/>
      <c r="DI885" s="569"/>
      <c r="DJ885" s="557"/>
      <c r="DK885" s="557"/>
      <c r="DL885" s="557"/>
      <c r="DM885" s="557"/>
      <c r="DN885" s="557"/>
      <c r="DO885" s="557"/>
      <c r="DP885" s="557"/>
      <c r="DQ885" s="557"/>
      <c r="DR885" s="557"/>
      <c r="DS885" s="557"/>
    </row>
    <row r="886" spans="1:123" s="76" customFormat="1" ht="15.75" thickBot="1">
      <c r="A886" s="2185"/>
      <c r="B886" s="2215"/>
      <c r="C886" s="174"/>
      <c r="D886" s="330"/>
      <c r="E886" s="330"/>
      <c r="F886" s="330"/>
      <c r="G886" s="330"/>
      <c r="H886" s="330"/>
      <c r="I886" s="330"/>
      <c r="J886" s="105"/>
      <c r="K886" s="330"/>
      <c r="L886" s="105"/>
      <c r="M886" s="26"/>
      <c r="N886" s="1205"/>
      <c r="O886" s="467"/>
      <c r="P886" s="467"/>
      <c r="Q886" s="252"/>
      <c r="R886" s="252"/>
      <c r="S886" s="185"/>
      <c r="T886" s="813"/>
      <c r="U886" s="854"/>
      <c r="V886" s="900"/>
      <c r="W886" s="26"/>
      <c r="X886" s="26"/>
      <c r="Y886" s="41"/>
      <c r="Z886" s="41"/>
      <c r="AA886" s="41"/>
      <c r="AB886" s="846"/>
      <c r="AC886" s="26"/>
      <c r="AD886" s="240"/>
      <c r="AE886" s="764"/>
      <c r="AF886" s="75"/>
      <c r="AG886" s="26"/>
      <c r="AH886" s="957"/>
      <c r="AI886" s="957"/>
      <c r="AJ886" s="957"/>
      <c r="AK886" s="957"/>
      <c r="AL886" s="957"/>
      <c r="AM886" s="957"/>
      <c r="AN886" s="957"/>
      <c r="AO886" s="957"/>
      <c r="AP886" s="957"/>
      <c r="AQ886" s="957"/>
      <c r="AR886" s="957"/>
      <c r="AS886" s="957"/>
      <c r="AT886" s="957"/>
      <c r="AU886" s="957"/>
      <c r="AV886" s="957"/>
      <c r="AW886" s="957"/>
      <c r="AX886" s="957"/>
      <c r="AY886" s="957"/>
      <c r="AZ886" s="957"/>
      <c r="BA886" s="957"/>
      <c r="BB886" s="957"/>
      <c r="BC886" s="957"/>
      <c r="BD886" s="957"/>
      <c r="BE886" s="957"/>
      <c r="BF886" s="957"/>
      <c r="BG886" s="957"/>
      <c r="BH886" s="1125"/>
      <c r="CF886" s="557"/>
      <c r="CG886" s="557"/>
      <c r="CH886" s="557"/>
      <c r="CI886" s="557"/>
      <c r="CJ886" s="557"/>
      <c r="CK886" s="557"/>
      <c r="CL886" s="557"/>
      <c r="CM886" s="557"/>
      <c r="CN886" s="557"/>
      <c r="CO886" s="557"/>
      <c r="CP886" s="557"/>
      <c r="CQ886" s="557"/>
      <c r="CR886" s="557"/>
      <c r="CS886" s="557"/>
      <c r="CT886" s="557"/>
      <c r="CU886" s="557"/>
      <c r="CV886" s="557"/>
      <c r="CW886" s="557"/>
      <c r="CX886" s="557"/>
      <c r="CY886" s="557"/>
      <c r="CZ886" s="557"/>
      <c r="DA886" s="557"/>
      <c r="DB886" s="557"/>
      <c r="DC886" s="557"/>
      <c r="DD886" s="557"/>
      <c r="DE886" s="557"/>
      <c r="DF886" s="557"/>
      <c r="DG886" s="557"/>
      <c r="DH886" s="557"/>
      <c r="DI886" s="569"/>
      <c r="DJ886" s="557"/>
      <c r="DK886" s="557"/>
      <c r="DL886" s="557"/>
      <c r="DM886" s="557"/>
      <c r="DN886" s="557"/>
      <c r="DO886" s="557"/>
      <c r="DP886" s="557"/>
      <c r="DQ886" s="557"/>
      <c r="DR886" s="557"/>
      <c r="DS886" s="557"/>
    </row>
    <row r="887" spans="1:123" s="705" customFormat="1" ht="9" customHeight="1" thickBot="1">
      <c r="A887" s="695"/>
      <c r="B887" s="815"/>
      <c r="C887" s="684"/>
      <c r="D887" s="683"/>
      <c r="E887" s="683"/>
      <c r="F887" s="683"/>
      <c r="G887" s="683"/>
      <c r="H887" s="683"/>
      <c r="I887" s="683"/>
      <c r="J887" s="682"/>
      <c r="K887" s="683"/>
      <c r="L887" s="682"/>
      <c r="M887" s="685"/>
      <c r="N887" s="1189"/>
      <c r="O887" s="686"/>
      <c r="P887" s="686"/>
      <c r="Q887" s="687"/>
      <c r="R887" s="687"/>
      <c r="S887" s="688"/>
      <c r="T887" s="688"/>
      <c r="U887" s="854"/>
      <c r="V887" s="893"/>
      <c r="W887" s="685"/>
      <c r="X887" s="685"/>
      <c r="Y887" s="685"/>
      <c r="Z887" s="685"/>
      <c r="AA887" s="685"/>
      <c r="AB887" s="849"/>
      <c r="AC887" s="685"/>
      <c r="AD887" s="685"/>
      <c r="AE887" s="685"/>
      <c r="AF887" s="689"/>
      <c r="AG887" s="685"/>
      <c r="AH887" s="959"/>
      <c r="AI887" s="958"/>
      <c r="AJ887" s="958"/>
      <c r="AK887" s="958"/>
      <c r="AL887" s="958"/>
      <c r="AM887" s="959"/>
      <c r="AN887" s="959"/>
      <c r="AO887" s="959"/>
      <c r="AP887" s="959"/>
      <c r="AQ887" s="959"/>
      <c r="AR887" s="959"/>
      <c r="AS887" s="959"/>
      <c r="AT887" s="959"/>
      <c r="AU887" s="959"/>
      <c r="AV887" s="959" t="s">
        <v>321</v>
      </c>
      <c r="AW887" s="959" t="s">
        <v>322</v>
      </c>
      <c r="AX887" s="959"/>
      <c r="AY887" s="959"/>
      <c r="AZ887" s="959"/>
      <c r="BA887" s="959"/>
      <c r="BB887" s="959"/>
      <c r="BC887" s="959"/>
      <c r="BD887" s="959"/>
      <c r="BE887" s="959"/>
      <c r="BF887" s="959"/>
      <c r="BG887" s="959"/>
      <c r="BH887" s="1125"/>
      <c r="CF887" s="692"/>
      <c r="CG887" s="692"/>
      <c r="CH887" s="692"/>
      <c r="CI887" s="692"/>
      <c r="CJ887" s="692"/>
      <c r="CK887" s="692"/>
      <c r="CL887" s="692"/>
      <c r="CM887" s="692"/>
      <c r="CN887" s="692"/>
      <c r="CO887" s="692"/>
      <c r="CP887" s="692"/>
      <c r="CQ887" s="692"/>
      <c r="CR887" s="692"/>
      <c r="CS887" s="692"/>
      <c r="CT887" s="692"/>
      <c r="CU887" s="692"/>
      <c r="CV887" s="692"/>
      <c r="CW887" s="692"/>
      <c r="CX887" s="692"/>
      <c r="CY887" s="692"/>
      <c r="CZ887" s="692"/>
      <c r="DA887" s="692"/>
      <c r="DB887" s="692"/>
      <c r="DC887" s="692"/>
      <c r="DD887" s="692"/>
      <c r="DE887" s="692"/>
      <c r="DF887" s="692"/>
      <c r="DG887" s="692"/>
      <c r="DH887" s="692"/>
      <c r="DI887" s="693"/>
      <c r="DJ887" s="692"/>
      <c r="DK887" s="692"/>
      <c r="DL887" s="692"/>
      <c r="DM887" s="692"/>
      <c r="DN887" s="692"/>
      <c r="DO887" s="692"/>
      <c r="DP887" s="692"/>
      <c r="DQ887" s="692"/>
      <c r="DR887" s="692"/>
      <c r="DS887" s="692"/>
    </row>
    <row r="888" spans="1:123" ht="15" customHeight="1">
      <c r="A888" s="2171" t="s">
        <v>1360</v>
      </c>
      <c r="B888" s="825" t="s">
        <v>713</v>
      </c>
      <c r="C888" s="981" t="s">
        <v>12</v>
      </c>
      <c r="D888" s="88" t="s">
        <v>568</v>
      </c>
      <c r="E888" s="88">
        <v>8</v>
      </c>
      <c r="F888" s="369">
        <v>165.625</v>
      </c>
      <c r="G888" s="369">
        <v>48.972110000000001</v>
      </c>
      <c r="H888" s="367">
        <v>2498</v>
      </c>
      <c r="I888" s="368">
        <v>1108.1500000000001</v>
      </c>
      <c r="J888" s="658" t="s">
        <v>14</v>
      </c>
      <c r="K888" s="1153" t="s">
        <v>570</v>
      </c>
      <c r="L888" s="1089" t="s">
        <v>15</v>
      </c>
      <c r="M888" s="1090" t="s">
        <v>15</v>
      </c>
      <c r="N888" s="1208">
        <v>13.549899999999999</v>
      </c>
      <c r="O888" s="369">
        <v>3.5</v>
      </c>
      <c r="P888" s="369">
        <v>3.8679399999999999</v>
      </c>
      <c r="Q888" s="208" t="s">
        <v>15</v>
      </c>
      <c r="R888" s="128">
        <f>N888</f>
        <v>13.549899999999999</v>
      </c>
      <c r="S888" s="135" t="s">
        <v>68</v>
      </c>
      <c r="T888" s="129" t="s">
        <v>69</v>
      </c>
      <c r="U888" s="858"/>
      <c r="V888" s="2162" t="s">
        <v>2749</v>
      </c>
      <c r="W888" s="720" t="s">
        <v>47</v>
      </c>
      <c r="X888" s="291" t="s">
        <v>565</v>
      </c>
      <c r="Y888" s="538">
        <f xml:space="preserve"> ((250*$R$888)+(0.82*$R$889)+$T$895)*(1+$T$897)</f>
        <v>2574.3950466000097</v>
      </c>
      <c r="Z888" s="291" t="s">
        <v>40</v>
      </c>
      <c r="AA888" s="15" t="s">
        <v>40</v>
      </c>
      <c r="AC888" s="26"/>
      <c r="AD888" s="24"/>
      <c r="AE888" s="26"/>
      <c r="AF888" s="231" t="s">
        <v>47</v>
      </c>
      <c r="AG888" s="291" t="s">
        <v>565</v>
      </c>
      <c r="AH888" s="996">
        <f xml:space="preserve"> ((250*$R$888)+(0.82*$R$889)+$T$895)*1.3</f>
        <v>2574.3950466000097</v>
      </c>
      <c r="AI888" s="158">
        <f>11*250</f>
        <v>2750</v>
      </c>
      <c r="AJ888" s="158">
        <f>11.8*250</f>
        <v>2950</v>
      </c>
      <c r="AK888" s="158">
        <f>17.11*250</f>
        <v>4277.5</v>
      </c>
      <c r="AL888" s="158">
        <f>7.79*250</f>
        <v>1947.5</v>
      </c>
      <c r="AM888" s="957"/>
      <c r="AN888" s="957"/>
      <c r="AO888" s="957"/>
      <c r="AP888" s="957"/>
      <c r="AQ888" s="957"/>
      <c r="AR888" s="957"/>
      <c r="AS888" s="957"/>
      <c r="AT888" s="957"/>
      <c r="AU888" s="957"/>
      <c r="AV888" s="957"/>
      <c r="AW888" s="957"/>
      <c r="AX888" s="957"/>
      <c r="AY888" s="957"/>
      <c r="AZ888" s="957"/>
      <c r="BA888" s="957"/>
      <c r="BB888" s="957"/>
      <c r="BC888" s="957"/>
      <c r="BD888" s="957"/>
      <c r="BE888" s="957"/>
      <c r="BF888" s="957"/>
      <c r="BG888" s="957"/>
    </row>
    <row r="889" spans="1:123">
      <c r="A889" s="2172"/>
      <c r="B889" s="824" t="s">
        <v>716</v>
      </c>
      <c r="C889" s="981" t="s">
        <v>12</v>
      </c>
      <c r="D889" s="88" t="s">
        <v>569</v>
      </c>
      <c r="E889" s="88">
        <v>8</v>
      </c>
      <c r="F889" s="379">
        <v>0.83494000000000002</v>
      </c>
      <c r="G889" s="379">
        <v>6.4980000000000003E-3</v>
      </c>
      <c r="H889" s="367">
        <v>2498</v>
      </c>
      <c r="I889" s="368">
        <v>1108.1500000000001</v>
      </c>
      <c r="J889" s="1092" t="s">
        <v>12</v>
      </c>
      <c r="K889" s="1148" t="s">
        <v>571</v>
      </c>
      <c r="L889" s="1089" t="s">
        <v>15</v>
      </c>
      <c r="M889" s="1090" t="s">
        <v>15</v>
      </c>
      <c r="N889" s="1208">
        <v>111173.95510000001</v>
      </c>
      <c r="O889" s="369">
        <v>3.81</v>
      </c>
      <c r="P889" s="369">
        <v>29149.78529</v>
      </c>
      <c r="Q889" s="208" t="s">
        <v>15</v>
      </c>
      <c r="R889" s="128">
        <f>N889</f>
        <v>111173.95510000001</v>
      </c>
      <c r="S889" s="324" t="s">
        <v>631</v>
      </c>
      <c r="T889" s="556" t="s">
        <v>310</v>
      </c>
      <c r="U889" s="859"/>
      <c r="V889" s="2163"/>
      <c r="W889" s="720" t="s">
        <v>49</v>
      </c>
      <c r="X889" s="291" t="s">
        <v>566</v>
      </c>
      <c r="Y889" s="538">
        <f xml:space="preserve"> ((250*$R$888)+(0.845*$R$889)+$T$895)*(1+$T$897)</f>
        <v>6187.5485873500102</v>
      </c>
      <c r="Z889" s="169">
        <f>Y889-Y888</f>
        <v>3613.1535407500005</v>
      </c>
      <c r="AA889" s="172">
        <f>(0.845-0.82)*P889</f>
        <v>728.74463225000068</v>
      </c>
      <c r="AB889" s="923"/>
      <c r="AC889" s="26"/>
      <c r="AD889" s="24"/>
      <c r="AE889" s="26"/>
      <c r="AF889" s="658" t="s">
        <v>49</v>
      </c>
      <c r="AG889" s="291" t="s">
        <v>566</v>
      </c>
      <c r="AH889" s="996">
        <f xml:space="preserve"> ((250*$R$888)+(0.845*$R$889)+$T$895)*1.3</f>
        <v>6187.5485873500102</v>
      </c>
      <c r="AI889" s="158">
        <f>21*250</f>
        <v>5250</v>
      </c>
      <c r="AJ889" s="158">
        <f>24.11*250</f>
        <v>6027.5</v>
      </c>
      <c r="AK889" s="158">
        <f>21.09*250</f>
        <v>5272.5</v>
      </c>
      <c r="AL889" s="158">
        <f>9.35*250</f>
        <v>2337.5</v>
      </c>
      <c r="AM889" s="957"/>
      <c r="AN889" s="957"/>
      <c r="AO889" s="957"/>
      <c r="AP889" s="957"/>
      <c r="AQ889" s="957"/>
      <c r="AR889" s="957"/>
      <c r="AS889" s="957"/>
      <c r="AT889" s="957"/>
      <c r="AU889" s="957"/>
      <c r="AV889" s="957"/>
      <c r="AW889" s="957"/>
      <c r="AX889" s="957"/>
      <c r="AY889" s="957"/>
      <c r="AZ889" s="957"/>
      <c r="BA889" s="957"/>
      <c r="BB889" s="957"/>
      <c r="BC889" s="957"/>
      <c r="BD889" s="957"/>
      <c r="BE889" s="957"/>
      <c r="BF889" s="957"/>
      <c r="BG889" s="957"/>
    </row>
    <row r="890" spans="1:123" ht="15" customHeight="1">
      <c r="A890" s="2172"/>
      <c r="B890" s="2211" t="s">
        <v>194</v>
      </c>
      <c r="C890" s="41"/>
      <c r="D890" s="26"/>
      <c r="E890" s="26"/>
      <c r="F890" s="26"/>
      <c r="G890" s="26"/>
      <c r="H890" s="26"/>
      <c r="I890" s="26"/>
      <c r="J890" s="75"/>
      <c r="K890" s="26"/>
      <c r="L890" s="75"/>
      <c r="M890" s="26"/>
      <c r="N890" s="1210"/>
      <c r="O890" s="475"/>
      <c r="P890" s="475"/>
      <c r="Q890" s="252"/>
      <c r="R890" s="252"/>
      <c r="S890" s="127" t="s">
        <v>72</v>
      </c>
      <c r="T890" s="201" t="s">
        <v>119</v>
      </c>
      <c r="U890" s="855"/>
      <c r="V890" s="2164"/>
      <c r="W890" s="34" t="s">
        <v>49</v>
      </c>
      <c r="X890" s="291" t="s">
        <v>567</v>
      </c>
      <c r="Y890" s="538">
        <f xml:space="preserve"> ((250*$R$888)+(0.845*$R$889)+$T$895)*(1+$T$897)</f>
        <v>6187.5485873500102</v>
      </c>
      <c r="Z890" s="169">
        <f>Y890-Y888</f>
        <v>3613.1535407500005</v>
      </c>
      <c r="AA890" s="172">
        <f>(0.845-0.82)*P889</f>
        <v>728.74463225000068</v>
      </c>
      <c r="AB890" s="923"/>
      <c r="AC890" s="26"/>
      <c r="AD890" s="24"/>
      <c r="AE890" s="26"/>
      <c r="AF890" s="33" t="s">
        <v>49</v>
      </c>
      <c r="AG890" s="291" t="s">
        <v>567</v>
      </c>
      <c r="AH890" s="996">
        <f xml:space="preserve"> ((250*$R$888)+(0.845*$R$889)+$T$895)*1.3</f>
        <v>6187.5485873500102</v>
      </c>
      <c r="AI890" s="158"/>
      <c r="AJ890" s="158"/>
      <c r="AK890" s="158">
        <f>29.54*250</f>
        <v>7385</v>
      </c>
      <c r="AL890" s="158"/>
      <c r="AM890" s="957"/>
      <c r="AN890" s="957"/>
      <c r="AO890" s="957"/>
      <c r="AP890" s="957"/>
      <c r="AQ890" s="957"/>
      <c r="AR890" s="957"/>
      <c r="AS890" s="957"/>
      <c r="AT890" s="957"/>
      <c r="AU890" s="957"/>
      <c r="AV890" s="957"/>
      <c r="AW890" s="957"/>
      <c r="AX890" s="957"/>
      <c r="AY890" s="957"/>
      <c r="AZ890" s="957"/>
      <c r="BA890" s="957"/>
      <c r="BB890" s="957"/>
      <c r="BC890" s="957"/>
      <c r="BD890" s="957"/>
      <c r="BE890" s="957"/>
      <c r="BF890" s="957"/>
      <c r="BG890" s="957"/>
    </row>
    <row r="891" spans="1:123">
      <c r="A891" s="2172"/>
      <c r="B891" s="2211"/>
      <c r="C891" s="41"/>
      <c r="D891" s="26"/>
      <c r="E891" s="26"/>
      <c r="F891" s="26"/>
      <c r="G891" s="26"/>
      <c r="H891" s="26"/>
      <c r="I891" s="26"/>
      <c r="J891" s="75"/>
      <c r="K891" s="26"/>
      <c r="L891" s="75"/>
      <c r="M891" s="26"/>
      <c r="N891" s="1210"/>
      <c r="O891" s="475"/>
      <c r="P891" s="475"/>
      <c r="Q891" s="252"/>
      <c r="R891" s="252"/>
      <c r="S891" s="423" t="s">
        <v>139</v>
      </c>
      <c r="T891" s="202" t="s">
        <v>140</v>
      </c>
      <c r="U891" s="859"/>
      <c r="V891" s="901"/>
      <c r="W891" s="37"/>
      <c r="X891" s="26"/>
      <c r="Y891" s="26"/>
      <c r="Z891" s="27"/>
      <c r="AA891" s="27"/>
      <c r="AC891" s="26"/>
      <c r="AD891" s="24"/>
      <c r="AE891" s="26"/>
      <c r="AF891" s="75"/>
      <c r="AG891" s="26"/>
      <c r="AH891" s="957"/>
      <c r="AI891" s="957"/>
      <c r="AJ891" s="957"/>
      <c r="AK891" s="957"/>
      <c r="AL891" s="957"/>
      <c r="AM891" s="957"/>
      <c r="AN891" s="957"/>
      <c r="AO891" s="957"/>
      <c r="AP891" s="957"/>
      <c r="AQ891" s="957"/>
      <c r="AR891" s="957"/>
      <c r="AS891" s="957"/>
      <c r="AT891" s="957"/>
      <c r="AU891" s="957"/>
      <c r="AV891" s="957"/>
      <c r="AW891" s="957"/>
      <c r="AX891" s="957"/>
      <c r="AY891" s="957"/>
      <c r="AZ891" s="957"/>
      <c r="BA891" s="957"/>
      <c r="BB891" s="957"/>
      <c r="BC891" s="957"/>
      <c r="BD891" s="957"/>
      <c r="BE891" s="957"/>
      <c r="BF891" s="957"/>
      <c r="BG891" s="957"/>
    </row>
    <row r="892" spans="1:123">
      <c r="A892" s="2172"/>
      <c r="B892" s="2211"/>
      <c r="C892" s="41"/>
      <c r="D892" s="26"/>
      <c r="E892" s="26"/>
      <c r="F892" s="26"/>
      <c r="G892" s="26"/>
      <c r="H892" s="26"/>
      <c r="I892" s="26"/>
      <c r="J892" s="75"/>
      <c r="K892" s="26"/>
      <c r="L892" s="75"/>
      <c r="M892" s="26"/>
      <c r="N892" s="1210"/>
      <c r="O892" s="475"/>
      <c r="P892" s="475"/>
      <c r="Q892" s="252"/>
      <c r="R892" s="252"/>
      <c r="S892" s="127" t="s">
        <v>74</v>
      </c>
      <c r="T892" s="203" t="s">
        <v>75</v>
      </c>
      <c r="U892" s="858"/>
      <c r="V892" s="24"/>
      <c r="W892" s="26"/>
      <c r="X892" s="26"/>
      <c r="Y892" s="26"/>
      <c r="Z892" s="26"/>
      <c r="AA892" s="26"/>
      <c r="AC892" s="26"/>
      <c r="AD892" s="24"/>
      <c r="AE892" s="26"/>
      <c r="AF892" s="75"/>
      <c r="AG892" s="26"/>
      <c r="AH892" s="957"/>
      <c r="AI892" s="957"/>
      <c r="AJ892" s="957"/>
      <c r="AK892" s="957"/>
      <c r="AL892" s="957"/>
      <c r="AM892" s="957"/>
      <c r="AN892" s="957"/>
      <c r="AO892" s="957"/>
      <c r="AP892" s="957"/>
      <c r="AQ892" s="957"/>
      <c r="AR892" s="957"/>
      <c r="AS892" s="957"/>
      <c r="AT892" s="957"/>
      <c r="AU892" s="957"/>
      <c r="AV892" s="957"/>
      <c r="AW892" s="957"/>
      <c r="AX892" s="957"/>
      <c r="AY892" s="957"/>
      <c r="AZ892" s="957"/>
      <c r="BA892" s="957"/>
      <c r="BB892" s="957"/>
      <c r="BC892" s="957"/>
      <c r="BD892" s="957"/>
      <c r="BE892" s="957"/>
      <c r="BF892" s="957"/>
      <c r="BG892" s="957"/>
    </row>
    <row r="893" spans="1:123">
      <c r="A893" s="2172"/>
      <c r="B893" s="2211"/>
      <c r="C893" s="41"/>
      <c r="D893" s="26"/>
      <c r="E893" s="26"/>
      <c r="F893" s="26"/>
      <c r="G893" s="26"/>
      <c r="H893" s="26"/>
      <c r="I893" s="26"/>
      <c r="J893" s="75"/>
      <c r="K893" s="26"/>
      <c r="L893" s="75"/>
      <c r="M893" s="26"/>
      <c r="N893" s="1210"/>
      <c r="O893" s="475"/>
      <c r="P893" s="475"/>
      <c r="Q893" s="252"/>
      <c r="R893" s="252"/>
      <c r="S893" s="95">
        <v>8</v>
      </c>
      <c r="T893" s="204" t="s">
        <v>15</v>
      </c>
      <c r="U893" s="854"/>
      <c r="V893" s="24"/>
      <c r="W893" s="26"/>
      <c r="X893" s="26"/>
      <c r="Y893" s="26"/>
      <c r="Z893" s="26"/>
      <c r="AA893" s="26"/>
      <c r="AC893" s="26"/>
      <c r="AD893" s="24"/>
      <c r="AE893" s="26"/>
      <c r="AF893" s="75"/>
      <c r="AG893" s="26"/>
      <c r="AH893" s="957"/>
      <c r="AI893" s="957"/>
      <c r="AJ893" s="957"/>
      <c r="AK893" s="957"/>
      <c r="AL893" s="957"/>
      <c r="AM893" s="957"/>
      <c r="AN893" s="957"/>
      <c r="AO893" s="957"/>
      <c r="AP893" s="957"/>
      <c r="AQ893" s="957"/>
      <c r="AR893" s="957"/>
      <c r="AS893" s="957"/>
      <c r="AT893" s="957"/>
      <c r="AU893" s="957"/>
      <c r="AV893" s="957"/>
      <c r="AW893" s="957"/>
      <c r="AX893" s="957"/>
      <c r="AY893" s="957"/>
      <c r="AZ893" s="957"/>
      <c r="BA893" s="957"/>
      <c r="BB893" s="957"/>
      <c r="BC893" s="957"/>
      <c r="BD893" s="957"/>
      <c r="BE893" s="957"/>
      <c r="BF893" s="957"/>
      <c r="BG893" s="957"/>
    </row>
    <row r="894" spans="1:123">
      <c r="A894" s="2172"/>
      <c r="B894" s="2211"/>
      <c r="C894" s="41"/>
      <c r="D894" s="26"/>
      <c r="E894" s="26"/>
      <c r="F894" s="26"/>
      <c r="G894" s="26"/>
      <c r="H894" s="26"/>
      <c r="I894" s="26"/>
      <c r="J894" s="75"/>
      <c r="K894" s="26"/>
      <c r="L894" s="75"/>
      <c r="M894" s="26"/>
      <c r="N894" s="1210"/>
      <c r="O894" s="475"/>
      <c r="P894" s="475"/>
      <c r="Q894" s="252"/>
      <c r="R894" s="252"/>
      <c r="S894" s="127" t="s">
        <v>41</v>
      </c>
      <c r="T894" s="323" t="s">
        <v>42</v>
      </c>
      <c r="U894" s="858"/>
      <c r="V894" s="24"/>
      <c r="W894" s="26"/>
      <c r="X894" s="26"/>
      <c r="Y894" s="26"/>
      <c r="Z894" s="206"/>
      <c r="AA894" s="26"/>
      <c r="AC894" s="26"/>
      <c r="AD894" s="24"/>
      <c r="AE894" s="26"/>
      <c r="AF894" s="75"/>
      <c r="AG894" s="26"/>
      <c r="AH894" s="957"/>
      <c r="AI894" s="957"/>
      <c r="AJ894" s="957"/>
      <c r="AK894" s="957"/>
      <c r="AL894" s="957"/>
      <c r="AM894" s="957"/>
      <c r="AN894" s="957"/>
      <c r="AO894" s="957"/>
      <c r="AP894" s="957"/>
      <c r="AQ894" s="957"/>
      <c r="AR894" s="957"/>
      <c r="AS894" s="957"/>
      <c r="AT894" s="957"/>
      <c r="AU894" s="957"/>
      <c r="AV894" s="957"/>
      <c r="AW894" s="957"/>
      <c r="AX894" s="957"/>
      <c r="AY894" s="957"/>
      <c r="AZ894" s="957"/>
      <c r="BA894" s="957"/>
      <c r="BB894" s="957"/>
      <c r="BC894" s="957"/>
      <c r="BD894" s="957"/>
      <c r="BE894" s="957"/>
      <c r="BF894" s="957"/>
      <c r="BG894" s="957"/>
    </row>
    <row r="895" spans="1:123">
      <c r="A895" s="2172"/>
      <c r="B895" s="2211"/>
      <c r="C895" s="41"/>
      <c r="D895" s="26"/>
      <c r="E895" s="26"/>
      <c r="F895" s="26"/>
      <c r="G895" s="26"/>
      <c r="H895" s="26"/>
      <c r="I895" s="26"/>
      <c r="J895" s="75"/>
      <c r="K895" s="26"/>
      <c r="L895" s="75"/>
      <c r="M895" s="26"/>
      <c r="N895" s="1210"/>
      <c r="O895" s="475"/>
      <c r="P895" s="475"/>
      <c r="Q895" s="252"/>
      <c r="R895" s="252"/>
      <c r="S895" s="357">
        <v>0.85513600000000001</v>
      </c>
      <c r="T895" s="157">
        <v>-92569.814299999998</v>
      </c>
      <c r="U895" s="861"/>
      <c r="V895" s="24"/>
      <c r="W895" s="26"/>
      <c r="X895" s="26"/>
      <c r="Y895" s="26"/>
      <c r="Z895" s="26"/>
      <c r="AA895" s="26"/>
      <c r="AC895" s="26"/>
      <c r="AD895" s="24"/>
      <c r="AE895" s="26"/>
      <c r="AF895" s="75"/>
      <c r="AG895" s="26"/>
      <c r="AH895" s="957"/>
      <c r="AI895" s="957"/>
      <c r="AJ895" s="957"/>
      <c r="AK895" s="957"/>
      <c r="AL895" s="957"/>
      <c r="AM895" s="957"/>
      <c r="AN895" s="957"/>
      <c r="AO895" s="957"/>
      <c r="AP895" s="957"/>
      <c r="AQ895" s="957"/>
      <c r="AR895" s="957"/>
      <c r="AS895" s="957"/>
      <c r="AT895" s="957"/>
      <c r="AU895" s="957"/>
      <c r="AV895" s="957"/>
      <c r="AW895" s="957"/>
      <c r="AX895" s="957"/>
      <c r="AY895" s="957"/>
      <c r="AZ895" s="957"/>
      <c r="BA895" s="957"/>
      <c r="BB895" s="957"/>
      <c r="BC895" s="957"/>
      <c r="BD895" s="957"/>
      <c r="BE895" s="957"/>
      <c r="BF895" s="957"/>
      <c r="BG895" s="957"/>
    </row>
    <row r="896" spans="1:123">
      <c r="A896" s="2172"/>
      <c r="B896" s="2211"/>
      <c r="C896" s="41"/>
      <c r="D896" s="26"/>
      <c r="E896" s="26"/>
      <c r="F896" s="26"/>
      <c r="G896" s="26"/>
      <c r="H896" s="26"/>
      <c r="I896" s="26"/>
      <c r="J896" s="75"/>
      <c r="K896" s="26"/>
      <c r="L896" s="75"/>
      <c r="M896" s="26"/>
      <c r="N896" s="1210"/>
      <c r="O896" s="475"/>
      <c r="P896" s="475"/>
      <c r="Q896" s="252"/>
      <c r="R896" s="252"/>
      <c r="S896" s="118" t="s">
        <v>235</v>
      </c>
      <c r="T896" s="201" t="s">
        <v>391</v>
      </c>
      <c r="U896" s="855"/>
      <c r="V896" s="24"/>
      <c r="W896" s="26"/>
      <c r="X896" s="26"/>
      <c r="Y896" s="26"/>
      <c r="Z896" s="26"/>
      <c r="AA896" s="26"/>
      <c r="AC896" s="26"/>
      <c r="AD896" s="24"/>
      <c r="AE896" s="26"/>
      <c r="AF896" s="75"/>
      <c r="AG896" s="26"/>
      <c r="AH896" s="957"/>
      <c r="AI896" s="957"/>
      <c r="AJ896" s="957"/>
      <c r="AK896" s="957"/>
      <c r="AL896" s="957"/>
      <c r="AM896" s="957"/>
      <c r="AN896" s="957"/>
      <c r="AO896" s="957"/>
      <c r="AP896" s="957"/>
      <c r="AQ896" s="957"/>
      <c r="AR896" s="957"/>
      <c r="AS896" s="957"/>
      <c r="AT896" s="957"/>
      <c r="AU896" s="957"/>
      <c r="AV896" s="957"/>
      <c r="AW896" s="957"/>
      <c r="AX896" s="957"/>
      <c r="AY896" s="957"/>
      <c r="AZ896" s="957"/>
      <c r="BA896" s="957"/>
      <c r="BB896" s="957"/>
      <c r="BC896" s="957"/>
      <c r="BD896" s="957"/>
      <c r="BE896" s="957"/>
      <c r="BF896" s="957"/>
      <c r="BG896" s="957"/>
    </row>
    <row r="897" spans="1:123" ht="15.75" thickBot="1">
      <c r="A897" s="2172"/>
      <c r="B897" s="2212"/>
      <c r="C897" s="41"/>
      <c r="D897" s="26"/>
      <c r="E897" s="26"/>
      <c r="F897" s="26"/>
      <c r="G897" s="26"/>
      <c r="H897" s="26"/>
      <c r="I897" s="26"/>
      <c r="J897" s="75"/>
      <c r="K897" s="26"/>
      <c r="L897" s="75"/>
      <c r="M897" s="26"/>
      <c r="N897" s="1210"/>
      <c r="O897" s="475"/>
      <c r="P897" s="475"/>
      <c r="Q897" s="252"/>
      <c r="R897" s="252"/>
      <c r="S897" s="86">
        <v>331.47500000000002</v>
      </c>
      <c r="T897" s="366">
        <v>0.3</v>
      </c>
      <c r="U897" s="862"/>
      <c r="V897" s="896"/>
      <c r="W897" s="26"/>
      <c r="X897" s="26"/>
      <c r="Y897" s="26"/>
      <c r="Z897" s="184"/>
      <c r="AA897" s="764"/>
      <c r="AC897" s="26"/>
      <c r="AD897" s="240"/>
      <c r="AE897" s="764"/>
      <c r="AF897" s="75"/>
      <c r="AG897" s="26"/>
      <c r="AH897" s="957"/>
      <c r="AI897" s="957"/>
      <c r="AJ897" s="957"/>
      <c r="AK897" s="957"/>
      <c r="AL897" s="957"/>
      <c r="AM897" s="957"/>
      <c r="AN897" s="957"/>
      <c r="AO897" s="957"/>
      <c r="AP897" s="957"/>
      <c r="AQ897" s="957"/>
      <c r="AR897" s="957"/>
      <c r="AS897" s="957"/>
      <c r="AT897" s="957"/>
      <c r="AU897" s="957"/>
      <c r="AV897" s="957"/>
      <c r="AW897" s="957"/>
      <c r="AX897" s="957"/>
      <c r="AY897" s="957"/>
      <c r="AZ897" s="957"/>
      <c r="BA897" s="957"/>
      <c r="BB897" s="957"/>
      <c r="BC897" s="957"/>
      <c r="BD897" s="957"/>
      <c r="BE897" s="957"/>
      <c r="BF897" s="957"/>
      <c r="BG897" s="957"/>
    </row>
    <row r="898" spans="1:123" s="705" customFormat="1" ht="9" customHeight="1" thickBot="1">
      <c r="A898" s="695"/>
      <c r="B898" s="815"/>
      <c r="C898" s="684"/>
      <c r="D898" s="683"/>
      <c r="E898" s="683"/>
      <c r="F898" s="683"/>
      <c r="G898" s="683"/>
      <c r="H898" s="683"/>
      <c r="I898" s="683"/>
      <c r="J898" s="682"/>
      <c r="K898" s="683"/>
      <c r="L898" s="682"/>
      <c r="M898" s="685"/>
      <c r="N898" s="1189"/>
      <c r="O898" s="686"/>
      <c r="P898" s="686"/>
      <c r="Q898" s="687"/>
      <c r="R898" s="687"/>
      <c r="S898" s="688"/>
      <c r="T898" s="688"/>
      <c r="U898" s="854"/>
      <c r="V898" s="893"/>
      <c r="W898" s="685"/>
      <c r="X898" s="685"/>
      <c r="Y898" s="685"/>
      <c r="Z898" s="685"/>
      <c r="AA898" s="685"/>
      <c r="AB898" s="849"/>
      <c r="AC898" s="685"/>
      <c r="AD898" s="685"/>
      <c r="AE898" s="685"/>
      <c r="AF898" s="689"/>
      <c r="AG898" s="685"/>
      <c r="AH898" s="958"/>
      <c r="AI898" s="958"/>
      <c r="AJ898" s="958"/>
      <c r="AK898" s="958"/>
      <c r="AL898" s="958"/>
      <c r="AM898" s="959"/>
      <c r="AN898" s="959"/>
      <c r="AO898" s="959"/>
      <c r="AP898" s="959"/>
      <c r="AQ898" s="959"/>
      <c r="AR898" s="959"/>
      <c r="AS898" s="959"/>
      <c r="AT898" s="959"/>
      <c r="AU898" s="959"/>
      <c r="AV898" s="959" t="s">
        <v>321</v>
      </c>
      <c r="AW898" s="959" t="s">
        <v>322</v>
      </c>
      <c r="AX898" s="959"/>
      <c r="AY898" s="959"/>
      <c r="AZ898" s="959"/>
      <c r="BA898" s="959"/>
      <c r="BB898" s="959"/>
      <c r="BC898" s="959"/>
      <c r="BD898" s="959"/>
      <c r="BE898" s="959"/>
      <c r="BF898" s="959"/>
      <c r="BG898" s="959"/>
      <c r="BH898" s="1125"/>
      <c r="CF898" s="692"/>
      <c r="CG898" s="692"/>
      <c r="CH898" s="692"/>
      <c r="CI898" s="692"/>
      <c r="CJ898" s="692"/>
      <c r="CK898" s="692"/>
      <c r="CL898" s="692"/>
      <c r="CM898" s="692"/>
      <c r="CN898" s="692"/>
      <c r="CO898" s="692"/>
      <c r="CP898" s="692"/>
      <c r="CQ898" s="692"/>
      <c r="CR898" s="692"/>
      <c r="CS898" s="692"/>
      <c r="CT898" s="692"/>
      <c r="CU898" s="692"/>
      <c r="CV898" s="692"/>
      <c r="CW898" s="692"/>
      <c r="CX898" s="692"/>
      <c r="CY898" s="692"/>
      <c r="CZ898" s="692"/>
      <c r="DA898" s="692"/>
      <c r="DB898" s="692"/>
      <c r="DC898" s="692"/>
      <c r="DD898" s="692"/>
      <c r="DE898" s="692"/>
      <c r="DF898" s="692"/>
      <c r="DG898" s="692"/>
      <c r="DH898" s="692"/>
      <c r="DI898" s="693"/>
      <c r="DJ898" s="692"/>
      <c r="DK898" s="692"/>
      <c r="DL898" s="692"/>
      <c r="DM898" s="692"/>
      <c r="DN898" s="692"/>
      <c r="DO898" s="692"/>
      <c r="DP898" s="692"/>
      <c r="DQ898" s="692"/>
      <c r="DR898" s="692"/>
      <c r="DS898" s="692"/>
    </row>
    <row r="899" spans="1:123" ht="15" customHeight="1">
      <c r="A899" s="2119" t="s">
        <v>1361</v>
      </c>
      <c r="B899" s="825" t="s">
        <v>713</v>
      </c>
      <c r="C899" s="981" t="s">
        <v>12</v>
      </c>
      <c r="D899" s="88" t="s">
        <v>572</v>
      </c>
      <c r="E899" s="88">
        <v>54</v>
      </c>
      <c r="F899" s="369">
        <v>1375.8150000000001</v>
      </c>
      <c r="G899" s="369">
        <v>948.54150000000004</v>
      </c>
      <c r="H899" s="367">
        <v>25080.7</v>
      </c>
      <c r="I899" s="368">
        <v>21782.28</v>
      </c>
      <c r="J899" s="1092" t="s">
        <v>14</v>
      </c>
      <c r="K899" s="1154" t="s">
        <v>717</v>
      </c>
      <c r="L899" s="1089" t="s">
        <v>15</v>
      </c>
      <c r="M899" s="1090" t="s">
        <v>15</v>
      </c>
      <c r="N899" s="1198">
        <v>13.535299999999999</v>
      </c>
      <c r="O899" s="382">
        <v>7.04</v>
      </c>
      <c r="P899" s="382">
        <v>1.9237</v>
      </c>
      <c r="Q899" s="483" t="s">
        <v>15</v>
      </c>
      <c r="R899" s="259">
        <f>N899</f>
        <v>13.535299999999999</v>
      </c>
      <c r="S899" s="149" t="s">
        <v>68</v>
      </c>
      <c r="T899" s="125" t="s">
        <v>69</v>
      </c>
      <c r="U899" s="858"/>
      <c r="V899" s="2162" t="s">
        <v>2749</v>
      </c>
      <c r="W899" s="980" t="s">
        <v>47</v>
      </c>
      <c r="X899" s="219" t="s">
        <v>642</v>
      </c>
      <c r="Y899" s="554">
        <f xml:space="preserve"> ((1400*$R$899)+(0.82*$R$900)+$T$906+$R$901)*(1+$T$908)</f>
        <v>17640.703070951949</v>
      </c>
      <c r="Z899" s="219" t="s">
        <v>40</v>
      </c>
      <c r="AA899" s="307"/>
      <c r="AC899" s="26"/>
      <c r="AD899" s="24"/>
      <c r="AE899" s="26"/>
      <c r="AF899" s="231" t="s">
        <v>47</v>
      </c>
      <c r="AG899" s="219" t="s">
        <v>642</v>
      </c>
      <c r="AH899" s="996">
        <f xml:space="preserve"> ((1400*$R$899)+(0.82*$R$900)+$T$906+$R$901)*1.3</f>
        <v>17640.703070951949</v>
      </c>
      <c r="AI899" s="158">
        <f>11*1400</f>
        <v>15400</v>
      </c>
      <c r="AJ899" s="158">
        <f>11.37*1400</f>
        <v>15917.999999999998</v>
      </c>
      <c r="AK899" s="158">
        <f>10.02*1400</f>
        <v>14028</v>
      </c>
      <c r="AL899" s="158">
        <f>7.79*1400</f>
        <v>10906</v>
      </c>
      <c r="AM899" s="957"/>
      <c r="AN899" s="957"/>
      <c r="AO899" s="957"/>
      <c r="AP899" s="957"/>
      <c r="AQ899" s="957"/>
      <c r="AR899" s="957"/>
      <c r="AS899" s="957"/>
      <c r="AT899" s="957"/>
      <c r="AU899" s="957"/>
      <c r="AV899" s="957"/>
      <c r="AW899" s="957"/>
      <c r="AX899" s="957"/>
      <c r="AY899" s="957"/>
      <c r="AZ899" s="957"/>
      <c r="BA899" s="957"/>
      <c r="BB899" s="957"/>
      <c r="BC899" s="957"/>
      <c r="BD899" s="957"/>
      <c r="BE899" s="957"/>
      <c r="BF899" s="957"/>
      <c r="BG899" s="957"/>
    </row>
    <row r="900" spans="1:123" s="325" customFormat="1" ht="30">
      <c r="A900" s="2120"/>
      <c r="B900" s="824" t="s">
        <v>554</v>
      </c>
      <c r="C900" s="989" t="s">
        <v>12</v>
      </c>
      <c r="D900" s="371" t="s">
        <v>573</v>
      </c>
      <c r="E900" s="371">
        <v>54</v>
      </c>
      <c r="F900" s="380">
        <v>0.84905900000000001</v>
      </c>
      <c r="G900" s="380">
        <v>1.1377999999999999E-2</v>
      </c>
      <c r="H900" s="372">
        <v>25080.7</v>
      </c>
      <c r="I900" s="373">
        <v>21782.28</v>
      </c>
      <c r="J900" s="1092" t="s">
        <v>12</v>
      </c>
      <c r="K900" s="1145" t="s">
        <v>718</v>
      </c>
      <c r="L900" s="1089" t="s">
        <v>15</v>
      </c>
      <c r="M900" s="1090" t="s">
        <v>15</v>
      </c>
      <c r="N900" s="1211">
        <v>505493.1666</v>
      </c>
      <c r="O900" s="364">
        <v>2.77</v>
      </c>
      <c r="P900" s="364">
        <v>182773.62640000001</v>
      </c>
      <c r="Q900" s="208" t="s">
        <v>15</v>
      </c>
      <c r="R900" s="535">
        <f>N900</f>
        <v>505493.1666</v>
      </c>
      <c r="S900" s="31" t="s">
        <v>632</v>
      </c>
      <c r="T900" s="556" t="s">
        <v>310</v>
      </c>
      <c r="U900" s="859"/>
      <c r="V900" s="2163"/>
      <c r="W900" s="720" t="s">
        <v>49</v>
      </c>
      <c r="X900" s="62" t="s">
        <v>563</v>
      </c>
      <c r="Y900" s="538">
        <f xml:space="preserve"> ((1400*$R$899)+(0.85*$R$900)+$T$906+$R$901)*(1+$T$908)</f>
        <v>37354.936568351986</v>
      </c>
      <c r="Z900" s="538">
        <f>Y900-Y899</f>
        <v>19714.233497400037</v>
      </c>
      <c r="AA900" s="3">
        <f>(0.85-0.82)*$P$900</f>
        <v>5483.2087920000049</v>
      </c>
      <c r="AB900" s="920"/>
      <c r="AC900" s="330"/>
      <c r="AD900" s="502"/>
      <c r="AE900" s="330"/>
      <c r="AF900" s="658" t="s">
        <v>49</v>
      </c>
      <c r="AG900" s="720" t="s">
        <v>563</v>
      </c>
      <c r="AH900" s="955">
        <f xml:space="preserve"> ((1400*$R$899)+(0.85*$R$900)+$T$906+$R$901)*1.3</f>
        <v>37354.936568351986</v>
      </c>
      <c r="AI900" s="159">
        <f>21*1400</f>
        <v>29400</v>
      </c>
      <c r="AJ900" s="955">
        <f>14.94*1400</f>
        <v>20916</v>
      </c>
      <c r="AK900" s="955">
        <f>11.85*1400</f>
        <v>16590</v>
      </c>
      <c r="AL900" s="159">
        <f>9.35*1400</f>
        <v>13090</v>
      </c>
      <c r="AM900" s="962"/>
      <c r="AN900" s="962"/>
      <c r="AO900" s="962"/>
      <c r="AP900" s="962"/>
      <c r="AQ900" s="962"/>
      <c r="AR900" s="962"/>
      <c r="AS900" s="962"/>
      <c r="AT900" s="962"/>
      <c r="AU900" s="962"/>
      <c r="AV900" s="962"/>
      <c r="AW900" s="962"/>
      <c r="AX900" s="962"/>
      <c r="AY900" s="962"/>
      <c r="AZ900" s="962"/>
      <c r="BA900" s="962"/>
      <c r="BB900" s="962"/>
      <c r="BC900" s="962"/>
      <c r="BD900" s="962"/>
      <c r="BE900" s="962"/>
      <c r="BF900" s="962"/>
      <c r="BG900" s="962"/>
      <c r="BH900" s="1130"/>
      <c r="CF900" s="568"/>
      <c r="CG900" s="568"/>
      <c r="CH900" s="568"/>
      <c r="CI900" s="568"/>
      <c r="CJ900" s="568"/>
      <c r="CK900" s="568"/>
      <c r="CL900" s="568"/>
      <c r="CM900" s="568"/>
      <c r="CN900" s="568"/>
      <c r="CO900" s="568"/>
      <c r="CP900" s="568"/>
      <c r="CQ900" s="568"/>
      <c r="CR900" s="568"/>
      <c r="CS900" s="568"/>
      <c r="CT900" s="568"/>
      <c r="CU900" s="568"/>
      <c r="CV900" s="568"/>
      <c r="CW900" s="568"/>
      <c r="CX900" s="568"/>
      <c r="CY900" s="568"/>
      <c r="CZ900" s="568"/>
      <c r="DA900" s="568"/>
      <c r="DB900" s="568"/>
      <c r="DC900" s="568"/>
      <c r="DD900" s="568"/>
      <c r="DE900" s="568"/>
      <c r="DF900" s="568"/>
      <c r="DG900" s="568"/>
      <c r="DH900" s="568"/>
      <c r="DI900" s="560"/>
      <c r="DJ900" s="568"/>
      <c r="DK900" s="568"/>
      <c r="DL900" s="568"/>
      <c r="DM900" s="568"/>
      <c r="DN900" s="568"/>
      <c r="DO900" s="568"/>
      <c r="DP900" s="568"/>
      <c r="DQ900" s="568"/>
      <c r="DR900" s="568"/>
      <c r="DS900" s="568"/>
    </row>
    <row r="901" spans="1:123" ht="15" customHeight="1">
      <c r="A901" s="2120"/>
      <c r="B901" s="2161" t="s">
        <v>153</v>
      </c>
      <c r="C901" s="2144" t="s">
        <v>13</v>
      </c>
      <c r="D901" s="86" t="s">
        <v>553</v>
      </c>
      <c r="E901" s="86">
        <v>6</v>
      </c>
      <c r="F901" s="148" t="s">
        <v>15</v>
      </c>
      <c r="G901" s="148" t="s">
        <v>15</v>
      </c>
      <c r="H901" s="367">
        <v>20767.169999999998</v>
      </c>
      <c r="I901" s="368">
        <v>6622.66</v>
      </c>
      <c r="J901" s="234" t="s">
        <v>15</v>
      </c>
      <c r="K901" s="233" t="s">
        <v>15</v>
      </c>
      <c r="L901" s="234" t="s">
        <v>15</v>
      </c>
      <c r="M901" s="233" t="s">
        <v>15</v>
      </c>
      <c r="N901" s="1194">
        <v>-255.98740000000001</v>
      </c>
      <c r="O901" s="142">
        <v>-0.02</v>
      </c>
      <c r="P901" s="142">
        <v>10289.750700000001</v>
      </c>
      <c r="Q901" s="128">
        <v>0</v>
      </c>
      <c r="R901" s="2129">
        <f>SUMPRODUCT(Q901:Q907,N901:N907)</f>
        <v>93.503481039999997</v>
      </c>
      <c r="S901" s="127" t="s">
        <v>72</v>
      </c>
      <c r="T901" s="201" t="s">
        <v>119</v>
      </c>
      <c r="U901" s="855"/>
      <c r="V901" s="2163"/>
      <c r="W901" s="34" t="s">
        <v>49</v>
      </c>
      <c r="X901" s="291" t="s">
        <v>564</v>
      </c>
      <c r="Y901" s="538">
        <f xml:space="preserve"> ((1400*$R$899)+(0.85*$R$900)+$T$906+$R$901)*(1+$T$908)</f>
        <v>37354.936568351986</v>
      </c>
      <c r="Z901" s="169">
        <f>Y901-Y899</f>
        <v>19714.233497400037</v>
      </c>
      <c r="AA901" s="576">
        <f>(0.85-0.82)*$P$900</f>
        <v>5483.2087920000049</v>
      </c>
      <c r="AB901" s="918"/>
      <c r="AC901" s="26"/>
      <c r="AD901" s="24"/>
      <c r="AE901" s="26"/>
      <c r="AF901" s="33" t="s">
        <v>49</v>
      </c>
      <c r="AG901" s="291" t="s">
        <v>564</v>
      </c>
      <c r="AH901" s="955">
        <f xml:space="preserve"> ((1400*$R$899)+(0.85*$R$900)+$T$906+$R$901)*1.3</f>
        <v>37354.936568351986</v>
      </c>
      <c r="AI901" s="159"/>
      <c r="AJ901" s="955"/>
      <c r="AK901" s="159">
        <f>12.98*1400</f>
        <v>18172</v>
      </c>
      <c r="AL901" s="159"/>
      <c r="AM901" s="957"/>
      <c r="AN901" s="957"/>
      <c r="AO901" s="957"/>
      <c r="AP901" s="957"/>
      <c r="AQ901" s="957"/>
      <c r="AR901" s="957"/>
      <c r="AS901" s="957"/>
      <c r="AT901" s="957"/>
      <c r="AU901" s="957"/>
      <c r="AV901" s="957"/>
      <c r="AW901" s="957"/>
      <c r="AX901" s="957"/>
      <c r="AY901" s="957"/>
      <c r="AZ901" s="957"/>
      <c r="BA901" s="957"/>
      <c r="BB901" s="957"/>
      <c r="BC901" s="957"/>
      <c r="BD901" s="957"/>
      <c r="BE901" s="957"/>
      <c r="BF901" s="957"/>
      <c r="BG901" s="957"/>
    </row>
    <row r="902" spans="1:123" ht="15" customHeight="1">
      <c r="A902" s="2120"/>
      <c r="B902" s="2161"/>
      <c r="C902" s="2144"/>
      <c r="D902" s="86" t="s">
        <v>558</v>
      </c>
      <c r="E902" s="86">
        <v>8</v>
      </c>
      <c r="F902" s="148" t="s">
        <v>15</v>
      </c>
      <c r="G902" s="148" t="s">
        <v>15</v>
      </c>
      <c r="H902" s="367">
        <v>19020.349999999999</v>
      </c>
      <c r="I902" s="368">
        <v>4865.6099999999997</v>
      </c>
      <c r="J902" s="234" t="s">
        <v>15</v>
      </c>
      <c r="K902" s="233" t="s">
        <v>15</v>
      </c>
      <c r="L902" s="234" t="s">
        <v>15</v>
      </c>
      <c r="M902" s="233" t="s">
        <v>15</v>
      </c>
      <c r="N902" s="1194">
        <v>-11735.6664</v>
      </c>
      <c r="O902" s="142">
        <v>-1.18</v>
      </c>
      <c r="P902" s="142">
        <v>9955.5326000000005</v>
      </c>
      <c r="Q902" s="128">
        <v>0</v>
      </c>
      <c r="R902" s="2129"/>
      <c r="S902" s="423" t="s">
        <v>1435</v>
      </c>
      <c r="T902" s="202" t="s">
        <v>140</v>
      </c>
      <c r="U902" s="859"/>
      <c r="V902" s="2163"/>
      <c r="W902" s="720" t="s">
        <v>47</v>
      </c>
      <c r="X902" s="291" t="s">
        <v>1179</v>
      </c>
      <c r="Y902" s="538">
        <f xml:space="preserve"> ((3000*$R$899)+(0.82*$R$900)+$T$906+$R$901)*(1+$T$908)</f>
        <v>45794.12707095201</v>
      </c>
      <c r="Z902" s="452" t="s">
        <v>40</v>
      </c>
      <c r="AA902" s="576"/>
      <c r="AB902" s="918"/>
      <c r="AC902" s="26"/>
      <c r="AD902" s="24"/>
      <c r="AE902" s="26"/>
      <c r="AF902" s="658" t="s">
        <v>47</v>
      </c>
      <c r="AG902" s="291" t="s">
        <v>1174</v>
      </c>
      <c r="AH902" s="955">
        <f xml:space="preserve"> ((3000*$R$899)+(0.82*$R$900)+$T$906+$R$901)*1.3</f>
        <v>45794.12707095201</v>
      </c>
      <c r="AI902" s="159">
        <f>11*3000</f>
        <v>33000</v>
      </c>
      <c r="AJ902" s="159">
        <f>11.37*3000</f>
        <v>34110</v>
      </c>
      <c r="AK902" s="159">
        <f>9.15*3000</f>
        <v>27450</v>
      </c>
      <c r="AL902" s="159"/>
      <c r="AM902" s="957"/>
      <c r="AN902" s="957"/>
      <c r="AO902" s="957"/>
      <c r="AP902" s="957"/>
      <c r="AQ902" s="957"/>
      <c r="AR902" s="957"/>
      <c r="AS902" s="957"/>
      <c r="AT902" s="957"/>
      <c r="AU902" s="957"/>
      <c r="AV902" s="957"/>
      <c r="AW902" s="957"/>
      <c r="AX902" s="957"/>
      <c r="AY902" s="957"/>
      <c r="AZ902" s="957"/>
      <c r="BA902" s="957"/>
      <c r="BB902" s="957"/>
      <c r="BC902" s="957"/>
      <c r="BD902" s="957"/>
      <c r="BE902" s="957"/>
      <c r="BF902" s="957"/>
      <c r="BG902" s="957"/>
    </row>
    <row r="903" spans="1:123" ht="15" customHeight="1">
      <c r="A903" s="2120"/>
      <c r="B903" s="2161"/>
      <c r="C903" s="2144"/>
      <c r="D903" s="86" t="s">
        <v>559</v>
      </c>
      <c r="E903" s="86">
        <v>14</v>
      </c>
      <c r="F903" s="148" t="s">
        <v>15</v>
      </c>
      <c r="G903" s="148" t="s">
        <v>15</v>
      </c>
      <c r="H903" s="367">
        <v>26644.639999999999</v>
      </c>
      <c r="I903" s="368">
        <v>25676.58</v>
      </c>
      <c r="J903" s="234" t="s">
        <v>15</v>
      </c>
      <c r="K903" s="233" t="s">
        <v>15</v>
      </c>
      <c r="L903" s="234" t="s">
        <v>15</v>
      </c>
      <c r="M903" s="233" t="s">
        <v>15</v>
      </c>
      <c r="N903" s="1194">
        <v>4009.6053000000002</v>
      </c>
      <c r="O903" s="142">
        <v>0.41</v>
      </c>
      <c r="P903" s="142">
        <v>9825.5331999999999</v>
      </c>
      <c r="Q903" s="128">
        <v>0</v>
      </c>
      <c r="R903" s="2129"/>
      <c r="S903" s="127" t="s">
        <v>74</v>
      </c>
      <c r="T903" s="203" t="s">
        <v>75</v>
      </c>
      <c r="U903" s="858"/>
      <c r="V903" s="2163"/>
      <c r="W903" s="720" t="s">
        <v>49</v>
      </c>
      <c r="X903" s="291" t="s">
        <v>1178</v>
      </c>
      <c r="Y903" s="538">
        <f xml:space="preserve"> ((3000*$R$899)+(0.85*$R$900)+$T$906+$R$901)*(1+$T$908)</f>
        <v>65508.360568352044</v>
      </c>
      <c r="Z903" s="169">
        <f>Y903-Y902</f>
        <v>19714.233497400033</v>
      </c>
      <c r="AA903" s="576">
        <f>(0.85-0.82)*$P$900</f>
        <v>5483.2087920000049</v>
      </c>
      <c r="AB903" s="918"/>
      <c r="AC903" s="26"/>
      <c r="AD903" s="24"/>
      <c r="AE903" s="26"/>
      <c r="AF903" s="658" t="s">
        <v>49</v>
      </c>
      <c r="AG903" s="291" t="s">
        <v>1175</v>
      </c>
      <c r="AH903" s="955">
        <f xml:space="preserve"> ((3000*$R$899)+(0.85*$R$900)+$T$906+$R$901)*1.3</f>
        <v>65508.360568352044</v>
      </c>
      <c r="AI903" s="159">
        <f>21*3000</f>
        <v>63000</v>
      </c>
      <c r="AJ903" s="955">
        <f>14.94*3000</f>
        <v>44820</v>
      </c>
      <c r="AK903" s="159">
        <f>9.59*3000</f>
        <v>28770</v>
      </c>
      <c r="AL903" s="159"/>
      <c r="AM903" s="957"/>
      <c r="AN903" s="957"/>
      <c r="AO903" s="957"/>
      <c r="AP903" s="957"/>
      <c r="AQ903" s="957"/>
      <c r="AR903" s="957"/>
      <c r="AS903" s="957"/>
      <c r="AT903" s="957"/>
      <c r="AU903" s="957"/>
      <c r="AV903" s="957"/>
      <c r="AW903" s="957"/>
      <c r="AX903" s="957"/>
      <c r="AY903" s="957"/>
      <c r="AZ903" s="957"/>
      <c r="BA903" s="957"/>
      <c r="BB903" s="957"/>
      <c r="BC903" s="957"/>
      <c r="BD903" s="957"/>
      <c r="BE903" s="957"/>
      <c r="BF903" s="957"/>
      <c r="BG903" s="957"/>
    </row>
    <row r="904" spans="1:123" ht="15" customHeight="1">
      <c r="A904" s="2120"/>
      <c r="B904" s="2161"/>
      <c r="C904" s="2144"/>
      <c r="D904" s="86" t="s">
        <v>560</v>
      </c>
      <c r="E904" s="86">
        <v>6</v>
      </c>
      <c r="F904" s="148" t="s">
        <v>15</v>
      </c>
      <c r="G904" s="148" t="s">
        <v>15</v>
      </c>
      <c r="H904" s="367">
        <v>58229.17</v>
      </c>
      <c r="I904" s="368">
        <v>28340.61</v>
      </c>
      <c r="J904" s="234" t="s">
        <v>15</v>
      </c>
      <c r="K904" s="233" t="s">
        <v>15</v>
      </c>
      <c r="L904" s="234" t="s">
        <v>15</v>
      </c>
      <c r="M904" s="233" t="s">
        <v>15</v>
      </c>
      <c r="N904" s="1194">
        <v>19231.769</v>
      </c>
      <c r="O904" s="142">
        <v>1.74</v>
      </c>
      <c r="P904" s="142">
        <v>11056.665800000001</v>
      </c>
      <c r="Q904" s="128">
        <v>5.0000000000000001E-3</v>
      </c>
      <c r="R904" s="2129"/>
      <c r="S904" s="384">
        <v>34</v>
      </c>
      <c r="T904" s="117" t="s">
        <v>15</v>
      </c>
      <c r="U904" s="854"/>
      <c r="V904" s="2164"/>
      <c r="W904" s="34" t="s">
        <v>49</v>
      </c>
      <c r="X904" s="291" t="s">
        <v>1177</v>
      </c>
      <c r="Y904" s="538">
        <f xml:space="preserve"> ((3000*$R$899)+(0.85*$R$900)+$T$906+$R$901)*(1+$T$908)</f>
        <v>65508.360568352044</v>
      </c>
      <c r="Z904" s="169">
        <f>Y904-Y902</f>
        <v>19714.233497400033</v>
      </c>
      <c r="AA904" s="576">
        <f>(0.85-0.82)*$P$900</f>
        <v>5483.2087920000049</v>
      </c>
      <c r="AB904" s="918"/>
      <c r="AC904" s="26"/>
      <c r="AD904" s="24"/>
      <c r="AE904" s="26"/>
      <c r="AF904" s="33" t="s">
        <v>49</v>
      </c>
      <c r="AG904" s="291" t="s">
        <v>1176</v>
      </c>
      <c r="AH904" s="955">
        <f xml:space="preserve"> ((3000*$R$899)+(0.85*$R$900)+$T$906+$R$901)*1.3</f>
        <v>65508.360568352044</v>
      </c>
      <c r="AI904" s="159"/>
      <c r="AJ904" s="159"/>
      <c r="AK904" s="159">
        <f>10.18*3000</f>
        <v>30540</v>
      </c>
      <c r="AL904" s="159"/>
      <c r="AM904" s="957"/>
      <c r="AN904" s="957"/>
      <c r="AO904" s="957"/>
      <c r="AP904" s="957"/>
      <c r="AQ904" s="957"/>
      <c r="AR904" s="957"/>
      <c r="AS904" s="957"/>
      <c r="AT904" s="957"/>
      <c r="AU904" s="957"/>
      <c r="AV904" s="957"/>
      <c r="AW904" s="957"/>
      <c r="AX904" s="957"/>
      <c r="AY904" s="957"/>
      <c r="AZ904" s="957"/>
      <c r="BA904" s="957"/>
      <c r="BB904" s="957"/>
      <c r="BC904" s="957"/>
      <c r="BD904" s="957"/>
      <c r="BE904" s="957"/>
      <c r="BF904" s="957"/>
      <c r="BG904" s="957"/>
    </row>
    <row r="905" spans="1:123" ht="15" customHeight="1">
      <c r="A905" s="2120"/>
      <c r="B905" s="2161"/>
      <c r="C905" s="2144"/>
      <c r="D905" s="86" t="s">
        <v>561</v>
      </c>
      <c r="E905" s="86">
        <v>17</v>
      </c>
      <c r="F905" s="148" t="s">
        <v>15</v>
      </c>
      <c r="G905" s="148" t="s">
        <v>15</v>
      </c>
      <c r="H905" s="367">
        <v>17800.169999999998</v>
      </c>
      <c r="I905" s="368">
        <v>14372.88</v>
      </c>
      <c r="J905" s="234" t="s">
        <v>15</v>
      </c>
      <c r="K905" s="233" t="s">
        <v>15</v>
      </c>
      <c r="L905" s="234" t="s">
        <v>15</v>
      </c>
      <c r="M905" s="233" t="s">
        <v>15</v>
      </c>
      <c r="N905" s="1194">
        <v>-13276.819799999999</v>
      </c>
      <c r="O905" s="142">
        <v>-1.39</v>
      </c>
      <c r="P905" s="142">
        <v>9570.1389999999992</v>
      </c>
      <c r="Q905" s="128">
        <v>2.0000000000000001E-4</v>
      </c>
      <c r="R905" s="2129"/>
      <c r="S905" s="127" t="s">
        <v>41</v>
      </c>
      <c r="T905" s="129" t="s">
        <v>42</v>
      </c>
      <c r="U905" s="858"/>
      <c r="V905" s="22"/>
      <c r="W905" s="27"/>
      <c r="X905" s="27"/>
      <c r="Y905" s="27"/>
      <c r="Z905" s="39"/>
      <c r="AA905" s="27"/>
      <c r="AC905" s="26"/>
      <c r="AD905" s="24"/>
      <c r="AE905" s="26"/>
      <c r="AF905" s="75"/>
      <c r="AG905" s="26"/>
      <c r="AH905" s="957"/>
      <c r="AI905" s="957"/>
      <c r="AJ905" s="957"/>
      <c r="AK905" s="957"/>
      <c r="AL905" s="957"/>
      <c r="AM905" s="957"/>
      <c r="AN905" s="957"/>
      <c r="AO905" s="957"/>
      <c r="AP905" s="957"/>
      <c r="AQ905" s="957"/>
      <c r="AR905" s="957"/>
      <c r="AS905" s="957"/>
      <c r="AT905" s="957"/>
      <c r="AU905" s="957"/>
      <c r="AV905" s="957"/>
      <c r="AW905" s="957"/>
      <c r="AX905" s="957"/>
      <c r="AY905" s="957"/>
      <c r="AZ905" s="957"/>
      <c r="BA905" s="957"/>
      <c r="BB905" s="957"/>
      <c r="BC905" s="957"/>
      <c r="BD905" s="957"/>
      <c r="BE905" s="957"/>
      <c r="BF905" s="957"/>
      <c r="BG905" s="957"/>
    </row>
    <row r="906" spans="1:123" ht="15" customHeight="1">
      <c r="A906" s="2120"/>
      <c r="B906" s="2161"/>
      <c r="C906" s="2144"/>
      <c r="D906" s="292" t="s">
        <v>575</v>
      </c>
      <c r="E906" s="86">
        <v>2</v>
      </c>
      <c r="F906" s="148" t="s">
        <v>15</v>
      </c>
      <c r="G906" s="148" t="s">
        <v>15</v>
      </c>
      <c r="H906" s="367">
        <v>24125</v>
      </c>
      <c r="I906" s="368">
        <v>22450.639999999999</v>
      </c>
      <c r="J906" s="234" t="s">
        <v>15</v>
      </c>
      <c r="K906" s="233" t="s">
        <v>15</v>
      </c>
      <c r="L906" s="234" t="s">
        <v>15</v>
      </c>
      <c r="M906" s="233" t="s">
        <v>15</v>
      </c>
      <c r="N906" s="1194">
        <v>0</v>
      </c>
      <c r="O906" s="146" t="s">
        <v>204</v>
      </c>
      <c r="P906" s="146" t="s">
        <v>204</v>
      </c>
      <c r="Q906" s="128">
        <v>0</v>
      </c>
      <c r="R906" s="2129"/>
      <c r="S906" s="385">
        <v>0.91341099999999997</v>
      </c>
      <c r="T906" s="157">
        <v>-419977.54849999998</v>
      </c>
      <c r="U906" s="861"/>
      <c r="V906" s="24"/>
      <c r="W906" s="26"/>
      <c r="X906" s="26"/>
      <c r="Y906" s="26"/>
      <c r="Z906" s="26"/>
      <c r="AA906" s="26"/>
      <c r="AC906" s="26"/>
      <c r="AD906" s="24"/>
      <c r="AE906" s="26"/>
      <c r="AF906" s="75"/>
      <c r="AG906" s="26"/>
      <c r="AH906" s="957"/>
      <c r="AI906" s="957"/>
      <c r="AJ906" s="957"/>
      <c r="AK906" s="957"/>
      <c r="AL906" s="957"/>
      <c r="AM906" s="957"/>
      <c r="AN906" s="957"/>
      <c r="AO906" s="957"/>
      <c r="AP906" s="957"/>
      <c r="AQ906" s="957"/>
      <c r="AR906" s="957"/>
      <c r="AS906" s="957"/>
      <c r="AT906" s="957"/>
      <c r="AU906" s="957"/>
      <c r="AV906" s="957"/>
      <c r="AW906" s="957"/>
      <c r="AX906" s="957"/>
      <c r="AY906" s="957"/>
      <c r="AZ906" s="957"/>
      <c r="BA906" s="957"/>
      <c r="BB906" s="957"/>
      <c r="BC906" s="957"/>
      <c r="BD906" s="957"/>
      <c r="BE906" s="957"/>
      <c r="BF906" s="957"/>
      <c r="BG906" s="957"/>
    </row>
    <row r="907" spans="1:123" ht="15" customHeight="1">
      <c r="A907" s="2120"/>
      <c r="B907" s="2161"/>
      <c r="C907" s="2144"/>
      <c r="D907" s="292" t="s">
        <v>562</v>
      </c>
      <c r="E907" s="86">
        <v>1</v>
      </c>
      <c r="F907" s="148" t="s">
        <v>15</v>
      </c>
      <c r="G907" s="148" t="s">
        <v>15</v>
      </c>
      <c r="H907" s="367">
        <v>4339</v>
      </c>
      <c r="I907" s="138" t="s">
        <v>574</v>
      </c>
      <c r="J907" s="234" t="s">
        <v>15</v>
      </c>
      <c r="K907" s="233" t="s">
        <v>15</v>
      </c>
      <c r="L907" s="234" t="s">
        <v>15</v>
      </c>
      <c r="M907" s="233" t="s">
        <v>15</v>
      </c>
      <c r="N907" s="1194">
        <v>696.6173</v>
      </c>
      <c r="O907" s="142">
        <v>0.05</v>
      </c>
      <c r="P907" s="142">
        <v>13839.607099999999</v>
      </c>
      <c r="Q907" s="128">
        <v>0</v>
      </c>
      <c r="R907" s="2129"/>
      <c r="S907" s="118" t="s">
        <v>235</v>
      </c>
      <c r="T907" s="119" t="s">
        <v>391</v>
      </c>
      <c r="U907" s="855"/>
      <c r="V907" s="24"/>
      <c r="W907" s="26"/>
      <c r="X907" s="26"/>
      <c r="Y907" s="26"/>
      <c r="Z907" s="26"/>
      <c r="AA907" s="26"/>
      <c r="AC907" s="26"/>
      <c r="AD907" s="24"/>
      <c r="AE907" s="26"/>
      <c r="AF907" s="75"/>
      <c r="AG907" s="26"/>
      <c r="AH907" s="957"/>
      <c r="AI907" s="957"/>
      <c r="AJ907" s="957"/>
      <c r="AK907" s="957"/>
      <c r="AL907" s="957"/>
      <c r="AM907" s="957"/>
      <c r="AN907" s="957"/>
      <c r="AO907" s="957"/>
      <c r="AP907" s="957"/>
      <c r="AQ907" s="957"/>
      <c r="AR907" s="957"/>
      <c r="AS907" s="957"/>
      <c r="AT907" s="957"/>
      <c r="AU907" s="957"/>
      <c r="AV907" s="957"/>
      <c r="AW907" s="957"/>
      <c r="AX907" s="957"/>
      <c r="AY907" s="957"/>
      <c r="AZ907" s="957"/>
      <c r="BA907" s="957"/>
      <c r="BB907" s="957"/>
      <c r="BC907" s="957"/>
      <c r="BD907" s="957"/>
      <c r="BE907" s="957"/>
      <c r="BF907" s="957"/>
      <c r="BG907" s="957"/>
    </row>
    <row r="908" spans="1:123" s="325" customFormat="1" ht="30.75" customHeight="1">
      <c r="A908" s="2120"/>
      <c r="B908" s="2116" t="s">
        <v>194</v>
      </c>
      <c r="C908" s="174"/>
      <c r="D908" s="330"/>
      <c r="E908" s="330"/>
      <c r="F908" s="330"/>
      <c r="G908" s="330"/>
      <c r="H908" s="330"/>
      <c r="I908" s="330"/>
      <c r="J908" s="105"/>
      <c r="K908" s="330"/>
      <c r="L908" s="105"/>
      <c r="M908" s="330"/>
      <c r="N908" s="1253"/>
      <c r="O908" s="1254"/>
      <c r="P908" s="1254"/>
      <c r="Q908" s="1255"/>
      <c r="R908" s="1256"/>
      <c r="S908" s="1259">
        <v>2650.8009999999999</v>
      </c>
      <c r="T908" s="1260">
        <v>0.3</v>
      </c>
      <c r="U908" s="870"/>
      <c r="V908" s="502"/>
      <c r="W908" s="330"/>
      <c r="X908" s="330"/>
      <c r="Y908" s="330"/>
      <c r="Z908" s="330"/>
      <c r="AA908" s="330"/>
      <c r="AB908" s="851"/>
      <c r="AC908" s="330"/>
      <c r="AD908" s="502"/>
      <c r="AE908" s="330"/>
      <c r="AF908" s="105"/>
      <c r="AG908" s="330"/>
      <c r="AH908" s="962"/>
      <c r="AI908" s="962"/>
      <c r="AJ908" s="962"/>
      <c r="AK908" s="962"/>
      <c r="AL908" s="962"/>
      <c r="AM908" s="962"/>
      <c r="AN908" s="962"/>
      <c r="AO908" s="962"/>
      <c r="AP908" s="962"/>
      <c r="AQ908" s="962"/>
      <c r="AR908" s="962"/>
      <c r="AS908" s="962"/>
      <c r="AT908" s="962"/>
      <c r="AU908" s="962"/>
      <c r="AV908" s="962"/>
      <c r="AW908" s="962"/>
      <c r="AX908" s="962"/>
      <c r="AY908" s="962"/>
      <c r="AZ908" s="962"/>
      <c r="BA908" s="962"/>
      <c r="BB908" s="962"/>
      <c r="BC908" s="962"/>
      <c r="BD908" s="962"/>
      <c r="BE908" s="962"/>
      <c r="BF908" s="962"/>
      <c r="BG908" s="962"/>
      <c r="BH908" s="1130"/>
      <c r="CF908" s="568"/>
      <c r="CG908" s="568"/>
      <c r="CH908" s="568"/>
      <c r="CI908" s="568"/>
      <c r="CJ908" s="568"/>
      <c r="CK908" s="568"/>
      <c r="CL908" s="568"/>
      <c r="CM908" s="568"/>
      <c r="CN908" s="568"/>
      <c r="CO908" s="568"/>
      <c r="CP908" s="568"/>
      <c r="CQ908" s="568"/>
      <c r="CR908" s="568"/>
      <c r="CS908" s="568"/>
      <c r="CT908" s="568"/>
      <c r="CU908" s="568"/>
      <c r="CV908" s="568"/>
      <c r="CW908" s="568"/>
      <c r="CX908" s="568"/>
      <c r="CY908" s="568"/>
      <c r="CZ908" s="568"/>
      <c r="DA908" s="568"/>
      <c r="DB908" s="568"/>
      <c r="DC908" s="568"/>
      <c r="DD908" s="568"/>
      <c r="DE908" s="568"/>
      <c r="DF908" s="568"/>
      <c r="DG908" s="568"/>
      <c r="DH908" s="568"/>
      <c r="DI908" s="560"/>
      <c r="DJ908" s="568"/>
      <c r="DK908" s="568"/>
      <c r="DL908" s="568"/>
      <c r="DM908" s="568"/>
      <c r="DN908" s="568"/>
      <c r="DO908" s="568"/>
      <c r="DP908" s="568"/>
      <c r="DQ908" s="568"/>
      <c r="DR908" s="568"/>
      <c r="DS908" s="568"/>
    </row>
    <row r="909" spans="1:123" s="325" customFormat="1" ht="19.5" customHeight="1">
      <c r="A909" s="2120"/>
      <c r="B909" s="2117"/>
      <c r="C909" s="174"/>
      <c r="D909" s="330"/>
      <c r="E909" s="330"/>
      <c r="F909" s="330"/>
      <c r="G909" s="330"/>
      <c r="H909" s="330"/>
      <c r="I909" s="330"/>
      <c r="J909" s="105"/>
      <c r="K909" s="330"/>
      <c r="L909" s="105"/>
      <c r="M909" s="330"/>
      <c r="N909" s="1257"/>
      <c r="O909" s="1258"/>
      <c r="P909" s="1258"/>
      <c r="Q909" s="246"/>
      <c r="R909" s="246"/>
      <c r="S909" s="1261"/>
      <c r="T909" s="1262"/>
      <c r="U909" s="870"/>
      <c r="V909" s="502"/>
      <c r="W909" s="330"/>
      <c r="X909" s="330"/>
      <c r="Y909" s="330"/>
      <c r="Z909" s="330"/>
      <c r="AA909" s="977"/>
      <c r="AB909" s="851"/>
      <c r="AC909" s="330"/>
      <c r="AD909" s="502"/>
      <c r="AE909" s="1265"/>
      <c r="AF909" s="105"/>
      <c r="AG909" s="330"/>
      <c r="AH909" s="962"/>
      <c r="AI909" s="962"/>
      <c r="AJ909" s="962"/>
      <c r="AK909" s="962"/>
      <c r="AL909" s="962"/>
      <c r="AM909" s="962"/>
      <c r="AN909" s="962"/>
      <c r="AO909" s="962"/>
      <c r="AP909" s="962"/>
      <c r="AQ909" s="962"/>
      <c r="AR909" s="962"/>
      <c r="AS909" s="962"/>
      <c r="AT909" s="962"/>
      <c r="AU909" s="962"/>
      <c r="AV909" s="962"/>
      <c r="AW909" s="962"/>
      <c r="AX909" s="962"/>
      <c r="AY909" s="962"/>
      <c r="AZ909" s="962"/>
      <c r="BA909" s="962"/>
      <c r="BB909" s="962"/>
      <c r="BC909" s="962"/>
      <c r="BD909" s="962"/>
      <c r="BE909" s="962"/>
      <c r="BF909" s="962"/>
      <c r="BG909" s="962"/>
      <c r="BH909" s="1130"/>
      <c r="CF909" s="568"/>
      <c r="CG909" s="568"/>
      <c r="CH909" s="568"/>
      <c r="CI909" s="568"/>
      <c r="CJ909" s="568"/>
      <c r="CK909" s="568"/>
      <c r="CL909" s="568"/>
      <c r="CM909" s="568"/>
      <c r="CN909" s="568"/>
      <c r="CO909" s="568"/>
      <c r="CP909" s="568"/>
      <c r="CQ909" s="568"/>
      <c r="CR909" s="568"/>
      <c r="CS909" s="568"/>
      <c r="CT909" s="568"/>
      <c r="CU909" s="568"/>
      <c r="CV909" s="568"/>
      <c r="CW909" s="568"/>
      <c r="CX909" s="568"/>
      <c r="CY909" s="568"/>
      <c r="CZ909" s="568"/>
      <c r="DA909" s="568"/>
      <c r="DB909" s="568"/>
      <c r="DC909" s="568"/>
      <c r="DD909" s="568"/>
      <c r="DE909" s="568"/>
      <c r="DF909" s="568"/>
      <c r="DG909" s="568"/>
      <c r="DH909" s="568"/>
      <c r="DI909" s="560"/>
      <c r="DJ909" s="568"/>
      <c r="DK909" s="568"/>
      <c r="DL909" s="568"/>
      <c r="DM909" s="568"/>
      <c r="DN909" s="568"/>
      <c r="DO909" s="568"/>
      <c r="DP909" s="568"/>
      <c r="DQ909" s="568"/>
      <c r="DR909" s="568"/>
      <c r="DS909" s="568"/>
    </row>
    <row r="910" spans="1:123" s="325" customFormat="1" ht="19.5" customHeight="1" thickBot="1">
      <c r="A910" s="2145"/>
      <c r="B910" s="2118"/>
      <c r="C910" s="174"/>
      <c r="D910" s="330"/>
      <c r="E910" s="330"/>
      <c r="F910" s="330"/>
      <c r="G910" s="330"/>
      <c r="H910" s="330"/>
      <c r="I910" s="330"/>
      <c r="J910" s="105"/>
      <c r="K910" s="330"/>
      <c r="L910" s="105"/>
      <c r="M910" s="330"/>
      <c r="N910" s="1250"/>
      <c r="O910" s="1251"/>
      <c r="P910" s="1251"/>
      <c r="Q910" s="1252"/>
      <c r="R910" s="1252"/>
      <c r="S910" s="1263"/>
      <c r="T910" s="1264"/>
      <c r="U910" s="870"/>
      <c r="V910" s="902"/>
      <c r="W910" s="330"/>
      <c r="X910" s="330"/>
      <c r="Y910" s="330"/>
      <c r="Z910" s="843"/>
      <c r="AA910" s="843"/>
      <c r="AB910" s="851"/>
      <c r="AC910" s="330"/>
      <c r="AD910" s="902"/>
      <c r="AE910" s="1266"/>
      <c r="AF910" s="105"/>
      <c r="AG910" s="330"/>
      <c r="AH910" s="962"/>
      <c r="AI910" s="962"/>
      <c r="AJ910" s="962"/>
      <c r="AK910" s="962"/>
      <c r="AL910" s="962"/>
      <c r="AM910" s="962"/>
      <c r="AN910" s="962"/>
      <c r="AO910" s="962"/>
      <c r="AP910" s="962"/>
      <c r="AQ910" s="962"/>
      <c r="AR910" s="962"/>
      <c r="AS910" s="962"/>
      <c r="AT910" s="962"/>
      <c r="AU910" s="962"/>
      <c r="AV910" s="962"/>
      <c r="AW910" s="962"/>
      <c r="AX910" s="962"/>
      <c r="AY910" s="962"/>
      <c r="AZ910" s="962"/>
      <c r="BA910" s="962"/>
      <c r="BB910" s="962"/>
      <c r="BC910" s="962"/>
      <c r="BD910" s="962"/>
      <c r="BE910" s="962"/>
      <c r="BF910" s="962"/>
      <c r="BG910" s="962"/>
      <c r="BH910" s="1130"/>
      <c r="CF910" s="568"/>
      <c r="CG910" s="568"/>
      <c r="CH910" s="568"/>
      <c r="CI910" s="568"/>
      <c r="CJ910" s="568"/>
      <c r="CK910" s="568"/>
      <c r="CL910" s="568"/>
      <c r="CM910" s="568"/>
      <c r="CN910" s="568"/>
      <c r="CO910" s="568"/>
      <c r="CP910" s="568"/>
      <c r="CQ910" s="568"/>
      <c r="CR910" s="568"/>
      <c r="CS910" s="568"/>
      <c r="CT910" s="568"/>
      <c r="CU910" s="568"/>
      <c r="CV910" s="568"/>
      <c r="CW910" s="568"/>
      <c r="CX910" s="568"/>
      <c r="CY910" s="568"/>
      <c r="CZ910" s="568"/>
      <c r="DA910" s="568"/>
      <c r="DB910" s="568"/>
      <c r="DC910" s="568"/>
      <c r="DD910" s="568"/>
      <c r="DE910" s="568"/>
      <c r="DF910" s="568"/>
      <c r="DG910" s="568"/>
      <c r="DH910" s="568"/>
      <c r="DI910" s="560"/>
      <c r="DJ910" s="568"/>
      <c r="DK910" s="568"/>
      <c r="DL910" s="568"/>
      <c r="DM910" s="568"/>
      <c r="DN910" s="568"/>
      <c r="DO910" s="568"/>
      <c r="DP910" s="568"/>
      <c r="DQ910" s="568"/>
      <c r="DR910" s="568"/>
      <c r="DS910" s="568"/>
    </row>
    <row r="911" spans="1:123" s="705" customFormat="1" ht="9" customHeight="1" thickBot="1">
      <c r="A911" s="695"/>
      <c r="B911" s="815"/>
      <c r="C911" s="684"/>
      <c r="D911" s="683"/>
      <c r="E911" s="683"/>
      <c r="F911" s="683"/>
      <c r="G911" s="683"/>
      <c r="H911" s="683"/>
      <c r="I911" s="683"/>
      <c r="J911" s="682"/>
      <c r="K911" s="683"/>
      <c r="L911" s="682"/>
      <c r="M911" s="685"/>
      <c r="N911" s="1189"/>
      <c r="O911" s="686"/>
      <c r="P911" s="686"/>
      <c r="Q911" s="687"/>
      <c r="R911" s="687"/>
      <c r="S911" s="688"/>
      <c r="T911" s="688"/>
      <c r="U911" s="854"/>
      <c r="V911" s="893"/>
      <c r="W911" s="685"/>
      <c r="X911" s="685"/>
      <c r="Y911" s="685"/>
      <c r="Z911" s="685"/>
      <c r="AA911" s="685"/>
      <c r="AB911" s="849"/>
      <c r="AC911" s="685"/>
      <c r="AD911" s="685"/>
      <c r="AE911" s="685"/>
      <c r="AF911" s="689"/>
      <c r="AG911" s="685"/>
      <c r="AH911" s="959"/>
      <c r="AI911" s="959"/>
      <c r="AJ911" s="959"/>
      <c r="AK911" s="959"/>
      <c r="AL911" s="959"/>
      <c r="AM911" s="959"/>
      <c r="AN911" s="959"/>
      <c r="AO911" s="959"/>
      <c r="AP911" s="959"/>
      <c r="AQ911" s="959"/>
      <c r="AR911" s="959"/>
      <c r="AS911" s="959"/>
      <c r="AT911" s="959"/>
      <c r="AU911" s="959"/>
      <c r="AV911" s="959" t="s">
        <v>321</v>
      </c>
      <c r="AW911" s="959" t="s">
        <v>322</v>
      </c>
      <c r="AX911" s="959"/>
      <c r="AY911" s="959"/>
      <c r="AZ911" s="959"/>
      <c r="BA911" s="959"/>
      <c r="BB911" s="959"/>
      <c r="BC911" s="959"/>
      <c r="BD911" s="959"/>
      <c r="BE911" s="959"/>
      <c r="BF911" s="959"/>
      <c r="BG911" s="959"/>
      <c r="BH911" s="1125"/>
      <c r="CF911" s="692"/>
      <c r="CG911" s="692"/>
      <c r="CH911" s="692"/>
      <c r="CI911" s="692"/>
      <c r="CJ911" s="692"/>
      <c r="CK911" s="692"/>
      <c r="CL911" s="692"/>
      <c r="CM911" s="692"/>
      <c r="CN911" s="692"/>
      <c r="CO911" s="692"/>
      <c r="CP911" s="692"/>
      <c r="CQ911" s="692"/>
      <c r="CR911" s="692"/>
      <c r="CS911" s="692"/>
      <c r="CT911" s="692"/>
      <c r="CU911" s="692"/>
      <c r="CV911" s="692"/>
      <c r="CW911" s="692"/>
      <c r="CX911" s="692"/>
      <c r="CY911" s="692"/>
      <c r="CZ911" s="692"/>
      <c r="DA911" s="692"/>
      <c r="DB911" s="692"/>
      <c r="DC911" s="692"/>
      <c r="DD911" s="692"/>
      <c r="DE911" s="692"/>
      <c r="DF911" s="692"/>
      <c r="DG911" s="692"/>
      <c r="DH911" s="692"/>
      <c r="DI911" s="693"/>
      <c r="DJ911" s="692"/>
      <c r="DK911" s="692"/>
      <c r="DL911" s="692"/>
      <c r="DM911" s="692"/>
      <c r="DN911" s="692"/>
      <c r="DO911" s="692"/>
      <c r="DP911" s="692"/>
      <c r="DQ911" s="692"/>
      <c r="DR911" s="692"/>
      <c r="DS911" s="692"/>
    </row>
    <row r="912" spans="1:123" ht="30">
      <c r="A912" s="2171" t="s">
        <v>1362</v>
      </c>
      <c r="B912" s="825" t="s">
        <v>713</v>
      </c>
      <c r="C912" s="981" t="s">
        <v>12</v>
      </c>
      <c r="D912" s="86" t="s">
        <v>576</v>
      </c>
      <c r="E912" s="88">
        <v>38</v>
      </c>
      <c r="F912" s="369">
        <v>823.71050000000002</v>
      </c>
      <c r="G912" s="369">
        <v>868.12789999999995</v>
      </c>
      <c r="H912" s="367">
        <v>17878.84</v>
      </c>
      <c r="I912" s="368">
        <v>13334.8</v>
      </c>
      <c r="J912" s="658" t="s">
        <v>14</v>
      </c>
      <c r="K912" s="1153" t="s">
        <v>579</v>
      </c>
      <c r="L912" s="1089" t="s">
        <v>15</v>
      </c>
      <c r="M912" s="1090" t="s">
        <v>15</v>
      </c>
      <c r="N912" s="1211">
        <v>9.8653999999999993</v>
      </c>
      <c r="O912" s="364">
        <v>8.06</v>
      </c>
      <c r="P912" s="364">
        <v>1.2237499999999999</v>
      </c>
      <c r="Q912" s="208" t="s">
        <v>15</v>
      </c>
      <c r="R912" s="535">
        <f>N912</f>
        <v>9.8653999999999993</v>
      </c>
      <c r="S912" s="135" t="s">
        <v>68</v>
      </c>
      <c r="T912" s="129" t="s">
        <v>69</v>
      </c>
      <c r="U912" s="858"/>
      <c r="V912" s="2162" t="s">
        <v>2749</v>
      </c>
      <c r="W912" s="980" t="s">
        <v>47</v>
      </c>
      <c r="X912" s="374" t="s">
        <v>643</v>
      </c>
      <c r="Y912" s="554">
        <f>Y899</f>
        <v>17640.703070951949</v>
      </c>
      <c r="Z912" s="2253">
        <f>Y913-Y912</f>
        <v>7183.2081550580479</v>
      </c>
      <c r="AA912" s="2251">
        <f>(0.94-0.82)*$P$913</f>
        <v>5950.5566459999991</v>
      </c>
      <c r="AB912" s="922"/>
      <c r="AC912" s="26"/>
      <c r="AD912" s="24"/>
      <c r="AE912" s="26"/>
      <c r="AF912" s="231" t="s">
        <v>47</v>
      </c>
      <c r="AG912" s="374" t="s">
        <v>643</v>
      </c>
      <c r="AH912" s="1044">
        <f>AH899</f>
        <v>17640.703070951949</v>
      </c>
      <c r="AI912" s="957" t="s">
        <v>1172</v>
      </c>
      <c r="AJ912" s="957"/>
      <c r="AK912" s="957"/>
      <c r="AL912" s="957"/>
      <c r="AM912" s="957"/>
      <c r="AN912" s="957"/>
      <c r="AO912" s="957"/>
      <c r="AP912" s="957"/>
      <c r="AQ912" s="957"/>
      <c r="AR912" s="957"/>
      <c r="AS912" s="957"/>
      <c r="AT912" s="957"/>
      <c r="AU912" s="957"/>
      <c r="AV912" s="957"/>
      <c r="AW912" s="957"/>
      <c r="AX912" s="957"/>
      <c r="AY912" s="957"/>
      <c r="AZ912" s="957"/>
      <c r="BA912" s="957"/>
      <c r="BB912" s="957"/>
      <c r="BC912" s="957"/>
      <c r="BD912" s="957"/>
      <c r="BE912" s="957"/>
      <c r="BF912" s="957"/>
      <c r="BG912" s="957"/>
    </row>
    <row r="913" spans="1:113" ht="30">
      <c r="A913" s="2172"/>
      <c r="B913" s="824" t="s">
        <v>554</v>
      </c>
      <c r="C913" s="981" t="s">
        <v>12</v>
      </c>
      <c r="D913" s="86" t="s">
        <v>577</v>
      </c>
      <c r="E913" s="88">
        <v>38</v>
      </c>
      <c r="F913" s="379">
        <v>0.93603099999999995</v>
      </c>
      <c r="G913" s="379">
        <v>2.0701000000000001E-2</v>
      </c>
      <c r="H913" s="367">
        <v>17878.84</v>
      </c>
      <c r="I913" s="368">
        <v>13334.8</v>
      </c>
      <c r="J913" s="1092" t="s">
        <v>14</v>
      </c>
      <c r="K913" s="1153" t="s">
        <v>580</v>
      </c>
      <c r="L913" s="1089" t="s">
        <v>15</v>
      </c>
      <c r="M913" s="1090" t="s">
        <v>15</v>
      </c>
      <c r="N913" s="1211">
        <v>143589.4523</v>
      </c>
      <c r="O913" s="364">
        <v>2.9</v>
      </c>
      <c r="P913" s="364">
        <v>49587.972049999997</v>
      </c>
      <c r="Q913" s="208" t="s">
        <v>15</v>
      </c>
      <c r="R913" s="535">
        <f>N913</f>
        <v>143589.4523</v>
      </c>
      <c r="S913" s="324" t="s">
        <v>630</v>
      </c>
      <c r="T913" s="556" t="s">
        <v>310</v>
      </c>
      <c r="U913" s="859"/>
      <c r="V913" s="2163"/>
      <c r="W913" s="720" t="s">
        <v>49</v>
      </c>
      <c r="X913" s="62" t="s">
        <v>582</v>
      </c>
      <c r="Y913" s="538">
        <f>((1400*$R$912)+(0.94*$R$913)+$R$914+$T$919)*(1+$T$921)</f>
        <v>24823.911226009997</v>
      </c>
      <c r="Z913" s="2254"/>
      <c r="AA913" s="2382"/>
      <c r="AB913" s="848"/>
      <c r="AC913" s="26"/>
      <c r="AD913" s="24"/>
      <c r="AE913" s="26"/>
      <c r="AF913" s="658" t="s">
        <v>49</v>
      </c>
      <c r="AG913" s="720" t="s">
        <v>582</v>
      </c>
      <c r="AH913" s="996">
        <f>((1400*$R$912)+(0.94*$R$913)+$R$914+$T$919)*1.3</f>
        <v>24823.911226009997</v>
      </c>
      <c r="AI913" s="957"/>
      <c r="AJ913" s="957"/>
      <c r="AK913" s="957"/>
      <c r="AL913" s="957"/>
      <c r="AM913" s="957"/>
      <c r="AN913" s="957"/>
      <c r="AO913" s="957"/>
      <c r="AP913" s="957"/>
      <c r="AQ913" s="957"/>
      <c r="AR913" s="957"/>
      <c r="AS913" s="957"/>
      <c r="AT913" s="957"/>
      <c r="AU913" s="957"/>
      <c r="AV913" s="957"/>
      <c r="AW913" s="957"/>
      <c r="AX913" s="957"/>
      <c r="AY913" s="957"/>
      <c r="AZ913" s="957"/>
      <c r="BA913" s="957"/>
      <c r="BB913" s="957"/>
      <c r="BC913" s="957"/>
      <c r="BD913" s="957"/>
      <c r="BE913" s="957"/>
      <c r="BF913" s="957"/>
      <c r="BG913" s="957"/>
    </row>
    <row r="914" spans="1:113">
      <c r="A914" s="2172"/>
      <c r="B914" s="2161" t="s">
        <v>153</v>
      </c>
      <c r="C914" s="2144" t="s">
        <v>13</v>
      </c>
      <c r="D914" s="452" t="s">
        <v>558</v>
      </c>
      <c r="E914" s="88">
        <v>5</v>
      </c>
      <c r="F914" s="148" t="s">
        <v>15</v>
      </c>
      <c r="G914" s="148" t="s">
        <v>15</v>
      </c>
      <c r="H914" s="367">
        <v>31940</v>
      </c>
      <c r="I914" s="368">
        <v>18760.14</v>
      </c>
      <c r="J914" s="234" t="s">
        <v>15</v>
      </c>
      <c r="K914" s="233" t="s">
        <v>15</v>
      </c>
      <c r="L914" s="234" t="s">
        <v>15</v>
      </c>
      <c r="M914" s="233" t="s">
        <v>15</v>
      </c>
      <c r="N914" s="1194">
        <v>8707.2543999999998</v>
      </c>
      <c r="O914" s="142">
        <v>3.29</v>
      </c>
      <c r="P914" s="142">
        <v>2648.90425</v>
      </c>
      <c r="Q914" s="128">
        <v>0</v>
      </c>
      <c r="R914" s="2129">
        <f>SUMPRODUCT(Q914:Q918,N914:N918)</f>
        <v>230.8111657</v>
      </c>
      <c r="S914" s="135" t="s">
        <v>72</v>
      </c>
      <c r="T914" s="201" t="s">
        <v>119</v>
      </c>
      <c r="U914" s="855"/>
      <c r="V914" s="2163"/>
      <c r="W914" s="720" t="s">
        <v>47</v>
      </c>
      <c r="X914" s="291" t="s">
        <v>1180</v>
      </c>
      <c r="Y914" s="538">
        <f>Y888</f>
        <v>2574.3950466000097</v>
      </c>
      <c r="Z914" s="2213">
        <f>Y915-Y914</f>
        <v>7500.7431794099994</v>
      </c>
      <c r="AA914" s="2214">
        <f>(0.94-0.82)*$P$913</f>
        <v>5950.5566459999991</v>
      </c>
      <c r="AB914" s="922"/>
      <c r="AC914" s="26"/>
      <c r="AD914" s="24"/>
      <c r="AE914" s="26"/>
      <c r="AF914" s="658" t="s">
        <v>47</v>
      </c>
      <c r="AG914" s="291" t="s">
        <v>644</v>
      </c>
      <c r="AH914" s="996">
        <f>AH888</f>
        <v>2574.3950466000097</v>
      </c>
      <c r="AI914" s="957"/>
      <c r="AJ914" s="957"/>
      <c r="AK914" s="957"/>
      <c r="AL914" s="957"/>
      <c r="AM914" s="957"/>
      <c r="AN914" s="957"/>
      <c r="AO914" s="957"/>
      <c r="AP914" s="957"/>
      <c r="AQ914" s="957"/>
      <c r="AR914" s="957"/>
      <c r="AS914" s="957"/>
      <c r="AT914" s="957"/>
      <c r="AU914" s="957"/>
      <c r="AV914" s="957"/>
      <c r="AW914" s="957"/>
      <c r="AX914" s="957"/>
      <c r="AY914" s="957"/>
      <c r="AZ914" s="957"/>
      <c r="BA914" s="957"/>
      <c r="BB914" s="957"/>
      <c r="BC914" s="957"/>
      <c r="BD914" s="957"/>
      <c r="BE914" s="957"/>
      <c r="BF914" s="957"/>
      <c r="BG914" s="957"/>
    </row>
    <row r="915" spans="1:113">
      <c r="A915" s="2172"/>
      <c r="B915" s="2161"/>
      <c r="C915" s="2144"/>
      <c r="D915" s="452" t="s">
        <v>559</v>
      </c>
      <c r="E915" s="88">
        <v>6</v>
      </c>
      <c r="F915" s="148" t="s">
        <v>15</v>
      </c>
      <c r="G915" s="148" t="s">
        <v>15</v>
      </c>
      <c r="H915" s="367">
        <v>21150</v>
      </c>
      <c r="I915" s="368">
        <v>7987.59</v>
      </c>
      <c r="J915" s="234" t="s">
        <v>15</v>
      </c>
      <c r="K915" s="233" t="s">
        <v>15</v>
      </c>
      <c r="L915" s="234" t="s">
        <v>15</v>
      </c>
      <c r="M915" s="233" t="s">
        <v>15</v>
      </c>
      <c r="N915" s="1194">
        <v>9334.0328000000009</v>
      </c>
      <c r="O915" s="142">
        <v>4.2</v>
      </c>
      <c r="P915" s="142">
        <v>2223.97183</v>
      </c>
      <c r="Q915" s="128">
        <v>1.9E-2</v>
      </c>
      <c r="R915" s="2129"/>
      <c r="S915" s="154" t="s">
        <v>1435</v>
      </c>
      <c r="T915" s="202" t="s">
        <v>140</v>
      </c>
      <c r="U915" s="859"/>
      <c r="V915" s="2164"/>
      <c r="W915" s="720" t="s">
        <v>49</v>
      </c>
      <c r="X915" s="291" t="s">
        <v>1181</v>
      </c>
      <c r="Y915" s="538">
        <f>((250*$R$912)+(0.94*$R$913)+$R$914+$T$919)*(1+$T$921)</f>
        <v>10075.138226010009</v>
      </c>
      <c r="Z915" s="2254"/>
      <c r="AA915" s="2382"/>
      <c r="AB915" s="848"/>
      <c r="AC915" s="26"/>
      <c r="AD915" s="24"/>
      <c r="AE915" s="26"/>
      <c r="AF915" s="658" t="s">
        <v>49</v>
      </c>
      <c r="AG915" s="291" t="s">
        <v>581</v>
      </c>
      <c r="AH915" s="996">
        <f>((250*$R$912)+(0.94*$R$913)+$R$914+$T$919)*1.3</f>
        <v>10075.138226010009</v>
      </c>
      <c r="AI915" s="957"/>
      <c r="AJ915" s="957"/>
      <c r="AK915" s="957"/>
      <c r="AL915" s="957"/>
      <c r="AM915" s="957"/>
      <c r="AN915" s="957"/>
      <c r="AO915" s="957"/>
      <c r="AP915" s="957"/>
      <c r="AQ915" s="957"/>
      <c r="AR915" s="957"/>
      <c r="AS915" s="957"/>
      <c r="AT915" s="957"/>
      <c r="AU915" s="957"/>
      <c r="AV915" s="957"/>
      <c r="AW915" s="957"/>
      <c r="AX915" s="957"/>
      <c r="AY915" s="957"/>
      <c r="AZ915" s="957"/>
      <c r="BA915" s="957"/>
      <c r="BB915" s="957"/>
      <c r="BC915" s="957"/>
      <c r="BD915" s="957"/>
      <c r="BE915" s="957"/>
      <c r="BF915" s="957"/>
      <c r="BG915" s="957"/>
    </row>
    <row r="916" spans="1:113">
      <c r="A916" s="2172"/>
      <c r="B916" s="2161"/>
      <c r="C916" s="2144"/>
      <c r="D916" s="452" t="s">
        <v>560</v>
      </c>
      <c r="E916" s="88">
        <v>10</v>
      </c>
      <c r="F916" s="148" t="s">
        <v>15</v>
      </c>
      <c r="G916" s="148" t="s">
        <v>15</v>
      </c>
      <c r="H916" s="367">
        <v>24822</v>
      </c>
      <c r="I916" s="368">
        <v>10435.700000000001</v>
      </c>
      <c r="J916" s="234" t="s">
        <v>15</v>
      </c>
      <c r="K916" s="233" t="s">
        <v>15</v>
      </c>
      <c r="L916" s="234" t="s">
        <v>15</v>
      </c>
      <c r="M916" s="233" t="s">
        <v>15</v>
      </c>
      <c r="N916" s="1194">
        <v>10692.9085</v>
      </c>
      <c r="O916" s="142">
        <v>5.99</v>
      </c>
      <c r="P916" s="142">
        <v>1784.9397200000001</v>
      </c>
      <c r="Q916" s="128">
        <v>5.0000000000000001E-3</v>
      </c>
      <c r="R916" s="2129"/>
      <c r="S916" s="135" t="s">
        <v>74</v>
      </c>
      <c r="T916" s="203" t="s">
        <v>75</v>
      </c>
      <c r="U916" s="858"/>
      <c r="V916" s="24"/>
      <c r="W916" s="26"/>
      <c r="X916" s="26"/>
      <c r="Y916" s="26"/>
      <c r="Z916" s="27"/>
      <c r="AA916" s="27"/>
      <c r="AC916" s="26"/>
      <c r="AD916" s="24"/>
      <c r="AE916" s="26"/>
      <c r="AF916" s="75"/>
      <c r="AG916" s="26"/>
      <c r="AH916" s="957"/>
      <c r="AI916" s="957"/>
      <c r="AJ916" s="957"/>
      <c r="AK916" s="957"/>
      <c r="AL916" s="957"/>
      <c r="AM916" s="957"/>
      <c r="AN916" s="957"/>
      <c r="AO916" s="957"/>
      <c r="AP916" s="957"/>
      <c r="AQ916" s="957"/>
      <c r="AR916" s="957"/>
      <c r="AS916" s="957"/>
      <c r="AT916" s="957"/>
      <c r="AU916" s="957"/>
      <c r="AV916" s="957"/>
      <c r="AW916" s="957"/>
      <c r="AX916" s="957"/>
      <c r="AY916" s="957"/>
      <c r="AZ916" s="957"/>
      <c r="BA916" s="957"/>
      <c r="BB916" s="957"/>
      <c r="BC916" s="957"/>
      <c r="BD916" s="957"/>
      <c r="BE916" s="957"/>
      <c r="BF916" s="957"/>
      <c r="BG916" s="957"/>
    </row>
    <row r="917" spans="1:113">
      <c r="A917" s="2172"/>
      <c r="B917" s="2161"/>
      <c r="C917" s="2144"/>
      <c r="D917" s="95" t="s">
        <v>578</v>
      </c>
      <c r="E917" s="88">
        <v>8</v>
      </c>
      <c r="F917" s="148" t="s">
        <v>15</v>
      </c>
      <c r="G917" s="148" t="s">
        <v>15</v>
      </c>
      <c r="H917" s="367">
        <v>14288.38</v>
      </c>
      <c r="I917" s="368">
        <v>6834.79</v>
      </c>
      <c r="J917" s="234" t="s">
        <v>15</v>
      </c>
      <c r="K917" s="233" t="s">
        <v>15</v>
      </c>
      <c r="L917" s="234" t="s">
        <v>15</v>
      </c>
      <c r="M917" s="233" t="s">
        <v>15</v>
      </c>
      <c r="N917" s="1194">
        <v>-778.28890000000001</v>
      </c>
      <c r="O917" s="142">
        <v>-0.39</v>
      </c>
      <c r="P917" s="142">
        <v>2000.15065</v>
      </c>
      <c r="Q917" s="128">
        <v>0</v>
      </c>
      <c r="R917" s="2252"/>
      <c r="S917" s="86">
        <v>38</v>
      </c>
      <c r="T917" s="204" t="s">
        <v>15</v>
      </c>
      <c r="U917" s="854"/>
      <c r="V917" s="24"/>
      <c r="W917" s="26"/>
      <c r="X917" s="26"/>
      <c r="Y917" s="26"/>
      <c r="Z917" s="26"/>
      <c r="AA917" s="26"/>
      <c r="AC917" s="26"/>
      <c r="AD917" s="24"/>
      <c r="AE917" s="26"/>
      <c r="AF917" s="75"/>
      <c r="AG917" s="26"/>
      <c r="AH917" s="957"/>
      <c r="AI917" s="957"/>
      <c r="AJ917" s="957"/>
      <c r="AK917" s="957"/>
      <c r="AL917" s="957"/>
      <c r="AM917" s="957"/>
      <c r="AN917" s="957"/>
      <c r="AO917" s="957"/>
      <c r="AP917" s="957"/>
      <c r="AQ917" s="957"/>
      <c r="AR917" s="957"/>
      <c r="AS917" s="957"/>
      <c r="AT917" s="957"/>
      <c r="AU917" s="957"/>
      <c r="AV917" s="957"/>
      <c r="AW917" s="957"/>
      <c r="AX917" s="957"/>
      <c r="AY917" s="957"/>
      <c r="AZ917" s="957"/>
      <c r="BA917" s="957"/>
      <c r="BB917" s="957"/>
      <c r="BC917" s="957"/>
      <c r="BD917" s="957"/>
      <c r="BE917" s="957"/>
      <c r="BF917" s="957"/>
      <c r="BG917" s="957"/>
    </row>
    <row r="918" spans="1:113">
      <c r="A918" s="2172"/>
      <c r="B918" s="2161"/>
      <c r="C918" s="2144"/>
      <c r="D918" s="95" t="s">
        <v>562</v>
      </c>
      <c r="E918" s="88">
        <v>9</v>
      </c>
      <c r="F918" s="148" t="s">
        <v>15</v>
      </c>
      <c r="G918" s="148" t="s">
        <v>15</v>
      </c>
      <c r="H918" s="367">
        <v>3363.22</v>
      </c>
      <c r="I918" s="368">
        <v>1172.0899999999999</v>
      </c>
      <c r="J918" s="234" t="s">
        <v>15</v>
      </c>
      <c r="K918" s="233" t="s">
        <v>15</v>
      </c>
      <c r="L918" s="234" t="s">
        <v>15</v>
      </c>
      <c r="M918" s="233" t="s">
        <v>15</v>
      </c>
      <c r="N918" s="1194">
        <v>0</v>
      </c>
      <c r="O918" s="146" t="s">
        <v>204</v>
      </c>
      <c r="P918" s="146" t="s">
        <v>204</v>
      </c>
      <c r="Q918" s="128">
        <v>0</v>
      </c>
      <c r="R918" s="2252"/>
      <c r="S918" s="127" t="s">
        <v>41</v>
      </c>
      <c r="T918" s="203" t="s">
        <v>42</v>
      </c>
      <c r="U918" s="858"/>
      <c r="V918" s="24"/>
      <c r="W918" s="26"/>
      <c r="X918" s="26"/>
      <c r="Y918" s="26"/>
      <c r="Z918" s="26"/>
      <c r="AA918" s="26"/>
      <c r="AC918" s="26"/>
      <c r="AD918" s="24"/>
      <c r="AE918" s="26"/>
      <c r="AF918" s="75"/>
      <c r="AG918" s="26"/>
      <c r="AH918" s="957"/>
      <c r="AI918" s="957"/>
      <c r="AJ918" s="957"/>
      <c r="AK918" s="957"/>
      <c r="AL918" s="957"/>
      <c r="AM918" s="957"/>
      <c r="AN918" s="957"/>
      <c r="AO918" s="957"/>
      <c r="AP918" s="957"/>
      <c r="AQ918" s="957"/>
      <c r="AR918" s="957"/>
      <c r="AS918" s="957"/>
      <c r="AT918" s="957"/>
      <c r="AU918" s="957"/>
      <c r="AV918" s="957"/>
      <c r="AW918" s="957"/>
      <c r="AX918" s="957"/>
      <c r="AY918" s="957"/>
      <c r="AZ918" s="957"/>
      <c r="BA918" s="957"/>
      <c r="BB918" s="957"/>
      <c r="BC918" s="957"/>
      <c r="BD918" s="957"/>
      <c r="BE918" s="957"/>
      <c r="BF918" s="957"/>
      <c r="BG918" s="957"/>
    </row>
    <row r="919" spans="1:113">
      <c r="A919" s="2172"/>
      <c r="B919" s="2116" t="s">
        <v>194</v>
      </c>
      <c r="C919" s="41"/>
      <c r="D919" s="26"/>
      <c r="E919" s="26"/>
      <c r="F919" s="26"/>
      <c r="G919" s="26"/>
      <c r="H919" s="26"/>
      <c r="I919" s="26"/>
      <c r="J919" s="75"/>
      <c r="K919" s="26"/>
      <c r="L919" s="75"/>
      <c r="M919" s="26"/>
      <c r="N919" s="1205"/>
      <c r="O919" s="467"/>
      <c r="P919" s="467"/>
      <c r="Q919" s="252"/>
      <c r="R919" s="246"/>
      <c r="S919" s="357">
        <v>0.94345999999999997</v>
      </c>
      <c r="T919" s="157">
        <v>-129921.14</v>
      </c>
      <c r="U919" s="861"/>
      <c r="V919" s="24"/>
      <c r="W919" s="26"/>
      <c r="X919" s="26"/>
      <c r="Y919" s="26"/>
      <c r="Z919" s="26"/>
      <c r="AA919" s="26"/>
      <c r="AC919" s="26"/>
      <c r="AD919" s="24"/>
      <c r="AE919" s="26"/>
      <c r="AF919" s="75"/>
      <c r="AG919" s="26"/>
      <c r="AH919" s="957"/>
      <c r="AI919" s="957"/>
      <c r="AJ919" s="957"/>
      <c r="AK919" s="957"/>
      <c r="AL919" s="957"/>
      <c r="AM919" s="957"/>
      <c r="AN919" s="957"/>
      <c r="AO919" s="957"/>
      <c r="AP919" s="957"/>
      <c r="AQ919" s="957"/>
      <c r="AR919" s="957"/>
      <c r="AS919" s="957"/>
      <c r="AT919" s="957"/>
      <c r="AU919" s="957"/>
      <c r="AV919" s="957"/>
      <c r="AW919" s="957"/>
      <c r="AX919" s="957"/>
      <c r="AY919" s="957"/>
      <c r="AZ919" s="957"/>
      <c r="BA919" s="957"/>
      <c r="BB919" s="957"/>
      <c r="BC919" s="957"/>
      <c r="BD919" s="957"/>
      <c r="BE919" s="957"/>
      <c r="BF919" s="957"/>
      <c r="BG919" s="957"/>
    </row>
    <row r="920" spans="1:113" ht="15" customHeight="1">
      <c r="A920" s="2172"/>
      <c r="B920" s="2117"/>
      <c r="C920" s="41"/>
      <c r="D920" s="26"/>
      <c r="E920" s="26"/>
      <c r="F920" s="26"/>
      <c r="G920" s="26"/>
      <c r="H920" s="26"/>
      <c r="I920" s="26"/>
      <c r="J920" s="75"/>
      <c r="K920" s="26"/>
      <c r="L920" s="75"/>
      <c r="M920" s="26"/>
      <c r="N920" s="1205"/>
      <c r="O920" s="467"/>
      <c r="P920" s="467"/>
      <c r="Q920" s="252"/>
      <c r="R920" s="252"/>
      <c r="S920" s="118" t="s">
        <v>235</v>
      </c>
      <c r="T920" s="201" t="s">
        <v>391</v>
      </c>
      <c r="U920" s="855"/>
      <c r="V920" s="24"/>
      <c r="W920" s="26"/>
      <c r="X920" s="26"/>
      <c r="Y920" s="26"/>
      <c r="Z920" s="26"/>
      <c r="AA920" s="26"/>
      <c r="AC920" s="26"/>
      <c r="AD920" s="24"/>
      <c r="AE920" s="26"/>
      <c r="AF920" s="75"/>
      <c r="AG920" s="26"/>
      <c r="AH920" s="957"/>
      <c r="AI920" s="957"/>
      <c r="AJ920" s="957"/>
      <c r="AK920" s="957"/>
      <c r="AL920" s="957"/>
      <c r="AM920" s="957"/>
      <c r="AN920" s="957"/>
      <c r="AO920" s="957"/>
      <c r="AP920" s="957"/>
      <c r="AQ920" s="957"/>
      <c r="AR920" s="957"/>
      <c r="AS920" s="957"/>
      <c r="AT920" s="957"/>
      <c r="AU920" s="957"/>
      <c r="AV920" s="957"/>
      <c r="AW920" s="957"/>
      <c r="AX920" s="957"/>
      <c r="AY920" s="957"/>
      <c r="AZ920" s="957"/>
      <c r="BA920" s="957"/>
      <c r="BB920" s="957"/>
      <c r="BC920" s="957"/>
      <c r="BD920" s="957"/>
      <c r="BE920" s="957"/>
      <c r="BF920" s="957"/>
      <c r="BG920" s="957"/>
    </row>
    <row r="921" spans="1:113" ht="15.75" thickBot="1">
      <c r="A921" s="2172"/>
      <c r="B921" s="2118"/>
      <c r="C921" s="41"/>
      <c r="D921" s="26"/>
      <c r="E921" s="26"/>
      <c r="F921" s="26"/>
      <c r="G921" s="26"/>
      <c r="H921" s="26"/>
      <c r="I921" s="26"/>
      <c r="J921" s="75"/>
      <c r="K921" s="26"/>
      <c r="L921" s="75"/>
      <c r="M921" s="26"/>
      <c r="N921" s="1205"/>
      <c r="O921" s="467"/>
      <c r="P921" s="467"/>
      <c r="Q921" s="252"/>
      <c r="R921" s="252"/>
      <c r="S921" s="142">
        <v>2196.163</v>
      </c>
      <c r="T921" s="207">
        <v>0.3</v>
      </c>
      <c r="U921" s="862"/>
      <c r="V921" s="24"/>
      <c r="W921" s="26"/>
      <c r="X921" s="26"/>
      <c r="Y921" s="26"/>
      <c r="Z921" s="184"/>
      <c r="AA921" s="764"/>
      <c r="AC921" s="26"/>
      <c r="AD921" s="240"/>
      <c r="AE921" s="764"/>
      <c r="AF921" s="75"/>
      <c r="AG921" s="26"/>
      <c r="AH921" s="957"/>
      <c r="AI921" s="957"/>
      <c r="AJ921" s="957"/>
      <c r="AK921" s="957"/>
      <c r="AL921" s="957"/>
      <c r="AM921" s="957"/>
      <c r="AN921" s="957"/>
      <c r="AO921" s="957"/>
      <c r="AP921" s="957"/>
      <c r="AQ921" s="957"/>
      <c r="AR921" s="957"/>
      <c r="AS921" s="957"/>
      <c r="AT921" s="957"/>
      <c r="AU921" s="957"/>
      <c r="AV921" s="957"/>
      <c r="AW921" s="957"/>
      <c r="AX921" s="957"/>
      <c r="AY921" s="957"/>
      <c r="AZ921" s="957"/>
      <c r="BA921" s="957"/>
      <c r="BB921" s="957"/>
      <c r="BC921" s="957"/>
      <c r="BD921" s="957"/>
      <c r="BE921" s="957"/>
      <c r="BF921" s="957"/>
      <c r="BG921" s="957"/>
    </row>
    <row r="922" spans="1:113" s="808" customFormat="1" ht="25.5" customHeight="1" thickBot="1">
      <c r="A922" s="721" t="s">
        <v>1111</v>
      </c>
      <c r="B922" s="1054"/>
      <c r="C922" s="684"/>
      <c r="D922" s="683"/>
      <c r="E922" s="683"/>
      <c r="F922" s="683"/>
      <c r="G922" s="683"/>
      <c r="H922" s="683"/>
      <c r="I922" s="683"/>
      <c r="J922" s="682"/>
      <c r="K922" s="683"/>
      <c r="L922" s="682"/>
      <c r="M922" s="685"/>
      <c r="N922" s="1189"/>
      <c r="O922" s="686"/>
      <c r="P922" s="686"/>
      <c r="Q922" s="687"/>
      <c r="R922" s="687"/>
      <c r="S922" s="688"/>
      <c r="T922" s="688"/>
      <c r="U922" s="891"/>
      <c r="V922" s="893"/>
      <c r="W922" s="685"/>
      <c r="X922" s="685"/>
      <c r="Y922" s="688"/>
      <c r="Z922" s="688"/>
      <c r="AA922" s="688"/>
      <c r="AB922" s="853"/>
      <c r="AC922" s="685"/>
      <c r="AD922" s="685"/>
      <c r="AE922" s="685"/>
      <c r="AF922" s="689"/>
      <c r="AG922" s="685"/>
      <c r="AH922" s="959"/>
      <c r="AI922" s="959"/>
      <c r="AJ922" s="959"/>
      <c r="AK922" s="959"/>
      <c r="AL922" s="959"/>
      <c r="AM922" s="959"/>
      <c r="AN922" s="959"/>
      <c r="AO922" s="959"/>
      <c r="AP922" s="959"/>
      <c r="AQ922" s="959"/>
      <c r="AR922" s="959" t="s">
        <v>321</v>
      </c>
      <c r="AS922" s="959" t="s">
        <v>322</v>
      </c>
      <c r="AT922" s="959"/>
      <c r="AU922" s="959"/>
      <c r="AV922" s="959"/>
      <c r="AW922" s="959"/>
      <c r="AX922" s="959"/>
      <c r="AY922" s="959"/>
      <c r="AZ922" s="959"/>
      <c r="BA922" s="959"/>
      <c r="BB922" s="959"/>
      <c r="BC922" s="959"/>
      <c r="BD922" s="959"/>
      <c r="BE922" s="959"/>
      <c r="BF922" s="959"/>
      <c r="BG922" s="959"/>
      <c r="BH922" s="1126"/>
      <c r="DI922" s="740"/>
    </row>
    <row r="923" spans="1:113" ht="15" customHeight="1">
      <c r="A923" s="2200" t="s">
        <v>150</v>
      </c>
      <c r="B923" s="994" t="s">
        <v>151</v>
      </c>
      <c r="C923" s="990" t="s">
        <v>12</v>
      </c>
      <c r="D923" s="969" t="s">
        <v>156</v>
      </c>
      <c r="E923" s="970">
        <v>41</v>
      </c>
      <c r="F923" s="971">
        <v>22.390239999999999</v>
      </c>
      <c r="G923" s="971">
        <v>7.7842089999999997</v>
      </c>
      <c r="H923" s="972">
        <v>0.34658499999999998</v>
      </c>
      <c r="I923" s="973">
        <v>0.13597100000000001</v>
      </c>
      <c r="J923" s="974" t="s">
        <v>14</v>
      </c>
      <c r="K923" s="1155" t="s">
        <v>157</v>
      </c>
      <c r="L923" s="974" t="s">
        <v>14</v>
      </c>
      <c r="M923" s="1155" t="s">
        <v>158</v>
      </c>
      <c r="N923" s="1225">
        <v>1.3670344399999999E-2</v>
      </c>
      <c r="O923" s="442">
        <v>7.48</v>
      </c>
      <c r="P923" s="975">
        <v>1.82826E-3</v>
      </c>
      <c r="Q923" s="976" t="s">
        <v>15</v>
      </c>
      <c r="R923" s="258">
        <f>N923</f>
        <v>1.3670344399999999E-2</v>
      </c>
      <c r="S923" s="124" t="s">
        <v>68</v>
      </c>
      <c r="T923" s="125" t="s">
        <v>69</v>
      </c>
      <c r="U923" s="858"/>
      <c r="V923" s="2162" t="s">
        <v>2749</v>
      </c>
      <c r="W923" s="66" t="s">
        <v>47</v>
      </c>
      <c r="X923" s="66" t="s">
        <v>173</v>
      </c>
      <c r="Y923" s="1060" t="s">
        <v>40</v>
      </c>
      <c r="Z923" s="1061" t="s">
        <v>40</v>
      </c>
      <c r="AA923" s="1061" t="s">
        <v>40</v>
      </c>
      <c r="AB923" s="922"/>
      <c r="AC923" s="977"/>
      <c r="AD923" s="2150" t="s">
        <v>142</v>
      </c>
      <c r="AE923" s="2151"/>
      <c r="AF923" s="953" t="s">
        <v>129</v>
      </c>
      <c r="AG923" s="940" t="s">
        <v>288</v>
      </c>
      <c r="AH923" s="300">
        <f>($T$930+11*$R$923+$R$928+$R$930+$R$931)*(1+$T$932)</f>
        <v>0.18024888377853657</v>
      </c>
      <c r="AI923" s="978"/>
      <c r="AJ923" s="978"/>
      <c r="AK923" s="978">
        <v>0.32</v>
      </c>
      <c r="AL923" s="978">
        <v>0.33</v>
      </c>
      <c r="AM923" s="978"/>
      <c r="AN923" s="978"/>
      <c r="AO923" s="978"/>
      <c r="AP923" s="978"/>
      <c r="AQ923" s="732"/>
      <c r="AR923" s="731">
        <f t="shared" ref="AR923:AR934" si="43">AH923-AVERAGE(AI923:AP923)</f>
        <v>-0.14475111622146344</v>
      </c>
      <c r="AS923" s="938">
        <f t="shared" ref="AS923:AS934" si="44">AR923/AVERAGE(AI923:AP923)</f>
        <v>-0.44538804991219522</v>
      </c>
      <c r="AT923" s="1012"/>
      <c r="AU923" s="1012"/>
      <c r="AV923" s="1012"/>
      <c r="AW923" s="1012"/>
      <c r="AX923" s="1012"/>
      <c r="AY923" s="1012"/>
      <c r="AZ923" s="1012"/>
      <c r="BA923" s="1012"/>
      <c r="BB923" s="1012"/>
      <c r="BC923" s="1012"/>
      <c r="BD923" s="1012"/>
      <c r="BE923" s="1012"/>
      <c r="BF923" s="1012"/>
      <c r="BG923" s="1012"/>
    </row>
    <row r="924" spans="1:113">
      <c r="A924" s="2172"/>
      <c r="B924" s="2177" t="s">
        <v>152</v>
      </c>
      <c r="C924" s="2179" t="s">
        <v>11</v>
      </c>
      <c r="D924" s="47" t="s">
        <v>33</v>
      </c>
      <c r="E924" s="59">
        <v>9</v>
      </c>
      <c r="F924" s="92" t="s">
        <v>15</v>
      </c>
      <c r="G924" s="92" t="s">
        <v>15</v>
      </c>
      <c r="H924" s="60">
        <v>0.41333300000000001</v>
      </c>
      <c r="I924" s="61">
        <v>0.16431699999999999</v>
      </c>
      <c r="J924" s="1089" t="s">
        <v>15</v>
      </c>
      <c r="K924" s="1090" t="s">
        <v>15</v>
      </c>
      <c r="L924" s="1089" t="s">
        <v>15</v>
      </c>
      <c r="M924" s="1090" t="s">
        <v>15</v>
      </c>
      <c r="N924" s="461">
        <v>0.1155007523</v>
      </c>
      <c r="O924" s="133">
        <v>4.91</v>
      </c>
      <c r="P924" s="486">
        <v>2.3514230000000001E-2</v>
      </c>
      <c r="Q924" s="248">
        <f t="shared" ref="Q924:Q929" si="45">E924/$E$923</f>
        <v>0.21951219512195122</v>
      </c>
      <c r="R924" s="2197">
        <f>SUMPRODUCT(N924:N925,Q924:Q925)</f>
        <v>2.5353823675609757E-2</v>
      </c>
      <c r="S924" s="452" t="s">
        <v>159</v>
      </c>
      <c r="T924" s="117" t="s">
        <v>132</v>
      </c>
      <c r="U924" s="854"/>
      <c r="V924" s="2163"/>
      <c r="W924" s="34" t="s">
        <v>49</v>
      </c>
      <c r="X924" s="34" t="s">
        <v>160</v>
      </c>
      <c r="Y924" s="165">
        <f>($T$930+30*$R$923+$R$924+$R$926+$R$928+$R$930+$R$931)*(1+$T$932)</f>
        <v>0.52938197739219506</v>
      </c>
      <c r="Z924" s="165">
        <f t="shared" ref="Z924:Z936" si="46">Y924</f>
        <v>0.52938197739219506</v>
      </c>
      <c r="AA924" s="166">
        <f t="shared" ref="AA924:AA936" si="47">($S$932/$H$923)*Y924</f>
        <v>4.5822696659595347E-2</v>
      </c>
      <c r="AB924" s="923"/>
      <c r="AC924" s="911"/>
      <c r="AD924" s="49" t="s">
        <v>98</v>
      </c>
      <c r="AE924" s="276">
        <f>AVERAGE(AS923:AS934)</f>
        <v>-0.47072581756155391</v>
      </c>
      <c r="AF924" s="33" t="s">
        <v>129</v>
      </c>
      <c r="AG924" s="46" t="s">
        <v>289</v>
      </c>
      <c r="AH924" s="165">
        <f>($T$930+11*$R$923+$N$926+$R$928+$R$930+$R$931)*(1+$T$932)</f>
        <v>0.23785103741853658</v>
      </c>
      <c r="AI924" s="309"/>
      <c r="AJ924" s="309"/>
      <c r="AK924" s="309"/>
      <c r="AL924" s="309"/>
      <c r="AM924" s="309">
        <v>0.49</v>
      </c>
      <c r="AN924" s="309">
        <v>0.43</v>
      </c>
      <c r="AO924" s="309"/>
      <c r="AP924" s="309"/>
      <c r="AQ924" s="732"/>
      <c r="AR924" s="731">
        <f t="shared" si="43"/>
        <v>-0.22214896258146338</v>
      </c>
      <c r="AS924" s="938">
        <f t="shared" si="44"/>
        <v>-0.48293252735100739</v>
      </c>
      <c r="AT924" s="1012"/>
      <c r="AU924" s="1012"/>
      <c r="AV924" s="1012"/>
      <c r="AW924" s="1012"/>
      <c r="AX924" s="1012"/>
      <c r="AY924" s="1012"/>
      <c r="AZ924" s="1012"/>
      <c r="BA924" s="1012"/>
      <c r="BB924" s="1012"/>
      <c r="BC924" s="1012"/>
      <c r="BD924" s="1012"/>
      <c r="BE924" s="1012"/>
      <c r="BF924" s="1012"/>
      <c r="BG924" s="1012"/>
    </row>
    <row r="925" spans="1:113">
      <c r="A925" s="2172"/>
      <c r="B925" s="2178"/>
      <c r="C925" s="2180"/>
      <c r="D925" s="47" t="s">
        <v>32</v>
      </c>
      <c r="E925" s="59">
        <v>32</v>
      </c>
      <c r="F925" s="92" t="s">
        <v>15</v>
      </c>
      <c r="G925" s="92" t="s">
        <v>15</v>
      </c>
      <c r="H925" s="60">
        <v>0.32781300000000002</v>
      </c>
      <c r="I925" s="61">
        <v>0.12341199999999999</v>
      </c>
      <c r="J925" s="1089" t="s">
        <v>15</v>
      </c>
      <c r="K925" s="1090" t="s">
        <v>15</v>
      </c>
      <c r="L925" s="1089" t="s">
        <v>15</v>
      </c>
      <c r="M925" s="1090" t="s">
        <v>15</v>
      </c>
      <c r="N925" s="1226">
        <v>0</v>
      </c>
      <c r="O925" s="455" t="s">
        <v>204</v>
      </c>
      <c r="P925" s="144" t="s">
        <v>204</v>
      </c>
      <c r="Q925" s="248">
        <f t="shared" si="45"/>
        <v>0.78048780487804881</v>
      </c>
      <c r="R925" s="2198"/>
      <c r="S925" s="127" t="s">
        <v>72</v>
      </c>
      <c r="T925" s="119" t="s">
        <v>119</v>
      </c>
      <c r="U925" s="855"/>
      <c r="V925" s="2163"/>
      <c r="W925" s="34" t="s">
        <v>49</v>
      </c>
      <c r="X925" s="34" t="s">
        <v>161</v>
      </c>
      <c r="Y925" s="165">
        <f>($T$930+38*$R$923+$R$924+$R$926+$R$928+$R$930+$R$931)*(1+$T$932)</f>
        <v>0.66061728363219496</v>
      </c>
      <c r="Z925" s="165">
        <f t="shared" si="46"/>
        <v>0.66061728363219496</v>
      </c>
      <c r="AA925" s="166">
        <f t="shared" si="47"/>
        <v>5.7182274215461862E-2</v>
      </c>
      <c r="AB925" s="923"/>
      <c r="AC925" s="911"/>
      <c r="AD925" s="49" t="s">
        <v>143</v>
      </c>
      <c r="AE925" s="276">
        <f>STDEV(AS923:AS934)</f>
        <v>8.5064351466715191E-2</v>
      </c>
      <c r="AF925" s="33" t="s">
        <v>129</v>
      </c>
      <c r="AG925" s="46" t="s">
        <v>290</v>
      </c>
      <c r="AH925" s="165">
        <f>($T$930+19*$R$923+$R$928+$R$930+$R$931)*(1+$T$932)</f>
        <v>0.31148419001853661</v>
      </c>
      <c r="AI925" s="309">
        <v>0.52993548387096778</v>
      </c>
      <c r="AJ925" s="309"/>
      <c r="AK925" s="309">
        <v>0.56999999999999995</v>
      </c>
      <c r="AL925" s="309"/>
      <c r="AM925" s="309"/>
      <c r="AN925" s="309"/>
      <c r="AO925" s="309"/>
      <c r="AP925" s="309"/>
      <c r="AQ925" s="732"/>
      <c r="AR925" s="731">
        <f t="shared" si="43"/>
        <v>-0.2384835519169472</v>
      </c>
      <c r="AS925" s="938">
        <f t="shared" si="44"/>
        <v>-0.43363189098629623</v>
      </c>
      <c r="AT925" s="1012"/>
      <c r="AU925" s="1012"/>
      <c r="AV925" s="1012"/>
      <c r="AW925" s="1012"/>
      <c r="AX925" s="1012"/>
      <c r="AY925" s="1012"/>
      <c r="AZ925" s="1012"/>
      <c r="BA925" s="1012"/>
      <c r="BB925" s="1012"/>
      <c r="BC925" s="1012"/>
      <c r="BD925" s="1012"/>
      <c r="BE925" s="1012"/>
      <c r="BF925" s="1012"/>
      <c r="BG925" s="1012"/>
    </row>
    <row r="926" spans="1:113">
      <c r="A926" s="2172"/>
      <c r="B926" s="2177" t="s">
        <v>232</v>
      </c>
      <c r="C926" s="2179" t="s">
        <v>11</v>
      </c>
      <c r="D926" s="62" t="s">
        <v>33</v>
      </c>
      <c r="E926" s="59">
        <v>5</v>
      </c>
      <c r="F926" s="92" t="s">
        <v>15</v>
      </c>
      <c r="G926" s="92" t="s">
        <v>15</v>
      </c>
      <c r="H926" s="60">
        <v>0.42199999999999999</v>
      </c>
      <c r="I926" s="61">
        <v>0.15578800000000001</v>
      </c>
      <c r="J926" s="1089" t="s">
        <v>15</v>
      </c>
      <c r="K926" s="1090" t="s">
        <v>15</v>
      </c>
      <c r="L926" s="1089" t="s">
        <v>15</v>
      </c>
      <c r="M926" s="1090" t="s">
        <v>15</v>
      </c>
      <c r="N926" s="1227">
        <v>4.8001794700000003E-2</v>
      </c>
      <c r="O926" s="133">
        <v>1.72</v>
      </c>
      <c r="P926" s="486">
        <v>2.7894209999999999E-2</v>
      </c>
      <c r="Q926" s="248">
        <f t="shared" si="45"/>
        <v>0.12195121951219512</v>
      </c>
      <c r="R926" s="2197">
        <f>SUMPRODUCT(N926:N927,Q926:Q927)</f>
        <v>5.8538774024390243E-3</v>
      </c>
      <c r="S926" s="411" t="s">
        <v>139</v>
      </c>
      <c r="T926" s="411" t="s">
        <v>140</v>
      </c>
      <c r="U926" s="859"/>
      <c r="V926" s="2163"/>
      <c r="W926" s="34" t="s">
        <v>49</v>
      </c>
      <c r="X926" s="34" t="s">
        <v>162</v>
      </c>
      <c r="Y926" s="165">
        <f>($T$930+11*$R$923+$R$924+$R$926+$R$928+$R$930+$R$931)*(1+$T$932)</f>
        <v>0.21769812507219513</v>
      </c>
      <c r="Z926" s="165">
        <f t="shared" si="46"/>
        <v>0.21769812507219513</v>
      </c>
      <c r="AA926" s="166">
        <f t="shared" si="47"/>
        <v>1.8843699964412351E-2</v>
      </c>
      <c r="AB926" s="923"/>
      <c r="AC926" s="911"/>
      <c r="AD926" s="49" t="s">
        <v>144</v>
      </c>
      <c r="AE926" s="276">
        <f>MIN(AS923:AS934)</f>
        <v>-0.65930515644967314</v>
      </c>
      <c r="AF926" s="33" t="s">
        <v>129</v>
      </c>
      <c r="AG926" s="46" t="s">
        <v>291</v>
      </c>
      <c r="AH926" s="165">
        <f>($T$930+19*$R$923+$N$926+$R$928+$R$930+$R$931)*(1+$T$932)</f>
        <v>0.3690863436585366</v>
      </c>
      <c r="AI926" s="309">
        <v>0.54993548387096769</v>
      </c>
      <c r="AJ926" s="309">
        <v>0.56999999999999995</v>
      </c>
      <c r="AK926" s="309">
        <v>0.6</v>
      </c>
      <c r="AL926" s="309"/>
      <c r="AM926" s="309"/>
      <c r="AN926" s="309"/>
      <c r="AO926" s="309"/>
      <c r="AP926" s="309"/>
      <c r="AQ926" s="732"/>
      <c r="AR926" s="731">
        <f t="shared" si="43"/>
        <v>-0.20422548429845261</v>
      </c>
      <c r="AS926" s="938">
        <f t="shared" si="44"/>
        <v>-0.35622060166840641</v>
      </c>
      <c r="AT926" s="1012"/>
      <c r="AU926" s="1012"/>
      <c r="AV926" s="1012"/>
      <c r="AW926" s="1012"/>
      <c r="AX926" s="1012"/>
      <c r="AY926" s="1012"/>
      <c r="AZ926" s="1012"/>
      <c r="BA926" s="1012"/>
      <c r="BB926" s="1012"/>
      <c r="BC926" s="1012"/>
      <c r="BD926" s="1012"/>
      <c r="BE926" s="1012"/>
      <c r="BF926" s="1012"/>
      <c r="BG926" s="1012"/>
    </row>
    <row r="927" spans="1:113">
      <c r="A927" s="2172"/>
      <c r="B927" s="2178"/>
      <c r="C927" s="2180"/>
      <c r="D927" s="62" t="s">
        <v>32</v>
      </c>
      <c r="E927" s="59">
        <v>36</v>
      </c>
      <c r="F927" s="92" t="s">
        <v>15</v>
      </c>
      <c r="G927" s="92" t="s">
        <v>15</v>
      </c>
      <c r="H927" s="60">
        <v>0.33611099999999999</v>
      </c>
      <c r="I927" s="61">
        <v>0.132023</v>
      </c>
      <c r="J927" s="1089" t="s">
        <v>15</v>
      </c>
      <c r="K927" s="1090" t="s">
        <v>15</v>
      </c>
      <c r="L927" s="1089" t="s">
        <v>15</v>
      </c>
      <c r="M927" s="1090" t="s">
        <v>15</v>
      </c>
      <c r="N927" s="1226">
        <v>0</v>
      </c>
      <c r="O927" s="455" t="s">
        <v>204</v>
      </c>
      <c r="P927" s="144" t="s">
        <v>204</v>
      </c>
      <c r="Q927" s="248">
        <f t="shared" si="45"/>
        <v>0.87804878048780488</v>
      </c>
      <c r="R927" s="2198"/>
      <c r="S927" s="127" t="s">
        <v>74</v>
      </c>
      <c r="T927" s="129" t="s">
        <v>75</v>
      </c>
      <c r="U927" s="858"/>
      <c r="V927" s="2163"/>
      <c r="W927" s="34" t="s">
        <v>49</v>
      </c>
      <c r="X927" s="34" t="s">
        <v>163</v>
      </c>
      <c r="Y927" s="165">
        <f>($T$930+19*$R$923+$R$924+$R$926+$R$928+$R$930+$R$931)*(1+$T$932)</f>
        <v>0.34893343131219512</v>
      </c>
      <c r="Z927" s="165">
        <f t="shared" si="46"/>
        <v>0.34893343131219512</v>
      </c>
      <c r="AA927" s="166">
        <f t="shared" si="47"/>
        <v>3.0203277520278876E-2</v>
      </c>
      <c r="AB927" s="923"/>
      <c r="AC927" s="911"/>
      <c r="AD927" s="50" t="s">
        <v>145</v>
      </c>
      <c r="AE927" s="276">
        <f>MAX(AS923:AS934)</f>
        <v>-0.35622060166840641</v>
      </c>
      <c r="AF927" s="33" t="s">
        <v>129</v>
      </c>
      <c r="AG927" s="46" t="s">
        <v>292</v>
      </c>
      <c r="AH927" s="165">
        <f>($T$930+30*$R$923+$R$928+$R$930+$R$931)*(1+$T$932)</f>
        <v>0.49193273609853655</v>
      </c>
      <c r="AI927" s="309"/>
      <c r="AJ927" s="309">
        <v>0.82</v>
      </c>
      <c r="AK927" s="309"/>
      <c r="AL927" s="309"/>
      <c r="AM927" s="309">
        <v>1.1399999999999999</v>
      </c>
      <c r="AN927" s="309"/>
      <c r="AO927" s="309"/>
      <c r="AP927" s="309"/>
      <c r="AQ927" s="732"/>
      <c r="AR927" s="731">
        <f t="shared" si="43"/>
        <v>-0.48806726390146343</v>
      </c>
      <c r="AS927" s="938">
        <f t="shared" si="44"/>
        <v>-0.49802782030761578</v>
      </c>
      <c r="AT927" s="1012"/>
      <c r="AU927" s="1012"/>
      <c r="AV927" s="1012"/>
      <c r="AW927" s="1012"/>
      <c r="AX927" s="1012"/>
      <c r="AY927" s="1012"/>
      <c r="AZ927" s="1012"/>
      <c r="BA927" s="1012"/>
      <c r="BB927" s="1012"/>
      <c r="BC927" s="1012"/>
      <c r="BD927" s="1012"/>
      <c r="BE927" s="1012"/>
      <c r="BF927" s="1012"/>
      <c r="BG927" s="1012"/>
    </row>
    <row r="928" spans="1:113">
      <c r="A928" s="2172"/>
      <c r="B928" s="2177" t="s">
        <v>153</v>
      </c>
      <c r="C928" s="2179" t="s">
        <v>13</v>
      </c>
      <c r="D928" s="12" t="s">
        <v>154</v>
      </c>
      <c r="E928" s="59">
        <v>21</v>
      </c>
      <c r="F928" s="92" t="s">
        <v>15</v>
      </c>
      <c r="G928" s="92" t="s">
        <v>15</v>
      </c>
      <c r="H928" s="60">
        <v>0.39095200000000002</v>
      </c>
      <c r="I928" s="61">
        <v>0.16201599999999999</v>
      </c>
      <c r="J928" s="1089" t="s">
        <v>15</v>
      </c>
      <c r="K928" s="1090" t="s">
        <v>15</v>
      </c>
      <c r="L928" s="1089" t="s">
        <v>15</v>
      </c>
      <c r="M928" s="1090" t="s">
        <v>15</v>
      </c>
      <c r="N928" s="461">
        <v>6.9781700599999996E-2</v>
      </c>
      <c r="O928" s="133">
        <v>4.05</v>
      </c>
      <c r="P928" s="486">
        <v>1.7224440000000001E-2</v>
      </c>
      <c r="Q928" s="248">
        <f t="shared" si="45"/>
        <v>0.51219512195121952</v>
      </c>
      <c r="R928" s="2197">
        <f>SUMPRODUCT(N928:N929,Q928:Q929)</f>
        <v>3.5741846648780488E-2</v>
      </c>
      <c r="S928" s="452">
        <v>41</v>
      </c>
      <c r="T928" s="411" t="s">
        <v>15</v>
      </c>
      <c r="U928" s="859"/>
      <c r="V928" s="2163"/>
      <c r="W928" s="34" t="s">
        <v>49</v>
      </c>
      <c r="X928" s="34" t="s">
        <v>164</v>
      </c>
      <c r="Y928" s="165">
        <f>($T$930+30*$R$923+$R$924+$R$926+$R$928+$R$930+$R$931)*(1+$T$932)</f>
        <v>0.52938197739219506</v>
      </c>
      <c r="Z928" s="165">
        <f t="shared" si="46"/>
        <v>0.52938197739219506</v>
      </c>
      <c r="AA928" s="166">
        <f t="shared" si="47"/>
        <v>4.5822696659595347E-2</v>
      </c>
      <c r="AB928" s="923"/>
      <c r="AC928" s="53"/>
      <c r="AD928" s="64"/>
      <c r="AE928" s="67"/>
      <c r="AF928" s="33" t="s">
        <v>129</v>
      </c>
      <c r="AG928" s="46" t="s">
        <v>293</v>
      </c>
      <c r="AH928" s="165">
        <f>($T$930+30*$R$923+$N$926+$R$928+$R$930+$R$931)*(1+$T$932)</f>
        <v>0.54953488973853659</v>
      </c>
      <c r="AI928" s="309">
        <v>0.90983466848474526</v>
      </c>
      <c r="AJ928" s="309">
        <v>0.93</v>
      </c>
      <c r="AK928" s="309">
        <v>0.91</v>
      </c>
      <c r="AL928" s="309"/>
      <c r="AM928" s="309"/>
      <c r="AN928" s="309"/>
      <c r="AO928" s="309"/>
      <c r="AP928" s="309"/>
      <c r="AQ928" s="732"/>
      <c r="AR928" s="731">
        <f t="shared" si="43"/>
        <v>-0.36707666642304515</v>
      </c>
      <c r="AS928" s="938">
        <f t="shared" si="44"/>
        <v>-0.40047134901966724</v>
      </c>
      <c r="AT928" s="1012"/>
      <c r="AU928" s="1012"/>
      <c r="AV928" s="1012"/>
      <c r="AW928" s="1012"/>
      <c r="AX928" s="1012"/>
      <c r="AY928" s="1012"/>
      <c r="AZ928" s="1012"/>
      <c r="BA928" s="1012"/>
      <c r="BB928" s="1012"/>
      <c r="BC928" s="1012"/>
      <c r="BD928" s="1012"/>
      <c r="BE928" s="1012"/>
      <c r="BF928" s="1012"/>
      <c r="BG928" s="1012"/>
    </row>
    <row r="929" spans="1:123">
      <c r="A929" s="2172"/>
      <c r="B929" s="2178"/>
      <c r="C929" s="2180"/>
      <c r="D929" s="12" t="s">
        <v>155</v>
      </c>
      <c r="E929" s="65">
        <v>20</v>
      </c>
      <c r="F929" s="92" t="s">
        <v>15</v>
      </c>
      <c r="G929" s="92" t="s">
        <v>15</v>
      </c>
      <c r="H929" s="60">
        <v>0.3</v>
      </c>
      <c r="I929" s="61">
        <v>8.2653000000000004E-2</v>
      </c>
      <c r="J929" s="1089" t="s">
        <v>15</v>
      </c>
      <c r="K929" s="1090" t="s">
        <v>15</v>
      </c>
      <c r="L929" s="1089" t="s">
        <v>15</v>
      </c>
      <c r="M929" s="1090" t="s">
        <v>15</v>
      </c>
      <c r="N929" s="1226">
        <v>0</v>
      </c>
      <c r="O929" s="455" t="s">
        <v>204</v>
      </c>
      <c r="P929" s="144" t="s">
        <v>204</v>
      </c>
      <c r="Q929" s="248">
        <f t="shared" si="45"/>
        <v>0.48780487804878048</v>
      </c>
      <c r="R929" s="2198"/>
      <c r="S929" s="127" t="s">
        <v>41</v>
      </c>
      <c r="T929" s="129" t="s">
        <v>42</v>
      </c>
      <c r="U929" s="858"/>
      <c r="V929" s="2163"/>
      <c r="W929" s="34" t="s">
        <v>49</v>
      </c>
      <c r="X929" s="34" t="s">
        <v>165</v>
      </c>
      <c r="Y929" s="165">
        <f>($T$930+19*$R$923+$R$924+$R$926+$R$928+$R$930+$R$931)*(1+$T$932)</f>
        <v>0.34893343131219512</v>
      </c>
      <c r="Z929" s="165">
        <f t="shared" si="46"/>
        <v>0.34893343131219512</v>
      </c>
      <c r="AA929" s="166">
        <f t="shared" si="47"/>
        <v>3.0203277520278876E-2</v>
      </c>
      <c r="AB929" s="923"/>
      <c r="AC929" s="53"/>
      <c r="AD929" s="63"/>
      <c r="AE929" s="53"/>
      <c r="AF929" s="33" t="s">
        <v>129</v>
      </c>
      <c r="AG929" s="46" t="s">
        <v>294</v>
      </c>
      <c r="AH929" s="165">
        <f>($T$930+30*$R$923+$N$924+$R$928+$R$930+$R$931)*(1+$T$932)</f>
        <v>0.63053363885853653</v>
      </c>
      <c r="AI929" s="309"/>
      <c r="AJ929" s="309"/>
      <c r="AK929" s="309"/>
      <c r="AL929" s="309"/>
      <c r="AM929" s="309"/>
      <c r="AN929" s="309"/>
      <c r="AO929" s="309">
        <v>0.7</v>
      </c>
      <c r="AP929" s="309">
        <v>1.58</v>
      </c>
      <c r="AQ929" s="732"/>
      <c r="AR929" s="731">
        <f t="shared" si="43"/>
        <v>-0.5094663611414636</v>
      </c>
      <c r="AS929" s="938">
        <f t="shared" si="44"/>
        <v>-0.44690031679075748</v>
      </c>
      <c r="AT929" s="1012"/>
      <c r="AU929" s="1012"/>
      <c r="AV929" s="1012"/>
      <c r="AW929" s="1012"/>
      <c r="AX929" s="1012"/>
      <c r="AY929" s="1012"/>
      <c r="AZ929" s="1012"/>
      <c r="BA929" s="1012"/>
      <c r="BB929" s="1012"/>
      <c r="BC929" s="1012"/>
      <c r="BD929" s="1012"/>
      <c r="BE929" s="1012"/>
      <c r="BF929" s="1012"/>
      <c r="BG929" s="1012"/>
    </row>
    <row r="930" spans="1:123">
      <c r="A930" s="2172"/>
      <c r="B930" s="991" t="s">
        <v>231</v>
      </c>
      <c r="C930" s="981" t="s">
        <v>12</v>
      </c>
      <c r="D930" s="35" t="s">
        <v>233</v>
      </c>
      <c r="E930" s="59">
        <v>41</v>
      </c>
      <c r="F930" s="91">
        <v>17.47561</v>
      </c>
      <c r="G930" s="91">
        <v>3.7294459999999998</v>
      </c>
      <c r="H930" s="60">
        <v>0.34658499999999998</v>
      </c>
      <c r="I930" s="61">
        <v>0.13597100000000001</v>
      </c>
      <c r="J930" s="1089" t="s">
        <v>15</v>
      </c>
      <c r="K930" s="1090" t="s">
        <v>15</v>
      </c>
      <c r="L930" s="1089" t="s">
        <v>15</v>
      </c>
      <c r="M930" s="1090" t="s">
        <v>15</v>
      </c>
      <c r="N930" s="1226">
        <v>1.0717763000000001E-3</v>
      </c>
      <c r="O930" s="536">
        <v>0.35</v>
      </c>
      <c r="P930" s="487">
        <v>3.0645300000000002E-3</v>
      </c>
      <c r="Q930" s="245" t="s">
        <v>15</v>
      </c>
      <c r="R930" s="261">
        <f>N930</f>
        <v>1.0717763000000001E-3</v>
      </c>
      <c r="S930" s="356">
        <v>0.88590000000000002</v>
      </c>
      <c r="T930" s="134">
        <v>-3.6888419399999997E-2</v>
      </c>
      <c r="U930" s="879"/>
      <c r="V930" s="2163"/>
      <c r="W930" s="34" t="s">
        <v>49</v>
      </c>
      <c r="X930" s="34" t="s">
        <v>166</v>
      </c>
      <c r="Y930" s="165">
        <f>($T$930+30*$R$923+$R$924+$R$926+$R$928+$R$930+$R$931)*(1+$T$932)</f>
        <v>0.52938197739219506</v>
      </c>
      <c r="Z930" s="165">
        <f t="shared" si="46"/>
        <v>0.52938197739219506</v>
      </c>
      <c r="AA930" s="166">
        <f t="shared" si="47"/>
        <v>4.5822696659595347E-2</v>
      </c>
      <c r="AB930" s="923"/>
      <c r="AC930" s="53"/>
      <c r="AD930" s="63"/>
      <c r="AE930" s="53"/>
      <c r="AF930" s="33" t="s">
        <v>129</v>
      </c>
      <c r="AG930" s="46" t="s">
        <v>295</v>
      </c>
      <c r="AH930" s="165">
        <f>($T$930+30*$R$923+$N$924+$N$926+$R$928+$R$930+$R$931)*(1+$T$932)</f>
        <v>0.68813579249853651</v>
      </c>
      <c r="AI930" s="309"/>
      <c r="AJ930" s="309"/>
      <c r="AK930" s="309"/>
      <c r="AL930" s="309"/>
      <c r="AM930" s="309">
        <v>1.47</v>
      </c>
      <c r="AN930" s="309"/>
      <c r="AO930" s="309"/>
      <c r="AP930" s="309">
        <v>1.64</v>
      </c>
      <c r="AQ930" s="732"/>
      <c r="AR930" s="731">
        <f t="shared" si="43"/>
        <v>-0.86686420750146342</v>
      </c>
      <c r="AS930" s="938">
        <f t="shared" si="44"/>
        <v>-0.55746894373084466</v>
      </c>
      <c r="AT930" s="1012"/>
      <c r="AU930" s="1012"/>
      <c r="AV930" s="1012"/>
      <c r="AW930" s="1012"/>
      <c r="AX930" s="1012"/>
      <c r="AY930" s="1012"/>
      <c r="AZ930" s="1012"/>
      <c r="BA930" s="1012"/>
      <c r="BB930" s="1012"/>
      <c r="BC930" s="1012"/>
      <c r="BD930" s="1012"/>
      <c r="BE930" s="1012"/>
      <c r="BF930" s="1012"/>
      <c r="BG930" s="1012"/>
    </row>
    <row r="931" spans="1:123" ht="15" customHeight="1">
      <c r="A931" s="2172"/>
      <c r="B931" s="826" t="s">
        <v>234</v>
      </c>
      <c r="C931" s="981" t="s">
        <v>12</v>
      </c>
      <c r="D931" s="35" t="s">
        <v>323</v>
      </c>
      <c r="E931" s="59">
        <v>41</v>
      </c>
      <c r="F931" s="85">
        <v>90.491950000000003</v>
      </c>
      <c r="G931" s="85">
        <v>42.688549999999999</v>
      </c>
      <c r="H931" s="60">
        <v>0.34658499999999998</v>
      </c>
      <c r="I931" s="61">
        <v>0.13597100000000001</v>
      </c>
      <c r="J931" s="1089" t="s">
        <v>15</v>
      </c>
      <c r="K931" s="1090" t="s">
        <v>15</v>
      </c>
      <c r="L931" s="1089" t="s">
        <v>15</v>
      </c>
      <c r="M931" s="1090" t="s">
        <v>15</v>
      </c>
      <c r="N931" s="1227">
        <v>-9.1588800000000006E-5</v>
      </c>
      <c r="O931" s="462">
        <v>-0.24</v>
      </c>
      <c r="P931" s="462">
        <v>3.7562000000000001E-4</v>
      </c>
      <c r="Q931" s="247" t="s">
        <v>15</v>
      </c>
      <c r="R931" s="261">
        <f>N931</f>
        <v>-9.1588800000000006E-5</v>
      </c>
      <c r="S931" s="135" t="s">
        <v>235</v>
      </c>
      <c r="T931" s="119" t="s">
        <v>391</v>
      </c>
      <c r="U931" s="855"/>
      <c r="V931" s="2163"/>
      <c r="W931" s="66" t="s">
        <v>49</v>
      </c>
      <c r="X931" s="34" t="s">
        <v>167</v>
      </c>
      <c r="Y931" s="165">
        <f>($T$930+19*$R$923+$R$924+$R$926+$R$928+$R$930+$R$931)*(1+$T$932)</f>
        <v>0.34893343131219512</v>
      </c>
      <c r="Z931" s="165">
        <f t="shared" si="46"/>
        <v>0.34893343131219512</v>
      </c>
      <c r="AA931" s="166">
        <f t="shared" si="47"/>
        <v>3.0203277520278876E-2</v>
      </c>
      <c r="AB931" s="923"/>
      <c r="AC931" s="53"/>
      <c r="AD931" s="63"/>
      <c r="AE931" s="53"/>
      <c r="AF931" s="33" t="s">
        <v>129</v>
      </c>
      <c r="AG931" s="46" t="s">
        <v>296</v>
      </c>
      <c r="AH931" s="165">
        <f>($T$930+38*$R$923+$R$928+$R$930+$R$931)*(1+$T$932)</f>
        <v>0.6231680423385364</v>
      </c>
      <c r="AI931" s="309">
        <v>1.05</v>
      </c>
      <c r="AJ931" s="309"/>
      <c r="AK931" s="309">
        <v>1.0900000000000001</v>
      </c>
      <c r="AL931" s="309"/>
      <c r="AM931" s="309"/>
      <c r="AN931" s="309"/>
      <c r="AO931" s="309"/>
      <c r="AP931" s="309"/>
      <c r="AQ931" s="732"/>
      <c r="AR931" s="731">
        <f t="shared" si="43"/>
        <v>-0.44683195766146366</v>
      </c>
      <c r="AS931" s="938">
        <f t="shared" si="44"/>
        <v>-0.41759996043127445</v>
      </c>
      <c r="AT931" s="1012"/>
      <c r="AU931" s="1012"/>
      <c r="AV931" s="1012"/>
      <c r="AW931" s="1012"/>
      <c r="AX931" s="1012"/>
      <c r="AY931" s="1012"/>
      <c r="AZ931" s="1012"/>
      <c r="BA931" s="1012"/>
      <c r="BB931" s="1012"/>
      <c r="BC931" s="1012"/>
      <c r="BD931" s="1012"/>
      <c r="BE931" s="1012"/>
      <c r="BF931" s="1012"/>
      <c r="BG931" s="1012"/>
    </row>
    <row r="932" spans="1:123">
      <c r="A932" s="2172"/>
      <c r="B932" s="2117" t="s">
        <v>194</v>
      </c>
      <c r="C932" s="2224"/>
      <c r="D932" s="2225"/>
      <c r="E932" s="2225"/>
      <c r="F932" s="2225"/>
      <c r="G932" s="2225"/>
      <c r="H932" s="2225"/>
      <c r="I932" s="2226"/>
      <c r="J932" s="2264"/>
      <c r="K932" s="2225"/>
      <c r="L932" s="2225"/>
      <c r="M932" s="2225"/>
      <c r="N932" s="2255"/>
      <c r="O932" s="2256"/>
      <c r="P932" s="2256"/>
      <c r="Q932" s="2256"/>
      <c r="R932" s="2257"/>
      <c r="S932" s="136">
        <v>0.03</v>
      </c>
      <c r="T932" s="137">
        <v>0.2</v>
      </c>
      <c r="U932" s="862"/>
      <c r="V932" s="2163"/>
      <c r="W932" s="34" t="s">
        <v>49</v>
      </c>
      <c r="X932" s="34" t="s">
        <v>168</v>
      </c>
      <c r="Y932" s="165">
        <f>($T$930+15*$R$923+$R$924+$R$926+$R$928+$R$930+$R$931)*(1+$T$932)</f>
        <v>0.28331577819219511</v>
      </c>
      <c r="Z932" s="165">
        <f t="shared" si="46"/>
        <v>0.28331577819219511</v>
      </c>
      <c r="AA932" s="166">
        <f t="shared" si="47"/>
        <v>2.4523488742345612E-2</v>
      </c>
      <c r="AB932" s="923"/>
      <c r="AC932" s="53"/>
      <c r="AD932" s="63"/>
      <c r="AE932" s="53"/>
      <c r="AF932" s="33" t="s">
        <v>129</v>
      </c>
      <c r="AG932" s="46" t="s">
        <v>297</v>
      </c>
      <c r="AH932" s="165">
        <f>($T$930+38*$R$923+$N$926+$R$928+$R$930+$R$931)*(1+$T$932)</f>
        <v>0.68077019597853639</v>
      </c>
      <c r="AI932" s="309">
        <v>1.07</v>
      </c>
      <c r="AJ932" s="309">
        <v>1.19</v>
      </c>
      <c r="AK932" s="309"/>
      <c r="AL932" s="309"/>
      <c r="AM932" s="309"/>
      <c r="AN932" s="309"/>
      <c r="AO932" s="309"/>
      <c r="AP932" s="309"/>
      <c r="AQ932" s="732"/>
      <c r="AR932" s="731">
        <f t="shared" si="43"/>
        <v>-0.44922980402146351</v>
      </c>
      <c r="AS932" s="938">
        <f t="shared" si="44"/>
        <v>-0.39754849913403856</v>
      </c>
      <c r="AT932" s="1012"/>
      <c r="AU932" s="1012"/>
      <c r="AV932" s="1012"/>
      <c r="AW932" s="1012"/>
      <c r="AX932" s="1012"/>
      <c r="AY932" s="1012"/>
      <c r="AZ932" s="1012"/>
      <c r="BA932" s="1012"/>
      <c r="BB932" s="1012"/>
      <c r="BC932" s="1012"/>
      <c r="BD932" s="1012"/>
      <c r="BE932" s="1012"/>
      <c r="BF932" s="1012"/>
      <c r="BG932" s="1012"/>
    </row>
    <row r="933" spans="1:123" ht="15" customHeight="1">
      <c r="A933" s="2172"/>
      <c r="B933" s="2117"/>
      <c r="C933" s="2224"/>
      <c r="D933" s="2225"/>
      <c r="E933" s="2225"/>
      <c r="F933" s="2225"/>
      <c r="G933" s="2225"/>
      <c r="H933" s="2225"/>
      <c r="I933" s="2226"/>
      <c r="J933" s="2264"/>
      <c r="K933" s="2225"/>
      <c r="L933" s="2225"/>
      <c r="M933" s="2225"/>
      <c r="N933" s="2258"/>
      <c r="O933" s="2259"/>
      <c r="P933" s="2259"/>
      <c r="Q933" s="2259"/>
      <c r="R933" s="2260"/>
      <c r="S933" s="39"/>
      <c r="T933" s="39"/>
      <c r="U933" s="854"/>
      <c r="V933" s="2163"/>
      <c r="W933" s="34" t="s">
        <v>49</v>
      </c>
      <c r="X933" s="34" t="s">
        <v>169</v>
      </c>
      <c r="Y933" s="165">
        <f>($T$930+19*$R$923+$R$924+$R$926+$R$928+$R$930+$R$931)*(1+$T$932)</f>
        <v>0.34893343131219512</v>
      </c>
      <c r="Z933" s="165">
        <f t="shared" si="46"/>
        <v>0.34893343131219512</v>
      </c>
      <c r="AA933" s="166">
        <f t="shared" si="47"/>
        <v>3.0203277520278876E-2</v>
      </c>
      <c r="AB933" s="923"/>
      <c r="AC933" s="53"/>
      <c r="AD933" s="63"/>
      <c r="AE933" s="53"/>
      <c r="AF933" s="33" t="s">
        <v>129</v>
      </c>
      <c r="AG933" s="46" t="s">
        <v>298</v>
      </c>
      <c r="AH933" s="165">
        <f>($T$930+38*$R$923+$N$924+$R$928+$R$930+$R$931)*(1+$T$932)</f>
        <v>0.76176894509853643</v>
      </c>
      <c r="AI933" s="309"/>
      <c r="AJ933" s="309"/>
      <c r="AK933" s="309"/>
      <c r="AL933" s="309"/>
      <c r="AM933" s="309"/>
      <c r="AN933" s="309"/>
      <c r="AO933" s="309">
        <v>1.04</v>
      </c>
      <c r="AP933" s="309">
        <v>2.37</v>
      </c>
      <c r="AQ933" s="732"/>
      <c r="AR933" s="731">
        <f t="shared" si="43"/>
        <v>-0.94323105490146364</v>
      </c>
      <c r="AS933" s="938">
        <f t="shared" si="44"/>
        <v>-0.55321469495687015</v>
      </c>
      <c r="AT933" s="1012"/>
      <c r="AU933" s="1012"/>
      <c r="AV933" s="1012"/>
      <c r="AW933" s="1012"/>
      <c r="AX933" s="1012"/>
      <c r="AY933" s="1012"/>
      <c r="AZ933" s="1012"/>
      <c r="BA933" s="1012"/>
      <c r="BB933" s="1012"/>
      <c r="BC933" s="1012"/>
      <c r="BD933" s="1012"/>
      <c r="BE933" s="1012"/>
      <c r="BF933" s="1012"/>
      <c r="BG933" s="1012"/>
    </row>
    <row r="934" spans="1:123">
      <c r="A934" s="2172"/>
      <c r="B934" s="2117"/>
      <c r="C934" s="2224"/>
      <c r="D934" s="2225"/>
      <c r="E934" s="2225"/>
      <c r="F934" s="2225"/>
      <c r="G934" s="2225"/>
      <c r="H934" s="2225"/>
      <c r="I934" s="2226"/>
      <c r="J934" s="2264"/>
      <c r="K934" s="2225"/>
      <c r="L934" s="2225"/>
      <c r="M934" s="2225"/>
      <c r="N934" s="2258"/>
      <c r="O934" s="2259"/>
      <c r="P934" s="2259"/>
      <c r="Q934" s="2259"/>
      <c r="R934" s="2260"/>
      <c r="S934" s="41"/>
      <c r="T934" s="41"/>
      <c r="U934" s="854"/>
      <c r="V934" s="2163"/>
      <c r="W934" s="34" t="s">
        <v>49</v>
      </c>
      <c r="X934" s="34" t="s">
        <v>170</v>
      </c>
      <c r="Y934" s="165">
        <f>($T$930+21*$R$923+$R$924+$R$926+$R$928+$R$930+$R$931)*(1+$T$932)</f>
        <v>0.38174225787219512</v>
      </c>
      <c r="Z934" s="165">
        <f t="shared" si="46"/>
        <v>0.38174225787219512</v>
      </c>
      <c r="AA934" s="166">
        <f t="shared" si="47"/>
        <v>3.3043171909245508E-2</v>
      </c>
      <c r="AB934" s="923"/>
      <c r="AC934" s="53"/>
      <c r="AD934" s="63"/>
      <c r="AE934" s="53"/>
      <c r="AF934" s="56" t="s">
        <v>129</v>
      </c>
      <c r="AG934" s="51" t="s">
        <v>299</v>
      </c>
      <c r="AH934" s="165">
        <f>($T$930+38*$R$923+$N$924+$N$926+$R$928+$R$930+$R$931)*(1+$T$932)</f>
        <v>0.81937109873853642</v>
      </c>
      <c r="AI934" s="310"/>
      <c r="AJ934" s="310"/>
      <c r="AK934" s="310"/>
      <c r="AL934" s="310"/>
      <c r="AM934" s="310">
        <v>2.27</v>
      </c>
      <c r="AN934" s="310"/>
      <c r="AO934" s="310"/>
      <c r="AP934" s="310">
        <v>2.54</v>
      </c>
      <c r="AQ934" s="732"/>
      <c r="AR934" s="731">
        <f t="shared" si="43"/>
        <v>-1.5856289012614639</v>
      </c>
      <c r="AS934" s="938">
        <f t="shared" si="44"/>
        <v>-0.65930515644967314</v>
      </c>
      <c r="AT934" s="1012"/>
      <c r="AU934" s="1012"/>
      <c r="AV934" s="1012"/>
      <c r="AW934" s="1012"/>
      <c r="AX934" s="1012"/>
      <c r="AY934" s="1012"/>
      <c r="AZ934" s="1012"/>
      <c r="BA934" s="1012"/>
      <c r="BB934" s="1012"/>
      <c r="BC934" s="1012"/>
      <c r="BD934" s="1012"/>
      <c r="BE934" s="1012"/>
      <c r="BF934" s="1012"/>
      <c r="BG934" s="1012"/>
    </row>
    <row r="935" spans="1:123">
      <c r="A935" s="2172"/>
      <c r="B935" s="2117"/>
      <c r="C935" s="2224"/>
      <c r="D935" s="2225"/>
      <c r="E935" s="2225"/>
      <c r="F935" s="2225"/>
      <c r="G935" s="2225"/>
      <c r="H935" s="2225"/>
      <c r="I935" s="2226"/>
      <c r="J935" s="2264"/>
      <c r="K935" s="2225"/>
      <c r="L935" s="2225"/>
      <c r="M935" s="2225"/>
      <c r="N935" s="2258"/>
      <c r="O935" s="2259"/>
      <c r="P935" s="2259"/>
      <c r="Q935" s="2259"/>
      <c r="R935" s="2260"/>
      <c r="S935" s="41"/>
      <c r="T935" s="41"/>
      <c r="U935" s="854"/>
      <c r="V935" s="2163"/>
      <c r="W935" s="34" t="s">
        <v>49</v>
      </c>
      <c r="X935" s="34" t="s">
        <v>171</v>
      </c>
      <c r="Y935" s="165">
        <f>($T$930+13*$R$923+$R$924+$R$926+$R$928+$R$930+$R$931)*(1+$T$932)</f>
        <v>0.25050695163219516</v>
      </c>
      <c r="Z935" s="165">
        <f t="shared" si="46"/>
        <v>0.25050695163219516</v>
      </c>
      <c r="AA935" s="166">
        <f t="shared" si="47"/>
        <v>2.1683594353378983E-2</v>
      </c>
      <c r="AB935" s="923"/>
      <c r="AC935" s="53"/>
      <c r="AD935" s="63"/>
      <c r="AE935" s="53"/>
      <c r="AF935" s="110"/>
      <c r="AG935" s="27"/>
      <c r="AH935" s="1013"/>
      <c r="AI935" s="1013"/>
      <c r="AJ935" s="1013"/>
      <c r="AK935" s="1013"/>
      <c r="AL935" s="1013"/>
      <c r="AM935" s="1013"/>
      <c r="AN935" s="1013"/>
      <c r="AO935" s="1013"/>
      <c r="AP935" s="1013"/>
      <c r="AQ935" s="957"/>
      <c r="AR935" s="957"/>
      <c r="AS935" s="957"/>
      <c r="AT935" s="957"/>
      <c r="AU935" s="957"/>
      <c r="AV935" s="957"/>
      <c r="AW935" s="957"/>
      <c r="AX935" s="957"/>
      <c r="AY935" s="957"/>
      <c r="AZ935" s="957"/>
      <c r="BA935" s="957"/>
      <c r="BB935" s="957"/>
      <c r="BC935" s="957"/>
      <c r="BD935" s="957"/>
      <c r="BE935" s="957"/>
      <c r="BF935" s="957"/>
      <c r="BG935" s="957"/>
    </row>
    <row r="936" spans="1:123">
      <c r="A936" s="2172"/>
      <c r="B936" s="2117"/>
      <c r="C936" s="2224"/>
      <c r="D936" s="2225"/>
      <c r="E936" s="2225"/>
      <c r="F936" s="2225"/>
      <c r="G936" s="2225"/>
      <c r="H936" s="2225"/>
      <c r="I936" s="2226"/>
      <c r="J936" s="2264"/>
      <c r="K936" s="2225"/>
      <c r="L936" s="2225"/>
      <c r="M936" s="2225"/>
      <c r="N936" s="2258"/>
      <c r="O936" s="2259"/>
      <c r="P936" s="2259"/>
      <c r="Q936" s="2259"/>
      <c r="R936" s="2260"/>
      <c r="S936" s="41"/>
      <c r="T936" s="41"/>
      <c r="U936" s="854"/>
      <c r="V936" s="2164"/>
      <c r="W936" s="36" t="s">
        <v>49</v>
      </c>
      <c r="X936" s="36" t="s">
        <v>172</v>
      </c>
      <c r="Y936" s="165">
        <f>($T$930+19*$R$923+$R$924+$R$926+$R$928+$R$930+$R$931)*(1+$T$932)</f>
        <v>0.34893343131219512</v>
      </c>
      <c r="Z936" s="165">
        <f t="shared" si="46"/>
        <v>0.34893343131219512</v>
      </c>
      <c r="AA936" s="166">
        <f t="shared" si="47"/>
        <v>3.0203277520278876E-2</v>
      </c>
      <c r="AB936" s="923"/>
      <c r="AC936" s="53"/>
      <c r="AD936" s="63"/>
      <c r="AE936" s="53"/>
      <c r="AF936" s="106"/>
      <c r="AG936" s="26"/>
      <c r="AH936" s="957"/>
      <c r="AI936" s="957"/>
      <c r="AJ936" s="957"/>
      <c r="AK936" s="957"/>
      <c r="AL936" s="957"/>
      <c r="AM936" s="957"/>
      <c r="AN936" s="957"/>
      <c r="AO936" s="957"/>
      <c r="AP936" s="957"/>
      <c r="AQ936" s="957"/>
      <c r="AR936" s="957"/>
      <c r="AS936" s="957"/>
      <c r="AT936" s="957"/>
      <c r="AU936" s="957"/>
      <c r="AV936" s="957"/>
      <c r="AW936" s="957"/>
      <c r="AX936" s="957"/>
      <c r="AY936" s="957"/>
      <c r="AZ936" s="957"/>
      <c r="BA936" s="957"/>
      <c r="BB936" s="957"/>
      <c r="BC936" s="957"/>
      <c r="BD936" s="957"/>
      <c r="BE936" s="957"/>
      <c r="BF936" s="957"/>
      <c r="BG936" s="957"/>
    </row>
    <row r="937" spans="1:123">
      <c r="A937" s="2172"/>
      <c r="B937" s="2117"/>
      <c r="C937" s="2224"/>
      <c r="D937" s="2225"/>
      <c r="E937" s="2225"/>
      <c r="F937" s="2225"/>
      <c r="G937" s="2225"/>
      <c r="H937" s="2225"/>
      <c r="I937" s="2226"/>
      <c r="J937" s="2264"/>
      <c r="K937" s="2225"/>
      <c r="L937" s="2225"/>
      <c r="M937" s="2225"/>
      <c r="N937" s="2258"/>
      <c r="O937" s="2259"/>
      <c r="P937" s="2259"/>
      <c r="Q937" s="2259"/>
      <c r="R937" s="2260"/>
      <c r="S937" s="41"/>
      <c r="T937" s="41"/>
      <c r="U937" s="854"/>
      <c r="V937" s="22"/>
      <c r="W937" s="27"/>
      <c r="X937" s="27"/>
      <c r="Y937" s="161"/>
      <c r="Z937" s="161"/>
      <c r="AA937" s="161"/>
      <c r="AB937" s="923"/>
      <c r="AC937" s="53"/>
      <c r="AD937" s="63"/>
      <c r="AE937" s="53"/>
      <c r="AF937" s="106"/>
      <c r="AG937" s="26"/>
      <c r="AH937" s="957"/>
      <c r="AI937" s="957"/>
      <c r="AJ937" s="957"/>
      <c r="AK937" s="957"/>
      <c r="AL937" s="957"/>
      <c r="AM937" s="957"/>
      <c r="AN937" s="957"/>
      <c r="AO937" s="957"/>
      <c r="AP937" s="957"/>
      <c r="AQ937" s="957"/>
      <c r="AR937" s="957"/>
      <c r="AS937" s="957"/>
      <c r="AT937" s="957"/>
      <c r="AU937" s="957"/>
      <c r="AV937" s="957"/>
      <c r="AW937" s="957"/>
      <c r="AX937" s="957"/>
      <c r="AY937" s="957"/>
      <c r="AZ937" s="957"/>
      <c r="BA937" s="957"/>
      <c r="BB937" s="957"/>
      <c r="BC937" s="957"/>
      <c r="BD937" s="957"/>
      <c r="BE937" s="957"/>
      <c r="BF937" s="957"/>
      <c r="BG937" s="957"/>
    </row>
    <row r="938" spans="1:123" ht="15.75" thickBot="1">
      <c r="A938" s="2201"/>
      <c r="B938" s="2215"/>
      <c r="C938" s="2227"/>
      <c r="D938" s="2228"/>
      <c r="E938" s="2228"/>
      <c r="F938" s="2228"/>
      <c r="G938" s="2228"/>
      <c r="H938" s="2228"/>
      <c r="I938" s="2229"/>
      <c r="J938" s="2265"/>
      <c r="K938" s="2266"/>
      <c r="L938" s="2266"/>
      <c r="M938" s="2266"/>
      <c r="N938" s="2261"/>
      <c r="O938" s="2262"/>
      <c r="P938" s="2262"/>
      <c r="Q938" s="2262"/>
      <c r="R938" s="2263"/>
      <c r="S938" s="97"/>
      <c r="T938" s="97"/>
      <c r="U938" s="854"/>
      <c r="V938" s="28"/>
      <c r="W938" s="29"/>
      <c r="X938" s="29"/>
      <c r="Y938" s="167"/>
      <c r="Z938" s="167"/>
      <c r="AA938" s="167"/>
      <c r="AB938" s="923"/>
      <c r="AC938" s="68"/>
      <c r="AD938" s="69"/>
      <c r="AE938" s="68"/>
      <c r="AF938" s="107"/>
      <c r="AG938" s="29"/>
      <c r="AH938" s="1027"/>
      <c r="AI938" s="1027"/>
      <c r="AJ938" s="1027"/>
      <c r="AK938" s="1027"/>
      <c r="AL938" s="1027"/>
      <c r="AM938" s="1027"/>
      <c r="AN938" s="1027"/>
      <c r="AO938" s="1027"/>
      <c r="AP938" s="1027"/>
      <c r="AQ938" s="1027"/>
      <c r="AR938" s="1027"/>
      <c r="AS938" s="1027"/>
      <c r="AT938" s="1027"/>
      <c r="AU938" s="1027"/>
      <c r="AV938" s="1027"/>
      <c r="AW938" s="1027"/>
      <c r="AX938" s="1027"/>
      <c r="AY938" s="1027"/>
      <c r="AZ938" s="1027"/>
      <c r="BA938" s="1027"/>
      <c r="BB938" s="1027"/>
      <c r="BC938" s="1027"/>
      <c r="BD938" s="1027"/>
      <c r="BE938" s="1027"/>
      <c r="BF938" s="1027"/>
      <c r="BG938" s="1027"/>
    </row>
    <row r="939" spans="1:123" s="705" customFormat="1" ht="25.5" customHeight="1" thickBot="1">
      <c r="A939" s="721" t="s">
        <v>1112</v>
      </c>
      <c r="B939" s="1054"/>
      <c r="C939" s="684"/>
      <c r="D939" s="683"/>
      <c r="E939" s="683"/>
      <c r="F939" s="683"/>
      <c r="G939" s="683"/>
      <c r="H939" s="683"/>
      <c r="I939" s="683"/>
      <c r="J939" s="682"/>
      <c r="K939" s="683"/>
      <c r="L939" s="682"/>
      <c r="M939" s="685"/>
      <c r="N939" s="1189"/>
      <c r="O939" s="686"/>
      <c r="P939" s="686"/>
      <c r="Q939" s="687"/>
      <c r="R939" s="687"/>
      <c r="S939" s="688"/>
      <c r="T939" s="688"/>
      <c r="U939" s="854"/>
      <c r="V939" s="893"/>
      <c r="W939" s="685"/>
      <c r="X939" s="685"/>
      <c r="Y939" s="685"/>
      <c r="Z939" s="685"/>
      <c r="AA939" s="685"/>
      <c r="AB939" s="849"/>
      <c r="AC939" s="685"/>
      <c r="AD939" s="685"/>
      <c r="AE939" s="685"/>
      <c r="AF939" s="689"/>
      <c r="AG939" s="685"/>
      <c r="AH939" s="959"/>
      <c r="AI939" s="959"/>
      <c r="AJ939" s="958"/>
      <c r="AK939" s="958"/>
      <c r="AL939" s="958"/>
      <c r="AM939" s="958"/>
      <c r="AN939" s="958"/>
      <c r="AO939" s="958"/>
      <c r="AP939" s="958"/>
      <c r="AQ939" s="958"/>
      <c r="AR939" s="958"/>
      <c r="AS939" s="958"/>
      <c r="AT939" s="958"/>
      <c r="AU939" s="958"/>
      <c r="AV939" s="958"/>
      <c r="AW939" s="958"/>
      <c r="AX939" s="958"/>
      <c r="AY939" s="958"/>
      <c r="AZ939" s="958"/>
      <c r="BA939" s="958"/>
      <c r="BB939" s="958"/>
      <c r="BC939" s="958"/>
      <c r="BD939" s="958"/>
      <c r="BE939" s="958"/>
      <c r="BF939" s="958"/>
      <c r="BG939" s="958"/>
      <c r="BH939" s="1125"/>
      <c r="CF939" s="692"/>
      <c r="CG939" s="692"/>
      <c r="CH939" s="692"/>
      <c r="CI939" s="692"/>
      <c r="CJ939" s="692"/>
      <c r="CK939" s="692"/>
      <c r="CL939" s="692"/>
      <c r="CM939" s="692"/>
      <c r="CN939" s="692"/>
      <c r="CO939" s="692"/>
      <c r="CP939" s="692"/>
      <c r="CQ939" s="692"/>
      <c r="CR939" s="692"/>
      <c r="CS939" s="692"/>
      <c r="CT939" s="692"/>
      <c r="CU939" s="692"/>
      <c r="CV939" s="692"/>
      <c r="CW939" s="692"/>
      <c r="CX939" s="692"/>
      <c r="CY939" s="692"/>
      <c r="CZ939" s="692"/>
      <c r="DA939" s="692"/>
      <c r="DB939" s="692"/>
      <c r="DC939" s="692"/>
      <c r="DD939" s="692"/>
      <c r="DE939" s="692"/>
      <c r="DF939" s="692"/>
      <c r="DG939" s="692"/>
      <c r="DH939" s="692"/>
      <c r="DI939" s="693"/>
      <c r="DJ939" s="692"/>
      <c r="DK939" s="692"/>
      <c r="DL939" s="692"/>
      <c r="DM939" s="692"/>
      <c r="DN939" s="692"/>
      <c r="DO939" s="692"/>
      <c r="DP939" s="692"/>
      <c r="DQ939" s="692"/>
      <c r="DR939" s="692"/>
      <c r="DS939" s="692"/>
    </row>
    <row r="940" spans="1:123" ht="15" customHeight="1">
      <c r="A940" s="2171" t="s">
        <v>195</v>
      </c>
      <c r="B940" s="2177" t="s">
        <v>196</v>
      </c>
      <c r="C940" s="2179" t="s">
        <v>11</v>
      </c>
      <c r="D940" s="47" t="s">
        <v>33</v>
      </c>
      <c r="E940" s="31">
        <v>22</v>
      </c>
      <c r="F940" s="542" t="s">
        <v>15</v>
      </c>
      <c r="G940" s="542" t="s">
        <v>15</v>
      </c>
      <c r="H940" s="538">
        <v>0.34360000000000002</v>
      </c>
      <c r="I940" s="32">
        <v>0.13819999999999999</v>
      </c>
      <c r="J940" s="1089" t="s">
        <v>15</v>
      </c>
      <c r="K940" s="1090" t="s">
        <v>15</v>
      </c>
      <c r="L940" s="1089" t="s">
        <v>15</v>
      </c>
      <c r="M940" s="1090" t="s">
        <v>15</v>
      </c>
      <c r="N940" s="1201">
        <v>0.19</v>
      </c>
      <c r="O940" s="133">
        <v>8.98</v>
      </c>
      <c r="P940" s="133">
        <v>2.1104689999999999E-2</v>
      </c>
      <c r="Q940" s="139">
        <f>E940/SUM($E$940:$E$941)</f>
        <v>0.57894736842105265</v>
      </c>
      <c r="R940" s="2152">
        <f>SUMPRODUCT(Q940:Q941,N940:N941)</f>
        <v>0.11</v>
      </c>
      <c r="S940" s="127" t="s">
        <v>68</v>
      </c>
      <c r="T940" s="129" t="s">
        <v>69</v>
      </c>
      <c r="U940" s="858"/>
      <c r="V940" s="2242" t="s">
        <v>2698</v>
      </c>
      <c r="W940" s="34" t="s">
        <v>47</v>
      </c>
      <c r="X940" s="34" t="s">
        <v>206</v>
      </c>
      <c r="Y940" s="52"/>
      <c r="Z940" s="52"/>
      <c r="AA940" s="44"/>
      <c r="AB940" s="926"/>
      <c r="AC940" s="913"/>
      <c r="AD940" s="2157" t="s">
        <v>142</v>
      </c>
      <c r="AE940" s="2158"/>
      <c r="AF940" s="33" t="s">
        <v>47</v>
      </c>
      <c r="AG940" s="34" t="s">
        <v>206</v>
      </c>
      <c r="AH940" s="165"/>
      <c r="AI940" s="172"/>
      <c r="AJ940" s="726"/>
      <c r="AK940" s="163"/>
      <c r="AL940" s="957"/>
      <c r="AM940" s="957"/>
      <c r="AN940" s="957"/>
      <c r="AO940" s="957"/>
      <c r="AP940" s="957"/>
      <c r="AQ940" s="957"/>
      <c r="AR940" s="957"/>
      <c r="AS940" s="957"/>
      <c r="AT940" s="957"/>
      <c r="AU940" s="957"/>
      <c r="AV940" s="957"/>
      <c r="AW940" s="957"/>
      <c r="AX940" s="957"/>
      <c r="AY940" s="957"/>
      <c r="AZ940" s="957"/>
      <c r="BA940" s="957"/>
      <c r="BB940" s="957"/>
      <c r="BC940" s="957"/>
      <c r="BD940" s="957"/>
      <c r="BE940" s="957"/>
      <c r="BF940" s="957"/>
      <c r="BG940" s="957"/>
    </row>
    <row r="941" spans="1:123">
      <c r="A941" s="2172"/>
      <c r="B941" s="2178"/>
      <c r="C941" s="2180"/>
      <c r="D941" s="47" t="s">
        <v>32</v>
      </c>
      <c r="E941" s="31">
        <v>16</v>
      </c>
      <c r="F941" s="542" t="s">
        <v>15</v>
      </c>
      <c r="G941" s="542" t="s">
        <v>15</v>
      </c>
      <c r="H941" s="538">
        <v>0.24510000000000001</v>
      </c>
      <c r="I941" s="32">
        <v>0.1046</v>
      </c>
      <c r="J941" s="1089" t="s">
        <v>15</v>
      </c>
      <c r="K941" s="1090" t="s">
        <v>15</v>
      </c>
      <c r="L941" s="1089" t="s">
        <v>15</v>
      </c>
      <c r="M941" s="1090" t="s">
        <v>15</v>
      </c>
      <c r="N941" s="1201">
        <v>0</v>
      </c>
      <c r="O941" s="455" t="s">
        <v>204</v>
      </c>
      <c r="P941" s="144" t="s">
        <v>204</v>
      </c>
      <c r="Q941" s="139">
        <f>E941/SUM($E$940:$E$941)</f>
        <v>0.42105263157894735</v>
      </c>
      <c r="R941" s="2153"/>
      <c r="S941" s="452" t="s">
        <v>205</v>
      </c>
      <c r="T941" s="117" t="s">
        <v>132</v>
      </c>
      <c r="U941" s="854"/>
      <c r="V941" s="2242"/>
      <c r="W941" s="34" t="s">
        <v>49</v>
      </c>
      <c r="X941" s="34" t="s">
        <v>207</v>
      </c>
      <c r="Y941" s="165">
        <f>(T947+N940+N942+N948)*(1+$T$949)</f>
        <v>0.58499999999999996</v>
      </c>
      <c r="Z941" s="165">
        <f>Y941</f>
        <v>0.58499999999999996</v>
      </c>
      <c r="AA941" s="540">
        <f t="shared" ref="AA941:AA946" si="48">($S$949/(($E$940/($E$940+$E$941))*$H$940+($E$941/($E$940+$E$941))*$H$941))*Y941</f>
        <v>7.7451048707407141E-2</v>
      </c>
      <c r="AB941" s="922"/>
      <c r="AC941" s="911"/>
      <c r="AD941" s="49" t="s">
        <v>98</v>
      </c>
      <c r="AE941" s="21"/>
      <c r="AF941" s="33" t="s">
        <v>129</v>
      </c>
      <c r="AG941" s="34" t="s">
        <v>207</v>
      </c>
      <c r="AH941" s="165">
        <f>Y941</f>
        <v>0.58499999999999996</v>
      </c>
      <c r="AI941" s="172"/>
      <c r="AJ941" s="726"/>
      <c r="AK941" s="163"/>
      <c r="AL941" s="957"/>
      <c r="AM941" s="957"/>
      <c r="AN941" s="957"/>
      <c r="AO941" s="957"/>
      <c r="AP941" s="957"/>
      <c r="AQ941" s="957"/>
      <c r="AR941" s="957"/>
      <c r="AS941" s="957"/>
      <c r="AT941" s="957"/>
      <c r="AU941" s="957"/>
      <c r="AV941" s="957"/>
      <c r="AW941" s="957"/>
      <c r="AX941" s="957"/>
      <c r="AY941" s="957"/>
      <c r="AZ941" s="957"/>
      <c r="BA941" s="957"/>
      <c r="BB941" s="957"/>
      <c r="BC941" s="957"/>
      <c r="BD941" s="957"/>
      <c r="BE941" s="957"/>
      <c r="BF941" s="957"/>
      <c r="BG941" s="957"/>
    </row>
    <row r="942" spans="1:123">
      <c r="A942" s="2172"/>
      <c r="B942" s="2177" t="s">
        <v>197</v>
      </c>
      <c r="C942" s="2179" t="s">
        <v>11</v>
      </c>
      <c r="D942" s="12" t="s">
        <v>33</v>
      </c>
      <c r="E942" s="555">
        <v>22</v>
      </c>
      <c r="F942" s="542" t="s">
        <v>15</v>
      </c>
      <c r="G942" s="542" t="s">
        <v>15</v>
      </c>
      <c r="H942" s="538">
        <v>0.35920000000000002</v>
      </c>
      <c r="I942" s="32">
        <v>0.13619999999999999</v>
      </c>
      <c r="J942" s="1089" t="s">
        <v>15</v>
      </c>
      <c r="K942" s="1090" t="s">
        <v>15</v>
      </c>
      <c r="L942" s="1089" t="s">
        <v>15</v>
      </c>
      <c r="M942" s="1090" t="s">
        <v>15</v>
      </c>
      <c r="N942" s="537">
        <v>0.19800000000000001</v>
      </c>
      <c r="O942" s="536">
        <v>8.8699999999999992</v>
      </c>
      <c r="P942" s="133">
        <v>2.2373589999999999E-2</v>
      </c>
      <c r="Q942" s="139">
        <f>E942/SUM($E$942:$E$943)</f>
        <v>0.57894736842105265</v>
      </c>
      <c r="R942" s="2221">
        <f>SUMPRODUCT(Q942:Q943,N942:N943)</f>
        <v>0.11463157894736843</v>
      </c>
      <c r="S942" s="127" t="s">
        <v>72</v>
      </c>
      <c r="T942" s="119" t="s">
        <v>119</v>
      </c>
      <c r="U942" s="855"/>
      <c r="V942" s="2242"/>
      <c r="W942" s="34" t="s">
        <v>49</v>
      </c>
      <c r="X942" s="34" t="s">
        <v>208</v>
      </c>
      <c r="Y942" s="165">
        <f>(T947+N940+N943+N948)*(1+$T$949)</f>
        <v>0.28800000000000003</v>
      </c>
      <c r="Z942" s="165">
        <f t="shared" ref="Z942:Z946" si="49">Y942</f>
        <v>0.28800000000000003</v>
      </c>
      <c r="AA942" s="540">
        <f t="shared" si="48"/>
        <v>3.8129747055954295E-2</v>
      </c>
      <c r="AB942" s="922"/>
      <c r="AC942" s="911"/>
      <c r="AD942" s="49" t="s">
        <v>143</v>
      </c>
      <c r="AE942" s="21"/>
      <c r="AF942" s="33" t="s">
        <v>129</v>
      </c>
      <c r="AG942" s="34" t="s">
        <v>208</v>
      </c>
      <c r="AH942" s="165">
        <f t="shared" ref="AH942:AH946" si="50">Y942</f>
        <v>0.28800000000000003</v>
      </c>
      <c r="AI942" s="172"/>
      <c r="AJ942" s="726"/>
      <c r="AK942" s="163"/>
      <c r="AL942" s="957"/>
      <c r="AM942" s="957"/>
      <c r="AN942" s="957"/>
      <c r="AO942" s="957"/>
      <c r="AP942" s="957"/>
      <c r="AQ942" s="957"/>
      <c r="AR942" s="957"/>
      <c r="AS942" s="957"/>
      <c r="AT942" s="957"/>
      <c r="AU942" s="957"/>
      <c r="AV942" s="957"/>
      <c r="AW942" s="957"/>
      <c r="AX942" s="957"/>
      <c r="AY942" s="957"/>
      <c r="AZ942" s="957"/>
      <c r="BA942" s="957"/>
      <c r="BB942" s="957"/>
      <c r="BC942" s="957"/>
      <c r="BD942" s="957"/>
      <c r="BE942" s="957"/>
      <c r="BF942" s="957"/>
      <c r="BG942" s="957"/>
    </row>
    <row r="943" spans="1:123">
      <c r="A943" s="2172"/>
      <c r="B943" s="2178"/>
      <c r="C943" s="2180"/>
      <c r="D943" s="12" t="s">
        <v>32</v>
      </c>
      <c r="E943" s="555">
        <v>16</v>
      </c>
      <c r="F943" s="542" t="s">
        <v>15</v>
      </c>
      <c r="G943" s="542" t="s">
        <v>15</v>
      </c>
      <c r="H943" s="538">
        <v>0.2238</v>
      </c>
      <c r="I943" s="32">
        <v>7.9799999999999996E-2</v>
      </c>
      <c r="J943" s="1089" t="s">
        <v>15</v>
      </c>
      <c r="K943" s="1090" t="s">
        <v>15</v>
      </c>
      <c r="L943" s="1089" t="s">
        <v>15</v>
      </c>
      <c r="M943" s="1090" t="s">
        <v>15</v>
      </c>
      <c r="N943" s="1201">
        <v>0</v>
      </c>
      <c r="O943" s="455" t="s">
        <v>204</v>
      </c>
      <c r="P943" s="144" t="s">
        <v>204</v>
      </c>
      <c r="Q943" s="139">
        <f>E943/SUM($E$942:$E$943)</f>
        <v>0.42105263157894735</v>
      </c>
      <c r="R943" s="2154"/>
      <c r="S943" s="411" t="s">
        <v>139</v>
      </c>
      <c r="T943" s="411" t="s">
        <v>140</v>
      </c>
      <c r="U943" s="859"/>
      <c r="V943" s="2242"/>
      <c r="W943" s="34" t="s">
        <v>49</v>
      </c>
      <c r="X943" s="34" t="s">
        <v>209</v>
      </c>
      <c r="Y943" s="165">
        <f>(T947+N943+N947)*(1+$T$949)</f>
        <v>0.16950000000000001</v>
      </c>
      <c r="Z943" s="165">
        <f t="shared" si="49"/>
        <v>0.16950000000000001</v>
      </c>
      <c r="AA943" s="540">
        <f t="shared" si="48"/>
        <v>2.2440944881889763E-2</v>
      </c>
      <c r="AB943" s="922"/>
      <c r="AC943" s="911"/>
      <c r="AD943" s="49" t="s">
        <v>144</v>
      </c>
      <c r="AE943" s="21"/>
      <c r="AF943" s="33" t="s">
        <v>129</v>
      </c>
      <c r="AG943" s="34" t="s">
        <v>209</v>
      </c>
      <c r="AH943" s="165">
        <f t="shared" si="50"/>
        <v>0.16950000000000001</v>
      </c>
      <c r="AI943" s="172"/>
      <c r="AJ943" s="726"/>
      <c r="AK943" s="163"/>
      <c r="AL943" s="957"/>
      <c r="AM943" s="957"/>
      <c r="AN943" s="957"/>
      <c r="AO943" s="957"/>
      <c r="AP943" s="957"/>
      <c r="AQ943" s="957"/>
      <c r="AR943" s="957"/>
      <c r="AS943" s="957"/>
      <c r="AT943" s="957"/>
      <c r="AU943" s="957"/>
      <c r="AV943" s="957"/>
      <c r="AW943" s="957"/>
      <c r="AX943" s="957"/>
      <c r="AY943" s="957"/>
      <c r="AZ943" s="957"/>
      <c r="BA943" s="957"/>
      <c r="BB943" s="957"/>
      <c r="BC943" s="957"/>
      <c r="BD943" s="957"/>
      <c r="BE943" s="957"/>
      <c r="BF943" s="957"/>
      <c r="BG943" s="957"/>
    </row>
    <row r="944" spans="1:123">
      <c r="A944" s="2172"/>
      <c r="B944" s="2191" t="s">
        <v>198</v>
      </c>
      <c r="C944" s="2179" t="s">
        <v>13</v>
      </c>
      <c r="D944" s="35" t="s">
        <v>199</v>
      </c>
      <c r="E944" s="31">
        <v>9</v>
      </c>
      <c r="F944" s="542" t="s">
        <v>15</v>
      </c>
      <c r="G944" s="542" t="s">
        <v>15</v>
      </c>
      <c r="H944" s="538">
        <v>0.36559999999999998</v>
      </c>
      <c r="I944" s="32">
        <v>0.1741</v>
      </c>
      <c r="J944" s="1089" t="s">
        <v>15</v>
      </c>
      <c r="K944" s="1090" t="s">
        <v>15</v>
      </c>
      <c r="L944" s="1089" t="s">
        <v>15</v>
      </c>
      <c r="M944" s="1090" t="s">
        <v>15</v>
      </c>
      <c r="N944" s="537">
        <v>0.20599999999999999</v>
      </c>
      <c r="O944" s="536">
        <v>7.21</v>
      </c>
      <c r="P944" s="536">
        <v>2.854458E-2</v>
      </c>
      <c r="Q944" s="139">
        <f>E944/SUM($E$944:$E$948)</f>
        <v>0.23684210526315788</v>
      </c>
      <c r="R944" s="2176">
        <f>SUMPRODUCT(Q944:Q948,N944:N948)</f>
        <v>7.9657894736842094E-2</v>
      </c>
      <c r="S944" s="127" t="s">
        <v>74</v>
      </c>
      <c r="T944" s="129" t="s">
        <v>75</v>
      </c>
      <c r="U944" s="858"/>
      <c r="V944" s="2242"/>
      <c r="W944" s="34" t="s">
        <v>49</v>
      </c>
      <c r="X944" s="34" t="s">
        <v>210</v>
      </c>
      <c r="Y944" s="169">
        <f>(T947+N941+N942+N948)*(1+$T$949)</f>
        <v>0.30000000000000004</v>
      </c>
      <c r="Z944" s="165">
        <f t="shared" si="49"/>
        <v>0.30000000000000004</v>
      </c>
      <c r="AA944" s="540">
        <f t="shared" si="48"/>
        <v>3.9718486516619057E-2</v>
      </c>
      <c r="AB944" s="922"/>
      <c r="AC944" s="911"/>
      <c r="AD944" s="50" t="s">
        <v>145</v>
      </c>
      <c r="AE944" s="93"/>
      <c r="AF944" s="33" t="s">
        <v>129</v>
      </c>
      <c r="AG944" s="34" t="s">
        <v>210</v>
      </c>
      <c r="AH944" s="165">
        <f t="shared" si="50"/>
        <v>0.30000000000000004</v>
      </c>
      <c r="AI944" s="172"/>
      <c r="AJ944" s="726"/>
      <c r="AK944" s="163"/>
      <c r="AL944" s="957"/>
      <c r="AM944" s="957"/>
      <c r="AN944" s="957"/>
      <c r="AO944" s="957"/>
      <c r="AP944" s="957"/>
      <c r="AQ944" s="957"/>
      <c r="AR944" s="957"/>
      <c r="AS944" s="957"/>
      <c r="AT944" s="957"/>
      <c r="AU944" s="957"/>
      <c r="AV944" s="957"/>
      <c r="AW944" s="957"/>
      <c r="AX944" s="957"/>
      <c r="AY944" s="957"/>
      <c r="AZ944" s="957"/>
      <c r="BA944" s="957"/>
      <c r="BB944" s="957"/>
      <c r="BC944" s="957"/>
      <c r="BD944" s="957"/>
      <c r="BE944" s="957"/>
      <c r="BF944" s="957"/>
      <c r="BG944" s="957"/>
    </row>
    <row r="945" spans="1:123">
      <c r="A945" s="2172"/>
      <c r="B945" s="2192"/>
      <c r="C945" s="2187"/>
      <c r="D945" s="556" t="s">
        <v>200</v>
      </c>
      <c r="E945" s="31">
        <v>15</v>
      </c>
      <c r="F945" s="542" t="s">
        <v>15</v>
      </c>
      <c r="G945" s="542" t="s">
        <v>15</v>
      </c>
      <c r="H945" s="538">
        <v>0.32569999999999999</v>
      </c>
      <c r="I945" s="32">
        <v>0.12959999999999999</v>
      </c>
      <c r="J945" s="1089" t="s">
        <v>15</v>
      </c>
      <c r="K945" s="1090" t="s">
        <v>15</v>
      </c>
      <c r="L945" s="1089" t="s">
        <v>15</v>
      </c>
      <c r="M945" s="1090" t="s">
        <v>15</v>
      </c>
      <c r="N945" s="537">
        <v>6.5000000000000002E-2</v>
      </c>
      <c r="O945" s="536">
        <v>2.72</v>
      </c>
      <c r="P945" s="536">
        <v>2.3830549999999999E-2</v>
      </c>
      <c r="Q945" s="139">
        <f t="shared" ref="Q945:Q948" si="51">E945/SUM($E$944:$E$948)</f>
        <v>0.39473684210526316</v>
      </c>
      <c r="R945" s="2153"/>
      <c r="S945" s="452">
        <v>37</v>
      </c>
      <c r="T945" s="411" t="s">
        <v>15</v>
      </c>
      <c r="U945" s="859"/>
      <c r="V945" s="2242"/>
      <c r="W945" s="34" t="s">
        <v>49</v>
      </c>
      <c r="X945" s="34" t="s">
        <v>211</v>
      </c>
      <c r="Y945" s="169">
        <f>(T947+N941+N942+N944)*(1+$T$949)</f>
        <v>0.60899999999999999</v>
      </c>
      <c r="Z945" s="165">
        <f t="shared" si="49"/>
        <v>0.60899999999999999</v>
      </c>
      <c r="AA945" s="540">
        <f t="shared" si="48"/>
        <v>8.0628527628736665E-2</v>
      </c>
      <c r="AB945" s="922"/>
      <c r="AC945" s="37"/>
      <c r="AD945" s="22"/>
      <c r="AE945" s="27"/>
      <c r="AF945" s="33" t="s">
        <v>129</v>
      </c>
      <c r="AG945" s="34" t="s">
        <v>211</v>
      </c>
      <c r="AH945" s="165">
        <f t="shared" si="50"/>
        <v>0.60899999999999999</v>
      </c>
      <c r="AI945" s="172"/>
      <c r="AJ945" s="726"/>
      <c r="AK945" s="163"/>
      <c r="AL945" s="957"/>
      <c r="AM945" s="957"/>
      <c r="AN945" s="957"/>
      <c r="AO945" s="957"/>
      <c r="AP945" s="957"/>
      <c r="AQ945" s="957"/>
      <c r="AR945" s="957"/>
      <c r="AS945" s="957"/>
      <c r="AT945" s="957"/>
      <c r="AU945" s="957"/>
      <c r="AV945" s="957"/>
      <c r="AW945" s="957"/>
      <c r="AX945" s="957"/>
      <c r="AY945" s="957"/>
      <c r="AZ945" s="957"/>
      <c r="BA945" s="957"/>
      <c r="BB945" s="957"/>
      <c r="BC945" s="957"/>
      <c r="BD945" s="957"/>
      <c r="BE945" s="957"/>
      <c r="BF945" s="957"/>
      <c r="BG945" s="957"/>
    </row>
    <row r="946" spans="1:123">
      <c r="A946" s="2172"/>
      <c r="B946" s="2192"/>
      <c r="C946" s="2187"/>
      <c r="D946" s="54" t="s">
        <v>201</v>
      </c>
      <c r="E946" s="213">
        <v>3</v>
      </c>
      <c r="F946" s="542" t="s">
        <v>15</v>
      </c>
      <c r="G946" s="542" t="s">
        <v>15</v>
      </c>
      <c r="H946" s="552">
        <v>0.15670000000000001</v>
      </c>
      <c r="I946" s="55">
        <v>2.4199999999999999E-2</v>
      </c>
      <c r="J946" s="1089" t="s">
        <v>15</v>
      </c>
      <c r="K946" s="1090" t="s">
        <v>15</v>
      </c>
      <c r="L946" s="1089" t="s">
        <v>15</v>
      </c>
      <c r="M946" s="1090" t="s">
        <v>15</v>
      </c>
      <c r="N946" s="1201">
        <v>2.9000000000000001E-2</v>
      </c>
      <c r="O946" s="133">
        <v>0.71</v>
      </c>
      <c r="P946" s="133">
        <v>4.0469560000000002E-2</v>
      </c>
      <c r="Q946" s="139">
        <f t="shared" si="51"/>
        <v>7.8947368421052627E-2</v>
      </c>
      <c r="R946" s="2153"/>
      <c r="S946" s="127" t="s">
        <v>41</v>
      </c>
      <c r="T946" s="129" t="s">
        <v>42</v>
      </c>
      <c r="U946" s="858"/>
      <c r="V946" s="2242"/>
      <c r="W946" s="34" t="s">
        <v>49</v>
      </c>
      <c r="X946" s="34" t="s">
        <v>212</v>
      </c>
      <c r="Y946" s="169">
        <f>(T947+N941+N943+N944)*(1+$T$949)</f>
        <v>0.312</v>
      </c>
      <c r="Z946" s="165">
        <f t="shared" si="49"/>
        <v>0.312</v>
      </c>
      <c r="AA946" s="540">
        <f t="shared" si="48"/>
        <v>4.1307225977283812E-2</v>
      </c>
      <c r="AB946" s="922"/>
      <c r="AC946" s="37"/>
      <c r="AD946" s="24"/>
      <c r="AE946" s="26"/>
      <c r="AF946" s="56" t="s">
        <v>129</v>
      </c>
      <c r="AG946" s="36" t="s">
        <v>212</v>
      </c>
      <c r="AH946" s="165">
        <f t="shared" si="50"/>
        <v>0.312</v>
      </c>
      <c r="AI946" s="495"/>
      <c r="AJ946" s="726"/>
      <c r="AK946" s="163"/>
      <c r="AL946" s="957"/>
      <c r="AM946" s="957"/>
      <c r="AN946" s="957"/>
      <c r="AO946" s="957"/>
      <c r="AP946" s="957"/>
      <c r="AQ946" s="957"/>
      <c r="AR946" s="957"/>
      <c r="AS946" s="957"/>
      <c r="AT946" s="957"/>
      <c r="AU946" s="957"/>
      <c r="AV946" s="957"/>
      <c r="AW946" s="957"/>
      <c r="AX946" s="957"/>
      <c r="AY946" s="957"/>
      <c r="AZ946" s="957"/>
      <c r="BA946" s="957"/>
      <c r="BB946" s="957"/>
      <c r="BC946" s="957"/>
      <c r="BD946" s="957"/>
      <c r="BE946" s="957"/>
      <c r="BF946" s="957"/>
      <c r="BG946" s="957"/>
    </row>
    <row r="947" spans="1:123" ht="15" customHeight="1">
      <c r="A947" s="2172"/>
      <c r="B947" s="2192"/>
      <c r="C947" s="2187"/>
      <c r="D947" s="54" t="s">
        <v>202</v>
      </c>
      <c r="E947" s="213">
        <v>1</v>
      </c>
      <c r="F947" s="542" t="s">
        <v>15</v>
      </c>
      <c r="G947" s="542" t="s">
        <v>15</v>
      </c>
      <c r="H947" s="552">
        <v>0.30199999999999999</v>
      </c>
      <c r="I947" s="55">
        <v>0</v>
      </c>
      <c r="J947" s="1089" t="s">
        <v>15</v>
      </c>
      <c r="K947" s="1090" t="s">
        <v>15</v>
      </c>
      <c r="L947" s="1089" t="s">
        <v>15</v>
      </c>
      <c r="M947" s="1090" t="s">
        <v>15</v>
      </c>
      <c r="N947" s="1201">
        <v>0.111</v>
      </c>
      <c r="O947" s="133">
        <v>1.78</v>
      </c>
      <c r="P947" s="133">
        <v>6.208516E-2</v>
      </c>
      <c r="Q947" s="139">
        <f t="shared" si="51"/>
        <v>2.6315789473684209E-2</v>
      </c>
      <c r="R947" s="2153"/>
      <c r="S947" s="140">
        <v>0.84599999999999997</v>
      </c>
      <c r="T947" s="141">
        <v>2E-3</v>
      </c>
      <c r="U947" s="880"/>
      <c r="V947" s="2159"/>
      <c r="W947" s="2160"/>
      <c r="X947" s="2160"/>
      <c r="Y947" s="2160"/>
      <c r="Z947" s="2160"/>
      <c r="AA947" s="2160"/>
      <c r="AB947" s="927"/>
      <c r="AC947" s="37"/>
      <c r="AD947" s="24"/>
      <c r="AE947" s="26"/>
      <c r="AF947" s="110"/>
      <c r="AG947" s="40"/>
      <c r="AH947" s="161"/>
      <c r="AI947" s="161"/>
      <c r="AJ947" s="163"/>
      <c r="AK947" s="163"/>
      <c r="AL947" s="957"/>
      <c r="AM947" s="957"/>
      <c r="AN947" s="957"/>
      <c r="AO947" s="957"/>
      <c r="AP947" s="957"/>
      <c r="AQ947" s="957"/>
      <c r="AR947" s="957"/>
      <c r="AS947" s="957"/>
      <c r="AT947" s="957"/>
      <c r="AU947" s="957"/>
      <c r="AV947" s="957"/>
      <c r="AW947" s="957"/>
      <c r="AX947" s="957"/>
      <c r="AY947" s="957"/>
      <c r="AZ947" s="957"/>
      <c r="BA947" s="957"/>
      <c r="BB947" s="957"/>
      <c r="BC947" s="957"/>
      <c r="BD947" s="957"/>
      <c r="BE947" s="957"/>
      <c r="BF947" s="957"/>
      <c r="BG947" s="957"/>
    </row>
    <row r="948" spans="1:123">
      <c r="A948" s="2172"/>
      <c r="B948" s="2192"/>
      <c r="C948" s="2187"/>
      <c r="D948" s="54" t="s">
        <v>203</v>
      </c>
      <c r="E948" s="213">
        <v>10</v>
      </c>
      <c r="F948" s="543" t="s">
        <v>15</v>
      </c>
      <c r="G948" s="543" t="s">
        <v>15</v>
      </c>
      <c r="H948" s="55">
        <v>0.25340000000000001</v>
      </c>
      <c r="I948" s="55">
        <v>7.0099999999999996E-2</v>
      </c>
      <c r="J948" s="1089" t="s">
        <v>15</v>
      </c>
      <c r="K948" s="1090" t="s">
        <v>15</v>
      </c>
      <c r="L948" s="1089" t="s">
        <v>15</v>
      </c>
      <c r="M948" s="1090" t="s">
        <v>15</v>
      </c>
      <c r="N948" s="1201">
        <v>0</v>
      </c>
      <c r="O948" s="455" t="s">
        <v>204</v>
      </c>
      <c r="P948" s="455" t="s">
        <v>204</v>
      </c>
      <c r="Q948" s="139">
        <f t="shared" si="51"/>
        <v>0.26315789473684209</v>
      </c>
      <c r="R948" s="2154"/>
      <c r="S948" s="127" t="s">
        <v>235</v>
      </c>
      <c r="T948" s="119" t="s">
        <v>391</v>
      </c>
      <c r="U948" s="855"/>
      <c r="V948" s="2159"/>
      <c r="W948" s="2160"/>
      <c r="X948" s="2160"/>
      <c r="Y948" s="2160"/>
      <c r="Z948" s="2160"/>
      <c r="AA948" s="2160"/>
      <c r="AB948" s="927"/>
      <c r="AC948" s="37"/>
      <c r="AD948" s="24"/>
      <c r="AE948" s="26"/>
      <c r="AF948" s="106"/>
      <c r="AG948" s="37"/>
      <c r="AH948" s="163"/>
      <c r="AI948" s="163"/>
      <c r="AJ948" s="163"/>
      <c r="AK948" s="163"/>
      <c r="AL948" s="957"/>
      <c r="AM948" s="957"/>
      <c r="AN948" s="957"/>
      <c r="AO948" s="957"/>
      <c r="AP948" s="957"/>
      <c r="AQ948" s="957"/>
      <c r="AR948" s="957"/>
      <c r="AS948" s="957"/>
      <c r="AT948" s="957"/>
      <c r="AU948" s="957"/>
      <c r="AV948" s="957"/>
      <c r="AW948" s="957"/>
      <c r="AX948" s="957"/>
      <c r="AY948" s="957"/>
      <c r="AZ948" s="957"/>
      <c r="BA948" s="957"/>
      <c r="BB948" s="957"/>
      <c r="BC948" s="957"/>
      <c r="BD948" s="957"/>
      <c r="BE948" s="957"/>
      <c r="BF948" s="957"/>
      <c r="BG948" s="957"/>
    </row>
    <row r="949" spans="1:123" ht="15.75" thickBot="1">
      <c r="A949" s="2188"/>
      <c r="B949" s="1000" t="s">
        <v>194</v>
      </c>
      <c r="C949" s="182"/>
      <c r="D949" s="182"/>
      <c r="E949" s="182"/>
      <c r="F949" s="182"/>
      <c r="G949" s="182"/>
      <c r="H949" s="182"/>
      <c r="I949" s="182"/>
      <c r="J949" s="318"/>
      <c r="K949" s="174"/>
      <c r="L949" s="318"/>
      <c r="M949" s="174"/>
      <c r="N949" s="1228"/>
      <c r="O949" s="465"/>
      <c r="P949" s="465"/>
      <c r="Q949" s="250"/>
      <c r="R949" s="262"/>
      <c r="S949" s="189">
        <v>0.04</v>
      </c>
      <c r="T949" s="415">
        <v>0.5</v>
      </c>
      <c r="U949" s="862"/>
      <c r="V949" s="903"/>
      <c r="W949" s="73"/>
      <c r="X949" s="73"/>
      <c r="Y949" s="73"/>
      <c r="Z949" s="73"/>
      <c r="AA949" s="844"/>
      <c r="AB949" s="927"/>
      <c r="AC949" s="37"/>
      <c r="AD949" s="24"/>
      <c r="AE949" s="26"/>
      <c r="AF949" s="106"/>
      <c r="AG949" s="183"/>
      <c r="AH949" s="311"/>
      <c r="AI949" s="311"/>
      <c r="AJ949" s="311"/>
      <c r="AK949" s="311"/>
      <c r="AL949" s="1037"/>
      <c r="AM949" s="1037"/>
      <c r="AN949" s="1037"/>
      <c r="AO949" s="1037"/>
      <c r="AP949" s="1037"/>
      <c r="AQ949" s="1037"/>
      <c r="AR949" s="1037"/>
      <c r="AS949" s="1037"/>
      <c r="AT949" s="1037"/>
      <c r="AU949" s="1037"/>
      <c r="AV949" s="1037"/>
      <c r="AW949" s="1037"/>
      <c r="AX949" s="1037"/>
      <c r="AY949" s="1037"/>
      <c r="AZ949" s="1037"/>
      <c r="BA949" s="1037"/>
      <c r="BB949" s="1037"/>
      <c r="BC949" s="1037"/>
      <c r="BD949" s="1037"/>
      <c r="BE949" s="1037"/>
      <c r="BF949" s="1037"/>
      <c r="BG949" s="1037"/>
    </row>
    <row r="950" spans="1:123" s="705" customFormat="1" ht="9" customHeight="1" thickBot="1">
      <c r="A950" s="695"/>
      <c r="B950" s="815"/>
      <c r="C950" s="684"/>
      <c r="D950" s="683"/>
      <c r="E950" s="684"/>
      <c r="F950" s="684"/>
      <c r="G950" s="684"/>
      <c r="H950" s="683"/>
      <c r="I950" s="683"/>
      <c r="J950" s="682"/>
      <c r="K950" s="683"/>
      <c r="L950" s="682"/>
      <c r="M950" s="685"/>
      <c r="N950" s="1189"/>
      <c r="O950" s="686"/>
      <c r="P950" s="686"/>
      <c r="Q950" s="687"/>
      <c r="R950" s="714"/>
      <c r="S950" s="688"/>
      <c r="T950" s="688"/>
      <c r="U950" s="854"/>
      <c r="V950" s="893"/>
      <c r="W950" s="685"/>
      <c r="X950" s="685"/>
      <c r="Y950" s="688"/>
      <c r="Z950" s="688"/>
      <c r="AA950" s="688"/>
      <c r="AB950" s="846"/>
      <c r="AC950" s="685"/>
      <c r="AD950" s="685"/>
      <c r="AE950" s="685"/>
      <c r="AF950" s="689"/>
      <c r="AG950" s="685"/>
      <c r="AH950" s="690"/>
      <c r="AI950" s="690"/>
      <c r="AJ950" s="690"/>
      <c r="AK950" s="690"/>
      <c r="AL950" s="958"/>
      <c r="AM950" s="958"/>
      <c r="AN950" s="958"/>
      <c r="AO950" s="958"/>
      <c r="AP950" s="958"/>
      <c r="AQ950" s="958"/>
      <c r="AR950" s="958"/>
      <c r="AS950" s="958"/>
      <c r="AT950" s="958"/>
      <c r="AU950" s="958"/>
      <c r="AV950" s="958"/>
      <c r="AW950" s="958"/>
      <c r="AX950" s="958"/>
      <c r="AY950" s="958"/>
      <c r="AZ950" s="958"/>
      <c r="BA950" s="958"/>
      <c r="BB950" s="958"/>
      <c r="BC950" s="958"/>
      <c r="BD950" s="958"/>
      <c r="BE950" s="958"/>
      <c r="BF950" s="958"/>
      <c r="BG950" s="958"/>
      <c r="BH950" s="1125"/>
      <c r="CF950" s="692"/>
      <c r="CG950" s="692"/>
      <c r="CH950" s="692"/>
      <c r="CI950" s="692"/>
      <c r="CJ950" s="692"/>
      <c r="CK950" s="692"/>
      <c r="CL950" s="692"/>
      <c r="CM950" s="692"/>
      <c r="CN950" s="692"/>
      <c r="CO950" s="692"/>
      <c r="CP950" s="692"/>
      <c r="CQ950" s="692"/>
      <c r="CR950" s="692"/>
      <c r="CS950" s="692"/>
      <c r="CT950" s="692"/>
      <c r="CU950" s="692"/>
      <c r="CV950" s="692"/>
      <c r="CW950" s="692"/>
      <c r="CX950" s="692"/>
      <c r="CY950" s="692"/>
      <c r="CZ950" s="692"/>
      <c r="DA950" s="692"/>
      <c r="DB950" s="692"/>
      <c r="DC950" s="692"/>
      <c r="DD950" s="692"/>
      <c r="DE950" s="692"/>
      <c r="DF950" s="692"/>
      <c r="DG950" s="692"/>
      <c r="DH950" s="692"/>
      <c r="DI950" s="693"/>
      <c r="DJ950" s="692"/>
      <c r="DK950" s="692"/>
      <c r="DL950" s="692"/>
      <c r="DM950" s="692"/>
      <c r="DN950" s="692"/>
      <c r="DO950" s="692"/>
      <c r="DP950" s="692"/>
      <c r="DQ950" s="692"/>
      <c r="DR950" s="692"/>
      <c r="DS950" s="692"/>
    </row>
    <row r="951" spans="1:123">
      <c r="A951" s="2171" t="s">
        <v>479</v>
      </c>
      <c r="B951" s="819" t="s">
        <v>468</v>
      </c>
      <c r="C951" s="810" t="s">
        <v>12</v>
      </c>
      <c r="D951" s="295" t="s">
        <v>539</v>
      </c>
      <c r="E951" s="77">
        <v>41</v>
      </c>
      <c r="F951" s="77">
        <v>0.69299999999999995</v>
      </c>
      <c r="G951" s="77">
        <v>0.19400000000000001</v>
      </c>
      <c r="H951" s="58">
        <v>1.62</v>
      </c>
      <c r="I951" s="99">
        <v>1.26</v>
      </c>
      <c r="J951" s="216" t="s">
        <v>15</v>
      </c>
      <c r="K951" s="22" t="s">
        <v>15</v>
      </c>
      <c r="L951" s="1170" t="s">
        <v>15</v>
      </c>
      <c r="M951" s="22" t="s">
        <v>15</v>
      </c>
      <c r="N951" s="1229">
        <v>-3.15</v>
      </c>
      <c r="O951" s="441">
        <v>4.0199999999999996</v>
      </c>
      <c r="P951" s="280">
        <v>0.78500000000000003</v>
      </c>
      <c r="Q951" s="254" t="s">
        <v>15</v>
      </c>
      <c r="R951" s="1329">
        <f>N951</f>
        <v>-3.15</v>
      </c>
      <c r="S951" s="149" t="s">
        <v>68</v>
      </c>
      <c r="T951" s="150" t="s">
        <v>69</v>
      </c>
      <c r="U951" s="858"/>
      <c r="V951" s="2134" t="s">
        <v>511</v>
      </c>
      <c r="W951" s="211" t="s">
        <v>47</v>
      </c>
      <c r="X951" s="211" t="s">
        <v>478</v>
      </c>
      <c r="Y951" s="539">
        <v>0</v>
      </c>
      <c r="Z951" s="539" t="s">
        <v>40</v>
      </c>
      <c r="AA951" s="172" t="s">
        <v>40</v>
      </c>
      <c r="AB951" s="923"/>
      <c r="AC951" s="26"/>
      <c r="AD951" s="2131" t="s">
        <v>142</v>
      </c>
      <c r="AE951" s="2132"/>
      <c r="AF951" s="353" t="s">
        <v>49</v>
      </c>
      <c r="AG951" s="212" t="s">
        <v>477</v>
      </c>
      <c r="AH951" s="312">
        <f>Y954</f>
        <v>1.1029750000000005</v>
      </c>
      <c r="AI951" s="312">
        <v>0.96499999999999997</v>
      </c>
      <c r="AJ951" s="312">
        <v>0.85</v>
      </c>
      <c r="AK951" s="666">
        <v>0.8</v>
      </c>
      <c r="AL951" s="1032"/>
      <c r="AM951" s="1012"/>
      <c r="AN951" s="1012"/>
      <c r="AO951" s="1012"/>
      <c r="AP951" s="1012"/>
      <c r="AQ951" s="1012"/>
      <c r="AR951" s="1012"/>
      <c r="AS951" s="1012"/>
      <c r="AT951" s="1012"/>
      <c r="AU951" s="1012"/>
      <c r="AV951" s="1012"/>
      <c r="AW951" s="1012"/>
      <c r="AX951" s="1012"/>
      <c r="AY951" s="1012"/>
      <c r="AZ951" s="1012"/>
      <c r="BA951" s="1012"/>
      <c r="BB951" s="1012"/>
      <c r="BC951" s="1012"/>
      <c r="BD951" s="1012"/>
      <c r="BE951" s="1012"/>
      <c r="BF951" s="1012"/>
      <c r="BG951" s="1012"/>
    </row>
    <row r="952" spans="1:123">
      <c r="A952" s="2172"/>
      <c r="B952" s="817" t="s">
        <v>469</v>
      </c>
      <c r="C952" s="356" t="s">
        <v>12</v>
      </c>
      <c r="D952" s="290" t="s">
        <v>540</v>
      </c>
      <c r="E952" s="452">
        <v>52</v>
      </c>
      <c r="F952" s="452">
        <v>0.66700000000000004</v>
      </c>
      <c r="G952" s="452">
        <v>0.2</v>
      </c>
      <c r="H952" s="58">
        <v>1.62</v>
      </c>
      <c r="I952" s="99">
        <v>1.26</v>
      </c>
      <c r="J952" s="216" t="s">
        <v>15</v>
      </c>
      <c r="K952" s="22" t="s">
        <v>15</v>
      </c>
      <c r="L952" s="216" t="s">
        <v>15</v>
      </c>
      <c r="M952" s="22" t="s">
        <v>15</v>
      </c>
      <c r="N952" s="1230">
        <v>-3.67</v>
      </c>
      <c r="O952" s="537">
        <v>4.4800000000000004</v>
      </c>
      <c r="P952" s="536">
        <v>0.81799999999999995</v>
      </c>
      <c r="Q952" s="195" t="s">
        <v>15</v>
      </c>
      <c r="R952" s="1329">
        <f t="shared" ref="R952:R956" si="52">N952</f>
        <v>-3.67</v>
      </c>
      <c r="S952" s="221" t="s">
        <v>205</v>
      </c>
      <c r="T952" s="222" t="s">
        <v>193</v>
      </c>
      <c r="U952" s="878"/>
      <c r="V952" s="2163"/>
      <c r="W952" s="982" t="s">
        <v>49</v>
      </c>
      <c r="X952" s="335" t="s">
        <v>2164</v>
      </c>
      <c r="Y952" s="539">
        <f>((0.37*$R$953)+(0.81*$R$951)+(0.63*$R$952)+(1.03*$R$956)+$T$958+(26*$R$955)+(32*$R$954))*(1+$T$960)</f>
        <v>1.0970249999999999</v>
      </c>
      <c r="Z952" s="539">
        <f>Y952</f>
        <v>1.0970249999999999</v>
      </c>
      <c r="AA952" s="172">
        <f>0.448/H951*Y952</f>
        <v>0.30337481481481476</v>
      </c>
      <c r="AB952" s="923"/>
      <c r="AC952" s="26"/>
      <c r="AD952" s="2249" t="s">
        <v>513</v>
      </c>
      <c r="AE952" s="2250"/>
      <c r="AF952" s="75"/>
      <c r="AG952" s="26"/>
      <c r="AH952" s="957"/>
      <c r="AI952" s="957"/>
      <c r="AJ952" s="957"/>
      <c r="AK952" s="957"/>
      <c r="AL952" s="957"/>
      <c r="AM952" s="957"/>
      <c r="AN952" s="957"/>
      <c r="AO952" s="957"/>
      <c r="AP952" s="957"/>
      <c r="AQ952" s="957"/>
      <c r="AR952" s="957"/>
      <c r="AS952" s="957"/>
      <c r="AT952" s="957"/>
      <c r="AU952" s="957"/>
      <c r="AV952" s="957"/>
      <c r="AW952" s="957"/>
      <c r="AX952" s="957"/>
      <c r="AY952" s="957"/>
      <c r="AZ952" s="957"/>
      <c r="BA952" s="957"/>
      <c r="BB952" s="957"/>
      <c r="BC952" s="957"/>
      <c r="BD952" s="957"/>
      <c r="BE952" s="957"/>
      <c r="BF952" s="957"/>
      <c r="BG952" s="957"/>
    </row>
    <row r="953" spans="1:123">
      <c r="A953" s="2172"/>
      <c r="B953" s="817" t="s">
        <v>470</v>
      </c>
      <c r="C953" s="356" t="s">
        <v>12</v>
      </c>
      <c r="D953" s="338" t="s">
        <v>541</v>
      </c>
      <c r="E953" s="452">
        <v>42</v>
      </c>
      <c r="F953" s="452">
        <v>0.35599999999999998</v>
      </c>
      <c r="G953" s="452">
        <v>0.153</v>
      </c>
      <c r="H953" s="58">
        <v>1.62</v>
      </c>
      <c r="I953" s="99">
        <v>1.26</v>
      </c>
      <c r="J953" s="234" t="s">
        <v>15</v>
      </c>
      <c r="K953" s="233" t="s">
        <v>15</v>
      </c>
      <c r="L953" s="289" t="s">
        <v>12</v>
      </c>
      <c r="M953" s="15" t="s">
        <v>476</v>
      </c>
      <c r="N953" s="1230">
        <v>2.39</v>
      </c>
      <c r="O953" s="537">
        <v>2.2599999999999998</v>
      </c>
      <c r="P953" s="536">
        <v>1.06</v>
      </c>
      <c r="Q953" s="195" t="s">
        <v>15</v>
      </c>
      <c r="R953" s="1329">
        <f t="shared" si="52"/>
        <v>2.39</v>
      </c>
      <c r="S953" s="127" t="s">
        <v>72</v>
      </c>
      <c r="T953" s="119" t="s">
        <v>119</v>
      </c>
      <c r="U953" s="855"/>
      <c r="V953" s="2163"/>
      <c r="W953" s="982" t="s">
        <v>49</v>
      </c>
      <c r="X953" s="335" t="s">
        <v>2165</v>
      </c>
      <c r="Y953" s="1319">
        <f>((0.29*$R$953)+(0.84*$R$951)+(0.64*$R$952)+(5.91*$R$956)+$T$958+(28*$R$955)+(30*$R$954))*(1+$T$960)</f>
        <v>1.4619249999999995</v>
      </c>
      <c r="Z953" s="1360">
        <f t="shared" ref="Z953:Z955" si="53">Y953</f>
        <v>1.4619249999999995</v>
      </c>
      <c r="AA953" s="172">
        <f>0.448/H952*Y953</f>
        <v>0.40428543209876527</v>
      </c>
      <c r="AB953" s="923"/>
      <c r="AC953" s="26"/>
      <c r="AD953" s="24"/>
      <c r="AE953" s="26"/>
      <c r="AF953" s="75"/>
      <c r="AG953" s="26"/>
      <c r="AH953" s="957"/>
      <c r="AI953" s="957"/>
      <c r="AJ953" s="957"/>
      <c r="AK953" s="957"/>
      <c r="AL953" s="957"/>
      <c r="AM953" s="957"/>
      <c r="AN953" s="957"/>
      <c r="AO953" s="957"/>
      <c r="AP953" s="957"/>
      <c r="AQ953" s="957"/>
      <c r="AR953" s="957"/>
      <c r="AS953" s="957"/>
      <c r="AT953" s="957"/>
      <c r="AU953" s="957"/>
      <c r="AV953" s="957"/>
      <c r="AW953" s="957"/>
      <c r="AX953" s="957"/>
      <c r="AY953" s="957"/>
      <c r="AZ953" s="957"/>
      <c r="BA953" s="957"/>
      <c r="BB953" s="957"/>
      <c r="BC953" s="957"/>
      <c r="BD953" s="957"/>
      <c r="BE953" s="957"/>
      <c r="BF953" s="957"/>
      <c r="BG953" s="957"/>
    </row>
    <row r="954" spans="1:123">
      <c r="A954" s="2172"/>
      <c r="B954" s="817" t="s">
        <v>471</v>
      </c>
      <c r="C954" s="356" t="s">
        <v>12</v>
      </c>
      <c r="D954" s="210" t="s">
        <v>472</v>
      </c>
      <c r="E954" s="452">
        <v>39</v>
      </c>
      <c r="F954" s="452">
        <v>37.49</v>
      </c>
      <c r="G954" s="452">
        <v>18.170000000000002</v>
      </c>
      <c r="H954" s="58">
        <v>1.62</v>
      </c>
      <c r="I954" s="99">
        <v>1.26</v>
      </c>
      <c r="J954" s="216" t="s">
        <v>15</v>
      </c>
      <c r="K954" s="22" t="s">
        <v>15</v>
      </c>
      <c r="L954" s="216" t="s">
        <v>15</v>
      </c>
      <c r="M954" s="70" t="s">
        <v>15</v>
      </c>
      <c r="N954" s="1230">
        <v>6.2E-2</v>
      </c>
      <c r="O954" s="537">
        <v>5.78</v>
      </c>
      <c r="P954" s="536">
        <v>1.0999999999999999E-2</v>
      </c>
      <c r="Q954" s="195" t="s">
        <v>15</v>
      </c>
      <c r="R954" s="1329">
        <f t="shared" si="52"/>
        <v>6.2E-2</v>
      </c>
      <c r="S954" s="423" t="s">
        <v>139</v>
      </c>
      <c r="T954" s="411" t="s">
        <v>140</v>
      </c>
      <c r="U954" s="859"/>
      <c r="V954" s="2163"/>
      <c r="W954" s="982" t="s">
        <v>49</v>
      </c>
      <c r="X954" s="335" t="s">
        <v>2166</v>
      </c>
      <c r="Y954" s="1319">
        <f>((0.22*$R$953)+(0.71*$R$951)+(0.8*$R$952)+(0.97*$R$956)+$T$958+(62*$R$955)+(61*$R$954))*(1+$T$960)</f>
        <v>1.1029750000000005</v>
      </c>
      <c r="Z954" s="1360">
        <f t="shared" si="53"/>
        <v>1.1029750000000005</v>
      </c>
      <c r="AA954" s="172">
        <f>0.448/H953*Y954</f>
        <v>0.30502024691358037</v>
      </c>
      <c r="AB954" s="923"/>
      <c r="AC954" s="26"/>
      <c r="AD954" s="24"/>
      <c r="AE954" s="26"/>
      <c r="AF954" s="75"/>
      <c r="AG954" s="26"/>
      <c r="AH954" s="957"/>
      <c r="AI954" s="957"/>
      <c r="AJ954" s="957"/>
      <c r="AK954" s="957"/>
      <c r="AL954" s="957"/>
      <c r="AM954" s="957"/>
      <c r="AN954" s="957"/>
      <c r="AO954" s="957"/>
      <c r="AP954" s="957"/>
      <c r="AQ954" s="957"/>
      <c r="AR954" s="957"/>
      <c r="AS954" s="957"/>
      <c r="AT954" s="957"/>
      <c r="AU954" s="957"/>
      <c r="AV954" s="957"/>
      <c r="AW954" s="957"/>
      <c r="AX954" s="957"/>
      <c r="AY954" s="957"/>
      <c r="AZ954" s="957"/>
      <c r="BA954" s="957"/>
      <c r="BB954" s="957"/>
      <c r="BC954" s="957"/>
      <c r="BD954" s="957"/>
      <c r="BE954" s="957"/>
      <c r="BF954" s="957"/>
      <c r="BG954" s="957"/>
    </row>
    <row r="955" spans="1:123">
      <c r="A955" s="2172"/>
      <c r="B955" s="817" t="s">
        <v>473</v>
      </c>
      <c r="C955" s="356" t="s">
        <v>12</v>
      </c>
      <c r="D955" s="210" t="s">
        <v>474</v>
      </c>
      <c r="E955" s="452">
        <v>37</v>
      </c>
      <c r="F955" s="452">
        <v>29.19</v>
      </c>
      <c r="G955" s="452">
        <v>16.79</v>
      </c>
      <c r="H955" s="58">
        <v>1.62</v>
      </c>
      <c r="I955" s="99">
        <v>1.26</v>
      </c>
      <c r="J955" s="216" t="s">
        <v>15</v>
      </c>
      <c r="K955" s="22" t="s">
        <v>15</v>
      </c>
      <c r="L955" s="216" t="s">
        <v>15</v>
      </c>
      <c r="M955" s="22" t="s">
        <v>15</v>
      </c>
      <c r="N955" s="1230">
        <v>-3.1E-2</v>
      </c>
      <c r="O955" s="537">
        <v>3.55</v>
      </c>
      <c r="P955" s="536">
        <v>8.9999999999999993E-3</v>
      </c>
      <c r="Q955" s="195" t="s">
        <v>15</v>
      </c>
      <c r="R955" s="1329">
        <f t="shared" si="52"/>
        <v>-3.1E-2</v>
      </c>
      <c r="S955" s="127" t="s">
        <v>74</v>
      </c>
      <c r="T955" s="129" t="s">
        <v>75</v>
      </c>
      <c r="U955" s="858"/>
      <c r="V955" s="2164"/>
      <c r="W955" s="982" t="s">
        <v>49</v>
      </c>
      <c r="X955" s="335" t="s">
        <v>2167</v>
      </c>
      <c r="Y955" s="1319">
        <f>((0.17*$R$953)+(0.84*$R$951)+(0.91*$R$952)+(5.91*$R$956)+$T$958+(17*$R$955)+(55*$R$954))*(1+$T$960)</f>
        <v>2.2285500000000003</v>
      </c>
      <c r="Z955" s="1360">
        <f t="shared" si="53"/>
        <v>2.2285500000000003</v>
      </c>
      <c r="AA955" s="172">
        <f>0.448/H954*Y955</f>
        <v>0.61629037037037038</v>
      </c>
      <c r="AB955" s="923"/>
      <c r="AC955" s="26"/>
      <c r="AD955" s="24"/>
      <c r="AE955" s="26"/>
      <c r="AF955" s="75"/>
      <c r="AG955" s="26"/>
      <c r="AH955" s="957"/>
      <c r="AI955" s="957"/>
      <c r="AJ955" s="957"/>
      <c r="AK955" s="957"/>
      <c r="AL955" s="957"/>
      <c r="AM955" s="957"/>
      <c r="AN955" s="957"/>
      <c r="AO955" s="957"/>
      <c r="AP955" s="957"/>
      <c r="AQ955" s="957"/>
      <c r="AR955" s="957"/>
      <c r="AS955" s="957"/>
      <c r="AT955" s="957"/>
      <c r="AU955" s="957"/>
      <c r="AV955" s="957"/>
      <c r="AW955" s="957"/>
      <c r="AX955" s="957"/>
      <c r="AY955" s="957"/>
      <c r="AZ955" s="957"/>
      <c r="BA955" s="957"/>
      <c r="BB955" s="957"/>
      <c r="BC955" s="957"/>
      <c r="BD955" s="957"/>
      <c r="BE955" s="957"/>
      <c r="BF955" s="957"/>
      <c r="BG955" s="957"/>
    </row>
    <row r="956" spans="1:123">
      <c r="A956" s="2172"/>
      <c r="B956" s="817" t="s">
        <v>475</v>
      </c>
      <c r="C956" s="356" t="s">
        <v>12</v>
      </c>
      <c r="D956" s="297" t="s">
        <v>542</v>
      </c>
      <c r="E956" s="452">
        <v>34</v>
      </c>
      <c r="F956" s="452">
        <v>2.27</v>
      </c>
      <c r="G956" s="452">
        <v>2.2200000000000002</v>
      </c>
      <c r="H956" s="58">
        <v>1.62</v>
      </c>
      <c r="I956" s="99">
        <v>1.26</v>
      </c>
      <c r="J956" s="101" t="s">
        <v>15</v>
      </c>
      <c r="K956" s="70" t="s">
        <v>15</v>
      </c>
      <c r="L956" s="101" t="s">
        <v>15</v>
      </c>
      <c r="M956" s="70" t="s">
        <v>15</v>
      </c>
      <c r="N956" s="1230">
        <v>0.16400000000000001</v>
      </c>
      <c r="O956" s="537">
        <v>3.02</v>
      </c>
      <c r="P956" s="536">
        <v>5.3999999999999999E-2</v>
      </c>
      <c r="Q956" s="195" t="s">
        <v>15</v>
      </c>
      <c r="R956" s="1329">
        <f t="shared" si="52"/>
        <v>0.16400000000000001</v>
      </c>
      <c r="S956" s="95">
        <v>30</v>
      </c>
      <c r="T956" s="117" t="s">
        <v>15</v>
      </c>
      <c r="U956" s="854"/>
      <c r="V956" s="24"/>
      <c r="W956" s="26"/>
      <c r="X956" s="26"/>
      <c r="Y956" s="26"/>
      <c r="Z956" s="26"/>
      <c r="AA956" s="26"/>
      <c r="AC956" s="26"/>
      <c r="AD956" s="24"/>
      <c r="AE956" s="26"/>
      <c r="AF956" s="75"/>
      <c r="AG956" s="26"/>
      <c r="AH956" s="957"/>
      <c r="AI956" s="957"/>
      <c r="AJ956" s="957"/>
      <c r="AK956" s="957"/>
      <c r="AL956" s="957"/>
      <c r="AM956" s="957"/>
      <c r="AN956" s="957"/>
      <c r="AO956" s="957"/>
      <c r="AP956" s="957"/>
      <c r="AQ956" s="957"/>
      <c r="AR956" s="957"/>
      <c r="AS956" s="957"/>
      <c r="AT956" s="957"/>
      <c r="AU956" s="957"/>
      <c r="AV956" s="957"/>
      <c r="AW956" s="957"/>
      <c r="AX956" s="957"/>
      <c r="AY956" s="957"/>
      <c r="AZ956" s="957"/>
      <c r="BA956" s="957"/>
      <c r="BB956" s="957"/>
      <c r="BC956" s="957"/>
      <c r="BD956" s="957"/>
      <c r="BE956" s="957"/>
      <c r="BF956" s="957"/>
      <c r="BG956" s="957"/>
    </row>
    <row r="957" spans="1:123" ht="15" customHeight="1">
      <c r="A957" s="2172"/>
      <c r="B957" s="2116" t="s">
        <v>194</v>
      </c>
      <c r="C957" s="41"/>
      <c r="D957" s="26"/>
      <c r="E957" s="41"/>
      <c r="F957" s="41"/>
      <c r="G957" s="41"/>
      <c r="H957" s="41"/>
      <c r="I957" s="41"/>
      <c r="J957" s="102"/>
      <c r="K957" s="27"/>
      <c r="L957" s="102"/>
      <c r="M957" s="27"/>
      <c r="N957" s="1204"/>
      <c r="O957" s="467"/>
      <c r="P957" s="467"/>
      <c r="Q957" s="252"/>
      <c r="R957" s="252"/>
      <c r="S957" s="127" t="s">
        <v>41</v>
      </c>
      <c r="T957" s="129" t="s">
        <v>42</v>
      </c>
      <c r="U957" s="858"/>
      <c r="V957" s="24"/>
      <c r="W957" s="26"/>
      <c r="X957" s="26"/>
      <c r="Y957" s="26"/>
      <c r="Z957" s="26"/>
      <c r="AA957" s="26"/>
      <c r="AC957" s="26"/>
      <c r="AD957" s="24"/>
      <c r="AE957" s="26"/>
      <c r="AF957" s="75"/>
      <c r="AG957" s="26"/>
      <c r="AH957" s="957"/>
      <c r="AI957" s="957"/>
      <c r="AJ957" s="957"/>
      <c r="AK957" s="957"/>
      <c r="AL957" s="957"/>
      <c r="AM957" s="957"/>
      <c r="AN957" s="957"/>
      <c r="AO957" s="957"/>
      <c r="AP957" s="957"/>
      <c r="AQ957" s="957"/>
      <c r="AR957" s="957"/>
      <c r="AS957" s="957"/>
      <c r="AT957" s="957"/>
      <c r="AU957" s="957"/>
      <c r="AV957" s="957"/>
      <c r="AW957" s="957"/>
      <c r="AX957" s="957"/>
      <c r="AY957" s="957"/>
      <c r="AZ957" s="957"/>
      <c r="BA957" s="957"/>
      <c r="BB957" s="957"/>
      <c r="BC957" s="957"/>
      <c r="BD957" s="957"/>
      <c r="BE957" s="957"/>
      <c r="BF957" s="957"/>
      <c r="BG957" s="957"/>
    </row>
    <row r="958" spans="1:123">
      <c r="A958" s="2172"/>
      <c r="B958" s="2117"/>
      <c r="C958" s="41"/>
      <c r="D958" s="26"/>
      <c r="E958" s="41"/>
      <c r="F958" s="41"/>
      <c r="G958" s="41"/>
      <c r="H958" s="41"/>
      <c r="I958" s="41"/>
      <c r="J958" s="75"/>
      <c r="K958" s="26"/>
      <c r="L958" s="75"/>
      <c r="M958" s="26"/>
      <c r="N958" s="1205"/>
      <c r="O958" s="467"/>
      <c r="P958" s="467"/>
      <c r="Q958" s="252"/>
      <c r="R958" s="252"/>
      <c r="S958" s="86">
        <v>0.84799999999999998</v>
      </c>
      <c r="T958" s="302">
        <v>3.51</v>
      </c>
      <c r="U958" s="874"/>
      <c r="V958" s="24"/>
      <c r="W958" s="26"/>
      <c r="X958" s="26"/>
      <c r="Y958" s="26"/>
      <c r="Z958" s="26"/>
      <c r="AA958" s="26"/>
      <c r="AC958" s="26"/>
      <c r="AD958" s="24"/>
      <c r="AE958" s="26"/>
      <c r="AF958" s="75"/>
      <c r="AG958" s="26"/>
      <c r="AH958" s="957"/>
      <c r="AI958" s="957"/>
      <c r="AJ958" s="957"/>
      <c r="AK958" s="957"/>
      <c r="AL958" s="957"/>
      <c r="AM958" s="957"/>
      <c r="AN958" s="957"/>
      <c r="AO958" s="957"/>
      <c r="AP958" s="957"/>
      <c r="AQ958" s="957"/>
      <c r="AR958" s="957"/>
      <c r="AS958" s="957"/>
      <c r="AT958" s="957"/>
      <c r="AU958" s="957"/>
      <c r="AV958" s="957"/>
      <c r="AW958" s="957"/>
      <c r="AX958" s="957"/>
      <c r="AY958" s="957"/>
      <c r="AZ958" s="957"/>
      <c r="BA958" s="957"/>
      <c r="BB958" s="957"/>
      <c r="BC958" s="957"/>
      <c r="BD958" s="957"/>
      <c r="BE958" s="957"/>
      <c r="BF958" s="957"/>
      <c r="BG958" s="957"/>
    </row>
    <row r="959" spans="1:123">
      <c r="A959" s="2172"/>
      <c r="B959" s="2117"/>
      <c r="C959" s="41"/>
      <c r="D959" s="26"/>
      <c r="E959" s="41"/>
      <c r="F959" s="41"/>
      <c r="G959" s="41"/>
      <c r="H959" s="41"/>
      <c r="I959" s="41"/>
      <c r="J959" s="75"/>
      <c r="K959" s="26"/>
      <c r="L959" s="75"/>
      <c r="M959" s="26"/>
      <c r="N959" s="1205"/>
      <c r="O959" s="467"/>
      <c r="P959" s="467"/>
      <c r="Q959" s="252"/>
      <c r="R959" s="252"/>
      <c r="S959" s="118" t="s">
        <v>235</v>
      </c>
      <c r="T959" s="119" t="s">
        <v>391</v>
      </c>
      <c r="U959" s="855"/>
      <c r="V959" s="24"/>
      <c r="W959" s="26"/>
      <c r="X959" s="26"/>
      <c r="Y959" s="26"/>
      <c r="Z959" s="26"/>
      <c r="AA959" s="26"/>
      <c r="AC959" s="26"/>
      <c r="AD959" s="24"/>
      <c r="AE959" s="26"/>
      <c r="AF959" s="75"/>
      <c r="AG959" s="26"/>
      <c r="AH959" s="957"/>
      <c r="AI959" s="957"/>
      <c r="AJ959" s="957"/>
      <c r="AK959" s="957"/>
      <c r="AL959" s="957"/>
      <c r="AM959" s="957"/>
      <c r="AN959" s="957"/>
      <c r="AO959" s="957"/>
      <c r="AP959" s="957"/>
      <c r="AQ959" s="957"/>
      <c r="AR959" s="957"/>
      <c r="AS959" s="957"/>
      <c r="AT959" s="957"/>
      <c r="AU959" s="957"/>
      <c r="AV959" s="957"/>
      <c r="AW959" s="957"/>
      <c r="AX959" s="957"/>
      <c r="AY959" s="957"/>
      <c r="AZ959" s="957"/>
      <c r="BA959" s="957"/>
      <c r="BB959" s="957"/>
      <c r="BC959" s="957"/>
      <c r="BD959" s="957"/>
      <c r="BE959" s="957"/>
      <c r="BF959" s="957"/>
      <c r="BG959" s="957"/>
    </row>
    <row r="960" spans="1:123" ht="15.75" thickBot="1">
      <c r="A960" s="2172"/>
      <c r="B960" s="2118"/>
      <c r="C960" s="813"/>
      <c r="D960" s="26"/>
      <c r="E960" s="41"/>
      <c r="F960" s="41"/>
      <c r="G960" s="41"/>
      <c r="H960" s="41"/>
      <c r="I960" s="41"/>
      <c r="J960" s="186"/>
      <c r="K960" s="184"/>
      <c r="L960" s="186"/>
      <c r="M960" s="184"/>
      <c r="N960" s="1231"/>
      <c r="O960" s="479"/>
      <c r="P960" s="467"/>
      <c r="Q960" s="252"/>
      <c r="R960" s="252"/>
      <c r="S960" s="86">
        <v>0.44800000000000001</v>
      </c>
      <c r="T960" s="235">
        <v>0.25</v>
      </c>
      <c r="U960" s="862"/>
      <c r="V960" s="896"/>
      <c r="W960" s="26"/>
      <c r="X960" s="26"/>
      <c r="Y960" s="26"/>
      <c r="Z960" s="26"/>
      <c r="AA960" s="764"/>
      <c r="AC960" s="26"/>
      <c r="AD960" s="240"/>
      <c r="AE960" s="764"/>
      <c r="AF960" s="75"/>
      <c r="AG960" s="26"/>
      <c r="AH960" s="957"/>
      <c r="AI960" s="957"/>
      <c r="AJ960" s="957"/>
      <c r="AK960" s="957"/>
      <c r="AL960" s="957"/>
      <c r="AM960" s="957"/>
      <c r="AN960" s="957"/>
      <c r="AO960" s="957"/>
      <c r="AP960" s="957"/>
      <c r="AQ960" s="957"/>
      <c r="AR960" s="957"/>
      <c r="AS960" s="957"/>
      <c r="AT960" s="957"/>
      <c r="AU960" s="957"/>
      <c r="AV960" s="957"/>
      <c r="AW960" s="957"/>
      <c r="AX960" s="957"/>
      <c r="AY960" s="957"/>
      <c r="AZ960" s="957"/>
      <c r="BA960" s="957"/>
      <c r="BB960" s="957"/>
      <c r="BC960" s="957"/>
      <c r="BD960" s="957"/>
      <c r="BE960" s="957"/>
      <c r="BF960" s="957"/>
      <c r="BG960" s="957"/>
    </row>
    <row r="961" spans="1:113" s="692" customFormat="1" ht="25.5" customHeight="1" thickBot="1">
      <c r="A961" s="721" t="s">
        <v>1130</v>
      </c>
      <c r="B961" s="1054"/>
      <c r="C961" s="684"/>
      <c r="D961" s="683"/>
      <c r="E961" s="684"/>
      <c r="F961" s="684"/>
      <c r="G961" s="684"/>
      <c r="H961" s="684"/>
      <c r="I961" s="684"/>
      <c r="J961" s="682"/>
      <c r="K961" s="683"/>
      <c r="L961" s="682"/>
      <c r="M961" s="685"/>
      <c r="N961" s="1189"/>
      <c r="O961" s="686"/>
      <c r="P961" s="686"/>
      <c r="Q961" s="687"/>
      <c r="R961" s="687"/>
      <c r="S961" s="688"/>
      <c r="T961" s="688"/>
      <c r="U961" s="854"/>
      <c r="V961" s="893"/>
      <c r="W961" s="685"/>
      <c r="X961" s="685"/>
      <c r="Y961" s="688"/>
      <c r="Z961" s="688"/>
      <c r="AA961" s="688"/>
      <c r="AB961" s="846"/>
      <c r="AC961" s="685"/>
      <c r="AD961" s="685"/>
      <c r="AE961" s="685"/>
      <c r="AF961" s="689"/>
      <c r="AG961" s="685"/>
      <c r="AH961" s="959"/>
      <c r="AI961" s="959"/>
      <c r="AJ961" s="959"/>
      <c r="AK961" s="959"/>
      <c r="AL961" s="959"/>
      <c r="AM961" s="959"/>
      <c r="AN961" s="959"/>
      <c r="AO961" s="959"/>
      <c r="AP961" s="959"/>
      <c r="AQ961" s="959"/>
      <c r="AR961" s="959"/>
      <c r="AS961" s="959"/>
      <c r="AT961" s="959"/>
      <c r="AU961" s="959"/>
      <c r="AV961" s="959"/>
      <c r="AW961" s="959"/>
      <c r="AX961" s="959"/>
      <c r="AY961" s="959"/>
      <c r="AZ961" s="959"/>
      <c r="BA961" s="959"/>
      <c r="BB961" s="959"/>
      <c r="BC961" s="959"/>
      <c r="BD961" s="959"/>
      <c r="BE961" s="959"/>
      <c r="BF961" s="959"/>
      <c r="BG961" s="959"/>
      <c r="BH961" s="1125"/>
      <c r="DI961" s="693"/>
    </row>
    <row r="962" spans="1:113">
      <c r="A962" s="2184" t="s">
        <v>1309</v>
      </c>
      <c r="B962" s="2409" t="s">
        <v>889</v>
      </c>
      <c r="C962" s="2179" t="s">
        <v>13</v>
      </c>
      <c r="D962" s="292" t="s">
        <v>890</v>
      </c>
      <c r="E962" s="511">
        <v>900</v>
      </c>
      <c r="F962" s="233" t="s">
        <v>15</v>
      </c>
      <c r="G962" s="233" t="s">
        <v>15</v>
      </c>
      <c r="H962" s="513">
        <v>1.4831023148148099</v>
      </c>
      <c r="I962" s="570">
        <v>1.5652549689313799</v>
      </c>
      <c r="J962" s="234" t="s">
        <v>15</v>
      </c>
      <c r="K962" s="233" t="s">
        <v>15</v>
      </c>
      <c r="L962" s="234" t="s">
        <v>15</v>
      </c>
      <c r="M962" s="233" t="s">
        <v>15</v>
      </c>
      <c r="N962" s="441">
        <v>0</v>
      </c>
      <c r="O962" s="536" t="s">
        <v>574</v>
      </c>
      <c r="P962" s="536" t="s">
        <v>574</v>
      </c>
      <c r="Q962" s="518">
        <v>3.5750006096200306E-2</v>
      </c>
      <c r="R962" s="2152">
        <f>SUMPRODUCT(N962:N967,Q962:Q967)</f>
        <v>0.23660871331703187</v>
      </c>
      <c r="S962" s="504" t="s">
        <v>68</v>
      </c>
      <c r="T962" s="505" t="s">
        <v>69</v>
      </c>
      <c r="U962" s="881"/>
      <c r="V962" s="403" t="s">
        <v>932</v>
      </c>
      <c r="W962" s="26"/>
      <c r="X962" s="26"/>
      <c r="Y962" s="525"/>
      <c r="Z962" s="525"/>
      <c r="AA962" s="525"/>
      <c r="AB962" s="921"/>
      <c r="AC962" s="26"/>
      <c r="AD962" s="24"/>
      <c r="AE962" s="26"/>
      <c r="AF962" s="106"/>
      <c r="AG962" s="37"/>
      <c r="AH962" s="957"/>
      <c r="AI962" s="1023"/>
      <c r="AJ962" s="1023"/>
      <c r="AK962" s="1023"/>
      <c r="AL962" s="1023"/>
      <c r="AM962" s="1023"/>
      <c r="AN962" s="1023"/>
      <c r="AO962" s="957"/>
      <c r="AP962" s="957"/>
      <c r="AQ962" s="957"/>
      <c r="AR962" s="957"/>
      <c r="AS962" s="957"/>
      <c r="AT962" s="957"/>
      <c r="AU962" s="957"/>
      <c r="AV962" s="957"/>
      <c r="AW962" s="957"/>
      <c r="AX962" s="957"/>
      <c r="AY962" s="957"/>
      <c r="AZ962" s="957"/>
      <c r="BA962" s="957"/>
      <c r="BB962" s="957"/>
      <c r="BC962" s="957"/>
      <c r="BD962" s="957"/>
      <c r="BE962" s="957"/>
      <c r="BF962" s="957"/>
      <c r="BG962" s="957"/>
    </row>
    <row r="963" spans="1:113">
      <c r="A963" s="2185"/>
      <c r="B963" s="2199"/>
      <c r="C963" s="2187"/>
      <c r="D963" s="291" t="s">
        <v>891</v>
      </c>
      <c r="E963" s="511">
        <v>485</v>
      </c>
      <c r="F963" s="233" t="s">
        <v>15</v>
      </c>
      <c r="G963" s="233" t="s">
        <v>15</v>
      </c>
      <c r="H963" s="513">
        <v>2.10355154639175</v>
      </c>
      <c r="I963" s="570">
        <v>2.7285345665030398</v>
      </c>
      <c r="J963" s="234" t="s">
        <v>15</v>
      </c>
      <c r="K963" s="233" t="s">
        <v>15</v>
      </c>
      <c r="L963" s="234" t="s">
        <v>15</v>
      </c>
      <c r="M963" s="233" t="s">
        <v>15</v>
      </c>
      <c r="N963" s="1232">
        <v>0.98950000000000005</v>
      </c>
      <c r="O963" s="517">
        <v>14.91</v>
      </c>
      <c r="P963" s="517">
        <v>6.6400000000000001E-2</v>
      </c>
      <c r="Q963" s="519">
        <v>9.6272666649003191E-2</v>
      </c>
      <c r="R963" s="2153"/>
      <c r="S963" s="34" t="s">
        <v>892</v>
      </c>
      <c r="T963" s="451" t="s">
        <v>893</v>
      </c>
      <c r="U963" s="882"/>
      <c r="V963" s="24"/>
      <c r="W963" s="26"/>
      <c r="X963" s="26"/>
      <c r="Y963" s="525"/>
      <c r="Z963" s="525"/>
      <c r="AA963" s="525"/>
      <c r="AB963" s="921"/>
      <c r="AC963" s="26"/>
      <c r="AD963" s="24"/>
      <c r="AE963" s="26"/>
      <c r="AF963" s="106"/>
      <c r="AG963" s="37"/>
      <c r="AH963" s="957"/>
      <c r="AI963" s="1023"/>
      <c r="AJ963" s="1023"/>
      <c r="AK963" s="1023"/>
      <c r="AL963" s="1023"/>
      <c r="AM963" s="1023"/>
      <c r="AN963" s="1023"/>
      <c r="AO963" s="957"/>
      <c r="AP963" s="957"/>
      <c r="AQ963" s="957"/>
      <c r="AR963" s="957"/>
      <c r="AS963" s="957"/>
      <c r="AT963" s="957"/>
      <c r="AU963" s="957"/>
      <c r="AV963" s="957"/>
      <c r="AW963" s="957"/>
      <c r="AX963" s="957"/>
      <c r="AY963" s="957"/>
      <c r="AZ963" s="957"/>
      <c r="BA963" s="957"/>
      <c r="BB963" s="957"/>
      <c r="BC963" s="957"/>
      <c r="BD963" s="957"/>
      <c r="BE963" s="957"/>
      <c r="BF963" s="957"/>
      <c r="BG963" s="957"/>
    </row>
    <row r="964" spans="1:113">
      <c r="A964" s="2185"/>
      <c r="B964" s="2199"/>
      <c r="C964" s="2187"/>
      <c r="D964" s="292" t="s">
        <v>894</v>
      </c>
      <c r="E964" s="511">
        <v>274</v>
      </c>
      <c r="F964" s="233" t="s">
        <v>15</v>
      </c>
      <c r="G964" s="233" t="s">
        <v>15</v>
      </c>
      <c r="H964" s="513">
        <v>1.3264811435523101</v>
      </c>
      <c r="I964" s="570">
        <v>1.47462034860386</v>
      </c>
      <c r="J964" s="234" t="s">
        <v>15</v>
      </c>
      <c r="K964" s="233" t="s">
        <v>15</v>
      </c>
      <c r="L964" s="234" t="s">
        <v>15</v>
      </c>
      <c r="M964" s="233" t="s">
        <v>15</v>
      </c>
      <c r="N964" s="1232">
        <v>0.25019999999999998</v>
      </c>
      <c r="O964" s="517">
        <v>3.09</v>
      </c>
      <c r="P964" s="517">
        <v>8.1000000000000003E-2</v>
      </c>
      <c r="Q964" s="519">
        <v>0.15084564748147561</v>
      </c>
      <c r="R964" s="2153"/>
      <c r="S964" s="504" t="s">
        <v>72</v>
      </c>
      <c r="T964" s="416" t="s">
        <v>119</v>
      </c>
      <c r="U964" s="876"/>
      <c r="V964" s="24"/>
      <c r="W964" s="26"/>
      <c r="X964" s="26"/>
      <c r="Y964" s="525"/>
      <c r="Z964" s="525"/>
      <c r="AA964" s="525"/>
      <c r="AB964" s="921"/>
      <c r="AC964" s="26"/>
      <c r="AD964" s="24"/>
      <c r="AE964" s="26"/>
      <c r="AF964" s="106"/>
      <c r="AG964" s="37"/>
      <c r="AH964" s="957"/>
      <c r="AI964" s="1023"/>
      <c r="AJ964" s="1023"/>
      <c r="AK964" s="1023"/>
      <c r="AL964" s="1023"/>
      <c r="AM964" s="1023"/>
      <c r="AN964" s="1023"/>
      <c r="AO964" s="957"/>
      <c r="AP964" s="957"/>
      <c r="AQ964" s="957"/>
      <c r="AR964" s="957"/>
      <c r="AS964" s="957"/>
      <c r="AT964" s="957"/>
      <c r="AU964" s="957"/>
      <c r="AV964" s="957"/>
      <c r="AW964" s="957"/>
      <c r="AX964" s="957"/>
      <c r="AY964" s="957"/>
      <c r="AZ964" s="957"/>
      <c r="BA964" s="957"/>
      <c r="BB964" s="957"/>
      <c r="BC964" s="957"/>
      <c r="BD964" s="957"/>
      <c r="BE964" s="957"/>
      <c r="BF964" s="957"/>
      <c r="BG964" s="957"/>
    </row>
    <row r="965" spans="1:113">
      <c r="A965" s="2185"/>
      <c r="B965" s="2199"/>
      <c r="C965" s="2187"/>
      <c r="D965" s="292" t="s">
        <v>895</v>
      </c>
      <c r="E965" s="511">
        <v>731</v>
      </c>
      <c r="F965" s="233" t="s">
        <v>15</v>
      </c>
      <c r="G965" s="233" t="s">
        <v>15</v>
      </c>
      <c r="H965" s="513">
        <v>1.82540811673507</v>
      </c>
      <c r="I965" s="570">
        <v>2.0126763067579598</v>
      </c>
      <c r="J965" s="234" t="s">
        <v>15</v>
      </c>
      <c r="K965" s="233" t="s">
        <v>15</v>
      </c>
      <c r="L965" s="234" t="s">
        <v>15</v>
      </c>
      <c r="M965" s="233" t="s">
        <v>15</v>
      </c>
      <c r="N965" s="1232">
        <v>0.41839999999999999</v>
      </c>
      <c r="O965" s="517">
        <v>7.15</v>
      </c>
      <c r="P965" s="517">
        <v>5.8500000000000003E-2</v>
      </c>
      <c r="Q965" s="519">
        <v>0.1396028793742736</v>
      </c>
      <c r="R965" s="2153"/>
      <c r="S965" s="506" t="s">
        <v>73</v>
      </c>
      <c r="T965" s="507" t="s">
        <v>140</v>
      </c>
      <c r="U965" s="883"/>
      <c r="V965" s="24"/>
      <c r="W965" s="26"/>
      <c r="X965" s="26"/>
      <c r="Y965" s="525"/>
      <c r="Z965" s="525"/>
      <c r="AA965" s="525"/>
      <c r="AB965" s="921"/>
      <c r="AC965" s="26"/>
      <c r="AD965" s="24"/>
      <c r="AE965" s="26"/>
      <c r="AF965" s="106"/>
      <c r="AG965" s="37"/>
      <c r="AH965" s="957"/>
      <c r="AI965" s="1023"/>
      <c r="AJ965" s="1023"/>
      <c r="AK965" s="1023"/>
      <c r="AL965" s="1023"/>
      <c r="AM965" s="1023"/>
      <c r="AN965" s="1023"/>
      <c r="AO965" s="957"/>
      <c r="AP965" s="957"/>
      <c r="AQ965" s="957"/>
      <c r="AR965" s="957"/>
      <c r="AS965" s="957"/>
      <c r="AT965" s="957"/>
      <c r="AU965" s="957"/>
      <c r="AV965" s="957"/>
      <c r="AW965" s="957"/>
      <c r="AX965" s="957"/>
      <c r="AY965" s="957"/>
      <c r="AZ965" s="957"/>
      <c r="BA965" s="957"/>
      <c r="BB965" s="957"/>
      <c r="BC965" s="957"/>
      <c r="BD965" s="957"/>
      <c r="BE965" s="957"/>
      <c r="BF965" s="957"/>
      <c r="BG965" s="957"/>
    </row>
    <row r="966" spans="1:113">
      <c r="A966" s="2185"/>
      <c r="B966" s="2199"/>
      <c r="C966" s="2187"/>
      <c r="D966" s="292" t="s">
        <v>896</v>
      </c>
      <c r="E966" s="511">
        <v>550</v>
      </c>
      <c r="F966" s="233" t="s">
        <v>15</v>
      </c>
      <c r="G966" s="233" t="s">
        <v>15</v>
      </c>
      <c r="H966" s="513">
        <v>1.3309568181818201</v>
      </c>
      <c r="I966" s="570">
        <v>1.65134290402669</v>
      </c>
      <c r="J966" s="234" t="s">
        <v>15</v>
      </c>
      <c r="K966" s="233" t="s">
        <v>15</v>
      </c>
      <c r="L966" s="234" t="s">
        <v>15</v>
      </c>
      <c r="M966" s="233" t="s">
        <v>15</v>
      </c>
      <c r="N966" s="1232">
        <v>0.1268</v>
      </c>
      <c r="O966" s="517">
        <v>2.0299999999999998</v>
      </c>
      <c r="P966" s="517">
        <v>6.2399999999999997E-2</v>
      </c>
      <c r="Q966" s="519">
        <v>0.35643126133897435</v>
      </c>
      <c r="R966" s="2153"/>
      <c r="S966" s="504" t="s">
        <v>74</v>
      </c>
      <c r="T966" s="505" t="s">
        <v>75</v>
      </c>
      <c r="U966" s="881"/>
      <c r="V966" s="24"/>
      <c r="W966" s="26"/>
      <c r="X966" s="26"/>
      <c r="Y966" s="525"/>
      <c r="Z966" s="525"/>
      <c r="AA966" s="525"/>
      <c r="AB966" s="921"/>
      <c r="AC966" s="26"/>
      <c r="AD966" s="24"/>
      <c r="AE966" s="26"/>
      <c r="AF966" s="106"/>
      <c r="AG966" s="37"/>
      <c r="AH966" s="957"/>
      <c r="AI966" s="1023"/>
      <c r="AJ966" s="1023"/>
      <c r="AK966" s="1023"/>
      <c r="AL966" s="1023"/>
      <c r="AM966" s="1023"/>
      <c r="AN966" s="1023"/>
      <c r="AO966" s="957"/>
      <c r="AP966" s="957"/>
      <c r="AQ966" s="957"/>
      <c r="AR966" s="957"/>
      <c r="AS966" s="957"/>
      <c r="AT966" s="957"/>
      <c r="AU966" s="957"/>
      <c r="AV966" s="957"/>
      <c r="AW966" s="957"/>
      <c r="AX966" s="957"/>
      <c r="AY966" s="957"/>
      <c r="AZ966" s="957"/>
      <c r="BA966" s="957"/>
      <c r="BB966" s="957"/>
      <c r="BC966" s="957"/>
      <c r="BD966" s="957"/>
      <c r="BE966" s="957"/>
      <c r="BF966" s="957"/>
      <c r="BG966" s="957"/>
    </row>
    <row r="967" spans="1:113">
      <c r="A967" s="2185"/>
      <c r="B967" s="2195"/>
      <c r="C967" s="2180"/>
      <c r="D967" s="292" t="s">
        <v>897</v>
      </c>
      <c r="E967" s="511">
        <v>6</v>
      </c>
      <c r="F967" s="233" t="s">
        <v>15</v>
      </c>
      <c r="G967" s="233" t="s">
        <v>15</v>
      </c>
      <c r="H967" s="513">
        <v>0.16625000000000001</v>
      </c>
      <c r="I967" s="570">
        <v>0</v>
      </c>
      <c r="J967" s="234" t="s">
        <v>15</v>
      </c>
      <c r="K967" s="233" t="s">
        <v>15</v>
      </c>
      <c r="L967" s="234" t="s">
        <v>15</v>
      </c>
      <c r="M967" s="233" t="s">
        <v>15</v>
      </c>
      <c r="N967" s="1232">
        <v>0.42149999999999999</v>
      </c>
      <c r="O967" s="517">
        <v>0.89</v>
      </c>
      <c r="P967" s="517">
        <v>0.47310000000000002</v>
      </c>
      <c r="Q967" s="519">
        <v>0</v>
      </c>
      <c r="R967" s="2154"/>
      <c r="S967" s="521">
        <v>2946</v>
      </c>
      <c r="T967" s="507" t="s">
        <v>140</v>
      </c>
      <c r="U967" s="883"/>
      <c r="V967" s="24"/>
      <c r="W967" s="26"/>
      <c r="X967" s="26"/>
      <c r="Y967" s="525"/>
      <c r="Z967" s="525"/>
      <c r="AA967" s="525"/>
      <c r="AB967" s="921"/>
      <c r="AC967" s="26"/>
      <c r="AD967" s="24"/>
      <c r="AE967" s="26"/>
      <c r="AF967" s="106"/>
      <c r="AG967" s="37"/>
      <c r="AH967" s="957"/>
      <c r="AI967" s="1023"/>
      <c r="AJ967" s="1023"/>
      <c r="AK967" s="1023"/>
      <c r="AL967" s="1023"/>
      <c r="AM967" s="1023"/>
      <c r="AN967" s="1023"/>
      <c r="AO967" s="957"/>
      <c r="AP967" s="957"/>
      <c r="AQ967" s="957"/>
      <c r="AR967" s="957"/>
      <c r="AS967" s="957"/>
      <c r="AT967" s="957"/>
      <c r="AU967" s="957"/>
      <c r="AV967" s="957"/>
      <c r="AW967" s="957"/>
      <c r="AX967" s="957"/>
      <c r="AY967" s="957"/>
      <c r="AZ967" s="957"/>
      <c r="BA967" s="957"/>
      <c r="BB967" s="957"/>
      <c r="BC967" s="957"/>
      <c r="BD967" s="957"/>
      <c r="BE967" s="957"/>
      <c r="BF967" s="957"/>
      <c r="BG967" s="957"/>
    </row>
    <row r="968" spans="1:113">
      <c r="A968" s="2185"/>
      <c r="B968" s="2194" t="s">
        <v>898</v>
      </c>
      <c r="C968" s="2179" t="s">
        <v>11</v>
      </c>
      <c r="D968" s="292" t="s">
        <v>33</v>
      </c>
      <c r="E968" s="511">
        <v>2673</v>
      </c>
      <c r="F968" s="233" t="s">
        <v>15</v>
      </c>
      <c r="G968" s="233" t="s">
        <v>15</v>
      </c>
      <c r="H968" s="513">
        <v>1.68549819179449</v>
      </c>
      <c r="I968" s="570">
        <v>2.0208420795087099</v>
      </c>
      <c r="J968" s="234" t="s">
        <v>15</v>
      </c>
      <c r="K968" s="1156" t="s">
        <v>15</v>
      </c>
      <c r="L968" s="234" t="s">
        <v>15</v>
      </c>
      <c r="M968" s="233" t="s">
        <v>15</v>
      </c>
      <c r="N968" s="1232">
        <v>0.33389999999999997</v>
      </c>
      <c r="O968" s="517">
        <v>4.0199999999999996</v>
      </c>
      <c r="P968" s="517">
        <v>8.2900000000000001E-2</v>
      </c>
      <c r="Q968" s="195" t="s">
        <v>15</v>
      </c>
      <c r="R968" s="128">
        <f>N968</f>
        <v>0.33389999999999997</v>
      </c>
      <c r="S968" s="504" t="s">
        <v>41</v>
      </c>
      <c r="T968" s="505" t="s">
        <v>42</v>
      </c>
      <c r="U968" s="881"/>
      <c r="V968" s="24"/>
      <c r="W968" s="26"/>
      <c r="X968" s="26"/>
      <c r="Y968" s="525"/>
      <c r="Z968" s="525"/>
      <c r="AA968" s="525"/>
      <c r="AB968" s="921"/>
      <c r="AC968" s="26"/>
      <c r="AD968" s="24"/>
      <c r="AE968" s="26"/>
      <c r="AF968" s="106"/>
      <c r="AG968" s="37"/>
      <c r="AH968" s="957"/>
      <c r="AI968" s="1023"/>
      <c r="AJ968" s="1023"/>
      <c r="AK968" s="1023"/>
      <c r="AL968" s="1023"/>
      <c r="AM968" s="1023"/>
      <c r="AN968" s="1023"/>
      <c r="AO968" s="957"/>
      <c r="AP968" s="957"/>
      <c r="AQ968" s="957"/>
      <c r="AR968" s="957"/>
      <c r="AS968" s="957"/>
      <c r="AT968" s="957"/>
      <c r="AU968" s="957"/>
      <c r="AV968" s="957"/>
      <c r="AW968" s="957"/>
      <c r="AX968" s="957"/>
      <c r="AY968" s="957"/>
      <c r="AZ968" s="957"/>
      <c r="BA968" s="957"/>
      <c r="BB968" s="957"/>
      <c r="BC968" s="957"/>
      <c r="BD968" s="957"/>
      <c r="BE968" s="957"/>
      <c r="BF968" s="957"/>
      <c r="BG968" s="957"/>
    </row>
    <row r="969" spans="1:113">
      <c r="A969" s="2185"/>
      <c r="B969" s="2195"/>
      <c r="C969" s="2180"/>
      <c r="D969" s="292" t="s">
        <v>32</v>
      </c>
      <c r="E969" s="511">
        <v>273</v>
      </c>
      <c r="F969" s="233" t="s">
        <v>15</v>
      </c>
      <c r="G969" s="233" t="s">
        <v>15</v>
      </c>
      <c r="H969" s="513">
        <v>1.0275854700854701</v>
      </c>
      <c r="I969" s="570">
        <v>0.53520352634721502</v>
      </c>
      <c r="J969" s="234" t="s">
        <v>15</v>
      </c>
      <c r="K969" s="233" t="s">
        <v>15</v>
      </c>
      <c r="L969" s="234" t="s">
        <v>15</v>
      </c>
      <c r="M969" s="233" t="s">
        <v>15</v>
      </c>
      <c r="N969" s="537">
        <v>0</v>
      </c>
      <c r="O969" s="536" t="s">
        <v>574</v>
      </c>
      <c r="P969" s="536" t="s">
        <v>574</v>
      </c>
      <c r="Q969" s="195" t="s">
        <v>15</v>
      </c>
      <c r="R969" s="128">
        <f>N969</f>
        <v>0</v>
      </c>
      <c r="S969" s="452">
        <v>0.57999999999999996</v>
      </c>
      <c r="T969" s="260">
        <v>2.1320000000000001</v>
      </c>
      <c r="U969" s="863"/>
      <c r="V969" s="24"/>
      <c r="W969" s="26"/>
      <c r="X969" s="26"/>
      <c r="Y969" s="525"/>
      <c r="Z969" s="525"/>
      <c r="AA969" s="525"/>
      <c r="AB969" s="921"/>
      <c r="AC969" s="26"/>
      <c r="AD969" s="24"/>
      <c r="AE969" s="26"/>
      <c r="AF969" s="106"/>
      <c r="AG969" s="37"/>
      <c r="AH969" s="957"/>
      <c r="AI969" s="1023"/>
      <c r="AJ969" s="1023"/>
      <c r="AK969" s="1023"/>
      <c r="AL969" s="1023"/>
      <c r="AM969" s="1023"/>
      <c r="AN969" s="1023"/>
      <c r="AO969" s="957"/>
      <c r="AP969" s="957"/>
      <c r="AQ969" s="957"/>
      <c r="AR969" s="957"/>
      <c r="AS969" s="957"/>
      <c r="AT969" s="957"/>
      <c r="AU969" s="957"/>
      <c r="AV969" s="957"/>
      <c r="AW969" s="957"/>
      <c r="AX969" s="957"/>
      <c r="AY969" s="957"/>
      <c r="AZ969" s="957"/>
      <c r="BA969" s="957"/>
      <c r="BB969" s="957"/>
      <c r="BC969" s="957"/>
      <c r="BD969" s="957"/>
      <c r="BE969" s="957"/>
      <c r="BF969" s="957"/>
      <c r="BG969" s="957"/>
    </row>
    <row r="970" spans="1:113">
      <c r="A970" s="2185"/>
      <c r="B970" s="2194" t="s">
        <v>899</v>
      </c>
      <c r="C970" s="2179" t="s">
        <v>11</v>
      </c>
      <c r="D970" s="292" t="s">
        <v>33</v>
      </c>
      <c r="E970" s="511">
        <v>896</v>
      </c>
      <c r="F970" s="233" t="s">
        <v>15</v>
      </c>
      <c r="G970" s="233" t="s">
        <v>15</v>
      </c>
      <c r="H970" s="513">
        <v>3.9718303571428599</v>
      </c>
      <c r="I970" s="570">
        <v>1.96872672410518</v>
      </c>
      <c r="J970" s="234" t="s">
        <v>15</v>
      </c>
      <c r="K970" s="233" t="s">
        <v>15</v>
      </c>
      <c r="L970" s="234" t="s">
        <v>15</v>
      </c>
      <c r="M970" s="233" t="s">
        <v>15</v>
      </c>
      <c r="N970" s="1232">
        <v>-1.6868000000000001</v>
      </c>
      <c r="O970" s="517">
        <v>-21.56</v>
      </c>
      <c r="P970" s="517">
        <v>7.8200000000000006E-2</v>
      </c>
      <c r="Q970" s="251">
        <v>0.91949858885661206</v>
      </c>
      <c r="R970" s="2130">
        <f>SUMPRODUCT(N970:N971,Q970:Q971)</f>
        <v>-1.5510102196833333</v>
      </c>
      <c r="S970" s="118" t="s">
        <v>235</v>
      </c>
      <c r="T970" s="119" t="s">
        <v>391</v>
      </c>
      <c r="U970" s="855"/>
      <c r="V970" s="24"/>
      <c r="W970" s="26"/>
      <c r="X970" s="26"/>
      <c r="Y970" s="525"/>
      <c r="Z970" s="525"/>
      <c r="AA970" s="525"/>
      <c r="AB970" s="921"/>
      <c r="AC970" s="26"/>
      <c r="AD970" s="24"/>
      <c r="AE970" s="26"/>
      <c r="AF970" s="106"/>
      <c r="AG970" s="37"/>
      <c r="AH970" s="957"/>
      <c r="AI970" s="1023"/>
      <c r="AJ970" s="1023"/>
      <c r="AK970" s="1023"/>
      <c r="AL970" s="1023"/>
      <c r="AM970" s="1023"/>
      <c r="AN970" s="1023"/>
      <c r="AO970" s="957"/>
      <c r="AP970" s="957"/>
      <c r="AQ970" s="957"/>
      <c r="AR970" s="957"/>
      <c r="AS970" s="957"/>
      <c r="AT970" s="957"/>
      <c r="AU970" s="957"/>
      <c r="AV970" s="957"/>
      <c r="AW970" s="957"/>
      <c r="AX970" s="957"/>
      <c r="AY970" s="957"/>
      <c r="AZ970" s="957"/>
      <c r="BA970" s="957"/>
      <c r="BB970" s="957"/>
      <c r="BC970" s="957"/>
      <c r="BD970" s="957"/>
      <c r="BE970" s="957"/>
      <c r="BF970" s="957"/>
      <c r="BG970" s="957"/>
    </row>
    <row r="971" spans="1:113">
      <c r="A971" s="2185"/>
      <c r="B971" s="2195"/>
      <c r="C971" s="2180"/>
      <c r="D971" s="292" t="s">
        <v>32</v>
      </c>
      <c r="E971" s="511">
        <v>2050</v>
      </c>
      <c r="F971" s="233" t="s">
        <v>15</v>
      </c>
      <c r="G971" s="233" t="s">
        <v>15</v>
      </c>
      <c r="H971" s="513">
        <v>0.59858902439024397</v>
      </c>
      <c r="I971" s="570">
        <v>0.51031259600593404</v>
      </c>
      <c r="J971" s="234" t="s">
        <v>15</v>
      </c>
      <c r="K971" s="233" t="s">
        <v>15</v>
      </c>
      <c r="L971" s="234" t="s">
        <v>15</v>
      </c>
      <c r="M971" s="233" t="s">
        <v>15</v>
      </c>
      <c r="N971" s="537">
        <v>0</v>
      </c>
      <c r="O971" s="536" t="s">
        <v>574</v>
      </c>
      <c r="P971" s="536" t="s">
        <v>574</v>
      </c>
      <c r="Q971" s="251">
        <v>8.0501411143387935E-2</v>
      </c>
      <c r="R971" s="2155"/>
      <c r="S971" s="357">
        <v>0.65967399999999998</v>
      </c>
      <c r="T971" s="151" t="s">
        <v>15</v>
      </c>
      <c r="U971" s="862"/>
      <c r="V971" s="24"/>
      <c r="W971" s="26"/>
      <c r="X971" s="26"/>
      <c r="Y971" s="525"/>
      <c r="Z971" s="525"/>
      <c r="AA971" s="525"/>
      <c r="AB971" s="921"/>
      <c r="AC971" s="26"/>
      <c r="AD971" s="24"/>
      <c r="AE971" s="26"/>
      <c r="AF971" s="106"/>
      <c r="AG971" s="37"/>
      <c r="AH971" s="957"/>
      <c r="AI971" s="1023"/>
      <c r="AJ971" s="1023"/>
      <c r="AK971" s="1023"/>
      <c r="AL971" s="1023"/>
      <c r="AM971" s="1023"/>
      <c r="AN971" s="1023"/>
      <c r="AO971" s="957"/>
      <c r="AP971" s="957"/>
      <c r="AQ971" s="957"/>
      <c r="AR971" s="957"/>
      <c r="AS971" s="957"/>
      <c r="AT971" s="957"/>
      <c r="AU971" s="957"/>
      <c r="AV971" s="957"/>
      <c r="AW971" s="957"/>
      <c r="AX971" s="957"/>
      <c r="AY971" s="957"/>
      <c r="AZ971" s="957"/>
      <c r="BA971" s="957"/>
      <c r="BB971" s="957"/>
      <c r="BC971" s="957"/>
      <c r="BD971" s="957"/>
      <c r="BE971" s="957"/>
      <c r="BF971" s="957"/>
      <c r="BG971" s="957"/>
    </row>
    <row r="972" spans="1:113">
      <c r="A972" s="2185"/>
      <c r="B972" s="2194" t="s">
        <v>900</v>
      </c>
      <c r="C972" s="2179" t="s">
        <v>11</v>
      </c>
      <c r="D972" s="292" t="s">
        <v>33</v>
      </c>
      <c r="E972" s="511">
        <v>1860</v>
      </c>
      <c r="F972" s="233" t="s">
        <v>15</v>
      </c>
      <c r="G972" s="233" t="s">
        <v>15</v>
      </c>
      <c r="H972" s="513">
        <v>2.4586209677419402</v>
      </c>
      <c r="I972" s="570">
        <v>2.0183162681422302</v>
      </c>
      <c r="J972" s="234" t="s">
        <v>15</v>
      </c>
      <c r="K972" s="233" t="s">
        <v>15</v>
      </c>
      <c r="L972" s="234" t="s">
        <v>15</v>
      </c>
      <c r="M972" s="233" t="s">
        <v>15</v>
      </c>
      <c r="N972" s="1232">
        <v>-1.1553</v>
      </c>
      <c r="O972" s="517">
        <v>-20.36</v>
      </c>
      <c r="P972" s="517">
        <v>5.67E-2</v>
      </c>
      <c r="Q972" s="251">
        <v>0.78925469010929294</v>
      </c>
      <c r="R972" s="2130">
        <f>SUMPRODUCT(N972:N973,Q972:Q973)</f>
        <v>-0.91182594348326618</v>
      </c>
      <c r="S972" s="24"/>
      <c r="T972" s="26"/>
      <c r="V972" s="24"/>
      <c r="W972" s="26"/>
      <c r="X972" s="26"/>
      <c r="Y972" s="525"/>
      <c r="Z972" s="525"/>
      <c r="AA972" s="525"/>
      <c r="AB972" s="921"/>
      <c r="AC972" s="26"/>
      <c r="AD972" s="24"/>
      <c r="AE972" s="26"/>
      <c r="AF972" s="106"/>
      <c r="AG972" s="37"/>
      <c r="AH972" s="957"/>
      <c r="AI972" s="1023"/>
      <c r="AJ972" s="1023"/>
      <c r="AK972" s="1023"/>
      <c r="AL972" s="1023"/>
      <c r="AM972" s="1023"/>
      <c r="AN972" s="1023"/>
      <c r="AO972" s="957"/>
      <c r="AP972" s="957"/>
      <c r="AQ972" s="957"/>
      <c r="AR972" s="957"/>
      <c r="AS972" s="957"/>
      <c r="AT972" s="957"/>
      <c r="AU972" s="957"/>
      <c r="AV972" s="957"/>
      <c r="AW972" s="957"/>
      <c r="AX972" s="957"/>
      <c r="AY972" s="957"/>
      <c r="AZ972" s="957"/>
      <c r="BA972" s="957"/>
      <c r="BB972" s="957"/>
      <c r="BC972" s="957"/>
      <c r="BD972" s="957"/>
      <c r="BE972" s="957"/>
      <c r="BF972" s="957"/>
      <c r="BG972" s="957"/>
    </row>
    <row r="973" spans="1:113">
      <c r="A973" s="2185"/>
      <c r="B973" s="2195"/>
      <c r="C973" s="2180"/>
      <c r="D973" s="292" t="s">
        <v>32</v>
      </c>
      <c r="E973" s="511">
        <v>1086</v>
      </c>
      <c r="F973" s="233" t="s">
        <v>15</v>
      </c>
      <c r="G973" s="233" t="s">
        <v>15</v>
      </c>
      <c r="H973" s="513">
        <v>0.19597836095764301</v>
      </c>
      <c r="I973" s="570">
        <v>0.113372114190712</v>
      </c>
      <c r="J973" s="234" t="s">
        <v>15</v>
      </c>
      <c r="K973" s="233" t="s">
        <v>15</v>
      </c>
      <c r="L973" s="234" t="s">
        <v>15</v>
      </c>
      <c r="M973" s="233" t="s">
        <v>15</v>
      </c>
      <c r="N973" s="537">
        <v>0</v>
      </c>
      <c r="O973" s="536" t="s">
        <v>574</v>
      </c>
      <c r="P973" s="536" t="s">
        <v>574</v>
      </c>
      <c r="Q973" s="251">
        <v>0.21074530989070706</v>
      </c>
      <c r="R973" s="2155"/>
      <c r="S973" s="24"/>
      <c r="T973" s="26"/>
      <c r="V973" s="24"/>
      <c r="W973" s="26"/>
      <c r="X973" s="26"/>
      <c r="Y973" s="525"/>
      <c r="Z973" s="525"/>
      <c r="AA973" s="525"/>
      <c r="AB973" s="921"/>
      <c r="AC973" s="26"/>
      <c r="AD973" s="24"/>
      <c r="AE973" s="26"/>
      <c r="AF973" s="106"/>
      <c r="AG973" s="37"/>
      <c r="AH973" s="957"/>
      <c r="AI973" s="1023"/>
      <c r="AJ973" s="1023"/>
      <c r="AK973" s="1023"/>
      <c r="AL973" s="1023"/>
      <c r="AM973" s="1023"/>
      <c r="AN973" s="1023"/>
      <c r="AO973" s="957"/>
      <c r="AP973" s="957"/>
      <c r="AQ973" s="957"/>
      <c r="AR973" s="957"/>
      <c r="AS973" s="957"/>
      <c r="AT973" s="957"/>
      <c r="AU973" s="957"/>
      <c r="AV973" s="957"/>
      <c r="AW973" s="957"/>
      <c r="AX973" s="957"/>
      <c r="AY973" s="957"/>
      <c r="AZ973" s="957"/>
      <c r="BA973" s="957"/>
      <c r="BB973" s="957"/>
      <c r="BC973" s="957"/>
      <c r="BD973" s="957"/>
      <c r="BE973" s="957"/>
      <c r="BF973" s="957"/>
      <c r="BG973" s="957"/>
    </row>
    <row r="974" spans="1:113">
      <c r="A974" s="2185"/>
      <c r="B974" s="2194" t="s">
        <v>901</v>
      </c>
      <c r="C974" s="2179" t="s">
        <v>11</v>
      </c>
      <c r="D974" s="292" t="s">
        <v>33</v>
      </c>
      <c r="E974" s="511">
        <v>2297</v>
      </c>
      <c r="F974" s="233" t="s">
        <v>15</v>
      </c>
      <c r="G974" s="233" t="s">
        <v>15</v>
      </c>
      <c r="H974" s="513">
        <v>1.0801654331737001</v>
      </c>
      <c r="I974" s="570">
        <v>1.3508918901404801</v>
      </c>
      <c r="J974" s="234" t="s">
        <v>15</v>
      </c>
      <c r="K974" s="233" t="s">
        <v>15</v>
      </c>
      <c r="L974" s="234" t="s">
        <v>15</v>
      </c>
      <c r="M974" s="233" t="s">
        <v>15</v>
      </c>
      <c r="N974" s="1232">
        <v>0.46179999999999999</v>
      </c>
      <c r="O974" s="517">
        <v>4.9000000000000004</v>
      </c>
      <c r="P974" s="517">
        <v>9.4200000000000006E-2</v>
      </c>
      <c r="Q974" s="195" t="s">
        <v>15</v>
      </c>
      <c r="R974" s="128">
        <f>N974</f>
        <v>0.46179999999999999</v>
      </c>
      <c r="S974" s="24"/>
      <c r="T974" s="26"/>
      <c r="V974" s="24"/>
      <c r="W974" s="26"/>
      <c r="X974" s="26"/>
      <c r="Y974" s="525"/>
      <c r="Z974" s="525"/>
      <c r="AA974" s="525"/>
      <c r="AB974" s="921"/>
      <c r="AC974" s="26"/>
      <c r="AD974" s="24"/>
      <c r="AE974" s="26"/>
      <c r="AF974" s="106"/>
      <c r="AG974" s="37"/>
      <c r="AH974" s="957"/>
      <c r="AI974" s="1023"/>
      <c r="AJ974" s="1023"/>
      <c r="AK974" s="1023"/>
      <c r="AL974" s="1023"/>
      <c r="AM974" s="1023"/>
      <c r="AN974" s="1023"/>
      <c r="AO974" s="957"/>
      <c r="AP974" s="957"/>
      <c r="AQ974" s="957"/>
      <c r="AR974" s="957"/>
      <c r="AS974" s="957"/>
      <c r="AT974" s="957"/>
      <c r="AU974" s="957"/>
      <c r="AV974" s="957"/>
      <c r="AW974" s="957"/>
      <c r="AX974" s="957"/>
      <c r="AY974" s="957"/>
      <c r="AZ974" s="957"/>
      <c r="BA974" s="957"/>
      <c r="BB974" s="957"/>
      <c r="BC974" s="957"/>
      <c r="BD974" s="957"/>
      <c r="BE974" s="957"/>
      <c r="BF974" s="957"/>
      <c r="BG974" s="957"/>
    </row>
    <row r="975" spans="1:113">
      <c r="A975" s="2185"/>
      <c r="B975" s="2195"/>
      <c r="C975" s="2180"/>
      <c r="D975" s="292" t="s">
        <v>32</v>
      </c>
      <c r="E975" s="511">
        <v>649</v>
      </c>
      <c r="F975" s="233" t="s">
        <v>15</v>
      </c>
      <c r="G975" s="233" t="s">
        <v>15</v>
      </c>
      <c r="H975" s="513">
        <v>3.55119799691834</v>
      </c>
      <c r="I975" s="570">
        <v>2.4271049553344302</v>
      </c>
      <c r="J975" s="234" t="s">
        <v>15</v>
      </c>
      <c r="K975" s="233" t="s">
        <v>15</v>
      </c>
      <c r="L975" s="234" t="s">
        <v>15</v>
      </c>
      <c r="M975" s="233" t="s">
        <v>15</v>
      </c>
      <c r="N975" s="537">
        <v>0</v>
      </c>
      <c r="O975" s="536" t="s">
        <v>574</v>
      </c>
      <c r="P975" s="536" t="s">
        <v>574</v>
      </c>
      <c r="Q975" s="195" t="s">
        <v>15</v>
      </c>
      <c r="R975" s="128">
        <f>N975</f>
        <v>0</v>
      </c>
      <c r="S975" s="24"/>
      <c r="T975" s="26"/>
      <c r="V975" s="24"/>
      <c r="W975" s="26"/>
      <c r="X975" s="26"/>
      <c r="Y975" s="525"/>
      <c r="Z975" s="525"/>
      <c r="AA975" s="525"/>
      <c r="AB975" s="921"/>
      <c r="AC975" s="26"/>
      <c r="AD975" s="24"/>
      <c r="AE975" s="26"/>
      <c r="AF975" s="106"/>
      <c r="AG975" s="37"/>
      <c r="AH975" s="957"/>
      <c r="AI975" s="1023"/>
      <c r="AJ975" s="1023"/>
      <c r="AK975" s="1023"/>
      <c r="AL975" s="1023"/>
      <c r="AM975" s="1023"/>
      <c r="AN975" s="1023"/>
      <c r="AO975" s="957"/>
      <c r="AP975" s="957"/>
      <c r="AQ975" s="957"/>
      <c r="AR975" s="957"/>
      <c r="AS975" s="957"/>
      <c r="AT975" s="957"/>
      <c r="AU975" s="957"/>
      <c r="AV975" s="957"/>
      <c r="AW975" s="957"/>
      <c r="AX975" s="957"/>
      <c r="AY975" s="957"/>
      <c r="AZ975" s="957"/>
      <c r="BA975" s="957"/>
      <c r="BB975" s="957"/>
      <c r="BC975" s="957"/>
      <c r="BD975" s="957"/>
      <c r="BE975" s="957"/>
      <c r="BF975" s="957"/>
      <c r="BG975" s="957"/>
    </row>
    <row r="976" spans="1:113">
      <c r="A976" s="2185"/>
      <c r="B976" s="2194" t="s">
        <v>1355</v>
      </c>
      <c r="C976" s="2179" t="s">
        <v>11</v>
      </c>
      <c r="D976" s="292" t="s">
        <v>33</v>
      </c>
      <c r="E976" s="511">
        <v>287</v>
      </c>
      <c r="F976" s="233" t="s">
        <v>15</v>
      </c>
      <c r="G976" s="233" t="s">
        <v>15</v>
      </c>
      <c r="H976" s="513">
        <v>0.92119628339140502</v>
      </c>
      <c r="I976" s="570">
        <v>1.3802387439430199</v>
      </c>
      <c r="J976" s="234" t="s">
        <v>15</v>
      </c>
      <c r="K976" s="233" t="s">
        <v>15</v>
      </c>
      <c r="L976" s="234" t="s">
        <v>15</v>
      </c>
      <c r="M976" s="233" t="s">
        <v>15</v>
      </c>
      <c r="N976" s="1232">
        <v>0.83360000000000001</v>
      </c>
      <c r="O976" s="517">
        <v>11.17</v>
      </c>
      <c r="P976" s="517">
        <v>7.46E-2</v>
      </c>
      <c r="Q976" s="251">
        <v>0.71809498401891803</v>
      </c>
      <c r="R976" s="2130">
        <f>SUMPRODUCT(N976:N977,Q976:Q977)</f>
        <v>0.59860397867817006</v>
      </c>
      <c r="S976" s="24"/>
      <c r="T976" s="26"/>
      <c r="V976" s="24"/>
      <c r="W976" s="26"/>
      <c r="X976" s="26"/>
      <c r="Y976" s="525"/>
      <c r="Z976" s="525"/>
      <c r="AA976" s="525"/>
      <c r="AB976" s="921"/>
      <c r="AC976" s="26"/>
      <c r="AD976" s="24"/>
      <c r="AE976" s="26"/>
      <c r="AF976" s="106"/>
      <c r="AG976" s="37"/>
      <c r="AH976" s="957"/>
      <c r="AI976" s="1023"/>
      <c r="AJ976" s="1023"/>
      <c r="AK976" s="1023"/>
      <c r="AL976" s="1023"/>
      <c r="AM976" s="1023"/>
      <c r="AN976" s="1023"/>
      <c r="AO976" s="957"/>
      <c r="AP976" s="957"/>
      <c r="AQ976" s="957"/>
      <c r="AR976" s="957"/>
      <c r="AS976" s="957"/>
      <c r="AT976" s="957"/>
      <c r="AU976" s="957"/>
      <c r="AV976" s="957"/>
      <c r="AW976" s="957"/>
      <c r="AX976" s="957"/>
      <c r="AY976" s="957"/>
      <c r="AZ976" s="957"/>
      <c r="BA976" s="957"/>
      <c r="BB976" s="957"/>
      <c r="BC976" s="957"/>
      <c r="BD976" s="957"/>
      <c r="BE976" s="957"/>
      <c r="BF976" s="957"/>
      <c r="BG976" s="957"/>
    </row>
    <row r="977" spans="1:123">
      <c r="A977" s="2185"/>
      <c r="B977" s="2195"/>
      <c r="C977" s="2180"/>
      <c r="D977" s="292" t="s">
        <v>32</v>
      </c>
      <c r="E977" s="511">
        <v>2659</v>
      </c>
      <c r="F977" s="233" t="s">
        <v>15</v>
      </c>
      <c r="G977" s="233" t="s">
        <v>15</v>
      </c>
      <c r="H977" s="513">
        <v>1.70044534286072</v>
      </c>
      <c r="I977" s="570">
        <v>1.9775743279481599</v>
      </c>
      <c r="J977" s="234" t="s">
        <v>15</v>
      </c>
      <c r="K977" s="233" t="s">
        <v>15</v>
      </c>
      <c r="L977" s="234" t="s">
        <v>15</v>
      </c>
      <c r="M977" s="233" t="s">
        <v>15</v>
      </c>
      <c r="N977" s="537">
        <v>0</v>
      </c>
      <c r="O977" s="536" t="s">
        <v>574</v>
      </c>
      <c r="P977" s="536" t="s">
        <v>574</v>
      </c>
      <c r="Q977" s="251">
        <v>0.28190501598108186</v>
      </c>
      <c r="R977" s="2155"/>
      <c r="S977" s="24"/>
      <c r="T977" s="26"/>
      <c r="V977" s="24"/>
      <c r="W977" s="26"/>
      <c r="X977" s="26"/>
      <c r="Y977" s="525"/>
      <c r="Z977" s="525"/>
      <c r="AA977" s="525"/>
      <c r="AB977" s="921"/>
      <c r="AC977" s="26"/>
      <c r="AD977" s="24"/>
      <c r="AE977" s="26"/>
      <c r="AF977" s="106"/>
      <c r="AG977" s="37"/>
      <c r="AH977" s="957"/>
      <c r="AI977" s="1023"/>
      <c r="AJ977" s="1023"/>
      <c r="AK977" s="1023"/>
      <c r="AL977" s="1023"/>
      <c r="AM977" s="1023"/>
      <c r="AN977" s="1023"/>
      <c r="AO977" s="957"/>
      <c r="AP977" s="957"/>
      <c r="AQ977" s="957"/>
      <c r="AR977" s="957"/>
      <c r="AS977" s="957"/>
      <c r="AT977" s="957"/>
      <c r="AU977" s="957"/>
      <c r="AV977" s="957"/>
      <c r="AW977" s="957"/>
      <c r="AX977" s="957"/>
      <c r="AY977" s="957"/>
      <c r="AZ977" s="957"/>
      <c r="BA977" s="957"/>
      <c r="BB977" s="957"/>
      <c r="BC977" s="957"/>
      <c r="BD977" s="957"/>
      <c r="BE977" s="957"/>
      <c r="BF977" s="957"/>
      <c r="BG977" s="957"/>
    </row>
    <row r="978" spans="1:123">
      <c r="A978" s="2185"/>
      <c r="B978" s="827" t="s">
        <v>903</v>
      </c>
      <c r="C978" s="981" t="s">
        <v>12</v>
      </c>
      <c r="D978" s="292" t="s">
        <v>904</v>
      </c>
      <c r="E978" s="511">
        <v>2946</v>
      </c>
      <c r="F978" s="772">
        <v>1.37380515953836</v>
      </c>
      <c r="G978" s="772">
        <v>0.8</v>
      </c>
      <c r="H978" s="767">
        <v>1.62453071961982</v>
      </c>
      <c r="I978" s="768">
        <v>1.94115911735111</v>
      </c>
      <c r="J978" s="234" t="s">
        <v>15</v>
      </c>
      <c r="K978" s="233" t="s">
        <v>15</v>
      </c>
      <c r="L978" s="642" t="s">
        <v>14</v>
      </c>
      <c r="M978" s="351">
        <v>1.5</v>
      </c>
      <c r="N978" s="1232">
        <v>0.19869999999999999</v>
      </c>
      <c r="O978" s="517">
        <v>6.63</v>
      </c>
      <c r="P978" s="517">
        <v>0.03</v>
      </c>
      <c r="Q978" s="195" t="s">
        <v>15</v>
      </c>
      <c r="R978" s="128">
        <f>N978</f>
        <v>0.19869999999999999</v>
      </c>
      <c r="S978" s="24"/>
      <c r="T978" s="26"/>
      <c r="V978" s="24"/>
      <c r="W978" s="26"/>
      <c r="X978" s="26"/>
      <c r="Y978" s="525"/>
      <c r="Z978" s="525"/>
      <c r="AA978" s="525"/>
      <c r="AB978" s="921"/>
      <c r="AC978" s="26"/>
      <c r="AD978" s="24"/>
      <c r="AE978" s="26"/>
      <c r="AF978" s="106"/>
      <c r="AG978" s="37"/>
      <c r="AH978" s="957"/>
      <c r="AI978" s="1023"/>
      <c r="AJ978" s="1023"/>
      <c r="AK978" s="1023"/>
      <c r="AL978" s="1023"/>
      <c r="AM978" s="1023"/>
      <c r="AN978" s="1023"/>
      <c r="AO978" s="957"/>
      <c r="AP978" s="957"/>
      <c r="AQ978" s="957"/>
      <c r="AR978" s="957"/>
      <c r="AS978" s="957"/>
      <c r="AT978" s="957"/>
      <c r="AU978" s="957"/>
      <c r="AV978" s="957"/>
      <c r="AW978" s="957"/>
      <c r="AX978" s="957"/>
      <c r="AY978" s="957"/>
      <c r="AZ978" s="957"/>
      <c r="BA978" s="957"/>
      <c r="BB978" s="957"/>
      <c r="BC978" s="957"/>
      <c r="BD978" s="957"/>
      <c r="BE978" s="957"/>
      <c r="BF978" s="957"/>
      <c r="BG978" s="957"/>
    </row>
    <row r="979" spans="1:123" s="325" customFormat="1" ht="60">
      <c r="A979" s="2185"/>
      <c r="B979" s="987" t="s">
        <v>905</v>
      </c>
      <c r="C979" s="989" t="s">
        <v>12</v>
      </c>
      <c r="D979" s="74" t="s">
        <v>906</v>
      </c>
      <c r="E979" s="644">
        <v>2297</v>
      </c>
      <c r="F979" s="783">
        <v>35.525032651284299</v>
      </c>
      <c r="G979" s="783">
        <v>30.42</v>
      </c>
      <c r="H979" s="769">
        <v>1.0801654331737001</v>
      </c>
      <c r="I979" s="770">
        <v>1.3508918901404801</v>
      </c>
      <c r="J979" s="646" t="s">
        <v>14</v>
      </c>
      <c r="K979" s="1157" t="s">
        <v>1085</v>
      </c>
      <c r="L979" s="646" t="s">
        <v>12</v>
      </c>
      <c r="M979" s="417" t="s">
        <v>1081</v>
      </c>
      <c r="N979" s="1232">
        <v>9.1999999999999998E-3</v>
      </c>
      <c r="O979" s="517">
        <v>5.16</v>
      </c>
      <c r="P979" s="517">
        <v>1.8E-3</v>
      </c>
      <c r="Q979" s="208" t="s">
        <v>15</v>
      </c>
      <c r="R979" s="634">
        <f>N979</f>
        <v>9.1999999999999998E-3</v>
      </c>
      <c r="S979" s="502"/>
      <c r="T979" s="330"/>
      <c r="U979" s="883"/>
      <c r="V979" s="502"/>
      <c r="W979" s="330"/>
      <c r="X979" s="330"/>
      <c r="Y979" s="648"/>
      <c r="Z979" s="648"/>
      <c r="AA979" s="648"/>
      <c r="AB979" s="928"/>
      <c r="AC979" s="330"/>
      <c r="AD979" s="502"/>
      <c r="AE979" s="330"/>
      <c r="AF979" s="105"/>
      <c r="AG979" s="330"/>
      <c r="AH979" s="962"/>
      <c r="AI979" s="1038"/>
      <c r="AJ979" s="1038"/>
      <c r="AK979" s="1038"/>
      <c r="AL979" s="1038"/>
      <c r="AM979" s="1038"/>
      <c r="AN979" s="1038"/>
      <c r="AO979" s="962"/>
      <c r="AP979" s="962"/>
      <c r="AQ979" s="962"/>
      <c r="AR979" s="962"/>
      <c r="AS979" s="962"/>
      <c r="AT979" s="962"/>
      <c r="AU979" s="962"/>
      <c r="AV979" s="962"/>
      <c r="AW979" s="962"/>
      <c r="AX979" s="962"/>
      <c r="AY979" s="962"/>
      <c r="AZ979" s="962"/>
      <c r="BA979" s="962"/>
      <c r="BB979" s="962"/>
      <c r="BC979" s="962"/>
      <c r="BD979" s="962"/>
      <c r="BE979" s="962"/>
      <c r="BF979" s="962"/>
      <c r="BG979" s="962"/>
      <c r="BH979" s="1130"/>
      <c r="CF979" s="568"/>
      <c r="CG979" s="568"/>
      <c r="CH979" s="568"/>
      <c r="CI979" s="568"/>
      <c r="CJ979" s="568"/>
      <c r="CK979" s="568"/>
      <c r="CL979" s="568"/>
      <c r="CM979" s="568"/>
      <c r="CN979" s="568"/>
      <c r="CO979" s="568"/>
      <c r="CP979" s="568"/>
      <c r="CQ979" s="568"/>
      <c r="CR979" s="568"/>
      <c r="CS979" s="568"/>
      <c r="CT979" s="568"/>
      <c r="CU979" s="568"/>
      <c r="CV979" s="568"/>
      <c r="CW979" s="568"/>
      <c r="CX979" s="568"/>
      <c r="CY979" s="568"/>
      <c r="CZ979" s="568"/>
      <c r="DA979" s="568"/>
      <c r="DB979" s="568"/>
      <c r="DC979" s="568"/>
      <c r="DD979" s="568"/>
      <c r="DE979" s="568"/>
      <c r="DF979" s="568"/>
      <c r="DG979" s="568"/>
      <c r="DH979" s="568"/>
      <c r="DI979" s="560"/>
      <c r="DJ979" s="568"/>
      <c r="DK979" s="568"/>
      <c r="DL979" s="568"/>
      <c r="DM979" s="568"/>
      <c r="DN979" s="568"/>
      <c r="DO979" s="568"/>
      <c r="DP979" s="568"/>
      <c r="DQ979" s="568"/>
      <c r="DR979" s="568"/>
      <c r="DS979" s="568"/>
    </row>
    <row r="980" spans="1:123" ht="15.75" thickBot="1">
      <c r="A980" s="2185"/>
      <c r="B980" s="987" t="s">
        <v>907</v>
      </c>
      <c r="C980" s="989" t="s">
        <v>11</v>
      </c>
      <c r="D980" s="292" t="s">
        <v>908</v>
      </c>
      <c r="E980" s="511">
        <v>2297</v>
      </c>
      <c r="F980" s="460">
        <v>7.8545929473225904</v>
      </c>
      <c r="G980" s="460">
        <v>20.190000000000001</v>
      </c>
      <c r="H980" s="767">
        <v>1.0801654331737001</v>
      </c>
      <c r="I980" s="768">
        <v>1.3508918901404801</v>
      </c>
      <c r="J980" s="234" t="s">
        <v>15</v>
      </c>
      <c r="K980" s="233" t="s">
        <v>15</v>
      </c>
      <c r="L980" s="234" t="s">
        <v>15</v>
      </c>
      <c r="M980" s="233" t="s">
        <v>15</v>
      </c>
      <c r="N980" s="1232">
        <v>-8.8000000000000005E-3</v>
      </c>
      <c r="O980" s="517">
        <v>-3.21</v>
      </c>
      <c r="P980" s="517">
        <v>2.7000000000000001E-3</v>
      </c>
      <c r="Q980" s="520" t="s">
        <v>15</v>
      </c>
      <c r="R980" s="128">
        <f>N980</f>
        <v>-8.8000000000000005E-3</v>
      </c>
      <c r="S980" s="24"/>
      <c r="T980" s="26"/>
      <c r="V980" s="24"/>
      <c r="W980" s="26"/>
      <c r="X980" s="26"/>
      <c r="Y980" s="525"/>
      <c r="Z980" s="525"/>
      <c r="AA980" s="525"/>
      <c r="AB980" s="921"/>
      <c r="AC980" s="26"/>
      <c r="AD980" s="24"/>
      <c r="AE980" s="26"/>
      <c r="AF980" s="106"/>
      <c r="AG980" s="37"/>
      <c r="AH980" s="957"/>
      <c r="AI980" s="1023"/>
      <c r="AJ980" s="1023"/>
      <c r="AK980" s="1023"/>
      <c r="AL980" s="1023"/>
      <c r="AM980" s="1023"/>
      <c r="AN980" s="1023"/>
      <c r="AO980" s="957"/>
      <c r="AP980" s="957"/>
      <c r="AQ980" s="957"/>
      <c r="AR980" s="957"/>
      <c r="AS980" s="957"/>
      <c r="AT980" s="957"/>
      <c r="AU980" s="957"/>
      <c r="AV980" s="957"/>
      <c r="AW980" s="957"/>
      <c r="AX980" s="957"/>
      <c r="AY980" s="957"/>
      <c r="AZ980" s="957"/>
      <c r="BA980" s="957"/>
      <c r="BB980" s="957"/>
      <c r="BC980" s="957"/>
      <c r="BD980" s="957"/>
      <c r="BE980" s="957"/>
      <c r="BF980" s="957"/>
      <c r="BG980" s="957"/>
    </row>
    <row r="981" spans="1:123" s="692" customFormat="1" ht="9" customHeight="1" thickBot="1">
      <c r="A981" s="695"/>
      <c r="B981" s="815"/>
      <c r="C981" s="684"/>
      <c r="D981" s="683"/>
      <c r="E981" s="707"/>
      <c r="F981" s="708"/>
      <c r="G981" s="708"/>
      <c r="H981" s="709"/>
      <c r="I981" s="709"/>
      <c r="J981" s="682"/>
      <c r="K981" s="683"/>
      <c r="L981" s="682"/>
      <c r="M981" s="685"/>
      <c r="N981" s="1189"/>
      <c r="O981" s="686"/>
      <c r="P981" s="686"/>
      <c r="Q981" s="687"/>
      <c r="R981" s="687"/>
      <c r="S981" s="688"/>
      <c r="T981" s="688"/>
      <c r="U981" s="854"/>
      <c r="V981" s="893"/>
      <c r="W981" s="685"/>
      <c r="X981" s="685"/>
      <c r="Y981" s="688"/>
      <c r="Z981" s="688"/>
      <c r="AA981" s="688"/>
      <c r="AB981" s="846"/>
      <c r="AC981" s="690"/>
      <c r="AD981" s="690"/>
      <c r="AE981" s="690"/>
      <c r="AF981" s="711"/>
      <c r="AG981" s="690"/>
      <c r="AH981" s="959"/>
      <c r="AI981" s="959"/>
      <c r="AJ981" s="959"/>
      <c r="AK981" s="959"/>
      <c r="AL981" s="959"/>
      <c r="AM981" s="959"/>
      <c r="AN981" s="959"/>
      <c r="AO981" s="959"/>
      <c r="AP981" s="959"/>
      <c r="AQ981" s="959"/>
      <c r="AR981" s="959"/>
      <c r="AS981" s="959"/>
      <c r="AT981" s="959"/>
      <c r="AU981" s="959"/>
      <c r="AV981" s="959"/>
      <c r="AW981" s="959"/>
      <c r="AX981" s="959"/>
      <c r="AY981" s="959"/>
      <c r="AZ981" s="959"/>
      <c r="BA981" s="959"/>
      <c r="BB981" s="959"/>
      <c r="BC981" s="959"/>
      <c r="BD981" s="959"/>
      <c r="BE981" s="959"/>
      <c r="BF981" s="959"/>
      <c r="BG981" s="959"/>
      <c r="BH981" s="1125"/>
      <c r="DI981" s="693"/>
    </row>
    <row r="982" spans="1:123">
      <c r="A982" s="2184" t="s">
        <v>1310</v>
      </c>
      <c r="B982" s="2194" t="s">
        <v>889</v>
      </c>
      <c r="C982" s="2179" t="s">
        <v>13</v>
      </c>
      <c r="D982" s="292" t="s">
        <v>890</v>
      </c>
      <c r="E982" s="511">
        <v>981</v>
      </c>
      <c r="F982" s="233" t="s">
        <v>15</v>
      </c>
      <c r="G982" s="233" t="s">
        <v>15</v>
      </c>
      <c r="H982" s="513">
        <v>5.7490078151545996</v>
      </c>
      <c r="I982" s="570">
        <v>3.59119775942946</v>
      </c>
      <c r="J982" s="234" t="s">
        <v>15</v>
      </c>
      <c r="K982" s="233" t="s">
        <v>15</v>
      </c>
      <c r="L982" s="234" t="s">
        <v>15</v>
      </c>
      <c r="M982" s="233" t="s">
        <v>15</v>
      </c>
      <c r="N982" s="537">
        <v>0</v>
      </c>
      <c r="O982" s="536" t="s">
        <v>574</v>
      </c>
      <c r="P982" s="126" t="s">
        <v>574</v>
      </c>
      <c r="Q982" s="523">
        <v>0.10520114149180668</v>
      </c>
      <c r="R982" s="2152">
        <f>SUMPRODUCT(N982:N987,Q982:Q987)</f>
        <v>0.38771064565686919</v>
      </c>
      <c r="S982" s="504" t="s">
        <v>68</v>
      </c>
      <c r="T982" s="505" t="s">
        <v>69</v>
      </c>
      <c r="U982" s="881"/>
      <c r="V982" s="403" t="s">
        <v>932</v>
      </c>
      <c r="W982" s="26"/>
      <c r="X982" s="26"/>
      <c r="Y982" s="525"/>
      <c r="Z982" s="525"/>
      <c r="AA982" s="525"/>
      <c r="AB982" s="921"/>
      <c r="AC982" s="26"/>
      <c r="AD982" s="24"/>
      <c r="AE982" s="26"/>
      <c r="AF982" s="106"/>
      <c r="AG982" s="37"/>
      <c r="AH982" s="957"/>
      <c r="AI982" s="1023"/>
      <c r="AJ982" s="1023"/>
      <c r="AK982" s="1023"/>
      <c r="AL982" s="1023"/>
      <c r="AM982" s="1023"/>
      <c r="AN982" s="1023"/>
      <c r="AO982" s="957"/>
      <c r="AP982" s="957"/>
      <c r="AQ982" s="957"/>
      <c r="AR982" s="957"/>
      <c r="AS982" s="957"/>
      <c r="AT982" s="957"/>
      <c r="AU982" s="957"/>
      <c r="AV982" s="957"/>
      <c r="AW982" s="957"/>
      <c r="AX982" s="957"/>
      <c r="AY982" s="957"/>
      <c r="AZ982" s="957"/>
      <c r="BA982" s="957"/>
      <c r="BB982" s="957"/>
      <c r="BC982" s="957"/>
      <c r="BD982" s="957"/>
      <c r="BE982" s="957"/>
      <c r="BF982" s="957"/>
      <c r="BG982" s="957"/>
    </row>
    <row r="983" spans="1:123">
      <c r="A983" s="2185"/>
      <c r="B983" s="2199"/>
      <c r="C983" s="2187"/>
      <c r="D983" s="291" t="s">
        <v>891</v>
      </c>
      <c r="E983" s="511">
        <v>147</v>
      </c>
      <c r="F983" s="233" t="s">
        <v>15</v>
      </c>
      <c r="G983" s="233" t="s">
        <v>15</v>
      </c>
      <c r="H983" s="513">
        <v>9.6238435374149702</v>
      </c>
      <c r="I983" s="570">
        <v>3.1095770132574598</v>
      </c>
      <c r="J983" s="234" t="s">
        <v>15</v>
      </c>
      <c r="K983" s="233" t="s">
        <v>15</v>
      </c>
      <c r="L983" s="234" t="s">
        <v>15</v>
      </c>
      <c r="M983" s="233" t="s">
        <v>15</v>
      </c>
      <c r="N983" s="1232">
        <v>2.6040000000000001</v>
      </c>
      <c r="O983" s="517">
        <v>13.24</v>
      </c>
      <c r="P983" s="522">
        <v>0.1966</v>
      </c>
      <c r="Q983" s="524">
        <v>6.2508322755857229E-2</v>
      </c>
      <c r="R983" s="2153"/>
      <c r="S983" s="34" t="s">
        <v>892</v>
      </c>
      <c r="T983" s="451" t="s">
        <v>893</v>
      </c>
      <c r="U983" s="882"/>
      <c r="V983" s="24"/>
      <c r="W983" s="26"/>
      <c r="X983" s="26"/>
      <c r="Y983" s="525"/>
      <c r="Z983" s="525"/>
      <c r="AA983" s="525"/>
      <c r="AB983" s="921"/>
      <c r="AC983" s="26"/>
      <c r="AD983" s="24"/>
      <c r="AE983" s="26"/>
      <c r="AF983" s="106"/>
      <c r="AG983" s="37"/>
      <c r="AH983" s="957"/>
      <c r="AI983" s="1023"/>
      <c r="AJ983" s="1023"/>
      <c r="AK983" s="1023"/>
      <c r="AL983" s="1023"/>
      <c r="AM983" s="1023"/>
      <c r="AN983" s="1023"/>
      <c r="AO983" s="957"/>
      <c r="AP983" s="957"/>
      <c r="AQ983" s="957"/>
      <c r="AR983" s="957"/>
      <c r="AS983" s="957"/>
      <c r="AT983" s="957"/>
      <c r="AU983" s="957"/>
      <c r="AV983" s="957"/>
      <c r="AW983" s="957"/>
      <c r="AX983" s="957"/>
      <c r="AY983" s="957"/>
      <c r="AZ983" s="957"/>
      <c r="BA983" s="957"/>
      <c r="BB983" s="957"/>
      <c r="BC983" s="957"/>
      <c r="BD983" s="957"/>
      <c r="BE983" s="957"/>
      <c r="BF983" s="957"/>
      <c r="BG983" s="957"/>
    </row>
    <row r="984" spans="1:123">
      <c r="A984" s="2185"/>
      <c r="B984" s="2199"/>
      <c r="C984" s="2187"/>
      <c r="D984" s="292" t="s">
        <v>894</v>
      </c>
      <c r="E984" s="511">
        <v>54</v>
      </c>
      <c r="F984" s="233" t="s">
        <v>15</v>
      </c>
      <c r="G984" s="233" t="s">
        <v>15</v>
      </c>
      <c r="H984" s="513">
        <v>8.4390740740740693</v>
      </c>
      <c r="I984" s="570">
        <v>1.68581458784713</v>
      </c>
      <c r="J984" s="234" t="s">
        <v>15</v>
      </c>
      <c r="K984" s="233" t="s">
        <v>15</v>
      </c>
      <c r="L984" s="234" t="s">
        <v>15</v>
      </c>
      <c r="M984" s="233" t="s">
        <v>15</v>
      </c>
      <c r="N984" s="1232">
        <v>0.89219999999999999</v>
      </c>
      <c r="O984" s="517">
        <v>2.92</v>
      </c>
      <c r="P984" s="522">
        <v>0.30499999999999999</v>
      </c>
      <c r="Q984" s="524">
        <v>0.32481127589732228</v>
      </c>
      <c r="R984" s="2153"/>
      <c r="S984" s="504" t="s">
        <v>72</v>
      </c>
      <c r="T984" s="416" t="s">
        <v>119</v>
      </c>
      <c r="U984" s="876"/>
      <c r="V984" s="24"/>
      <c r="W984" s="26"/>
      <c r="X984" s="26"/>
      <c r="Y984" s="525"/>
      <c r="Z984" s="525"/>
      <c r="AA984" s="525"/>
      <c r="AB984" s="921"/>
      <c r="AC984" s="26"/>
      <c r="AD984" s="24"/>
      <c r="AE984" s="26"/>
      <c r="AF984" s="106"/>
      <c r="AG984" s="37"/>
      <c r="AH984" s="957"/>
      <c r="AI984" s="1023"/>
      <c r="AJ984" s="1023"/>
      <c r="AK984" s="1023"/>
      <c r="AL984" s="1023"/>
      <c r="AM984" s="1023"/>
      <c r="AN984" s="1023"/>
      <c r="AO984" s="957"/>
      <c r="AP984" s="957"/>
      <c r="AQ984" s="957"/>
      <c r="AR984" s="957"/>
      <c r="AS984" s="957"/>
      <c r="AT984" s="957"/>
      <c r="AU984" s="957"/>
      <c r="AV984" s="957"/>
      <c r="AW984" s="957"/>
      <c r="AX984" s="957"/>
      <c r="AY984" s="957"/>
      <c r="AZ984" s="957"/>
      <c r="BA984" s="957"/>
      <c r="BB984" s="957"/>
      <c r="BC984" s="957"/>
      <c r="BD984" s="957"/>
      <c r="BE984" s="957"/>
      <c r="BF984" s="957"/>
      <c r="BG984" s="957"/>
    </row>
    <row r="985" spans="1:123">
      <c r="A985" s="2185"/>
      <c r="B985" s="2199"/>
      <c r="C985" s="2187"/>
      <c r="D985" s="292" t="s">
        <v>895</v>
      </c>
      <c r="E985" s="511">
        <v>670</v>
      </c>
      <c r="F985" s="233" t="s">
        <v>15</v>
      </c>
      <c r="G985" s="233" t="s">
        <v>15</v>
      </c>
      <c r="H985" s="513">
        <v>8.5010621890547302</v>
      </c>
      <c r="I985" s="570">
        <v>3.15472560363445</v>
      </c>
      <c r="J985" s="234" t="s">
        <v>15</v>
      </c>
      <c r="K985" s="233" t="s">
        <v>15</v>
      </c>
      <c r="L985" s="234" t="s">
        <v>15</v>
      </c>
      <c r="M985" s="233" t="s">
        <v>15</v>
      </c>
      <c r="N985" s="1232">
        <v>1.4764999999999999</v>
      </c>
      <c r="O985" s="517">
        <v>12.5</v>
      </c>
      <c r="P985" s="522">
        <v>0.1181</v>
      </c>
      <c r="Q985" s="524">
        <v>8.6863434365346215E-2</v>
      </c>
      <c r="R985" s="2153"/>
      <c r="S985" s="506" t="s">
        <v>73</v>
      </c>
      <c r="T985" s="507" t="s">
        <v>140</v>
      </c>
      <c r="U985" s="883"/>
      <c r="V985" s="24"/>
      <c r="W985" s="26"/>
      <c r="X985" s="26"/>
      <c r="Y985" s="525"/>
      <c r="Z985" s="525"/>
      <c r="AA985" s="525"/>
      <c r="AB985" s="921"/>
      <c r="AC985" s="26"/>
      <c r="AD985" s="24"/>
      <c r="AE985" s="26"/>
      <c r="AF985" s="106"/>
      <c r="AG985" s="37"/>
      <c r="AH985" s="957"/>
      <c r="AI985" s="1023"/>
      <c r="AJ985" s="1023"/>
      <c r="AK985" s="1023"/>
      <c r="AL985" s="1023"/>
      <c r="AM985" s="1023"/>
      <c r="AN985" s="1023"/>
      <c r="AO985" s="957"/>
      <c r="AP985" s="957"/>
      <c r="AQ985" s="957"/>
      <c r="AR985" s="957"/>
      <c r="AS985" s="957"/>
      <c r="AT985" s="957"/>
      <c r="AU985" s="957"/>
      <c r="AV985" s="957"/>
      <c r="AW985" s="957"/>
      <c r="AX985" s="957"/>
      <c r="AY985" s="957"/>
      <c r="AZ985" s="957"/>
      <c r="BA985" s="957"/>
      <c r="BB985" s="957"/>
      <c r="BC985" s="957"/>
      <c r="BD985" s="957"/>
      <c r="BE985" s="957"/>
      <c r="BF985" s="957"/>
      <c r="BG985" s="957"/>
    </row>
    <row r="986" spans="1:123">
      <c r="A986" s="2185"/>
      <c r="B986" s="2199"/>
      <c r="C986" s="2187"/>
      <c r="D986" s="292" t="s">
        <v>896</v>
      </c>
      <c r="E986" s="511">
        <v>318</v>
      </c>
      <c r="F986" s="233" t="s">
        <v>15</v>
      </c>
      <c r="G986" s="233" t="s">
        <v>15</v>
      </c>
      <c r="H986" s="513">
        <v>5.5884003444144996</v>
      </c>
      <c r="I986" s="570">
        <v>3.3185040761265299</v>
      </c>
      <c r="J986" s="234" t="s">
        <v>15</v>
      </c>
      <c r="K986" s="233" t="s">
        <v>15</v>
      </c>
      <c r="L986" s="234" t="s">
        <v>15</v>
      </c>
      <c r="M986" s="233" t="s">
        <v>15</v>
      </c>
      <c r="N986" s="1232">
        <v>-0.1812</v>
      </c>
      <c r="O986" s="517">
        <v>-1.28</v>
      </c>
      <c r="P986" s="522">
        <v>0.14119999999999999</v>
      </c>
      <c r="Q986" s="524">
        <v>0.1794596575406428</v>
      </c>
      <c r="R986" s="2153"/>
      <c r="S986" s="504" t="s">
        <v>74</v>
      </c>
      <c r="T986" s="505" t="s">
        <v>75</v>
      </c>
      <c r="U986" s="881"/>
      <c r="V986" s="24"/>
      <c r="W986" s="26"/>
      <c r="X986" s="26"/>
      <c r="Y986" s="525"/>
      <c r="Z986" s="525"/>
      <c r="AA986" s="525"/>
      <c r="AB986" s="921"/>
      <c r="AC986" s="26"/>
      <c r="AD986" s="24"/>
      <c r="AE986" s="26"/>
      <c r="AF986" s="106"/>
      <c r="AG986" s="37"/>
      <c r="AH986" s="957"/>
      <c r="AI986" s="1023"/>
      <c r="AJ986" s="1023"/>
      <c r="AK986" s="1023"/>
      <c r="AL986" s="1023"/>
      <c r="AM986" s="1023"/>
      <c r="AN986" s="1023"/>
      <c r="AO986" s="957"/>
      <c r="AP986" s="957"/>
      <c r="AQ986" s="957"/>
      <c r="AR986" s="957"/>
      <c r="AS986" s="957"/>
      <c r="AT986" s="957"/>
      <c r="AU986" s="957"/>
      <c r="AV986" s="957"/>
      <c r="AW986" s="957"/>
      <c r="AX986" s="957"/>
      <c r="AY986" s="957"/>
      <c r="AZ986" s="957"/>
      <c r="BA986" s="957"/>
      <c r="BB986" s="957"/>
      <c r="BC986" s="957"/>
      <c r="BD986" s="957"/>
      <c r="BE986" s="957"/>
      <c r="BF986" s="957"/>
      <c r="BG986" s="957"/>
    </row>
    <row r="987" spans="1:123">
      <c r="A987" s="2185"/>
      <c r="B987" s="2195"/>
      <c r="C987" s="2180"/>
      <c r="D987" s="292" t="s">
        <v>897</v>
      </c>
      <c r="E987" s="511">
        <v>2</v>
      </c>
      <c r="F987" s="233" t="s">
        <v>15</v>
      </c>
      <c r="G987" s="233" t="s">
        <v>15</v>
      </c>
      <c r="H987" s="513">
        <v>0.32791666666666702</v>
      </c>
      <c r="I987" s="570">
        <v>0.32114432978889002</v>
      </c>
      <c r="J987" s="234" t="s">
        <v>15</v>
      </c>
      <c r="K987" s="233" t="s">
        <v>15</v>
      </c>
      <c r="L987" s="234" t="s">
        <v>15</v>
      </c>
      <c r="M987" s="233" t="s">
        <v>15</v>
      </c>
      <c r="N987" s="1232">
        <v>-1.0978000000000001</v>
      </c>
      <c r="O987" s="517">
        <v>-0.72</v>
      </c>
      <c r="P987" s="522">
        <v>1.5327999999999999</v>
      </c>
      <c r="Q987" s="524">
        <v>0.14628658958739585</v>
      </c>
      <c r="R987" s="2154"/>
      <c r="S987" s="396">
        <v>2172</v>
      </c>
      <c r="T987" s="507" t="s">
        <v>140</v>
      </c>
      <c r="U987" s="883"/>
      <c r="V987" s="24"/>
      <c r="W987" s="26"/>
      <c r="X987" s="26"/>
      <c r="Y987" s="525"/>
      <c r="Z987" s="525"/>
      <c r="AA987" s="525"/>
      <c r="AB987" s="921"/>
      <c r="AC987" s="26"/>
      <c r="AD987" s="24"/>
      <c r="AE987" s="26"/>
      <c r="AF987" s="106"/>
      <c r="AG987" s="37"/>
      <c r="AH987" s="957"/>
      <c r="AI987" s="1023"/>
      <c r="AJ987" s="1023"/>
      <c r="AK987" s="1023"/>
      <c r="AL987" s="1023"/>
      <c r="AM987" s="1023"/>
      <c r="AN987" s="1023"/>
      <c r="AO987" s="957"/>
      <c r="AP987" s="957"/>
      <c r="AQ987" s="957"/>
      <c r="AR987" s="957"/>
      <c r="AS987" s="957"/>
      <c r="AT987" s="957"/>
      <c r="AU987" s="957"/>
      <c r="AV987" s="957"/>
      <c r="AW987" s="957"/>
      <c r="AX987" s="957"/>
      <c r="AY987" s="957"/>
      <c r="AZ987" s="957"/>
      <c r="BA987" s="957"/>
      <c r="BB987" s="957"/>
      <c r="BC987" s="957"/>
      <c r="BD987" s="957"/>
      <c r="BE987" s="957"/>
      <c r="BF987" s="957"/>
      <c r="BG987" s="957"/>
    </row>
    <row r="988" spans="1:123">
      <c r="A988" s="2185"/>
      <c r="B988" s="2194" t="s">
        <v>899</v>
      </c>
      <c r="C988" s="2179" t="s">
        <v>11</v>
      </c>
      <c r="D988" s="292" t="s">
        <v>33</v>
      </c>
      <c r="E988" s="511">
        <v>1665</v>
      </c>
      <c r="F988" s="233" t="s">
        <v>15</v>
      </c>
      <c r="G988" s="233" t="s">
        <v>15</v>
      </c>
      <c r="H988" s="513">
        <v>8.4336276276276294</v>
      </c>
      <c r="I988" s="570">
        <v>2.6566735735953899</v>
      </c>
      <c r="J988" s="234" t="s">
        <v>15</v>
      </c>
      <c r="K988" s="233" t="s">
        <v>15</v>
      </c>
      <c r="L988" s="234" t="s">
        <v>15</v>
      </c>
      <c r="M988" s="233" t="s">
        <v>15</v>
      </c>
      <c r="N988" s="1232">
        <v>-2.3243</v>
      </c>
      <c r="O988" s="517">
        <v>-15.83</v>
      </c>
      <c r="P988" s="522">
        <v>0.14680000000000001</v>
      </c>
      <c r="Q988" s="251">
        <v>0.33849985722740278</v>
      </c>
      <c r="R988" s="2130">
        <f>SUMPRODUCT(N988:N989,Q988:Q989)</f>
        <v>-0.78677521815365226</v>
      </c>
      <c r="S988" s="504" t="s">
        <v>41</v>
      </c>
      <c r="T988" s="505" t="s">
        <v>42</v>
      </c>
      <c r="U988" s="881"/>
      <c r="V988" s="24"/>
      <c r="W988" s="26"/>
      <c r="X988" s="26"/>
      <c r="Y988" s="525"/>
      <c r="Z988" s="525"/>
      <c r="AA988" s="525"/>
      <c r="AB988" s="921"/>
      <c r="AC988" s="26"/>
      <c r="AD988" s="24"/>
      <c r="AE988" s="26"/>
      <c r="AF988" s="106"/>
      <c r="AG988" s="37"/>
      <c r="AH988" s="957"/>
      <c r="AI988" s="1023"/>
      <c r="AJ988" s="1023"/>
      <c r="AK988" s="1023"/>
      <c r="AL988" s="1023"/>
      <c r="AM988" s="1023"/>
      <c r="AN988" s="1023"/>
      <c r="AO988" s="957"/>
      <c r="AP988" s="957"/>
      <c r="AQ988" s="957"/>
      <c r="AR988" s="957"/>
      <c r="AS988" s="957"/>
      <c r="AT988" s="957"/>
      <c r="AU988" s="957"/>
      <c r="AV988" s="957"/>
      <c r="AW988" s="957"/>
      <c r="AX988" s="957"/>
      <c r="AY988" s="957"/>
      <c r="AZ988" s="957"/>
      <c r="BA988" s="957"/>
      <c r="BB988" s="957"/>
      <c r="BC988" s="957"/>
      <c r="BD988" s="957"/>
      <c r="BE988" s="957"/>
      <c r="BF988" s="957"/>
      <c r="BG988" s="957"/>
    </row>
    <row r="989" spans="1:123">
      <c r="A989" s="2185"/>
      <c r="B989" s="2195"/>
      <c r="C989" s="2180"/>
      <c r="D989" s="292" t="s">
        <v>32</v>
      </c>
      <c r="E989" s="511">
        <v>507</v>
      </c>
      <c r="F989" s="233" t="s">
        <v>15</v>
      </c>
      <c r="G989" s="233" t="s">
        <v>15</v>
      </c>
      <c r="H989" s="513">
        <v>1.8573579412040999</v>
      </c>
      <c r="I989" s="570">
        <v>1.14791972311891</v>
      </c>
      <c r="J989" s="234" t="s">
        <v>15</v>
      </c>
      <c r="K989" s="233" t="s">
        <v>15</v>
      </c>
      <c r="L989" s="234" t="s">
        <v>15</v>
      </c>
      <c r="M989" s="233" t="s">
        <v>15</v>
      </c>
      <c r="N989" s="537">
        <v>0</v>
      </c>
      <c r="O989" s="536" t="s">
        <v>574</v>
      </c>
      <c r="P989" s="126" t="s">
        <v>574</v>
      </c>
      <c r="Q989" s="251">
        <v>0.66150014277259728</v>
      </c>
      <c r="R989" s="2155"/>
      <c r="S989" s="452">
        <v>0.47</v>
      </c>
      <c r="T989" s="260">
        <v>3.984</v>
      </c>
      <c r="U989" s="863"/>
      <c r="V989" s="24"/>
      <c r="W989" s="26"/>
      <c r="X989" s="26"/>
      <c r="Y989" s="525"/>
      <c r="Z989" s="525"/>
      <c r="AA989" s="525"/>
      <c r="AB989" s="921"/>
      <c r="AC989" s="26"/>
      <c r="AD989" s="24"/>
      <c r="AE989" s="26"/>
      <c r="AF989" s="106"/>
      <c r="AG989" s="37"/>
      <c r="AH989" s="957"/>
      <c r="AI989" s="1023"/>
      <c r="AJ989" s="1023"/>
      <c r="AK989" s="1023"/>
      <c r="AL989" s="1023"/>
      <c r="AM989" s="1023"/>
      <c r="AN989" s="1023"/>
      <c r="AO989" s="957"/>
      <c r="AP989" s="957"/>
      <c r="AQ989" s="957"/>
      <c r="AR989" s="957"/>
      <c r="AS989" s="957"/>
      <c r="AT989" s="957"/>
      <c r="AU989" s="957"/>
      <c r="AV989" s="957"/>
      <c r="AW989" s="957"/>
      <c r="AX989" s="957"/>
      <c r="AY989" s="957"/>
      <c r="AZ989" s="957"/>
      <c r="BA989" s="957"/>
      <c r="BB989" s="957"/>
      <c r="BC989" s="957"/>
      <c r="BD989" s="957"/>
      <c r="BE989" s="957"/>
      <c r="BF989" s="957"/>
      <c r="BG989" s="957"/>
    </row>
    <row r="990" spans="1:123">
      <c r="A990" s="2185"/>
      <c r="B990" s="2194" t="s">
        <v>900</v>
      </c>
      <c r="C990" s="2179" t="s">
        <v>11</v>
      </c>
      <c r="D990" s="292" t="s">
        <v>33</v>
      </c>
      <c r="E990" s="511">
        <v>1955</v>
      </c>
      <c r="F990" s="233" t="s">
        <v>15</v>
      </c>
      <c r="G990" s="233" t="s">
        <v>15</v>
      </c>
      <c r="H990" s="513">
        <v>7.5834936061381102</v>
      </c>
      <c r="I990" s="570">
        <v>3.1988875880143599</v>
      </c>
      <c r="J990" s="234" t="s">
        <v>15</v>
      </c>
      <c r="K990" s="233" t="s">
        <v>15</v>
      </c>
      <c r="L990" s="234" t="s">
        <v>15</v>
      </c>
      <c r="M990" s="233" t="s">
        <v>15</v>
      </c>
      <c r="N990" s="1232">
        <v>-1.8529</v>
      </c>
      <c r="O990" s="517">
        <v>-9.35</v>
      </c>
      <c r="P990" s="522">
        <v>0.19819999999999999</v>
      </c>
      <c r="Q990" s="251">
        <v>0.11859292287675301</v>
      </c>
      <c r="R990" s="2130">
        <f>SUMPRODUCT(N990:N991,Q990:Q991)</f>
        <v>-0.21974082679833565</v>
      </c>
      <c r="S990" s="118" t="s">
        <v>235</v>
      </c>
      <c r="T990" s="119" t="s">
        <v>391</v>
      </c>
      <c r="U990" s="855"/>
      <c r="V990" s="24"/>
      <c r="W990" s="26"/>
      <c r="X990" s="26"/>
      <c r="Y990" s="525"/>
      <c r="Z990" s="525"/>
      <c r="AA990" s="525"/>
      <c r="AB990" s="921"/>
      <c r="AC990" s="26"/>
      <c r="AD990" s="24"/>
      <c r="AE990" s="26"/>
      <c r="AF990" s="106"/>
      <c r="AG990" s="37"/>
      <c r="AH990" s="957"/>
      <c r="AI990" s="1023"/>
      <c r="AJ990" s="1023"/>
      <c r="AK990" s="1023"/>
      <c r="AL990" s="1023"/>
      <c r="AM990" s="1023"/>
      <c r="AN990" s="1023"/>
      <c r="AO990" s="957"/>
      <c r="AP990" s="957"/>
      <c r="AQ990" s="957"/>
      <c r="AR990" s="957"/>
      <c r="AS990" s="957"/>
      <c r="AT990" s="957"/>
      <c r="AU990" s="957"/>
      <c r="AV990" s="957"/>
      <c r="AW990" s="957"/>
      <c r="AX990" s="957"/>
      <c r="AY990" s="957"/>
      <c r="AZ990" s="957"/>
      <c r="BA990" s="957"/>
      <c r="BB990" s="957"/>
      <c r="BC990" s="957"/>
      <c r="BD990" s="957"/>
      <c r="BE990" s="957"/>
      <c r="BF990" s="957"/>
      <c r="BG990" s="957"/>
    </row>
    <row r="991" spans="1:123">
      <c r="A991" s="2185"/>
      <c r="B991" s="2195"/>
      <c r="C991" s="2180"/>
      <c r="D991" s="292" t="s">
        <v>32</v>
      </c>
      <c r="E991" s="511">
        <v>217</v>
      </c>
      <c r="F991" s="233" t="s">
        <v>15</v>
      </c>
      <c r="G991" s="233" t="s">
        <v>15</v>
      </c>
      <c r="H991" s="513">
        <v>0.72783629580864595</v>
      </c>
      <c r="I991" s="570">
        <v>0.45263560934793301</v>
      </c>
      <c r="J991" s="234" t="s">
        <v>15</v>
      </c>
      <c r="K991" s="233" t="s">
        <v>15</v>
      </c>
      <c r="L991" s="234" t="s">
        <v>15</v>
      </c>
      <c r="M991" s="233" t="s">
        <v>15</v>
      </c>
      <c r="N991" s="537">
        <v>0</v>
      </c>
      <c r="O991" s="536" t="s">
        <v>574</v>
      </c>
      <c r="P991" s="126" t="s">
        <v>574</v>
      </c>
      <c r="Q991" s="251">
        <v>0.88140707712324695</v>
      </c>
      <c r="R991" s="2155"/>
      <c r="S991" s="357">
        <v>1.6493180000000001</v>
      </c>
      <c r="T991" s="151" t="s">
        <v>15</v>
      </c>
      <c r="U991" s="862"/>
      <c r="V991" s="24"/>
      <c r="W991" s="26"/>
      <c r="X991" s="26"/>
      <c r="Y991" s="525"/>
      <c r="Z991" s="525"/>
      <c r="AA991" s="525"/>
      <c r="AB991" s="921"/>
      <c r="AC991" s="26"/>
      <c r="AD991" s="24"/>
      <c r="AE991" s="26"/>
      <c r="AF991" s="106"/>
      <c r="AG991" s="37"/>
      <c r="AH991" s="957"/>
      <c r="AI991" s="1023"/>
      <c r="AJ991" s="1023"/>
      <c r="AK991" s="1023"/>
      <c r="AL991" s="1023"/>
      <c r="AM991" s="1023"/>
      <c r="AN991" s="1023"/>
      <c r="AO991" s="957"/>
      <c r="AP991" s="957"/>
      <c r="AQ991" s="957"/>
      <c r="AR991" s="957"/>
      <c r="AS991" s="957"/>
      <c r="AT991" s="957"/>
      <c r="AU991" s="957"/>
      <c r="AV991" s="957"/>
      <c r="AW991" s="957"/>
      <c r="AX991" s="957"/>
      <c r="AY991" s="957"/>
      <c r="AZ991" s="957"/>
      <c r="BA991" s="957"/>
      <c r="BB991" s="957"/>
      <c r="BC991" s="957"/>
      <c r="BD991" s="957"/>
      <c r="BE991" s="957"/>
      <c r="BF991" s="957"/>
      <c r="BG991" s="957"/>
    </row>
    <row r="992" spans="1:123">
      <c r="A992" s="2185"/>
      <c r="B992" s="2194" t="s">
        <v>1355</v>
      </c>
      <c r="C992" s="2179" t="s">
        <v>11</v>
      </c>
      <c r="D992" s="292" t="s">
        <v>33</v>
      </c>
      <c r="E992" s="511">
        <v>214</v>
      </c>
      <c r="F992" s="233" t="s">
        <v>15</v>
      </c>
      <c r="G992" s="233" t="s">
        <v>15</v>
      </c>
      <c r="H992" s="513">
        <v>5.2069859813084101</v>
      </c>
      <c r="I992" s="570">
        <v>2.6258607082963898</v>
      </c>
      <c r="J992" s="234" t="s">
        <v>15</v>
      </c>
      <c r="K992" s="233" t="s">
        <v>15</v>
      </c>
      <c r="L992" s="234" t="s">
        <v>15</v>
      </c>
      <c r="M992" s="233" t="s">
        <v>15</v>
      </c>
      <c r="N992" s="1232">
        <v>1.5734999999999999</v>
      </c>
      <c r="O992" s="517">
        <v>9.49</v>
      </c>
      <c r="P992" s="522">
        <v>0.1658</v>
      </c>
      <c r="Q992" s="251">
        <v>0.62802965618670226</v>
      </c>
      <c r="R992" s="2130">
        <f>SUMPRODUCT(N992:N993,Q992:Q993)</f>
        <v>0.98820466400977591</v>
      </c>
      <c r="S992" s="24"/>
      <c r="T992" s="26"/>
      <c r="V992" s="24"/>
      <c r="W992" s="26"/>
      <c r="X992" s="26"/>
      <c r="Y992" s="525"/>
      <c r="Z992" s="525"/>
      <c r="AA992" s="525"/>
      <c r="AB992" s="921"/>
      <c r="AC992" s="26"/>
      <c r="AD992" s="24"/>
      <c r="AE992" s="26"/>
      <c r="AF992" s="106"/>
      <c r="AG992" s="37"/>
      <c r="AH992" s="957"/>
      <c r="AI992" s="1023"/>
      <c r="AJ992" s="1023"/>
      <c r="AK992" s="1023"/>
      <c r="AL992" s="1023"/>
      <c r="AM992" s="1023"/>
      <c r="AN992" s="1023"/>
      <c r="AO992" s="957"/>
      <c r="AP992" s="957"/>
      <c r="AQ992" s="957"/>
      <c r="AR992" s="957"/>
      <c r="AS992" s="957"/>
      <c r="AT992" s="957"/>
      <c r="AU992" s="957"/>
      <c r="AV992" s="957"/>
      <c r="AW992" s="957"/>
      <c r="AX992" s="957"/>
      <c r="AY992" s="957"/>
      <c r="AZ992" s="957"/>
      <c r="BA992" s="957"/>
      <c r="BB992" s="957"/>
      <c r="BC992" s="957"/>
      <c r="BD992" s="957"/>
      <c r="BE992" s="957"/>
      <c r="BF992" s="957"/>
      <c r="BG992" s="957"/>
    </row>
    <row r="993" spans="1:123">
      <c r="A993" s="2185"/>
      <c r="B993" s="2195"/>
      <c r="C993" s="2180"/>
      <c r="D993" s="292" t="s">
        <v>32</v>
      </c>
      <c r="E993" s="511">
        <v>1958</v>
      </c>
      <c r="F993" s="233" t="s">
        <v>15</v>
      </c>
      <c r="G993" s="233" t="s">
        <v>15</v>
      </c>
      <c r="H993" s="513">
        <v>7.0834399776253703</v>
      </c>
      <c r="I993" s="570">
        <v>3.7192902279048199</v>
      </c>
      <c r="J993" s="234" t="s">
        <v>15</v>
      </c>
      <c r="K993" s="233" t="s">
        <v>15</v>
      </c>
      <c r="L993" s="234" t="s">
        <v>15</v>
      </c>
      <c r="M993" s="233" t="s">
        <v>15</v>
      </c>
      <c r="N993" s="537">
        <v>0</v>
      </c>
      <c r="O993" s="536" t="s">
        <v>574</v>
      </c>
      <c r="P993" s="126" t="s">
        <v>574</v>
      </c>
      <c r="Q993" s="251">
        <v>0.3719703438132978</v>
      </c>
      <c r="R993" s="2155"/>
      <c r="S993" s="24"/>
      <c r="T993" s="26"/>
      <c r="V993" s="24"/>
      <c r="W993" s="26"/>
      <c r="X993" s="26"/>
      <c r="Y993" s="525"/>
      <c r="Z993" s="525"/>
      <c r="AA993" s="525"/>
      <c r="AB993" s="921"/>
      <c r="AC993" s="26"/>
      <c r="AD993" s="24"/>
      <c r="AE993" s="26"/>
      <c r="AF993" s="106"/>
      <c r="AG993" s="37"/>
      <c r="AH993" s="957"/>
      <c r="AI993" s="1023"/>
      <c r="AJ993" s="1023"/>
      <c r="AK993" s="1023"/>
      <c r="AL993" s="1023"/>
      <c r="AM993" s="1023"/>
      <c r="AN993" s="1023"/>
      <c r="AO993" s="957"/>
      <c r="AP993" s="957"/>
      <c r="AQ993" s="957"/>
      <c r="AR993" s="957"/>
      <c r="AS993" s="957"/>
      <c r="AT993" s="957"/>
      <c r="AU993" s="957"/>
      <c r="AV993" s="957"/>
      <c r="AW993" s="957"/>
      <c r="AX993" s="957"/>
      <c r="AY993" s="957"/>
      <c r="AZ993" s="957"/>
      <c r="BA993" s="957"/>
      <c r="BB993" s="957"/>
      <c r="BC993" s="957"/>
      <c r="BD993" s="957"/>
      <c r="BE993" s="957"/>
      <c r="BF993" s="957"/>
      <c r="BG993" s="957"/>
    </row>
    <row r="994" spans="1:123">
      <c r="A994" s="2185"/>
      <c r="B994" s="827" t="s">
        <v>903</v>
      </c>
      <c r="C994" s="981" t="s">
        <v>12</v>
      </c>
      <c r="D994" s="292" t="s">
        <v>909</v>
      </c>
      <c r="E994" s="511">
        <v>2172</v>
      </c>
      <c r="F994" s="487">
        <v>2.6523853591160198</v>
      </c>
      <c r="G994" s="487">
        <v>1.01167818777592</v>
      </c>
      <c r="H994" s="767">
        <v>6.8985591511005904</v>
      </c>
      <c r="I994" s="768">
        <v>3.6686423333414102</v>
      </c>
      <c r="J994" s="234" t="s">
        <v>15</v>
      </c>
      <c r="K994" s="233" t="s">
        <v>15</v>
      </c>
      <c r="L994" s="642" t="s">
        <v>14</v>
      </c>
      <c r="M994" s="351">
        <v>1.5</v>
      </c>
      <c r="N994" s="1232">
        <v>0.5907</v>
      </c>
      <c r="O994" s="517">
        <v>12.32</v>
      </c>
      <c r="P994" s="522">
        <v>4.8000000000000001E-2</v>
      </c>
      <c r="Q994" s="195" t="s">
        <v>15</v>
      </c>
      <c r="R994" s="128">
        <f>N994</f>
        <v>0.5907</v>
      </c>
      <c r="S994" s="24"/>
      <c r="T994" s="26"/>
      <c r="V994" s="24"/>
      <c r="W994" s="26"/>
      <c r="X994" s="26"/>
      <c r="Y994" s="525"/>
      <c r="Z994" s="525"/>
      <c r="AA994" s="525"/>
      <c r="AB994" s="921"/>
      <c r="AC994" s="26"/>
      <c r="AD994" s="24"/>
      <c r="AE994" s="26"/>
      <c r="AF994" s="106"/>
      <c r="AG994" s="37"/>
      <c r="AH994" s="957"/>
      <c r="AI994" s="1023"/>
      <c r="AJ994" s="1023"/>
      <c r="AK994" s="1023"/>
      <c r="AL994" s="1023"/>
      <c r="AM994" s="1023"/>
      <c r="AN994" s="1023"/>
      <c r="AO994" s="957"/>
      <c r="AP994" s="957"/>
      <c r="AQ994" s="957"/>
      <c r="AR994" s="957"/>
      <c r="AS994" s="957"/>
      <c r="AT994" s="957"/>
      <c r="AU994" s="957"/>
      <c r="AV994" s="957"/>
      <c r="AW994" s="957"/>
      <c r="AX994" s="957"/>
      <c r="AY994" s="957"/>
      <c r="AZ994" s="957"/>
      <c r="BA994" s="957"/>
      <c r="BB994" s="957"/>
      <c r="BC994" s="957"/>
      <c r="BD994" s="957"/>
      <c r="BE994" s="957"/>
      <c r="BF994" s="957"/>
      <c r="BG994" s="957"/>
    </row>
    <row r="995" spans="1:123" s="325" customFormat="1" ht="60.75" thickBot="1">
      <c r="A995" s="2203"/>
      <c r="B995" s="826" t="s">
        <v>533</v>
      </c>
      <c r="C995" s="981" t="s">
        <v>12</v>
      </c>
      <c r="D995" s="62" t="s">
        <v>910</v>
      </c>
      <c r="E995" s="644">
        <v>2172</v>
      </c>
      <c r="F995" s="645">
        <v>63.270718232044203</v>
      </c>
      <c r="G995" s="645">
        <v>19.4316150538709</v>
      </c>
      <c r="H995" s="651">
        <v>6.8985591511005904</v>
      </c>
      <c r="I995" s="652">
        <v>3.6686423333414102</v>
      </c>
      <c r="J995" s="646" t="s">
        <v>14</v>
      </c>
      <c r="K995" s="1157" t="s">
        <v>1085</v>
      </c>
      <c r="L995" s="646" t="s">
        <v>12</v>
      </c>
      <c r="M995" s="417" t="s">
        <v>1082</v>
      </c>
      <c r="N995" s="1232">
        <v>1.04E-2</v>
      </c>
      <c r="O995" s="517">
        <v>4.2300000000000004</v>
      </c>
      <c r="P995" s="522">
        <v>2.5000000000000001E-3</v>
      </c>
      <c r="Q995" s="375" t="s">
        <v>15</v>
      </c>
      <c r="R995" s="634">
        <f>N995</f>
        <v>1.04E-2</v>
      </c>
      <c r="S995" s="502"/>
      <c r="T995" s="330"/>
      <c r="U995" s="883"/>
      <c r="V995" s="502"/>
      <c r="W995" s="330"/>
      <c r="X995" s="330"/>
      <c r="Y995" s="648"/>
      <c r="Z995" s="648"/>
      <c r="AA995" s="648"/>
      <c r="AB995" s="928"/>
      <c r="AC995" s="330"/>
      <c r="AD995" s="502"/>
      <c r="AE995" s="330"/>
      <c r="AF995" s="105"/>
      <c r="AG995" s="330"/>
      <c r="AH995" s="962"/>
      <c r="AI995" s="1038"/>
      <c r="AJ995" s="1038"/>
      <c r="AK995" s="1038"/>
      <c r="AL995" s="1038"/>
      <c r="AM995" s="1038"/>
      <c r="AN995" s="1038"/>
      <c r="AO995" s="962"/>
      <c r="AP995" s="962"/>
      <c r="AQ995" s="962"/>
      <c r="AR995" s="962"/>
      <c r="AS995" s="962"/>
      <c r="AT995" s="962"/>
      <c r="AU995" s="962"/>
      <c r="AV995" s="962"/>
      <c r="AW995" s="962"/>
      <c r="AX995" s="962"/>
      <c r="AY995" s="962"/>
      <c r="AZ995" s="962"/>
      <c r="BA995" s="962"/>
      <c r="BB995" s="962"/>
      <c r="BC995" s="962"/>
      <c r="BD995" s="962"/>
      <c r="BE995" s="962"/>
      <c r="BF995" s="962"/>
      <c r="BG995" s="962"/>
      <c r="BH995" s="1130"/>
      <c r="CF995" s="568"/>
      <c r="CG995" s="568"/>
      <c r="CH995" s="568"/>
      <c r="CI995" s="568"/>
      <c r="CJ995" s="568"/>
      <c r="CK995" s="568"/>
      <c r="CL995" s="568"/>
      <c r="CM995" s="568"/>
      <c r="CN995" s="568"/>
      <c r="CO995" s="568"/>
      <c r="CP995" s="568"/>
      <c r="CQ995" s="568"/>
      <c r="CR995" s="568"/>
      <c r="CS995" s="568"/>
      <c r="CT995" s="568"/>
      <c r="CU995" s="568"/>
      <c r="CV995" s="568"/>
      <c r="CW995" s="568"/>
      <c r="CX995" s="568"/>
      <c r="CY995" s="568"/>
      <c r="CZ995" s="568"/>
      <c r="DA995" s="568"/>
      <c r="DB995" s="568"/>
      <c r="DC995" s="568"/>
      <c r="DD995" s="568"/>
      <c r="DE995" s="568"/>
      <c r="DF995" s="568"/>
      <c r="DG995" s="568"/>
      <c r="DH995" s="568"/>
      <c r="DI995" s="560"/>
      <c r="DJ995" s="568"/>
      <c r="DK995" s="568"/>
      <c r="DL995" s="568"/>
      <c r="DM995" s="568"/>
      <c r="DN995" s="568"/>
      <c r="DO995" s="568"/>
      <c r="DP995" s="568"/>
      <c r="DQ995" s="568"/>
      <c r="DR995" s="568"/>
      <c r="DS995" s="568"/>
    </row>
    <row r="996" spans="1:123" s="692" customFormat="1" ht="9" customHeight="1" thickBot="1">
      <c r="A996" s="695"/>
      <c r="B996" s="815"/>
      <c r="C996" s="684"/>
      <c r="D996" s="683"/>
      <c r="E996" s="707"/>
      <c r="F996" s="708"/>
      <c r="G996" s="708"/>
      <c r="H996" s="709"/>
      <c r="I996" s="709"/>
      <c r="J996" s="682"/>
      <c r="K996" s="683"/>
      <c r="L996" s="682"/>
      <c r="M996" s="685"/>
      <c r="N996" s="1189"/>
      <c r="O996" s="686"/>
      <c r="P996" s="686"/>
      <c r="Q996" s="687"/>
      <c r="R996" s="687"/>
      <c r="S996" s="688"/>
      <c r="T996" s="688"/>
      <c r="U996" s="854"/>
      <c r="V996" s="893"/>
      <c r="W996" s="685"/>
      <c r="X996" s="685"/>
      <c r="Y996" s="688"/>
      <c r="Z996" s="688"/>
      <c r="AA996" s="688"/>
      <c r="AB996" s="846"/>
      <c r="AC996" s="690"/>
      <c r="AD996" s="690"/>
      <c r="AE996" s="690"/>
      <c r="AF996" s="711"/>
      <c r="AG996" s="690"/>
      <c r="AH996" s="959"/>
      <c r="AI996" s="959"/>
      <c r="AJ996" s="959"/>
      <c r="AK996" s="959"/>
      <c r="AL996" s="959"/>
      <c r="AM996" s="959"/>
      <c r="AN996" s="959"/>
      <c r="AO996" s="959"/>
      <c r="AP996" s="959"/>
      <c r="AQ996" s="959"/>
      <c r="AR996" s="959"/>
      <c r="AS996" s="959"/>
      <c r="AT996" s="959"/>
      <c r="AU996" s="959"/>
      <c r="AV996" s="959"/>
      <c r="AW996" s="959"/>
      <c r="AX996" s="959"/>
      <c r="AY996" s="959"/>
      <c r="AZ996" s="959"/>
      <c r="BA996" s="959"/>
      <c r="BB996" s="959"/>
      <c r="BC996" s="959"/>
      <c r="BD996" s="959"/>
      <c r="BE996" s="959"/>
      <c r="BF996" s="959"/>
      <c r="BG996" s="959"/>
      <c r="BH996" s="1125"/>
      <c r="DI996" s="693"/>
    </row>
    <row r="997" spans="1:123" ht="15" customHeight="1">
      <c r="A997" s="2184" t="s">
        <v>1311</v>
      </c>
      <c r="B997" s="2194" t="s">
        <v>889</v>
      </c>
      <c r="C997" s="2179" t="s">
        <v>13</v>
      </c>
      <c r="D997" s="292" t="s">
        <v>890</v>
      </c>
      <c r="E997" s="511">
        <v>1662</v>
      </c>
      <c r="F997" s="233" t="s">
        <v>15</v>
      </c>
      <c r="G997" s="233" t="s">
        <v>15</v>
      </c>
      <c r="H997" s="513">
        <v>2.5964051845166498</v>
      </c>
      <c r="I997" s="570">
        <v>2.8479360145797199</v>
      </c>
      <c r="J997" s="234" t="s">
        <v>15</v>
      </c>
      <c r="K997" s="233" t="s">
        <v>15</v>
      </c>
      <c r="L997" s="234" t="s">
        <v>15</v>
      </c>
      <c r="M997" s="233" t="s">
        <v>15</v>
      </c>
      <c r="N997" s="537">
        <v>0</v>
      </c>
      <c r="O997" s="126" t="s">
        <v>574</v>
      </c>
      <c r="P997" s="280" t="s">
        <v>574</v>
      </c>
      <c r="Q997" s="527">
        <v>4.2798810831187736E-2</v>
      </c>
      <c r="R997" s="2152">
        <f>SUMPRODUCT(N997:N1001,Q997:Q1001)</f>
        <v>0.30083311708216776</v>
      </c>
      <c r="S997" s="504" t="s">
        <v>68</v>
      </c>
      <c r="T997" s="505" t="s">
        <v>69</v>
      </c>
      <c r="U997" s="881"/>
      <c r="V997" s="403" t="s">
        <v>932</v>
      </c>
      <c r="W997" s="26"/>
      <c r="X997" s="26"/>
      <c r="Y997" s="525"/>
      <c r="Z997" s="525"/>
      <c r="AA997" s="525"/>
      <c r="AB997" s="921"/>
      <c r="AC997" s="26"/>
      <c r="AD997" s="24"/>
      <c r="AE997" s="26"/>
      <c r="AF997" s="106"/>
      <c r="AG997" s="37"/>
      <c r="AH997" s="957"/>
      <c r="AI997" s="1023"/>
      <c r="AJ997" s="1023"/>
      <c r="AK997" s="1023"/>
      <c r="AL997" s="1023"/>
      <c r="AM997" s="1023"/>
      <c r="AN997" s="1023"/>
      <c r="AO997" s="957"/>
      <c r="AP997" s="957"/>
      <c r="AQ997" s="957"/>
      <c r="AR997" s="957"/>
      <c r="AS997" s="957"/>
      <c r="AT997" s="957"/>
      <c r="AU997" s="957"/>
      <c r="AV997" s="957"/>
      <c r="AW997" s="957"/>
      <c r="AX997" s="957"/>
      <c r="AY997" s="957"/>
      <c r="AZ997" s="957"/>
      <c r="BA997" s="957"/>
      <c r="BB997" s="957"/>
      <c r="BC997" s="957"/>
      <c r="BD997" s="957"/>
      <c r="BE997" s="957"/>
      <c r="BF997" s="957"/>
      <c r="BG997" s="957"/>
    </row>
    <row r="998" spans="1:123">
      <c r="A998" s="2185"/>
      <c r="B998" s="2199"/>
      <c r="C998" s="2187"/>
      <c r="D998" s="291" t="s">
        <v>891</v>
      </c>
      <c r="E998" s="511">
        <v>501</v>
      </c>
      <c r="F998" s="233" t="s">
        <v>15</v>
      </c>
      <c r="G998" s="233" t="s">
        <v>15</v>
      </c>
      <c r="H998" s="513">
        <v>2.4240269461077801</v>
      </c>
      <c r="I998" s="570">
        <v>3.1648855885754301</v>
      </c>
      <c r="J998" s="234" t="s">
        <v>15</v>
      </c>
      <c r="K998" s="233" t="s">
        <v>15</v>
      </c>
      <c r="L998" s="234" t="s">
        <v>15</v>
      </c>
      <c r="M998" s="233" t="s">
        <v>15</v>
      </c>
      <c r="N998" s="1232">
        <v>0.9042</v>
      </c>
      <c r="O998" s="522">
        <v>9.6300000000000008</v>
      </c>
      <c r="P998" s="528">
        <v>9.3899999999999997E-2</v>
      </c>
      <c r="Q998" s="529">
        <v>6.0184260476236394E-2</v>
      </c>
      <c r="R998" s="2153"/>
      <c r="S998" s="34" t="s">
        <v>892</v>
      </c>
      <c r="T998" s="451" t="s">
        <v>893</v>
      </c>
      <c r="U998" s="882"/>
      <c r="V998" s="24"/>
      <c r="W998" s="26"/>
      <c r="X998" s="26"/>
      <c r="Y998" s="525"/>
      <c r="Z998" s="525"/>
      <c r="AA998" s="525"/>
      <c r="AB998" s="921"/>
      <c r="AC998" s="26"/>
      <c r="AD998" s="24"/>
      <c r="AE998" s="26"/>
      <c r="AF998" s="106"/>
      <c r="AG998" s="37"/>
      <c r="AH998" s="957"/>
      <c r="AI998" s="1023"/>
      <c r="AJ998" s="1023"/>
      <c r="AK998" s="1023"/>
      <c r="AL998" s="1023"/>
      <c r="AM998" s="1023"/>
      <c r="AN998" s="1023"/>
      <c r="AO998" s="957"/>
      <c r="AP998" s="957"/>
      <c r="AQ998" s="957"/>
      <c r="AR998" s="957"/>
      <c r="AS998" s="957"/>
      <c r="AT998" s="957"/>
      <c r="AU998" s="957"/>
      <c r="AV998" s="957"/>
      <c r="AW998" s="957"/>
      <c r="AX998" s="957"/>
      <c r="AY998" s="957"/>
      <c r="AZ998" s="957"/>
      <c r="BA998" s="957"/>
      <c r="BB998" s="957"/>
      <c r="BC998" s="957"/>
      <c r="BD998" s="957"/>
      <c r="BE998" s="957"/>
      <c r="BF998" s="957"/>
      <c r="BG998" s="957"/>
    </row>
    <row r="999" spans="1:123">
      <c r="A999" s="2185"/>
      <c r="B999" s="2199"/>
      <c r="C999" s="2187"/>
      <c r="D999" s="292" t="s">
        <v>894</v>
      </c>
      <c r="E999" s="511">
        <v>290</v>
      </c>
      <c r="F999" s="233" t="s">
        <v>15</v>
      </c>
      <c r="G999" s="233" t="s">
        <v>15</v>
      </c>
      <c r="H999" s="513">
        <v>1.67400287356322</v>
      </c>
      <c r="I999" s="570">
        <v>2.1420701242122901</v>
      </c>
      <c r="J999" s="234" t="s">
        <v>15</v>
      </c>
      <c r="K999" s="233" t="s">
        <v>15</v>
      </c>
      <c r="L999" s="234" t="s">
        <v>15</v>
      </c>
      <c r="M999" s="233" t="s">
        <v>15</v>
      </c>
      <c r="N999" s="1232">
        <v>0.15110000000000001</v>
      </c>
      <c r="O999" s="522">
        <v>1.3</v>
      </c>
      <c r="P999" s="528">
        <v>0.11650000000000001</v>
      </c>
      <c r="Q999" s="529">
        <v>0.29231263987442474</v>
      </c>
      <c r="R999" s="2153"/>
      <c r="S999" s="504" t="s">
        <v>72</v>
      </c>
      <c r="T999" s="416" t="s">
        <v>119</v>
      </c>
      <c r="U999" s="876"/>
      <c r="V999" s="24"/>
      <c r="W999" s="26"/>
      <c r="X999" s="26"/>
      <c r="Y999" s="525"/>
      <c r="Z999" s="525"/>
      <c r="AA999" s="525"/>
      <c r="AB999" s="921"/>
      <c r="AC999" s="26"/>
      <c r="AD999" s="24"/>
      <c r="AE999" s="26"/>
      <c r="AF999" s="106"/>
      <c r="AG999" s="37"/>
      <c r="AH999" s="957"/>
      <c r="AI999" s="1023"/>
      <c r="AJ999" s="1023"/>
      <c r="AK999" s="1023"/>
      <c r="AL999" s="1023"/>
      <c r="AM999" s="1023"/>
      <c r="AN999" s="1023"/>
      <c r="AO999" s="957"/>
      <c r="AP999" s="957"/>
      <c r="AQ999" s="957"/>
      <c r="AR999" s="957"/>
      <c r="AS999" s="957"/>
      <c r="AT999" s="957"/>
      <c r="AU999" s="957"/>
      <c r="AV999" s="957"/>
      <c r="AW999" s="957"/>
      <c r="AX999" s="957"/>
      <c r="AY999" s="957"/>
      <c r="AZ999" s="957"/>
      <c r="BA999" s="957"/>
      <c r="BB999" s="957"/>
      <c r="BC999" s="957"/>
      <c r="BD999" s="957"/>
      <c r="BE999" s="957"/>
      <c r="BF999" s="957"/>
      <c r="BG999" s="957"/>
    </row>
    <row r="1000" spans="1:123">
      <c r="A1000" s="2185"/>
      <c r="B1000" s="2199"/>
      <c r="C1000" s="2187"/>
      <c r="D1000" s="292" t="s">
        <v>895</v>
      </c>
      <c r="E1000" s="511">
        <v>1092</v>
      </c>
      <c r="F1000" s="233" t="s">
        <v>15</v>
      </c>
      <c r="G1000" s="233" t="s">
        <v>15</v>
      </c>
      <c r="H1000" s="513">
        <v>3.4664377289377302</v>
      </c>
      <c r="I1000" s="570">
        <v>3.8065412484080001</v>
      </c>
      <c r="J1000" s="234" t="s">
        <v>15</v>
      </c>
      <c r="K1000" s="233" t="s">
        <v>15</v>
      </c>
      <c r="L1000" s="234" t="s">
        <v>15</v>
      </c>
      <c r="M1000" s="233" t="s">
        <v>15</v>
      </c>
      <c r="N1000" s="1232">
        <v>0.50580000000000003</v>
      </c>
      <c r="O1000" s="522">
        <v>7.03</v>
      </c>
      <c r="P1000" s="528">
        <v>7.1999999999999995E-2</v>
      </c>
      <c r="Q1000" s="529">
        <v>0.23212837939818831</v>
      </c>
      <c r="R1000" s="2153"/>
      <c r="S1000" s="506" t="s">
        <v>73</v>
      </c>
      <c r="T1000" s="507" t="s">
        <v>140</v>
      </c>
      <c r="U1000" s="883"/>
      <c r="V1000" s="24"/>
      <c r="W1000" s="26"/>
      <c r="X1000" s="26"/>
      <c r="Y1000" s="525"/>
      <c r="Z1000" s="525"/>
      <c r="AA1000" s="525"/>
      <c r="AB1000" s="921"/>
      <c r="AC1000" s="26"/>
      <c r="AD1000" s="24"/>
      <c r="AE1000" s="26"/>
      <c r="AF1000" s="106"/>
      <c r="AG1000" s="37"/>
      <c r="AH1000" s="957"/>
      <c r="AI1000" s="1023"/>
      <c r="AJ1000" s="1023"/>
      <c r="AK1000" s="1023"/>
      <c r="AL1000" s="1023"/>
      <c r="AM1000" s="1023"/>
      <c r="AN1000" s="1023"/>
      <c r="AO1000" s="957"/>
      <c r="AP1000" s="957"/>
      <c r="AQ1000" s="957"/>
      <c r="AR1000" s="957"/>
      <c r="AS1000" s="957"/>
      <c r="AT1000" s="957"/>
      <c r="AU1000" s="957"/>
      <c r="AV1000" s="957"/>
      <c r="AW1000" s="957"/>
      <c r="AX1000" s="957"/>
      <c r="AY1000" s="957"/>
      <c r="AZ1000" s="957"/>
      <c r="BA1000" s="957"/>
      <c r="BB1000" s="957"/>
      <c r="BC1000" s="957"/>
      <c r="BD1000" s="957"/>
      <c r="BE1000" s="957"/>
      <c r="BF1000" s="957"/>
      <c r="BG1000" s="957"/>
    </row>
    <row r="1001" spans="1:123">
      <c r="A1001" s="2185"/>
      <c r="B1001" s="2195"/>
      <c r="C1001" s="2180"/>
      <c r="D1001" s="292" t="s">
        <v>896</v>
      </c>
      <c r="E1001" s="511">
        <v>734</v>
      </c>
      <c r="F1001" s="233" t="s">
        <v>15</v>
      </c>
      <c r="G1001" s="233" t="s">
        <v>15</v>
      </c>
      <c r="H1001" s="513">
        <v>1.96333682042299</v>
      </c>
      <c r="I1001" s="570">
        <v>2.4521219786609501</v>
      </c>
      <c r="J1001" s="234" t="s">
        <v>15</v>
      </c>
      <c r="K1001" s="233" t="s">
        <v>15</v>
      </c>
      <c r="L1001" s="234" t="s">
        <v>15</v>
      </c>
      <c r="M1001" s="233" t="s">
        <v>15</v>
      </c>
      <c r="N1001" s="1232">
        <v>0.22770000000000001</v>
      </c>
      <c r="O1001" s="522">
        <v>2.84</v>
      </c>
      <c r="P1001" s="528">
        <v>8.0299999999999996E-2</v>
      </c>
      <c r="Q1001" s="529">
        <v>0.37257590941996283</v>
      </c>
      <c r="R1001" s="2154"/>
      <c r="S1001" s="504" t="s">
        <v>74</v>
      </c>
      <c r="T1001" s="505" t="s">
        <v>75</v>
      </c>
      <c r="U1001" s="881"/>
      <c r="V1001" s="24"/>
      <c r="W1001" s="26"/>
      <c r="X1001" s="26"/>
      <c r="Y1001" s="525"/>
      <c r="Z1001" s="525"/>
      <c r="AA1001" s="525"/>
      <c r="AB1001" s="921"/>
      <c r="AC1001" s="26"/>
      <c r="AD1001" s="24"/>
      <c r="AE1001" s="26"/>
      <c r="AF1001" s="106"/>
      <c r="AG1001" s="37"/>
      <c r="AH1001" s="957"/>
      <c r="AI1001" s="1023"/>
      <c r="AJ1001" s="1023"/>
      <c r="AK1001" s="1023"/>
      <c r="AL1001" s="1023"/>
      <c r="AM1001" s="1023"/>
      <c r="AN1001" s="1023"/>
      <c r="AO1001" s="957"/>
      <c r="AP1001" s="957"/>
      <c r="AQ1001" s="957"/>
      <c r="AR1001" s="957"/>
      <c r="AS1001" s="957"/>
      <c r="AT1001" s="957"/>
      <c r="AU1001" s="957"/>
      <c r="AV1001" s="957"/>
      <c r="AW1001" s="957"/>
      <c r="AX1001" s="957"/>
      <c r="AY1001" s="957"/>
      <c r="AZ1001" s="957"/>
      <c r="BA1001" s="957"/>
      <c r="BB1001" s="957"/>
      <c r="BC1001" s="957"/>
      <c r="BD1001" s="957"/>
      <c r="BE1001" s="957"/>
      <c r="BF1001" s="957"/>
      <c r="BG1001" s="957"/>
    </row>
    <row r="1002" spans="1:123">
      <c r="A1002" s="2185"/>
      <c r="B1002" s="2194" t="s">
        <v>899</v>
      </c>
      <c r="C1002" s="2179" t="s">
        <v>11</v>
      </c>
      <c r="D1002" s="292" t="s">
        <v>33</v>
      </c>
      <c r="E1002" s="511">
        <v>1650</v>
      </c>
      <c r="F1002" s="233" t="s">
        <v>15</v>
      </c>
      <c r="G1002" s="233" t="s">
        <v>15</v>
      </c>
      <c r="H1002" s="513">
        <v>5.5699636363636396</v>
      </c>
      <c r="I1002" s="570">
        <v>3.17982294835888</v>
      </c>
      <c r="J1002" s="234" t="s">
        <v>15</v>
      </c>
      <c r="K1002" s="233" t="s">
        <v>15</v>
      </c>
      <c r="L1002" s="234" t="s">
        <v>15</v>
      </c>
      <c r="M1002" s="233" t="s">
        <v>15</v>
      </c>
      <c r="N1002" s="1232">
        <v>-2.4950999999999999</v>
      </c>
      <c r="O1002" s="522">
        <v>-35.729999999999997</v>
      </c>
      <c r="P1002" s="528">
        <v>6.9800000000000001E-2</v>
      </c>
      <c r="Q1002" s="251">
        <v>0.28963344739496716</v>
      </c>
      <c r="R1002" s="2130">
        <f>SUMPRODUCT(N1002:N1003,Q1002:Q1003)</f>
        <v>-0.72266441459518249</v>
      </c>
      <c r="S1002" s="396">
        <v>4279</v>
      </c>
      <c r="T1002" s="507" t="s">
        <v>140</v>
      </c>
      <c r="U1002" s="883"/>
      <c r="V1002" s="24"/>
      <c r="W1002" s="26"/>
      <c r="X1002" s="26"/>
      <c r="Y1002" s="525"/>
      <c r="Z1002" s="525"/>
      <c r="AA1002" s="525"/>
      <c r="AB1002" s="921"/>
      <c r="AC1002" s="26"/>
      <c r="AD1002" s="24"/>
      <c r="AE1002" s="26"/>
      <c r="AF1002" s="106"/>
      <c r="AG1002" s="37"/>
      <c r="AH1002" s="957"/>
      <c r="AI1002" s="1023"/>
      <c r="AJ1002" s="1023"/>
      <c r="AK1002" s="1023"/>
      <c r="AL1002" s="1023"/>
      <c r="AM1002" s="1023"/>
      <c r="AN1002" s="1023"/>
      <c r="AO1002" s="957"/>
      <c r="AP1002" s="957"/>
      <c r="AQ1002" s="957"/>
      <c r="AR1002" s="957"/>
      <c r="AS1002" s="957"/>
      <c r="AT1002" s="957"/>
      <c r="AU1002" s="957"/>
      <c r="AV1002" s="957"/>
      <c r="AW1002" s="957"/>
      <c r="AX1002" s="957"/>
      <c r="AY1002" s="957"/>
      <c r="AZ1002" s="957"/>
      <c r="BA1002" s="957"/>
      <c r="BB1002" s="957"/>
      <c r="BC1002" s="957"/>
      <c r="BD1002" s="957"/>
      <c r="BE1002" s="957"/>
      <c r="BF1002" s="957"/>
      <c r="BG1002" s="957"/>
    </row>
    <row r="1003" spans="1:123">
      <c r="A1003" s="2185"/>
      <c r="B1003" s="2195"/>
      <c r="C1003" s="2180"/>
      <c r="D1003" s="292" t="s">
        <v>32</v>
      </c>
      <c r="E1003" s="511">
        <v>2629</v>
      </c>
      <c r="F1003" s="233" t="s">
        <v>15</v>
      </c>
      <c r="G1003" s="233" t="s">
        <v>15</v>
      </c>
      <c r="H1003" s="513">
        <v>0.78019131844445699</v>
      </c>
      <c r="I1003" s="570">
        <v>0.74776428728555999</v>
      </c>
      <c r="J1003" s="234" t="s">
        <v>15</v>
      </c>
      <c r="K1003" s="233" t="s">
        <v>15</v>
      </c>
      <c r="L1003" s="234" t="s">
        <v>15</v>
      </c>
      <c r="M1003" s="233" t="s">
        <v>15</v>
      </c>
      <c r="N1003" s="537">
        <v>0</v>
      </c>
      <c r="O1003" s="126" t="s">
        <v>574</v>
      </c>
      <c r="P1003" s="536" t="s">
        <v>574</v>
      </c>
      <c r="Q1003" s="251">
        <v>0.7103665526050329</v>
      </c>
      <c r="R1003" s="2155"/>
      <c r="S1003" s="504" t="s">
        <v>41</v>
      </c>
      <c r="T1003" s="505" t="s">
        <v>42</v>
      </c>
      <c r="U1003" s="881"/>
      <c r="V1003" s="24"/>
      <c r="W1003" s="26"/>
      <c r="X1003" s="26"/>
      <c r="Y1003" s="525"/>
      <c r="Z1003" s="525"/>
      <c r="AA1003" s="525"/>
      <c r="AB1003" s="921"/>
      <c r="AC1003" s="26"/>
      <c r="AD1003" s="24"/>
      <c r="AE1003" s="26"/>
      <c r="AF1003" s="106"/>
      <c r="AG1003" s="37"/>
      <c r="AH1003" s="957"/>
      <c r="AI1003" s="1023"/>
      <c r="AJ1003" s="1023"/>
      <c r="AK1003" s="1023"/>
      <c r="AL1003" s="1023"/>
      <c r="AM1003" s="1023"/>
      <c r="AN1003" s="1023"/>
      <c r="AO1003" s="957"/>
      <c r="AP1003" s="957"/>
      <c r="AQ1003" s="957"/>
      <c r="AR1003" s="957"/>
      <c r="AS1003" s="957"/>
      <c r="AT1003" s="957"/>
      <c r="AU1003" s="957"/>
      <c r="AV1003" s="957"/>
      <c r="AW1003" s="957"/>
      <c r="AX1003" s="957"/>
      <c r="AY1003" s="957"/>
      <c r="AZ1003" s="957"/>
      <c r="BA1003" s="957"/>
      <c r="BB1003" s="957"/>
      <c r="BC1003" s="957"/>
      <c r="BD1003" s="957"/>
      <c r="BE1003" s="957"/>
      <c r="BF1003" s="957"/>
      <c r="BG1003" s="957"/>
    </row>
    <row r="1004" spans="1:123">
      <c r="A1004" s="2185"/>
      <c r="B1004" s="2194" t="s">
        <v>900</v>
      </c>
      <c r="C1004" s="2179" t="s">
        <v>11</v>
      </c>
      <c r="D1004" s="292" t="s">
        <v>33</v>
      </c>
      <c r="E1004" s="511">
        <v>2932</v>
      </c>
      <c r="F1004" s="233" t="s">
        <v>15</v>
      </c>
      <c r="G1004" s="233" t="s">
        <v>15</v>
      </c>
      <c r="H1004" s="513">
        <v>3.7040671896316502</v>
      </c>
      <c r="I1004" s="570">
        <v>3.2259328931282498</v>
      </c>
      <c r="J1004" s="234" t="s">
        <v>15</v>
      </c>
      <c r="K1004" s="233" t="s">
        <v>15</v>
      </c>
      <c r="L1004" s="234" t="s">
        <v>15</v>
      </c>
      <c r="M1004" s="233" t="s">
        <v>15</v>
      </c>
      <c r="N1004" s="1232">
        <v>-1.456</v>
      </c>
      <c r="O1004" s="522">
        <v>-20.010000000000002</v>
      </c>
      <c r="P1004" s="528">
        <v>7.2800000000000004E-2</v>
      </c>
      <c r="Q1004" s="251">
        <v>1.2493258138126608E-2</v>
      </c>
      <c r="R1004" s="2130">
        <f>SUMPRODUCT(N1004:N1005,Q1004:Q1005)</f>
        <v>-1.8190183849112342E-2</v>
      </c>
      <c r="S1004" s="452">
        <v>0.62</v>
      </c>
      <c r="T1004" s="260">
        <v>2.4649999999999999</v>
      </c>
      <c r="U1004" s="863"/>
      <c r="V1004" s="24"/>
      <c r="W1004" s="26"/>
      <c r="X1004" s="26"/>
      <c r="Y1004" s="525"/>
      <c r="Z1004" s="525"/>
      <c r="AA1004" s="525"/>
      <c r="AB1004" s="921"/>
      <c r="AC1004" s="26"/>
      <c r="AD1004" s="24"/>
      <c r="AE1004" s="26"/>
      <c r="AF1004" s="106"/>
      <c r="AG1004" s="37"/>
      <c r="AH1004" s="957"/>
      <c r="AI1004" s="1023"/>
      <c r="AJ1004" s="1023"/>
      <c r="AK1004" s="1023"/>
      <c r="AL1004" s="1023"/>
      <c r="AM1004" s="1023"/>
      <c r="AN1004" s="1023"/>
      <c r="AO1004" s="957"/>
      <c r="AP1004" s="957"/>
      <c r="AQ1004" s="957"/>
      <c r="AR1004" s="957"/>
      <c r="AS1004" s="957"/>
      <c r="AT1004" s="957"/>
      <c r="AU1004" s="957"/>
      <c r="AV1004" s="957"/>
      <c r="AW1004" s="957"/>
      <c r="AX1004" s="957"/>
      <c r="AY1004" s="957"/>
      <c r="AZ1004" s="957"/>
      <c r="BA1004" s="957"/>
      <c r="BB1004" s="957"/>
      <c r="BC1004" s="957"/>
      <c r="BD1004" s="957"/>
      <c r="BE1004" s="957"/>
      <c r="BF1004" s="957"/>
      <c r="BG1004" s="957"/>
    </row>
    <row r="1005" spans="1:123">
      <c r="A1005" s="2185"/>
      <c r="B1005" s="2195"/>
      <c r="C1005" s="2180"/>
      <c r="D1005" s="292" t="s">
        <v>32</v>
      </c>
      <c r="E1005" s="511">
        <v>1347</v>
      </c>
      <c r="F1005" s="233" t="s">
        <v>15</v>
      </c>
      <c r="G1005" s="233" t="s">
        <v>15</v>
      </c>
      <c r="H1005" s="513">
        <v>0.28302745077244001</v>
      </c>
      <c r="I1005" s="570">
        <v>0.26773034527263001</v>
      </c>
      <c r="J1005" s="234" t="s">
        <v>15</v>
      </c>
      <c r="K1005" s="233" t="s">
        <v>15</v>
      </c>
      <c r="L1005" s="234" t="s">
        <v>15</v>
      </c>
      <c r="M1005" s="233" t="s">
        <v>15</v>
      </c>
      <c r="N1005" s="537">
        <v>0</v>
      </c>
      <c r="O1005" s="126" t="s">
        <v>574</v>
      </c>
      <c r="P1005" s="536" t="s">
        <v>574</v>
      </c>
      <c r="Q1005" s="251">
        <v>0.98750674186187337</v>
      </c>
      <c r="R1005" s="2155"/>
      <c r="S1005" s="118" t="s">
        <v>235</v>
      </c>
      <c r="T1005" s="119" t="s">
        <v>391</v>
      </c>
      <c r="U1005" s="855"/>
      <c r="V1005" s="24"/>
      <c r="W1005" s="26"/>
      <c r="X1005" s="26"/>
      <c r="Y1005" s="525"/>
      <c r="Z1005" s="525"/>
      <c r="AA1005" s="525"/>
      <c r="AB1005" s="921"/>
      <c r="AC1005" s="26"/>
      <c r="AD1005" s="24"/>
      <c r="AE1005" s="26"/>
      <c r="AF1005" s="106"/>
      <c r="AG1005" s="37"/>
      <c r="AH1005" s="957"/>
      <c r="AI1005" s="1023"/>
      <c r="AJ1005" s="1023"/>
      <c r="AK1005" s="1023"/>
      <c r="AL1005" s="1023"/>
      <c r="AM1005" s="1023"/>
      <c r="AN1005" s="1023"/>
      <c r="AO1005" s="957"/>
      <c r="AP1005" s="957"/>
      <c r="AQ1005" s="957"/>
      <c r="AR1005" s="957"/>
      <c r="AS1005" s="957"/>
      <c r="AT1005" s="957"/>
      <c r="AU1005" s="957"/>
      <c r="AV1005" s="957"/>
      <c r="AW1005" s="957"/>
      <c r="AX1005" s="957"/>
      <c r="AY1005" s="957"/>
      <c r="AZ1005" s="957"/>
      <c r="BA1005" s="957"/>
      <c r="BB1005" s="957"/>
      <c r="BC1005" s="957"/>
      <c r="BD1005" s="957"/>
      <c r="BE1005" s="957"/>
      <c r="BF1005" s="957"/>
      <c r="BG1005" s="957"/>
    </row>
    <row r="1006" spans="1:123">
      <c r="A1006" s="2185"/>
      <c r="B1006" s="2194" t="s">
        <v>1355</v>
      </c>
      <c r="C1006" s="2179" t="s">
        <v>11</v>
      </c>
      <c r="D1006" s="292" t="s">
        <v>33</v>
      </c>
      <c r="E1006" s="511">
        <v>404</v>
      </c>
      <c r="F1006" s="233" t="s">
        <v>15</v>
      </c>
      <c r="G1006" s="233" t="s">
        <v>15</v>
      </c>
      <c r="H1006" s="513">
        <v>1.8964810231023099</v>
      </c>
      <c r="I1006" s="570">
        <v>2.4446372714175002</v>
      </c>
      <c r="J1006" s="234" t="s">
        <v>15</v>
      </c>
      <c r="K1006" s="233" t="s">
        <v>15</v>
      </c>
      <c r="L1006" s="234" t="s">
        <v>15</v>
      </c>
      <c r="M1006" s="233" t="s">
        <v>15</v>
      </c>
      <c r="N1006" s="1232">
        <v>0.63770000000000004</v>
      </c>
      <c r="O1006" s="522">
        <v>6.6</v>
      </c>
      <c r="P1006" s="528">
        <v>9.6600000000000005E-2</v>
      </c>
      <c r="Q1006" s="251">
        <v>0.66495235444133216</v>
      </c>
      <c r="R1006" s="2130">
        <f>SUMPRODUCT(N1006:N1007,Q1006:Q1007)</f>
        <v>0.42404011642723755</v>
      </c>
      <c r="S1006" s="357">
        <v>1.202823</v>
      </c>
      <c r="T1006" s="151" t="s">
        <v>15</v>
      </c>
      <c r="U1006" s="862"/>
      <c r="V1006" s="24"/>
      <c r="W1006" s="26"/>
      <c r="X1006" s="26"/>
      <c r="Y1006" s="525"/>
      <c r="Z1006" s="525"/>
      <c r="AA1006" s="525"/>
      <c r="AB1006" s="921"/>
      <c r="AC1006" s="26"/>
      <c r="AD1006" s="24"/>
      <c r="AE1006" s="26"/>
      <c r="AF1006" s="106"/>
      <c r="AG1006" s="37"/>
      <c r="AH1006" s="957"/>
      <c r="AI1006" s="1023"/>
      <c r="AJ1006" s="1023"/>
      <c r="AK1006" s="1023"/>
      <c r="AL1006" s="1023"/>
      <c r="AM1006" s="1023"/>
      <c r="AN1006" s="1023"/>
      <c r="AO1006" s="957"/>
      <c r="AP1006" s="957"/>
      <c r="AQ1006" s="957"/>
      <c r="AR1006" s="957"/>
      <c r="AS1006" s="957"/>
      <c r="AT1006" s="957"/>
      <c r="AU1006" s="957"/>
      <c r="AV1006" s="957"/>
      <c r="AW1006" s="957"/>
      <c r="AX1006" s="957"/>
      <c r="AY1006" s="957"/>
      <c r="AZ1006" s="957"/>
      <c r="BA1006" s="957"/>
      <c r="BB1006" s="957"/>
      <c r="BC1006" s="957"/>
      <c r="BD1006" s="957"/>
      <c r="BE1006" s="957"/>
      <c r="BF1006" s="957"/>
      <c r="BG1006" s="957"/>
    </row>
    <row r="1007" spans="1:123">
      <c r="A1007" s="2185"/>
      <c r="B1007" s="2195"/>
      <c r="C1007" s="2180"/>
      <c r="D1007" s="292" t="s">
        <v>32</v>
      </c>
      <c r="E1007" s="511">
        <v>3875</v>
      </c>
      <c r="F1007" s="233" t="s">
        <v>15</v>
      </c>
      <c r="G1007" s="233" t="s">
        <v>15</v>
      </c>
      <c r="H1007" s="513">
        <v>2.7033250691244199</v>
      </c>
      <c r="I1007" s="570">
        <v>3.1628401838403102</v>
      </c>
      <c r="J1007" s="234" t="s">
        <v>15</v>
      </c>
      <c r="K1007" s="233" t="s">
        <v>15</v>
      </c>
      <c r="L1007" s="234" t="s">
        <v>15</v>
      </c>
      <c r="M1007" s="233" t="s">
        <v>15</v>
      </c>
      <c r="N1007" s="537">
        <v>0</v>
      </c>
      <c r="O1007" s="126" t="s">
        <v>574</v>
      </c>
      <c r="P1007" s="536" t="s">
        <v>574</v>
      </c>
      <c r="Q1007" s="251">
        <v>0.33504764555866789</v>
      </c>
      <c r="R1007" s="2155"/>
      <c r="S1007" s="24"/>
      <c r="T1007" s="26"/>
      <c r="V1007" s="24"/>
      <c r="W1007" s="26"/>
      <c r="X1007" s="26"/>
      <c r="Y1007" s="525"/>
      <c r="Z1007" s="525"/>
      <c r="AA1007" s="525"/>
      <c r="AB1007" s="921"/>
      <c r="AC1007" s="26"/>
      <c r="AD1007" s="24"/>
      <c r="AE1007" s="26"/>
      <c r="AF1007" s="106"/>
      <c r="AG1007" s="37"/>
      <c r="AH1007" s="957"/>
      <c r="AI1007" s="1023"/>
      <c r="AJ1007" s="1023"/>
      <c r="AK1007" s="1023"/>
      <c r="AL1007" s="1023"/>
      <c r="AM1007" s="1023"/>
      <c r="AN1007" s="1023"/>
      <c r="AO1007" s="957"/>
      <c r="AP1007" s="957"/>
      <c r="AQ1007" s="957"/>
      <c r="AR1007" s="957"/>
      <c r="AS1007" s="957"/>
      <c r="AT1007" s="957"/>
      <c r="AU1007" s="957"/>
      <c r="AV1007" s="957"/>
      <c r="AW1007" s="957"/>
      <c r="AX1007" s="957"/>
      <c r="AY1007" s="957"/>
      <c r="AZ1007" s="957"/>
      <c r="BA1007" s="957"/>
      <c r="BB1007" s="957"/>
      <c r="BC1007" s="957"/>
      <c r="BD1007" s="957"/>
      <c r="BE1007" s="957"/>
      <c r="BF1007" s="957"/>
      <c r="BG1007" s="957"/>
    </row>
    <row r="1008" spans="1:123">
      <c r="A1008" s="2185"/>
      <c r="B1008" s="827" t="s">
        <v>903</v>
      </c>
      <c r="C1008" s="981" t="s">
        <v>12</v>
      </c>
      <c r="D1008" s="508" t="s">
        <v>1301</v>
      </c>
      <c r="E1008" s="511">
        <v>4279</v>
      </c>
      <c r="F1008" s="487">
        <v>1.7546316896471099</v>
      </c>
      <c r="G1008" s="487">
        <v>1.0567488215699199</v>
      </c>
      <c r="H1008" s="767">
        <v>2.6271472250971</v>
      </c>
      <c r="I1008" s="768">
        <v>3.11086953824005</v>
      </c>
      <c r="J1008" s="234" t="s">
        <v>15</v>
      </c>
      <c r="K1008" s="233" t="s">
        <v>15</v>
      </c>
      <c r="L1008" s="642" t="s">
        <v>14</v>
      </c>
      <c r="M1008" s="351">
        <v>1.5</v>
      </c>
      <c r="N1008" s="1232">
        <v>0.96650000000000003</v>
      </c>
      <c r="O1008" s="522">
        <v>34.47</v>
      </c>
      <c r="P1008" s="528">
        <v>2.8000000000000001E-2</v>
      </c>
      <c r="Q1008" s="195" t="s">
        <v>15</v>
      </c>
      <c r="R1008" s="128">
        <f>N1008</f>
        <v>0.96650000000000003</v>
      </c>
      <c r="S1008" s="24"/>
      <c r="T1008" s="26"/>
      <c r="V1008" s="24"/>
      <c r="W1008" s="26"/>
      <c r="X1008" s="26"/>
      <c r="Y1008" s="525"/>
      <c r="Z1008" s="525"/>
      <c r="AA1008" s="525"/>
      <c r="AB1008" s="921"/>
      <c r="AC1008" s="26"/>
      <c r="AD1008" s="24"/>
      <c r="AE1008" s="26"/>
      <c r="AF1008" s="106"/>
      <c r="AG1008" s="37"/>
      <c r="AH1008" s="957"/>
      <c r="AI1008" s="1023"/>
      <c r="AJ1008" s="1023"/>
      <c r="AK1008" s="1023"/>
      <c r="AL1008" s="1023"/>
      <c r="AM1008" s="1023"/>
      <c r="AN1008" s="1023"/>
      <c r="AO1008" s="957"/>
      <c r="AP1008" s="957"/>
      <c r="AQ1008" s="957"/>
      <c r="AR1008" s="957"/>
      <c r="AS1008" s="957"/>
      <c r="AT1008" s="957"/>
      <c r="AU1008" s="957"/>
      <c r="AV1008" s="957"/>
      <c r="AW1008" s="957"/>
      <c r="AX1008" s="957"/>
      <c r="AY1008" s="957"/>
      <c r="AZ1008" s="957"/>
      <c r="BA1008" s="957"/>
      <c r="BB1008" s="957"/>
      <c r="BC1008" s="957"/>
      <c r="BD1008" s="957"/>
      <c r="BE1008" s="957"/>
      <c r="BF1008" s="957"/>
      <c r="BG1008" s="957"/>
    </row>
    <row r="1009" spans="1:123" s="325" customFormat="1" ht="60">
      <c r="A1009" s="2185"/>
      <c r="B1009" s="826" t="s">
        <v>533</v>
      </c>
      <c r="C1009" s="981" t="s">
        <v>12</v>
      </c>
      <c r="D1009" s="62" t="s">
        <v>1297</v>
      </c>
      <c r="E1009" s="644">
        <v>3732</v>
      </c>
      <c r="F1009" s="645">
        <v>66.922829581993597</v>
      </c>
      <c r="G1009" s="645">
        <v>28.801743200652002</v>
      </c>
      <c r="H1009" s="769">
        <v>2.6024344791507201</v>
      </c>
      <c r="I1009" s="770">
        <v>3.2941368930909398</v>
      </c>
      <c r="J1009" s="646" t="s">
        <v>14</v>
      </c>
      <c r="K1009" s="1157" t="s">
        <v>1085</v>
      </c>
      <c r="L1009" s="646" t="s">
        <v>12</v>
      </c>
      <c r="M1009" s="417" t="s">
        <v>1081</v>
      </c>
      <c r="N1009" s="1232">
        <v>9.2999999999999992E-3</v>
      </c>
      <c r="O1009" s="522">
        <v>7.77</v>
      </c>
      <c r="P1009" s="528">
        <v>1.1999999999999999E-3</v>
      </c>
      <c r="Q1009" s="208" t="s">
        <v>15</v>
      </c>
      <c r="R1009" s="634">
        <f>N1009</f>
        <v>9.2999999999999992E-3</v>
      </c>
      <c r="S1009" s="502"/>
      <c r="T1009" s="330"/>
      <c r="U1009" s="883"/>
      <c r="V1009" s="502"/>
      <c r="W1009" s="330"/>
      <c r="X1009" s="330"/>
      <c r="Y1009" s="648"/>
      <c r="Z1009" s="648"/>
      <c r="AA1009" s="648"/>
      <c r="AB1009" s="928"/>
      <c r="AC1009" s="330"/>
      <c r="AD1009" s="502"/>
      <c r="AE1009" s="330"/>
      <c r="AF1009" s="105"/>
      <c r="AG1009" s="330"/>
      <c r="AH1009" s="962"/>
      <c r="AI1009" s="1038"/>
      <c r="AJ1009" s="1038"/>
      <c r="AK1009" s="1038"/>
      <c r="AL1009" s="1038"/>
      <c r="AM1009" s="1038"/>
      <c r="AN1009" s="1038"/>
      <c r="AO1009" s="962"/>
      <c r="AP1009" s="962"/>
      <c r="AQ1009" s="962"/>
      <c r="AR1009" s="962"/>
      <c r="AS1009" s="962"/>
      <c r="AT1009" s="962"/>
      <c r="AU1009" s="962"/>
      <c r="AV1009" s="962"/>
      <c r="AW1009" s="962"/>
      <c r="AX1009" s="962"/>
      <c r="AY1009" s="962"/>
      <c r="AZ1009" s="962"/>
      <c r="BA1009" s="962"/>
      <c r="BB1009" s="962"/>
      <c r="BC1009" s="962"/>
      <c r="BD1009" s="962"/>
      <c r="BE1009" s="962"/>
      <c r="BF1009" s="962"/>
      <c r="BG1009" s="962"/>
      <c r="BH1009" s="1130"/>
      <c r="CF1009" s="568"/>
      <c r="CG1009" s="568"/>
      <c r="CH1009" s="568"/>
      <c r="CI1009" s="568"/>
      <c r="CJ1009" s="568"/>
      <c r="CK1009" s="568"/>
      <c r="CL1009" s="568"/>
      <c r="CM1009" s="568"/>
      <c r="CN1009" s="568"/>
      <c r="CO1009" s="568"/>
      <c r="CP1009" s="568"/>
      <c r="CQ1009" s="568"/>
      <c r="CR1009" s="568"/>
      <c r="CS1009" s="568"/>
      <c r="CT1009" s="568"/>
      <c r="CU1009" s="568"/>
      <c r="CV1009" s="568"/>
      <c r="CW1009" s="568"/>
      <c r="CX1009" s="568"/>
      <c r="CY1009" s="568"/>
      <c r="CZ1009" s="568"/>
      <c r="DA1009" s="568"/>
      <c r="DB1009" s="568"/>
      <c r="DC1009" s="568"/>
      <c r="DD1009" s="568"/>
      <c r="DE1009" s="568"/>
      <c r="DF1009" s="568"/>
      <c r="DG1009" s="568"/>
      <c r="DH1009" s="568"/>
      <c r="DI1009" s="560"/>
      <c r="DJ1009" s="568"/>
      <c r="DK1009" s="568"/>
      <c r="DL1009" s="568"/>
      <c r="DM1009" s="568"/>
      <c r="DN1009" s="568"/>
      <c r="DO1009" s="568"/>
      <c r="DP1009" s="568"/>
      <c r="DQ1009" s="568"/>
      <c r="DR1009" s="568"/>
      <c r="DS1009" s="568"/>
    </row>
    <row r="1010" spans="1:123">
      <c r="A1010" s="2185"/>
      <c r="B1010" s="2194" t="s">
        <v>911</v>
      </c>
      <c r="C1010" s="2179" t="s">
        <v>11</v>
      </c>
      <c r="D1010" s="292" t="s">
        <v>33</v>
      </c>
      <c r="E1010" s="511">
        <v>3381</v>
      </c>
      <c r="F1010" s="233" t="s">
        <v>15</v>
      </c>
      <c r="G1010" s="233" t="s">
        <v>15</v>
      </c>
      <c r="H1010" s="513">
        <v>2.7404534091069102</v>
      </c>
      <c r="I1010" s="570">
        <v>3.4129512767995598</v>
      </c>
      <c r="J1010" s="234" t="s">
        <v>15</v>
      </c>
      <c r="K1010" s="233" t="s">
        <v>15</v>
      </c>
      <c r="L1010" s="234" t="s">
        <v>15</v>
      </c>
      <c r="M1010" s="233" t="s">
        <v>15</v>
      </c>
      <c r="N1010" s="1232">
        <v>-1.2746999999999999</v>
      </c>
      <c r="O1010" s="522">
        <v>-11.88</v>
      </c>
      <c r="P1010" s="528">
        <v>0.10730000000000001</v>
      </c>
      <c r="Q1010" s="195" t="s">
        <v>15</v>
      </c>
      <c r="R1010" s="128">
        <f>N1010</f>
        <v>-1.2746999999999999</v>
      </c>
      <c r="S1010" s="24"/>
      <c r="T1010" s="26"/>
      <c r="V1010" s="24"/>
      <c r="W1010" s="26"/>
      <c r="X1010" s="26"/>
      <c r="Y1010" s="525"/>
      <c r="Z1010" s="525"/>
      <c r="AA1010" s="525"/>
      <c r="AB1010" s="921"/>
      <c r="AC1010" s="26"/>
      <c r="AD1010" s="24"/>
      <c r="AE1010" s="26"/>
      <c r="AF1010" s="106"/>
      <c r="AG1010" s="37"/>
      <c r="AH1010" s="957"/>
      <c r="AI1010" s="1023"/>
      <c r="AJ1010" s="1023"/>
      <c r="AK1010" s="1023"/>
      <c r="AL1010" s="1023"/>
      <c r="AM1010" s="1023"/>
      <c r="AN1010" s="1023"/>
      <c r="AO1010" s="957"/>
      <c r="AP1010" s="957"/>
      <c r="AQ1010" s="957"/>
      <c r="AR1010" s="957"/>
      <c r="AS1010" s="957"/>
      <c r="AT1010" s="957"/>
      <c r="AU1010" s="957"/>
      <c r="AV1010" s="957"/>
      <c r="AW1010" s="957"/>
      <c r="AX1010" s="957"/>
      <c r="AY1010" s="957"/>
      <c r="AZ1010" s="957"/>
      <c r="BA1010" s="957"/>
      <c r="BB1010" s="957"/>
      <c r="BC1010" s="957"/>
      <c r="BD1010" s="957"/>
      <c r="BE1010" s="957"/>
      <c r="BF1010" s="957"/>
      <c r="BG1010" s="957"/>
    </row>
    <row r="1011" spans="1:123" ht="15.75" thickBot="1">
      <c r="A1011" s="2185"/>
      <c r="B1011" s="2195"/>
      <c r="C1011" s="2322"/>
      <c r="D1011" s="292" t="s">
        <v>32</v>
      </c>
      <c r="E1011" s="511">
        <v>351</v>
      </c>
      <c r="F1011" s="233" t="s">
        <v>15</v>
      </c>
      <c r="G1011" s="233" t="s">
        <v>15</v>
      </c>
      <c r="H1011" s="513">
        <v>1.2729700854700901</v>
      </c>
      <c r="I1011" s="570">
        <v>1.10907058392796</v>
      </c>
      <c r="J1011" s="234" t="s">
        <v>15</v>
      </c>
      <c r="K1011" s="233" t="s">
        <v>15</v>
      </c>
      <c r="L1011" s="234" t="s">
        <v>15</v>
      </c>
      <c r="M1011" s="233" t="s">
        <v>15</v>
      </c>
      <c r="N1011" s="537">
        <v>0</v>
      </c>
      <c r="O1011" s="126" t="s">
        <v>574</v>
      </c>
      <c r="P1011" s="530" t="s">
        <v>574</v>
      </c>
      <c r="Q1011" s="520" t="s">
        <v>15</v>
      </c>
      <c r="R1011" s="128">
        <f>N1011</f>
        <v>0</v>
      </c>
      <c r="S1011" s="24"/>
      <c r="T1011" s="26"/>
      <c r="V1011" s="24"/>
      <c r="W1011" s="26"/>
      <c r="X1011" s="26"/>
      <c r="Y1011" s="525"/>
      <c r="Z1011" s="525"/>
      <c r="AA1011" s="525"/>
      <c r="AB1011" s="921"/>
      <c r="AC1011" s="26"/>
      <c r="AD1011" s="24"/>
      <c r="AE1011" s="26"/>
      <c r="AF1011" s="106"/>
      <c r="AG1011" s="37"/>
      <c r="AH1011" s="957"/>
      <c r="AI1011" s="1023"/>
      <c r="AJ1011" s="1023"/>
      <c r="AK1011" s="1023"/>
      <c r="AL1011" s="1023"/>
      <c r="AM1011" s="1023"/>
      <c r="AN1011" s="1023"/>
      <c r="AO1011" s="957"/>
      <c r="AP1011" s="957"/>
      <c r="AQ1011" s="957"/>
      <c r="AR1011" s="957"/>
      <c r="AS1011" s="957"/>
      <c r="AT1011" s="957"/>
      <c r="AU1011" s="957"/>
      <c r="AV1011" s="957"/>
      <c r="AW1011" s="957"/>
      <c r="AX1011" s="957"/>
      <c r="AY1011" s="957"/>
      <c r="AZ1011" s="957"/>
      <c r="BA1011" s="957"/>
      <c r="BB1011" s="957"/>
      <c r="BC1011" s="957"/>
      <c r="BD1011" s="957"/>
      <c r="BE1011" s="957"/>
      <c r="BF1011" s="957"/>
      <c r="BG1011" s="957"/>
    </row>
    <row r="1012" spans="1:123" s="692" customFormat="1" ht="9" customHeight="1" thickBot="1">
      <c r="A1012" s="695"/>
      <c r="B1012" s="815"/>
      <c r="C1012" s="684"/>
      <c r="D1012" s="683"/>
      <c r="E1012" s="707"/>
      <c r="F1012" s="708"/>
      <c r="G1012" s="708"/>
      <c r="H1012" s="709"/>
      <c r="I1012" s="709"/>
      <c r="J1012" s="682"/>
      <c r="K1012" s="683"/>
      <c r="L1012" s="682"/>
      <c r="M1012" s="685"/>
      <c r="N1012" s="1189"/>
      <c r="O1012" s="686"/>
      <c r="P1012" s="686"/>
      <c r="Q1012" s="687"/>
      <c r="R1012" s="687"/>
      <c r="S1012" s="688"/>
      <c r="T1012" s="688"/>
      <c r="U1012" s="854"/>
      <c r="V1012" s="893"/>
      <c r="W1012" s="685"/>
      <c r="X1012" s="685"/>
      <c r="Y1012" s="688"/>
      <c r="Z1012" s="688"/>
      <c r="AA1012" s="688"/>
      <c r="AB1012" s="846"/>
      <c r="AC1012" s="690"/>
      <c r="AD1012" s="690"/>
      <c r="AE1012" s="690"/>
      <c r="AF1012" s="711"/>
      <c r="AG1012" s="690"/>
      <c r="AH1012" s="959"/>
      <c r="AI1012" s="959"/>
      <c r="AJ1012" s="959"/>
      <c r="AK1012" s="959"/>
      <c r="AL1012" s="959"/>
      <c r="AM1012" s="959"/>
      <c r="AN1012" s="959"/>
      <c r="AO1012" s="959"/>
      <c r="AP1012" s="959"/>
      <c r="AQ1012" s="959"/>
      <c r="AR1012" s="959"/>
      <c r="AS1012" s="959"/>
      <c r="AT1012" s="959"/>
      <c r="AU1012" s="959"/>
      <c r="AV1012" s="959"/>
      <c r="AW1012" s="959"/>
      <c r="AX1012" s="959"/>
      <c r="AY1012" s="959"/>
      <c r="AZ1012" s="959"/>
      <c r="BA1012" s="959"/>
      <c r="BB1012" s="959"/>
      <c r="BC1012" s="959"/>
      <c r="BD1012" s="959"/>
      <c r="BE1012" s="959"/>
      <c r="BF1012" s="959"/>
      <c r="BG1012" s="959"/>
      <c r="BH1012" s="1125"/>
      <c r="DI1012" s="693"/>
    </row>
    <row r="1013" spans="1:123" ht="15" customHeight="1">
      <c r="A1013" s="2171" t="s">
        <v>1312</v>
      </c>
      <c r="B1013" s="2194" t="s">
        <v>889</v>
      </c>
      <c r="C1013" s="2186" t="s">
        <v>13</v>
      </c>
      <c r="D1013" s="211" t="s">
        <v>890</v>
      </c>
      <c r="E1013" s="515">
        <v>86</v>
      </c>
      <c r="F1013" s="233" t="s">
        <v>15</v>
      </c>
      <c r="G1013" s="233" t="s">
        <v>15</v>
      </c>
      <c r="H1013" s="516">
        <v>2.2929069767441899</v>
      </c>
      <c r="I1013" s="571">
        <v>1.86895978173814</v>
      </c>
      <c r="J1013" s="298" t="s">
        <v>15</v>
      </c>
      <c r="K1013" s="1135" t="s">
        <v>15</v>
      </c>
      <c r="L1013" s="298" t="s">
        <v>15</v>
      </c>
      <c r="M1013" s="1135" t="s">
        <v>15</v>
      </c>
      <c r="N1013" s="441">
        <v>0</v>
      </c>
      <c r="O1013" s="280" t="s">
        <v>574</v>
      </c>
      <c r="P1013" s="280" t="s">
        <v>574</v>
      </c>
      <c r="Q1013" s="259">
        <v>0.16</v>
      </c>
      <c r="R1013" s="2152">
        <f>SUMPRODUCT(N1013:N1014,Q1013:Q1014)</f>
        <v>0.250270944</v>
      </c>
      <c r="S1013" s="504" t="s">
        <v>68</v>
      </c>
      <c r="T1013" s="505" t="s">
        <v>69</v>
      </c>
      <c r="U1013" s="881"/>
      <c r="V1013" s="403" t="s">
        <v>932</v>
      </c>
      <c r="W1013" s="26"/>
      <c r="X1013" s="26"/>
      <c r="Y1013" s="525"/>
      <c r="Z1013" s="525"/>
      <c r="AA1013" s="525"/>
      <c r="AB1013" s="921"/>
      <c r="AC1013" s="26"/>
      <c r="AD1013" s="24"/>
      <c r="AE1013" s="26"/>
      <c r="AF1013" s="106"/>
      <c r="AG1013" s="37"/>
      <c r="AH1013" s="957"/>
      <c r="AI1013" s="1023"/>
      <c r="AJ1013" s="1023"/>
      <c r="AK1013" s="1023"/>
      <c r="AL1013" s="1023"/>
      <c r="AM1013" s="1023"/>
      <c r="AN1013" s="1023"/>
      <c r="AO1013" s="957"/>
      <c r="AP1013" s="957"/>
      <c r="AQ1013" s="957"/>
      <c r="AR1013" s="957"/>
      <c r="AS1013" s="957"/>
      <c r="AT1013" s="957"/>
      <c r="AU1013" s="957"/>
      <c r="AV1013" s="957"/>
      <c r="AW1013" s="957"/>
      <c r="AX1013" s="957"/>
      <c r="AY1013" s="957"/>
      <c r="AZ1013" s="957"/>
      <c r="BA1013" s="957"/>
      <c r="BB1013" s="957"/>
      <c r="BC1013" s="957"/>
      <c r="BD1013" s="957"/>
      <c r="BE1013" s="957"/>
      <c r="BF1013" s="957"/>
      <c r="BG1013" s="957"/>
    </row>
    <row r="1014" spans="1:123">
      <c r="A1014" s="2172"/>
      <c r="B1014" s="2195"/>
      <c r="C1014" s="2180"/>
      <c r="D1014" s="292" t="s">
        <v>895</v>
      </c>
      <c r="E1014" s="511">
        <v>55</v>
      </c>
      <c r="F1014" s="233" t="s">
        <v>15</v>
      </c>
      <c r="G1014" s="233" t="s">
        <v>15</v>
      </c>
      <c r="H1014" s="513">
        <v>1.47545454545455</v>
      </c>
      <c r="I1014" s="570">
        <v>1.36927166119616</v>
      </c>
      <c r="J1014" s="234" t="s">
        <v>15</v>
      </c>
      <c r="K1014" s="233" t="s">
        <v>15</v>
      </c>
      <c r="L1014" s="234" t="s">
        <v>15</v>
      </c>
      <c r="M1014" s="233" t="s">
        <v>15</v>
      </c>
      <c r="N1014" s="1233">
        <v>0.29794159999999997</v>
      </c>
      <c r="O1014" s="528">
        <v>2.8879999999999999</v>
      </c>
      <c r="P1014" s="528">
        <v>1.0315400000000001E-2</v>
      </c>
      <c r="Q1014" s="549">
        <v>0.84</v>
      </c>
      <c r="R1014" s="2154"/>
      <c r="S1014" s="34" t="s">
        <v>892</v>
      </c>
      <c r="T1014" s="451" t="s">
        <v>893</v>
      </c>
      <c r="U1014" s="882"/>
      <c r="V1014" s="24"/>
      <c r="W1014" s="26"/>
      <c r="X1014" s="26"/>
      <c r="Y1014" s="525"/>
      <c r="Z1014" s="525"/>
      <c r="AA1014" s="525"/>
      <c r="AB1014" s="921"/>
      <c r="AC1014" s="26"/>
      <c r="AD1014" s="24"/>
      <c r="AE1014" s="26"/>
      <c r="AF1014" s="106"/>
      <c r="AG1014" s="37"/>
      <c r="AH1014" s="957"/>
      <c r="AI1014" s="1023"/>
      <c r="AJ1014" s="1023"/>
      <c r="AK1014" s="1023"/>
      <c r="AL1014" s="1023"/>
      <c r="AM1014" s="1023"/>
      <c r="AN1014" s="1023"/>
      <c r="AO1014" s="957"/>
      <c r="AP1014" s="957"/>
      <c r="AQ1014" s="957"/>
      <c r="AR1014" s="957"/>
      <c r="AS1014" s="957"/>
      <c r="AT1014" s="957"/>
      <c r="AU1014" s="957"/>
      <c r="AV1014" s="957"/>
      <c r="AW1014" s="957"/>
      <c r="AX1014" s="957"/>
      <c r="AY1014" s="957"/>
      <c r="AZ1014" s="957"/>
      <c r="BA1014" s="957"/>
      <c r="BB1014" s="957"/>
      <c r="BC1014" s="957"/>
      <c r="BD1014" s="957"/>
      <c r="BE1014" s="957"/>
      <c r="BF1014" s="957"/>
      <c r="BG1014" s="957"/>
    </row>
    <row r="1015" spans="1:123">
      <c r="A1015" s="2172"/>
      <c r="B1015" s="2194" t="s">
        <v>899</v>
      </c>
      <c r="C1015" s="2179" t="s">
        <v>11</v>
      </c>
      <c r="D1015" s="292" t="s">
        <v>33</v>
      </c>
      <c r="E1015" s="511">
        <v>44</v>
      </c>
      <c r="F1015" s="233" t="s">
        <v>15</v>
      </c>
      <c r="G1015" s="233" t="s">
        <v>15</v>
      </c>
      <c r="H1015" s="513">
        <v>4.4636363636363603</v>
      </c>
      <c r="I1015" s="570">
        <v>0.49951181241283699</v>
      </c>
      <c r="J1015" s="234" t="s">
        <v>15</v>
      </c>
      <c r="K1015" s="233" t="s">
        <v>15</v>
      </c>
      <c r="L1015" s="234" t="s">
        <v>15</v>
      </c>
      <c r="M1015" s="233" t="s">
        <v>15</v>
      </c>
      <c r="N1015" s="1233">
        <v>-2.5591499999999998</v>
      </c>
      <c r="O1015" s="528">
        <v>-21.346</v>
      </c>
      <c r="P1015" s="528">
        <v>0.11988989999999999</v>
      </c>
      <c r="Q1015" s="251">
        <v>0.9589496940988298</v>
      </c>
      <c r="R1015" s="2130">
        <f>SUMPRODUCT(N1015:N1016,Q1015:Q1016)</f>
        <v>-2.4540961096530203</v>
      </c>
      <c r="S1015" s="504" t="s">
        <v>72</v>
      </c>
      <c r="T1015" s="416" t="s">
        <v>119</v>
      </c>
      <c r="U1015" s="876"/>
      <c r="V1015" s="24"/>
      <c r="W1015" s="26"/>
      <c r="X1015" s="26"/>
      <c r="Y1015" s="525"/>
      <c r="Z1015" s="525"/>
      <c r="AA1015" s="525"/>
      <c r="AB1015" s="921"/>
      <c r="AC1015" s="26"/>
      <c r="AD1015" s="24"/>
      <c r="AE1015" s="26"/>
      <c r="AF1015" s="106"/>
      <c r="AG1015" s="37"/>
      <c r="AH1015" s="957"/>
      <c r="AI1015" s="1023"/>
      <c r="AJ1015" s="1023"/>
      <c r="AK1015" s="1023"/>
      <c r="AL1015" s="1023"/>
      <c r="AM1015" s="1023"/>
      <c r="AN1015" s="1023"/>
      <c r="AO1015" s="957"/>
      <c r="AP1015" s="957"/>
      <c r="AQ1015" s="957"/>
      <c r="AR1015" s="957"/>
      <c r="AS1015" s="957"/>
      <c r="AT1015" s="957"/>
      <c r="AU1015" s="957"/>
      <c r="AV1015" s="957"/>
      <c r="AW1015" s="957"/>
      <c r="AX1015" s="957"/>
      <c r="AY1015" s="957"/>
      <c r="AZ1015" s="957"/>
      <c r="BA1015" s="957"/>
      <c r="BB1015" s="957"/>
      <c r="BC1015" s="957"/>
      <c r="BD1015" s="957"/>
      <c r="BE1015" s="957"/>
      <c r="BF1015" s="957"/>
      <c r="BG1015" s="957"/>
    </row>
    <row r="1016" spans="1:123">
      <c r="A1016" s="2172"/>
      <c r="B1016" s="2195"/>
      <c r="C1016" s="2180"/>
      <c r="D1016" s="292" t="s">
        <v>32</v>
      </c>
      <c r="E1016" s="511">
        <v>97</v>
      </c>
      <c r="F1016" s="233" t="s">
        <v>15</v>
      </c>
      <c r="G1016" s="233" t="s">
        <v>15</v>
      </c>
      <c r="H1016" s="513">
        <v>0.84474226804123698</v>
      </c>
      <c r="I1016" s="570">
        <v>0.37384338145074197</v>
      </c>
      <c r="J1016" s="234" t="s">
        <v>15</v>
      </c>
      <c r="K1016" s="233" t="s">
        <v>15</v>
      </c>
      <c r="L1016" s="234" t="s">
        <v>15</v>
      </c>
      <c r="M1016" s="233" t="s">
        <v>15</v>
      </c>
      <c r="N1016" s="537">
        <v>0</v>
      </c>
      <c r="O1016" s="536" t="s">
        <v>574</v>
      </c>
      <c r="P1016" s="536" t="s">
        <v>574</v>
      </c>
      <c r="Q1016" s="251">
        <v>4.1050305901170203E-2</v>
      </c>
      <c r="R1016" s="2155"/>
      <c r="S1016" s="506" t="s">
        <v>73</v>
      </c>
      <c r="T1016" s="507" t="s">
        <v>140</v>
      </c>
      <c r="U1016" s="883"/>
      <c r="V1016" s="24"/>
      <c r="W1016" s="26"/>
      <c r="X1016" s="26"/>
      <c r="Y1016" s="525"/>
      <c r="Z1016" s="525"/>
      <c r="AA1016" s="525"/>
      <c r="AB1016" s="921"/>
      <c r="AC1016" s="26"/>
      <c r="AD1016" s="24"/>
      <c r="AE1016" s="26"/>
      <c r="AF1016" s="106"/>
      <c r="AG1016" s="37"/>
      <c r="AH1016" s="957"/>
      <c r="AI1016" s="1023"/>
      <c r="AJ1016" s="1023"/>
      <c r="AK1016" s="1023"/>
      <c r="AL1016" s="1023"/>
      <c r="AM1016" s="1023"/>
      <c r="AN1016" s="1023"/>
      <c r="AO1016" s="957"/>
      <c r="AP1016" s="957"/>
      <c r="AQ1016" s="957"/>
      <c r="AR1016" s="957"/>
      <c r="AS1016" s="957"/>
      <c r="AT1016" s="957"/>
      <c r="AU1016" s="957"/>
      <c r="AV1016" s="957"/>
      <c r="AW1016" s="957"/>
      <c r="AX1016" s="957"/>
      <c r="AY1016" s="957"/>
      <c r="AZ1016" s="957"/>
      <c r="BA1016" s="957"/>
      <c r="BB1016" s="957"/>
      <c r="BC1016" s="957"/>
      <c r="BD1016" s="957"/>
      <c r="BE1016" s="957"/>
      <c r="BF1016" s="957"/>
      <c r="BG1016" s="957"/>
    </row>
    <row r="1017" spans="1:123">
      <c r="A1017" s="2172"/>
      <c r="B1017" s="828" t="s">
        <v>903</v>
      </c>
      <c r="C1017" s="997" t="s">
        <v>12</v>
      </c>
      <c r="D1017" s="760" t="s">
        <v>1296</v>
      </c>
      <c r="E1017" s="771">
        <v>141</v>
      </c>
      <c r="F1017" s="772">
        <v>2.1600709219858198</v>
      </c>
      <c r="G1017" s="772">
        <v>0.88358583256273004</v>
      </c>
      <c r="H1017" s="513">
        <v>1.97404255319149</v>
      </c>
      <c r="I1017" s="570">
        <v>1.7332200195796099</v>
      </c>
      <c r="J1017" s="234" t="s">
        <v>15</v>
      </c>
      <c r="K1017" s="233" t="s">
        <v>15</v>
      </c>
      <c r="L1017" s="642" t="s">
        <v>14</v>
      </c>
      <c r="M1017" s="351">
        <v>1.5</v>
      </c>
      <c r="N1017" s="1233">
        <v>0.25744499999999998</v>
      </c>
      <c r="O1017" s="528">
        <v>3.9710000000000001</v>
      </c>
      <c r="P1017" s="528">
        <v>6.4829100000000001E-2</v>
      </c>
      <c r="Q1017" s="195" t="s">
        <v>15</v>
      </c>
      <c r="R1017" s="128">
        <f>N1017</f>
        <v>0.25744499999999998</v>
      </c>
      <c r="S1017" s="504" t="s">
        <v>74</v>
      </c>
      <c r="T1017" s="505" t="s">
        <v>75</v>
      </c>
      <c r="U1017" s="881"/>
      <c r="V1017" s="24"/>
      <c r="W1017" s="26"/>
      <c r="X1017" s="26"/>
      <c r="Y1017" s="525"/>
      <c r="Z1017" s="525"/>
      <c r="AA1017" s="525"/>
      <c r="AB1017" s="921"/>
      <c r="AC1017" s="26"/>
      <c r="AD1017" s="24"/>
      <c r="AE1017" s="26"/>
      <c r="AF1017" s="106"/>
      <c r="AG1017" s="37"/>
      <c r="AH1017" s="957"/>
      <c r="AI1017" s="1023"/>
      <c r="AJ1017" s="1023"/>
      <c r="AK1017" s="1023"/>
      <c r="AL1017" s="1023"/>
      <c r="AM1017" s="1023"/>
      <c r="AN1017" s="1023"/>
      <c r="AO1017" s="957"/>
      <c r="AP1017" s="957"/>
      <c r="AQ1017" s="957"/>
      <c r="AR1017" s="957"/>
      <c r="AS1017" s="957"/>
      <c r="AT1017" s="957"/>
      <c r="AU1017" s="957"/>
      <c r="AV1017" s="957"/>
      <c r="AW1017" s="957"/>
      <c r="AX1017" s="957"/>
      <c r="AY1017" s="957"/>
      <c r="AZ1017" s="957"/>
      <c r="BA1017" s="957"/>
      <c r="BB1017" s="957"/>
      <c r="BC1017" s="957"/>
      <c r="BD1017" s="957"/>
      <c r="BE1017" s="957"/>
      <c r="BF1017" s="957"/>
      <c r="BG1017" s="957"/>
    </row>
    <row r="1018" spans="1:123" s="325" customFormat="1" ht="60">
      <c r="A1018" s="2172"/>
      <c r="B1018" s="828" t="s">
        <v>533</v>
      </c>
      <c r="C1018" s="997" t="s">
        <v>12</v>
      </c>
      <c r="D1018" s="74" t="s">
        <v>1297</v>
      </c>
      <c r="E1018" s="771">
        <v>141</v>
      </c>
      <c r="F1018" s="773">
        <v>47.971631205673802</v>
      </c>
      <c r="G1018" s="773">
        <v>22.302448059865998</v>
      </c>
      <c r="H1018" s="651">
        <v>1.97404255319149</v>
      </c>
      <c r="I1018" s="652">
        <v>1.7332200195796099</v>
      </c>
      <c r="J1018" s="646" t="s">
        <v>14</v>
      </c>
      <c r="K1018" s="1157" t="s">
        <v>1085</v>
      </c>
      <c r="L1018" s="646" t="s">
        <v>12</v>
      </c>
      <c r="M1018" s="417" t="s">
        <v>1081</v>
      </c>
      <c r="N1018" s="1233">
        <v>-4.9910000000000004E-4</v>
      </c>
      <c r="O1018" s="528">
        <v>-0.191</v>
      </c>
      <c r="P1018" s="528">
        <v>2.6172000000000001E-3</v>
      </c>
      <c r="Q1018" s="208" t="s">
        <v>15</v>
      </c>
      <c r="R1018" s="634">
        <f>N1018</f>
        <v>-4.9910000000000004E-4</v>
      </c>
      <c r="S1018" s="774">
        <v>141</v>
      </c>
      <c r="T1018" s="507" t="s">
        <v>140</v>
      </c>
      <c r="U1018" s="883"/>
      <c r="V1018" s="502"/>
      <c r="W1018" s="330"/>
      <c r="X1018" s="330"/>
      <c r="Y1018" s="648"/>
      <c r="Z1018" s="648"/>
      <c r="AA1018" s="648"/>
      <c r="AB1018" s="928"/>
      <c r="AC1018" s="330"/>
      <c r="AD1018" s="502"/>
      <c r="AE1018" s="330"/>
      <c r="AF1018" s="105"/>
      <c r="AG1018" s="330"/>
      <c r="AH1018" s="962"/>
      <c r="AI1018" s="1038"/>
      <c r="AJ1018" s="1038"/>
      <c r="AK1018" s="1038"/>
      <c r="AL1018" s="1038"/>
      <c r="AM1018" s="1038"/>
      <c r="AN1018" s="1038"/>
      <c r="AO1018" s="962"/>
      <c r="AP1018" s="962"/>
      <c r="AQ1018" s="962"/>
      <c r="AR1018" s="962"/>
      <c r="AS1018" s="962"/>
      <c r="AT1018" s="962"/>
      <c r="AU1018" s="962"/>
      <c r="AV1018" s="962"/>
      <c r="AW1018" s="962"/>
      <c r="AX1018" s="962"/>
      <c r="AY1018" s="962"/>
      <c r="AZ1018" s="962"/>
      <c r="BA1018" s="962"/>
      <c r="BB1018" s="962"/>
      <c r="BC1018" s="962"/>
      <c r="BD1018" s="962"/>
      <c r="BE1018" s="962"/>
      <c r="BF1018" s="962"/>
      <c r="BG1018" s="962"/>
      <c r="BH1018" s="1130"/>
      <c r="CF1018" s="568"/>
      <c r="CG1018" s="568"/>
      <c r="CH1018" s="568"/>
      <c r="CI1018" s="568"/>
      <c r="CJ1018" s="568"/>
      <c r="CK1018" s="568"/>
      <c r="CL1018" s="568"/>
      <c r="CM1018" s="568"/>
      <c r="CN1018" s="568"/>
      <c r="CO1018" s="568"/>
      <c r="CP1018" s="568"/>
      <c r="CQ1018" s="568"/>
      <c r="CR1018" s="568"/>
      <c r="CS1018" s="568"/>
      <c r="CT1018" s="568"/>
      <c r="CU1018" s="568"/>
      <c r="CV1018" s="568"/>
      <c r="CW1018" s="568"/>
      <c r="CX1018" s="568"/>
      <c r="CY1018" s="568"/>
      <c r="CZ1018" s="568"/>
      <c r="DA1018" s="568"/>
      <c r="DB1018" s="568"/>
      <c r="DC1018" s="568"/>
      <c r="DD1018" s="568"/>
      <c r="DE1018" s="568"/>
      <c r="DF1018" s="568"/>
      <c r="DG1018" s="568"/>
      <c r="DH1018" s="568"/>
      <c r="DI1018" s="560"/>
      <c r="DJ1018" s="568"/>
      <c r="DK1018" s="568"/>
      <c r="DL1018" s="568"/>
      <c r="DM1018" s="568"/>
      <c r="DN1018" s="568"/>
      <c r="DO1018" s="568"/>
      <c r="DP1018" s="568"/>
      <c r="DQ1018" s="568"/>
      <c r="DR1018" s="568"/>
      <c r="DS1018" s="568"/>
    </row>
    <row r="1019" spans="1:123" ht="15" customHeight="1">
      <c r="A1019" s="2172"/>
      <c r="B1019" s="2116" t="s">
        <v>194</v>
      </c>
      <c r="C1019" s="41"/>
      <c r="D1019" s="26"/>
      <c r="E1019" s="26"/>
      <c r="F1019" s="26"/>
      <c r="G1019" s="26"/>
      <c r="H1019" s="26"/>
      <c r="I1019" s="26"/>
      <c r="J1019" s="75"/>
      <c r="K1019" s="26"/>
      <c r="L1019" s="75"/>
      <c r="M1019" s="26"/>
      <c r="N1019" s="1205"/>
      <c r="O1019" s="467"/>
      <c r="P1019" s="467"/>
      <c r="Q1019" s="252"/>
      <c r="R1019" s="252"/>
      <c r="S1019" s="504" t="s">
        <v>41</v>
      </c>
      <c r="T1019" s="505" t="s">
        <v>42</v>
      </c>
      <c r="U1019" s="881"/>
      <c r="V1019" s="24"/>
      <c r="W1019" s="26"/>
      <c r="X1019" s="26"/>
      <c r="Y1019" s="525"/>
      <c r="Z1019" s="525"/>
      <c r="AA1019" s="525"/>
      <c r="AB1019" s="921"/>
      <c r="AC1019" s="26"/>
      <c r="AD1019" s="24"/>
      <c r="AE1019" s="26"/>
      <c r="AF1019" s="106"/>
      <c r="AG1019" s="37"/>
      <c r="AH1019" s="957"/>
      <c r="AI1019" s="1023"/>
      <c r="AJ1019" s="1023"/>
      <c r="AK1019" s="1023"/>
      <c r="AL1019" s="1023"/>
      <c r="AM1019" s="1023"/>
      <c r="AN1019" s="1023"/>
      <c r="AO1019" s="957"/>
      <c r="AP1019" s="957"/>
      <c r="AQ1019" s="957"/>
      <c r="AR1019" s="957"/>
      <c r="AS1019" s="957"/>
      <c r="AT1019" s="957"/>
      <c r="AU1019" s="957"/>
      <c r="AV1019" s="957"/>
      <c r="AW1019" s="957"/>
      <c r="AX1019" s="957"/>
      <c r="AY1019" s="957"/>
      <c r="AZ1019" s="957"/>
      <c r="BA1019" s="957"/>
      <c r="BB1019" s="957"/>
      <c r="BC1019" s="957"/>
      <c r="BD1019" s="957"/>
      <c r="BE1019" s="957"/>
      <c r="BF1019" s="957"/>
      <c r="BG1019" s="957"/>
    </row>
    <row r="1020" spans="1:123">
      <c r="A1020" s="2172"/>
      <c r="B1020" s="2117"/>
      <c r="C1020" s="41"/>
      <c r="D1020" s="26"/>
      <c r="E1020" s="26"/>
      <c r="F1020" s="26"/>
      <c r="G1020" s="26"/>
      <c r="H1020" s="26"/>
      <c r="I1020" s="26"/>
      <c r="J1020" s="75"/>
      <c r="K1020" s="26"/>
      <c r="L1020" s="75"/>
      <c r="M1020" s="26"/>
      <c r="N1020" s="1205"/>
      <c r="O1020" s="467"/>
      <c r="P1020" s="467"/>
      <c r="Q1020" s="252"/>
      <c r="R1020" s="252"/>
      <c r="S1020" s="128">
        <v>0.85429999999999995</v>
      </c>
      <c r="T1020" s="260">
        <v>3.743026</v>
      </c>
      <c r="U1020" s="863"/>
      <c r="V1020" s="24"/>
      <c r="W1020" s="26"/>
      <c r="X1020" s="26"/>
      <c r="Y1020" s="525"/>
      <c r="Z1020" s="525"/>
      <c r="AA1020" s="525"/>
      <c r="AB1020" s="921"/>
      <c r="AC1020" s="26"/>
      <c r="AD1020" s="24"/>
      <c r="AE1020" s="26"/>
      <c r="AF1020" s="106"/>
      <c r="AG1020" s="37"/>
      <c r="AH1020" s="957"/>
      <c r="AI1020" s="1023"/>
      <c r="AJ1020" s="1023"/>
      <c r="AK1020" s="1023"/>
      <c r="AL1020" s="1023"/>
      <c r="AM1020" s="1023"/>
      <c r="AN1020" s="1023"/>
      <c r="AO1020" s="957"/>
      <c r="AP1020" s="957"/>
      <c r="AQ1020" s="957"/>
      <c r="AR1020" s="957"/>
      <c r="AS1020" s="957"/>
      <c r="AT1020" s="957"/>
      <c r="AU1020" s="957"/>
      <c r="AV1020" s="957"/>
      <c r="AW1020" s="957"/>
      <c r="AX1020" s="957"/>
      <c r="AY1020" s="957"/>
      <c r="AZ1020" s="957"/>
      <c r="BA1020" s="957"/>
      <c r="BB1020" s="957"/>
      <c r="BC1020" s="957"/>
      <c r="BD1020" s="957"/>
      <c r="BE1020" s="957"/>
      <c r="BF1020" s="957"/>
      <c r="BG1020" s="957"/>
    </row>
    <row r="1021" spans="1:123">
      <c r="A1021" s="2172"/>
      <c r="B1021" s="2117"/>
      <c r="C1021" s="41"/>
      <c r="D1021" s="26"/>
      <c r="E1021" s="26"/>
      <c r="F1021" s="26"/>
      <c r="G1021" s="26"/>
      <c r="H1021" s="26"/>
      <c r="I1021" s="26"/>
      <c r="J1021" s="75"/>
      <c r="K1021" s="26"/>
      <c r="L1021" s="75"/>
      <c r="M1021" s="26"/>
      <c r="N1021" s="1205"/>
      <c r="O1021" s="467"/>
      <c r="P1021" s="467"/>
      <c r="Q1021" s="252"/>
      <c r="R1021" s="252"/>
      <c r="S1021" s="118" t="s">
        <v>235</v>
      </c>
      <c r="T1021" s="119" t="s">
        <v>391</v>
      </c>
      <c r="U1021" s="855"/>
      <c r="V1021" s="24"/>
      <c r="W1021" s="26"/>
      <c r="X1021" s="26"/>
      <c r="Y1021" s="525"/>
      <c r="Z1021" s="525"/>
      <c r="AA1021" s="525"/>
      <c r="AB1021" s="921"/>
      <c r="AC1021" s="26"/>
      <c r="AD1021" s="24"/>
      <c r="AE1021" s="26"/>
      <c r="AF1021" s="106"/>
      <c r="AG1021" s="37"/>
      <c r="AH1021" s="957"/>
      <c r="AI1021" s="1023"/>
      <c r="AJ1021" s="1023"/>
      <c r="AK1021" s="1023"/>
      <c r="AL1021" s="1023"/>
      <c r="AM1021" s="1023"/>
      <c r="AN1021" s="1023"/>
      <c r="AO1021" s="957"/>
      <c r="AP1021" s="957"/>
      <c r="AQ1021" s="957"/>
      <c r="AR1021" s="957"/>
      <c r="AS1021" s="957"/>
      <c r="AT1021" s="957"/>
      <c r="AU1021" s="957"/>
      <c r="AV1021" s="957"/>
      <c r="AW1021" s="957"/>
      <c r="AX1021" s="957"/>
      <c r="AY1021" s="957"/>
      <c r="AZ1021" s="957"/>
      <c r="BA1021" s="957"/>
      <c r="BB1021" s="957"/>
      <c r="BC1021" s="957"/>
      <c r="BD1021" s="957"/>
      <c r="BE1021" s="957"/>
      <c r="BF1021" s="957"/>
      <c r="BG1021" s="957"/>
    </row>
    <row r="1022" spans="1:123" ht="15.75" thickBot="1">
      <c r="A1022" s="2172"/>
      <c r="B1022" s="2118"/>
      <c r="C1022" s="41"/>
      <c r="D1022" s="26"/>
      <c r="E1022" s="26"/>
      <c r="F1022" s="26"/>
      <c r="G1022" s="26"/>
      <c r="H1022" s="26"/>
      <c r="I1022" s="26"/>
      <c r="J1022" s="75"/>
      <c r="K1022" s="26"/>
      <c r="L1022" s="75"/>
      <c r="M1022" s="26"/>
      <c r="N1022" s="1205"/>
      <c r="O1022" s="467"/>
      <c r="P1022" s="467"/>
      <c r="Q1022" s="252"/>
      <c r="R1022" s="252"/>
      <c r="S1022" s="357">
        <v>0.36670799999999998</v>
      </c>
      <c r="T1022" s="151" t="s">
        <v>15</v>
      </c>
      <c r="U1022" s="862"/>
      <c r="V1022" s="24"/>
      <c r="W1022" s="26"/>
      <c r="X1022" s="26"/>
      <c r="Y1022" s="525"/>
      <c r="Z1022" s="525"/>
      <c r="AA1022" s="525"/>
      <c r="AB1022" s="921"/>
      <c r="AC1022" s="26"/>
      <c r="AD1022" s="24"/>
      <c r="AE1022" s="26"/>
      <c r="AF1022" s="106"/>
      <c r="AG1022" s="37"/>
      <c r="AH1022" s="957"/>
      <c r="AI1022" s="1023"/>
      <c r="AJ1022" s="1023"/>
      <c r="AK1022" s="1023"/>
      <c r="AL1022" s="1023"/>
      <c r="AM1022" s="1023"/>
      <c r="AN1022" s="1023"/>
      <c r="AO1022" s="957"/>
      <c r="AP1022" s="957"/>
      <c r="AQ1022" s="957"/>
      <c r="AR1022" s="957"/>
      <c r="AS1022" s="957"/>
      <c r="AT1022" s="957"/>
      <c r="AU1022" s="957"/>
      <c r="AV1022" s="957"/>
      <c r="AW1022" s="957"/>
      <c r="AX1022" s="957"/>
      <c r="AY1022" s="957"/>
      <c r="AZ1022" s="957"/>
      <c r="BA1022" s="957"/>
      <c r="BB1022" s="957"/>
      <c r="BC1022" s="957"/>
      <c r="BD1022" s="957"/>
      <c r="BE1022" s="957"/>
      <c r="BF1022" s="957"/>
      <c r="BG1022" s="957"/>
    </row>
    <row r="1023" spans="1:123" s="692" customFormat="1" ht="9" customHeight="1" thickBot="1">
      <c r="A1023" s="695"/>
      <c r="B1023" s="815"/>
      <c r="C1023" s="684"/>
      <c r="D1023" s="683"/>
      <c r="E1023" s="707"/>
      <c r="F1023" s="708"/>
      <c r="G1023" s="708"/>
      <c r="H1023" s="709"/>
      <c r="I1023" s="709"/>
      <c r="J1023" s="682"/>
      <c r="K1023" s="683"/>
      <c r="L1023" s="682"/>
      <c r="M1023" s="685"/>
      <c r="N1023" s="1189"/>
      <c r="O1023" s="686"/>
      <c r="P1023" s="686"/>
      <c r="Q1023" s="687"/>
      <c r="R1023" s="687"/>
      <c r="S1023" s="688"/>
      <c r="T1023" s="688"/>
      <c r="U1023" s="854"/>
      <c r="V1023" s="893"/>
      <c r="W1023" s="685"/>
      <c r="X1023" s="685"/>
      <c r="Y1023" s="688"/>
      <c r="Z1023" s="688"/>
      <c r="AA1023" s="688"/>
      <c r="AB1023" s="846"/>
      <c r="AC1023" s="690"/>
      <c r="AD1023" s="690"/>
      <c r="AE1023" s="690"/>
      <c r="AF1023" s="711"/>
      <c r="AG1023" s="690"/>
      <c r="AH1023" s="959"/>
      <c r="AI1023" s="959"/>
      <c r="AJ1023" s="959"/>
      <c r="AK1023" s="959"/>
      <c r="AL1023" s="959"/>
      <c r="AM1023" s="959"/>
      <c r="AN1023" s="959"/>
      <c r="AO1023" s="959"/>
      <c r="AP1023" s="959"/>
      <c r="AQ1023" s="959"/>
      <c r="AR1023" s="959"/>
      <c r="AS1023" s="959"/>
      <c r="AT1023" s="959"/>
      <c r="AU1023" s="959"/>
      <c r="AV1023" s="959"/>
      <c r="AW1023" s="959"/>
      <c r="AX1023" s="959"/>
      <c r="AY1023" s="959"/>
      <c r="AZ1023" s="959"/>
      <c r="BA1023" s="959"/>
      <c r="BB1023" s="959"/>
      <c r="BC1023" s="959"/>
      <c r="BD1023" s="959"/>
      <c r="BE1023" s="959"/>
      <c r="BF1023" s="959"/>
      <c r="BG1023" s="959"/>
      <c r="BH1023" s="1125"/>
      <c r="DI1023" s="693"/>
    </row>
    <row r="1024" spans="1:123" ht="15" customHeight="1">
      <c r="A1024" s="2184" t="s">
        <v>912</v>
      </c>
      <c r="B1024" s="2194" t="s">
        <v>889</v>
      </c>
      <c r="C1024" s="2179" t="s">
        <v>13</v>
      </c>
      <c r="D1024" s="292" t="s">
        <v>890</v>
      </c>
      <c r="E1024" s="511">
        <v>1005</v>
      </c>
      <c r="F1024" s="233" t="s">
        <v>15</v>
      </c>
      <c r="G1024" s="233" t="s">
        <v>15</v>
      </c>
      <c r="H1024" s="513">
        <v>3.6733153676064099</v>
      </c>
      <c r="I1024" s="570">
        <v>3.4712875800821799</v>
      </c>
      <c r="J1024" s="234" t="s">
        <v>15</v>
      </c>
      <c r="K1024" s="233" t="s">
        <v>15</v>
      </c>
      <c r="L1024" s="234" t="s">
        <v>15</v>
      </c>
      <c r="M1024" s="233" t="s">
        <v>15</v>
      </c>
      <c r="N1024" s="441">
        <v>0</v>
      </c>
      <c r="O1024" s="280" t="s">
        <v>574</v>
      </c>
      <c r="P1024" s="280" t="s">
        <v>574</v>
      </c>
      <c r="Q1024" s="523">
        <v>0.10520114149180668</v>
      </c>
      <c r="R1024" s="2152">
        <f>SUMPRODUCT(N1024:N1029,Q1024:Q1029)</f>
        <v>-0.14966150225589619</v>
      </c>
      <c r="S1024" s="531" t="s">
        <v>68</v>
      </c>
      <c r="T1024" s="505" t="s">
        <v>69</v>
      </c>
      <c r="U1024" s="881"/>
      <c r="V1024" s="2167" t="s">
        <v>2698</v>
      </c>
      <c r="W1024" s="982" t="s">
        <v>47</v>
      </c>
      <c r="X1024" s="494" t="s">
        <v>1006</v>
      </c>
      <c r="Y1024" s="526">
        <f>T969+R962+R968+R970+R972+R976+R978*1.5+R979*(40-30)</f>
        <v>1.2283265288286027</v>
      </c>
      <c r="Z1024" s="610" t="s">
        <v>40</v>
      </c>
      <c r="AA1024" s="611" t="s">
        <v>40</v>
      </c>
      <c r="AB1024" s="846"/>
      <c r="AC1024" s="26"/>
      <c r="AD1024" s="24"/>
      <c r="AE1024" s="26"/>
      <c r="AF1024" s="106"/>
      <c r="AG1024" s="37"/>
      <c r="AH1024" s="957"/>
      <c r="AI1024" s="1023"/>
      <c r="AJ1024" s="1023"/>
      <c r="AK1024" s="1023"/>
      <c r="AL1024" s="1023"/>
      <c r="AM1024" s="1023"/>
      <c r="AN1024" s="1023"/>
      <c r="AO1024" s="957"/>
      <c r="AP1024" s="957"/>
      <c r="AQ1024" s="957"/>
      <c r="AR1024" s="957"/>
      <c r="AS1024" s="957"/>
      <c r="AT1024" s="957"/>
      <c r="AU1024" s="957"/>
      <c r="AV1024" s="957"/>
      <c r="AW1024" s="957"/>
      <c r="AX1024" s="957"/>
      <c r="AY1024" s="957"/>
      <c r="AZ1024" s="957"/>
      <c r="BA1024" s="957"/>
      <c r="BB1024" s="957"/>
      <c r="BC1024" s="957"/>
      <c r="BD1024" s="957"/>
      <c r="BE1024" s="957"/>
      <c r="BF1024" s="957"/>
      <c r="BG1024" s="957"/>
    </row>
    <row r="1025" spans="1:59">
      <c r="A1025" s="2185"/>
      <c r="B1025" s="2199"/>
      <c r="C1025" s="2187"/>
      <c r="D1025" s="291" t="s">
        <v>891</v>
      </c>
      <c r="E1025" s="511">
        <v>436</v>
      </c>
      <c r="F1025" s="233" t="s">
        <v>15</v>
      </c>
      <c r="G1025" s="233" t="s">
        <v>15</v>
      </c>
      <c r="H1025" s="513">
        <v>6.4570470183486197</v>
      </c>
      <c r="I1025" s="570">
        <v>4.39365073835181</v>
      </c>
      <c r="J1025" s="234" t="s">
        <v>15</v>
      </c>
      <c r="K1025" s="233" t="s">
        <v>15</v>
      </c>
      <c r="L1025" s="234" t="s">
        <v>15</v>
      </c>
      <c r="M1025" s="233" t="s">
        <v>15</v>
      </c>
      <c r="N1025" s="1233">
        <v>1.2190000000000001</v>
      </c>
      <c r="O1025" s="528">
        <v>11.58</v>
      </c>
      <c r="P1025" s="528">
        <v>0.1053</v>
      </c>
      <c r="Q1025" s="524">
        <v>6.2508322755857229E-2</v>
      </c>
      <c r="R1025" s="2153"/>
      <c r="S1025" s="46" t="s">
        <v>892</v>
      </c>
      <c r="T1025" s="451" t="s">
        <v>893</v>
      </c>
      <c r="U1025" s="882"/>
      <c r="V1025" s="2168"/>
      <c r="W1025" s="982" t="s">
        <v>49</v>
      </c>
      <c r="X1025" s="494" t="s">
        <v>1007</v>
      </c>
      <c r="Y1025" s="526">
        <f>T1031+R1024+R1032+R1034+R1040+R1046*10+R1047*10</f>
        <v>2.8560158137312852</v>
      </c>
      <c r="Z1025" s="526">
        <f>Y1025-Y1024</f>
        <v>1.6276892849026825</v>
      </c>
      <c r="AA1025" s="580"/>
      <c r="AB1025" s="921"/>
      <c r="AC1025" s="26"/>
      <c r="AD1025" s="24"/>
      <c r="AE1025" s="26"/>
      <c r="AF1025" s="106"/>
      <c r="AG1025" s="37"/>
      <c r="AH1025" s="957"/>
      <c r="AI1025" s="1023"/>
      <c r="AJ1025" s="1023"/>
      <c r="AK1025" s="1023"/>
      <c r="AL1025" s="1023"/>
      <c r="AM1025" s="1023"/>
      <c r="AN1025" s="1023"/>
      <c r="AO1025" s="957"/>
      <c r="AP1025" s="957"/>
      <c r="AQ1025" s="957"/>
      <c r="AR1025" s="957"/>
      <c r="AS1025" s="957"/>
      <c r="AT1025" s="957"/>
      <c r="AU1025" s="957"/>
      <c r="AV1025" s="957"/>
      <c r="AW1025" s="957"/>
      <c r="AX1025" s="957"/>
      <c r="AY1025" s="957"/>
      <c r="AZ1025" s="957"/>
      <c r="BA1025" s="957"/>
      <c r="BB1025" s="957"/>
      <c r="BC1025" s="957"/>
      <c r="BD1025" s="957"/>
      <c r="BE1025" s="957"/>
      <c r="BF1025" s="957"/>
      <c r="BG1025" s="957"/>
    </row>
    <row r="1026" spans="1:59">
      <c r="A1026" s="2185"/>
      <c r="B1026" s="2199"/>
      <c r="C1026" s="2187"/>
      <c r="D1026" s="292" t="s">
        <v>894</v>
      </c>
      <c r="E1026" s="511">
        <v>172</v>
      </c>
      <c r="F1026" s="233" t="s">
        <v>15</v>
      </c>
      <c r="G1026" s="233" t="s">
        <v>15</v>
      </c>
      <c r="H1026" s="513">
        <v>4.5690503875969002</v>
      </c>
      <c r="I1026" s="570">
        <v>2.97085347005304</v>
      </c>
      <c r="J1026" s="234" t="s">
        <v>15</v>
      </c>
      <c r="K1026" s="233" t="s">
        <v>15</v>
      </c>
      <c r="L1026" s="234" t="s">
        <v>15</v>
      </c>
      <c r="M1026" s="233" t="s">
        <v>15</v>
      </c>
      <c r="N1026" s="1233">
        <v>-0.3745</v>
      </c>
      <c r="O1026" s="528">
        <v>-2.6</v>
      </c>
      <c r="P1026" s="528">
        <v>0.14410000000000001</v>
      </c>
      <c r="Q1026" s="524">
        <v>0.32481127589732228</v>
      </c>
      <c r="R1026" s="2153"/>
      <c r="S1026" s="531" t="s">
        <v>72</v>
      </c>
      <c r="T1026" s="416" t="s">
        <v>119</v>
      </c>
      <c r="U1026" s="876"/>
      <c r="V1026" s="2168"/>
      <c r="W1026" s="982" t="s">
        <v>47</v>
      </c>
      <c r="X1026" s="494" t="s">
        <v>1008</v>
      </c>
      <c r="Y1026" s="526">
        <f>T969+R962+R968+R970+R972+R976+R978*1.5+R979*(60-30)</f>
        <v>1.4123265288286027</v>
      </c>
      <c r="Z1026" s="95" t="s">
        <v>40</v>
      </c>
      <c r="AA1026" s="351" t="s">
        <v>40</v>
      </c>
      <c r="AB1026" s="846"/>
      <c r="AC1026" s="26"/>
      <c r="AD1026" s="24"/>
      <c r="AE1026" s="26"/>
      <c r="AF1026" s="106"/>
      <c r="AG1026" s="37"/>
      <c r="AH1026" s="957"/>
      <c r="AI1026" s="1023"/>
      <c r="AJ1026" s="1023"/>
      <c r="AK1026" s="1023"/>
      <c r="AL1026" s="1023"/>
      <c r="AM1026" s="1023"/>
      <c r="AN1026" s="1023"/>
      <c r="AO1026" s="957"/>
      <c r="AP1026" s="957"/>
      <c r="AQ1026" s="957"/>
      <c r="AR1026" s="957"/>
      <c r="AS1026" s="957"/>
      <c r="AT1026" s="957"/>
      <c r="AU1026" s="957"/>
      <c r="AV1026" s="957"/>
      <c r="AW1026" s="957"/>
      <c r="AX1026" s="957"/>
      <c r="AY1026" s="957"/>
      <c r="AZ1026" s="957"/>
      <c r="BA1026" s="957"/>
      <c r="BB1026" s="957"/>
      <c r="BC1026" s="957"/>
      <c r="BD1026" s="957"/>
      <c r="BE1026" s="957"/>
      <c r="BF1026" s="957"/>
      <c r="BG1026" s="957"/>
    </row>
    <row r="1027" spans="1:59">
      <c r="A1027" s="2185"/>
      <c r="B1027" s="2199"/>
      <c r="C1027" s="2187"/>
      <c r="D1027" s="292" t="s">
        <v>895</v>
      </c>
      <c r="E1027" s="511">
        <v>507</v>
      </c>
      <c r="F1027" s="233" t="s">
        <v>15</v>
      </c>
      <c r="G1027" s="233" t="s">
        <v>15</v>
      </c>
      <c r="H1027" s="513">
        <v>6.6357969381046296</v>
      </c>
      <c r="I1027" s="570">
        <v>4.14368184191434</v>
      </c>
      <c r="J1027" s="234" t="s">
        <v>15</v>
      </c>
      <c r="K1027" s="233" t="s">
        <v>15</v>
      </c>
      <c r="L1027" s="234" t="s">
        <v>15</v>
      </c>
      <c r="M1027" s="233" t="s">
        <v>15</v>
      </c>
      <c r="N1027" s="1233">
        <v>1.1326000000000001</v>
      </c>
      <c r="O1027" s="528">
        <v>11.46</v>
      </c>
      <c r="P1027" s="528">
        <v>9.8900000000000002E-2</v>
      </c>
      <c r="Q1027" s="524">
        <v>8.6863434365346215E-2</v>
      </c>
      <c r="R1027" s="2153"/>
      <c r="S1027" s="506" t="s">
        <v>73</v>
      </c>
      <c r="T1027" s="507" t="s">
        <v>140</v>
      </c>
      <c r="U1027" s="883"/>
      <c r="V1027" s="2168"/>
      <c r="W1027" s="982" t="s">
        <v>49</v>
      </c>
      <c r="X1027" s="494" t="s">
        <v>1009</v>
      </c>
      <c r="Y1027" s="526">
        <f>T1031+R1024+R1032+R1034+R1040+R1046*10+R1047*15</f>
        <v>3.1885158137312852</v>
      </c>
      <c r="Z1027" s="526">
        <f>Y1027-Y1026</f>
        <v>1.7761892849026826</v>
      </c>
      <c r="AA1027" s="580"/>
      <c r="AB1027" s="921"/>
      <c r="AC1027" s="26"/>
      <c r="AD1027" s="24"/>
      <c r="AE1027" s="26"/>
      <c r="AF1027" s="106"/>
      <c r="AG1027" s="37"/>
      <c r="AH1027" s="957"/>
      <c r="AI1027" s="1023"/>
      <c r="AJ1027" s="1023"/>
      <c r="AK1027" s="1023"/>
      <c r="AL1027" s="1023"/>
      <c r="AM1027" s="1023"/>
      <c r="AN1027" s="1023"/>
      <c r="AO1027" s="957"/>
      <c r="AP1027" s="957"/>
      <c r="AQ1027" s="957"/>
      <c r="AR1027" s="957"/>
      <c r="AS1027" s="957"/>
      <c r="AT1027" s="957"/>
      <c r="AU1027" s="957"/>
      <c r="AV1027" s="957"/>
      <c r="AW1027" s="957"/>
      <c r="AX1027" s="957"/>
      <c r="AY1027" s="957"/>
      <c r="AZ1027" s="957"/>
      <c r="BA1027" s="957"/>
      <c r="BB1027" s="957"/>
      <c r="BC1027" s="957"/>
      <c r="BD1027" s="957"/>
      <c r="BE1027" s="957"/>
      <c r="BF1027" s="957"/>
      <c r="BG1027" s="957"/>
    </row>
    <row r="1028" spans="1:59">
      <c r="A1028" s="2185"/>
      <c r="B1028" s="2199"/>
      <c r="C1028" s="2187"/>
      <c r="D1028" s="292" t="s">
        <v>896</v>
      </c>
      <c r="E1028" s="511">
        <v>651</v>
      </c>
      <c r="F1028" s="233" t="s">
        <v>15</v>
      </c>
      <c r="G1028" s="233" t="s">
        <v>15</v>
      </c>
      <c r="H1028" s="513">
        <v>3.3547913466461901</v>
      </c>
      <c r="I1028" s="570">
        <v>3.4741520631504499</v>
      </c>
      <c r="J1028" s="234" t="s">
        <v>15</v>
      </c>
      <c r="K1028" s="233" t="s">
        <v>15</v>
      </c>
      <c r="L1028" s="234" t="s">
        <v>15</v>
      </c>
      <c r="M1028" s="233" t="s">
        <v>15</v>
      </c>
      <c r="N1028" s="1233">
        <v>-0.29830000000000001</v>
      </c>
      <c r="O1028" s="528">
        <v>-3.18</v>
      </c>
      <c r="P1028" s="528">
        <v>9.3700000000000006E-2</v>
      </c>
      <c r="Q1028" s="524">
        <v>0.1794596575406428</v>
      </c>
      <c r="R1028" s="2153"/>
      <c r="S1028" s="531" t="s">
        <v>74</v>
      </c>
      <c r="T1028" s="505" t="s">
        <v>75</v>
      </c>
      <c r="U1028" s="881"/>
      <c r="V1028" s="2168"/>
      <c r="W1028" s="982" t="s">
        <v>47</v>
      </c>
      <c r="X1028" s="494" t="s">
        <v>1010</v>
      </c>
      <c r="Y1028" s="526">
        <f>T969+R962+R968+R970+R972+R976+R978*1.5+R979*(90-30)+R980*(90-75)</f>
        <v>1.5563265288286026</v>
      </c>
      <c r="Z1028" s="95" t="s">
        <v>40</v>
      </c>
      <c r="AA1028" s="351" t="s">
        <v>40</v>
      </c>
      <c r="AB1028" s="846"/>
      <c r="AC1028" s="26"/>
      <c r="AD1028" s="24"/>
      <c r="AE1028" s="26"/>
      <c r="AF1028" s="106"/>
      <c r="AG1028" s="37"/>
      <c r="AH1028" s="957"/>
      <c r="AI1028" s="1023"/>
      <c r="AJ1028" s="1023"/>
      <c r="AK1028" s="1023"/>
      <c r="AL1028" s="1023"/>
      <c r="AM1028" s="1023"/>
      <c r="AN1028" s="1023"/>
      <c r="AO1028" s="957"/>
      <c r="AP1028" s="957"/>
      <c r="AQ1028" s="957"/>
      <c r="AR1028" s="957"/>
      <c r="AS1028" s="957"/>
      <c r="AT1028" s="957"/>
      <c r="AU1028" s="957"/>
      <c r="AV1028" s="957"/>
      <c r="AW1028" s="957"/>
      <c r="AX1028" s="957"/>
      <c r="AY1028" s="957"/>
      <c r="AZ1028" s="957"/>
      <c r="BA1028" s="957"/>
      <c r="BB1028" s="957"/>
      <c r="BC1028" s="957"/>
      <c r="BD1028" s="957"/>
      <c r="BE1028" s="957"/>
      <c r="BF1028" s="957"/>
      <c r="BG1028" s="957"/>
    </row>
    <row r="1029" spans="1:59">
      <c r="A1029" s="2185"/>
      <c r="B1029" s="2195"/>
      <c r="C1029" s="2180"/>
      <c r="D1029" s="292" t="s">
        <v>897</v>
      </c>
      <c r="E1029" s="511">
        <v>94</v>
      </c>
      <c r="F1029" s="233" t="s">
        <v>15</v>
      </c>
      <c r="G1029" s="233" t="s">
        <v>15</v>
      </c>
      <c r="H1029" s="513">
        <v>0.44480496453900698</v>
      </c>
      <c r="I1029" s="570">
        <v>0.37039720892107397</v>
      </c>
      <c r="J1029" s="234" t="s">
        <v>15</v>
      </c>
      <c r="K1029" s="233" t="s">
        <v>15</v>
      </c>
      <c r="L1029" s="234" t="s">
        <v>15</v>
      </c>
      <c r="M1029" s="233" t="s">
        <v>15</v>
      </c>
      <c r="N1029" s="1233">
        <v>-1.0189999999999999</v>
      </c>
      <c r="O1029" s="528">
        <v>-4.79</v>
      </c>
      <c r="P1029" s="528">
        <v>0.21279999999999999</v>
      </c>
      <c r="Q1029" s="524">
        <v>0.14628658958739585</v>
      </c>
      <c r="R1029" s="2154"/>
      <c r="S1029" s="396">
        <v>2865</v>
      </c>
      <c r="T1029" s="507" t="s">
        <v>140</v>
      </c>
      <c r="U1029" s="883"/>
      <c r="V1029" s="2169"/>
      <c r="W1029" s="982" t="s">
        <v>49</v>
      </c>
      <c r="X1029" s="494" t="s">
        <v>1011</v>
      </c>
      <c r="Y1029" s="526">
        <f>T1031+R1024+R1032+R1034+R1040+R1046*10+(R1047+R1048)*25</f>
        <v>6.1910158137312852</v>
      </c>
      <c r="Z1029" s="526">
        <f>Y1029-Y1028</f>
        <v>4.6346892849026826</v>
      </c>
      <c r="AA1029" s="580"/>
      <c r="AB1029" s="921"/>
      <c r="AC1029" s="26"/>
      <c r="AD1029" s="24"/>
      <c r="AE1029" s="26"/>
      <c r="AF1029" s="106"/>
      <c r="AG1029" s="37"/>
      <c r="AH1029" s="957"/>
      <c r="AI1029" s="1023"/>
      <c r="AJ1029" s="1023"/>
      <c r="AK1029" s="1023"/>
      <c r="AL1029" s="1023"/>
      <c r="AM1029" s="1023"/>
      <c r="AN1029" s="1023"/>
      <c r="AO1029" s="957"/>
      <c r="AP1029" s="957"/>
      <c r="AQ1029" s="957"/>
      <c r="AR1029" s="957"/>
      <c r="AS1029" s="957"/>
      <c r="AT1029" s="957"/>
      <c r="AU1029" s="957"/>
      <c r="AV1029" s="957"/>
      <c r="AW1029" s="957"/>
      <c r="AX1029" s="957"/>
      <c r="AY1029" s="957"/>
      <c r="AZ1029" s="957"/>
      <c r="BA1029" s="957"/>
      <c r="BB1029" s="957"/>
      <c r="BC1029" s="957"/>
      <c r="BD1029" s="957"/>
      <c r="BE1029" s="957"/>
      <c r="BF1029" s="957"/>
      <c r="BG1029" s="957"/>
    </row>
    <row r="1030" spans="1:59">
      <c r="A1030" s="2185"/>
      <c r="B1030" s="2194" t="s">
        <v>913</v>
      </c>
      <c r="C1030" s="2179" t="s">
        <v>11</v>
      </c>
      <c r="D1030" s="292" t="s">
        <v>33</v>
      </c>
      <c r="E1030" s="511">
        <v>2467</v>
      </c>
      <c r="F1030" s="233" t="s">
        <v>15</v>
      </c>
      <c r="G1030" s="233" t="s">
        <v>15</v>
      </c>
      <c r="H1030" s="513">
        <v>4.3777831341967897</v>
      </c>
      <c r="I1030" s="570">
        <v>4.0938346454170604</v>
      </c>
      <c r="J1030" s="234" t="s">
        <v>15</v>
      </c>
      <c r="K1030" s="233" t="s">
        <v>15</v>
      </c>
      <c r="L1030" s="234" t="s">
        <v>15</v>
      </c>
      <c r="M1030" s="233" t="s">
        <v>15</v>
      </c>
      <c r="N1030" s="1233">
        <v>1.8411</v>
      </c>
      <c r="O1030" s="528">
        <v>18.16</v>
      </c>
      <c r="P1030" s="528">
        <v>0.1014</v>
      </c>
      <c r="Q1030" s="195" t="s">
        <v>15</v>
      </c>
      <c r="R1030" s="128">
        <f>N1030</f>
        <v>1.8411</v>
      </c>
      <c r="S1030" s="504" t="s">
        <v>41</v>
      </c>
      <c r="T1030" s="505" t="s">
        <v>42</v>
      </c>
      <c r="U1030" s="881"/>
      <c r="V1030" s="24"/>
      <c r="W1030" s="26"/>
      <c r="X1030" s="26"/>
      <c r="Y1030" s="525"/>
      <c r="Z1030" s="525"/>
      <c r="AA1030" s="525"/>
      <c r="AB1030" s="921"/>
      <c r="AC1030" s="26"/>
      <c r="AD1030" s="24"/>
      <c r="AE1030" s="26"/>
      <c r="AF1030" s="106"/>
      <c r="AG1030" s="37"/>
      <c r="AH1030" s="957"/>
      <c r="AI1030" s="1023"/>
      <c r="AJ1030" s="1023"/>
      <c r="AK1030" s="1023"/>
      <c r="AL1030" s="1023"/>
      <c r="AM1030" s="1023"/>
      <c r="AN1030" s="1023"/>
      <c r="AO1030" s="957"/>
      <c r="AP1030" s="957"/>
      <c r="AQ1030" s="957"/>
      <c r="AR1030" s="957"/>
      <c r="AS1030" s="957"/>
      <c r="AT1030" s="957"/>
      <c r="AU1030" s="957"/>
      <c r="AV1030" s="957"/>
      <c r="AW1030" s="957"/>
      <c r="AX1030" s="957"/>
      <c r="AY1030" s="957"/>
      <c r="AZ1030" s="957"/>
      <c r="BA1030" s="957"/>
      <c r="BB1030" s="957"/>
      <c r="BC1030" s="957"/>
      <c r="BD1030" s="957"/>
      <c r="BE1030" s="957"/>
      <c r="BF1030" s="957"/>
      <c r="BG1030" s="957"/>
    </row>
    <row r="1031" spans="1:59">
      <c r="A1031" s="2185"/>
      <c r="B1031" s="2195"/>
      <c r="C1031" s="2180"/>
      <c r="D1031" s="292" t="s">
        <v>32</v>
      </c>
      <c r="E1031" s="511">
        <v>398</v>
      </c>
      <c r="F1031" s="233" t="s">
        <v>15</v>
      </c>
      <c r="G1031" s="233" t="s">
        <v>15</v>
      </c>
      <c r="H1031" s="513">
        <v>5.23359296482412</v>
      </c>
      <c r="I1031" s="570">
        <v>3.1903081790369399</v>
      </c>
      <c r="J1031" s="234" t="s">
        <v>15</v>
      </c>
      <c r="K1031" s="233" t="s">
        <v>15</v>
      </c>
      <c r="L1031" s="234" t="s">
        <v>15</v>
      </c>
      <c r="M1031" s="233" t="s">
        <v>15</v>
      </c>
      <c r="N1031" s="537">
        <v>0</v>
      </c>
      <c r="O1031" s="536" t="s">
        <v>574</v>
      </c>
      <c r="P1031" s="536" t="s">
        <v>574</v>
      </c>
      <c r="Q1031" s="195" t="s">
        <v>15</v>
      </c>
      <c r="R1031" s="128">
        <f>N1031</f>
        <v>0</v>
      </c>
      <c r="S1031" s="452">
        <v>0.75</v>
      </c>
      <c r="T1031" s="260">
        <v>3.0430000000000001</v>
      </c>
      <c r="U1031" s="863"/>
      <c r="V1031" s="24"/>
      <c r="W1031" s="26"/>
      <c r="X1031" s="26"/>
      <c r="Y1031" s="525"/>
      <c r="Z1031" s="525"/>
      <c r="AA1031" s="525"/>
      <c r="AB1031" s="921"/>
      <c r="AC1031" s="26"/>
      <c r="AD1031" s="24"/>
      <c r="AE1031" s="26"/>
      <c r="AF1031" s="106"/>
      <c r="AG1031" s="37"/>
      <c r="AH1031" s="957"/>
      <c r="AI1031" s="1023"/>
      <c r="AJ1031" s="1023"/>
      <c r="AK1031" s="1023"/>
      <c r="AL1031" s="1023"/>
      <c r="AM1031" s="1023"/>
      <c r="AN1031" s="1023"/>
      <c r="AO1031" s="957"/>
      <c r="AP1031" s="957"/>
      <c r="AQ1031" s="957"/>
      <c r="AR1031" s="957"/>
      <c r="AS1031" s="957"/>
      <c r="AT1031" s="957"/>
      <c r="AU1031" s="957"/>
      <c r="AV1031" s="957"/>
      <c r="AW1031" s="957"/>
      <c r="AX1031" s="957"/>
      <c r="AY1031" s="957"/>
      <c r="AZ1031" s="957"/>
      <c r="BA1031" s="957"/>
      <c r="BB1031" s="957"/>
      <c r="BC1031" s="957"/>
      <c r="BD1031" s="957"/>
      <c r="BE1031" s="957"/>
      <c r="BF1031" s="957"/>
      <c r="BG1031" s="957"/>
    </row>
    <row r="1032" spans="1:59">
      <c r="A1032" s="2185"/>
      <c r="B1032" s="2194" t="s">
        <v>899</v>
      </c>
      <c r="C1032" s="2179" t="s">
        <v>11</v>
      </c>
      <c r="D1032" s="292" t="s">
        <v>33</v>
      </c>
      <c r="E1032" s="511">
        <v>1383</v>
      </c>
      <c r="F1032" s="233" t="s">
        <v>15</v>
      </c>
      <c r="G1032" s="233" t="s">
        <v>15</v>
      </c>
      <c r="H1032" s="513">
        <v>7.7468329718004298</v>
      </c>
      <c r="I1032" s="570">
        <v>3.3975016070078898</v>
      </c>
      <c r="J1032" s="234" t="s">
        <v>15</v>
      </c>
      <c r="K1032" s="233" t="s">
        <v>15</v>
      </c>
      <c r="L1032" s="234" t="s">
        <v>15</v>
      </c>
      <c r="M1032" s="233" t="s">
        <v>15</v>
      </c>
      <c r="N1032" s="1233">
        <v>-1.8050999999999999</v>
      </c>
      <c r="O1032" s="528">
        <v>-21.6</v>
      </c>
      <c r="P1032" s="528">
        <v>8.3599999999999994E-2</v>
      </c>
      <c r="Q1032" s="251">
        <v>0.75622067957404826</v>
      </c>
      <c r="R1032" s="2130">
        <f>SUMPRODUCT(N1032:N1033,Q1032:Q1033)</f>
        <v>-1.3650539486991144</v>
      </c>
      <c r="S1032" s="118" t="s">
        <v>235</v>
      </c>
      <c r="T1032" s="119" t="s">
        <v>391</v>
      </c>
      <c r="U1032" s="855"/>
      <c r="V1032" s="24"/>
      <c r="W1032" s="26"/>
      <c r="X1032" s="26"/>
      <c r="Y1032" s="525"/>
      <c r="Z1032" s="525"/>
      <c r="AA1032" s="525"/>
      <c r="AB1032" s="921"/>
      <c r="AC1032" s="26"/>
      <c r="AD1032" s="24"/>
      <c r="AE1032" s="26"/>
      <c r="AF1032" s="106"/>
      <c r="AG1032" s="37"/>
      <c r="AH1032" s="957"/>
      <c r="AI1032" s="1023"/>
      <c r="AJ1032" s="1023"/>
      <c r="AK1032" s="1023"/>
      <c r="AL1032" s="1023"/>
      <c r="AM1032" s="1023"/>
      <c r="AN1032" s="1023"/>
      <c r="AO1032" s="957"/>
      <c r="AP1032" s="957"/>
      <c r="AQ1032" s="957"/>
      <c r="AR1032" s="957"/>
      <c r="AS1032" s="957"/>
      <c r="AT1032" s="957"/>
      <c r="AU1032" s="957"/>
      <c r="AV1032" s="957"/>
      <c r="AW1032" s="957"/>
      <c r="AX1032" s="957"/>
      <c r="AY1032" s="957"/>
      <c r="AZ1032" s="957"/>
      <c r="BA1032" s="957"/>
      <c r="BB1032" s="957"/>
      <c r="BC1032" s="957"/>
      <c r="BD1032" s="957"/>
      <c r="BE1032" s="957"/>
      <c r="BF1032" s="957"/>
      <c r="BG1032" s="957"/>
    </row>
    <row r="1033" spans="1:59">
      <c r="A1033" s="2185"/>
      <c r="B1033" s="2195"/>
      <c r="C1033" s="2180"/>
      <c r="D1033" s="292" t="s">
        <v>32</v>
      </c>
      <c r="E1033" s="511">
        <v>1482</v>
      </c>
      <c r="F1033" s="233" t="s">
        <v>15</v>
      </c>
      <c r="G1033" s="233" t="s">
        <v>15</v>
      </c>
      <c r="H1033" s="513">
        <v>1.4636241511899399</v>
      </c>
      <c r="I1033" s="570">
        <v>0.98100310763104204</v>
      </c>
      <c r="J1033" s="234" t="s">
        <v>15</v>
      </c>
      <c r="K1033" s="233" t="s">
        <v>15</v>
      </c>
      <c r="L1033" s="234" t="s">
        <v>15</v>
      </c>
      <c r="M1033" s="233" t="s">
        <v>15</v>
      </c>
      <c r="N1033" s="537">
        <v>0</v>
      </c>
      <c r="O1033" s="536" t="s">
        <v>574</v>
      </c>
      <c r="P1033" s="536" t="s">
        <v>574</v>
      </c>
      <c r="Q1033" s="251">
        <v>0.24377932042595174</v>
      </c>
      <c r="R1033" s="2155"/>
      <c r="S1033" s="357">
        <v>1.235708</v>
      </c>
      <c r="T1033" s="151" t="s">
        <v>15</v>
      </c>
      <c r="U1033" s="862"/>
      <c r="V1033" s="24"/>
      <c r="W1033" s="26"/>
      <c r="X1033" s="26"/>
      <c r="Y1033" s="525"/>
      <c r="Z1033" s="525"/>
      <c r="AA1033" s="525"/>
      <c r="AB1033" s="921"/>
      <c r="AC1033" s="26"/>
      <c r="AD1033" s="24"/>
      <c r="AE1033" s="26"/>
      <c r="AF1033" s="106"/>
      <c r="AG1033" s="37"/>
      <c r="AH1033" s="957"/>
      <c r="AI1033" s="1023"/>
      <c r="AJ1033" s="1023"/>
      <c r="AK1033" s="1023"/>
      <c r="AL1033" s="1023"/>
      <c r="AM1033" s="1023"/>
      <c r="AN1033" s="1023"/>
      <c r="AO1033" s="957"/>
      <c r="AP1033" s="957"/>
      <c r="AQ1033" s="957"/>
      <c r="AR1033" s="957"/>
      <c r="AS1033" s="957"/>
      <c r="AT1033" s="957"/>
      <c r="AU1033" s="957"/>
      <c r="AV1033" s="957"/>
      <c r="AW1033" s="957"/>
      <c r="AX1033" s="957"/>
      <c r="AY1033" s="957"/>
      <c r="AZ1033" s="957"/>
      <c r="BA1033" s="957"/>
      <c r="BB1033" s="957"/>
      <c r="BC1033" s="957"/>
      <c r="BD1033" s="957"/>
      <c r="BE1033" s="957"/>
      <c r="BF1033" s="957"/>
      <c r="BG1033" s="957"/>
    </row>
    <row r="1034" spans="1:59">
      <c r="A1034" s="2185"/>
      <c r="B1034" s="2194" t="s">
        <v>914</v>
      </c>
      <c r="C1034" s="2179" t="s">
        <v>11</v>
      </c>
      <c r="D1034" s="292" t="s">
        <v>33</v>
      </c>
      <c r="E1034" s="511">
        <v>2369</v>
      </c>
      <c r="F1034" s="233" t="s">
        <v>15</v>
      </c>
      <c r="G1034" s="233" t="s">
        <v>15</v>
      </c>
      <c r="H1034" s="513">
        <v>5.3383467004361904</v>
      </c>
      <c r="I1034" s="570">
        <v>3.89357756133426</v>
      </c>
      <c r="J1034" s="234" t="s">
        <v>15</v>
      </c>
      <c r="K1034" s="233" t="s">
        <v>15</v>
      </c>
      <c r="L1034" s="234" t="s">
        <v>15</v>
      </c>
      <c r="M1034" s="233" t="s">
        <v>15</v>
      </c>
      <c r="N1034" s="1233">
        <v>-1.1288</v>
      </c>
      <c r="O1034" s="528">
        <v>-11.08</v>
      </c>
      <c r="P1034" s="528">
        <v>0.1019</v>
      </c>
      <c r="Q1034" s="251">
        <v>0.42539887706152979</v>
      </c>
      <c r="R1034" s="2130">
        <f>SUMPRODUCT(N1034:N1035,Q1034:Q1035)</f>
        <v>-0.48019025242705482</v>
      </c>
      <c r="S1034" s="26"/>
      <c r="T1034" s="26"/>
      <c r="V1034" s="24"/>
      <c r="W1034" s="26"/>
      <c r="X1034" s="26"/>
      <c r="Y1034" s="525"/>
      <c r="Z1034" s="525"/>
      <c r="AA1034" s="525"/>
      <c r="AB1034" s="921"/>
      <c r="AC1034" s="26"/>
      <c r="AD1034" s="24"/>
      <c r="AE1034" s="26"/>
      <c r="AF1034" s="106"/>
      <c r="AG1034" s="37"/>
      <c r="AH1034" s="957"/>
      <c r="AI1034" s="1023"/>
      <c r="AJ1034" s="1023"/>
      <c r="AK1034" s="1023"/>
      <c r="AL1034" s="1023"/>
      <c r="AM1034" s="1023"/>
      <c r="AN1034" s="1023"/>
      <c r="AO1034" s="957"/>
      <c r="AP1034" s="957"/>
      <c r="AQ1034" s="957"/>
      <c r="AR1034" s="957"/>
      <c r="AS1034" s="957"/>
      <c r="AT1034" s="957"/>
      <c r="AU1034" s="957"/>
      <c r="AV1034" s="957"/>
      <c r="AW1034" s="957"/>
      <c r="AX1034" s="957"/>
      <c r="AY1034" s="957"/>
      <c r="AZ1034" s="957"/>
      <c r="BA1034" s="957"/>
      <c r="BB1034" s="957"/>
      <c r="BC1034" s="957"/>
      <c r="BD1034" s="957"/>
      <c r="BE1034" s="957"/>
      <c r="BF1034" s="957"/>
      <c r="BG1034" s="957"/>
    </row>
    <row r="1035" spans="1:59">
      <c r="A1035" s="2185"/>
      <c r="B1035" s="2195"/>
      <c r="C1035" s="2180"/>
      <c r="D1035" s="292" t="s">
        <v>32</v>
      </c>
      <c r="E1035" s="511">
        <v>496</v>
      </c>
      <c r="F1035" s="233" t="s">
        <v>15</v>
      </c>
      <c r="G1035" s="233" t="s">
        <v>15</v>
      </c>
      <c r="H1035" s="513">
        <v>0.476648505504352</v>
      </c>
      <c r="I1035" s="570">
        <v>0.23756794005979801</v>
      </c>
      <c r="J1035" s="234" t="s">
        <v>15</v>
      </c>
      <c r="K1035" s="233" t="s">
        <v>15</v>
      </c>
      <c r="L1035" s="234" t="s">
        <v>15</v>
      </c>
      <c r="M1035" s="233" t="s">
        <v>15</v>
      </c>
      <c r="N1035" s="537">
        <v>0</v>
      </c>
      <c r="O1035" s="536" t="s">
        <v>574</v>
      </c>
      <c r="P1035" s="536" t="s">
        <v>574</v>
      </c>
      <c r="Q1035" s="251">
        <v>0.57460112293847021</v>
      </c>
      <c r="R1035" s="2155"/>
      <c r="S1035" s="26"/>
      <c r="T1035" s="26"/>
      <c r="V1035" s="24"/>
      <c r="W1035" s="26"/>
      <c r="X1035" s="26"/>
      <c r="Y1035" s="525"/>
      <c r="Z1035" s="525"/>
      <c r="AA1035" s="525"/>
      <c r="AB1035" s="921"/>
      <c r="AC1035" s="26"/>
      <c r="AD1035" s="24"/>
      <c r="AE1035" s="26"/>
      <c r="AF1035" s="106"/>
      <c r="AG1035" s="37"/>
      <c r="AH1035" s="957"/>
      <c r="AI1035" s="1023"/>
      <c r="AJ1035" s="1023"/>
      <c r="AK1035" s="1023"/>
      <c r="AL1035" s="1023"/>
      <c r="AM1035" s="1023"/>
      <c r="AN1035" s="1023"/>
      <c r="AO1035" s="957"/>
      <c r="AP1035" s="957"/>
      <c r="AQ1035" s="957"/>
      <c r="AR1035" s="957"/>
      <c r="AS1035" s="957"/>
      <c r="AT1035" s="957"/>
      <c r="AU1035" s="957"/>
      <c r="AV1035" s="957"/>
      <c r="AW1035" s="957"/>
      <c r="AX1035" s="957"/>
      <c r="AY1035" s="957"/>
      <c r="AZ1035" s="957"/>
      <c r="BA1035" s="957"/>
      <c r="BB1035" s="957"/>
      <c r="BC1035" s="957"/>
      <c r="BD1035" s="957"/>
      <c r="BE1035" s="957"/>
      <c r="BF1035" s="957"/>
      <c r="BG1035" s="957"/>
    </row>
    <row r="1036" spans="1:59">
      <c r="A1036" s="2185"/>
      <c r="B1036" s="2194" t="s">
        <v>901</v>
      </c>
      <c r="C1036" s="2179" t="s">
        <v>11</v>
      </c>
      <c r="D1036" s="292" t="s">
        <v>33</v>
      </c>
      <c r="E1036" s="511">
        <v>2722</v>
      </c>
      <c r="F1036" s="233" t="s">
        <v>15</v>
      </c>
      <c r="G1036" s="233" t="s">
        <v>15</v>
      </c>
      <c r="H1036" s="513">
        <v>4.1447872858425798</v>
      </c>
      <c r="I1036" s="570">
        <v>3.7155199745783398</v>
      </c>
      <c r="J1036" s="234" t="s">
        <v>15</v>
      </c>
      <c r="K1036" s="233" t="s">
        <v>15</v>
      </c>
      <c r="L1036" s="234" t="s">
        <v>15</v>
      </c>
      <c r="M1036" s="233" t="s">
        <v>15</v>
      </c>
      <c r="N1036" s="1233">
        <v>6.7507000000000001</v>
      </c>
      <c r="O1036" s="528">
        <v>35.65</v>
      </c>
      <c r="P1036" s="528">
        <v>0.1893</v>
      </c>
      <c r="Q1036" s="195" t="s">
        <v>15</v>
      </c>
      <c r="R1036" s="128">
        <f>N1036</f>
        <v>6.7507000000000001</v>
      </c>
      <c r="S1036" s="26"/>
      <c r="T1036" s="26"/>
      <c r="V1036" s="24"/>
      <c r="W1036" s="26"/>
      <c r="X1036" s="26"/>
      <c r="Y1036" s="525"/>
      <c r="Z1036" s="525"/>
      <c r="AA1036" s="525"/>
      <c r="AB1036" s="921"/>
      <c r="AC1036" s="26"/>
      <c r="AD1036" s="24"/>
      <c r="AE1036" s="26"/>
      <c r="AF1036" s="106"/>
      <c r="AG1036" s="37"/>
      <c r="AH1036" s="957"/>
      <c r="AI1036" s="1023"/>
      <c r="AJ1036" s="1023"/>
      <c r="AK1036" s="1023"/>
      <c r="AL1036" s="1023"/>
      <c r="AM1036" s="1023"/>
      <c r="AN1036" s="1023"/>
      <c r="AO1036" s="957"/>
      <c r="AP1036" s="957"/>
      <c r="AQ1036" s="957"/>
      <c r="AR1036" s="957"/>
      <c r="AS1036" s="957"/>
      <c r="AT1036" s="957"/>
      <c r="AU1036" s="957"/>
      <c r="AV1036" s="957"/>
      <c r="AW1036" s="957"/>
      <c r="AX1036" s="957"/>
      <c r="AY1036" s="957"/>
      <c r="AZ1036" s="957"/>
      <c r="BA1036" s="957"/>
      <c r="BB1036" s="957"/>
      <c r="BC1036" s="957"/>
      <c r="BD1036" s="957"/>
      <c r="BE1036" s="957"/>
      <c r="BF1036" s="957"/>
      <c r="BG1036" s="957"/>
    </row>
    <row r="1037" spans="1:59">
      <c r="A1037" s="2185"/>
      <c r="B1037" s="2195"/>
      <c r="C1037" s="2180"/>
      <c r="D1037" s="292" t="s">
        <v>32</v>
      </c>
      <c r="E1037" s="511">
        <v>143</v>
      </c>
      <c r="F1037" s="233" t="s">
        <v>15</v>
      </c>
      <c r="G1037" s="233" t="s">
        <v>15</v>
      </c>
      <c r="H1037" s="513">
        <v>11.1947552447552</v>
      </c>
      <c r="I1037" s="570">
        <v>3.0307000768972401</v>
      </c>
      <c r="J1037" s="234" t="s">
        <v>15</v>
      </c>
      <c r="K1037" s="233" t="s">
        <v>15</v>
      </c>
      <c r="L1037" s="234" t="s">
        <v>15</v>
      </c>
      <c r="M1037" s="233" t="s">
        <v>15</v>
      </c>
      <c r="N1037" s="537">
        <v>0</v>
      </c>
      <c r="O1037" s="536" t="s">
        <v>574</v>
      </c>
      <c r="P1037" s="536" t="s">
        <v>574</v>
      </c>
      <c r="Q1037" s="195" t="s">
        <v>15</v>
      </c>
      <c r="R1037" s="128">
        <f>N1037</f>
        <v>0</v>
      </c>
      <c r="S1037" s="26"/>
      <c r="T1037" s="26"/>
      <c r="V1037" s="24"/>
      <c r="W1037" s="26"/>
      <c r="X1037" s="26"/>
      <c r="Y1037" s="525"/>
      <c r="Z1037" s="525"/>
      <c r="AA1037" s="525"/>
      <c r="AB1037" s="921"/>
      <c r="AC1037" s="26"/>
      <c r="AD1037" s="24"/>
      <c r="AE1037" s="26"/>
      <c r="AF1037" s="106"/>
      <c r="AG1037" s="37"/>
      <c r="AH1037" s="957"/>
      <c r="AI1037" s="1023"/>
      <c r="AJ1037" s="1023"/>
      <c r="AK1037" s="1023"/>
      <c r="AL1037" s="1023"/>
      <c r="AM1037" s="1023"/>
      <c r="AN1037" s="1023"/>
      <c r="AO1037" s="957"/>
      <c r="AP1037" s="957"/>
      <c r="AQ1037" s="957"/>
      <c r="AR1037" s="957"/>
      <c r="AS1037" s="957"/>
      <c r="AT1037" s="957"/>
      <c r="AU1037" s="957"/>
      <c r="AV1037" s="957"/>
      <c r="AW1037" s="957"/>
      <c r="AX1037" s="957"/>
      <c r="AY1037" s="957"/>
      <c r="AZ1037" s="957"/>
      <c r="BA1037" s="957"/>
      <c r="BB1037" s="957"/>
      <c r="BC1037" s="957"/>
      <c r="BD1037" s="957"/>
      <c r="BE1037" s="957"/>
      <c r="BF1037" s="957"/>
      <c r="BG1037" s="957"/>
    </row>
    <row r="1038" spans="1:59">
      <c r="A1038" s="2185"/>
      <c r="B1038" s="2194" t="s">
        <v>494</v>
      </c>
      <c r="C1038" s="2179" t="s">
        <v>11</v>
      </c>
      <c r="D1038" s="292" t="s">
        <v>33</v>
      </c>
      <c r="E1038" s="511">
        <v>2671</v>
      </c>
      <c r="F1038" s="233" t="s">
        <v>15</v>
      </c>
      <c r="G1038" s="233" t="s">
        <v>15</v>
      </c>
      <c r="H1038" s="513">
        <v>3.98797116887439</v>
      </c>
      <c r="I1038" s="570">
        <v>3.4100199688652899</v>
      </c>
      <c r="J1038" s="234" t="s">
        <v>15</v>
      </c>
      <c r="K1038" s="233" t="s">
        <v>15</v>
      </c>
      <c r="L1038" s="234" t="s">
        <v>15</v>
      </c>
      <c r="M1038" s="233" t="s">
        <v>15</v>
      </c>
      <c r="N1038" s="1233">
        <v>5.8051000000000004</v>
      </c>
      <c r="O1038" s="528">
        <v>42.95</v>
      </c>
      <c r="P1038" s="528">
        <v>0.1351</v>
      </c>
      <c r="Q1038" s="195" t="s">
        <v>15</v>
      </c>
      <c r="R1038" s="128">
        <f>N1038</f>
        <v>5.8051000000000004</v>
      </c>
      <c r="S1038" s="26"/>
      <c r="T1038" s="26"/>
      <c r="V1038" s="24"/>
      <c r="W1038" s="26"/>
      <c r="X1038" s="26"/>
      <c r="Y1038" s="525"/>
      <c r="Z1038" s="525"/>
      <c r="AA1038" s="525"/>
      <c r="AB1038" s="921"/>
      <c r="AC1038" s="26"/>
      <c r="AD1038" s="24"/>
      <c r="AE1038" s="26"/>
      <c r="AF1038" s="106"/>
      <c r="AG1038" s="37"/>
      <c r="AH1038" s="957"/>
      <c r="AI1038" s="1023"/>
      <c r="AJ1038" s="1023"/>
      <c r="AK1038" s="1023"/>
      <c r="AL1038" s="1023"/>
      <c r="AM1038" s="1023"/>
      <c r="AN1038" s="1023"/>
      <c r="AO1038" s="957"/>
      <c r="AP1038" s="957"/>
      <c r="AQ1038" s="957"/>
      <c r="AR1038" s="957"/>
      <c r="AS1038" s="957"/>
      <c r="AT1038" s="957"/>
      <c r="AU1038" s="957"/>
      <c r="AV1038" s="957"/>
      <c r="AW1038" s="957"/>
      <c r="AX1038" s="957"/>
      <c r="AY1038" s="957"/>
      <c r="AZ1038" s="957"/>
      <c r="BA1038" s="957"/>
      <c r="BB1038" s="957"/>
      <c r="BC1038" s="957"/>
      <c r="BD1038" s="957"/>
      <c r="BE1038" s="957"/>
      <c r="BF1038" s="957"/>
      <c r="BG1038" s="957"/>
    </row>
    <row r="1039" spans="1:59">
      <c r="A1039" s="2185"/>
      <c r="B1039" s="2195"/>
      <c r="C1039" s="2180"/>
      <c r="D1039" s="292" t="s">
        <v>32</v>
      </c>
      <c r="E1039" s="511">
        <v>194</v>
      </c>
      <c r="F1039" s="233" t="s">
        <v>15</v>
      </c>
      <c r="G1039" s="233" t="s">
        <v>15</v>
      </c>
      <c r="H1039" s="513">
        <v>11.500463917525799</v>
      </c>
      <c r="I1039" s="570">
        <v>4.7560682036487503</v>
      </c>
      <c r="J1039" s="234" t="s">
        <v>15</v>
      </c>
      <c r="K1039" s="233" t="s">
        <v>15</v>
      </c>
      <c r="L1039" s="234" t="s">
        <v>15</v>
      </c>
      <c r="M1039" s="233" t="s">
        <v>15</v>
      </c>
      <c r="N1039" s="537">
        <v>0</v>
      </c>
      <c r="O1039" s="536" t="s">
        <v>574</v>
      </c>
      <c r="P1039" s="536" t="s">
        <v>574</v>
      </c>
      <c r="Q1039" s="195" t="s">
        <v>15</v>
      </c>
      <c r="R1039" s="128">
        <f>N1039</f>
        <v>0</v>
      </c>
      <c r="S1039" s="26"/>
      <c r="T1039" s="26"/>
      <c r="V1039" s="24"/>
      <c r="W1039" s="26"/>
      <c r="X1039" s="26"/>
      <c r="Y1039" s="525"/>
      <c r="Z1039" s="525"/>
      <c r="AA1039" s="525"/>
      <c r="AB1039" s="921"/>
      <c r="AC1039" s="26"/>
      <c r="AD1039" s="24"/>
      <c r="AE1039" s="26"/>
      <c r="AF1039" s="106"/>
      <c r="AG1039" s="37"/>
      <c r="AH1039" s="957"/>
      <c r="AI1039" s="1023"/>
      <c r="AJ1039" s="1023"/>
      <c r="AK1039" s="1023"/>
      <c r="AL1039" s="1023"/>
      <c r="AM1039" s="1023"/>
      <c r="AN1039" s="1023"/>
      <c r="AO1039" s="957"/>
      <c r="AP1039" s="957"/>
      <c r="AQ1039" s="957"/>
      <c r="AR1039" s="957"/>
      <c r="AS1039" s="957"/>
      <c r="AT1039" s="957"/>
      <c r="AU1039" s="957"/>
      <c r="AV1039" s="957"/>
      <c r="AW1039" s="957"/>
      <c r="AX1039" s="957"/>
      <c r="AY1039" s="957"/>
      <c r="AZ1039" s="957"/>
      <c r="BA1039" s="957"/>
      <c r="BB1039" s="957"/>
      <c r="BC1039" s="957"/>
      <c r="BD1039" s="957"/>
      <c r="BE1039" s="957"/>
      <c r="BF1039" s="957"/>
      <c r="BG1039" s="957"/>
    </row>
    <row r="1040" spans="1:59">
      <c r="A1040" s="2185"/>
      <c r="B1040" s="2194" t="s">
        <v>1356</v>
      </c>
      <c r="C1040" s="2179" t="s">
        <v>11</v>
      </c>
      <c r="D1040" s="292" t="s">
        <v>33</v>
      </c>
      <c r="E1040" s="511">
        <v>946</v>
      </c>
      <c r="F1040" s="233" t="s">
        <v>15</v>
      </c>
      <c r="G1040" s="233" t="s">
        <v>15</v>
      </c>
      <c r="H1040" s="513">
        <v>3.1735792727943899</v>
      </c>
      <c r="I1040" s="570">
        <v>3.4195895432653298</v>
      </c>
      <c r="J1040" s="234" t="s">
        <v>15</v>
      </c>
      <c r="K1040" s="233" t="s">
        <v>15</v>
      </c>
      <c r="L1040" s="234" t="s">
        <v>15</v>
      </c>
      <c r="M1040" s="233" t="s">
        <v>15</v>
      </c>
      <c r="N1040" s="1233">
        <v>1.1145</v>
      </c>
      <c r="O1040" s="528">
        <v>14.52</v>
      </c>
      <c r="P1040" s="528">
        <v>7.6799999999999993E-2</v>
      </c>
      <c r="Q1040" s="251">
        <v>0.472787363941992</v>
      </c>
      <c r="R1040" s="2130">
        <f>SUMPRODUCT(N1040:N1041,Q1040:Q1041)</f>
        <v>0.52692151711335011</v>
      </c>
      <c r="S1040" s="26"/>
      <c r="T1040" s="26"/>
      <c r="V1040" s="24"/>
      <c r="W1040" s="26"/>
      <c r="X1040" s="26"/>
      <c r="Y1040" s="525"/>
      <c r="Z1040" s="525"/>
      <c r="AA1040" s="525"/>
      <c r="AB1040" s="921"/>
      <c r="AC1040" s="26"/>
      <c r="AD1040" s="24"/>
      <c r="AE1040" s="26"/>
      <c r="AF1040" s="106"/>
      <c r="AG1040" s="37"/>
      <c r="AH1040" s="957"/>
      <c r="AI1040" s="1023"/>
      <c r="AJ1040" s="1023"/>
      <c r="AK1040" s="1023"/>
      <c r="AL1040" s="1023"/>
      <c r="AM1040" s="1023"/>
      <c r="AN1040" s="1023"/>
      <c r="AO1040" s="957"/>
      <c r="AP1040" s="957"/>
      <c r="AQ1040" s="957"/>
      <c r="AR1040" s="957"/>
      <c r="AS1040" s="957"/>
      <c r="AT1040" s="957"/>
      <c r="AU1040" s="957"/>
      <c r="AV1040" s="957"/>
      <c r="AW1040" s="957"/>
      <c r="AX1040" s="957"/>
      <c r="AY1040" s="957"/>
      <c r="AZ1040" s="957"/>
      <c r="BA1040" s="957"/>
      <c r="BB1040" s="957"/>
      <c r="BC1040" s="957"/>
      <c r="BD1040" s="957"/>
      <c r="BE1040" s="957"/>
      <c r="BF1040" s="957"/>
      <c r="BG1040" s="957"/>
    </row>
    <row r="1041" spans="1:123">
      <c r="A1041" s="2185"/>
      <c r="B1041" s="2195"/>
      <c r="C1041" s="2180"/>
      <c r="D1041" s="292" t="s">
        <v>32</v>
      </c>
      <c r="E1041" s="511">
        <v>1919</v>
      </c>
      <c r="F1041" s="233" t="s">
        <v>15</v>
      </c>
      <c r="G1041" s="233" t="s">
        <v>15</v>
      </c>
      <c r="H1041" s="513">
        <v>5.1489082855654003</v>
      </c>
      <c r="I1041" s="570">
        <v>4.0908431590261296</v>
      </c>
      <c r="J1041" s="234" t="s">
        <v>15</v>
      </c>
      <c r="K1041" s="233" t="s">
        <v>15</v>
      </c>
      <c r="L1041" s="234" t="s">
        <v>15</v>
      </c>
      <c r="M1041" s="233" t="s">
        <v>15</v>
      </c>
      <c r="N1041" s="537">
        <v>0</v>
      </c>
      <c r="O1041" s="536" t="s">
        <v>574</v>
      </c>
      <c r="P1041" s="536" t="s">
        <v>574</v>
      </c>
      <c r="Q1041" s="251">
        <v>0.52721263605800806</v>
      </c>
      <c r="R1041" s="2155"/>
      <c r="S1041" s="26"/>
      <c r="T1041" s="26"/>
      <c r="V1041" s="24"/>
      <c r="W1041" s="26"/>
      <c r="X1041" s="26"/>
      <c r="Y1041" s="525"/>
      <c r="Z1041" s="525"/>
      <c r="AA1041" s="525"/>
      <c r="AB1041" s="921"/>
      <c r="AC1041" s="26"/>
      <c r="AD1041" s="24"/>
      <c r="AE1041" s="26"/>
      <c r="AF1041" s="106"/>
      <c r="AG1041" s="37"/>
      <c r="AH1041" s="957"/>
      <c r="AI1041" s="1023"/>
      <c r="AJ1041" s="1023"/>
      <c r="AK1041" s="1023"/>
      <c r="AL1041" s="1023"/>
      <c r="AM1041" s="1023"/>
      <c r="AN1041" s="1023"/>
      <c r="AO1041" s="957"/>
      <c r="AP1041" s="957"/>
      <c r="AQ1041" s="957"/>
      <c r="AR1041" s="957"/>
      <c r="AS1041" s="957"/>
      <c r="AT1041" s="957"/>
      <c r="AU1041" s="957"/>
      <c r="AV1041" s="957"/>
      <c r="AW1041" s="957"/>
      <c r="AX1041" s="957"/>
      <c r="AY1041" s="957"/>
      <c r="AZ1041" s="957"/>
      <c r="BA1041" s="957"/>
      <c r="BB1041" s="957"/>
      <c r="BC1041" s="957"/>
      <c r="BD1041" s="957"/>
      <c r="BE1041" s="957"/>
      <c r="BF1041" s="957"/>
      <c r="BG1041" s="957"/>
    </row>
    <row r="1042" spans="1:123">
      <c r="A1042" s="2185"/>
      <c r="B1042" s="2194" t="s">
        <v>915</v>
      </c>
      <c r="C1042" s="2179" t="s">
        <v>11</v>
      </c>
      <c r="D1042" s="292" t="s">
        <v>33</v>
      </c>
      <c r="E1042" s="511">
        <v>2858</v>
      </c>
      <c r="F1042" s="233" t="s">
        <v>15</v>
      </c>
      <c r="G1042" s="233" t="s">
        <v>15</v>
      </c>
      <c r="H1042" s="513">
        <v>4.5042848117786898</v>
      </c>
      <c r="I1042" s="570">
        <v>3.9929836107977601</v>
      </c>
      <c r="J1042" s="234" t="s">
        <v>15</v>
      </c>
      <c r="K1042" s="233" t="s">
        <v>15</v>
      </c>
      <c r="L1042" s="234" t="s">
        <v>15</v>
      </c>
      <c r="M1042" s="233" t="s">
        <v>15</v>
      </c>
      <c r="N1042" s="1233">
        <v>-3.5152999999999999</v>
      </c>
      <c r="O1042" s="528">
        <v>-5.4</v>
      </c>
      <c r="P1042" s="528">
        <v>0.65100000000000002</v>
      </c>
      <c r="Q1042" s="195" t="s">
        <v>15</v>
      </c>
      <c r="R1042" s="128">
        <f t="shared" ref="R1042:R1048" si="54">N1042</f>
        <v>-3.5152999999999999</v>
      </c>
      <c r="S1042" s="26"/>
      <c r="T1042" s="26"/>
      <c r="V1042" s="24"/>
      <c r="W1042" s="26"/>
      <c r="X1042" s="26"/>
      <c r="Y1042" s="525"/>
      <c r="Z1042" s="525"/>
      <c r="AA1042" s="525"/>
      <c r="AB1042" s="921"/>
      <c r="AC1042" s="26"/>
      <c r="AD1042" s="24"/>
      <c r="AE1042" s="26"/>
      <c r="AF1042" s="106"/>
      <c r="AG1042" s="37"/>
      <c r="AH1042" s="957"/>
      <c r="AI1042" s="1023"/>
      <c r="AJ1042" s="1023"/>
      <c r="AK1042" s="1023"/>
      <c r="AL1042" s="1023"/>
      <c r="AM1042" s="1023"/>
      <c r="AN1042" s="1023"/>
      <c r="AO1042" s="957"/>
      <c r="AP1042" s="957"/>
      <c r="AQ1042" s="957"/>
      <c r="AR1042" s="957"/>
      <c r="AS1042" s="957"/>
      <c r="AT1042" s="957"/>
      <c r="AU1042" s="957"/>
      <c r="AV1042" s="957"/>
      <c r="AW1042" s="957"/>
      <c r="AX1042" s="957"/>
      <c r="AY1042" s="957"/>
      <c r="AZ1042" s="957"/>
      <c r="BA1042" s="957"/>
      <c r="BB1042" s="957"/>
      <c r="BC1042" s="957"/>
      <c r="BD1042" s="957"/>
      <c r="BE1042" s="957"/>
      <c r="BF1042" s="957"/>
      <c r="BG1042" s="957"/>
    </row>
    <row r="1043" spans="1:123">
      <c r="A1043" s="2185"/>
      <c r="B1043" s="2195"/>
      <c r="C1043" s="2180"/>
      <c r="D1043" s="292" t="s">
        <v>32</v>
      </c>
      <c r="E1043" s="511">
        <v>7</v>
      </c>
      <c r="F1043" s="233" t="s">
        <v>15</v>
      </c>
      <c r="G1043" s="233" t="s">
        <v>15</v>
      </c>
      <c r="H1043" s="513">
        <v>1.38785714285714</v>
      </c>
      <c r="I1043" s="570">
        <v>0.40563589115175203</v>
      </c>
      <c r="J1043" s="234" t="s">
        <v>15</v>
      </c>
      <c r="K1043" s="233" t="s">
        <v>15</v>
      </c>
      <c r="L1043" s="234" t="s">
        <v>15</v>
      </c>
      <c r="M1043" s="233" t="s">
        <v>15</v>
      </c>
      <c r="N1043" s="537">
        <v>0</v>
      </c>
      <c r="O1043" s="536" t="s">
        <v>574</v>
      </c>
      <c r="P1043" s="536" t="s">
        <v>574</v>
      </c>
      <c r="Q1043" s="195" t="s">
        <v>15</v>
      </c>
      <c r="R1043" s="128">
        <f t="shared" si="54"/>
        <v>0</v>
      </c>
      <c r="S1043" s="26"/>
      <c r="T1043" s="26"/>
      <c r="V1043" s="24"/>
      <c r="W1043" s="26"/>
      <c r="X1043" s="26"/>
      <c r="Y1043" s="525"/>
      <c r="Z1043" s="525"/>
      <c r="AA1043" s="525"/>
      <c r="AB1043" s="921"/>
      <c r="AC1043" s="26"/>
      <c r="AD1043" s="24"/>
      <c r="AE1043" s="26"/>
      <c r="AF1043" s="106"/>
      <c r="AG1043" s="37"/>
      <c r="AH1043" s="957"/>
      <c r="AI1043" s="1023"/>
      <c r="AJ1043" s="1023"/>
      <c r="AK1043" s="1023"/>
      <c r="AL1043" s="1023"/>
      <c r="AM1043" s="1023"/>
      <c r="AN1043" s="1023"/>
      <c r="AO1043" s="957"/>
      <c r="AP1043" s="957"/>
      <c r="AQ1043" s="957"/>
      <c r="AR1043" s="957"/>
      <c r="AS1043" s="957"/>
      <c r="AT1043" s="957"/>
      <c r="AU1043" s="957"/>
      <c r="AV1043" s="957"/>
      <c r="AW1043" s="957"/>
      <c r="AX1043" s="957"/>
      <c r="AY1043" s="957"/>
      <c r="AZ1043" s="957"/>
      <c r="BA1043" s="957"/>
      <c r="BB1043" s="957"/>
      <c r="BC1043" s="957"/>
      <c r="BD1043" s="957"/>
      <c r="BE1043" s="957"/>
      <c r="BF1043" s="957"/>
      <c r="BG1043" s="957"/>
    </row>
    <row r="1044" spans="1:123">
      <c r="A1044" s="2185"/>
      <c r="B1044" s="2194" t="s">
        <v>916</v>
      </c>
      <c r="C1044" s="2179" t="s">
        <v>11</v>
      </c>
      <c r="D1044" s="292" t="s">
        <v>33</v>
      </c>
      <c r="E1044" s="511">
        <v>2801</v>
      </c>
      <c r="F1044" s="233" t="s">
        <v>15</v>
      </c>
      <c r="G1044" s="233" t="s">
        <v>15</v>
      </c>
      <c r="H1044" s="513">
        <v>4.5825634268940201</v>
      </c>
      <c r="I1044" s="570">
        <v>3.9892467239724998</v>
      </c>
      <c r="J1044" s="234" t="s">
        <v>15</v>
      </c>
      <c r="K1044" s="233" t="s">
        <v>15</v>
      </c>
      <c r="L1044" s="234" t="s">
        <v>15</v>
      </c>
      <c r="M1044" s="233" t="s">
        <v>15</v>
      </c>
      <c r="N1044" s="1233">
        <v>-1.8039000000000001</v>
      </c>
      <c r="O1044" s="528">
        <v>-7.34</v>
      </c>
      <c r="P1044" s="528">
        <v>0.2457</v>
      </c>
      <c r="Q1044" s="195" t="s">
        <v>15</v>
      </c>
      <c r="R1044" s="128">
        <f t="shared" si="54"/>
        <v>-1.8039000000000001</v>
      </c>
      <c r="S1044" s="26"/>
      <c r="T1044" s="26"/>
      <c r="V1044" s="24"/>
      <c r="W1044" s="26"/>
      <c r="X1044" s="26"/>
      <c r="Y1044" s="525"/>
      <c r="Z1044" s="525"/>
      <c r="AA1044" s="525"/>
      <c r="AB1044" s="921"/>
      <c r="AC1044" s="26"/>
      <c r="AD1044" s="24"/>
      <c r="AE1044" s="26"/>
      <c r="AF1044" s="106"/>
      <c r="AG1044" s="37"/>
      <c r="AH1044" s="957"/>
      <c r="AI1044" s="1023"/>
      <c r="AJ1044" s="1023"/>
      <c r="AK1044" s="1023"/>
      <c r="AL1044" s="1023"/>
      <c r="AM1044" s="1023"/>
      <c r="AN1044" s="1023"/>
      <c r="AO1044" s="957"/>
      <c r="AP1044" s="957"/>
      <c r="AQ1044" s="957"/>
      <c r="AR1044" s="957"/>
      <c r="AS1044" s="957"/>
      <c r="AT1044" s="957"/>
      <c r="AU1044" s="957"/>
      <c r="AV1044" s="957"/>
      <c r="AW1044" s="957"/>
      <c r="AX1044" s="957"/>
      <c r="AY1044" s="957"/>
      <c r="AZ1044" s="957"/>
      <c r="BA1044" s="957"/>
      <c r="BB1044" s="957"/>
      <c r="BC1044" s="957"/>
      <c r="BD1044" s="957"/>
      <c r="BE1044" s="957"/>
      <c r="BF1044" s="957"/>
      <c r="BG1044" s="957"/>
    </row>
    <row r="1045" spans="1:123">
      <c r="A1045" s="2185"/>
      <c r="B1045" s="2195"/>
      <c r="C1045" s="2180"/>
      <c r="D1045" s="292" t="s">
        <v>32</v>
      </c>
      <c r="E1045" s="511">
        <v>64</v>
      </c>
      <c r="F1045" s="233" t="s">
        <v>15</v>
      </c>
      <c r="G1045" s="233" t="s">
        <v>15</v>
      </c>
      <c r="H1045" s="513">
        <v>0.73751302083333303</v>
      </c>
      <c r="I1045" s="570">
        <v>1.4696077375902299</v>
      </c>
      <c r="J1045" s="234" t="s">
        <v>15</v>
      </c>
      <c r="K1045" s="233" t="s">
        <v>15</v>
      </c>
      <c r="L1045" s="234" t="s">
        <v>15</v>
      </c>
      <c r="M1045" s="233" t="s">
        <v>15</v>
      </c>
      <c r="N1045" s="537">
        <v>0</v>
      </c>
      <c r="O1045" s="536" t="s">
        <v>574</v>
      </c>
      <c r="P1045" s="536" t="s">
        <v>574</v>
      </c>
      <c r="Q1045" s="195" t="s">
        <v>15</v>
      </c>
      <c r="R1045" s="128">
        <f t="shared" si="54"/>
        <v>0</v>
      </c>
      <c r="S1045" s="26"/>
      <c r="T1045" s="26"/>
      <c r="V1045" s="24"/>
      <c r="W1045" s="26"/>
      <c r="X1045" s="347"/>
      <c r="Y1045" s="525"/>
      <c r="Z1045" s="525"/>
      <c r="AA1045" s="525"/>
      <c r="AB1045" s="921"/>
      <c r="AC1045" s="26"/>
      <c r="AD1045" s="24"/>
      <c r="AE1045" s="26"/>
      <c r="AF1045" s="106"/>
      <c r="AG1045" s="37"/>
      <c r="AH1045" s="957"/>
      <c r="AI1045" s="1023"/>
      <c r="AJ1045" s="1023"/>
      <c r="AK1045" s="1023"/>
      <c r="AL1045" s="1023"/>
      <c r="AM1045" s="1023"/>
      <c r="AN1045" s="1023"/>
      <c r="AO1045" s="957"/>
      <c r="AP1045" s="957"/>
      <c r="AQ1045" s="957"/>
      <c r="AR1045" s="957"/>
      <c r="AS1045" s="957"/>
      <c r="AT1045" s="957"/>
      <c r="AU1045" s="957"/>
      <c r="AV1045" s="957"/>
      <c r="AW1045" s="957"/>
      <c r="AX1045" s="957"/>
      <c r="AY1045" s="957"/>
      <c r="AZ1045" s="957"/>
      <c r="BA1045" s="957"/>
      <c r="BB1045" s="957"/>
      <c r="BC1045" s="957"/>
      <c r="BD1045" s="957"/>
      <c r="BE1045" s="957"/>
      <c r="BF1045" s="957"/>
      <c r="BG1045" s="957"/>
    </row>
    <row r="1046" spans="1:123">
      <c r="A1046" s="2185"/>
      <c r="B1046" s="827" t="s">
        <v>903</v>
      </c>
      <c r="C1046" s="981" t="s">
        <v>12</v>
      </c>
      <c r="D1046" s="508" t="s">
        <v>1298</v>
      </c>
      <c r="E1046" s="511">
        <v>2865</v>
      </c>
      <c r="F1046" s="487">
        <v>9.0531518324607294</v>
      </c>
      <c r="G1046" s="487">
        <v>1.91799339202955</v>
      </c>
      <c r="H1046" s="767">
        <v>4.4966705033380396</v>
      </c>
      <c r="I1046" s="768">
        <v>3.9911118099071499</v>
      </c>
      <c r="J1046" s="642" t="s">
        <v>14</v>
      </c>
      <c r="K1046" s="1158">
        <v>6</v>
      </c>
      <c r="L1046" s="642" t="s">
        <v>14</v>
      </c>
      <c r="M1046" s="1158">
        <v>10</v>
      </c>
      <c r="N1046" s="1233">
        <v>6.1600000000000002E-2</v>
      </c>
      <c r="O1046" s="528">
        <v>3.54</v>
      </c>
      <c r="P1046" s="528">
        <v>1.7399999999999999E-2</v>
      </c>
      <c r="Q1046" s="195" t="s">
        <v>15</v>
      </c>
      <c r="R1046" s="128">
        <f t="shared" si="54"/>
        <v>6.1600000000000002E-2</v>
      </c>
      <c r="S1046" s="26"/>
      <c r="T1046" s="26"/>
      <c r="V1046" s="24"/>
      <c r="W1046" s="26"/>
      <c r="X1046" s="347"/>
      <c r="Y1046" s="525"/>
      <c r="Z1046" s="525"/>
      <c r="AA1046" s="525"/>
      <c r="AB1046" s="921"/>
      <c r="AC1046" s="26"/>
      <c r="AD1046" s="24"/>
      <c r="AE1046" s="26"/>
      <c r="AF1046" s="106"/>
      <c r="AG1046" s="37"/>
      <c r="AH1046" s="957"/>
      <c r="AI1046" s="1023"/>
      <c r="AJ1046" s="1023"/>
      <c r="AK1046" s="1023"/>
      <c r="AL1046" s="1023"/>
      <c r="AM1046" s="1023"/>
      <c r="AN1046" s="1023"/>
      <c r="AO1046" s="957"/>
      <c r="AP1046" s="957"/>
      <c r="AQ1046" s="957"/>
      <c r="AR1046" s="957"/>
      <c r="AS1046" s="957"/>
      <c r="AT1046" s="957"/>
      <c r="AU1046" s="957"/>
      <c r="AV1046" s="957"/>
      <c r="AW1046" s="957"/>
      <c r="AX1046" s="957"/>
      <c r="AY1046" s="957"/>
      <c r="AZ1046" s="957"/>
      <c r="BA1046" s="957"/>
      <c r="BB1046" s="957"/>
      <c r="BC1046" s="957"/>
      <c r="BD1046" s="957"/>
      <c r="BE1046" s="957"/>
      <c r="BF1046" s="957"/>
      <c r="BG1046" s="957"/>
    </row>
    <row r="1047" spans="1:123" s="622" customFormat="1" ht="30">
      <c r="A1047" s="2185"/>
      <c r="B1047" s="826" t="s">
        <v>533</v>
      </c>
      <c r="C1047" s="981" t="s">
        <v>12</v>
      </c>
      <c r="D1047" s="643" t="s">
        <v>1299</v>
      </c>
      <c r="E1047" s="644">
        <v>2722</v>
      </c>
      <c r="F1047" s="645">
        <v>17.253122703894199</v>
      </c>
      <c r="G1047" s="645">
        <v>6.3182356980631598</v>
      </c>
      <c r="H1047" s="769">
        <v>4.1447872858425798</v>
      </c>
      <c r="I1047" s="770">
        <v>3.7155199745783398</v>
      </c>
      <c r="J1047" s="646" t="s">
        <v>14</v>
      </c>
      <c r="K1047" s="1157" t="s">
        <v>1084</v>
      </c>
      <c r="L1047" s="646" t="s">
        <v>12</v>
      </c>
      <c r="M1047" s="1179" t="s">
        <v>1083</v>
      </c>
      <c r="N1047" s="1233">
        <v>6.6500000000000004E-2</v>
      </c>
      <c r="O1047" s="528">
        <v>10.050000000000001</v>
      </c>
      <c r="P1047" s="528">
        <v>6.6E-3</v>
      </c>
      <c r="Q1047" s="208" t="s">
        <v>15</v>
      </c>
      <c r="R1047" s="634">
        <f t="shared" si="54"/>
        <v>6.6500000000000004E-2</v>
      </c>
      <c r="S1047" s="174"/>
      <c r="T1047" s="174"/>
      <c r="U1047" s="859"/>
      <c r="V1047" s="618"/>
      <c r="W1047" s="174"/>
      <c r="X1047" s="647"/>
      <c r="Y1047" s="648"/>
      <c r="Z1047" s="648"/>
      <c r="AA1047" s="648"/>
      <c r="AB1047" s="928"/>
      <c r="AC1047" s="174"/>
      <c r="AD1047" s="618"/>
      <c r="AE1047" s="174"/>
      <c r="AF1047" s="318"/>
      <c r="AG1047" s="174"/>
      <c r="AH1047" s="962"/>
      <c r="AI1047" s="1038"/>
      <c r="AJ1047" s="1038"/>
      <c r="AK1047" s="1038"/>
      <c r="AL1047" s="1038"/>
      <c r="AM1047" s="1038"/>
      <c r="AN1047" s="1038"/>
      <c r="AO1047" s="962"/>
      <c r="AP1047" s="962"/>
      <c r="AQ1047" s="962"/>
      <c r="AR1047" s="962"/>
      <c r="AS1047" s="962"/>
      <c r="AT1047" s="962"/>
      <c r="AU1047" s="962"/>
      <c r="AV1047" s="962"/>
      <c r="AW1047" s="962"/>
      <c r="AX1047" s="962"/>
      <c r="AY1047" s="962"/>
      <c r="AZ1047" s="962"/>
      <c r="BA1047" s="962"/>
      <c r="BB1047" s="962"/>
      <c r="BC1047" s="962"/>
      <c r="BD1047" s="962"/>
      <c r="BE1047" s="962"/>
      <c r="BF1047" s="962"/>
      <c r="BG1047" s="962"/>
      <c r="BH1047" s="1131"/>
      <c r="CF1047" s="620"/>
      <c r="CG1047" s="620"/>
      <c r="CH1047" s="620"/>
      <c r="CI1047" s="620"/>
      <c r="CJ1047" s="620"/>
      <c r="CK1047" s="620"/>
      <c r="CL1047" s="620"/>
      <c r="CM1047" s="620"/>
      <c r="CN1047" s="620"/>
      <c r="CO1047" s="620"/>
      <c r="CP1047" s="620"/>
      <c r="CQ1047" s="620"/>
      <c r="CR1047" s="620"/>
      <c r="CS1047" s="620"/>
      <c r="CT1047" s="620"/>
      <c r="CU1047" s="620"/>
      <c r="CV1047" s="620"/>
      <c r="CW1047" s="620"/>
      <c r="CX1047" s="620"/>
      <c r="CY1047" s="620"/>
      <c r="CZ1047" s="620"/>
      <c r="DA1047" s="620"/>
      <c r="DB1047" s="620"/>
      <c r="DC1047" s="620"/>
      <c r="DD1047" s="620"/>
      <c r="DE1047" s="620"/>
      <c r="DF1047" s="620"/>
      <c r="DG1047" s="620"/>
      <c r="DH1047" s="620"/>
      <c r="DI1047" s="621"/>
      <c r="DJ1047" s="620"/>
      <c r="DK1047" s="620"/>
      <c r="DL1047" s="620"/>
      <c r="DM1047" s="620"/>
      <c r="DN1047" s="620"/>
      <c r="DO1047" s="620"/>
      <c r="DP1047" s="620"/>
      <c r="DQ1047" s="620"/>
      <c r="DR1047" s="620"/>
      <c r="DS1047" s="620"/>
    </row>
    <row r="1048" spans="1:123" ht="15.75" thickBot="1">
      <c r="A1048" s="2185"/>
      <c r="B1048" s="987" t="s">
        <v>918</v>
      </c>
      <c r="C1048" s="989" t="s">
        <v>12</v>
      </c>
      <c r="D1048" s="292" t="s">
        <v>1300</v>
      </c>
      <c r="E1048" s="511">
        <v>2722</v>
      </c>
      <c r="F1048" s="440">
        <v>0.41623806024981602</v>
      </c>
      <c r="G1048" s="440">
        <v>2.0919160023114101</v>
      </c>
      <c r="H1048" s="513">
        <v>4.1447872858425798</v>
      </c>
      <c r="I1048" s="570">
        <v>3.7155199745783398</v>
      </c>
      <c r="J1048" s="234" t="s">
        <v>15</v>
      </c>
      <c r="K1048" s="233" t="s">
        <v>15</v>
      </c>
      <c r="L1048" s="234" t="s">
        <v>15</v>
      </c>
      <c r="M1048" s="233" t="s">
        <v>15</v>
      </c>
      <c r="N1048" s="1234">
        <v>9.35E-2</v>
      </c>
      <c r="O1048" s="532">
        <v>4.6900000000000004</v>
      </c>
      <c r="P1048" s="532">
        <v>1.9900000000000001E-2</v>
      </c>
      <c r="Q1048" s="520" t="s">
        <v>15</v>
      </c>
      <c r="R1048" s="128">
        <f t="shared" si="54"/>
        <v>9.35E-2</v>
      </c>
      <c r="S1048" s="26"/>
      <c r="T1048" s="26"/>
      <c r="V1048" s="24"/>
      <c r="W1048" s="26"/>
      <c r="X1048" s="26"/>
      <c r="Y1048" s="525"/>
      <c r="Z1048" s="525"/>
      <c r="AA1048" s="525"/>
      <c r="AB1048" s="921"/>
      <c r="AC1048" s="26"/>
      <c r="AD1048" s="24"/>
      <c r="AE1048" s="26"/>
      <c r="AF1048" s="106"/>
      <c r="AG1048" s="37"/>
      <c r="AH1048" s="957"/>
      <c r="AI1048" s="1023"/>
      <c r="AJ1048" s="1023"/>
      <c r="AK1048" s="1023"/>
      <c r="AL1048" s="1023"/>
      <c r="AM1048" s="1023"/>
      <c r="AN1048" s="1023"/>
      <c r="AO1048" s="957"/>
      <c r="AP1048" s="957"/>
      <c r="AQ1048" s="957"/>
      <c r="AR1048" s="957"/>
      <c r="AS1048" s="957"/>
      <c r="AT1048" s="957"/>
      <c r="AU1048" s="957"/>
      <c r="AV1048" s="957"/>
      <c r="AW1048" s="957"/>
      <c r="AX1048" s="957"/>
      <c r="AY1048" s="957"/>
      <c r="AZ1048" s="957"/>
      <c r="BA1048" s="957"/>
      <c r="BB1048" s="957"/>
      <c r="BC1048" s="957"/>
      <c r="BD1048" s="957"/>
      <c r="BE1048" s="957"/>
      <c r="BF1048" s="957"/>
      <c r="BG1048" s="957"/>
    </row>
    <row r="1049" spans="1:123" s="692" customFormat="1" ht="9" customHeight="1" thickBot="1">
      <c r="A1049" s="695"/>
      <c r="B1049" s="815"/>
      <c r="C1049" s="684"/>
      <c r="D1049" s="683"/>
      <c r="E1049" s="707"/>
      <c r="F1049" s="708"/>
      <c r="G1049" s="708"/>
      <c r="H1049" s="709"/>
      <c r="I1049" s="709"/>
      <c r="J1049" s="682"/>
      <c r="K1049" s="683"/>
      <c r="L1049" s="682"/>
      <c r="M1049" s="685"/>
      <c r="N1049" s="1189"/>
      <c r="O1049" s="686"/>
      <c r="P1049" s="686"/>
      <c r="Q1049" s="687"/>
      <c r="R1049" s="687"/>
      <c r="S1049" s="688"/>
      <c r="T1049" s="688"/>
      <c r="U1049" s="854"/>
      <c r="V1049" s="893"/>
      <c r="W1049" s="685"/>
      <c r="X1049" s="685"/>
      <c r="Y1049" s="710"/>
      <c r="Z1049" s="710"/>
      <c r="AA1049" s="710"/>
      <c r="AB1049" s="921"/>
      <c r="AC1049" s="690"/>
      <c r="AD1049" s="690"/>
      <c r="AE1049" s="690"/>
      <c r="AF1049" s="711"/>
      <c r="AG1049" s="690"/>
      <c r="AH1049" s="959"/>
      <c r="AI1049" s="959"/>
      <c r="AJ1049" s="959"/>
      <c r="AK1049" s="959"/>
      <c r="AL1049" s="959"/>
      <c r="AM1049" s="959"/>
      <c r="AN1049" s="959"/>
      <c r="AO1049" s="959"/>
      <c r="AP1049" s="959"/>
      <c r="AQ1049" s="959"/>
      <c r="AR1049" s="959"/>
      <c r="AS1049" s="959"/>
      <c r="AT1049" s="959"/>
      <c r="AU1049" s="959"/>
      <c r="AV1049" s="959"/>
      <c r="AW1049" s="959"/>
      <c r="AX1049" s="959"/>
      <c r="AY1049" s="959"/>
      <c r="AZ1049" s="959"/>
      <c r="BA1049" s="959"/>
      <c r="BB1049" s="959"/>
      <c r="BC1049" s="959"/>
      <c r="BD1049" s="959"/>
      <c r="BE1049" s="959"/>
      <c r="BF1049" s="959"/>
      <c r="BG1049" s="959"/>
      <c r="BH1049" s="1125"/>
      <c r="DI1049" s="693"/>
    </row>
    <row r="1050" spans="1:123" ht="15" customHeight="1">
      <c r="A1050" s="2184" t="s">
        <v>919</v>
      </c>
      <c r="B1050" s="2194" t="s">
        <v>889</v>
      </c>
      <c r="C1050" s="2179" t="s">
        <v>13</v>
      </c>
      <c r="D1050" s="292" t="s">
        <v>890</v>
      </c>
      <c r="E1050" s="511">
        <v>462</v>
      </c>
      <c r="F1050" s="233" t="s">
        <v>15</v>
      </c>
      <c r="G1050" s="233" t="s">
        <v>15</v>
      </c>
      <c r="H1050" s="513">
        <v>6.5435137085137098</v>
      </c>
      <c r="I1050" s="570">
        <v>3.9054063851837801</v>
      </c>
      <c r="J1050" s="234" t="s">
        <v>15</v>
      </c>
      <c r="K1050" s="233" t="s">
        <v>15</v>
      </c>
      <c r="L1050" s="234" t="s">
        <v>15</v>
      </c>
      <c r="M1050" s="233" t="s">
        <v>15</v>
      </c>
      <c r="N1050" s="537">
        <v>0</v>
      </c>
      <c r="O1050" s="536" t="s">
        <v>574</v>
      </c>
      <c r="P1050" s="126" t="s">
        <v>574</v>
      </c>
      <c r="Q1050" s="527">
        <v>0.24233951144942334</v>
      </c>
      <c r="R1050" s="2152">
        <f>SUMPRODUCT(N1050:N1055,Q1050:Q1055)</f>
        <v>0.22669576292256455</v>
      </c>
      <c r="S1050" s="531" t="s">
        <v>68</v>
      </c>
      <c r="T1050" s="505" t="s">
        <v>69</v>
      </c>
      <c r="U1050" s="881"/>
      <c r="V1050" s="2243" t="s">
        <v>2698</v>
      </c>
      <c r="W1050" s="219" t="s">
        <v>47</v>
      </c>
      <c r="X1050" s="492" t="s">
        <v>1014</v>
      </c>
      <c r="Y1050" s="533">
        <f>T989+R982+R988+R990+R992+R994*2+R995*60</f>
        <v>6.1587992647146574</v>
      </c>
      <c r="Z1050" s="95" t="s">
        <v>40</v>
      </c>
      <c r="AA1050" s="117" t="s">
        <v>40</v>
      </c>
      <c r="AB1050" s="846"/>
      <c r="AC1050" s="26"/>
      <c r="AD1050" s="24"/>
      <c r="AE1050" s="26"/>
      <c r="AF1050" s="106"/>
      <c r="AG1050" s="37"/>
      <c r="AH1050" s="957"/>
      <c r="AI1050" s="1023"/>
      <c r="AJ1050" s="1023"/>
      <c r="AK1050" s="1023"/>
      <c r="AL1050" s="1023"/>
      <c r="AM1050" s="1023"/>
      <c r="AN1050" s="1023"/>
      <c r="AO1050" s="957"/>
      <c r="AP1050" s="957"/>
      <c r="AQ1050" s="957"/>
      <c r="AR1050" s="957"/>
      <c r="AS1050" s="957"/>
      <c r="AT1050" s="957"/>
      <c r="AU1050" s="957"/>
      <c r="AV1050" s="957"/>
      <c r="AW1050" s="957"/>
      <c r="AX1050" s="957"/>
      <c r="AY1050" s="957"/>
      <c r="AZ1050" s="957"/>
      <c r="BA1050" s="957"/>
      <c r="BB1050" s="957"/>
      <c r="BC1050" s="957"/>
      <c r="BD1050" s="957"/>
      <c r="BE1050" s="957"/>
      <c r="BF1050" s="957"/>
      <c r="BG1050" s="957"/>
    </row>
    <row r="1051" spans="1:123">
      <c r="A1051" s="2185"/>
      <c r="B1051" s="2199"/>
      <c r="C1051" s="2187"/>
      <c r="D1051" s="291" t="s">
        <v>891</v>
      </c>
      <c r="E1051" s="511">
        <v>118</v>
      </c>
      <c r="F1051" s="233" t="s">
        <v>15</v>
      </c>
      <c r="G1051" s="233" t="s">
        <v>15</v>
      </c>
      <c r="H1051" s="513">
        <v>12.089661016949201</v>
      </c>
      <c r="I1051" s="570">
        <v>3.4634916259582198</v>
      </c>
      <c r="J1051" s="234" t="s">
        <v>15</v>
      </c>
      <c r="K1051" s="233" t="s">
        <v>15</v>
      </c>
      <c r="L1051" s="234" t="s">
        <v>15</v>
      </c>
      <c r="M1051" s="233" t="s">
        <v>15</v>
      </c>
      <c r="N1051" s="1232">
        <v>2.7381000000000002</v>
      </c>
      <c r="O1051" s="517">
        <v>11.61</v>
      </c>
      <c r="P1051" s="522">
        <v>0.2359</v>
      </c>
      <c r="Q1051" s="529">
        <v>9.666206954273078E-2</v>
      </c>
      <c r="R1051" s="2153"/>
      <c r="S1051" s="46" t="s">
        <v>892</v>
      </c>
      <c r="T1051" s="451" t="s">
        <v>893</v>
      </c>
      <c r="U1051" s="882"/>
      <c r="V1051" s="2244"/>
      <c r="W1051" s="982" t="s">
        <v>49</v>
      </c>
      <c r="X1051" s="494" t="s">
        <v>1012</v>
      </c>
      <c r="Y1051" s="526">
        <f>T1057+R1050+R1056+R1060+R1064*15</f>
        <v>7.8351715487045137</v>
      </c>
      <c r="Z1051" s="526">
        <f>Y1051-Y1050</f>
        <v>1.6763722839898563</v>
      </c>
      <c r="AA1051" s="580"/>
      <c r="AB1051" s="921"/>
      <c r="AC1051" s="26"/>
      <c r="AD1051" s="24"/>
      <c r="AE1051" s="26"/>
      <c r="AF1051" s="106"/>
      <c r="AG1051" s="37"/>
      <c r="AH1051" s="957"/>
      <c r="AI1051" s="1023"/>
      <c r="AJ1051" s="1023"/>
      <c r="AK1051" s="1023"/>
      <c r="AL1051" s="1023"/>
      <c r="AM1051" s="1023"/>
      <c r="AN1051" s="1023"/>
      <c r="AO1051" s="957"/>
      <c r="AP1051" s="957"/>
      <c r="AQ1051" s="957"/>
      <c r="AR1051" s="957"/>
      <c r="AS1051" s="957"/>
      <c r="AT1051" s="957"/>
      <c r="AU1051" s="957"/>
      <c r="AV1051" s="957"/>
      <c r="AW1051" s="957"/>
      <c r="AX1051" s="957"/>
      <c r="AY1051" s="957"/>
      <c r="AZ1051" s="957"/>
      <c r="BA1051" s="957"/>
      <c r="BB1051" s="957"/>
      <c r="BC1051" s="957"/>
      <c r="BD1051" s="957"/>
      <c r="BE1051" s="957"/>
      <c r="BF1051" s="957"/>
      <c r="BG1051" s="957"/>
    </row>
    <row r="1052" spans="1:123">
      <c r="A1052" s="2185"/>
      <c r="B1052" s="2199"/>
      <c r="C1052" s="2187"/>
      <c r="D1052" s="292" t="s">
        <v>894</v>
      </c>
      <c r="E1052" s="511">
        <v>37</v>
      </c>
      <c r="F1052" s="233" t="s">
        <v>15</v>
      </c>
      <c r="G1052" s="233" t="s">
        <v>15</v>
      </c>
      <c r="H1052" s="513">
        <v>10.1791891891892</v>
      </c>
      <c r="I1052" s="570">
        <v>3.4021058661253201</v>
      </c>
      <c r="J1052" s="234" t="s">
        <v>15</v>
      </c>
      <c r="K1052" s="233" t="s">
        <v>15</v>
      </c>
      <c r="L1052" s="234" t="s">
        <v>15</v>
      </c>
      <c r="M1052" s="233" t="s">
        <v>15</v>
      </c>
      <c r="N1052" s="1232">
        <v>0.63890000000000002</v>
      </c>
      <c r="O1052" s="517">
        <v>1.68</v>
      </c>
      <c r="P1052" s="522">
        <v>0.37969999999999998</v>
      </c>
      <c r="Q1052" s="529">
        <v>0.20857495927514369</v>
      </c>
      <c r="R1052" s="2153"/>
      <c r="S1052" s="531" t="s">
        <v>72</v>
      </c>
      <c r="T1052" s="416" t="s">
        <v>119</v>
      </c>
      <c r="U1052" s="876"/>
      <c r="V1052" s="2244"/>
      <c r="W1052" s="982" t="s">
        <v>47</v>
      </c>
      <c r="X1052" s="494" t="s">
        <v>1015</v>
      </c>
      <c r="Y1052" s="526">
        <f>T989+R982+R988+R990+R992+R994*2+R995*90</f>
        <v>6.4707992647146577</v>
      </c>
      <c r="Z1052" s="95" t="s">
        <v>40</v>
      </c>
      <c r="AA1052" s="117" t="s">
        <v>40</v>
      </c>
      <c r="AB1052" s="846"/>
      <c r="AC1052" s="26"/>
      <c r="AD1052" s="24"/>
      <c r="AE1052" s="26"/>
      <c r="AF1052" s="106"/>
      <c r="AG1052" s="37"/>
      <c r="AH1052" s="957"/>
      <c r="AI1052" s="1023"/>
      <c r="AJ1052" s="1023"/>
      <c r="AK1052" s="1023"/>
      <c r="AL1052" s="1023"/>
      <c r="AM1052" s="1023"/>
      <c r="AN1052" s="1023"/>
      <c r="AO1052" s="957"/>
      <c r="AP1052" s="957"/>
      <c r="AQ1052" s="957"/>
      <c r="AR1052" s="957"/>
      <c r="AS1052" s="957"/>
      <c r="AT1052" s="957"/>
      <c r="AU1052" s="957"/>
      <c r="AV1052" s="957"/>
      <c r="AW1052" s="957"/>
      <c r="AX1052" s="957"/>
      <c r="AY1052" s="957"/>
      <c r="AZ1052" s="957"/>
      <c r="BA1052" s="957"/>
      <c r="BB1052" s="957"/>
      <c r="BC1052" s="957"/>
      <c r="BD1052" s="957"/>
      <c r="BE1052" s="957"/>
      <c r="BF1052" s="957"/>
      <c r="BG1052" s="957"/>
    </row>
    <row r="1053" spans="1:123">
      <c r="A1053" s="2185"/>
      <c r="B1053" s="2199"/>
      <c r="C1053" s="2187"/>
      <c r="D1053" s="292" t="s">
        <v>895</v>
      </c>
      <c r="E1053" s="511">
        <v>166</v>
      </c>
      <c r="F1053" s="233" t="s">
        <v>15</v>
      </c>
      <c r="G1053" s="233" t="s">
        <v>15</v>
      </c>
      <c r="H1053" s="513">
        <v>10.483433734939799</v>
      </c>
      <c r="I1053" s="570">
        <v>4.6982073259276804</v>
      </c>
      <c r="J1053" s="234" t="s">
        <v>15</v>
      </c>
      <c r="K1053" s="233" t="s">
        <v>15</v>
      </c>
      <c r="L1053" s="234" t="s">
        <v>15</v>
      </c>
      <c r="M1053" s="233" t="s">
        <v>15</v>
      </c>
      <c r="N1053" s="1232">
        <v>1.5961000000000001</v>
      </c>
      <c r="O1053" s="517">
        <v>7.89</v>
      </c>
      <c r="P1053" s="522">
        <v>0.20219999999999999</v>
      </c>
      <c r="Q1053" s="529">
        <v>0.11191288973241292</v>
      </c>
      <c r="R1053" s="2153"/>
      <c r="S1053" s="506" t="s">
        <v>73</v>
      </c>
      <c r="T1053" s="507" t="s">
        <v>140</v>
      </c>
      <c r="U1053" s="883"/>
      <c r="V1053" s="2245"/>
      <c r="W1053" s="982" t="s">
        <v>49</v>
      </c>
      <c r="X1053" s="494" t="s">
        <v>1013</v>
      </c>
      <c r="Y1053" s="526">
        <f>T1057+R1050+R1056+R1060+R1064*25</f>
        <v>9.3081715487045145</v>
      </c>
      <c r="Z1053" s="526">
        <f>Y1053-Y1052</f>
        <v>2.8373722839898567</v>
      </c>
      <c r="AA1053" s="580"/>
      <c r="AB1053" s="921"/>
      <c r="AC1053" s="26"/>
      <c r="AD1053" s="24"/>
      <c r="AE1053" s="26"/>
      <c r="AF1053" s="106"/>
      <c r="AG1053" s="37"/>
      <c r="AH1053" s="957"/>
      <c r="AI1053" s="1023"/>
      <c r="AJ1053" s="1023"/>
      <c r="AK1053" s="1023"/>
      <c r="AL1053" s="1023"/>
      <c r="AM1053" s="1023"/>
      <c r="AN1053" s="1023"/>
      <c r="AO1053" s="957"/>
      <c r="AP1053" s="957"/>
      <c r="AQ1053" s="957"/>
      <c r="AR1053" s="957"/>
      <c r="AS1053" s="957"/>
      <c r="AT1053" s="957"/>
      <c r="AU1053" s="957"/>
      <c r="AV1053" s="957"/>
      <c r="AW1053" s="957"/>
      <c r="AX1053" s="957"/>
      <c r="AY1053" s="957"/>
      <c r="AZ1053" s="957"/>
      <c r="BA1053" s="957"/>
      <c r="BB1053" s="957"/>
      <c r="BC1053" s="957"/>
      <c r="BD1053" s="957"/>
      <c r="BE1053" s="957"/>
      <c r="BF1053" s="957"/>
      <c r="BG1053" s="957"/>
    </row>
    <row r="1054" spans="1:123">
      <c r="A1054" s="2185"/>
      <c r="B1054" s="2199"/>
      <c r="C1054" s="2187"/>
      <c r="D1054" s="292" t="s">
        <v>896</v>
      </c>
      <c r="E1054" s="511">
        <v>163</v>
      </c>
      <c r="F1054" s="233" t="s">
        <v>15</v>
      </c>
      <c r="G1054" s="233" t="s">
        <v>15</v>
      </c>
      <c r="H1054" s="513">
        <v>8.2164723926380407</v>
      </c>
      <c r="I1054" s="570">
        <v>4.1601341729800101</v>
      </c>
      <c r="J1054" s="234" t="s">
        <v>15</v>
      </c>
      <c r="K1054" s="233" t="s">
        <v>15</v>
      </c>
      <c r="L1054" s="234" t="s">
        <v>15</v>
      </c>
      <c r="M1054" s="233" t="s">
        <v>15</v>
      </c>
      <c r="N1054" s="1232">
        <v>0.1027</v>
      </c>
      <c r="O1054" s="517">
        <v>0.5</v>
      </c>
      <c r="P1054" s="522">
        <v>0.20369999999999999</v>
      </c>
      <c r="Q1054" s="529">
        <v>0.18971598143672741</v>
      </c>
      <c r="R1054" s="2153"/>
      <c r="S1054" s="531" t="s">
        <v>74</v>
      </c>
      <c r="T1054" s="505" t="s">
        <v>75</v>
      </c>
      <c r="U1054" s="881"/>
      <c r="V1054" s="24"/>
      <c r="W1054" s="26"/>
      <c r="X1054" s="26"/>
      <c r="Y1054" s="525"/>
      <c r="Z1054" s="525"/>
      <c r="AA1054" s="525"/>
      <c r="AB1054" s="921"/>
      <c r="AC1054" s="26"/>
      <c r="AD1054" s="24"/>
      <c r="AE1054" s="26"/>
      <c r="AF1054" s="106"/>
      <c r="AG1054" s="37"/>
      <c r="AH1054" s="957"/>
      <c r="AI1054" s="1023"/>
      <c r="AJ1054" s="1023"/>
      <c r="AK1054" s="1023"/>
      <c r="AL1054" s="1023"/>
      <c r="AM1054" s="1023"/>
      <c r="AN1054" s="1023"/>
      <c r="AO1054" s="957"/>
      <c r="AP1054" s="957"/>
      <c r="AQ1054" s="957"/>
      <c r="AR1054" s="957"/>
      <c r="AS1054" s="957"/>
      <c r="AT1054" s="957"/>
      <c r="AU1054" s="957"/>
      <c r="AV1054" s="957"/>
      <c r="AW1054" s="957"/>
      <c r="AX1054" s="957"/>
      <c r="AY1054" s="957"/>
      <c r="AZ1054" s="957"/>
      <c r="BA1054" s="957"/>
      <c r="BB1054" s="957"/>
      <c r="BC1054" s="957"/>
      <c r="BD1054" s="957"/>
      <c r="BE1054" s="957"/>
      <c r="BF1054" s="957"/>
      <c r="BG1054" s="957"/>
    </row>
    <row r="1055" spans="1:123">
      <c r="A1055" s="2185"/>
      <c r="B1055" s="2195"/>
      <c r="C1055" s="2180"/>
      <c r="D1055" s="292" t="s">
        <v>897</v>
      </c>
      <c r="E1055" s="511">
        <v>73</v>
      </c>
      <c r="F1055" s="233" t="s">
        <v>15</v>
      </c>
      <c r="G1055" s="233" t="s">
        <v>15</v>
      </c>
      <c r="H1055" s="513">
        <v>0.95101598173516</v>
      </c>
      <c r="I1055" s="570">
        <v>0.50516694172889798</v>
      </c>
      <c r="J1055" s="234" t="s">
        <v>15</v>
      </c>
      <c r="K1055" s="233" t="s">
        <v>15</v>
      </c>
      <c r="L1055" s="234" t="s">
        <v>15</v>
      </c>
      <c r="M1055" s="233" t="s">
        <v>15</v>
      </c>
      <c r="N1055" s="1232">
        <v>-2.4493</v>
      </c>
      <c r="O1055" s="517">
        <v>-7.26</v>
      </c>
      <c r="P1055" s="522">
        <v>0.33760000000000001</v>
      </c>
      <c r="Q1055" s="529">
        <v>0.15079458856356187</v>
      </c>
      <c r="R1055" s="2154"/>
      <c r="S1055" s="396">
        <v>1019</v>
      </c>
      <c r="T1055" s="507" t="s">
        <v>140</v>
      </c>
      <c r="U1055" s="883"/>
      <c r="V1055" s="24"/>
      <c r="W1055" s="26"/>
      <c r="X1055" s="26"/>
      <c r="Y1055" s="525"/>
      <c r="Z1055" s="525"/>
      <c r="AA1055" s="525"/>
      <c r="AB1055" s="921"/>
      <c r="AC1055" s="26"/>
      <c r="AD1055" s="24"/>
      <c r="AE1055" s="26"/>
      <c r="AF1055" s="106"/>
      <c r="AG1055" s="37"/>
      <c r="AH1055" s="957"/>
      <c r="AI1055" s="1023"/>
      <c r="AJ1055" s="1023"/>
      <c r="AK1055" s="1023"/>
      <c r="AL1055" s="1023"/>
      <c r="AM1055" s="1023"/>
      <c r="AN1055" s="1023"/>
      <c r="AO1055" s="957"/>
      <c r="AP1055" s="957"/>
      <c r="AQ1055" s="957"/>
      <c r="AR1055" s="957"/>
      <c r="AS1055" s="957"/>
      <c r="AT1055" s="957"/>
      <c r="AU1055" s="957"/>
      <c r="AV1055" s="957"/>
      <c r="AW1055" s="957"/>
      <c r="AX1055" s="957"/>
      <c r="AY1055" s="957"/>
      <c r="AZ1055" s="957"/>
      <c r="BA1055" s="957"/>
      <c r="BB1055" s="957"/>
      <c r="BC1055" s="957"/>
      <c r="BD1055" s="957"/>
      <c r="BE1055" s="957"/>
      <c r="BF1055" s="957"/>
      <c r="BG1055" s="957"/>
    </row>
    <row r="1056" spans="1:123">
      <c r="A1056" s="2185"/>
      <c r="B1056" s="2194" t="s">
        <v>899</v>
      </c>
      <c r="C1056" s="2179" t="s">
        <v>11</v>
      </c>
      <c r="D1056" s="292" t="s">
        <v>33</v>
      </c>
      <c r="E1056" s="511">
        <v>706</v>
      </c>
      <c r="F1056" s="233" t="s">
        <v>15</v>
      </c>
      <c r="G1056" s="233" t="s">
        <v>15</v>
      </c>
      <c r="H1056" s="513">
        <v>10.3368980169972</v>
      </c>
      <c r="I1056" s="570">
        <v>3.41932681912211</v>
      </c>
      <c r="J1056" s="234" t="s">
        <v>15</v>
      </c>
      <c r="K1056" s="233" t="s">
        <v>15</v>
      </c>
      <c r="L1056" s="234" t="s">
        <v>15</v>
      </c>
      <c r="M1056" s="233" t="s">
        <v>15</v>
      </c>
      <c r="N1056" s="1232">
        <v>-2.7940999999999998</v>
      </c>
      <c r="O1056" s="517">
        <v>-15.62</v>
      </c>
      <c r="P1056" s="522">
        <v>0.1789</v>
      </c>
      <c r="Q1056" s="251">
        <v>0.2062061127743692</v>
      </c>
      <c r="R1056" s="2130">
        <f>SUMPRODUCT(N1056:N1057,Q1056:Q1057)</f>
        <v>-0.57616049970286498</v>
      </c>
      <c r="S1056" s="504" t="s">
        <v>41</v>
      </c>
      <c r="T1056" s="505" t="s">
        <v>42</v>
      </c>
      <c r="U1056" s="881"/>
      <c r="V1056" s="24"/>
      <c r="W1056" s="26"/>
      <c r="X1056" s="26"/>
      <c r="Y1056" s="525"/>
      <c r="Z1056" s="525"/>
      <c r="AA1056" s="525"/>
      <c r="AB1056" s="921"/>
      <c r="AC1056" s="26"/>
      <c r="AD1056" s="24"/>
      <c r="AE1056" s="26"/>
      <c r="AF1056" s="106"/>
      <c r="AG1056" s="37"/>
      <c r="AH1056" s="957"/>
      <c r="AI1056" s="1023"/>
      <c r="AJ1056" s="1023"/>
      <c r="AK1056" s="1023"/>
      <c r="AL1056" s="1023"/>
      <c r="AM1056" s="1023"/>
      <c r="AN1056" s="1023"/>
      <c r="AO1056" s="957"/>
      <c r="AP1056" s="957"/>
      <c r="AQ1056" s="957"/>
      <c r="AR1056" s="957"/>
      <c r="AS1056" s="957"/>
      <c r="AT1056" s="957"/>
      <c r="AU1056" s="957"/>
      <c r="AV1056" s="957"/>
      <c r="AW1056" s="957"/>
      <c r="AX1056" s="957"/>
      <c r="AY1056" s="957"/>
      <c r="AZ1056" s="957"/>
      <c r="BA1056" s="957"/>
      <c r="BB1056" s="957"/>
      <c r="BC1056" s="957"/>
      <c r="BD1056" s="957"/>
      <c r="BE1056" s="957"/>
      <c r="BF1056" s="957"/>
      <c r="BG1056" s="957"/>
    </row>
    <row r="1057" spans="1:123">
      <c r="A1057" s="2185"/>
      <c r="B1057" s="2195"/>
      <c r="C1057" s="2180"/>
      <c r="D1057" s="292" t="s">
        <v>32</v>
      </c>
      <c r="E1057" s="511">
        <v>313</v>
      </c>
      <c r="F1057" s="233" t="s">
        <v>15</v>
      </c>
      <c r="G1057" s="233" t="s">
        <v>15</v>
      </c>
      <c r="H1057" s="513">
        <v>2.16428913738019</v>
      </c>
      <c r="I1057" s="570">
        <v>1.0530536475397301</v>
      </c>
      <c r="J1057" s="234" t="s">
        <v>15</v>
      </c>
      <c r="K1057" s="233" t="s">
        <v>15</v>
      </c>
      <c r="L1057" s="234" t="s">
        <v>15</v>
      </c>
      <c r="M1057" s="233" t="s">
        <v>15</v>
      </c>
      <c r="N1057" s="537">
        <v>0</v>
      </c>
      <c r="O1057" s="536" t="s">
        <v>574</v>
      </c>
      <c r="P1057" s="126" t="s">
        <v>574</v>
      </c>
      <c r="Q1057" s="251">
        <v>0.79379388722563082</v>
      </c>
      <c r="R1057" s="2155"/>
      <c r="S1057" s="761">
        <v>0.7</v>
      </c>
      <c r="T1057" s="260">
        <v>5.0279999999999996</v>
      </c>
      <c r="U1057" s="863"/>
      <c r="V1057" s="24"/>
      <c r="W1057" s="26"/>
      <c r="X1057" s="26"/>
      <c r="Y1057" s="525"/>
      <c r="Z1057" s="525"/>
      <c r="AA1057" s="525"/>
      <c r="AB1057" s="921"/>
      <c r="AC1057" s="26"/>
      <c r="AD1057" s="24"/>
      <c r="AE1057" s="26"/>
      <c r="AF1057" s="106"/>
      <c r="AG1057" s="37"/>
      <c r="AH1057" s="957"/>
      <c r="AI1057" s="1023"/>
      <c r="AJ1057" s="1023"/>
      <c r="AK1057" s="1023"/>
      <c r="AL1057" s="1023"/>
      <c r="AM1057" s="1023"/>
      <c r="AN1057" s="1023"/>
      <c r="AO1057" s="957"/>
      <c r="AP1057" s="957"/>
      <c r="AQ1057" s="957"/>
      <c r="AR1057" s="957"/>
      <c r="AS1057" s="957"/>
      <c r="AT1057" s="957"/>
      <c r="AU1057" s="957"/>
      <c r="AV1057" s="957"/>
      <c r="AW1057" s="957"/>
      <c r="AX1057" s="957"/>
      <c r="AY1057" s="957"/>
      <c r="AZ1057" s="957"/>
      <c r="BA1057" s="957"/>
      <c r="BB1057" s="957"/>
      <c r="BC1057" s="957"/>
      <c r="BD1057" s="957"/>
      <c r="BE1057" s="957"/>
      <c r="BF1057" s="957"/>
      <c r="BG1057" s="957"/>
    </row>
    <row r="1058" spans="1:123">
      <c r="A1058" s="2185"/>
      <c r="B1058" s="2194" t="s">
        <v>494</v>
      </c>
      <c r="C1058" s="2179" t="s">
        <v>11</v>
      </c>
      <c r="D1058" s="292" t="s">
        <v>33</v>
      </c>
      <c r="E1058" s="511">
        <v>783</v>
      </c>
      <c r="F1058" s="233" t="s">
        <v>15</v>
      </c>
      <c r="G1058" s="233" t="s">
        <v>15</v>
      </c>
      <c r="H1058" s="513">
        <v>6.7609610472541499</v>
      </c>
      <c r="I1058" s="570">
        <v>3.9961875930950499</v>
      </c>
      <c r="J1058" s="234" t="s">
        <v>15</v>
      </c>
      <c r="K1058" s="233" t="s">
        <v>15</v>
      </c>
      <c r="L1058" s="234" t="s">
        <v>15</v>
      </c>
      <c r="M1058" s="233" t="s">
        <v>15</v>
      </c>
      <c r="N1058" s="1232">
        <v>4.0461</v>
      </c>
      <c r="O1058" s="517">
        <v>24.75</v>
      </c>
      <c r="P1058" s="522">
        <v>0.16350000000000001</v>
      </c>
      <c r="Q1058" s="195" t="s">
        <v>15</v>
      </c>
      <c r="R1058" s="128">
        <f>N1058</f>
        <v>4.0461</v>
      </c>
      <c r="S1058" s="118" t="s">
        <v>235</v>
      </c>
      <c r="T1058" s="119" t="s">
        <v>391</v>
      </c>
      <c r="U1058" s="855"/>
      <c r="V1058" s="24"/>
      <c r="W1058" s="26"/>
      <c r="X1058" s="26"/>
      <c r="Y1058" s="525"/>
      <c r="Z1058" s="525"/>
      <c r="AA1058" s="525"/>
      <c r="AB1058" s="921"/>
      <c r="AC1058" s="26"/>
      <c r="AD1058" s="24"/>
      <c r="AE1058" s="26"/>
      <c r="AF1058" s="106"/>
      <c r="AG1058" s="37"/>
      <c r="AH1058" s="957"/>
      <c r="AI1058" s="1023"/>
      <c r="AJ1058" s="1023"/>
      <c r="AK1058" s="1023"/>
      <c r="AL1058" s="1023"/>
      <c r="AM1058" s="1023"/>
      <c r="AN1058" s="1023"/>
      <c r="AO1058" s="957"/>
      <c r="AP1058" s="957"/>
      <c r="AQ1058" s="957"/>
      <c r="AR1058" s="957"/>
      <c r="AS1058" s="957"/>
      <c r="AT1058" s="957"/>
      <c r="AU1058" s="957"/>
      <c r="AV1058" s="957"/>
      <c r="AW1058" s="957"/>
      <c r="AX1058" s="957"/>
      <c r="AY1058" s="957"/>
      <c r="AZ1058" s="957"/>
      <c r="BA1058" s="957"/>
      <c r="BB1058" s="957"/>
      <c r="BC1058" s="957"/>
      <c r="BD1058" s="957"/>
      <c r="BE1058" s="957"/>
      <c r="BF1058" s="957"/>
      <c r="BG1058" s="957"/>
    </row>
    <row r="1059" spans="1:123">
      <c r="A1059" s="2185"/>
      <c r="B1059" s="2195"/>
      <c r="C1059" s="2180"/>
      <c r="D1059" s="292" t="s">
        <v>32</v>
      </c>
      <c r="E1059" s="511">
        <v>236</v>
      </c>
      <c r="F1059" s="233" t="s">
        <v>15</v>
      </c>
      <c r="G1059" s="233" t="s">
        <v>15</v>
      </c>
      <c r="H1059" s="513">
        <v>11.3620338983051</v>
      </c>
      <c r="I1059" s="570">
        <v>5.3577546382877799</v>
      </c>
      <c r="J1059" s="234" t="s">
        <v>15</v>
      </c>
      <c r="K1059" s="233" t="s">
        <v>15</v>
      </c>
      <c r="L1059" s="234" t="s">
        <v>15</v>
      </c>
      <c r="M1059" s="233" t="s">
        <v>15</v>
      </c>
      <c r="N1059" s="537">
        <v>0</v>
      </c>
      <c r="O1059" s="536" t="s">
        <v>574</v>
      </c>
      <c r="P1059" s="126" t="s">
        <v>574</v>
      </c>
      <c r="Q1059" s="195" t="s">
        <v>15</v>
      </c>
      <c r="R1059" s="128">
        <f>N1059</f>
        <v>0</v>
      </c>
      <c r="S1059" s="357">
        <v>1.5831109999999999</v>
      </c>
      <c r="T1059" s="151" t="s">
        <v>15</v>
      </c>
      <c r="U1059" s="862"/>
      <c r="V1059" s="24"/>
      <c r="W1059" s="26"/>
      <c r="X1059" s="26"/>
      <c r="Y1059" s="525"/>
      <c r="Z1059" s="525"/>
      <c r="AA1059" s="525"/>
      <c r="AB1059" s="921"/>
      <c r="AC1059" s="26"/>
      <c r="AD1059" s="24"/>
      <c r="AE1059" s="26"/>
      <c r="AF1059" s="106"/>
      <c r="AG1059" s="37"/>
      <c r="AH1059" s="957"/>
      <c r="AI1059" s="1023"/>
      <c r="AJ1059" s="1023"/>
      <c r="AK1059" s="1023"/>
      <c r="AL1059" s="1023"/>
      <c r="AM1059" s="1023"/>
      <c r="AN1059" s="1023"/>
      <c r="AO1059" s="957"/>
      <c r="AP1059" s="957"/>
      <c r="AQ1059" s="957"/>
      <c r="AR1059" s="957"/>
      <c r="AS1059" s="957"/>
      <c r="AT1059" s="957"/>
      <c r="AU1059" s="957"/>
      <c r="AV1059" s="957"/>
      <c r="AW1059" s="957"/>
      <c r="AX1059" s="957"/>
      <c r="AY1059" s="957"/>
      <c r="AZ1059" s="957"/>
      <c r="BA1059" s="957"/>
      <c r="BB1059" s="957"/>
      <c r="BC1059" s="957"/>
      <c r="BD1059" s="957"/>
      <c r="BE1059" s="957"/>
      <c r="BF1059" s="957"/>
      <c r="BG1059" s="957"/>
    </row>
    <row r="1060" spans="1:123">
      <c r="A1060" s="2185"/>
      <c r="B1060" s="2194" t="s">
        <v>1355</v>
      </c>
      <c r="C1060" s="2179" t="s">
        <v>11</v>
      </c>
      <c r="D1060" s="292" t="s">
        <v>33</v>
      </c>
      <c r="E1060" s="511">
        <v>356</v>
      </c>
      <c r="F1060" s="233" t="s">
        <v>15</v>
      </c>
      <c r="G1060" s="233" t="s">
        <v>15</v>
      </c>
      <c r="H1060" s="513">
        <v>6.6243164794007496</v>
      </c>
      <c r="I1060" s="570">
        <v>4.1224767220844702</v>
      </c>
      <c r="J1060" s="234" t="s">
        <v>15</v>
      </c>
      <c r="K1060" s="233" t="s">
        <v>15</v>
      </c>
      <c r="L1060" s="234" t="s">
        <v>15</v>
      </c>
      <c r="M1060" s="233" t="s">
        <v>15</v>
      </c>
      <c r="N1060" s="1232">
        <v>1.075</v>
      </c>
      <c r="O1060" s="517">
        <v>6.85</v>
      </c>
      <c r="P1060" s="522">
        <v>0.15690000000000001</v>
      </c>
      <c r="Q1060" s="251">
        <v>0.88105700975331613</v>
      </c>
      <c r="R1060" s="2130">
        <f>SUMPRODUCT(N1060:N1061,Q1060:Q1061)</f>
        <v>0.94713628548481477</v>
      </c>
      <c r="S1060" s="26"/>
      <c r="T1060" s="26"/>
      <c r="V1060" s="24"/>
      <c r="W1060" s="26"/>
      <c r="X1060" s="26"/>
      <c r="Y1060" s="525"/>
      <c r="Z1060" s="525"/>
      <c r="AA1060" s="525"/>
      <c r="AB1060" s="921"/>
      <c r="AC1060" s="26"/>
      <c r="AD1060" s="24"/>
      <c r="AE1060" s="26"/>
      <c r="AF1060" s="106"/>
      <c r="AG1060" s="37"/>
      <c r="AH1060" s="957"/>
      <c r="AI1060" s="1023"/>
      <c r="AJ1060" s="1023"/>
      <c r="AK1060" s="1023"/>
      <c r="AL1060" s="1023"/>
      <c r="AM1060" s="1023"/>
      <c r="AN1060" s="1023"/>
      <c r="AO1060" s="957"/>
      <c r="AP1060" s="957"/>
      <c r="AQ1060" s="957"/>
      <c r="AR1060" s="957"/>
      <c r="AS1060" s="957"/>
      <c r="AT1060" s="957"/>
      <c r="AU1060" s="957"/>
      <c r="AV1060" s="957"/>
      <c r="AW1060" s="957"/>
      <c r="AX1060" s="957"/>
      <c r="AY1060" s="957"/>
      <c r="AZ1060" s="957"/>
      <c r="BA1060" s="957"/>
      <c r="BB1060" s="957"/>
      <c r="BC1060" s="957"/>
      <c r="BD1060" s="957"/>
      <c r="BE1060" s="957"/>
      <c r="BF1060" s="957"/>
      <c r="BG1060" s="957"/>
    </row>
    <row r="1061" spans="1:123">
      <c r="A1061" s="2185"/>
      <c r="B1061" s="2195"/>
      <c r="C1061" s="2180"/>
      <c r="D1061" s="292" t="s">
        <v>32</v>
      </c>
      <c r="E1061" s="511">
        <v>663</v>
      </c>
      <c r="F1061" s="233" t="s">
        <v>15</v>
      </c>
      <c r="G1061" s="233" t="s">
        <v>15</v>
      </c>
      <c r="H1061" s="513">
        <v>8.4721204122674703</v>
      </c>
      <c r="I1061" s="570">
        <v>4.9543134849633796</v>
      </c>
      <c r="J1061" s="234" t="s">
        <v>15</v>
      </c>
      <c r="K1061" s="233" t="s">
        <v>15</v>
      </c>
      <c r="L1061" s="234" t="s">
        <v>15</v>
      </c>
      <c r="M1061" s="233" t="s">
        <v>15</v>
      </c>
      <c r="N1061" s="537">
        <v>0</v>
      </c>
      <c r="O1061" s="536" t="s">
        <v>574</v>
      </c>
      <c r="P1061" s="126" t="s">
        <v>574</v>
      </c>
      <c r="Q1061" s="251">
        <v>0.11894299024668388</v>
      </c>
      <c r="R1061" s="2155"/>
      <c r="S1061" s="26"/>
      <c r="T1061" s="26"/>
      <c r="V1061" s="24"/>
      <c r="W1061" s="26"/>
      <c r="X1061" s="26"/>
      <c r="Y1061" s="525"/>
      <c r="Z1061" s="525"/>
      <c r="AA1061" s="525"/>
      <c r="AB1061" s="921"/>
      <c r="AC1061" s="26"/>
      <c r="AD1061" s="24"/>
      <c r="AE1061" s="26"/>
      <c r="AF1061" s="106"/>
      <c r="AG1061" s="37"/>
      <c r="AH1061" s="957"/>
      <c r="AI1061" s="1023"/>
      <c r="AJ1061" s="1023"/>
      <c r="AK1061" s="1023"/>
      <c r="AL1061" s="1023"/>
      <c r="AM1061" s="1023"/>
      <c r="AN1061" s="1023"/>
      <c r="AO1061" s="957"/>
      <c r="AP1061" s="957"/>
      <c r="AQ1061" s="957"/>
      <c r="AR1061" s="957"/>
      <c r="AS1061" s="957"/>
      <c r="AT1061" s="957"/>
      <c r="AU1061" s="957"/>
      <c r="AV1061" s="957"/>
      <c r="AW1061" s="957"/>
      <c r="AX1061" s="957"/>
      <c r="AY1061" s="957"/>
      <c r="AZ1061" s="957"/>
      <c r="BA1061" s="957"/>
      <c r="BB1061" s="957"/>
      <c r="BC1061" s="957"/>
      <c r="BD1061" s="957"/>
      <c r="BE1061" s="957"/>
      <c r="BF1061" s="957"/>
      <c r="BG1061" s="957"/>
    </row>
    <row r="1062" spans="1:123">
      <c r="A1062" s="2185"/>
      <c r="B1062" s="2194" t="s">
        <v>920</v>
      </c>
      <c r="C1062" s="2179" t="s">
        <v>11</v>
      </c>
      <c r="D1062" s="292" t="s">
        <v>33</v>
      </c>
      <c r="E1062" s="511">
        <v>962</v>
      </c>
      <c r="F1062" s="233" t="s">
        <v>15</v>
      </c>
      <c r="G1062" s="233" t="s">
        <v>15</v>
      </c>
      <c r="H1062" s="513">
        <v>8.2042844767844798</v>
      </c>
      <c r="I1062" s="570">
        <v>4.6142960910298703</v>
      </c>
      <c r="J1062" s="234" t="s">
        <v>15</v>
      </c>
      <c r="K1062" s="233" t="s">
        <v>15</v>
      </c>
      <c r="L1062" s="234" t="s">
        <v>15</v>
      </c>
      <c r="M1062" s="233" t="s">
        <v>15</v>
      </c>
      <c r="N1062" s="1232">
        <v>-3.0400999999999998</v>
      </c>
      <c r="O1062" s="517">
        <v>-8.92</v>
      </c>
      <c r="P1062" s="522">
        <v>0.3407</v>
      </c>
      <c r="Q1062" s="195" t="s">
        <v>15</v>
      </c>
      <c r="R1062" s="128">
        <f>N1062</f>
        <v>-3.0400999999999998</v>
      </c>
      <c r="S1062" s="26"/>
      <c r="T1062" s="26"/>
      <c r="V1062" s="24"/>
      <c r="W1062" s="26"/>
      <c r="X1062" s="26"/>
      <c r="Y1062" s="525"/>
      <c r="Z1062" s="525"/>
      <c r="AA1062" s="525"/>
      <c r="AB1062" s="921"/>
      <c r="AC1062" s="26"/>
      <c r="AD1062" s="24"/>
      <c r="AE1062" s="26"/>
      <c r="AF1062" s="106"/>
      <c r="AG1062" s="37"/>
      <c r="AH1062" s="957"/>
      <c r="AI1062" s="1023"/>
      <c r="AJ1062" s="1023"/>
      <c r="AK1062" s="1023"/>
      <c r="AL1062" s="1023"/>
      <c r="AM1062" s="1023"/>
      <c r="AN1062" s="1023"/>
      <c r="AO1062" s="957"/>
      <c r="AP1062" s="957"/>
      <c r="AQ1062" s="957"/>
      <c r="AR1062" s="957"/>
      <c r="AS1062" s="957"/>
      <c r="AT1062" s="957"/>
      <c r="AU1062" s="957"/>
      <c r="AV1062" s="957"/>
      <c r="AW1062" s="957"/>
      <c r="AX1062" s="957"/>
      <c r="AY1062" s="957"/>
      <c r="AZ1062" s="957"/>
      <c r="BA1062" s="957"/>
      <c r="BB1062" s="957"/>
      <c r="BC1062" s="957"/>
      <c r="BD1062" s="957"/>
      <c r="BE1062" s="957"/>
      <c r="BF1062" s="957"/>
      <c r="BG1062" s="957"/>
    </row>
    <row r="1063" spans="1:123">
      <c r="A1063" s="2185"/>
      <c r="B1063" s="2195"/>
      <c r="C1063" s="2180"/>
      <c r="D1063" s="292" t="s">
        <v>32</v>
      </c>
      <c r="E1063" s="511">
        <v>57</v>
      </c>
      <c r="F1063" s="233" t="s">
        <v>15</v>
      </c>
      <c r="G1063" s="233" t="s">
        <v>15</v>
      </c>
      <c r="H1063" s="513">
        <v>1.45176900584795</v>
      </c>
      <c r="I1063" s="570">
        <v>1.6796578218690399</v>
      </c>
      <c r="J1063" s="234" t="s">
        <v>15</v>
      </c>
      <c r="K1063" s="233" t="s">
        <v>15</v>
      </c>
      <c r="L1063" s="234" t="s">
        <v>15</v>
      </c>
      <c r="M1063" s="233" t="s">
        <v>15</v>
      </c>
      <c r="N1063" s="537">
        <v>0</v>
      </c>
      <c r="O1063" s="536" t="s">
        <v>574</v>
      </c>
      <c r="P1063" s="126" t="s">
        <v>574</v>
      </c>
      <c r="Q1063" s="195" t="s">
        <v>15</v>
      </c>
      <c r="R1063" s="128">
        <f>N1063</f>
        <v>0</v>
      </c>
      <c r="S1063" s="26"/>
      <c r="T1063" s="26"/>
      <c r="V1063" s="24"/>
      <c r="W1063" s="26"/>
      <c r="X1063" s="26"/>
      <c r="Y1063" s="525"/>
      <c r="Z1063" s="525"/>
      <c r="AA1063" s="525"/>
      <c r="AB1063" s="921"/>
      <c r="AC1063" s="26"/>
      <c r="AD1063" s="24"/>
      <c r="AE1063" s="26"/>
      <c r="AF1063" s="106"/>
      <c r="AG1063" s="37"/>
      <c r="AH1063" s="957"/>
      <c r="AI1063" s="1023"/>
      <c r="AJ1063" s="1023"/>
      <c r="AK1063" s="1023"/>
      <c r="AL1063" s="1023"/>
      <c r="AM1063" s="1023"/>
      <c r="AN1063" s="1023"/>
      <c r="AO1063" s="957"/>
      <c r="AP1063" s="957"/>
      <c r="AQ1063" s="957"/>
      <c r="AR1063" s="957"/>
      <c r="AS1063" s="957"/>
      <c r="AT1063" s="957"/>
      <c r="AU1063" s="957"/>
      <c r="AV1063" s="957"/>
      <c r="AW1063" s="957"/>
      <c r="AX1063" s="957"/>
      <c r="AY1063" s="957"/>
      <c r="AZ1063" s="957"/>
      <c r="BA1063" s="957"/>
      <c r="BB1063" s="957"/>
      <c r="BC1063" s="957"/>
      <c r="BD1063" s="957"/>
      <c r="BE1063" s="957"/>
      <c r="BF1063" s="957"/>
      <c r="BG1063" s="957"/>
    </row>
    <row r="1064" spans="1:123" s="325" customFormat="1" ht="30.75" thickBot="1">
      <c r="A1064" s="2203"/>
      <c r="B1064" s="826" t="s">
        <v>533</v>
      </c>
      <c r="C1064" s="981" t="s">
        <v>12</v>
      </c>
      <c r="D1064" s="654" t="s">
        <v>921</v>
      </c>
      <c r="E1064" s="644">
        <v>1019</v>
      </c>
      <c r="F1064" s="645">
        <v>17.7055937193327</v>
      </c>
      <c r="G1064" s="645">
        <v>5.0995664244027301</v>
      </c>
      <c r="H1064" s="769">
        <v>7.8265677134445504</v>
      </c>
      <c r="I1064" s="770">
        <v>4.76077609848031</v>
      </c>
      <c r="J1064" s="646" t="s">
        <v>14</v>
      </c>
      <c r="K1064" s="1157" t="s">
        <v>1084</v>
      </c>
      <c r="L1064" s="646" t="s">
        <v>12</v>
      </c>
      <c r="M1064" s="1179" t="s">
        <v>1083</v>
      </c>
      <c r="N1064" s="1232">
        <v>0.14729999999999999</v>
      </c>
      <c r="O1064" s="517">
        <v>10.98</v>
      </c>
      <c r="P1064" s="522">
        <v>1.34E-2</v>
      </c>
      <c r="Q1064" s="375" t="s">
        <v>15</v>
      </c>
      <c r="R1064" s="634">
        <f>N1064</f>
        <v>0.14729999999999999</v>
      </c>
      <c r="S1064" s="330"/>
      <c r="T1064" s="330"/>
      <c r="U1064" s="883"/>
      <c r="V1064" s="502"/>
      <c r="W1064" s="330"/>
      <c r="X1064" s="330"/>
      <c r="Y1064" s="648"/>
      <c r="Z1064" s="648"/>
      <c r="AA1064" s="648"/>
      <c r="AB1064" s="928"/>
      <c r="AC1064" s="330"/>
      <c r="AD1064" s="502"/>
      <c r="AE1064" s="330"/>
      <c r="AF1064" s="105"/>
      <c r="AG1064" s="330"/>
      <c r="AH1064" s="962"/>
      <c r="AI1064" s="1038"/>
      <c r="AJ1064" s="1038"/>
      <c r="AK1064" s="1038"/>
      <c r="AL1064" s="1038"/>
      <c r="AM1064" s="1038"/>
      <c r="AN1064" s="1038"/>
      <c r="AO1064" s="962"/>
      <c r="AP1064" s="962"/>
      <c r="AQ1064" s="962"/>
      <c r="AR1064" s="962"/>
      <c r="AS1064" s="962"/>
      <c r="AT1064" s="962"/>
      <c r="AU1064" s="962"/>
      <c r="AV1064" s="962"/>
      <c r="AW1064" s="962"/>
      <c r="AX1064" s="962"/>
      <c r="AY1064" s="962"/>
      <c r="AZ1064" s="962"/>
      <c r="BA1064" s="962"/>
      <c r="BB1064" s="962"/>
      <c r="BC1064" s="962"/>
      <c r="BD1064" s="962"/>
      <c r="BE1064" s="962"/>
      <c r="BF1064" s="962"/>
      <c r="BG1064" s="962"/>
      <c r="BH1064" s="1130"/>
      <c r="CF1064" s="568"/>
      <c r="CG1064" s="568"/>
      <c r="CH1064" s="568"/>
      <c r="CI1064" s="568"/>
      <c r="CJ1064" s="568"/>
      <c r="CK1064" s="568"/>
      <c r="CL1064" s="568"/>
      <c r="CM1064" s="568"/>
      <c r="CN1064" s="568"/>
      <c r="CO1064" s="568"/>
      <c r="CP1064" s="568"/>
      <c r="CQ1064" s="568"/>
      <c r="CR1064" s="568"/>
      <c r="CS1064" s="568"/>
      <c r="CT1064" s="568"/>
      <c r="CU1064" s="568"/>
      <c r="CV1064" s="568"/>
      <c r="CW1064" s="568"/>
      <c r="CX1064" s="568"/>
      <c r="CY1064" s="568"/>
      <c r="CZ1064" s="568"/>
      <c r="DA1064" s="568"/>
      <c r="DB1064" s="568"/>
      <c r="DC1064" s="568"/>
      <c r="DD1064" s="568"/>
      <c r="DE1064" s="568"/>
      <c r="DF1064" s="568"/>
      <c r="DG1064" s="568"/>
      <c r="DH1064" s="568"/>
      <c r="DI1064" s="560"/>
      <c r="DJ1064" s="568"/>
      <c r="DK1064" s="568"/>
      <c r="DL1064" s="568"/>
      <c r="DM1064" s="568"/>
      <c r="DN1064" s="568"/>
      <c r="DO1064" s="568"/>
      <c r="DP1064" s="568"/>
      <c r="DQ1064" s="568"/>
      <c r="DR1064" s="568"/>
      <c r="DS1064" s="568"/>
    </row>
    <row r="1065" spans="1:123" s="692" customFormat="1" ht="9" customHeight="1" thickBot="1">
      <c r="A1065" s="695"/>
      <c r="B1065" s="815"/>
      <c r="C1065" s="684"/>
      <c r="D1065" s="683"/>
      <c r="E1065" s="707"/>
      <c r="F1065" s="708"/>
      <c r="G1065" s="708"/>
      <c r="H1065" s="709"/>
      <c r="I1065" s="709"/>
      <c r="J1065" s="682"/>
      <c r="K1065" s="683"/>
      <c r="L1065" s="682"/>
      <c r="M1065" s="685"/>
      <c r="N1065" s="1189"/>
      <c r="O1065" s="686"/>
      <c r="P1065" s="686"/>
      <c r="Q1065" s="687"/>
      <c r="R1065" s="687"/>
      <c r="S1065" s="688"/>
      <c r="T1065" s="688"/>
      <c r="U1065" s="854"/>
      <c r="V1065" s="893"/>
      <c r="W1065" s="685"/>
      <c r="X1065" s="685"/>
      <c r="Y1065" s="710"/>
      <c r="Z1065" s="710"/>
      <c r="AA1065" s="710"/>
      <c r="AB1065" s="921"/>
      <c r="AC1065" s="690"/>
      <c r="AD1065" s="690"/>
      <c r="AE1065" s="690"/>
      <c r="AF1065" s="711"/>
      <c r="AG1065" s="690"/>
      <c r="AH1065" s="959"/>
      <c r="AI1065" s="959"/>
      <c r="AJ1065" s="959"/>
      <c r="AK1065" s="959"/>
      <c r="AL1065" s="959"/>
      <c r="AM1065" s="959"/>
      <c r="AN1065" s="959"/>
      <c r="AO1065" s="959"/>
      <c r="AP1065" s="959"/>
      <c r="AQ1065" s="959"/>
      <c r="AR1065" s="959"/>
      <c r="AS1065" s="959"/>
      <c r="AT1065" s="959"/>
      <c r="AU1065" s="959"/>
      <c r="AV1065" s="959"/>
      <c r="AW1065" s="959"/>
      <c r="AX1065" s="959"/>
      <c r="AY1065" s="959"/>
      <c r="AZ1065" s="959"/>
      <c r="BA1065" s="959"/>
      <c r="BB1065" s="959"/>
      <c r="BC1065" s="959"/>
      <c r="BD1065" s="959"/>
      <c r="BE1065" s="959"/>
      <c r="BF1065" s="959"/>
      <c r="BG1065" s="959"/>
      <c r="BH1065" s="1125"/>
      <c r="DI1065" s="693"/>
    </row>
    <row r="1066" spans="1:123" ht="15" customHeight="1">
      <c r="A1066" s="2171" t="s">
        <v>922</v>
      </c>
      <c r="B1066" s="2194" t="s">
        <v>889</v>
      </c>
      <c r="C1066" s="2179" t="s">
        <v>13</v>
      </c>
      <c r="D1066" s="292" t="s">
        <v>890</v>
      </c>
      <c r="E1066" s="511">
        <v>104</v>
      </c>
      <c r="F1066" s="233" t="s">
        <v>15</v>
      </c>
      <c r="G1066" s="233" t="s">
        <v>15</v>
      </c>
      <c r="H1066" s="513">
        <v>4.3588461538461498</v>
      </c>
      <c r="I1066" s="570">
        <v>2.85869693571675</v>
      </c>
      <c r="J1066" s="234" t="s">
        <v>15</v>
      </c>
      <c r="K1066" s="233" t="s">
        <v>15</v>
      </c>
      <c r="L1066" s="234" t="s">
        <v>15</v>
      </c>
      <c r="M1066" s="233" t="s">
        <v>15</v>
      </c>
      <c r="N1066" s="441">
        <v>0</v>
      </c>
      <c r="O1066" s="280" t="s">
        <v>574</v>
      </c>
      <c r="P1066" s="280" t="s">
        <v>574</v>
      </c>
      <c r="Q1066" s="527">
        <v>0.24233951144942334</v>
      </c>
      <c r="R1066" s="2152">
        <f>SUMPRODUCT(N1066:N1071,Q1066:Q1071)</f>
        <v>-0.65479011267261533</v>
      </c>
      <c r="S1066" s="531" t="s">
        <v>68</v>
      </c>
      <c r="T1066" s="505" t="s">
        <v>69</v>
      </c>
      <c r="U1066" s="881"/>
      <c r="V1066" s="2243" t="s">
        <v>2698</v>
      </c>
      <c r="W1066" s="219" t="s">
        <v>47</v>
      </c>
      <c r="X1066" s="492" t="s">
        <v>1016</v>
      </c>
      <c r="Y1066" s="533">
        <f>T1004+R997+R1002+R1004+R1006+R1008*2+R1009*40</f>
        <v>4.7540186350651101</v>
      </c>
      <c r="Z1066" s="282" t="s">
        <v>40</v>
      </c>
      <c r="AA1066" s="575" t="s">
        <v>40</v>
      </c>
      <c r="AB1066" s="846"/>
      <c r="AC1066" s="26"/>
      <c r="AD1066" s="24"/>
      <c r="AE1066" s="26"/>
      <c r="AF1066" s="106"/>
      <c r="AG1066" s="37"/>
      <c r="AH1066" s="957"/>
      <c r="AI1066" s="1023"/>
      <c r="AJ1066" s="1023"/>
      <c r="AK1066" s="1023"/>
      <c r="AL1066" s="1023"/>
      <c r="AM1066" s="1023"/>
      <c r="AN1066" s="1023"/>
      <c r="AO1066" s="957"/>
      <c r="AP1066" s="957"/>
      <c r="AQ1066" s="957"/>
      <c r="AR1066" s="957"/>
      <c r="AS1066" s="957"/>
      <c r="AT1066" s="957"/>
      <c r="AU1066" s="957"/>
      <c r="AV1066" s="957"/>
      <c r="AW1066" s="957"/>
      <c r="AX1066" s="957"/>
      <c r="AY1066" s="957"/>
      <c r="AZ1066" s="957"/>
      <c r="BA1066" s="957"/>
      <c r="BB1066" s="957"/>
      <c r="BC1066" s="957"/>
      <c r="BD1066" s="957"/>
      <c r="BE1066" s="957"/>
      <c r="BF1066" s="957"/>
      <c r="BG1066" s="957"/>
    </row>
    <row r="1067" spans="1:123">
      <c r="A1067" s="2172"/>
      <c r="B1067" s="2199"/>
      <c r="C1067" s="2187"/>
      <c r="D1067" s="291" t="s">
        <v>891</v>
      </c>
      <c r="E1067" s="511">
        <v>35</v>
      </c>
      <c r="F1067" s="233" t="s">
        <v>15</v>
      </c>
      <c r="G1067" s="233" t="s">
        <v>15</v>
      </c>
      <c r="H1067" s="513">
        <v>9.3442857142857108</v>
      </c>
      <c r="I1067" s="570">
        <v>1.38804620560973</v>
      </c>
      <c r="J1067" s="234" t="s">
        <v>15</v>
      </c>
      <c r="K1067" s="233" t="s">
        <v>15</v>
      </c>
      <c r="L1067" s="234" t="s">
        <v>15</v>
      </c>
      <c r="M1067" s="233" t="s">
        <v>15</v>
      </c>
      <c r="N1067" s="1233">
        <v>1.00499</v>
      </c>
      <c r="O1067" s="528">
        <v>3.4420000000000002</v>
      </c>
      <c r="P1067" s="528">
        <v>0.29197000000000001</v>
      </c>
      <c r="Q1067" s="529">
        <v>9.666206954273078E-2</v>
      </c>
      <c r="R1067" s="2153"/>
      <c r="S1067" s="46" t="s">
        <v>892</v>
      </c>
      <c r="T1067" s="451" t="s">
        <v>893</v>
      </c>
      <c r="U1067" s="882"/>
      <c r="V1067" s="2244"/>
      <c r="W1067" s="982" t="s">
        <v>49</v>
      </c>
      <c r="X1067" s="494" t="s">
        <v>2699</v>
      </c>
      <c r="Y1067" s="526">
        <f>T1073+R1066+R1072+R1074+R1076+(10*R1080)</f>
        <v>7.3564288613955355</v>
      </c>
      <c r="Z1067" s="526">
        <f>Y1067-Y1066</f>
        <v>2.6024102263304254</v>
      </c>
      <c r="AA1067" s="580"/>
      <c r="AB1067" s="921"/>
      <c r="AC1067" s="26"/>
      <c r="AD1067" s="24"/>
      <c r="AE1067" s="26"/>
      <c r="AF1067" s="106"/>
      <c r="AG1067" s="37"/>
      <c r="AH1067" s="957"/>
      <c r="AI1067" s="1023"/>
      <c r="AJ1067" s="1023"/>
      <c r="AK1067" s="1023"/>
      <c r="AL1067" s="1023"/>
      <c r="AM1067" s="1023"/>
      <c r="AN1067" s="1023"/>
      <c r="AO1067" s="957"/>
      <c r="AP1067" s="957"/>
      <c r="AQ1067" s="957"/>
      <c r="AR1067" s="957"/>
      <c r="AS1067" s="957"/>
      <c r="AT1067" s="957"/>
      <c r="AU1067" s="957"/>
      <c r="AV1067" s="957"/>
      <c r="AW1067" s="957"/>
      <c r="AX1067" s="957"/>
      <c r="AY1067" s="957"/>
      <c r="AZ1067" s="957"/>
      <c r="BA1067" s="957"/>
      <c r="BB1067" s="957"/>
      <c r="BC1067" s="957"/>
      <c r="BD1067" s="957"/>
      <c r="BE1067" s="957"/>
      <c r="BF1067" s="957"/>
      <c r="BG1067" s="957"/>
    </row>
    <row r="1068" spans="1:123">
      <c r="A1068" s="2172"/>
      <c r="B1068" s="2199"/>
      <c r="C1068" s="2187"/>
      <c r="D1068" s="292" t="s">
        <v>894</v>
      </c>
      <c r="E1068" s="511">
        <v>7</v>
      </c>
      <c r="F1068" s="233" t="s">
        <v>15</v>
      </c>
      <c r="G1068" s="233" t="s">
        <v>15</v>
      </c>
      <c r="H1068" s="513">
        <v>8.4185714285714308</v>
      </c>
      <c r="I1068" s="570">
        <v>1.2724180205607001</v>
      </c>
      <c r="J1068" s="234" t="s">
        <v>15</v>
      </c>
      <c r="K1068" s="233" t="s">
        <v>15</v>
      </c>
      <c r="L1068" s="234" t="s">
        <v>15</v>
      </c>
      <c r="M1068" s="233" t="s">
        <v>15</v>
      </c>
      <c r="N1068" s="1233">
        <v>3.4360000000000002E-2</v>
      </c>
      <c r="O1068" s="528">
        <v>6.7000000000000004E-2</v>
      </c>
      <c r="P1068" s="528">
        <v>0.51185999999999998</v>
      </c>
      <c r="Q1068" s="529">
        <v>0.20857495927514369</v>
      </c>
      <c r="R1068" s="2153"/>
      <c r="S1068" s="531" t="s">
        <v>72</v>
      </c>
      <c r="T1068" s="416" t="s">
        <v>119</v>
      </c>
      <c r="U1068" s="876"/>
      <c r="V1068" s="2244"/>
      <c r="W1068" s="982" t="s">
        <v>47</v>
      </c>
      <c r="X1068" s="494" t="s">
        <v>1017</v>
      </c>
      <c r="Y1068" s="526">
        <f>T1004+R997+R1002+R1004+R1006+R1008*2+R1009*60</f>
        <v>4.9400186350651101</v>
      </c>
      <c r="Z1068" s="95" t="s">
        <v>40</v>
      </c>
      <c r="AA1068" s="117" t="s">
        <v>40</v>
      </c>
      <c r="AB1068" s="846"/>
      <c r="AC1068" s="26"/>
      <c r="AD1068" s="24"/>
      <c r="AE1068" s="26"/>
      <c r="AF1068" s="106"/>
      <c r="AG1068" s="37"/>
      <c r="AH1068" s="957"/>
      <c r="AI1068" s="1023"/>
      <c r="AJ1068" s="1023"/>
      <c r="AK1068" s="1023"/>
      <c r="AL1068" s="1023"/>
      <c r="AM1068" s="1023"/>
      <c r="AN1068" s="1023"/>
      <c r="AO1068" s="957"/>
      <c r="AP1068" s="957"/>
      <c r="AQ1068" s="957"/>
      <c r="AR1068" s="957"/>
      <c r="AS1068" s="957"/>
      <c r="AT1068" s="957"/>
      <c r="AU1068" s="957"/>
      <c r="AV1068" s="957"/>
      <c r="AW1068" s="957"/>
      <c r="AX1068" s="957"/>
      <c r="AY1068" s="957"/>
      <c r="AZ1068" s="957"/>
      <c r="BA1068" s="957"/>
      <c r="BB1068" s="957"/>
      <c r="BC1068" s="957"/>
      <c r="BD1068" s="957"/>
      <c r="BE1068" s="957"/>
      <c r="BF1068" s="957"/>
      <c r="BG1068" s="957"/>
    </row>
    <row r="1069" spans="1:123">
      <c r="A1069" s="2172"/>
      <c r="B1069" s="2199"/>
      <c r="C1069" s="2187"/>
      <c r="D1069" s="292" t="s">
        <v>895</v>
      </c>
      <c r="E1069" s="511">
        <v>43</v>
      </c>
      <c r="F1069" s="233" t="s">
        <v>15</v>
      </c>
      <c r="G1069" s="233" t="s">
        <v>15</v>
      </c>
      <c r="H1069" s="513">
        <v>8.0484496124031004</v>
      </c>
      <c r="I1069" s="570">
        <v>3.0647445105144899</v>
      </c>
      <c r="J1069" s="234" t="s">
        <v>15</v>
      </c>
      <c r="K1069" s="233" t="s">
        <v>15</v>
      </c>
      <c r="L1069" s="234" t="s">
        <v>15</v>
      </c>
      <c r="M1069" s="233" t="s">
        <v>15</v>
      </c>
      <c r="N1069" s="1233">
        <v>0.53610999999999998</v>
      </c>
      <c r="O1069" s="528">
        <v>2.04</v>
      </c>
      <c r="P1069" s="528">
        <v>0.26284000000000002</v>
      </c>
      <c r="Q1069" s="529">
        <v>0.11191288973241292</v>
      </c>
      <c r="R1069" s="2153"/>
      <c r="S1069" s="506" t="s">
        <v>73</v>
      </c>
      <c r="T1069" s="507" t="s">
        <v>140</v>
      </c>
      <c r="U1069" s="883"/>
      <c r="V1069" s="2245"/>
      <c r="W1069" s="982" t="s">
        <v>49</v>
      </c>
      <c r="X1069" s="494" t="s">
        <v>2700</v>
      </c>
      <c r="Y1069" s="526">
        <f>T1073+R1066+R1072+R1074+R1076+(15*R1080)</f>
        <v>7.2254288613955353</v>
      </c>
      <c r="Z1069" s="526">
        <f>Y1069-Y1068</f>
        <v>2.2854102263304252</v>
      </c>
      <c r="AA1069" s="580"/>
      <c r="AB1069" s="921"/>
      <c r="AC1069" s="26"/>
      <c r="AD1069" s="24"/>
      <c r="AE1069" s="26"/>
      <c r="AF1069" s="106"/>
      <c r="AG1069" s="37"/>
      <c r="AH1069" s="957"/>
      <c r="AI1069" s="1023"/>
      <c r="AJ1069" s="1023"/>
      <c r="AK1069" s="1023"/>
      <c r="AL1069" s="1023"/>
      <c r="AM1069" s="1023"/>
      <c r="AN1069" s="1023"/>
      <c r="AO1069" s="957"/>
      <c r="AP1069" s="957"/>
      <c r="AQ1069" s="957"/>
      <c r="AR1069" s="957"/>
      <c r="AS1069" s="957"/>
      <c r="AT1069" s="957"/>
      <c r="AU1069" s="957"/>
      <c r="AV1069" s="957"/>
      <c r="AW1069" s="957"/>
      <c r="AX1069" s="957"/>
      <c r="AY1069" s="957"/>
      <c r="AZ1069" s="957"/>
      <c r="BA1069" s="957"/>
      <c r="BB1069" s="957"/>
      <c r="BC1069" s="957"/>
      <c r="BD1069" s="957"/>
      <c r="BE1069" s="957"/>
      <c r="BF1069" s="957"/>
      <c r="BG1069" s="957"/>
    </row>
    <row r="1070" spans="1:123">
      <c r="A1070" s="2172"/>
      <c r="B1070" s="2199"/>
      <c r="C1070" s="2187"/>
      <c r="D1070" s="292" t="s">
        <v>896</v>
      </c>
      <c r="E1070" s="511">
        <v>85</v>
      </c>
      <c r="F1070" s="233" t="s">
        <v>15</v>
      </c>
      <c r="G1070" s="233" t="s">
        <v>15</v>
      </c>
      <c r="H1070" s="513">
        <v>3.34547058823529</v>
      </c>
      <c r="I1070" s="570">
        <v>2.4002339448887202</v>
      </c>
      <c r="J1070" s="234" t="s">
        <v>15</v>
      </c>
      <c r="K1070" s="233" t="s">
        <v>15</v>
      </c>
      <c r="L1070" s="234" t="s">
        <v>15</v>
      </c>
      <c r="M1070" s="233" t="s">
        <v>15</v>
      </c>
      <c r="N1070" s="1233">
        <v>-1.53224</v>
      </c>
      <c r="O1070" s="528">
        <v>-6.93</v>
      </c>
      <c r="P1070" s="528">
        <v>0.22109000000000001</v>
      </c>
      <c r="Q1070" s="529">
        <v>0.18971598143672741</v>
      </c>
      <c r="R1070" s="2153"/>
      <c r="S1070" s="531" t="s">
        <v>74</v>
      </c>
      <c r="T1070" s="505" t="s">
        <v>75</v>
      </c>
      <c r="U1070" s="881"/>
      <c r="V1070" s="24"/>
      <c r="W1070" s="26"/>
      <c r="X1070" s="26"/>
      <c r="Y1070" s="525"/>
      <c r="Z1070" s="525"/>
      <c r="AA1070" s="525"/>
      <c r="AB1070" s="921"/>
      <c r="AC1070" s="26"/>
      <c r="AD1070" s="24"/>
      <c r="AE1070" s="26"/>
      <c r="AF1070" s="106"/>
      <c r="AG1070" s="37"/>
      <c r="AH1070" s="957"/>
      <c r="AI1070" s="1023"/>
      <c r="AJ1070" s="1023"/>
      <c r="AK1070" s="1023"/>
      <c r="AL1070" s="1023"/>
      <c r="AM1070" s="1023"/>
      <c r="AN1070" s="1023"/>
      <c r="AO1070" s="957"/>
      <c r="AP1070" s="957"/>
      <c r="AQ1070" s="957"/>
      <c r="AR1070" s="957"/>
      <c r="AS1070" s="957"/>
      <c r="AT1070" s="957"/>
      <c r="AU1070" s="957"/>
      <c r="AV1070" s="957"/>
      <c r="AW1070" s="957"/>
      <c r="AX1070" s="957"/>
      <c r="AY1070" s="957"/>
      <c r="AZ1070" s="957"/>
      <c r="BA1070" s="957"/>
      <c r="BB1070" s="957"/>
      <c r="BC1070" s="957"/>
      <c r="BD1070" s="957"/>
      <c r="BE1070" s="957"/>
      <c r="BF1070" s="957"/>
      <c r="BG1070" s="957"/>
    </row>
    <row r="1071" spans="1:123">
      <c r="A1071" s="2172"/>
      <c r="B1071" s="2195"/>
      <c r="C1071" s="2180"/>
      <c r="D1071" s="292" t="s">
        <v>897</v>
      </c>
      <c r="E1071" s="511">
        <v>24</v>
      </c>
      <c r="F1071" s="233" t="s">
        <v>15</v>
      </c>
      <c r="G1071" s="233" t="s">
        <v>15</v>
      </c>
      <c r="H1071" s="513">
        <v>0.52500000000000002</v>
      </c>
      <c r="I1071" s="570">
        <v>0.25917930674241402</v>
      </c>
      <c r="J1071" s="234" t="s">
        <v>15</v>
      </c>
      <c r="K1071" s="233" t="s">
        <v>15</v>
      </c>
      <c r="L1071" s="234" t="s">
        <v>15</v>
      </c>
      <c r="M1071" s="233" t="s">
        <v>15</v>
      </c>
      <c r="N1071" s="1233">
        <v>-3.5041600000000002</v>
      </c>
      <c r="O1071" s="528">
        <v>-8.8960000000000008</v>
      </c>
      <c r="P1071" s="528">
        <v>0.39389999999999997</v>
      </c>
      <c r="Q1071" s="529">
        <v>0.15079458856356187</v>
      </c>
      <c r="R1071" s="2154"/>
      <c r="S1071" s="396">
        <v>298</v>
      </c>
      <c r="T1071" s="507" t="s">
        <v>140</v>
      </c>
      <c r="U1071" s="883"/>
      <c r="V1071" s="24"/>
      <c r="W1071" s="26"/>
      <c r="X1071" s="26"/>
      <c r="Y1071" s="525"/>
      <c r="Z1071" s="525"/>
      <c r="AA1071" s="525"/>
      <c r="AB1071" s="921"/>
      <c r="AC1071" s="26"/>
      <c r="AD1071" s="24"/>
      <c r="AE1071" s="26"/>
      <c r="AF1071" s="106"/>
      <c r="AG1071" s="37"/>
      <c r="AH1071" s="957"/>
      <c r="AI1071" s="1023"/>
      <c r="AJ1071" s="1023"/>
      <c r="AK1071" s="1023"/>
      <c r="AL1071" s="1023"/>
      <c r="AM1071" s="1023"/>
      <c r="AN1071" s="1023"/>
      <c r="AO1071" s="957"/>
      <c r="AP1071" s="957"/>
      <c r="AQ1071" s="957"/>
      <c r="AR1071" s="957"/>
      <c r="AS1071" s="957"/>
      <c r="AT1071" s="957"/>
      <c r="AU1071" s="957"/>
      <c r="AV1071" s="957"/>
      <c r="AW1071" s="957"/>
      <c r="AX1071" s="957"/>
      <c r="AY1071" s="957"/>
      <c r="AZ1071" s="957"/>
      <c r="BA1071" s="957"/>
      <c r="BB1071" s="957"/>
      <c r="BC1071" s="957"/>
      <c r="BD1071" s="957"/>
      <c r="BE1071" s="957"/>
      <c r="BF1071" s="957"/>
      <c r="BG1071" s="957"/>
    </row>
    <row r="1072" spans="1:123">
      <c r="A1072" s="2172"/>
      <c r="B1072" s="2194" t="s">
        <v>899</v>
      </c>
      <c r="C1072" s="2179" t="s">
        <v>11</v>
      </c>
      <c r="D1072" s="292" t="s">
        <v>33</v>
      </c>
      <c r="E1072" s="511">
        <v>147</v>
      </c>
      <c r="F1072" s="233" t="s">
        <v>15</v>
      </c>
      <c r="G1072" s="233" t="s">
        <v>15</v>
      </c>
      <c r="H1072" s="513">
        <v>8.1218367346938791</v>
      </c>
      <c r="I1072" s="570">
        <v>2.20883128472836</v>
      </c>
      <c r="J1072" s="234" t="s">
        <v>15</v>
      </c>
      <c r="K1072" s="233" t="s">
        <v>15</v>
      </c>
      <c r="L1072" s="234" t="s">
        <v>15</v>
      </c>
      <c r="M1072" s="233" t="s">
        <v>15</v>
      </c>
      <c r="N1072" s="1233">
        <v>-1.7193799999999999</v>
      </c>
      <c r="O1072" s="528">
        <v>-6.1369999999999996</v>
      </c>
      <c r="P1072" s="528">
        <v>0.28014</v>
      </c>
      <c r="Q1072" s="251">
        <v>0.17381990787664703</v>
      </c>
      <c r="R1072" s="2130">
        <f>SUMPRODUCT(N1072:N1073,Q1072:Q1073)</f>
        <v>-0.29886247320494935</v>
      </c>
      <c r="S1072" s="504" t="s">
        <v>41</v>
      </c>
      <c r="T1072" s="505" t="s">
        <v>42</v>
      </c>
      <c r="U1072" s="881"/>
      <c r="V1072" s="24"/>
      <c r="W1072" s="26"/>
      <c r="X1072" s="26"/>
      <c r="Y1072" s="525"/>
      <c r="Z1072" s="525"/>
      <c r="AA1072" s="525"/>
      <c r="AB1072" s="921"/>
      <c r="AC1072" s="26"/>
      <c r="AD1072" s="24"/>
      <c r="AE1072" s="26"/>
      <c r="AF1072" s="106"/>
      <c r="AG1072" s="37"/>
      <c r="AH1072" s="957"/>
      <c r="AI1072" s="1023"/>
      <c r="AJ1072" s="1023"/>
      <c r="AK1072" s="1023"/>
      <c r="AL1072" s="1023"/>
      <c r="AM1072" s="1023"/>
      <c r="AN1072" s="1023"/>
      <c r="AO1072" s="957"/>
      <c r="AP1072" s="957"/>
      <c r="AQ1072" s="957"/>
      <c r="AR1072" s="957"/>
      <c r="AS1072" s="957"/>
      <c r="AT1072" s="957"/>
      <c r="AU1072" s="957"/>
      <c r="AV1072" s="957"/>
      <c r="AW1072" s="957"/>
      <c r="AX1072" s="957"/>
      <c r="AY1072" s="957"/>
      <c r="AZ1072" s="957"/>
      <c r="BA1072" s="957"/>
      <c r="BB1072" s="957"/>
      <c r="BC1072" s="957"/>
      <c r="BD1072" s="957"/>
      <c r="BE1072" s="957"/>
      <c r="BF1072" s="957"/>
      <c r="BG1072" s="957"/>
    </row>
    <row r="1073" spans="1:123">
      <c r="A1073" s="2172"/>
      <c r="B1073" s="2195"/>
      <c r="C1073" s="2180"/>
      <c r="D1073" s="292" t="s">
        <v>32</v>
      </c>
      <c r="E1073" s="511">
        <v>151</v>
      </c>
      <c r="F1073" s="233" t="s">
        <v>15</v>
      </c>
      <c r="G1073" s="233" t="s">
        <v>15</v>
      </c>
      <c r="H1073" s="513">
        <v>1.9101876379690901</v>
      </c>
      <c r="I1073" s="570">
        <v>0.85000619917230402</v>
      </c>
      <c r="J1073" s="234" t="s">
        <v>15</v>
      </c>
      <c r="K1073" s="233" t="s">
        <v>15</v>
      </c>
      <c r="L1073" s="234" t="s">
        <v>15</v>
      </c>
      <c r="M1073" s="233" t="s">
        <v>15</v>
      </c>
      <c r="N1073" s="537">
        <v>0</v>
      </c>
      <c r="O1073" s="536" t="s">
        <v>574</v>
      </c>
      <c r="P1073" s="536" t="s">
        <v>574</v>
      </c>
      <c r="Q1073" s="251">
        <v>0.82618009212335297</v>
      </c>
      <c r="R1073" s="2155"/>
      <c r="S1073" s="761">
        <v>0.76580000000000004</v>
      </c>
      <c r="T1073" s="260">
        <v>7.31541</v>
      </c>
      <c r="U1073" s="863"/>
      <c r="V1073" s="24"/>
      <c r="W1073" s="26"/>
      <c r="X1073" s="26"/>
      <c r="Y1073" s="525"/>
      <c r="Z1073" s="525"/>
      <c r="AA1073" s="525"/>
      <c r="AB1073" s="921"/>
      <c r="AC1073" s="26"/>
      <c r="AD1073" s="24"/>
      <c r="AE1073" s="26"/>
      <c r="AF1073" s="106"/>
      <c r="AG1073" s="37"/>
      <c r="AH1073" s="957"/>
      <c r="AI1073" s="1023"/>
      <c r="AJ1073" s="1023"/>
      <c r="AK1073" s="1023"/>
      <c r="AL1073" s="1023"/>
      <c r="AM1073" s="1023"/>
      <c r="AN1073" s="1023"/>
      <c r="AO1073" s="957"/>
      <c r="AP1073" s="957"/>
      <c r="AQ1073" s="957"/>
      <c r="AR1073" s="957"/>
      <c r="AS1073" s="957"/>
      <c r="AT1073" s="957"/>
      <c r="AU1073" s="957"/>
      <c r="AV1073" s="957"/>
      <c r="AW1073" s="957"/>
      <c r="AX1073" s="957"/>
      <c r="AY1073" s="957"/>
      <c r="AZ1073" s="957"/>
      <c r="BA1073" s="957"/>
      <c r="BB1073" s="957"/>
      <c r="BC1073" s="957"/>
      <c r="BD1073" s="957"/>
      <c r="BE1073" s="957"/>
      <c r="BF1073" s="957"/>
      <c r="BG1073" s="957"/>
    </row>
    <row r="1074" spans="1:123">
      <c r="A1074" s="2172"/>
      <c r="B1074" s="2194" t="s">
        <v>900</v>
      </c>
      <c r="C1074" s="2400" t="s">
        <v>11</v>
      </c>
      <c r="D1074" s="354" t="s">
        <v>33</v>
      </c>
      <c r="E1074" s="512">
        <v>225</v>
      </c>
      <c r="F1074" s="233" t="s">
        <v>15</v>
      </c>
      <c r="G1074" s="233" t="s">
        <v>15</v>
      </c>
      <c r="H1074" s="514">
        <v>6.1826222222222196</v>
      </c>
      <c r="I1074" s="572">
        <v>3.22027977023909</v>
      </c>
      <c r="J1074" s="234" t="s">
        <v>15</v>
      </c>
      <c r="K1074" s="233" t="s">
        <v>15</v>
      </c>
      <c r="L1074" s="234" t="s">
        <v>15</v>
      </c>
      <c r="M1074" s="233" t="s">
        <v>15</v>
      </c>
      <c r="N1074" s="1233">
        <v>-0.61270999999999998</v>
      </c>
      <c r="O1074" s="528">
        <v>-1.6879999999999999</v>
      </c>
      <c r="P1074" s="528">
        <v>0.36292999999999997</v>
      </c>
      <c r="Q1074" s="251">
        <v>1.4633363104496783E-3</v>
      </c>
      <c r="R1074" s="2130">
        <f>SUMPRODUCT(N1074:N1075,Q1074:Q1075)</f>
        <v>-8.9660079077562239E-4</v>
      </c>
      <c r="S1074" s="118" t="s">
        <v>235</v>
      </c>
      <c r="T1074" s="119" t="s">
        <v>391</v>
      </c>
      <c r="U1074" s="855"/>
      <c r="V1074" s="24"/>
      <c r="W1074" s="26"/>
      <c r="X1074" s="26"/>
      <c r="Y1074" s="525"/>
      <c r="Z1074" s="525"/>
      <c r="AA1074" s="525"/>
      <c r="AB1074" s="921"/>
      <c r="AC1074" s="26"/>
      <c r="AD1074" s="24"/>
      <c r="AE1074" s="26"/>
      <c r="AF1074" s="106"/>
      <c r="AG1074" s="37"/>
      <c r="AH1074" s="957"/>
      <c r="AI1074" s="1023"/>
      <c r="AJ1074" s="1023"/>
      <c r="AK1074" s="1023"/>
      <c r="AL1074" s="1023"/>
      <c r="AM1074" s="1023"/>
      <c r="AN1074" s="1023"/>
      <c r="AO1074" s="957"/>
      <c r="AP1074" s="957"/>
      <c r="AQ1074" s="957"/>
      <c r="AR1074" s="957"/>
      <c r="AS1074" s="957"/>
      <c r="AT1074" s="957"/>
      <c r="AU1074" s="957"/>
      <c r="AV1074" s="957"/>
      <c r="AW1074" s="957"/>
      <c r="AX1074" s="957"/>
      <c r="AY1074" s="957"/>
      <c r="AZ1074" s="957"/>
      <c r="BA1074" s="957"/>
      <c r="BB1074" s="957"/>
      <c r="BC1074" s="957"/>
      <c r="BD1074" s="957"/>
      <c r="BE1074" s="957"/>
      <c r="BF1074" s="957"/>
      <c r="BG1074" s="957"/>
    </row>
    <row r="1075" spans="1:123">
      <c r="A1075" s="2172"/>
      <c r="B1075" s="2195"/>
      <c r="C1075" s="2401"/>
      <c r="D1075" s="354" t="s">
        <v>32</v>
      </c>
      <c r="E1075" s="512">
        <v>73</v>
      </c>
      <c r="F1075" s="233" t="s">
        <v>15</v>
      </c>
      <c r="G1075" s="233" t="s">
        <v>15</v>
      </c>
      <c r="H1075" s="513">
        <v>1.2501141552511399</v>
      </c>
      <c r="I1075" s="570">
        <v>0.65428221017617405</v>
      </c>
      <c r="J1075" s="234" t="s">
        <v>15</v>
      </c>
      <c r="K1075" s="233" t="s">
        <v>15</v>
      </c>
      <c r="L1075" s="234" t="s">
        <v>15</v>
      </c>
      <c r="M1075" s="233" t="s">
        <v>15</v>
      </c>
      <c r="N1075" s="537">
        <v>0</v>
      </c>
      <c r="O1075" s="536" t="s">
        <v>574</v>
      </c>
      <c r="P1075" s="536" t="s">
        <v>574</v>
      </c>
      <c r="Q1075" s="251">
        <v>0.9985366636895503</v>
      </c>
      <c r="R1075" s="2155"/>
      <c r="S1075" s="357">
        <v>0.93088599999999999</v>
      </c>
      <c r="T1075" s="151" t="s">
        <v>15</v>
      </c>
      <c r="U1075" s="862"/>
      <c r="V1075" s="24"/>
      <c r="W1075" s="26"/>
      <c r="X1075" s="26"/>
      <c r="Y1075" s="525"/>
      <c r="Z1075" s="525"/>
      <c r="AA1075" s="525"/>
      <c r="AB1075" s="921"/>
      <c r="AC1075" s="26"/>
      <c r="AD1075" s="24"/>
      <c r="AE1075" s="26"/>
      <c r="AF1075" s="106"/>
      <c r="AG1075" s="37"/>
      <c r="AH1075" s="957"/>
      <c r="AI1075" s="1023"/>
      <c r="AJ1075" s="1023"/>
      <c r="AK1075" s="1023"/>
      <c r="AL1075" s="1023"/>
      <c r="AM1075" s="1023"/>
      <c r="AN1075" s="1023"/>
      <c r="AO1075" s="957"/>
      <c r="AP1075" s="957"/>
      <c r="AQ1075" s="957"/>
      <c r="AR1075" s="957"/>
      <c r="AS1075" s="957"/>
      <c r="AT1075" s="957"/>
      <c r="AU1075" s="957"/>
      <c r="AV1075" s="957"/>
      <c r="AW1075" s="957"/>
      <c r="AX1075" s="957"/>
      <c r="AY1075" s="957"/>
      <c r="AZ1075" s="957"/>
      <c r="BA1075" s="957"/>
      <c r="BB1075" s="957"/>
      <c r="BC1075" s="957"/>
      <c r="BD1075" s="957"/>
      <c r="BE1075" s="957"/>
      <c r="BF1075" s="957"/>
      <c r="BG1075" s="957"/>
    </row>
    <row r="1076" spans="1:123">
      <c r="A1076" s="2172"/>
      <c r="B1076" s="2194" t="s">
        <v>1355</v>
      </c>
      <c r="C1076" s="2179" t="s">
        <v>11</v>
      </c>
      <c r="D1076" s="292" t="s">
        <v>33</v>
      </c>
      <c r="E1076" s="511">
        <v>107</v>
      </c>
      <c r="F1076" s="233" t="s">
        <v>15</v>
      </c>
      <c r="G1076" s="233" t="s">
        <v>15</v>
      </c>
      <c r="H1076" s="513">
        <v>3.4929439252336398</v>
      </c>
      <c r="I1076" s="570">
        <v>2.28713681035455</v>
      </c>
      <c r="J1076" s="234" t="s">
        <v>15</v>
      </c>
      <c r="K1076" s="233" t="s">
        <v>15</v>
      </c>
      <c r="L1076" s="234" t="s">
        <v>15</v>
      </c>
      <c r="M1076" s="233" t="s">
        <v>15</v>
      </c>
      <c r="N1076" s="1233">
        <v>1.35697</v>
      </c>
      <c r="O1076" s="528">
        <v>5.3010000000000002</v>
      </c>
      <c r="P1076" s="528">
        <v>0.25596999999999998</v>
      </c>
      <c r="Q1076" s="251">
        <v>0.92674712636526624</v>
      </c>
      <c r="R1076" s="2130">
        <f>SUMPRODUCT(N1076:N1077,Q1076:Q1077)</f>
        <v>1.2575680480638753</v>
      </c>
      <c r="S1076" s="26"/>
      <c r="T1076" s="26"/>
      <c r="V1076" s="24"/>
      <c r="W1076" s="26"/>
      <c r="X1076" s="26"/>
      <c r="Y1076" s="525"/>
      <c r="Z1076" s="525"/>
      <c r="AA1076" s="525"/>
      <c r="AB1076" s="921"/>
      <c r="AC1076" s="26"/>
      <c r="AD1076" s="24"/>
      <c r="AE1076" s="26"/>
      <c r="AF1076" s="106"/>
      <c r="AG1076" s="37"/>
      <c r="AH1076" s="957"/>
      <c r="AI1076" s="1023"/>
      <c r="AJ1076" s="1023"/>
      <c r="AK1076" s="1023"/>
      <c r="AL1076" s="1023"/>
      <c r="AM1076" s="1023"/>
      <c r="AN1076" s="1023"/>
      <c r="AO1076" s="957"/>
      <c r="AP1076" s="957"/>
      <c r="AQ1076" s="957"/>
      <c r="AR1076" s="957"/>
      <c r="AS1076" s="957"/>
      <c r="AT1076" s="957"/>
      <c r="AU1076" s="957"/>
      <c r="AV1076" s="957"/>
      <c r="AW1076" s="957"/>
      <c r="AX1076" s="957"/>
      <c r="AY1076" s="957"/>
      <c r="AZ1076" s="957"/>
      <c r="BA1076" s="957"/>
      <c r="BB1076" s="957"/>
      <c r="BC1076" s="957"/>
      <c r="BD1076" s="957"/>
      <c r="BE1076" s="957"/>
      <c r="BF1076" s="957"/>
      <c r="BG1076" s="957"/>
    </row>
    <row r="1077" spans="1:123">
      <c r="A1077" s="2172"/>
      <c r="B1077" s="2195"/>
      <c r="C1077" s="2180"/>
      <c r="D1077" s="292" t="s">
        <v>32</v>
      </c>
      <c r="E1077" s="511">
        <v>191</v>
      </c>
      <c r="F1077" s="233" t="s">
        <v>15</v>
      </c>
      <c r="G1077" s="233" t="s">
        <v>15</v>
      </c>
      <c r="H1077" s="513">
        <v>5.8042059336823701</v>
      </c>
      <c r="I1077" s="570">
        <v>3.8209235581074199</v>
      </c>
      <c r="J1077" s="234" t="s">
        <v>15</v>
      </c>
      <c r="K1077" s="233" t="s">
        <v>15</v>
      </c>
      <c r="L1077" s="234" t="s">
        <v>15</v>
      </c>
      <c r="M1077" s="233" t="s">
        <v>15</v>
      </c>
      <c r="N1077" s="537">
        <v>0</v>
      </c>
      <c r="O1077" s="536" t="s">
        <v>574</v>
      </c>
      <c r="P1077" s="536" t="s">
        <v>574</v>
      </c>
      <c r="Q1077" s="251">
        <v>7.3252873634733734E-2</v>
      </c>
      <c r="R1077" s="2155"/>
      <c r="S1077" s="26"/>
      <c r="T1077" s="26"/>
      <c r="V1077" s="24"/>
      <c r="W1077" s="26"/>
      <c r="X1077" s="26"/>
      <c r="Y1077" s="525"/>
      <c r="Z1077" s="525"/>
      <c r="AA1077" s="525"/>
      <c r="AB1077" s="921"/>
      <c r="AC1077" s="26"/>
      <c r="AD1077" s="24"/>
      <c r="AE1077" s="26"/>
      <c r="AF1077" s="106"/>
      <c r="AG1077" s="37"/>
      <c r="AH1077" s="957"/>
      <c r="AI1077" s="1023"/>
      <c r="AJ1077" s="1023"/>
      <c r="AK1077" s="1023"/>
      <c r="AL1077" s="1023"/>
      <c r="AM1077" s="1023"/>
      <c r="AN1077" s="1023"/>
      <c r="AO1077" s="957"/>
      <c r="AP1077" s="957"/>
      <c r="AQ1077" s="957"/>
      <c r="AR1077" s="957"/>
      <c r="AS1077" s="957"/>
      <c r="AT1077" s="957"/>
      <c r="AU1077" s="957"/>
      <c r="AV1077" s="957"/>
      <c r="AW1077" s="957"/>
      <c r="AX1077" s="957"/>
      <c r="AY1077" s="957"/>
      <c r="AZ1077" s="957"/>
      <c r="BA1077" s="957"/>
      <c r="BB1077" s="957"/>
      <c r="BC1077" s="957"/>
      <c r="BD1077" s="957"/>
      <c r="BE1077" s="957"/>
      <c r="BF1077" s="957"/>
      <c r="BG1077" s="957"/>
    </row>
    <row r="1078" spans="1:123">
      <c r="A1078" s="2172"/>
      <c r="B1078" s="2194" t="s">
        <v>920</v>
      </c>
      <c r="C1078" s="2179" t="s">
        <v>11</v>
      </c>
      <c r="D1078" s="292" t="s">
        <v>33</v>
      </c>
      <c r="E1078" s="511">
        <v>287</v>
      </c>
      <c r="F1078" s="233" t="s">
        <v>15</v>
      </c>
      <c r="G1078" s="233" t="s">
        <v>15</v>
      </c>
      <c r="H1078" s="513">
        <v>5.1341056910569103</v>
      </c>
      <c r="I1078" s="570">
        <v>3.4925254323134101</v>
      </c>
      <c r="J1078" s="234" t="s">
        <v>15</v>
      </c>
      <c r="K1078" s="233" t="s">
        <v>15</v>
      </c>
      <c r="L1078" s="234" t="s">
        <v>15</v>
      </c>
      <c r="M1078" s="233" t="s">
        <v>15</v>
      </c>
      <c r="N1078" s="1233">
        <v>-1.2484</v>
      </c>
      <c r="O1078" s="528">
        <v>-2.8719999999999999</v>
      </c>
      <c r="P1078" s="528">
        <v>0.43465999999999999</v>
      </c>
      <c r="Q1078" s="195" t="s">
        <v>15</v>
      </c>
      <c r="R1078" s="128">
        <f>N1078</f>
        <v>-1.2484</v>
      </c>
      <c r="S1078" s="26"/>
      <c r="T1078" s="26"/>
      <c r="V1078" s="24"/>
      <c r="W1078" s="26"/>
      <c r="X1078" s="26"/>
      <c r="Y1078" s="525"/>
      <c r="Z1078" s="525"/>
      <c r="AA1078" s="525"/>
      <c r="AB1078" s="921"/>
      <c r="AC1078" s="26"/>
      <c r="AD1078" s="24"/>
      <c r="AE1078" s="26"/>
      <c r="AF1078" s="106"/>
      <c r="AG1078" s="37"/>
      <c r="AH1078" s="957"/>
      <c r="AI1078" s="1023"/>
      <c r="AJ1078" s="1023"/>
      <c r="AK1078" s="1023"/>
      <c r="AL1078" s="1023"/>
      <c r="AM1078" s="1023"/>
      <c r="AN1078" s="1023"/>
      <c r="AO1078" s="957"/>
      <c r="AP1078" s="957"/>
      <c r="AQ1078" s="957"/>
      <c r="AR1078" s="957"/>
      <c r="AS1078" s="957"/>
      <c r="AT1078" s="957"/>
      <c r="AU1078" s="957"/>
      <c r="AV1078" s="957"/>
      <c r="AW1078" s="957"/>
      <c r="AX1078" s="957"/>
      <c r="AY1078" s="957"/>
      <c r="AZ1078" s="957"/>
      <c r="BA1078" s="957"/>
      <c r="BB1078" s="957"/>
      <c r="BC1078" s="957"/>
      <c r="BD1078" s="957"/>
      <c r="BE1078" s="957"/>
      <c r="BF1078" s="957"/>
      <c r="BG1078" s="957"/>
    </row>
    <row r="1079" spans="1:123">
      <c r="A1079" s="2172"/>
      <c r="B1079" s="2195"/>
      <c r="C1079" s="2180"/>
      <c r="D1079" s="292" t="s">
        <v>32</v>
      </c>
      <c r="E1079" s="511">
        <v>11</v>
      </c>
      <c r="F1079" s="233" t="s">
        <v>15</v>
      </c>
      <c r="G1079" s="233" t="s">
        <v>15</v>
      </c>
      <c r="H1079" s="513">
        <v>0.80545454545454598</v>
      </c>
      <c r="I1079" s="570">
        <v>0.87644510537013798</v>
      </c>
      <c r="J1079" s="642" t="s">
        <v>14</v>
      </c>
      <c r="K1079" s="1158">
        <v>6</v>
      </c>
      <c r="L1079" s="642" t="s">
        <v>14</v>
      </c>
      <c r="M1079" s="1158">
        <v>10</v>
      </c>
      <c r="N1079" s="1201">
        <v>0</v>
      </c>
      <c r="O1079" s="133" t="s">
        <v>574</v>
      </c>
      <c r="P1079" s="133" t="s">
        <v>574</v>
      </c>
      <c r="Q1079" s="195" t="s">
        <v>15</v>
      </c>
      <c r="R1079" s="128">
        <f>N1079</f>
        <v>0</v>
      </c>
      <c r="S1079" s="26"/>
      <c r="T1079" s="26"/>
      <c r="V1079" s="24"/>
      <c r="W1079" s="26"/>
      <c r="X1079" s="26"/>
      <c r="Y1079" s="525"/>
      <c r="Z1079" s="525"/>
      <c r="AA1079" s="525"/>
      <c r="AB1079" s="921"/>
      <c r="AC1079" s="26"/>
      <c r="AD1079" s="24"/>
      <c r="AE1079" s="26"/>
      <c r="AF1079" s="106"/>
      <c r="AG1079" s="37"/>
      <c r="AH1079" s="957"/>
      <c r="AI1079" s="1023"/>
      <c r="AJ1079" s="1023"/>
      <c r="AK1079" s="1023"/>
      <c r="AL1079" s="1023"/>
      <c r="AM1079" s="1023"/>
      <c r="AN1079" s="1023"/>
      <c r="AO1079" s="957"/>
      <c r="AP1079" s="957"/>
      <c r="AQ1079" s="957"/>
      <c r="AR1079" s="957"/>
      <c r="AS1079" s="957"/>
      <c r="AT1079" s="957"/>
      <c r="AU1079" s="957"/>
      <c r="AV1079" s="957"/>
      <c r="AW1079" s="957"/>
      <c r="AX1079" s="957"/>
      <c r="AY1079" s="957"/>
      <c r="AZ1079" s="957"/>
      <c r="BA1079" s="957"/>
      <c r="BB1079" s="957"/>
      <c r="BC1079" s="957"/>
      <c r="BD1079" s="957"/>
      <c r="BE1079" s="957"/>
      <c r="BF1079" s="957"/>
      <c r="BG1079" s="957"/>
    </row>
    <row r="1080" spans="1:123" s="325" customFormat="1" ht="30.75" thickBot="1">
      <c r="A1080" s="2188"/>
      <c r="B1080" s="988" t="s">
        <v>533</v>
      </c>
      <c r="C1080" s="620" t="s">
        <v>12</v>
      </c>
      <c r="D1080" s="775" t="s">
        <v>1302</v>
      </c>
      <c r="E1080" s="650">
        <v>298</v>
      </c>
      <c r="F1080" s="776">
        <v>12.184563758389301</v>
      </c>
      <c r="G1080" s="776">
        <v>2.29832979415978</v>
      </c>
      <c r="H1080" s="651">
        <v>4.9743232662192396</v>
      </c>
      <c r="I1080" s="652">
        <v>3.5270645821528701</v>
      </c>
      <c r="J1080" s="646" t="s">
        <v>14</v>
      </c>
      <c r="K1080" s="1157" t="s">
        <v>1084</v>
      </c>
      <c r="L1080" s="646" t="s">
        <v>12</v>
      </c>
      <c r="M1080" s="1179" t="s">
        <v>1083</v>
      </c>
      <c r="N1080" s="1235">
        <v>-2.6200000000000001E-2</v>
      </c>
      <c r="O1080" s="653">
        <v>-0.66800000000000004</v>
      </c>
      <c r="P1080" s="653">
        <v>3.9219999999999998E-2</v>
      </c>
      <c r="Q1080" s="375" t="s">
        <v>15</v>
      </c>
      <c r="R1080" s="635">
        <f>N1080</f>
        <v>-2.6200000000000001E-2</v>
      </c>
      <c r="S1080" s="330"/>
      <c r="T1080" s="330"/>
      <c r="U1080" s="883"/>
      <c r="V1080" s="502"/>
      <c r="W1080" s="330"/>
      <c r="X1080" s="330"/>
      <c r="Y1080" s="648"/>
      <c r="Z1080" s="648"/>
      <c r="AA1080" s="648"/>
      <c r="AB1080" s="928"/>
      <c r="AC1080" s="330"/>
      <c r="AD1080" s="502"/>
      <c r="AE1080" s="330"/>
      <c r="AF1080" s="105"/>
      <c r="AG1080" s="330"/>
      <c r="AH1080" s="962"/>
      <c r="AI1080" s="1038"/>
      <c r="AJ1080" s="1038"/>
      <c r="AK1080" s="1038"/>
      <c r="AL1080" s="1038"/>
      <c r="AM1080" s="1038"/>
      <c r="AN1080" s="1038"/>
      <c r="AO1080" s="962"/>
      <c r="AP1080" s="962"/>
      <c r="AQ1080" s="962"/>
      <c r="AR1080" s="962"/>
      <c r="AS1080" s="962"/>
      <c r="AT1080" s="962"/>
      <c r="AU1080" s="962"/>
      <c r="AV1080" s="962"/>
      <c r="AW1080" s="962"/>
      <c r="AX1080" s="962"/>
      <c r="AY1080" s="962"/>
      <c r="AZ1080" s="962"/>
      <c r="BA1080" s="962"/>
      <c r="BB1080" s="962"/>
      <c r="BC1080" s="962"/>
      <c r="BD1080" s="962"/>
      <c r="BE1080" s="962"/>
      <c r="BF1080" s="962"/>
      <c r="BG1080" s="962"/>
      <c r="BH1080" s="1130"/>
      <c r="CF1080" s="568"/>
      <c r="CG1080" s="568"/>
      <c r="CH1080" s="568"/>
      <c r="CI1080" s="568"/>
      <c r="CJ1080" s="568"/>
      <c r="CK1080" s="568"/>
      <c r="CL1080" s="568"/>
      <c r="CM1080" s="568"/>
      <c r="CN1080" s="568"/>
      <c r="CO1080" s="568"/>
      <c r="CP1080" s="568"/>
      <c r="CQ1080" s="568"/>
      <c r="CR1080" s="568"/>
      <c r="CS1080" s="568"/>
      <c r="CT1080" s="568"/>
      <c r="CU1080" s="568"/>
      <c r="CV1080" s="568"/>
      <c r="CW1080" s="568"/>
      <c r="CX1080" s="568"/>
      <c r="CY1080" s="568"/>
      <c r="CZ1080" s="568"/>
      <c r="DA1080" s="568"/>
      <c r="DB1080" s="568"/>
      <c r="DC1080" s="568"/>
      <c r="DD1080" s="568"/>
      <c r="DE1080" s="568"/>
      <c r="DF1080" s="568"/>
      <c r="DG1080" s="568"/>
      <c r="DH1080" s="568"/>
      <c r="DI1080" s="560"/>
      <c r="DJ1080" s="568"/>
      <c r="DK1080" s="568"/>
      <c r="DL1080" s="568"/>
      <c r="DM1080" s="568"/>
      <c r="DN1080" s="568"/>
      <c r="DO1080" s="568"/>
      <c r="DP1080" s="568"/>
      <c r="DQ1080" s="568"/>
      <c r="DR1080" s="568"/>
      <c r="DS1080" s="568"/>
    </row>
    <row r="1081" spans="1:123" s="692" customFormat="1" ht="9" customHeight="1" thickBot="1">
      <c r="A1081" s="695"/>
      <c r="B1081" s="815"/>
      <c r="C1081" s="684"/>
      <c r="D1081" s="683"/>
      <c r="E1081" s="707"/>
      <c r="F1081" s="708"/>
      <c r="G1081" s="708"/>
      <c r="H1081" s="709"/>
      <c r="I1081" s="709"/>
      <c r="J1081" s="682"/>
      <c r="K1081" s="683"/>
      <c r="L1081" s="682"/>
      <c r="M1081" s="685"/>
      <c r="N1081" s="1189"/>
      <c r="O1081" s="686"/>
      <c r="P1081" s="686"/>
      <c r="Q1081" s="687"/>
      <c r="R1081" s="715"/>
      <c r="S1081" s="688"/>
      <c r="T1081" s="688"/>
      <c r="U1081" s="854"/>
      <c r="V1081" s="893"/>
      <c r="W1081" s="685"/>
      <c r="X1081" s="685"/>
      <c r="Y1081" s="710"/>
      <c r="Z1081" s="710"/>
      <c r="AA1081" s="710"/>
      <c r="AB1081" s="921"/>
      <c r="AC1081" s="690"/>
      <c r="AD1081" s="690"/>
      <c r="AE1081" s="690"/>
      <c r="AF1081" s="711"/>
      <c r="AG1081" s="690"/>
      <c r="AH1081" s="959"/>
      <c r="AI1081" s="959"/>
      <c r="AJ1081" s="959"/>
      <c r="AK1081" s="959"/>
      <c r="AL1081" s="959"/>
      <c r="AM1081" s="959"/>
      <c r="AN1081" s="959"/>
      <c r="AO1081" s="959"/>
      <c r="AP1081" s="959"/>
      <c r="AQ1081" s="959"/>
      <c r="AR1081" s="959"/>
      <c r="AS1081" s="959"/>
      <c r="AT1081" s="959"/>
      <c r="AU1081" s="959"/>
      <c r="AV1081" s="959"/>
      <c r="AW1081" s="959"/>
      <c r="AX1081" s="959"/>
      <c r="AY1081" s="959"/>
      <c r="AZ1081" s="959"/>
      <c r="BA1081" s="959"/>
      <c r="BB1081" s="959"/>
      <c r="BC1081" s="959"/>
      <c r="BD1081" s="959"/>
      <c r="BE1081" s="959"/>
      <c r="BF1081" s="959"/>
      <c r="BG1081" s="959"/>
      <c r="BH1081" s="1125"/>
      <c r="DI1081" s="693"/>
    </row>
    <row r="1082" spans="1:123" ht="15" customHeight="1">
      <c r="A1082" s="2184" t="s">
        <v>923</v>
      </c>
      <c r="B1082" s="2194" t="s">
        <v>889</v>
      </c>
      <c r="C1082" s="2179" t="s">
        <v>13</v>
      </c>
      <c r="D1082" s="292" t="s">
        <v>890</v>
      </c>
      <c r="E1082" s="511">
        <v>25</v>
      </c>
      <c r="F1082" s="233" t="s">
        <v>15</v>
      </c>
      <c r="G1082" s="233" t="s">
        <v>15</v>
      </c>
      <c r="H1082" s="513">
        <v>5.9468666666666703</v>
      </c>
      <c r="I1082" s="570">
        <v>2.7841448966523901</v>
      </c>
      <c r="J1082" s="234" t="s">
        <v>15</v>
      </c>
      <c r="K1082" s="233" t="s">
        <v>15</v>
      </c>
      <c r="L1082" s="234" t="s">
        <v>15</v>
      </c>
      <c r="M1082" s="233" t="s">
        <v>15</v>
      </c>
      <c r="N1082" s="441">
        <v>0</v>
      </c>
      <c r="O1082" s="280" t="s">
        <v>574</v>
      </c>
      <c r="P1082" s="280" t="s">
        <v>574</v>
      </c>
      <c r="Q1082" s="527">
        <v>0.28537207627952349</v>
      </c>
      <c r="R1082" s="2152">
        <f>SUMPRODUCT(N1082:N1086,Q1082:Q1086)</f>
        <v>0.40973260011515322</v>
      </c>
      <c r="S1082" s="531" t="s">
        <v>68</v>
      </c>
      <c r="T1082" s="505" t="s">
        <v>69</v>
      </c>
      <c r="U1082" s="881"/>
      <c r="V1082" s="2243" t="s">
        <v>2698</v>
      </c>
      <c r="W1082" s="219" t="s">
        <v>47</v>
      </c>
      <c r="X1082" s="492" t="s">
        <v>961</v>
      </c>
      <c r="Y1082" s="533">
        <f>T1020+R1013+R1015+R1017*2</f>
        <v>2.0540908343469795</v>
      </c>
      <c r="Z1082" s="282" t="s">
        <v>40</v>
      </c>
      <c r="AA1082" s="575" t="s">
        <v>40</v>
      </c>
      <c r="AB1082" s="846"/>
      <c r="AC1082" s="26"/>
      <c r="AD1082" s="24"/>
      <c r="AE1082" s="26"/>
      <c r="AF1082" s="106"/>
      <c r="AG1082" s="37"/>
      <c r="AH1082" s="957"/>
      <c r="AI1082" s="1023"/>
      <c r="AJ1082" s="1023"/>
      <c r="AK1082" s="1023"/>
      <c r="AL1082" s="1023"/>
      <c r="AM1082" s="1023"/>
      <c r="AN1082" s="1023"/>
      <c r="AO1082" s="957"/>
      <c r="AP1082" s="957"/>
      <c r="AQ1082" s="957"/>
      <c r="AR1082" s="957"/>
      <c r="AS1082" s="957"/>
      <c r="AT1082" s="957"/>
      <c r="AU1082" s="957"/>
      <c r="AV1082" s="957"/>
      <c r="AW1082" s="957"/>
      <c r="AX1082" s="957"/>
      <c r="AY1082" s="957"/>
      <c r="AZ1082" s="957"/>
      <c r="BA1082" s="957"/>
      <c r="BB1082" s="957"/>
      <c r="BC1082" s="957"/>
      <c r="BD1082" s="957"/>
      <c r="BE1082" s="957"/>
      <c r="BF1082" s="957"/>
      <c r="BG1082" s="957"/>
    </row>
    <row r="1083" spans="1:123">
      <c r="A1083" s="2185"/>
      <c r="B1083" s="2199"/>
      <c r="C1083" s="2187"/>
      <c r="D1083" s="291" t="s">
        <v>891</v>
      </c>
      <c r="E1083" s="511">
        <v>30</v>
      </c>
      <c r="F1083" s="233" t="s">
        <v>15</v>
      </c>
      <c r="G1083" s="233" t="s">
        <v>15</v>
      </c>
      <c r="H1083" s="513">
        <v>9.1966666666666708</v>
      </c>
      <c r="I1083" s="570">
        <v>1.86694168745781</v>
      </c>
      <c r="J1083" s="234" t="s">
        <v>15</v>
      </c>
      <c r="K1083" s="233" t="s">
        <v>15</v>
      </c>
      <c r="L1083" s="234" t="s">
        <v>15</v>
      </c>
      <c r="M1083" s="233" t="s">
        <v>15</v>
      </c>
      <c r="N1083" s="1233">
        <v>1.7497</v>
      </c>
      <c r="O1083" s="528">
        <v>3.66</v>
      </c>
      <c r="P1083" s="528">
        <v>0.47849999999999998</v>
      </c>
      <c r="Q1083" s="529">
        <v>0.11382648796270159</v>
      </c>
      <c r="R1083" s="2153"/>
      <c r="S1083" s="46" t="s">
        <v>892</v>
      </c>
      <c r="T1083" s="451" t="s">
        <v>893</v>
      </c>
      <c r="U1083" s="882"/>
      <c r="V1083" s="2244"/>
      <c r="W1083" s="982" t="s">
        <v>49</v>
      </c>
      <c r="X1083" s="494" t="s">
        <v>962</v>
      </c>
      <c r="Y1083" s="526">
        <f>T1089+R1082+R1087+R1089+R1091*10+R1092*11</f>
        <v>8.2443726351512829</v>
      </c>
      <c r="Z1083" s="526">
        <f>Y1083-Y1082</f>
        <v>6.1902818008043035</v>
      </c>
      <c r="AA1083" s="580"/>
      <c r="AB1083" s="921"/>
      <c r="AC1083" s="26"/>
      <c r="AD1083" s="24"/>
      <c r="AE1083" s="26"/>
      <c r="AF1083" s="106"/>
      <c r="AG1083" s="37"/>
      <c r="AH1083" s="957"/>
      <c r="AI1083" s="1023"/>
      <c r="AJ1083" s="1023"/>
      <c r="AK1083" s="1023"/>
      <c r="AL1083" s="1023"/>
      <c r="AM1083" s="1023"/>
      <c r="AN1083" s="1023"/>
      <c r="AO1083" s="957"/>
      <c r="AP1083" s="957"/>
      <c r="AQ1083" s="957"/>
      <c r="AR1083" s="957"/>
      <c r="AS1083" s="957"/>
      <c r="AT1083" s="957"/>
      <c r="AU1083" s="957"/>
      <c r="AV1083" s="957"/>
      <c r="AW1083" s="957"/>
      <c r="AX1083" s="957"/>
      <c r="AY1083" s="957"/>
      <c r="AZ1083" s="957"/>
      <c r="BA1083" s="957"/>
      <c r="BB1083" s="957"/>
      <c r="BC1083" s="957"/>
      <c r="BD1083" s="957"/>
      <c r="BE1083" s="957"/>
      <c r="BF1083" s="957"/>
      <c r="BG1083" s="957"/>
    </row>
    <row r="1084" spans="1:123">
      <c r="A1084" s="2185"/>
      <c r="B1084" s="2199"/>
      <c r="C1084" s="2187"/>
      <c r="D1084" s="292" t="s">
        <v>894</v>
      </c>
      <c r="E1084" s="511">
        <v>4</v>
      </c>
      <c r="F1084" s="233" t="s">
        <v>15</v>
      </c>
      <c r="G1084" s="233" t="s">
        <v>15</v>
      </c>
      <c r="H1084" s="513">
        <v>9.49</v>
      </c>
      <c r="I1084" s="570">
        <v>0.57735026918962595</v>
      </c>
      <c r="J1084" s="234" t="s">
        <v>15</v>
      </c>
      <c r="K1084" s="233" t="s">
        <v>15</v>
      </c>
      <c r="L1084" s="234" t="s">
        <v>15</v>
      </c>
      <c r="M1084" s="233" t="s">
        <v>15</v>
      </c>
      <c r="N1084" s="1233">
        <v>1.4334</v>
      </c>
      <c r="O1084" s="528">
        <v>1.7</v>
      </c>
      <c r="P1084" s="528">
        <v>0.84089999999999998</v>
      </c>
      <c r="Q1084" s="529">
        <v>0.24561190551334025</v>
      </c>
      <c r="R1084" s="2153"/>
      <c r="S1084" s="531" t="s">
        <v>72</v>
      </c>
      <c r="T1084" s="416" t="s">
        <v>119</v>
      </c>
      <c r="U1084" s="876"/>
      <c r="V1084" s="2245"/>
      <c r="W1084" s="982" t="s">
        <v>49</v>
      </c>
      <c r="X1084" s="494" t="s">
        <v>963</v>
      </c>
      <c r="Y1084" s="526">
        <f>T1089+R1082+R1087+R1089+R1091*10+R1092*15</f>
        <v>9.0683726351512846</v>
      </c>
      <c r="Z1084" s="526">
        <f>Y1084-Y1082</f>
        <v>7.0142818008043051</v>
      </c>
      <c r="AA1084" s="580"/>
      <c r="AB1084" s="921"/>
      <c r="AC1084" s="26"/>
      <c r="AD1084" s="24"/>
      <c r="AE1084" s="26"/>
      <c r="AF1084" s="106"/>
      <c r="AG1084" s="37"/>
      <c r="AH1084" s="957"/>
      <c r="AI1084" s="1023"/>
      <c r="AJ1084" s="1023"/>
      <c r="AK1084" s="1023"/>
      <c r="AL1084" s="1023"/>
      <c r="AM1084" s="1023"/>
      <c r="AN1084" s="1023"/>
      <c r="AO1084" s="957"/>
      <c r="AP1084" s="957"/>
      <c r="AQ1084" s="957"/>
      <c r="AR1084" s="957"/>
      <c r="AS1084" s="957"/>
      <c r="AT1084" s="957"/>
      <c r="AU1084" s="957"/>
      <c r="AV1084" s="957"/>
      <c r="AW1084" s="957"/>
      <c r="AX1084" s="957"/>
      <c r="AY1084" s="957"/>
      <c r="AZ1084" s="957"/>
      <c r="BA1084" s="957"/>
      <c r="BB1084" s="957"/>
      <c r="BC1084" s="957"/>
      <c r="BD1084" s="957"/>
      <c r="BE1084" s="957"/>
      <c r="BF1084" s="957"/>
      <c r="BG1084" s="957"/>
    </row>
    <row r="1085" spans="1:123">
      <c r="A1085" s="2185"/>
      <c r="B1085" s="2199"/>
      <c r="C1085" s="2187"/>
      <c r="D1085" s="292" t="s">
        <v>895</v>
      </c>
      <c r="E1085" s="511">
        <v>26</v>
      </c>
      <c r="F1085" s="233" t="s">
        <v>15</v>
      </c>
      <c r="G1085" s="233" t="s">
        <v>15</v>
      </c>
      <c r="H1085" s="513">
        <v>8.1734615384615399</v>
      </c>
      <c r="I1085" s="570">
        <v>2.1815828057769302</v>
      </c>
      <c r="J1085" s="234" t="s">
        <v>15</v>
      </c>
      <c r="K1085" s="233" t="s">
        <v>15</v>
      </c>
      <c r="L1085" s="234" t="s">
        <v>15</v>
      </c>
      <c r="M1085" s="233" t="s">
        <v>15</v>
      </c>
      <c r="N1085" s="1233">
        <v>0.78939999999999999</v>
      </c>
      <c r="O1085" s="528">
        <v>1.61</v>
      </c>
      <c r="P1085" s="528">
        <v>0.49070000000000003</v>
      </c>
      <c r="Q1085" s="529">
        <v>0.13178541755063869</v>
      </c>
      <c r="R1085" s="2153"/>
      <c r="S1085" s="506" t="s">
        <v>73</v>
      </c>
      <c r="T1085" s="507" t="s">
        <v>140</v>
      </c>
      <c r="U1085" s="883"/>
      <c r="V1085" s="24"/>
      <c r="W1085" s="26"/>
      <c r="X1085" s="26"/>
      <c r="Y1085" s="525"/>
      <c r="Z1085" s="525"/>
      <c r="AA1085" s="525"/>
      <c r="AB1085" s="921"/>
      <c r="AC1085" s="26"/>
      <c r="AD1085" s="24"/>
      <c r="AE1085" s="26"/>
      <c r="AF1085" s="106"/>
      <c r="AG1085" s="37"/>
      <c r="AH1085" s="957"/>
      <c r="AI1085" s="1023"/>
      <c r="AJ1085" s="1023"/>
      <c r="AK1085" s="1023"/>
      <c r="AL1085" s="1023"/>
      <c r="AM1085" s="1023"/>
      <c r="AN1085" s="1023"/>
      <c r="AO1085" s="957"/>
      <c r="AP1085" s="957"/>
      <c r="AQ1085" s="957"/>
      <c r="AR1085" s="957"/>
      <c r="AS1085" s="957"/>
      <c r="AT1085" s="957"/>
      <c r="AU1085" s="957"/>
      <c r="AV1085" s="957"/>
      <c r="AW1085" s="957"/>
      <c r="AX1085" s="957"/>
      <c r="AY1085" s="957"/>
      <c r="AZ1085" s="957"/>
      <c r="BA1085" s="957"/>
      <c r="BB1085" s="957"/>
      <c r="BC1085" s="957"/>
      <c r="BD1085" s="957"/>
      <c r="BE1085" s="957"/>
      <c r="BF1085" s="957"/>
      <c r="BG1085" s="957"/>
    </row>
    <row r="1086" spans="1:123">
      <c r="A1086" s="2185"/>
      <c r="B1086" s="2195"/>
      <c r="C1086" s="2180"/>
      <c r="D1086" s="292" t="s">
        <v>896</v>
      </c>
      <c r="E1086" s="511">
        <v>21</v>
      </c>
      <c r="F1086" s="233" t="s">
        <v>15</v>
      </c>
      <c r="G1086" s="233" t="s">
        <v>15</v>
      </c>
      <c r="H1086" s="513">
        <v>4.1190476190476204</v>
      </c>
      <c r="I1086" s="570">
        <v>3.2601915660922498</v>
      </c>
      <c r="J1086" s="234" t="s">
        <v>15</v>
      </c>
      <c r="K1086" s="233" t="s">
        <v>15</v>
      </c>
      <c r="L1086" s="234" t="s">
        <v>15</v>
      </c>
      <c r="M1086" s="233" t="s">
        <v>15</v>
      </c>
      <c r="N1086" s="1233">
        <v>-1.099</v>
      </c>
      <c r="O1086" s="528">
        <v>-1.82</v>
      </c>
      <c r="P1086" s="528">
        <v>0.60260000000000002</v>
      </c>
      <c r="Q1086" s="529">
        <v>0.22340411269379598</v>
      </c>
      <c r="R1086" s="2154"/>
      <c r="S1086" s="531" t="s">
        <v>74</v>
      </c>
      <c r="T1086" s="505" t="s">
        <v>75</v>
      </c>
      <c r="U1086" s="881"/>
      <c r="V1086" s="24"/>
      <c r="W1086" s="26"/>
      <c r="X1086" s="26"/>
      <c r="Y1086" s="525"/>
      <c r="Z1086" s="525"/>
      <c r="AA1086" s="525"/>
      <c r="AB1086" s="921"/>
      <c r="AC1086" s="26"/>
      <c r="AD1086" s="24"/>
      <c r="AE1086" s="26"/>
      <c r="AF1086" s="106"/>
      <c r="AG1086" s="37"/>
      <c r="AH1086" s="957"/>
      <c r="AI1086" s="1023"/>
      <c r="AJ1086" s="1023"/>
      <c r="AK1086" s="1023"/>
      <c r="AL1086" s="1023"/>
      <c r="AM1086" s="1023"/>
      <c r="AN1086" s="1023"/>
      <c r="AO1086" s="957"/>
      <c r="AP1086" s="957"/>
      <c r="AQ1086" s="957"/>
      <c r="AR1086" s="957"/>
      <c r="AS1086" s="957"/>
      <c r="AT1086" s="957"/>
      <c r="AU1086" s="957"/>
      <c r="AV1086" s="957"/>
      <c r="AW1086" s="957"/>
      <c r="AX1086" s="957"/>
      <c r="AY1086" s="957"/>
      <c r="AZ1086" s="957"/>
      <c r="BA1086" s="957"/>
      <c r="BB1086" s="957"/>
      <c r="BC1086" s="957"/>
      <c r="BD1086" s="957"/>
      <c r="BE1086" s="957"/>
      <c r="BF1086" s="957"/>
      <c r="BG1086" s="957"/>
    </row>
    <row r="1087" spans="1:123">
      <c r="A1087" s="2185"/>
      <c r="B1087" s="2194" t="s">
        <v>899</v>
      </c>
      <c r="C1087" s="2179" t="s">
        <v>11</v>
      </c>
      <c r="D1087" s="292" t="s">
        <v>33</v>
      </c>
      <c r="E1087" s="511">
        <v>85</v>
      </c>
      <c r="F1087" s="233" t="s">
        <v>15</v>
      </c>
      <c r="G1087" s="233" t="s">
        <v>15</v>
      </c>
      <c r="H1087" s="513">
        <v>8.4979999999999993</v>
      </c>
      <c r="I1087" s="570">
        <v>1.7912471048060901</v>
      </c>
      <c r="J1087" s="234" t="s">
        <v>15</v>
      </c>
      <c r="K1087" s="233" t="s">
        <v>15</v>
      </c>
      <c r="L1087" s="234" t="s">
        <v>15</v>
      </c>
      <c r="M1087" s="233" t="s">
        <v>15</v>
      </c>
      <c r="N1087" s="1233">
        <v>-2.0082</v>
      </c>
      <c r="O1087" s="528">
        <v>-3.68</v>
      </c>
      <c r="P1087" s="528">
        <v>0.54630000000000001</v>
      </c>
      <c r="Q1087" s="251">
        <v>5.9436293677855287E-2</v>
      </c>
      <c r="R1087" s="2130">
        <f>SUMPRODUCT(N1087:N1088,Q1087:Q1088)</f>
        <v>-0.11935996496386898</v>
      </c>
      <c r="S1087" s="396">
        <v>106</v>
      </c>
      <c r="T1087" s="506" t="s">
        <v>140</v>
      </c>
      <c r="U1087" s="884"/>
      <c r="V1087" s="24"/>
      <c r="W1087" s="26"/>
      <c r="X1087" s="26"/>
      <c r="Y1087" s="525"/>
      <c r="Z1087" s="525"/>
      <c r="AA1087" s="525"/>
      <c r="AB1087" s="921"/>
      <c r="AC1087" s="26"/>
      <c r="AD1087" s="24"/>
      <c r="AE1087" s="26"/>
      <c r="AF1087" s="106"/>
      <c r="AG1087" s="37"/>
      <c r="AH1087" s="957"/>
      <c r="AI1087" s="1023"/>
      <c r="AJ1087" s="1023"/>
      <c r="AK1087" s="1023"/>
      <c r="AL1087" s="1023"/>
      <c r="AM1087" s="1023"/>
      <c r="AN1087" s="1023"/>
      <c r="AO1087" s="957"/>
      <c r="AP1087" s="957"/>
      <c r="AQ1087" s="957"/>
      <c r="AR1087" s="957"/>
      <c r="AS1087" s="957"/>
      <c r="AT1087" s="957"/>
      <c r="AU1087" s="957"/>
      <c r="AV1087" s="957"/>
      <c r="AW1087" s="957"/>
      <c r="AX1087" s="957"/>
      <c r="AY1087" s="957"/>
      <c r="AZ1087" s="957"/>
      <c r="BA1087" s="957"/>
      <c r="BB1087" s="957"/>
      <c r="BC1087" s="957"/>
      <c r="BD1087" s="957"/>
      <c r="BE1087" s="957"/>
      <c r="BF1087" s="957"/>
      <c r="BG1087" s="957"/>
    </row>
    <row r="1088" spans="1:123">
      <c r="A1088" s="2185"/>
      <c r="B1088" s="2195"/>
      <c r="C1088" s="2180"/>
      <c r="D1088" s="292" t="s">
        <v>32</v>
      </c>
      <c r="E1088" s="511">
        <v>21</v>
      </c>
      <c r="F1088" s="233" t="s">
        <v>15</v>
      </c>
      <c r="G1088" s="233" t="s">
        <v>15</v>
      </c>
      <c r="H1088" s="513">
        <v>1.8672222222222199</v>
      </c>
      <c r="I1088" s="570">
        <v>0.82303677745106696</v>
      </c>
      <c r="J1088" s="234" t="s">
        <v>15</v>
      </c>
      <c r="K1088" s="233" t="s">
        <v>15</v>
      </c>
      <c r="L1088" s="234" t="s">
        <v>15</v>
      </c>
      <c r="M1088" s="233" t="s">
        <v>15</v>
      </c>
      <c r="N1088" s="537">
        <v>0</v>
      </c>
      <c r="O1088" s="536" t="s">
        <v>574</v>
      </c>
      <c r="P1088" s="536" t="s">
        <v>574</v>
      </c>
      <c r="Q1088" s="251">
        <v>0.9405637063221447</v>
      </c>
      <c r="R1088" s="2155"/>
      <c r="S1088" s="504" t="s">
        <v>41</v>
      </c>
      <c r="T1088" s="505" t="s">
        <v>42</v>
      </c>
      <c r="U1088" s="881"/>
      <c r="V1088" s="24"/>
      <c r="W1088" s="26"/>
      <c r="X1088" s="26"/>
      <c r="Y1088" s="525"/>
      <c r="Z1088" s="525"/>
      <c r="AA1088" s="525"/>
      <c r="AB1088" s="921"/>
      <c r="AC1088" s="26"/>
      <c r="AD1088" s="24"/>
      <c r="AE1088" s="26"/>
      <c r="AF1088" s="106"/>
      <c r="AG1088" s="37"/>
      <c r="AH1088" s="957"/>
      <c r="AI1088" s="1023"/>
      <c r="AJ1088" s="1023"/>
      <c r="AK1088" s="1023"/>
      <c r="AL1088" s="1023"/>
      <c r="AM1088" s="1023"/>
      <c r="AN1088" s="1023"/>
      <c r="AO1088" s="957"/>
      <c r="AP1088" s="957"/>
      <c r="AQ1088" s="957"/>
      <c r="AR1088" s="957"/>
      <c r="AS1088" s="957"/>
      <c r="AT1088" s="957"/>
      <c r="AU1088" s="957"/>
      <c r="AV1088" s="957"/>
      <c r="AW1088" s="957"/>
      <c r="AX1088" s="957"/>
      <c r="AY1088" s="957"/>
      <c r="AZ1088" s="957"/>
      <c r="BA1088" s="957"/>
      <c r="BB1088" s="957"/>
      <c r="BC1088" s="957"/>
      <c r="BD1088" s="957"/>
      <c r="BE1088" s="957"/>
      <c r="BF1088" s="957"/>
      <c r="BG1088" s="957"/>
    </row>
    <row r="1089" spans="1:123">
      <c r="A1089" s="2185"/>
      <c r="B1089" s="2194" t="s">
        <v>900</v>
      </c>
      <c r="C1089" s="2179" t="s">
        <v>11</v>
      </c>
      <c r="D1089" s="292" t="s">
        <v>33</v>
      </c>
      <c r="E1089" s="511">
        <v>96</v>
      </c>
      <c r="F1089" s="233" t="s">
        <v>15</v>
      </c>
      <c r="G1089" s="233" t="s">
        <v>15</v>
      </c>
      <c r="H1089" s="513">
        <v>7.8174479166666702</v>
      </c>
      <c r="I1089" s="570">
        <v>2.5455807934941199</v>
      </c>
      <c r="J1089" s="234" t="s">
        <v>15</v>
      </c>
      <c r="K1089" s="233" t="s">
        <v>15</v>
      </c>
      <c r="L1089" s="234" t="s">
        <v>15</v>
      </c>
      <c r="M1089" s="233" t="s">
        <v>15</v>
      </c>
      <c r="N1089" s="1233">
        <v>-0.86070000000000002</v>
      </c>
      <c r="O1089" s="528">
        <v>-1.1499999999999999</v>
      </c>
      <c r="P1089" s="528">
        <v>0.74670000000000003</v>
      </c>
      <c r="Q1089" s="251">
        <v>0</v>
      </c>
      <c r="R1089" s="2130">
        <f>SUMPRODUCT(N1089:N1090,Q1089:Q1090)</f>
        <v>0</v>
      </c>
      <c r="S1089" s="452">
        <v>0.62</v>
      </c>
      <c r="T1089" s="260">
        <v>4.92</v>
      </c>
      <c r="U1089" s="863"/>
      <c r="V1089" s="24"/>
      <c r="W1089" s="26"/>
      <c r="X1089" s="26"/>
      <c r="Y1089" s="525"/>
      <c r="Z1089" s="525"/>
      <c r="AA1089" s="525"/>
      <c r="AB1089" s="921"/>
      <c r="AC1089" s="26"/>
      <c r="AD1089" s="24"/>
      <c r="AE1089" s="26"/>
      <c r="AF1089" s="106"/>
      <c r="AG1089" s="37"/>
      <c r="AH1089" s="957"/>
      <c r="AI1089" s="1023"/>
      <c r="AJ1089" s="1023"/>
      <c r="AK1089" s="1023"/>
      <c r="AL1089" s="1023"/>
      <c r="AM1089" s="1023"/>
      <c r="AN1089" s="1023"/>
      <c r="AO1089" s="957"/>
      <c r="AP1089" s="957"/>
      <c r="AQ1089" s="957"/>
      <c r="AR1089" s="957"/>
      <c r="AS1089" s="957"/>
      <c r="AT1089" s="957"/>
      <c r="AU1089" s="957"/>
      <c r="AV1089" s="957"/>
      <c r="AW1089" s="957"/>
      <c r="AX1089" s="957"/>
      <c r="AY1089" s="957"/>
      <c r="AZ1089" s="957"/>
      <c r="BA1089" s="957"/>
      <c r="BB1089" s="957"/>
      <c r="BC1089" s="957"/>
      <c r="BD1089" s="957"/>
      <c r="BE1089" s="957"/>
      <c r="BF1089" s="957"/>
      <c r="BG1089" s="957"/>
    </row>
    <row r="1090" spans="1:123">
      <c r="A1090" s="2185"/>
      <c r="B1090" s="2195"/>
      <c r="C1090" s="2180"/>
      <c r="D1090" s="292" t="s">
        <v>32</v>
      </c>
      <c r="E1090" s="511">
        <v>10</v>
      </c>
      <c r="F1090" s="233" t="s">
        <v>15</v>
      </c>
      <c r="G1090" s="233" t="s">
        <v>15</v>
      </c>
      <c r="H1090" s="513">
        <v>1.10666666666667</v>
      </c>
      <c r="I1090" s="570">
        <v>0</v>
      </c>
      <c r="J1090" s="234" t="s">
        <v>15</v>
      </c>
      <c r="K1090" s="233" t="s">
        <v>15</v>
      </c>
      <c r="L1090" s="234" t="s">
        <v>15</v>
      </c>
      <c r="M1090" s="233" t="s">
        <v>15</v>
      </c>
      <c r="N1090" s="537">
        <v>0</v>
      </c>
      <c r="O1090" s="536" t="s">
        <v>574</v>
      </c>
      <c r="P1090" s="536" t="s">
        <v>574</v>
      </c>
      <c r="Q1090" s="251">
        <v>1</v>
      </c>
      <c r="R1090" s="2155"/>
      <c r="S1090" s="118" t="s">
        <v>235</v>
      </c>
      <c r="T1090" s="119" t="s">
        <v>391</v>
      </c>
      <c r="U1090" s="855"/>
      <c r="V1090" s="24"/>
      <c r="W1090" s="26"/>
      <c r="X1090" s="26"/>
      <c r="Y1090" s="525"/>
      <c r="Z1090" s="525"/>
      <c r="AA1090" s="525"/>
      <c r="AB1090" s="921"/>
      <c r="AC1090" s="26"/>
      <c r="AD1090" s="24"/>
      <c r="AE1090" s="26"/>
      <c r="AF1090" s="106"/>
      <c r="AG1090" s="37"/>
      <c r="AH1090" s="957"/>
      <c r="AI1090" s="1023"/>
      <c r="AJ1090" s="1023"/>
      <c r="AK1090" s="1023"/>
      <c r="AL1090" s="1023"/>
      <c r="AM1090" s="1023"/>
      <c r="AN1090" s="1023"/>
      <c r="AO1090" s="957"/>
      <c r="AP1090" s="957"/>
      <c r="AQ1090" s="957"/>
      <c r="AR1090" s="957"/>
      <c r="AS1090" s="957"/>
      <c r="AT1090" s="957"/>
      <c r="AU1090" s="957"/>
      <c r="AV1090" s="957"/>
      <c r="AW1090" s="957"/>
      <c r="AX1090" s="957"/>
      <c r="AY1090" s="957"/>
      <c r="AZ1090" s="957"/>
      <c r="BA1090" s="957"/>
      <c r="BB1090" s="957"/>
      <c r="BC1090" s="957"/>
      <c r="BD1090" s="957"/>
      <c r="BE1090" s="957"/>
      <c r="BF1090" s="957"/>
      <c r="BG1090" s="957"/>
    </row>
    <row r="1091" spans="1:123">
      <c r="A1091" s="2185"/>
      <c r="B1091" s="827" t="s">
        <v>903</v>
      </c>
      <c r="C1091" s="981" t="s">
        <v>12</v>
      </c>
      <c r="D1091" s="510" t="s">
        <v>924</v>
      </c>
      <c r="E1091" s="511">
        <v>106</v>
      </c>
      <c r="F1091" s="487">
        <v>8.4433962264150892</v>
      </c>
      <c r="G1091" s="487">
        <v>4.1267540309528501</v>
      </c>
      <c r="H1091" s="767">
        <v>7.1843553459119498</v>
      </c>
      <c r="I1091" s="768">
        <v>3.12205463797061</v>
      </c>
      <c r="J1091" s="642" t="s">
        <v>14</v>
      </c>
      <c r="K1091" s="1158">
        <v>6</v>
      </c>
      <c r="L1091" s="642" t="s">
        <v>14</v>
      </c>
      <c r="M1091" s="1158">
        <v>10</v>
      </c>
      <c r="N1091" s="1233">
        <v>7.6799999999999993E-2</v>
      </c>
      <c r="O1091" s="528">
        <v>1.82</v>
      </c>
      <c r="P1091" s="528">
        <v>4.2200000000000001E-2</v>
      </c>
      <c r="Q1091" s="195" t="s">
        <v>15</v>
      </c>
      <c r="R1091" s="128">
        <f>N1091</f>
        <v>7.6799999999999993E-2</v>
      </c>
      <c r="S1091" s="357">
        <v>1.084084</v>
      </c>
      <c r="T1091" s="151" t="s">
        <v>15</v>
      </c>
      <c r="U1091" s="862"/>
      <c r="V1091" s="24"/>
      <c r="W1091" s="26"/>
      <c r="X1091" s="26"/>
      <c r="Y1091" s="525"/>
      <c r="Z1091" s="525"/>
      <c r="AA1091" s="525"/>
      <c r="AB1091" s="921"/>
      <c r="AC1091" s="26"/>
      <c r="AD1091" s="24"/>
      <c r="AE1091" s="26"/>
      <c r="AF1091" s="106"/>
      <c r="AG1091" s="37"/>
      <c r="AH1091" s="957"/>
      <c r="AI1091" s="1023"/>
      <c r="AJ1091" s="1023"/>
      <c r="AK1091" s="1023"/>
      <c r="AL1091" s="1023"/>
      <c r="AM1091" s="1023"/>
      <c r="AN1091" s="1023"/>
      <c r="AO1091" s="957"/>
      <c r="AP1091" s="957"/>
      <c r="AQ1091" s="957"/>
      <c r="AR1091" s="957"/>
      <c r="AS1091" s="957"/>
      <c r="AT1091" s="957"/>
      <c r="AU1091" s="957"/>
      <c r="AV1091" s="957"/>
      <c r="AW1091" s="957"/>
      <c r="AX1091" s="957"/>
      <c r="AY1091" s="957"/>
      <c r="AZ1091" s="957"/>
      <c r="BA1091" s="957"/>
      <c r="BB1091" s="957"/>
      <c r="BC1091" s="957"/>
      <c r="BD1091" s="957"/>
      <c r="BE1091" s="957"/>
      <c r="BF1091" s="957"/>
      <c r="BG1091" s="957"/>
    </row>
    <row r="1092" spans="1:123" s="325" customFormat="1" ht="30.75" thickBot="1">
      <c r="A1092" s="2203"/>
      <c r="B1092" s="826" t="s">
        <v>533</v>
      </c>
      <c r="C1092" s="981" t="s">
        <v>12</v>
      </c>
      <c r="D1092" s="649" t="s">
        <v>925</v>
      </c>
      <c r="E1092" s="644">
        <v>106</v>
      </c>
      <c r="F1092" s="645">
        <v>9.9245283018867898</v>
      </c>
      <c r="G1092" s="645">
        <v>2.5511831548651198</v>
      </c>
      <c r="H1092" s="769">
        <v>7.1843553459119498</v>
      </c>
      <c r="I1092" s="770">
        <v>3.12205463797061</v>
      </c>
      <c r="J1092" s="646" t="s">
        <v>14</v>
      </c>
      <c r="K1092" s="1157" t="s">
        <v>1084</v>
      </c>
      <c r="L1092" s="646" t="s">
        <v>12</v>
      </c>
      <c r="M1092" s="1179" t="s">
        <v>1083</v>
      </c>
      <c r="N1092" s="1234">
        <v>0.20599999999999999</v>
      </c>
      <c r="O1092" s="532">
        <v>2.61</v>
      </c>
      <c r="P1092" s="532">
        <v>7.8799999999999995E-2</v>
      </c>
      <c r="Q1092" s="375" t="s">
        <v>15</v>
      </c>
      <c r="R1092" s="634">
        <f>N1092</f>
        <v>0.20599999999999999</v>
      </c>
      <c r="S1092" s="330"/>
      <c r="T1092" s="330"/>
      <c r="U1092" s="883"/>
      <c r="V1092" s="502"/>
      <c r="W1092" s="330"/>
      <c r="X1092" s="330"/>
      <c r="Y1092" s="648"/>
      <c r="Z1092" s="648"/>
      <c r="AA1092" s="648"/>
      <c r="AB1092" s="928"/>
      <c r="AC1092" s="330"/>
      <c r="AD1092" s="502"/>
      <c r="AE1092" s="330"/>
      <c r="AF1092" s="105"/>
      <c r="AG1092" s="330"/>
      <c r="AH1092" s="962"/>
      <c r="AI1092" s="1038"/>
      <c r="AJ1092" s="1038"/>
      <c r="AK1092" s="1038"/>
      <c r="AL1092" s="1038"/>
      <c r="AM1092" s="1038"/>
      <c r="AN1092" s="1038"/>
      <c r="AO1092" s="962"/>
      <c r="AP1092" s="962"/>
      <c r="AQ1092" s="962"/>
      <c r="AR1092" s="962"/>
      <c r="AS1092" s="962"/>
      <c r="AT1092" s="962"/>
      <c r="AU1092" s="962"/>
      <c r="AV1092" s="962"/>
      <c r="AW1092" s="962"/>
      <c r="AX1092" s="962"/>
      <c r="AY1092" s="962"/>
      <c r="AZ1092" s="962"/>
      <c r="BA1092" s="962"/>
      <c r="BB1092" s="962"/>
      <c r="BC1092" s="962"/>
      <c r="BD1092" s="962"/>
      <c r="BE1092" s="962"/>
      <c r="BF1092" s="962"/>
      <c r="BG1092" s="962"/>
      <c r="BH1092" s="1130"/>
      <c r="CF1092" s="568"/>
      <c r="CG1092" s="568"/>
      <c r="CH1092" s="568"/>
      <c r="CI1092" s="568"/>
      <c r="CJ1092" s="568"/>
      <c r="CK1092" s="568"/>
      <c r="CL1092" s="568"/>
      <c r="CM1092" s="568"/>
      <c r="CN1092" s="568"/>
      <c r="CO1092" s="568"/>
      <c r="CP1092" s="568"/>
      <c r="CQ1092" s="568"/>
      <c r="CR1092" s="568"/>
      <c r="CS1092" s="568"/>
      <c r="CT1092" s="568"/>
      <c r="CU1092" s="568"/>
      <c r="CV1092" s="568"/>
      <c r="CW1092" s="568"/>
      <c r="CX1092" s="568"/>
      <c r="CY1092" s="568"/>
      <c r="CZ1092" s="568"/>
      <c r="DA1092" s="568"/>
      <c r="DB1092" s="568"/>
      <c r="DC1092" s="568"/>
      <c r="DD1092" s="568"/>
      <c r="DE1092" s="568"/>
      <c r="DF1092" s="568"/>
      <c r="DG1092" s="568"/>
      <c r="DH1092" s="568"/>
      <c r="DI1092" s="560"/>
      <c r="DJ1092" s="568"/>
      <c r="DK1092" s="568"/>
      <c r="DL1092" s="568"/>
      <c r="DM1092" s="568"/>
      <c r="DN1092" s="568"/>
      <c r="DO1092" s="568"/>
      <c r="DP1092" s="568"/>
      <c r="DQ1092" s="568"/>
      <c r="DR1092" s="568"/>
      <c r="DS1092" s="568"/>
    </row>
    <row r="1093" spans="1:123" s="692" customFormat="1" ht="9" customHeight="1" thickBot="1">
      <c r="A1093" s="695"/>
      <c r="B1093" s="815"/>
      <c r="C1093" s="684"/>
      <c r="D1093" s="683"/>
      <c r="E1093" s="707"/>
      <c r="F1093" s="708"/>
      <c r="G1093" s="708"/>
      <c r="H1093" s="709"/>
      <c r="I1093" s="709"/>
      <c r="J1093" s="682"/>
      <c r="K1093" s="683"/>
      <c r="L1093" s="682"/>
      <c r="M1093" s="685"/>
      <c r="N1093" s="1189"/>
      <c r="O1093" s="686"/>
      <c r="P1093" s="686"/>
      <c r="Q1093" s="687"/>
      <c r="R1093" s="687"/>
      <c r="S1093" s="688"/>
      <c r="T1093" s="688"/>
      <c r="U1093" s="854"/>
      <c r="V1093" s="893"/>
      <c r="W1093" s="685"/>
      <c r="X1093" s="685"/>
      <c r="Y1093" s="710"/>
      <c r="Z1093" s="710"/>
      <c r="AA1093" s="710"/>
      <c r="AB1093" s="921"/>
      <c r="AC1093" s="690"/>
      <c r="AD1093" s="690"/>
      <c r="AE1093" s="690"/>
      <c r="AF1093" s="711"/>
      <c r="AG1093" s="690"/>
      <c r="AH1093" s="959"/>
      <c r="AI1093" s="959"/>
      <c r="AJ1093" s="959"/>
      <c r="AK1093" s="959"/>
      <c r="AL1093" s="959"/>
      <c r="AM1093" s="959"/>
      <c r="AN1093" s="959"/>
      <c r="AO1093" s="959"/>
      <c r="AP1093" s="959"/>
      <c r="AQ1093" s="959"/>
      <c r="AR1093" s="959"/>
      <c r="AS1093" s="959"/>
      <c r="AT1093" s="959"/>
      <c r="AU1093" s="959"/>
      <c r="AV1093" s="959"/>
      <c r="AW1093" s="959"/>
      <c r="AX1093" s="959"/>
      <c r="AY1093" s="959"/>
      <c r="AZ1093" s="959"/>
      <c r="BA1093" s="959"/>
      <c r="BB1093" s="959"/>
      <c r="BC1093" s="959"/>
      <c r="BD1093" s="959"/>
      <c r="BE1093" s="959"/>
      <c r="BF1093" s="959"/>
      <c r="BG1093" s="959"/>
      <c r="BH1093" s="1125"/>
      <c r="DI1093" s="693"/>
    </row>
    <row r="1094" spans="1:123" ht="15" customHeight="1">
      <c r="A1094" s="2171" t="s">
        <v>926</v>
      </c>
      <c r="B1094" s="2194" t="s">
        <v>889</v>
      </c>
      <c r="C1094" s="2179" t="s">
        <v>13</v>
      </c>
      <c r="D1094" s="292" t="s">
        <v>890</v>
      </c>
      <c r="E1094" s="511">
        <v>142</v>
      </c>
      <c r="F1094" s="233" t="s">
        <v>15</v>
      </c>
      <c r="G1094" s="233" t="s">
        <v>15</v>
      </c>
      <c r="H1094" s="513">
        <v>21.861126760563401</v>
      </c>
      <c r="I1094" s="570">
        <v>8.2823866860863404</v>
      </c>
      <c r="J1094" s="234" t="s">
        <v>15</v>
      </c>
      <c r="K1094" s="233" t="s">
        <v>15</v>
      </c>
      <c r="L1094" s="234" t="s">
        <v>15</v>
      </c>
      <c r="M1094" s="233" t="s">
        <v>15</v>
      </c>
      <c r="N1094" s="441">
        <v>0</v>
      </c>
      <c r="O1094" s="280" t="s">
        <v>574</v>
      </c>
      <c r="P1094" s="280" t="s">
        <v>574</v>
      </c>
      <c r="Q1094" s="259">
        <v>0.48</v>
      </c>
      <c r="R1094" s="2152">
        <f>SUMPRODUCT(N1094:N1098,Q1094:Q1098)</f>
        <v>1.261468</v>
      </c>
      <c r="S1094" s="531" t="s">
        <v>68</v>
      </c>
      <c r="T1094" s="505" t="s">
        <v>69</v>
      </c>
      <c r="U1094" s="881"/>
      <c r="V1094" s="2243" t="s">
        <v>2698</v>
      </c>
      <c r="W1094" s="219" t="s">
        <v>47</v>
      </c>
      <c r="X1094" s="492" t="s">
        <v>1006</v>
      </c>
      <c r="Y1094" s="533">
        <f>T969+R968+R962+R970+R972+R976+R978*1.5+R979*(40-30)</f>
        <v>1.2283265288286027</v>
      </c>
      <c r="Z1094" s="282" t="s">
        <v>40</v>
      </c>
      <c r="AA1094" s="575" t="s">
        <v>40</v>
      </c>
      <c r="AB1094" s="846"/>
      <c r="AC1094" s="26"/>
      <c r="AD1094" s="24"/>
      <c r="AE1094" s="26"/>
      <c r="AF1094" s="106"/>
      <c r="AG1094" s="37"/>
      <c r="AH1094" s="957"/>
      <c r="AI1094" s="1023"/>
      <c r="AJ1094" s="1023"/>
      <c r="AK1094" s="1023"/>
      <c r="AL1094" s="1023"/>
      <c r="AM1094" s="1023"/>
      <c r="AN1094" s="1023"/>
      <c r="AO1094" s="957"/>
      <c r="AP1094" s="957"/>
      <c r="AQ1094" s="957"/>
      <c r="AR1094" s="957"/>
      <c r="AS1094" s="957"/>
      <c r="AT1094" s="957"/>
      <c r="AU1094" s="957"/>
      <c r="AV1094" s="957"/>
      <c r="AW1094" s="957"/>
      <c r="AX1094" s="957"/>
      <c r="AY1094" s="957"/>
      <c r="AZ1094" s="957"/>
      <c r="BA1094" s="957"/>
      <c r="BB1094" s="957"/>
      <c r="BC1094" s="957"/>
      <c r="BD1094" s="957"/>
      <c r="BE1094" s="957"/>
      <c r="BF1094" s="957"/>
      <c r="BG1094" s="957"/>
    </row>
    <row r="1095" spans="1:123">
      <c r="A1095" s="2172"/>
      <c r="B1095" s="2199"/>
      <c r="C1095" s="2187"/>
      <c r="D1095" s="292" t="s">
        <v>894</v>
      </c>
      <c r="E1095" s="511">
        <v>11</v>
      </c>
      <c r="F1095" s="233" t="s">
        <v>15</v>
      </c>
      <c r="G1095" s="233" t="s">
        <v>15</v>
      </c>
      <c r="H1095" s="513">
        <v>14.535454545454501</v>
      </c>
      <c r="I1095" s="570">
        <v>4.1560470729681702</v>
      </c>
      <c r="J1095" s="234" t="s">
        <v>15</v>
      </c>
      <c r="K1095" s="233" t="s">
        <v>15</v>
      </c>
      <c r="L1095" s="234" t="s">
        <v>15</v>
      </c>
      <c r="M1095" s="233" t="s">
        <v>15</v>
      </c>
      <c r="N1095" s="1233">
        <v>2.4258999999999999</v>
      </c>
      <c r="O1095" s="528">
        <v>1.65</v>
      </c>
      <c r="P1095" s="528">
        <v>1.4725999999999999</v>
      </c>
      <c r="Q1095" s="549">
        <v>0.52</v>
      </c>
      <c r="R1095" s="2153"/>
      <c r="S1095" s="46" t="s">
        <v>892</v>
      </c>
      <c r="T1095" s="451" t="s">
        <v>893</v>
      </c>
      <c r="U1095" s="882"/>
      <c r="V1095" s="2244"/>
      <c r="W1095" s="982" t="s">
        <v>49</v>
      </c>
      <c r="X1095" s="494" t="s">
        <v>1018</v>
      </c>
      <c r="Y1095" s="526">
        <f>T1101+R1094+R1099+R1103+R1105*9</f>
        <v>28.294607764598105</v>
      </c>
      <c r="Z1095" s="526">
        <f>Y1095-Y1094</f>
        <v>27.066281235769502</v>
      </c>
      <c r="AA1095" s="580"/>
      <c r="AB1095" s="921"/>
      <c r="AC1095" s="26"/>
      <c r="AD1095" s="24"/>
      <c r="AE1095" s="26"/>
      <c r="AF1095" s="106"/>
      <c r="AG1095" s="37"/>
      <c r="AH1095" s="957"/>
      <c r="AI1095" s="1023"/>
      <c r="AJ1095" s="1023"/>
      <c r="AK1095" s="1023"/>
      <c r="AL1095" s="1023"/>
      <c r="AM1095" s="1023"/>
      <c r="AN1095" s="1023"/>
      <c r="AO1095" s="957"/>
      <c r="AP1095" s="957"/>
      <c r="AQ1095" s="957"/>
      <c r="AR1095" s="957"/>
      <c r="AS1095" s="957"/>
      <c r="AT1095" s="957"/>
      <c r="AU1095" s="957"/>
      <c r="AV1095" s="957"/>
      <c r="AW1095" s="957"/>
      <c r="AX1095" s="957"/>
      <c r="AY1095" s="957"/>
      <c r="AZ1095" s="957"/>
      <c r="BA1095" s="957"/>
      <c r="BB1095" s="957"/>
      <c r="BC1095" s="957"/>
      <c r="BD1095" s="957"/>
      <c r="BE1095" s="957"/>
      <c r="BF1095" s="957"/>
      <c r="BG1095" s="957"/>
    </row>
    <row r="1096" spans="1:123">
      <c r="A1096" s="2172"/>
      <c r="B1096" s="2199"/>
      <c r="C1096" s="2187"/>
      <c r="D1096" s="292" t="s">
        <v>895</v>
      </c>
      <c r="E1096" s="511">
        <v>7</v>
      </c>
      <c r="F1096" s="233" t="s">
        <v>15</v>
      </c>
      <c r="G1096" s="233" t="s">
        <v>15</v>
      </c>
      <c r="H1096" s="513">
        <v>21.99</v>
      </c>
      <c r="I1096" s="570">
        <v>8.6216781042517106</v>
      </c>
      <c r="J1096" s="234" t="s">
        <v>15</v>
      </c>
      <c r="K1096" s="233" t="s">
        <v>15</v>
      </c>
      <c r="L1096" s="234" t="s">
        <v>15</v>
      </c>
      <c r="M1096" s="233" t="s">
        <v>15</v>
      </c>
      <c r="N1096" s="1233">
        <v>8.3036999999999992</v>
      </c>
      <c r="O1096" s="528">
        <v>4.82</v>
      </c>
      <c r="P1096" s="528">
        <v>1.7236</v>
      </c>
      <c r="Q1096" s="195" t="s">
        <v>15</v>
      </c>
      <c r="R1096" s="2153"/>
      <c r="S1096" s="531" t="s">
        <v>72</v>
      </c>
      <c r="T1096" s="416" t="s">
        <v>119</v>
      </c>
      <c r="U1096" s="876"/>
      <c r="V1096" s="2244"/>
      <c r="W1096" s="982" t="s">
        <v>47</v>
      </c>
      <c r="X1096" s="494" t="s">
        <v>1019</v>
      </c>
      <c r="Y1096" s="526">
        <f>T1031+R1024+R1032+R1034+R1040+R1046*10+R1047*10</f>
        <v>2.8560158137312852</v>
      </c>
      <c r="Z1096" s="95" t="s">
        <v>40</v>
      </c>
      <c r="AA1096" s="117" t="s">
        <v>40</v>
      </c>
      <c r="AB1096" s="846"/>
      <c r="AC1096" s="26"/>
      <c r="AD1096" s="24"/>
      <c r="AE1096" s="26"/>
      <c r="AF1096" s="106"/>
      <c r="AG1096" s="37"/>
      <c r="AH1096" s="957"/>
      <c r="AI1096" s="1023"/>
      <c r="AJ1096" s="1023"/>
      <c r="AK1096" s="1023"/>
      <c r="AL1096" s="1023"/>
      <c r="AM1096" s="1023"/>
      <c r="AN1096" s="1023"/>
      <c r="AO1096" s="957"/>
      <c r="AP1096" s="957"/>
      <c r="AQ1096" s="957"/>
      <c r="AR1096" s="957"/>
      <c r="AS1096" s="957"/>
      <c r="AT1096" s="957"/>
      <c r="AU1096" s="957"/>
      <c r="AV1096" s="957"/>
      <c r="AW1096" s="957"/>
      <c r="AX1096" s="957"/>
      <c r="AY1096" s="957"/>
      <c r="AZ1096" s="957"/>
      <c r="BA1096" s="957"/>
      <c r="BB1096" s="957"/>
      <c r="BC1096" s="957"/>
      <c r="BD1096" s="957"/>
      <c r="BE1096" s="957"/>
      <c r="BF1096" s="957"/>
      <c r="BG1096" s="957"/>
    </row>
    <row r="1097" spans="1:123">
      <c r="A1097" s="2172"/>
      <c r="B1097" s="2199"/>
      <c r="C1097" s="2187"/>
      <c r="D1097" s="292" t="s">
        <v>896</v>
      </c>
      <c r="E1097" s="511">
        <v>17</v>
      </c>
      <c r="F1097" s="233" t="s">
        <v>15</v>
      </c>
      <c r="G1097" s="233" t="s">
        <v>15</v>
      </c>
      <c r="H1097" s="513">
        <v>13.309411764705899</v>
      </c>
      <c r="I1097" s="570">
        <v>7.7485260457943204</v>
      </c>
      <c r="J1097" s="234" t="s">
        <v>15</v>
      </c>
      <c r="K1097" s="233" t="s">
        <v>15</v>
      </c>
      <c r="L1097" s="234" t="s">
        <v>15</v>
      </c>
      <c r="M1097" s="233" t="s">
        <v>15</v>
      </c>
      <c r="N1097" s="1233">
        <v>-5.33E-2</v>
      </c>
      <c r="O1097" s="528">
        <v>-0.04</v>
      </c>
      <c r="P1097" s="528">
        <v>1.2316</v>
      </c>
      <c r="Q1097" s="195" t="s">
        <v>15</v>
      </c>
      <c r="R1097" s="2153"/>
      <c r="S1097" s="506" t="s">
        <v>73</v>
      </c>
      <c r="T1097" s="507" t="s">
        <v>140</v>
      </c>
      <c r="U1097" s="883"/>
      <c r="V1097" s="2244"/>
      <c r="W1097" s="982" t="s">
        <v>49</v>
      </c>
      <c r="X1097" s="494" t="s">
        <v>1018</v>
      </c>
      <c r="Y1097" s="526">
        <f>T1101+R1094+R1099+R1103+R1105*9</f>
        <v>28.294607764598105</v>
      </c>
      <c r="Z1097" s="526">
        <f>Y1097-Y1096</f>
        <v>25.438591950866819</v>
      </c>
      <c r="AA1097" s="580"/>
      <c r="AB1097" s="921"/>
      <c r="AC1097" s="26"/>
      <c r="AD1097" s="24"/>
      <c r="AE1097" s="26"/>
      <c r="AF1097" s="106"/>
      <c r="AG1097" s="37"/>
      <c r="AH1097" s="957"/>
      <c r="AI1097" s="1023"/>
      <c r="AJ1097" s="1023"/>
      <c r="AK1097" s="1023"/>
      <c r="AL1097" s="1023"/>
      <c r="AM1097" s="1023"/>
      <c r="AN1097" s="1023"/>
      <c r="AO1097" s="957"/>
      <c r="AP1097" s="957"/>
      <c r="AQ1097" s="957"/>
      <c r="AR1097" s="957"/>
      <c r="AS1097" s="957"/>
      <c r="AT1097" s="957"/>
      <c r="AU1097" s="957"/>
      <c r="AV1097" s="957"/>
      <c r="AW1097" s="957"/>
      <c r="AX1097" s="957"/>
      <c r="AY1097" s="957"/>
      <c r="AZ1097" s="957"/>
      <c r="BA1097" s="957"/>
      <c r="BB1097" s="957"/>
      <c r="BC1097" s="957"/>
      <c r="BD1097" s="957"/>
      <c r="BE1097" s="957"/>
      <c r="BF1097" s="957"/>
      <c r="BG1097" s="957"/>
    </row>
    <row r="1098" spans="1:123">
      <c r="A1098" s="2172"/>
      <c r="B1098" s="2195"/>
      <c r="C1098" s="2180"/>
      <c r="D1098" s="292" t="s">
        <v>897</v>
      </c>
      <c r="E1098" s="511">
        <v>23</v>
      </c>
      <c r="F1098" s="233" t="s">
        <v>15</v>
      </c>
      <c r="G1098" s="233" t="s">
        <v>15</v>
      </c>
      <c r="H1098" s="513">
        <v>13.895652173913</v>
      </c>
      <c r="I1098" s="570">
        <v>3.2708044966546002</v>
      </c>
      <c r="J1098" s="234" t="s">
        <v>15</v>
      </c>
      <c r="K1098" s="233" t="s">
        <v>15</v>
      </c>
      <c r="L1098" s="234" t="s">
        <v>15</v>
      </c>
      <c r="M1098" s="233" t="s">
        <v>15</v>
      </c>
      <c r="N1098" s="1233">
        <v>-8.3087999999999997</v>
      </c>
      <c r="O1098" s="528">
        <v>-8.2200000000000006</v>
      </c>
      <c r="P1098" s="528">
        <v>1.0111000000000001</v>
      </c>
      <c r="Q1098" s="195" t="s">
        <v>15</v>
      </c>
      <c r="R1098" s="2154"/>
      <c r="S1098" s="531" t="s">
        <v>74</v>
      </c>
      <c r="T1098" s="505" t="s">
        <v>75</v>
      </c>
      <c r="U1098" s="881"/>
      <c r="V1098" s="2244"/>
      <c r="W1098" s="982" t="s">
        <v>47</v>
      </c>
      <c r="X1098" s="494" t="s">
        <v>1008</v>
      </c>
      <c r="Y1098" s="526">
        <f>T969+R968+R962+R970+R972+R976+R978*1.5+R979*(60-30)</f>
        <v>1.4123265288286027</v>
      </c>
      <c r="Z1098" s="95" t="s">
        <v>40</v>
      </c>
      <c r="AA1098" s="117" t="s">
        <v>40</v>
      </c>
      <c r="AB1098" s="846"/>
      <c r="AC1098" s="26"/>
      <c r="AD1098" s="24"/>
      <c r="AE1098" s="26"/>
      <c r="AF1098" s="106"/>
      <c r="AG1098" s="37"/>
      <c r="AH1098" s="957"/>
      <c r="AI1098" s="1023"/>
      <c r="AJ1098" s="1023"/>
      <c r="AK1098" s="1023"/>
      <c r="AL1098" s="1023"/>
      <c r="AM1098" s="1023"/>
      <c r="AN1098" s="1023"/>
      <c r="AO1098" s="957"/>
      <c r="AP1098" s="957"/>
      <c r="AQ1098" s="957"/>
      <c r="AR1098" s="957"/>
      <c r="AS1098" s="957"/>
      <c r="AT1098" s="957"/>
      <c r="AU1098" s="957"/>
      <c r="AV1098" s="957"/>
      <c r="AW1098" s="957"/>
      <c r="AX1098" s="957"/>
      <c r="AY1098" s="957"/>
      <c r="AZ1098" s="957"/>
      <c r="BA1098" s="957"/>
      <c r="BB1098" s="957"/>
      <c r="BC1098" s="957"/>
      <c r="BD1098" s="957"/>
      <c r="BE1098" s="957"/>
      <c r="BF1098" s="957"/>
      <c r="BG1098" s="957"/>
    </row>
    <row r="1099" spans="1:123">
      <c r="A1099" s="2172"/>
      <c r="B1099" s="2194" t="s">
        <v>902</v>
      </c>
      <c r="C1099" s="2179" t="s">
        <v>11</v>
      </c>
      <c r="D1099" s="292" t="s">
        <v>33</v>
      </c>
      <c r="E1099" s="511">
        <v>72</v>
      </c>
      <c r="F1099" s="233" t="s">
        <v>15</v>
      </c>
      <c r="G1099" s="233" t="s">
        <v>15</v>
      </c>
      <c r="H1099" s="513">
        <v>21.3611111111111</v>
      </c>
      <c r="I1099" s="570">
        <v>7.21043073776457</v>
      </c>
      <c r="J1099" s="234" t="s">
        <v>15</v>
      </c>
      <c r="K1099" s="233" t="s">
        <v>15</v>
      </c>
      <c r="L1099" s="234" t="s">
        <v>15</v>
      </c>
      <c r="M1099" s="233" t="s">
        <v>15</v>
      </c>
      <c r="N1099" s="1233">
        <v>4.5045000000000002</v>
      </c>
      <c r="O1099" s="528">
        <v>5.99</v>
      </c>
      <c r="P1099" s="528">
        <v>0.75260000000000005</v>
      </c>
      <c r="Q1099" s="251">
        <v>0.95554218328296281</v>
      </c>
      <c r="R1099" s="2130">
        <f>SUMPRODUCT(N1099:N1100,Q1099:Q1100)</f>
        <v>4.3042397645981065</v>
      </c>
      <c r="S1099" s="396">
        <v>200</v>
      </c>
      <c r="T1099" s="506" t="s">
        <v>140</v>
      </c>
      <c r="U1099" s="884"/>
      <c r="V1099" s="2244"/>
      <c r="W1099" s="982" t="s">
        <v>49</v>
      </c>
      <c r="X1099" s="494" t="s">
        <v>1020</v>
      </c>
      <c r="Y1099" s="526">
        <f>T1101+R1094+R1099+R1103+R1105*12</f>
        <v>34.420007764598104</v>
      </c>
      <c r="Z1099" s="526">
        <f>Y1099-Y1098</f>
        <v>33.007681235769503</v>
      </c>
      <c r="AA1099" s="580"/>
      <c r="AB1099" s="921"/>
      <c r="AC1099" s="26"/>
      <c r="AD1099" s="24"/>
      <c r="AE1099" s="26"/>
      <c r="AF1099" s="106"/>
      <c r="AG1099" s="37"/>
      <c r="AH1099" s="957"/>
      <c r="AI1099" s="1023"/>
      <c r="AJ1099" s="1023"/>
      <c r="AK1099" s="1023"/>
      <c r="AL1099" s="1023"/>
      <c r="AM1099" s="1023"/>
      <c r="AN1099" s="1023"/>
      <c r="AO1099" s="957"/>
      <c r="AP1099" s="957"/>
      <c r="AQ1099" s="957"/>
      <c r="AR1099" s="957"/>
      <c r="AS1099" s="957"/>
      <c r="AT1099" s="957"/>
      <c r="AU1099" s="957"/>
      <c r="AV1099" s="957"/>
      <c r="AW1099" s="957"/>
      <c r="AX1099" s="957"/>
      <c r="AY1099" s="957"/>
      <c r="AZ1099" s="957"/>
      <c r="BA1099" s="957"/>
      <c r="BB1099" s="957"/>
      <c r="BC1099" s="957"/>
      <c r="BD1099" s="957"/>
      <c r="BE1099" s="957"/>
      <c r="BF1099" s="957"/>
      <c r="BG1099" s="957"/>
    </row>
    <row r="1100" spans="1:123">
      <c r="A1100" s="2172"/>
      <c r="B1100" s="2195"/>
      <c r="C1100" s="2180"/>
      <c r="D1100" s="292" t="s">
        <v>32</v>
      </c>
      <c r="E1100" s="511">
        <v>128</v>
      </c>
      <c r="F1100" s="233" t="s">
        <v>15</v>
      </c>
      <c r="G1100" s="233" t="s">
        <v>15</v>
      </c>
      <c r="H1100" s="513">
        <v>18.9528125</v>
      </c>
      <c r="I1100" s="570">
        <v>8.8682635019134395</v>
      </c>
      <c r="J1100" s="234" t="s">
        <v>15</v>
      </c>
      <c r="K1100" s="233" t="s">
        <v>15</v>
      </c>
      <c r="L1100" s="234" t="s">
        <v>15</v>
      </c>
      <c r="M1100" s="233" t="s">
        <v>15</v>
      </c>
      <c r="N1100" s="537">
        <v>0</v>
      </c>
      <c r="O1100" s="536" t="s">
        <v>574</v>
      </c>
      <c r="P1100" s="536" t="s">
        <v>574</v>
      </c>
      <c r="Q1100" s="251">
        <v>4.4457816717037225E-2</v>
      </c>
      <c r="R1100" s="2155"/>
      <c r="S1100" s="504" t="s">
        <v>41</v>
      </c>
      <c r="T1100" s="505" t="s">
        <v>42</v>
      </c>
      <c r="U1100" s="881"/>
      <c r="V1100" s="2244"/>
      <c r="W1100" s="982" t="s">
        <v>47</v>
      </c>
      <c r="X1100" s="494" t="s">
        <v>1021</v>
      </c>
      <c r="Y1100" s="526">
        <f>T1031+R1024+R1032+R1034+R1040+R1046*10+R1047*15</f>
        <v>3.1885158137312852</v>
      </c>
      <c r="Z1100" s="95" t="s">
        <v>40</v>
      </c>
      <c r="AA1100" s="117" t="s">
        <v>40</v>
      </c>
      <c r="AB1100" s="846"/>
      <c r="AC1100" s="26"/>
      <c r="AD1100" s="24"/>
      <c r="AE1100" s="26"/>
      <c r="AF1100" s="106"/>
      <c r="AG1100" s="37"/>
      <c r="AH1100" s="957"/>
      <c r="AI1100" s="1023"/>
      <c r="AJ1100" s="1023"/>
      <c r="AK1100" s="1023"/>
      <c r="AL1100" s="1023"/>
      <c r="AM1100" s="1023"/>
      <c r="AN1100" s="1023"/>
      <c r="AO1100" s="957"/>
      <c r="AP1100" s="957"/>
      <c r="AQ1100" s="957"/>
      <c r="AR1100" s="957"/>
      <c r="AS1100" s="957"/>
      <c r="AT1100" s="957"/>
      <c r="AU1100" s="957"/>
      <c r="AV1100" s="957"/>
      <c r="AW1100" s="957"/>
      <c r="AX1100" s="957"/>
      <c r="AY1100" s="957"/>
      <c r="AZ1100" s="957"/>
      <c r="BA1100" s="957"/>
      <c r="BB1100" s="957"/>
      <c r="BC1100" s="957"/>
      <c r="BD1100" s="957"/>
      <c r="BE1100" s="957"/>
      <c r="BF1100" s="957"/>
      <c r="BG1100" s="957"/>
    </row>
    <row r="1101" spans="1:123">
      <c r="A1101" s="2172"/>
      <c r="B1101" s="2194" t="s">
        <v>920</v>
      </c>
      <c r="C1101" s="2179" t="s">
        <v>11</v>
      </c>
      <c r="D1101" s="292" t="s">
        <v>33</v>
      </c>
      <c r="E1101" s="511">
        <v>197</v>
      </c>
      <c r="F1101" s="233" t="s">
        <v>15</v>
      </c>
      <c r="G1101" s="233" t="s">
        <v>15</v>
      </c>
      <c r="H1101" s="513">
        <v>19.817512690355301</v>
      </c>
      <c r="I1101" s="570">
        <v>8.3893023721838702</v>
      </c>
      <c r="J1101" s="234" t="s">
        <v>15</v>
      </c>
      <c r="K1101" s="233" t="s">
        <v>15</v>
      </c>
      <c r="L1101" s="234" t="s">
        <v>15</v>
      </c>
      <c r="M1101" s="233" t="s">
        <v>15</v>
      </c>
      <c r="N1101" s="1233">
        <v>-5.5590999999999999</v>
      </c>
      <c r="O1101" s="528">
        <v>-2.17</v>
      </c>
      <c r="P1101" s="528">
        <v>2.5600999999999998</v>
      </c>
      <c r="Q1101" s="195" t="s">
        <v>15</v>
      </c>
      <c r="R1101" s="128">
        <f>N1101</f>
        <v>-5.5590999999999999</v>
      </c>
      <c r="S1101" s="452">
        <v>0.75</v>
      </c>
      <c r="T1101" s="260">
        <v>1.9810000000000001</v>
      </c>
      <c r="U1101" s="863"/>
      <c r="V1101" s="2245"/>
      <c r="W1101" s="982" t="s">
        <v>49</v>
      </c>
      <c r="X1101" s="494" t="s">
        <v>1020</v>
      </c>
      <c r="Y1101" s="526">
        <f>T1101+R1094+R1099+R1103+R1105*12</f>
        <v>34.420007764598104</v>
      </c>
      <c r="Z1101" s="526">
        <f>Y1101-Y1100</f>
        <v>31.231491950866818</v>
      </c>
      <c r="AA1101" s="580"/>
      <c r="AB1101" s="921"/>
      <c r="AC1101" s="26"/>
      <c r="AD1101" s="24"/>
      <c r="AE1101" s="26"/>
      <c r="AF1101" s="106"/>
      <c r="AG1101" s="37"/>
      <c r="AH1101" s="957"/>
      <c r="AI1101" s="1023"/>
      <c r="AJ1101" s="1023"/>
      <c r="AK1101" s="1023"/>
      <c r="AL1101" s="1023"/>
      <c r="AM1101" s="1023"/>
      <c r="AN1101" s="1023"/>
      <c r="AO1101" s="957"/>
      <c r="AP1101" s="957"/>
      <c r="AQ1101" s="957"/>
      <c r="AR1101" s="957"/>
      <c r="AS1101" s="957"/>
      <c r="AT1101" s="957"/>
      <c r="AU1101" s="957"/>
      <c r="AV1101" s="957"/>
      <c r="AW1101" s="957"/>
      <c r="AX1101" s="957"/>
      <c r="AY1101" s="957"/>
      <c r="AZ1101" s="957"/>
      <c r="BA1101" s="957"/>
      <c r="BB1101" s="957"/>
      <c r="BC1101" s="957"/>
      <c r="BD1101" s="957"/>
      <c r="BE1101" s="957"/>
      <c r="BF1101" s="957"/>
      <c r="BG1101" s="957"/>
    </row>
    <row r="1102" spans="1:123">
      <c r="A1102" s="2172"/>
      <c r="B1102" s="2195"/>
      <c r="C1102" s="2180"/>
      <c r="D1102" s="292" t="s">
        <v>32</v>
      </c>
      <c r="E1102" s="511">
        <v>3</v>
      </c>
      <c r="F1102" s="233" t="s">
        <v>15</v>
      </c>
      <c r="G1102" s="233" t="s">
        <v>15</v>
      </c>
      <c r="H1102" s="513">
        <v>19.97</v>
      </c>
      <c r="I1102" s="570">
        <v>8.7177978870813497</v>
      </c>
      <c r="J1102" s="234" t="s">
        <v>15</v>
      </c>
      <c r="K1102" s="233" t="s">
        <v>15</v>
      </c>
      <c r="L1102" s="234" t="s">
        <v>15</v>
      </c>
      <c r="M1102" s="233" t="s">
        <v>15</v>
      </c>
      <c r="N1102" s="537">
        <v>0</v>
      </c>
      <c r="O1102" s="536" t="s">
        <v>574</v>
      </c>
      <c r="P1102" s="536" t="s">
        <v>574</v>
      </c>
      <c r="Q1102" s="195" t="s">
        <v>15</v>
      </c>
      <c r="R1102" s="128">
        <f>N1102</f>
        <v>0</v>
      </c>
      <c r="S1102" s="118" t="s">
        <v>235</v>
      </c>
      <c r="T1102" s="119" t="s">
        <v>391</v>
      </c>
      <c r="U1102" s="855"/>
      <c r="V1102" s="24"/>
      <c r="W1102" s="26"/>
      <c r="X1102" s="26"/>
      <c r="Y1102" s="525"/>
      <c r="Z1102" s="525"/>
      <c r="AA1102" s="525"/>
      <c r="AB1102" s="921"/>
      <c r="AC1102" s="26"/>
      <c r="AD1102" s="24"/>
      <c r="AE1102" s="26"/>
      <c r="AF1102" s="106"/>
      <c r="AG1102" s="37"/>
      <c r="AH1102" s="957"/>
      <c r="AI1102" s="1023"/>
      <c r="AJ1102" s="1023"/>
      <c r="AK1102" s="1023"/>
      <c r="AL1102" s="1023"/>
      <c r="AM1102" s="1023"/>
      <c r="AN1102" s="1023"/>
      <c r="AO1102" s="957"/>
      <c r="AP1102" s="957"/>
      <c r="AQ1102" s="957"/>
      <c r="AR1102" s="957"/>
      <c r="AS1102" s="957"/>
      <c r="AT1102" s="957"/>
      <c r="AU1102" s="957"/>
      <c r="AV1102" s="957"/>
      <c r="AW1102" s="957"/>
      <c r="AX1102" s="957"/>
      <c r="AY1102" s="957"/>
      <c r="AZ1102" s="957"/>
      <c r="BA1102" s="957"/>
      <c r="BB1102" s="957"/>
      <c r="BC1102" s="957"/>
      <c r="BD1102" s="957"/>
      <c r="BE1102" s="957"/>
      <c r="BF1102" s="957"/>
      <c r="BG1102" s="957"/>
    </row>
    <row r="1103" spans="1:123">
      <c r="A1103" s="2172"/>
      <c r="B1103" s="2194" t="s">
        <v>927</v>
      </c>
      <c r="C1103" s="2179" t="s">
        <v>11</v>
      </c>
      <c r="D1103" s="292" t="s">
        <v>33</v>
      </c>
      <c r="E1103" s="511">
        <v>171</v>
      </c>
      <c r="F1103" s="233" t="s">
        <v>15</v>
      </c>
      <c r="G1103" s="233" t="s">
        <v>15</v>
      </c>
      <c r="H1103" s="513">
        <v>18.601812865497099</v>
      </c>
      <c r="I1103" s="570">
        <v>7.7641321389230002</v>
      </c>
      <c r="J1103" s="234" t="s">
        <v>15</v>
      </c>
      <c r="K1103" s="233" t="s">
        <v>15</v>
      </c>
      <c r="L1103" s="234" t="s">
        <v>15</v>
      </c>
      <c r="M1103" s="233" t="s">
        <v>15</v>
      </c>
      <c r="N1103" s="1233">
        <v>2.3717000000000001</v>
      </c>
      <c r="O1103" s="528">
        <v>2.5499999999999998</v>
      </c>
      <c r="P1103" s="528">
        <v>0.92920000000000003</v>
      </c>
      <c r="Q1103" s="195" t="s">
        <v>15</v>
      </c>
      <c r="R1103" s="128">
        <f>N1103</f>
        <v>2.3717000000000001</v>
      </c>
      <c r="S1103" s="357">
        <v>3.2282670000000002</v>
      </c>
      <c r="T1103" s="151" t="s">
        <v>15</v>
      </c>
      <c r="U1103" s="862"/>
      <c r="V1103" s="24"/>
      <c r="W1103" s="26"/>
      <c r="X1103" s="26"/>
      <c r="Y1103" s="525"/>
      <c r="Z1103" s="525"/>
      <c r="AA1103" s="525"/>
      <c r="AB1103" s="921"/>
      <c r="AC1103" s="26"/>
      <c r="AD1103" s="24"/>
      <c r="AE1103" s="26"/>
      <c r="AF1103" s="106"/>
      <c r="AG1103" s="37"/>
      <c r="AH1103" s="957"/>
      <c r="AI1103" s="1023"/>
      <c r="AJ1103" s="1023"/>
      <c r="AK1103" s="1023"/>
      <c r="AL1103" s="1023"/>
      <c r="AM1103" s="1023"/>
      <c r="AN1103" s="1023"/>
      <c r="AO1103" s="957"/>
      <c r="AP1103" s="957"/>
      <c r="AQ1103" s="957"/>
      <c r="AR1103" s="957"/>
      <c r="AS1103" s="957"/>
      <c r="AT1103" s="957"/>
      <c r="AU1103" s="957"/>
      <c r="AV1103" s="957"/>
      <c r="AW1103" s="957"/>
      <c r="AX1103" s="957"/>
      <c r="AY1103" s="957"/>
      <c r="AZ1103" s="957"/>
      <c r="BA1103" s="957"/>
      <c r="BB1103" s="957"/>
      <c r="BC1103" s="957"/>
      <c r="BD1103" s="957"/>
      <c r="BE1103" s="957"/>
      <c r="BF1103" s="957"/>
      <c r="BG1103" s="957"/>
    </row>
    <row r="1104" spans="1:123">
      <c r="A1104" s="2172"/>
      <c r="B1104" s="2195"/>
      <c r="C1104" s="2180"/>
      <c r="D1104" s="292" t="s">
        <v>32</v>
      </c>
      <c r="E1104" s="511">
        <v>29</v>
      </c>
      <c r="F1104" s="233" t="s">
        <v>15</v>
      </c>
      <c r="G1104" s="233" t="s">
        <v>15</v>
      </c>
      <c r="H1104" s="513">
        <v>27.001724137930999</v>
      </c>
      <c r="I1104" s="570">
        <v>8.3435831070373698</v>
      </c>
      <c r="J1104" s="234" t="s">
        <v>15</v>
      </c>
      <c r="K1104" s="233" t="s">
        <v>15</v>
      </c>
      <c r="L1104" s="234" t="s">
        <v>15</v>
      </c>
      <c r="M1104" s="233" t="s">
        <v>15</v>
      </c>
      <c r="N1104" s="537">
        <v>0</v>
      </c>
      <c r="O1104" s="536" t="s">
        <v>574</v>
      </c>
      <c r="P1104" s="536" t="s">
        <v>574</v>
      </c>
      <c r="Q1104" s="195" t="s">
        <v>15</v>
      </c>
      <c r="R1104" s="128">
        <f>N1104</f>
        <v>0</v>
      </c>
      <c r="S1104" s="26"/>
      <c r="T1104" s="26"/>
      <c r="V1104" s="24"/>
      <c r="W1104" s="26"/>
      <c r="X1104" s="26"/>
      <c r="Y1104" s="525"/>
      <c r="Z1104" s="525"/>
      <c r="AA1104" s="525"/>
      <c r="AB1104" s="921"/>
      <c r="AC1104" s="26"/>
      <c r="AD1104" s="24"/>
      <c r="AE1104" s="26"/>
      <c r="AF1104" s="106"/>
      <c r="AG1104" s="37"/>
      <c r="AH1104" s="957"/>
      <c r="AI1104" s="1023"/>
      <c r="AJ1104" s="1023"/>
      <c r="AK1104" s="1023"/>
      <c r="AL1104" s="1023"/>
      <c r="AM1104" s="1023"/>
      <c r="AN1104" s="1023"/>
      <c r="AO1104" s="957"/>
      <c r="AP1104" s="957"/>
      <c r="AQ1104" s="957"/>
      <c r="AR1104" s="957"/>
      <c r="AS1104" s="957"/>
      <c r="AT1104" s="957"/>
      <c r="AU1104" s="957"/>
      <c r="AV1104" s="957"/>
      <c r="AW1104" s="957"/>
      <c r="AX1104" s="957"/>
      <c r="AY1104" s="957"/>
      <c r="AZ1104" s="957"/>
      <c r="BA1104" s="957"/>
      <c r="BB1104" s="957"/>
      <c r="BC1104" s="957"/>
      <c r="BD1104" s="957"/>
      <c r="BE1104" s="957"/>
      <c r="BF1104" s="957"/>
      <c r="BG1104" s="957"/>
    </row>
    <row r="1105" spans="1:113">
      <c r="A1105" s="2172"/>
      <c r="B1105" s="826" t="s">
        <v>533</v>
      </c>
      <c r="C1105" s="981" t="s">
        <v>12</v>
      </c>
      <c r="D1105" s="509" t="s">
        <v>1303</v>
      </c>
      <c r="E1105" s="511">
        <v>200</v>
      </c>
      <c r="F1105" s="487">
        <v>7.46</v>
      </c>
      <c r="G1105" s="487">
        <v>3.6671021516934599</v>
      </c>
      <c r="H1105" s="767">
        <v>19.819800000000001</v>
      </c>
      <c r="I1105" s="768">
        <v>8.3715917063896796</v>
      </c>
      <c r="J1105" s="642" t="s">
        <v>12</v>
      </c>
      <c r="K1105" s="1159" t="s">
        <v>1089</v>
      </c>
      <c r="L1105" s="642" t="s">
        <v>12</v>
      </c>
      <c r="M1105" s="1180" t="s">
        <v>1086</v>
      </c>
      <c r="N1105" s="1236">
        <v>2.0417999999999998</v>
      </c>
      <c r="O1105" s="614">
        <v>18.78</v>
      </c>
      <c r="P1105" s="614">
        <v>0.1087</v>
      </c>
      <c r="Q1105" s="257" t="s">
        <v>15</v>
      </c>
      <c r="R1105" s="256">
        <f>N1105</f>
        <v>2.0417999999999998</v>
      </c>
      <c r="S1105" s="26"/>
      <c r="T1105" s="26"/>
      <c r="V1105" s="24"/>
      <c r="W1105" s="26"/>
      <c r="X1105" s="26"/>
      <c r="Y1105" s="525"/>
      <c r="Z1105" s="525"/>
      <c r="AA1105" s="525"/>
      <c r="AB1105" s="921"/>
      <c r="AC1105" s="26"/>
      <c r="AD1105" s="24"/>
      <c r="AE1105" s="26"/>
      <c r="AF1105" s="106"/>
      <c r="AG1105" s="37"/>
      <c r="AH1105" s="957"/>
      <c r="AI1105" s="1023"/>
      <c r="AJ1105" s="1023"/>
      <c r="AK1105" s="1023"/>
      <c r="AL1105" s="1023"/>
      <c r="AM1105" s="1023"/>
      <c r="AN1105" s="1023"/>
      <c r="AO1105" s="957"/>
      <c r="AP1105" s="957"/>
      <c r="AQ1105" s="957"/>
      <c r="AR1105" s="957"/>
      <c r="AS1105" s="957"/>
      <c r="AT1105" s="957"/>
      <c r="AU1105" s="957"/>
      <c r="AV1105" s="957"/>
      <c r="AW1105" s="957"/>
      <c r="AX1105" s="957"/>
      <c r="AY1105" s="957"/>
      <c r="AZ1105" s="957"/>
      <c r="BA1105" s="957"/>
      <c r="BB1105" s="957"/>
      <c r="BC1105" s="957"/>
      <c r="BD1105" s="957"/>
      <c r="BE1105" s="957"/>
      <c r="BF1105" s="957"/>
      <c r="BG1105" s="957"/>
    </row>
    <row r="1106" spans="1:113" ht="15.75" thickBot="1">
      <c r="A1106" s="2188"/>
      <c r="B1106" s="829" t="s">
        <v>903</v>
      </c>
      <c r="C1106" s="814" t="s">
        <v>15</v>
      </c>
      <c r="D1106" s="440" t="s">
        <v>15</v>
      </c>
      <c r="E1106" s="440" t="s">
        <v>15</v>
      </c>
      <c r="F1106" s="440" t="s">
        <v>15</v>
      </c>
      <c r="G1106" s="440" t="s">
        <v>15</v>
      </c>
      <c r="H1106" s="440" t="s">
        <v>15</v>
      </c>
      <c r="I1106" s="662" t="s">
        <v>15</v>
      </c>
      <c r="J1106" s="657" t="s">
        <v>14</v>
      </c>
      <c r="K1106" s="1160">
        <v>25</v>
      </c>
      <c r="L1106" s="1171" t="s">
        <v>14</v>
      </c>
      <c r="M1106" s="1181">
        <v>20</v>
      </c>
      <c r="N1106" s="1237" t="s">
        <v>15</v>
      </c>
      <c r="O1106" s="656" t="s">
        <v>15</v>
      </c>
      <c r="P1106" s="656" t="s">
        <v>15</v>
      </c>
      <c r="Q1106" s="656" t="s">
        <v>15</v>
      </c>
      <c r="R1106" s="656" t="s">
        <v>15</v>
      </c>
      <c r="S1106" s="26"/>
      <c r="T1106" s="26"/>
      <c r="V1106" s="24"/>
      <c r="W1106" s="26"/>
      <c r="X1106" s="26"/>
      <c r="Y1106" s="525"/>
      <c r="Z1106" s="525"/>
      <c r="AA1106" s="525"/>
      <c r="AB1106" s="921"/>
      <c r="AC1106" s="26"/>
      <c r="AD1106" s="24"/>
      <c r="AE1106" s="26"/>
      <c r="AF1106" s="106"/>
      <c r="AG1106" s="37"/>
      <c r="AH1106" s="957"/>
      <c r="AI1106" s="1023"/>
      <c r="AJ1106" s="1023"/>
      <c r="AK1106" s="1023"/>
      <c r="AL1106" s="1023"/>
      <c r="AM1106" s="1023"/>
      <c r="AN1106" s="1023"/>
      <c r="AO1106" s="957"/>
      <c r="AP1106" s="957"/>
      <c r="AQ1106" s="957"/>
      <c r="AR1106" s="957"/>
      <c r="AS1106" s="957"/>
      <c r="AT1106" s="957"/>
      <c r="AU1106" s="957"/>
      <c r="AV1106" s="957"/>
      <c r="AW1106" s="957"/>
      <c r="AX1106" s="957"/>
      <c r="AY1106" s="957"/>
      <c r="AZ1106" s="957"/>
      <c r="BA1106" s="957"/>
      <c r="BB1106" s="957"/>
      <c r="BC1106" s="957"/>
      <c r="BD1106" s="957"/>
      <c r="BE1106" s="957"/>
      <c r="BF1106" s="957"/>
      <c r="BG1106" s="957"/>
    </row>
    <row r="1107" spans="1:113" s="692" customFormat="1" ht="9" customHeight="1" thickBot="1">
      <c r="A1107" s="695"/>
      <c r="B1107" s="815"/>
      <c r="C1107" s="684"/>
      <c r="D1107" s="683"/>
      <c r="E1107" s="707"/>
      <c r="F1107" s="708"/>
      <c r="G1107" s="708"/>
      <c r="H1107" s="709"/>
      <c r="I1107" s="709"/>
      <c r="J1107" s="682"/>
      <c r="K1107" s="683"/>
      <c r="L1107" s="682"/>
      <c r="M1107" s="685"/>
      <c r="N1107" s="1189"/>
      <c r="O1107" s="686"/>
      <c r="P1107" s="686"/>
      <c r="Q1107" s="687"/>
      <c r="R1107" s="687"/>
      <c r="S1107" s="688"/>
      <c r="T1107" s="688"/>
      <c r="U1107" s="854"/>
      <c r="V1107" s="893"/>
      <c r="W1107" s="685"/>
      <c r="X1107" s="685"/>
      <c r="Y1107" s="710"/>
      <c r="Z1107" s="710"/>
      <c r="AA1107" s="710"/>
      <c r="AB1107" s="921"/>
      <c r="AC1107" s="690"/>
      <c r="AD1107" s="690"/>
      <c r="AE1107" s="690"/>
      <c r="AF1107" s="711"/>
      <c r="AG1107" s="690"/>
      <c r="AH1107" s="959"/>
      <c r="AI1107" s="959"/>
      <c r="AJ1107" s="959"/>
      <c r="AK1107" s="959"/>
      <c r="AL1107" s="959"/>
      <c r="AM1107" s="959"/>
      <c r="AN1107" s="959"/>
      <c r="AO1107" s="959"/>
      <c r="AP1107" s="959"/>
      <c r="AQ1107" s="959"/>
      <c r="AR1107" s="959"/>
      <c r="AS1107" s="959"/>
      <c r="AT1107" s="959"/>
      <c r="AU1107" s="959"/>
      <c r="AV1107" s="959"/>
      <c r="AW1107" s="959"/>
      <c r="AX1107" s="959"/>
      <c r="AY1107" s="959"/>
      <c r="AZ1107" s="959"/>
      <c r="BA1107" s="959"/>
      <c r="BB1107" s="959"/>
      <c r="BC1107" s="959"/>
      <c r="BD1107" s="959"/>
      <c r="BE1107" s="959"/>
      <c r="BF1107" s="959"/>
      <c r="BG1107" s="959"/>
      <c r="BH1107" s="1125"/>
      <c r="DI1107" s="693"/>
    </row>
    <row r="1108" spans="1:113" ht="15" customHeight="1">
      <c r="A1108" s="2171" t="s">
        <v>928</v>
      </c>
      <c r="B1108" s="2194" t="s">
        <v>889</v>
      </c>
      <c r="C1108" s="2179" t="s">
        <v>13</v>
      </c>
      <c r="D1108" s="292" t="s">
        <v>890</v>
      </c>
      <c r="E1108" s="511">
        <v>354</v>
      </c>
      <c r="F1108" s="233" t="s">
        <v>15</v>
      </c>
      <c r="G1108" s="233" t="s">
        <v>15</v>
      </c>
      <c r="H1108" s="513">
        <v>40.232485875706203</v>
      </c>
      <c r="I1108" s="570">
        <v>13.4566106854596</v>
      </c>
      <c r="J1108" s="234" t="s">
        <v>15</v>
      </c>
      <c r="K1108" s="233" t="s">
        <v>15</v>
      </c>
      <c r="L1108" s="234" t="s">
        <v>15</v>
      </c>
      <c r="M1108" s="233" t="s">
        <v>15</v>
      </c>
      <c r="N1108" s="441">
        <v>0</v>
      </c>
      <c r="O1108" s="280" t="s">
        <v>574</v>
      </c>
      <c r="P1108" s="280" t="s">
        <v>574</v>
      </c>
      <c r="Q1108" s="259">
        <v>0.48</v>
      </c>
      <c r="R1108" s="2399">
        <f>SUMPRODUCT(N1108:N1111,Q1108:Q1111)</f>
        <v>1.485276</v>
      </c>
      <c r="S1108" s="531" t="s">
        <v>68</v>
      </c>
      <c r="T1108" s="505" t="s">
        <v>69</v>
      </c>
      <c r="U1108" s="881"/>
      <c r="V1108" s="2167" t="s">
        <v>2698</v>
      </c>
      <c r="W1108" s="982" t="s">
        <v>47</v>
      </c>
      <c r="X1108" s="494" t="s">
        <v>1014</v>
      </c>
      <c r="Y1108" s="526">
        <f>T989+R982+R988+R990+R992+R994*2+R995*60</f>
        <v>6.1587992647146574</v>
      </c>
      <c r="Z1108" s="95" t="s">
        <v>40</v>
      </c>
      <c r="AA1108" s="117" t="s">
        <v>40</v>
      </c>
      <c r="AB1108" s="846"/>
      <c r="AC1108" s="26"/>
      <c r="AD1108" s="24"/>
      <c r="AE1108" s="26"/>
      <c r="AF1108" s="106"/>
      <c r="AG1108" s="37"/>
      <c r="AH1108" s="957"/>
      <c r="AI1108" s="1023"/>
      <c r="AJ1108" s="1023"/>
      <c r="AK1108" s="1023"/>
      <c r="AL1108" s="1023"/>
      <c r="AM1108" s="1023"/>
      <c r="AN1108" s="1023"/>
      <c r="AO1108" s="957"/>
      <c r="AP1108" s="957"/>
      <c r="AQ1108" s="957"/>
      <c r="AR1108" s="957"/>
      <c r="AS1108" s="957"/>
      <c r="AT1108" s="957"/>
      <c r="AU1108" s="957"/>
      <c r="AV1108" s="957"/>
      <c r="AW1108" s="957"/>
      <c r="AX1108" s="957"/>
      <c r="AY1108" s="957"/>
      <c r="AZ1108" s="957"/>
      <c r="BA1108" s="957"/>
      <c r="BB1108" s="957"/>
      <c r="BC1108" s="957"/>
      <c r="BD1108" s="957"/>
      <c r="BE1108" s="957"/>
      <c r="BF1108" s="957"/>
      <c r="BG1108" s="957"/>
    </row>
    <row r="1109" spans="1:113">
      <c r="A1109" s="2172"/>
      <c r="B1109" s="2199"/>
      <c r="C1109" s="2187"/>
      <c r="D1109" s="292" t="s">
        <v>895</v>
      </c>
      <c r="E1109" s="511">
        <v>32</v>
      </c>
      <c r="F1109" s="233" t="s">
        <v>15</v>
      </c>
      <c r="G1109" s="233" t="s">
        <v>15</v>
      </c>
      <c r="H1109" s="513">
        <v>31.11375</v>
      </c>
      <c r="I1109" s="570">
        <v>9.4698018339452901</v>
      </c>
      <c r="J1109" s="234" t="s">
        <v>15</v>
      </c>
      <c r="K1109" s="233" t="s">
        <v>15</v>
      </c>
      <c r="L1109" s="234" t="s">
        <v>15</v>
      </c>
      <c r="M1109" s="233" t="s">
        <v>15</v>
      </c>
      <c r="N1109" s="1233">
        <v>2.8563000000000001</v>
      </c>
      <c r="O1109" s="528">
        <v>1.77</v>
      </c>
      <c r="P1109" s="528">
        <v>1.6132</v>
      </c>
      <c r="Q1109" s="549">
        <v>0.52</v>
      </c>
      <c r="R1109" s="2196"/>
      <c r="S1109" s="46" t="s">
        <v>892</v>
      </c>
      <c r="T1109" s="451" t="s">
        <v>893</v>
      </c>
      <c r="U1109" s="882"/>
      <c r="V1109" s="2168"/>
      <c r="W1109" s="982" t="s">
        <v>49</v>
      </c>
      <c r="X1109" s="494" t="s">
        <v>1022</v>
      </c>
      <c r="Y1109" s="526">
        <f>T1115+R1108+R1112+R1116+R1118*15</f>
        <v>48.101554446985098</v>
      </c>
      <c r="Z1109" s="526">
        <f>Y1109-Y1108</f>
        <v>41.942755182270439</v>
      </c>
      <c r="AA1109" s="580"/>
      <c r="AB1109" s="921"/>
      <c r="AC1109" s="26"/>
      <c r="AD1109" s="24"/>
      <c r="AE1109" s="26"/>
      <c r="AF1109" s="106"/>
      <c r="AG1109" s="37"/>
      <c r="AH1109" s="957"/>
      <c r="AI1109" s="1023"/>
      <c r="AJ1109" s="1023"/>
      <c r="AK1109" s="1023"/>
      <c r="AL1109" s="1023"/>
      <c r="AM1109" s="1023"/>
      <c r="AN1109" s="1023"/>
      <c r="AO1109" s="957"/>
      <c r="AP1109" s="957"/>
      <c r="AQ1109" s="957"/>
      <c r="AR1109" s="957"/>
      <c r="AS1109" s="957"/>
      <c r="AT1109" s="957"/>
      <c r="AU1109" s="957"/>
      <c r="AV1109" s="957"/>
      <c r="AW1109" s="957"/>
      <c r="AX1109" s="957"/>
      <c r="AY1109" s="957"/>
      <c r="AZ1109" s="957"/>
      <c r="BA1109" s="957"/>
      <c r="BB1109" s="957"/>
      <c r="BC1109" s="957"/>
      <c r="BD1109" s="957"/>
      <c r="BE1109" s="957"/>
      <c r="BF1109" s="957"/>
      <c r="BG1109" s="957"/>
    </row>
    <row r="1110" spans="1:113">
      <c r="A1110" s="2172"/>
      <c r="B1110" s="2199"/>
      <c r="C1110" s="2187"/>
      <c r="D1110" s="292" t="s">
        <v>896</v>
      </c>
      <c r="E1110" s="511">
        <v>10</v>
      </c>
      <c r="F1110" s="233" t="s">
        <v>15</v>
      </c>
      <c r="G1110" s="233" t="s">
        <v>15</v>
      </c>
      <c r="H1110" s="513">
        <v>37.639000000000003</v>
      </c>
      <c r="I1110" s="570">
        <v>10.032445641794199</v>
      </c>
      <c r="J1110" s="234" t="s">
        <v>15</v>
      </c>
      <c r="K1110" s="233" t="s">
        <v>15</v>
      </c>
      <c r="L1110" s="234" t="s">
        <v>15</v>
      </c>
      <c r="M1110" s="233" t="s">
        <v>15</v>
      </c>
      <c r="N1110" s="1233">
        <v>-6.3772000000000002</v>
      </c>
      <c r="O1110" s="528">
        <v>-2.2999999999999998</v>
      </c>
      <c r="P1110" s="528">
        <v>2.7694999999999999</v>
      </c>
      <c r="Q1110" s="195" t="s">
        <v>15</v>
      </c>
      <c r="R1110" s="2196"/>
      <c r="S1110" s="531" t="s">
        <v>72</v>
      </c>
      <c r="T1110" s="416" t="s">
        <v>119</v>
      </c>
      <c r="U1110" s="876"/>
      <c r="V1110" s="2168"/>
      <c r="W1110" s="982" t="s">
        <v>47</v>
      </c>
      <c r="X1110" s="494" t="s">
        <v>1023</v>
      </c>
      <c r="Y1110" s="526">
        <f>T1057+R1050+R1056+R1060+R1064*15</f>
        <v>7.8351715487045137</v>
      </c>
      <c r="Z1110" s="95" t="s">
        <v>40</v>
      </c>
      <c r="AA1110" s="117" t="s">
        <v>40</v>
      </c>
      <c r="AB1110" s="846"/>
      <c r="AC1110" s="26"/>
      <c r="AD1110" s="24"/>
      <c r="AE1110" s="26"/>
      <c r="AF1110" s="106"/>
      <c r="AG1110" s="37"/>
      <c r="AH1110" s="957"/>
      <c r="AI1110" s="1023"/>
      <c r="AJ1110" s="1023"/>
      <c r="AK1110" s="1023"/>
      <c r="AL1110" s="1023"/>
      <c r="AM1110" s="1023"/>
      <c r="AN1110" s="1023"/>
      <c r="AO1110" s="957"/>
      <c r="AP1110" s="957"/>
      <c r="AQ1110" s="957"/>
      <c r="AR1110" s="957"/>
      <c r="AS1110" s="957"/>
      <c r="AT1110" s="957"/>
      <c r="AU1110" s="957"/>
      <c r="AV1110" s="957"/>
      <c r="AW1110" s="957"/>
      <c r="AX1110" s="957"/>
      <c r="AY1110" s="957"/>
      <c r="AZ1110" s="957"/>
      <c r="BA1110" s="957"/>
      <c r="BB1110" s="957"/>
      <c r="BC1110" s="957"/>
      <c r="BD1110" s="957"/>
      <c r="BE1110" s="957"/>
      <c r="BF1110" s="957"/>
      <c r="BG1110" s="957"/>
    </row>
    <row r="1111" spans="1:113">
      <c r="A1111" s="2172"/>
      <c r="B1111" s="2195"/>
      <c r="C1111" s="2180"/>
      <c r="D1111" s="292" t="s">
        <v>897</v>
      </c>
      <c r="E1111" s="511">
        <v>42</v>
      </c>
      <c r="F1111" s="233" t="s">
        <v>15</v>
      </c>
      <c r="G1111" s="233" t="s">
        <v>15</v>
      </c>
      <c r="H1111" s="513">
        <v>38.722380952381002</v>
      </c>
      <c r="I1111" s="570">
        <v>4.3592323163512399</v>
      </c>
      <c r="J1111" s="234" t="s">
        <v>15</v>
      </c>
      <c r="K1111" s="233" t="s">
        <v>15</v>
      </c>
      <c r="L1111" s="234" t="s">
        <v>15</v>
      </c>
      <c r="M1111" s="233" t="s">
        <v>15</v>
      </c>
      <c r="N1111" s="1233">
        <v>-12.398199999999999</v>
      </c>
      <c r="O1111" s="528">
        <v>-8.0299999999999994</v>
      </c>
      <c r="P1111" s="528">
        <v>1.5441</v>
      </c>
      <c r="Q1111" s="195" t="s">
        <v>15</v>
      </c>
      <c r="R1111" s="2155"/>
      <c r="S1111" s="506" t="s">
        <v>73</v>
      </c>
      <c r="T1111" s="507" t="s">
        <v>140</v>
      </c>
      <c r="U1111" s="883"/>
      <c r="V1111" s="2168"/>
      <c r="W1111" s="982" t="s">
        <v>49</v>
      </c>
      <c r="X1111" s="494" t="s">
        <v>1024</v>
      </c>
      <c r="Y1111" s="526">
        <f>T1115+R1108+R1112+R1116+R1118*15</f>
        <v>48.101554446985098</v>
      </c>
      <c r="Z1111" s="526">
        <f>Y1111-Y1110</f>
        <v>40.266382898280582</v>
      </c>
      <c r="AA1111" s="580"/>
      <c r="AB1111" s="921"/>
      <c r="AC1111" s="26"/>
      <c r="AD1111" s="24"/>
      <c r="AE1111" s="26"/>
      <c r="AF1111" s="106"/>
      <c r="AG1111" s="37"/>
      <c r="AH1111" s="957"/>
      <c r="AI1111" s="1023"/>
      <c r="AJ1111" s="1023"/>
      <c r="AK1111" s="1023"/>
      <c r="AL1111" s="1023"/>
      <c r="AM1111" s="1023"/>
      <c r="AN1111" s="1023"/>
      <c r="AO1111" s="957"/>
      <c r="AP1111" s="957"/>
      <c r="AQ1111" s="957"/>
      <c r="AR1111" s="957"/>
      <c r="AS1111" s="957"/>
      <c r="AT1111" s="957"/>
      <c r="AU1111" s="957"/>
      <c r="AV1111" s="957"/>
      <c r="AW1111" s="957"/>
      <c r="AX1111" s="957"/>
      <c r="AY1111" s="957"/>
      <c r="AZ1111" s="957"/>
      <c r="BA1111" s="957"/>
      <c r="BB1111" s="957"/>
      <c r="BC1111" s="957"/>
      <c r="BD1111" s="957"/>
      <c r="BE1111" s="957"/>
      <c r="BF1111" s="957"/>
      <c r="BG1111" s="957"/>
    </row>
    <row r="1112" spans="1:113">
      <c r="A1112" s="2172"/>
      <c r="B1112" s="2194" t="s">
        <v>902</v>
      </c>
      <c r="C1112" s="2179" t="s">
        <v>11</v>
      </c>
      <c r="D1112" s="292" t="s">
        <v>33</v>
      </c>
      <c r="E1112" s="511">
        <v>195</v>
      </c>
      <c r="F1112" s="233" t="s">
        <v>15</v>
      </c>
      <c r="G1112" s="233" t="s">
        <v>15</v>
      </c>
      <c r="H1112" s="513">
        <v>36.651487179487198</v>
      </c>
      <c r="I1112" s="570">
        <v>12.670603218522301</v>
      </c>
      <c r="J1112" s="234" t="s">
        <v>15</v>
      </c>
      <c r="K1112" s="233" t="s">
        <v>15</v>
      </c>
      <c r="L1112" s="234" t="s">
        <v>15</v>
      </c>
      <c r="M1112" s="233" t="s">
        <v>15</v>
      </c>
      <c r="N1112" s="1233">
        <v>6.8394000000000004</v>
      </c>
      <c r="O1112" s="528">
        <v>7.83</v>
      </c>
      <c r="P1112" s="528">
        <v>0.87350000000000005</v>
      </c>
      <c r="Q1112" s="251">
        <v>0.1938442622138048</v>
      </c>
      <c r="R1112" s="2130">
        <f>SUMPRODUCT(N1112:N1113,Q1112:Q1113)</f>
        <v>1.3257784469850966</v>
      </c>
      <c r="S1112" s="531" t="s">
        <v>74</v>
      </c>
      <c r="T1112" s="505" t="s">
        <v>75</v>
      </c>
      <c r="U1112" s="881"/>
      <c r="V1112" s="2168"/>
      <c r="W1112" s="982" t="s">
        <v>47</v>
      </c>
      <c r="X1112" s="494" t="s">
        <v>1015</v>
      </c>
      <c r="Y1112" s="526">
        <f>T989+R982+R988+R990+R992+R994*2+R995*90</f>
        <v>6.4707992647146577</v>
      </c>
      <c r="Z1112" s="95" t="s">
        <v>40</v>
      </c>
      <c r="AA1112" s="117" t="s">
        <v>40</v>
      </c>
      <c r="AB1112" s="846"/>
      <c r="AC1112" s="26"/>
      <c r="AD1112" s="24"/>
      <c r="AE1112" s="26"/>
      <c r="AF1112" s="106"/>
      <c r="AG1112" s="37"/>
      <c r="AH1112" s="957"/>
      <c r="AI1112" s="1023"/>
      <c r="AJ1112" s="1023"/>
      <c r="AK1112" s="1023"/>
      <c r="AL1112" s="1023"/>
      <c r="AM1112" s="1023"/>
      <c r="AN1112" s="1023"/>
      <c r="AO1112" s="957"/>
      <c r="AP1112" s="957"/>
      <c r="AQ1112" s="957"/>
      <c r="AR1112" s="957"/>
      <c r="AS1112" s="957"/>
      <c r="AT1112" s="957"/>
      <c r="AU1112" s="957"/>
      <c r="AV1112" s="957"/>
      <c r="AW1112" s="957"/>
      <c r="AX1112" s="957"/>
      <c r="AY1112" s="957"/>
      <c r="AZ1112" s="957"/>
      <c r="BA1112" s="957"/>
      <c r="BB1112" s="957"/>
      <c r="BC1112" s="957"/>
      <c r="BD1112" s="957"/>
      <c r="BE1112" s="957"/>
      <c r="BF1112" s="957"/>
      <c r="BG1112" s="957"/>
    </row>
    <row r="1113" spans="1:113">
      <c r="A1113" s="2172"/>
      <c r="B1113" s="2195"/>
      <c r="C1113" s="2180"/>
      <c r="D1113" s="292" t="s">
        <v>32</v>
      </c>
      <c r="E1113" s="511">
        <v>243</v>
      </c>
      <c r="F1113" s="233" t="s">
        <v>15</v>
      </c>
      <c r="G1113" s="233" t="s">
        <v>15</v>
      </c>
      <c r="H1113" s="513">
        <v>41.537572016460899</v>
      </c>
      <c r="I1113" s="570">
        <v>12.3900385319957</v>
      </c>
      <c r="J1113" s="234" t="s">
        <v>15</v>
      </c>
      <c r="K1113" s="233" t="s">
        <v>15</v>
      </c>
      <c r="L1113" s="234" t="s">
        <v>15</v>
      </c>
      <c r="M1113" s="233" t="s">
        <v>15</v>
      </c>
      <c r="N1113" s="537">
        <v>0</v>
      </c>
      <c r="O1113" s="536" t="s">
        <v>574</v>
      </c>
      <c r="P1113" s="536" t="s">
        <v>574</v>
      </c>
      <c r="Q1113" s="251">
        <v>0.80615573778619509</v>
      </c>
      <c r="R1113" s="2155"/>
      <c r="S1113" s="396">
        <v>438</v>
      </c>
      <c r="T1113" s="506" t="s">
        <v>140</v>
      </c>
      <c r="U1113" s="884"/>
      <c r="V1113" s="2168"/>
      <c r="W1113" s="982" t="s">
        <v>49</v>
      </c>
      <c r="X1113" s="494" t="s">
        <v>1025</v>
      </c>
      <c r="Y1113" s="526">
        <f>T1115+R1108+R1112+R1116+R1118*22</f>
        <v>57.942854446985095</v>
      </c>
      <c r="Z1113" s="526">
        <f>Y1113-Y1112</f>
        <v>51.472055182270438</v>
      </c>
      <c r="AA1113" s="580"/>
      <c r="AB1113" s="921"/>
      <c r="AC1113" s="26"/>
      <c r="AD1113" s="24"/>
      <c r="AE1113" s="26"/>
      <c r="AF1113" s="106"/>
      <c r="AG1113" s="37"/>
      <c r="AH1113" s="957"/>
      <c r="AI1113" s="1023"/>
      <c r="AJ1113" s="1023"/>
      <c r="AK1113" s="1023"/>
      <c r="AL1113" s="1023"/>
      <c r="AM1113" s="1023"/>
      <c r="AN1113" s="1023"/>
      <c r="AO1113" s="957"/>
      <c r="AP1113" s="957"/>
      <c r="AQ1113" s="957"/>
      <c r="AR1113" s="957"/>
      <c r="AS1113" s="957"/>
      <c r="AT1113" s="957"/>
      <c r="AU1113" s="957"/>
      <c r="AV1113" s="957"/>
      <c r="AW1113" s="957"/>
      <c r="AX1113" s="957"/>
      <c r="AY1113" s="957"/>
      <c r="AZ1113" s="957"/>
      <c r="BA1113" s="957"/>
      <c r="BB1113" s="957"/>
      <c r="BC1113" s="957"/>
      <c r="BD1113" s="957"/>
      <c r="BE1113" s="957"/>
      <c r="BF1113" s="957"/>
      <c r="BG1113" s="957"/>
    </row>
    <row r="1114" spans="1:113">
      <c r="A1114" s="2172"/>
      <c r="B1114" s="2194" t="s">
        <v>920</v>
      </c>
      <c r="C1114" s="2179" t="s">
        <v>11</v>
      </c>
      <c r="D1114" s="292" t="s">
        <v>33</v>
      </c>
      <c r="E1114" s="511">
        <v>418</v>
      </c>
      <c r="F1114" s="233" t="s">
        <v>15</v>
      </c>
      <c r="G1114" s="233" t="s">
        <v>15</v>
      </c>
      <c r="H1114" s="513">
        <v>39.567535885167501</v>
      </c>
      <c r="I1114" s="570">
        <v>12.9499485070652</v>
      </c>
      <c r="J1114" s="234" t="s">
        <v>15</v>
      </c>
      <c r="K1114" s="233" t="s">
        <v>15</v>
      </c>
      <c r="L1114" s="234" t="s">
        <v>15</v>
      </c>
      <c r="M1114" s="233" t="s">
        <v>15</v>
      </c>
      <c r="N1114" s="1233">
        <v>-6.3373999999999997</v>
      </c>
      <c r="O1114" s="528">
        <v>-3.27</v>
      </c>
      <c r="P1114" s="528">
        <v>1.9376</v>
      </c>
      <c r="Q1114" s="195" t="s">
        <v>15</v>
      </c>
      <c r="R1114" s="128">
        <f>N1114</f>
        <v>-6.3373999999999997</v>
      </c>
      <c r="S1114" s="504" t="s">
        <v>41</v>
      </c>
      <c r="T1114" s="505" t="s">
        <v>42</v>
      </c>
      <c r="U1114" s="881"/>
      <c r="V1114" s="2168"/>
      <c r="W1114" s="982" t="s">
        <v>47</v>
      </c>
      <c r="X1114" s="494" t="s">
        <v>1026</v>
      </c>
      <c r="Y1114" s="526">
        <f>T1057+R1050+R1056+R1060+R1064*25</f>
        <v>9.3081715487045145</v>
      </c>
      <c r="Z1114" s="95" t="s">
        <v>40</v>
      </c>
      <c r="AA1114" s="117" t="s">
        <v>40</v>
      </c>
      <c r="AB1114" s="846"/>
      <c r="AC1114" s="26"/>
      <c r="AD1114" s="24"/>
      <c r="AE1114" s="26"/>
      <c r="AF1114" s="106"/>
      <c r="AG1114" s="37"/>
      <c r="AH1114" s="957"/>
      <c r="AI1114" s="1023"/>
      <c r="AJ1114" s="1023"/>
      <c r="AK1114" s="1023"/>
      <c r="AL1114" s="1023"/>
      <c r="AM1114" s="1023"/>
      <c r="AN1114" s="1023"/>
      <c r="AO1114" s="957"/>
      <c r="AP1114" s="957"/>
      <c r="AQ1114" s="957"/>
      <c r="AR1114" s="957"/>
      <c r="AS1114" s="957"/>
      <c r="AT1114" s="957"/>
      <c r="AU1114" s="957"/>
      <c r="AV1114" s="957"/>
      <c r="AW1114" s="957"/>
      <c r="AX1114" s="957"/>
      <c r="AY1114" s="957"/>
      <c r="AZ1114" s="957"/>
      <c r="BA1114" s="957"/>
      <c r="BB1114" s="957"/>
      <c r="BC1114" s="957"/>
      <c r="BD1114" s="957"/>
      <c r="BE1114" s="957"/>
      <c r="BF1114" s="957"/>
      <c r="BG1114" s="957"/>
    </row>
    <row r="1115" spans="1:113">
      <c r="A1115" s="2172"/>
      <c r="B1115" s="2195"/>
      <c r="C1115" s="2180"/>
      <c r="D1115" s="292" t="s">
        <v>32</v>
      </c>
      <c r="E1115" s="511">
        <v>20</v>
      </c>
      <c r="F1115" s="233" t="s">
        <v>15</v>
      </c>
      <c r="G1115" s="233" t="s">
        <v>15</v>
      </c>
      <c r="H1115" s="513">
        <v>35.072000000000003</v>
      </c>
      <c r="I1115" s="570">
        <v>5.4357138687717796</v>
      </c>
      <c r="J1115" s="234" t="s">
        <v>15</v>
      </c>
      <c r="K1115" s="233" t="s">
        <v>15</v>
      </c>
      <c r="L1115" s="234" t="s">
        <v>15</v>
      </c>
      <c r="M1115" s="233" t="s">
        <v>15</v>
      </c>
      <c r="N1115" s="537">
        <v>0</v>
      </c>
      <c r="O1115" s="536" t="s">
        <v>574</v>
      </c>
      <c r="P1115" s="536" t="s">
        <v>574</v>
      </c>
      <c r="Q1115" s="195" t="s">
        <v>15</v>
      </c>
      <c r="R1115" s="128">
        <f>N1115</f>
        <v>0</v>
      </c>
      <c r="S1115" s="452">
        <v>0.47</v>
      </c>
      <c r="T1115" s="260">
        <v>16.594000000000001</v>
      </c>
      <c r="U1115" s="863"/>
      <c r="V1115" s="2169"/>
      <c r="W1115" s="982" t="s">
        <v>49</v>
      </c>
      <c r="X1115" s="494" t="s">
        <v>1025</v>
      </c>
      <c r="Y1115" s="526">
        <f>T1115+R1108+R1112+R1116+R1118*22</f>
        <v>57.942854446985095</v>
      </c>
      <c r="Z1115" s="526">
        <f>Y1115-Y1114</f>
        <v>48.63468289828058</v>
      </c>
      <c r="AA1115" s="580"/>
      <c r="AB1115" s="921"/>
      <c r="AC1115" s="26"/>
      <c r="AD1115" s="24"/>
      <c r="AE1115" s="26"/>
      <c r="AF1115" s="106"/>
      <c r="AG1115" s="37"/>
      <c r="AH1115" s="957"/>
      <c r="AI1115" s="1023"/>
      <c r="AJ1115" s="1023"/>
      <c r="AK1115" s="1023"/>
      <c r="AL1115" s="1023"/>
      <c r="AM1115" s="1023"/>
      <c r="AN1115" s="1023"/>
      <c r="AO1115" s="957"/>
      <c r="AP1115" s="957"/>
      <c r="AQ1115" s="957"/>
      <c r="AR1115" s="957"/>
      <c r="AS1115" s="957"/>
      <c r="AT1115" s="957"/>
      <c r="AU1115" s="957"/>
      <c r="AV1115" s="957"/>
      <c r="AW1115" s="957"/>
      <c r="AX1115" s="957"/>
      <c r="AY1115" s="957"/>
      <c r="AZ1115" s="957"/>
      <c r="BA1115" s="957"/>
      <c r="BB1115" s="957"/>
      <c r="BC1115" s="957"/>
      <c r="BD1115" s="957"/>
      <c r="BE1115" s="957"/>
      <c r="BF1115" s="957"/>
      <c r="BG1115" s="957"/>
    </row>
    <row r="1116" spans="1:113">
      <c r="A1116" s="2172"/>
      <c r="B1116" s="2194" t="s">
        <v>927</v>
      </c>
      <c r="C1116" s="2179" t="s">
        <v>11</v>
      </c>
      <c r="D1116" s="292" t="s">
        <v>33</v>
      </c>
      <c r="E1116" s="511">
        <v>343</v>
      </c>
      <c r="F1116" s="233" t="s">
        <v>15</v>
      </c>
      <c r="G1116" s="233" t="s">
        <v>15</v>
      </c>
      <c r="H1116" s="513">
        <v>37.784548104956301</v>
      </c>
      <c r="I1116" s="570">
        <v>12.5197564697272</v>
      </c>
      <c r="J1116" s="234" t="s">
        <v>15</v>
      </c>
      <c r="K1116" s="233" t="s">
        <v>15</v>
      </c>
      <c r="L1116" s="234" t="s">
        <v>15</v>
      </c>
      <c r="M1116" s="233" t="s">
        <v>15</v>
      </c>
      <c r="N1116" s="1233">
        <v>7.6079999999999997</v>
      </c>
      <c r="O1116" s="528">
        <v>7.14</v>
      </c>
      <c r="P1116" s="528">
        <v>1.0653999999999999</v>
      </c>
      <c r="Q1116" s="195" t="s">
        <v>15</v>
      </c>
      <c r="R1116" s="128">
        <f>N1116</f>
        <v>7.6079999999999997</v>
      </c>
      <c r="S1116" s="118" t="s">
        <v>235</v>
      </c>
      <c r="T1116" s="119" t="s">
        <v>391</v>
      </c>
      <c r="U1116" s="855"/>
      <c r="V1116" s="24"/>
      <c r="W1116" s="26"/>
      <c r="X1116" s="26"/>
      <c r="Y1116" s="525"/>
      <c r="Z1116" s="525"/>
      <c r="AA1116" s="525"/>
      <c r="AB1116" s="921"/>
      <c r="AC1116" s="26"/>
      <c r="AD1116" s="24"/>
      <c r="AE1116" s="26"/>
      <c r="AF1116" s="106"/>
      <c r="AG1116" s="37"/>
      <c r="AH1116" s="957"/>
      <c r="AI1116" s="1023"/>
      <c r="AJ1116" s="1023"/>
      <c r="AK1116" s="1023"/>
      <c r="AL1116" s="1023"/>
      <c r="AM1116" s="1023"/>
      <c r="AN1116" s="1023"/>
      <c r="AO1116" s="957"/>
      <c r="AP1116" s="957"/>
      <c r="AQ1116" s="957"/>
      <c r="AR1116" s="957"/>
      <c r="AS1116" s="957"/>
      <c r="AT1116" s="957"/>
      <c r="AU1116" s="957"/>
      <c r="AV1116" s="957"/>
      <c r="AW1116" s="957"/>
      <c r="AX1116" s="957"/>
      <c r="AY1116" s="957"/>
      <c r="AZ1116" s="957"/>
      <c r="BA1116" s="957"/>
      <c r="BB1116" s="957"/>
      <c r="BC1116" s="957"/>
      <c r="BD1116" s="957"/>
      <c r="BE1116" s="957"/>
      <c r="BF1116" s="957"/>
      <c r="BG1116" s="957"/>
    </row>
    <row r="1117" spans="1:113">
      <c r="A1117" s="2172"/>
      <c r="B1117" s="2195"/>
      <c r="C1117" s="2180"/>
      <c r="D1117" s="292" t="s">
        <v>32</v>
      </c>
      <c r="E1117" s="511">
        <v>95</v>
      </c>
      <c r="F1117" s="233" t="s">
        <v>15</v>
      </c>
      <c r="G1117" s="233" t="s">
        <v>15</v>
      </c>
      <c r="H1117" s="513">
        <v>45.058631578947399</v>
      </c>
      <c r="I1117" s="570">
        <v>11.9108208991019</v>
      </c>
      <c r="J1117" s="234" t="s">
        <v>15</v>
      </c>
      <c r="K1117" s="233" t="s">
        <v>15</v>
      </c>
      <c r="L1117" s="234" t="s">
        <v>15</v>
      </c>
      <c r="M1117" s="233" t="s">
        <v>15</v>
      </c>
      <c r="N1117" s="537">
        <v>0</v>
      </c>
      <c r="O1117" s="536" t="s">
        <v>574</v>
      </c>
      <c r="P1117" s="536" t="s">
        <v>574</v>
      </c>
      <c r="Q1117" s="195" t="s">
        <v>15</v>
      </c>
      <c r="R1117" s="128">
        <f>N1117</f>
        <v>0</v>
      </c>
      <c r="S1117" s="357">
        <v>6.1635210000000002</v>
      </c>
      <c r="T1117" s="151" t="s">
        <v>15</v>
      </c>
      <c r="U1117" s="862"/>
      <c r="V1117" s="24"/>
      <c r="W1117" s="26"/>
      <c r="X1117" s="26"/>
      <c r="Y1117" s="525"/>
      <c r="Z1117" s="525"/>
      <c r="AA1117" s="525"/>
      <c r="AB1117" s="921"/>
      <c r="AC1117" s="26"/>
      <c r="AD1117" s="24"/>
      <c r="AE1117" s="26"/>
      <c r="AF1117" s="106"/>
      <c r="AG1117" s="37"/>
      <c r="AH1117" s="957"/>
      <c r="AI1117" s="1023"/>
      <c r="AJ1117" s="1023"/>
      <c r="AK1117" s="1023"/>
      <c r="AL1117" s="1023"/>
      <c r="AM1117" s="1023"/>
      <c r="AN1117" s="1023"/>
      <c r="AO1117" s="957"/>
      <c r="AP1117" s="957"/>
      <c r="AQ1117" s="957"/>
      <c r="AR1117" s="957"/>
      <c r="AS1117" s="957"/>
      <c r="AT1117" s="957"/>
      <c r="AU1117" s="957"/>
      <c r="AV1117" s="957"/>
      <c r="AW1117" s="957"/>
      <c r="AX1117" s="957"/>
      <c r="AY1117" s="957"/>
      <c r="AZ1117" s="957"/>
      <c r="BA1117" s="957"/>
      <c r="BB1117" s="957"/>
      <c r="BC1117" s="957"/>
      <c r="BD1117" s="957"/>
      <c r="BE1117" s="957"/>
      <c r="BF1117" s="957"/>
      <c r="BG1117" s="957"/>
    </row>
    <row r="1118" spans="1:113">
      <c r="A1118" s="2172"/>
      <c r="B1118" s="826" t="s">
        <v>533</v>
      </c>
      <c r="C1118" s="989" t="s">
        <v>12</v>
      </c>
      <c r="D1118" s="612" t="s">
        <v>1304</v>
      </c>
      <c r="E1118" s="613">
        <v>438</v>
      </c>
      <c r="F1118" s="486">
        <v>12.636757990867601</v>
      </c>
      <c r="G1118" s="486">
        <v>5.1681957769510598</v>
      </c>
      <c r="H1118" s="777">
        <v>39.362260273972602</v>
      </c>
      <c r="I1118" s="778">
        <v>12.735517593746</v>
      </c>
      <c r="J1118" s="655" t="s">
        <v>1092</v>
      </c>
      <c r="K1118" s="1161" t="s">
        <v>1093</v>
      </c>
      <c r="L1118" s="655" t="s">
        <v>12</v>
      </c>
      <c r="M1118" s="1161" t="s">
        <v>917</v>
      </c>
      <c r="N1118" s="1236">
        <v>1.4058999999999999</v>
      </c>
      <c r="O1118" s="614">
        <v>16.14</v>
      </c>
      <c r="P1118" s="614">
        <v>8.7099999999999997E-2</v>
      </c>
      <c r="Q1118" s="257" t="s">
        <v>15</v>
      </c>
      <c r="R1118" s="615">
        <f>N1118</f>
        <v>1.4058999999999999</v>
      </c>
      <c r="S1118" s="22"/>
      <c r="T1118" s="26"/>
      <c r="V1118" s="24"/>
      <c r="W1118" s="26"/>
      <c r="X1118" s="26"/>
      <c r="Y1118" s="525"/>
      <c r="Z1118" s="525"/>
      <c r="AA1118" s="525"/>
      <c r="AB1118" s="921"/>
      <c r="AC1118" s="26"/>
      <c r="AD1118" s="24"/>
      <c r="AE1118" s="26"/>
      <c r="AF1118" s="106"/>
      <c r="AG1118" s="37"/>
      <c r="AH1118" s="957"/>
      <c r="AI1118" s="1023"/>
      <c r="AJ1118" s="1023"/>
      <c r="AK1118" s="1023"/>
      <c r="AL1118" s="1023"/>
      <c r="AM1118" s="1023"/>
      <c r="AN1118" s="1023"/>
      <c r="AO1118" s="957"/>
      <c r="AP1118" s="957"/>
      <c r="AQ1118" s="957"/>
      <c r="AR1118" s="957"/>
      <c r="AS1118" s="957"/>
      <c r="AT1118" s="957"/>
      <c r="AU1118" s="957"/>
      <c r="AV1118" s="957"/>
      <c r="AW1118" s="957"/>
      <c r="AX1118" s="957"/>
      <c r="AY1118" s="957"/>
      <c r="AZ1118" s="957"/>
      <c r="BA1118" s="957"/>
      <c r="BB1118" s="957"/>
      <c r="BC1118" s="957"/>
      <c r="BD1118" s="957"/>
      <c r="BE1118" s="957"/>
      <c r="BF1118" s="957"/>
      <c r="BG1118" s="957"/>
    </row>
    <row r="1119" spans="1:113" ht="19.5" thickBot="1">
      <c r="A1119" s="696"/>
      <c r="B1119" s="829" t="s">
        <v>903</v>
      </c>
      <c r="C1119" s="814" t="s">
        <v>15</v>
      </c>
      <c r="D1119" s="440" t="s">
        <v>15</v>
      </c>
      <c r="E1119" s="440" t="s">
        <v>15</v>
      </c>
      <c r="F1119" s="440" t="s">
        <v>15</v>
      </c>
      <c r="G1119" s="440" t="s">
        <v>15</v>
      </c>
      <c r="H1119" s="440" t="s">
        <v>15</v>
      </c>
      <c r="I1119" s="662" t="s">
        <v>15</v>
      </c>
      <c r="J1119" s="657" t="s">
        <v>14</v>
      </c>
      <c r="K1119" s="1160">
        <v>25</v>
      </c>
      <c r="L1119" s="1171" t="s">
        <v>14</v>
      </c>
      <c r="M1119" s="1181">
        <v>20</v>
      </c>
      <c r="N1119" s="1237" t="s">
        <v>15</v>
      </c>
      <c r="O1119" s="656" t="s">
        <v>15</v>
      </c>
      <c r="P1119" s="656" t="s">
        <v>15</v>
      </c>
      <c r="Q1119" s="656" t="s">
        <v>15</v>
      </c>
      <c r="R1119" s="656" t="s">
        <v>15</v>
      </c>
      <c r="S1119" s="26"/>
      <c r="T1119" s="26"/>
      <c r="V1119" s="24"/>
      <c r="W1119" s="26"/>
      <c r="X1119" s="26"/>
      <c r="Y1119" s="525"/>
      <c r="Z1119" s="525"/>
      <c r="AA1119" s="525"/>
      <c r="AB1119" s="921"/>
      <c r="AC1119" s="26"/>
      <c r="AD1119" s="24"/>
      <c r="AE1119" s="26"/>
      <c r="AF1119" s="106"/>
      <c r="AG1119" s="37"/>
      <c r="AH1119" s="957"/>
      <c r="AI1119" s="1023"/>
      <c r="AJ1119" s="1023"/>
      <c r="AK1119" s="1023"/>
      <c r="AL1119" s="1023"/>
      <c r="AM1119" s="1023"/>
      <c r="AN1119" s="1023"/>
      <c r="AO1119" s="957"/>
      <c r="AP1119" s="957"/>
      <c r="AQ1119" s="957"/>
      <c r="AR1119" s="957"/>
      <c r="AS1119" s="957"/>
      <c r="AT1119" s="957"/>
      <c r="AU1119" s="957"/>
      <c r="AV1119" s="957"/>
      <c r="AW1119" s="957"/>
      <c r="AX1119" s="957"/>
      <c r="AY1119" s="957"/>
      <c r="AZ1119" s="957"/>
      <c r="BA1119" s="957"/>
      <c r="BB1119" s="957"/>
      <c r="BC1119" s="957"/>
      <c r="BD1119" s="957"/>
      <c r="BE1119" s="957"/>
      <c r="BF1119" s="957"/>
      <c r="BG1119" s="957"/>
    </row>
    <row r="1120" spans="1:113" s="692" customFormat="1" ht="9" customHeight="1" thickBot="1">
      <c r="A1120" s="695"/>
      <c r="B1120" s="815"/>
      <c r="C1120" s="684"/>
      <c r="D1120" s="683"/>
      <c r="E1120" s="707"/>
      <c r="F1120" s="708"/>
      <c r="G1120" s="708"/>
      <c r="H1120" s="709"/>
      <c r="I1120" s="709"/>
      <c r="J1120" s="682"/>
      <c r="K1120" s="683"/>
      <c r="L1120" s="682"/>
      <c r="M1120" s="685"/>
      <c r="N1120" s="1189"/>
      <c r="O1120" s="686"/>
      <c r="P1120" s="686"/>
      <c r="Q1120" s="687"/>
      <c r="R1120" s="687"/>
      <c r="S1120" s="688"/>
      <c r="T1120" s="688"/>
      <c r="U1120" s="854"/>
      <c r="V1120" s="893"/>
      <c r="W1120" s="685"/>
      <c r="X1120" s="685"/>
      <c r="Y1120" s="710"/>
      <c r="Z1120" s="710"/>
      <c r="AA1120" s="710"/>
      <c r="AB1120" s="921"/>
      <c r="AC1120" s="690"/>
      <c r="AD1120" s="690"/>
      <c r="AE1120" s="690"/>
      <c r="AF1120" s="711"/>
      <c r="AG1120" s="690"/>
      <c r="AH1120" s="959"/>
      <c r="AI1120" s="959"/>
      <c r="AJ1120" s="959"/>
      <c r="AK1120" s="959"/>
      <c r="AL1120" s="959"/>
      <c r="AM1120" s="959"/>
      <c r="AN1120" s="959"/>
      <c r="AO1120" s="959"/>
      <c r="AP1120" s="959"/>
      <c r="AQ1120" s="959"/>
      <c r="AR1120" s="959"/>
      <c r="AS1120" s="959"/>
      <c r="AT1120" s="959"/>
      <c r="AU1120" s="959"/>
      <c r="AV1120" s="959"/>
      <c r="AW1120" s="959"/>
      <c r="AX1120" s="959"/>
      <c r="AY1120" s="959"/>
      <c r="AZ1120" s="959"/>
      <c r="BA1120" s="959"/>
      <c r="BB1120" s="959"/>
      <c r="BC1120" s="959"/>
      <c r="BD1120" s="959"/>
      <c r="BE1120" s="959"/>
      <c r="BF1120" s="959"/>
      <c r="BG1120" s="959"/>
      <c r="BH1120" s="1125"/>
      <c r="DI1120" s="693"/>
    </row>
    <row r="1121" spans="1:123" ht="15" customHeight="1">
      <c r="A1121" s="2184" t="s">
        <v>929</v>
      </c>
      <c r="B1121" s="2194" t="s">
        <v>889</v>
      </c>
      <c r="C1121" s="2179" t="s">
        <v>13</v>
      </c>
      <c r="D1121" s="292" t="s">
        <v>890</v>
      </c>
      <c r="E1121" s="511">
        <v>58</v>
      </c>
      <c r="F1121" s="233" t="s">
        <v>15</v>
      </c>
      <c r="G1121" s="233" t="s">
        <v>15</v>
      </c>
      <c r="H1121" s="513">
        <v>21.089310344827599</v>
      </c>
      <c r="I1121" s="570">
        <v>8.3199670761133699</v>
      </c>
      <c r="J1121" s="234" t="s">
        <v>15</v>
      </c>
      <c r="K1121" s="233" t="s">
        <v>15</v>
      </c>
      <c r="L1121" s="234" t="s">
        <v>15</v>
      </c>
      <c r="M1121" s="233" t="s">
        <v>15</v>
      </c>
      <c r="N1121" s="441">
        <v>0</v>
      </c>
      <c r="O1121" s="280" t="s">
        <v>574</v>
      </c>
      <c r="P1121" s="280" t="s">
        <v>574</v>
      </c>
      <c r="Q1121" s="259">
        <v>0.48</v>
      </c>
      <c r="R1121" s="2399">
        <f>SUMPRODUCT(N1121:N1124,Q1121:Q1124)</f>
        <v>2.5364559999999998</v>
      </c>
      <c r="S1121" s="531" t="s">
        <v>68</v>
      </c>
      <c r="T1121" s="505" t="s">
        <v>69</v>
      </c>
      <c r="U1121" s="881"/>
      <c r="V1121" s="2243" t="s">
        <v>2698</v>
      </c>
      <c r="W1121" s="219" t="s">
        <v>47</v>
      </c>
      <c r="X1121" s="492" t="s">
        <v>1016</v>
      </c>
      <c r="Y1121" s="533">
        <f>T1004+R997+R1002+R1004+R1006+R1008*2+R1009*40</f>
        <v>4.7540186350651101</v>
      </c>
      <c r="Z1121" s="282" t="s">
        <v>40</v>
      </c>
      <c r="AA1121" s="575" t="s">
        <v>40</v>
      </c>
      <c r="AB1121" s="846"/>
      <c r="AC1121" s="26"/>
      <c r="AD1121" s="24"/>
      <c r="AE1121" s="26"/>
      <c r="AF1121" s="106"/>
      <c r="AG1121" s="37"/>
      <c r="AH1121" s="957"/>
      <c r="AI1121" s="1023"/>
      <c r="AJ1121" s="1023"/>
      <c r="AK1121" s="1023"/>
      <c r="AL1121" s="1023"/>
      <c r="AM1121" s="1023"/>
      <c r="AN1121" s="1023"/>
      <c r="AO1121" s="957"/>
      <c r="AP1121" s="957"/>
      <c r="AQ1121" s="957"/>
      <c r="AR1121" s="957"/>
      <c r="AS1121" s="957"/>
      <c r="AT1121" s="957"/>
      <c r="AU1121" s="957"/>
      <c r="AV1121" s="957"/>
      <c r="AW1121" s="957"/>
      <c r="AX1121" s="957"/>
      <c r="AY1121" s="957"/>
      <c r="AZ1121" s="957"/>
      <c r="BA1121" s="957"/>
      <c r="BB1121" s="957"/>
      <c r="BC1121" s="957"/>
      <c r="BD1121" s="957"/>
      <c r="BE1121" s="957"/>
      <c r="BF1121" s="957"/>
      <c r="BG1121" s="957"/>
    </row>
    <row r="1122" spans="1:123">
      <c r="A1122" s="2185"/>
      <c r="B1122" s="2199"/>
      <c r="C1122" s="2187"/>
      <c r="D1122" s="292" t="s">
        <v>895</v>
      </c>
      <c r="E1122" s="511">
        <v>11</v>
      </c>
      <c r="F1122" s="233" t="s">
        <v>15</v>
      </c>
      <c r="G1122" s="233" t="s">
        <v>15</v>
      </c>
      <c r="H1122" s="513">
        <v>16.989999999999998</v>
      </c>
      <c r="I1122" s="570">
        <v>6.7675697262754504</v>
      </c>
      <c r="J1122" s="234" t="s">
        <v>15</v>
      </c>
      <c r="K1122" s="233" t="s">
        <v>15</v>
      </c>
      <c r="L1122" s="234" t="s">
        <v>15</v>
      </c>
      <c r="M1122" s="233" t="s">
        <v>15</v>
      </c>
      <c r="N1122" s="1233">
        <v>4.8777999999999997</v>
      </c>
      <c r="O1122" s="528">
        <v>4.4000000000000004</v>
      </c>
      <c r="P1122" s="528">
        <v>1.1097999999999999</v>
      </c>
      <c r="Q1122" s="549">
        <v>0.52</v>
      </c>
      <c r="R1122" s="2196"/>
      <c r="S1122" s="46" t="s">
        <v>892</v>
      </c>
      <c r="T1122" s="451" t="s">
        <v>893</v>
      </c>
      <c r="U1122" s="882"/>
      <c r="V1122" s="2244"/>
      <c r="W1122" s="982" t="s">
        <v>49</v>
      </c>
      <c r="X1122" s="494" t="s">
        <v>1027</v>
      </c>
      <c r="Y1122" s="526">
        <f>T1128+R1121+R1125+R1127+R1129*30+R1130*8</f>
        <v>31.207045984185555</v>
      </c>
      <c r="Z1122" s="526">
        <f>Y1122-Y1121</f>
        <v>26.453027349120447</v>
      </c>
      <c r="AA1122" s="580"/>
      <c r="AB1122" s="921"/>
      <c r="AC1122" s="26"/>
      <c r="AD1122" s="24"/>
      <c r="AE1122" s="26"/>
      <c r="AF1122" s="106"/>
      <c r="AG1122" s="37"/>
      <c r="AH1122" s="957"/>
      <c r="AI1122" s="1023"/>
      <c r="AJ1122" s="1023"/>
      <c r="AK1122" s="1023"/>
      <c r="AL1122" s="1023"/>
      <c r="AM1122" s="1023"/>
      <c r="AN1122" s="1023"/>
      <c r="AO1122" s="957"/>
      <c r="AP1122" s="957"/>
      <c r="AQ1122" s="957"/>
      <c r="AR1122" s="957"/>
      <c r="AS1122" s="957"/>
      <c r="AT1122" s="957"/>
      <c r="AU1122" s="957"/>
      <c r="AV1122" s="957"/>
      <c r="AW1122" s="957"/>
      <c r="AX1122" s="957"/>
      <c r="AY1122" s="957"/>
      <c r="AZ1122" s="957"/>
      <c r="BA1122" s="957"/>
      <c r="BB1122" s="957"/>
      <c r="BC1122" s="957"/>
      <c r="BD1122" s="957"/>
      <c r="BE1122" s="957"/>
      <c r="BF1122" s="957"/>
      <c r="BG1122" s="957"/>
    </row>
    <row r="1123" spans="1:123">
      <c r="A1123" s="2185"/>
      <c r="B1123" s="2199"/>
      <c r="C1123" s="2187"/>
      <c r="D1123" s="292" t="s">
        <v>896</v>
      </c>
      <c r="E1123" s="511">
        <v>13</v>
      </c>
      <c r="F1123" s="233" t="s">
        <v>15</v>
      </c>
      <c r="G1123" s="233" t="s">
        <v>15</v>
      </c>
      <c r="H1123" s="513">
        <v>10.8153846153846</v>
      </c>
      <c r="I1123" s="570">
        <v>4.6092382150499596</v>
      </c>
      <c r="J1123" s="234" t="s">
        <v>15</v>
      </c>
      <c r="K1123" s="233" t="s">
        <v>15</v>
      </c>
      <c r="L1123" s="234" t="s">
        <v>15</v>
      </c>
      <c r="M1123" s="233" t="s">
        <v>15</v>
      </c>
      <c r="N1123" s="1233">
        <v>-4.7035999999999998</v>
      </c>
      <c r="O1123" s="528">
        <v>-4.09</v>
      </c>
      <c r="P1123" s="528">
        <v>1.1489</v>
      </c>
      <c r="Q1123" s="195" t="s">
        <v>15</v>
      </c>
      <c r="R1123" s="2196"/>
      <c r="S1123" s="531" t="s">
        <v>72</v>
      </c>
      <c r="T1123" s="416" t="s">
        <v>119</v>
      </c>
      <c r="U1123" s="876"/>
      <c r="V1123" s="2244"/>
      <c r="W1123" s="982" t="s">
        <v>47</v>
      </c>
      <c r="X1123" s="494" t="s">
        <v>922</v>
      </c>
      <c r="Y1123" s="526">
        <f>T1073+R1066+R1072+R1074+R1076</f>
        <v>7.6184288613955351</v>
      </c>
      <c r="Z1123" s="95" t="s">
        <v>40</v>
      </c>
      <c r="AA1123" s="117" t="s">
        <v>40</v>
      </c>
      <c r="AB1123" s="846"/>
      <c r="AC1123" s="26"/>
      <c r="AD1123" s="24"/>
      <c r="AE1123" s="26"/>
      <c r="AF1123" s="106"/>
      <c r="AG1123" s="37"/>
      <c r="AH1123" s="957"/>
      <c r="AI1123" s="1023"/>
      <c r="AJ1123" s="1023"/>
      <c r="AK1123" s="1023"/>
      <c r="AL1123" s="1023"/>
      <c r="AM1123" s="1023"/>
      <c r="AN1123" s="1023"/>
      <c r="AO1123" s="957"/>
      <c r="AP1123" s="957"/>
      <c r="AQ1123" s="957"/>
      <c r="AR1123" s="957"/>
      <c r="AS1123" s="957"/>
      <c r="AT1123" s="957"/>
      <c r="AU1123" s="957"/>
      <c r="AV1123" s="957"/>
      <c r="AW1123" s="957"/>
      <c r="AX1123" s="957"/>
      <c r="AY1123" s="957"/>
      <c r="AZ1123" s="957"/>
      <c r="BA1123" s="957"/>
      <c r="BB1123" s="957"/>
      <c r="BC1123" s="957"/>
      <c r="BD1123" s="957"/>
      <c r="BE1123" s="957"/>
      <c r="BF1123" s="957"/>
      <c r="BG1123" s="957"/>
    </row>
    <row r="1124" spans="1:123">
      <c r="A1124" s="2185"/>
      <c r="B1124" s="2195"/>
      <c r="C1124" s="2180"/>
      <c r="D1124" s="292" t="s">
        <v>897</v>
      </c>
      <c r="E1124" s="511">
        <v>22</v>
      </c>
      <c r="F1124" s="233" t="s">
        <v>15</v>
      </c>
      <c r="G1124" s="233" t="s">
        <v>15</v>
      </c>
      <c r="H1124" s="513">
        <v>6.59181818181818</v>
      </c>
      <c r="I1124" s="570">
        <v>10.244671074548201</v>
      </c>
      <c r="J1124" s="234" t="s">
        <v>15</v>
      </c>
      <c r="K1124" s="233" t="s">
        <v>15</v>
      </c>
      <c r="L1124" s="234" t="s">
        <v>15</v>
      </c>
      <c r="M1124" s="233" t="s">
        <v>15</v>
      </c>
      <c r="N1124" s="1233">
        <v>-3.5771999999999999</v>
      </c>
      <c r="O1124" s="528">
        <v>-4.01</v>
      </c>
      <c r="P1124" s="528">
        <v>0.89170000000000005</v>
      </c>
      <c r="Q1124" s="195" t="s">
        <v>15</v>
      </c>
      <c r="R1124" s="2155"/>
      <c r="S1124" s="506" t="s">
        <v>73</v>
      </c>
      <c r="T1124" s="507" t="s">
        <v>140</v>
      </c>
      <c r="U1124" s="883"/>
      <c r="V1124" s="2245"/>
      <c r="W1124" s="982" t="s">
        <v>49</v>
      </c>
      <c r="X1124" s="494" t="s">
        <v>1028</v>
      </c>
      <c r="Y1124" s="526">
        <f>T1128+R1121+R1125+R1127+R1129*30+R1130*8</f>
        <v>31.207045984185555</v>
      </c>
      <c r="Z1124" s="526">
        <f>Y1124-Y1123</f>
        <v>23.588617122790019</v>
      </c>
      <c r="AA1124" s="580"/>
      <c r="AB1124" s="921"/>
      <c r="AC1124" s="26"/>
      <c r="AD1124" s="24"/>
      <c r="AE1124" s="26"/>
      <c r="AF1124" s="106"/>
      <c r="AG1124" s="37"/>
      <c r="AH1124" s="957"/>
      <c r="AI1124" s="1023"/>
      <c r="AJ1124" s="1023"/>
      <c r="AK1124" s="1023"/>
      <c r="AL1124" s="1023"/>
      <c r="AM1124" s="1023"/>
      <c r="AN1124" s="1023"/>
      <c r="AO1124" s="957"/>
      <c r="AP1124" s="957"/>
      <c r="AQ1124" s="957"/>
      <c r="AR1124" s="957"/>
      <c r="AS1124" s="957"/>
      <c r="AT1124" s="957"/>
      <c r="AU1124" s="957"/>
      <c r="AV1124" s="957"/>
      <c r="AW1124" s="957"/>
      <c r="AX1124" s="957"/>
      <c r="AY1124" s="957"/>
      <c r="AZ1124" s="957"/>
      <c r="BA1124" s="957"/>
      <c r="BB1124" s="957"/>
      <c r="BC1124" s="957"/>
      <c r="BD1124" s="957"/>
      <c r="BE1124" s="957"/>
      <c r="BF1124" s="957"/>
      <c r="BG1124" s="957"/>
    </row>
    <row r="1125" spans="1:123">
      <c r="A1125" s="2185"/>
      <c r="B1125" s="2194" t="s">
        <v>902</v>
      </c>
      <c r="C1125" s="2179" t="s">
        <v>11</v>
      </c>
      <c r="D1125" s="292" t="s">
        <v>33</v>
      </c>
      <c r="E1125" s="511">
        <v>67</v>
      </c>
      <c r="F1125" s="233" t="s">
        <v>15</v>
      </c>
      <c r="G1125" s="233" t="s">
        <v>15</v>
      </c>
      <c r="H1125" s="513">
        <v>14.4764179104478</v>
      </c>
      <c r="I1125" s="570">
        <v>10.1618360657287</v>
      </c>
      <c r="J1125" s="234" t="s">
        <v>15</v>
      </c>
      <c r="K1125" s="233" t="s">
        <v>15</v>
      </c>
      <c r="L1125" s="234" t="s">
        <v>15</v>
      </c>
      <c r="M1125" s="233" t="s">
        <v>15</v>
      </c>
      <c r="N1125" s="1233">
        <v>6.6436000000000002</v>
      </c>
      <c r="O1125" s="528">
        <v>9.26</v>
      </c>
      <c r="P1125" s="528">
        <v>0.71730000000000005</v>
      </c>
      <c r="Q1125" s="251">
        <v>0.25975224037954664</v>
      </c>
      <c r="R1125" s="2130">
        <f>SUMPRODUCT(N1125:N1126,Q1125:Q1126)</f>
        <v>1.7256899841855562</v>
      </c>
      <c r="S1125" s="531" t="s">
        <v>74</v>
      </c>
      <c r="T1125" s="505" t="s">
        <v>75</v>
      </c>
      <c r="U1125" s="881"/>
      <c r="V1125" s="24"/>
      <c r="W1125" s="26"/>
      <c r="X1125" s="26"/>
      <c r="Y1125" s="525"/>
      <c r="Z1125" s="525"/>
      <c r="AA1125" s="525"/>
      <c r="AB1125" s="921"/>
      <c r="AC1125" s="26"/>
      <c r="AD1125" s="24"/>
      <c r="AE1125" s="26"/>
      <c r="AF1125" s="106"/>
      <c r="AG1125" s="37"/>
      <c r="AH1125" s="957"/>
      <c r="AI1125" s="1023"/>
      <c r="AJ1125" s="1023"/>
      <c r="AK1125" s="1023"/>
      <c r="AL1125" s="1023"/>
      <c r="AM1125" s="1023"/>
      <c r="AN1125" s="1023"/>
      <c r="AO1125" s="957"/>
      <c r="AP1125" s="957"/>
      <c r="AQ1125" s="957"/>
      <c r="AR1125" s="957"/>
      <c r="AS1125" s="957"/>
      <c r="AT1125" s="957"/>
      <c r="AU1125" s="957"/>
      <c r="AV1125" s="957"/>
      <c r="AW1125" s="957"/>
      <c r="AX1125" s="957"/>
      <c r="AY1125" s="957"/>
      <c r="AZ1125" s="957"/>
      <c r="BA1125" s="957"/>
      <c r="BB1125" s="957"/>
      <c r="BC1125" s="957"/>
      <c r="BD1125" s="957"/>
      <c r="BE1125" s="957"/>
      <c r="BF1125" s="957"/>
      <c r="BG1125" s="957"/>
    </row>
    <row r="1126" spans="1:123">
      <c r="A1126" s="2185"/>
      <c r="B1126" s="2195"/>
      <c r="C1126" s="2180"/>
      <c r="D1126" s="292" t="s">
        <v>32</v>
      </c>
      <c r="E1126" s="511">
        <v>37</v>
      </c>
      <c r="F1126" s="233" t="s">
        <v>15</v>
      </c>
      <c r="G1126" s="233" t="s">
        <v>15</v>
      </c>
      <c r="H1126" s="513">
        <v>19.615405405405401</v>
      </c>
      <c r="I1126" s="570">
        <v>9.4544015600596794</v>
      </c>
      <c r="J1126" s="234" t="s">
        <v>15</v>
      </c>
      <c r="K1126" s="233" t="s">
        <v>15</v>
      </c>
      <c r="L1126" s="234" t="s">
        <v>15</v>
      </c>
      <c r="M1126" s="233" t="s">
        <v>15</v>
      </c>
      <c r="N1126" s="537">
        <v>0</v>
      </c>
      <c r="O1126" s="536" t="s">
        <v>574</v>
      </c>
      <c r="P1126" s="536" t="s">
        <v>574</v>
      </c>
      <c r="Q1126" s="251">
        <v>0.74024775962045331</v>
      </c>
      <c r="R1126" s="2155"/>
      <c r="S1126" s="396">
        <v>104</v>
      </c>
      <c r="T1126" s="506" t="s">
        <v>140</v>
      </c>
      <c r="U1126" s="884"/>
      <c r="V1126" s="24"/>
      <c r="W1126" s="26"/>
      <c r="X1126" s="26"/>
      <c r="Y1126" s="525"/>
      <c r="Z1126" s="525"/>
      <c r="AA1126" s="525"/>
      <c r="AB1126" s="921"/>
      <c r="AC1126" s="26"/>
      <c r="AD1126" s="24"/>
      <c r="AE1126" s="26"/>
      <c r="AF1126" s="106"/>
      <c r="AG1126" s="37"/>
      <c r="AH1126" s="957"/>
      <c r="AI1126" s="1023"/>
      <c r="AJ1126" s="1023"/>
      <c r="AK1126" s="1023"/>
      <c r="AL1126" s="1023"/>
      <c r="AM1126" s="1023"/>
      <c r="AN1126" s="1023"/>
      <c r="AO1126" s="957"/>
      <c r="AP1126" s="957"/>
      <c r="AQ1126" s="957"/>
      <c r="AR1126" s="957"/>
      <c r="AS1126" s="957"/>
      <c r="AT1126" s="957"/>
      <c r="AU1126" s="957"/>
      <c r="AV1126" s="957"/>
      <c r="AW1126" s="957"/>
      <c r="AX1126" s="957"/>
      <c r="AY1126" s="957"/>
      <c r="AZ1126" s="957"/>
      <c r="BA1126" s="957"/>
      <c r="BB1126" s="957"/>
      <c r="BC1126" s="957"/>
      <c r="BD1126" s="957"/>
      <c r="BE1126" s="957"/>
      <c r="BF1126" s="957"/>
      <c r="BG1126" s="957"/>
    </row>
    <row r="1127" spans="1:123">
      <c r="A1127" s="2185"/>
      <c r="B1127" s="2194" t="s">
        <v>17</v>
      </c>
      <c r="C1127" s="2179" t="s">
        <v>11</v>
      </c>
      <c r="D1127" s="292" t="s">
        <v>33</v>
      </c>
      <c r="E1127" s="511">
        <v>102</v>
      </c>
      <c r="F1127" s="233" t="s">
        <v>15</v>
      </c>
      <c r="G1127" s="233" t="s">
        <v>15</v>
      </c>
      <c r="H1127" s="513">
        <v>16.036862745097999</v>
      </c>
      <c r="I1127" s="570">
        <v>10.0898030393915</v>
      </c>
      <c r="J1127" s="234" t="s">
        <v>15</v>
      </c>
      <c r="K1127" s="233" t="s">
        <v>15</v>
      </c>
      <c r="L1127" s="234" t="s">
        <v>15</v>
      </c>
      <c r="M1127" s="233" t="s">
        <v>15</v>
      </c>
      <c r="N1127" s="1233">
        <v>3.9699</v>
      </c>
      <c r="O1127" s="528">
        <v>1.74</v>
      </c>
      <c r="P1127" s="528">
        <v>2.2793000000000001</v>
      </c>
      <c r="Q1127" s="195" t="s">
        <v>15</v>
      </c>
      <c r="R1127" s="128">
        <f>N1127</f>
        <v>3.9699</v>
      </c>
      <c r="S1127" s="504" t="s">
        <v>41</v>
      </c>
      <c r="T1127" s="505" t="s">
        <v>42</v>
      </c>
      <c r="U1127" s="881"/>
      <c r="V1127" s="24"/>
      <c r="W1127" s="26"/>
      <c r="X1127" s="26"/>
      <c r="Y1127" s="525"/>
      <c r="Z1127" s="525"/>
      <c r="AA1127" s="525"/>
      <c r="AB1127" s="921"/>
      <c r="AC1127" s="26"/>
      <c r="AD1127" s="24"/>
      <c r="AE1127" s="26"/>
      <c r="AF1127" s="106"/>
      <c r="AG1127" s="37"/>
      <c r="AH1127" s="957"/>
      <c r="AI1127" s="1023"/>
      <c r="AJ1127" s="1023"/>
      <c r="AK1127" s="1023"/>
      <c r="AL1127" s="1023"/>
      <c r="AM1127" s="1023"/>
      <c r="AN1127" s="1023"/>
      <c r="AO1127" s="957"/>
      <c r="AP1127" s="957"/>
      <c r="AQ1127" s="957"/>
      <c r="AR1127" s="957"/>
      <c r="AS1127" s="957"/>
      <c r="AT1127" s="957"/>
      <c r="AU1127" s="957"/>
      <c r="AV1127" s="957"/>
      <c r="AW1127" s="957"/>
      <c r="AX1127" s="957"/>
      <c r="AY1127" s="957"/>
      <c r="AZ1127" s="957"/>
      <c r="BA1127" s="957"/>
      <c r="BB1127" s="957"/>
      <c r="BC1127" s="957"/>
      <c r="BD1127" s="957"/>
      <c r="BE1127" s="957"/>
      <c r="BF1127" s="957"/>
      <c r="BG1127" s="957"/>
    </row>
    <row r="1128" spans="1:123">
      <c r="A1128" s="2185"/>
      <c r="B1128" s="2195"/>
      <c r="C1128" s="2180"/>
      <c r="D1128" s="292" t="s">
        <v>32</v>
      </c>
      <c r="E1128" s="511">
        <v>2</v>
      </c>
      <c r="F1128" s="233" t="s">
        <v>15</v>
      </c>
      <c r="G1128" s="233" t="s">
        <v>15</v>
      </c>
      <c r="H1128" s="513">
        <v>29.965</v>
      </c>
      <c r="I1128" s="570">
        <v>7.0710678118640702E-3</v>
      </c>
      <c r="J1128" s="234" t="s">
        <v>15</v>
      </c>
      <c r="K1128" s="233" t="s">
        <v>15</v>
      </c>
      <c r="L1128" s="234" t="s">
        <v>15</v>
      </c>
      <c r="M1128" s="233" t="s">
        <v>15</v>
      </c>
      <c r="N1128" s="537">
        <v>0</v>
      </c>
      <c r="O1128" s="536" t="s">
        <v>574</v>
      </c>
      <c r="P1128" s="536" t="s">
        <v>574</v>
      </c>
      <c r="Q1128" s="195" t="s">
        <v>15</v>
      </c>
      <c r="R1128" s="128">
        <f>N1128</f>
        <v>0</v>
      </c>
      <c r="S1128" s="452">
        <v>0.9</v>
      </c>
      <c r="T1128" s="260">
        <v>2.3370000000000002</v>
      </c>
      <c r="U1128" s="863"/>
      <c r="V1128" s="24"/>
      <c r="W1128" s="26"/>
      <c r="X1128" s="26"/>
      <c r="Y1128" s="525"/>
      <c r="Z1128" s="525"/>
      <c r="AA1128" s="525"/>
      <c r="AB1128" s="921"/>
      <c r="AC1128" s="26"/>
      <c r="AD1128" s="24"/>
      <c r="AE1128" s="26"/>
      <c r="AF1128" s="106"/>
      <c r="AG1128" s="37"/>
      <c r="AH1128" s="957"/>
      <c r="AI1128" s="1023"/>
      <c r="AJ1128" s="1023"/>
      <c r="AK1128" s="1023"/>
      <c r="AL1128" s="1023"/>
      <c r="AM1128" s="1023"/>
      <c r="AN1128" s="1023"/>
      <c r="AO1128" s="957"/>
      <c r="AP1128" s="957"/>
      <c r="AQ1128" s="957"/>
      <c r="AR1128" s="957"/>
      <c r="AS1128" s="957"/>
      <c r="AT1128" s="957"/>
      <c r="AU1128" s="957"/>
      <c r="AV1128" s="957"/>
      <c r="AW1128" s="957"/>
      <c r="AX1128" s="957"/>
      <c r="AY1128" s="957"/>
      <c r="AZ1128" s="957"/>
      <c r="BA1128" s="957"/>
      <c r="BB1128" s="957"/>
      <c r="BC1128" s="957"/>
      <c r="BD1128" s="957"/>
      <c r="BE1128" s="957"/>
      <c r="BF1128" s="957"/>
      <c r="BG1128" s="957"/>
    </row>
    <row r="1129" spans="1:123" s="325" customFormat="1" ht="30">
      <c r="A1129" s="2185"/>
      <c r="B1129" s="827" t="s">
        <v>903</v>
      </c>
      <c r="C1129" s="981" t="s">
        <v>12</v>
      </c>
      <c r="D1129" s="654" t="s">
        <v>1305</v>
      </c>
      <c r="E1129" s="644">
        <v>104</v>
      </c>
      <c r="F1129" s="645">
        <v>3.0913461538461501E-2</v>
      </c>
      <c r="G1129" s="645">
        <v>1.69374122442741E-2</v>
      </c>
      <c r="H1129" s="769">
        <v>16.3047115384615</v>
      </c>
      <c r="I1129" s="770">
        <v>10.174564449069999</v>
      </c>
      <c r="J1129" s="646" t="s">
        <v>14</v>
      </c>
      <c r="K1129" s="1162">
        <v>25</v>
      </c>
      <c r="L1129" s="646" t="s">
        <v>14</v>
      </c>
      <c r="M1129" s="1182" t="s">
        <v>1088</v>
      </c>
      <c r="N1129" s="1233">
        <v>7.4200000000000002E-2</v>
      </c>
      <c r="O1129" s="528">
        <v>2.63</v>
      </c>
      <c r="P1129" s="528">
        <v>2.8299999999999999E-2</v>
      </c>
      <c r="Q1129" s="208" t="s">
        <v>15</v>
      </c>
      <c r="R1129" s="634">
        <f>N1129</f>
        <v>7.4200000000000002E-2</v>
      </c>
      <c r="S1129" s="118" t="s">
        <v>235</v>
      </c>
      <c r="T1129" s="119" t="s">
        <v>391</v>
      </c>
      <c r="U1129" s="855"/>
      <c r="V1129" s="502"/>
      <c r="W1129" s="330"/>
      <c r="X1129" s="330"/>
      <c r="Y1129" s="648"/>
      <c r="Z1129" s="648"/>
      <c r="AA1129" s="648"/>
      <c r="AB1129" s="928"/>
      <c r="AC1129" s="330"/>
      <c r="AD1129" s="502"/>
      <c r="AE1129" s="330"/>
      <c r="AF1129" s="105"/>
      <c r="AG1129" s="330"/>
      <c r="AH1129" s="962"/>
      <c r="AI1129" s="1038"/>
      <c r="AJ1129" s="1038"/>
      <c r="AK1129" s="1038"/>
      <c r="AL1129" s="1038"/>
      <c r="AM1129" s="1038"/>
      <c r="AN1129" s="1038"/>
      <c r="AO1129" s="962"/>
      <c r="AP1129" s="962"/>
      <c r="AQ1129" s="962"/>
      <c r="AR1129" s="962"/>
      <c r="AS1129" s="962"/>
      <c r="AT1129" s="962"/>
      <c r="AU1129" s="962"/>
      <c r="AV1129" s="962"/>
      <c r="AW1129" s="962"/>
      <c r="AX1129" s="962"/>
      <c r="AY1129" s="962"/>
      <c r="AZ1129" s="962"/>
      <c r="BA1129" s="962"/>
      <c r="BB1129" s="962"/>
      <c r="BC1129" s="962"/>
      <c r="BD1129" s="962"/>
      <c r="BE1129" s="962"/>
      <c r="BF1129" s="962"/>
      <c r="BG1129" s="962"/>
      <c r="BH1129" s="1130"/>
      <c r="CF1129" s="568"/>
      <c r="CG1129" s="568"/>
      <c r="CH1129" s="568"/>
      <c r="CI1129" s="568"/>
      <c r="CJ1129" s="568"/>
      <c r="CK1129" s="568"/>
      <c r="CL1129" s="568"/>
      <c r="CM1129" s="568"/>
      <c r="CN1129" s="568"/>
      <c r="CO1129" s="568"/>
      <c r="CP1129" s="568"/>
      <c r="CQ1129" s="568"/>
      <c r="CR1129" s="568"/>
      <c r="CS1129" s="568"/>
      <c r="CT1129" s="568"/>
      <c r="CU1129" s="568"/>
      <c r="CV1129" s="568"/>
      <c r="CW1129" s="568"/>
      <c r="CX1129" s="568"/>
      <c r="CY1129" s="568"/>
      <c r="CZ1129" s="568"/>
      <c r="DA1129" s="568"/>
      <c r="DB1129" s="568"/>
      <c r="DC1129" s="568"/>
      <c r="DD1129" s="568"/>
      <c r="DE1129" s="568"/>
      <c r="DF1129" s="568"/>
      <c r="DG1129" s="568"/>
      <c r="DH1129" s="568"/>
      <c r="DI1129" s="560"/>
      <c r="DJ1129" s="568"/>
      <c r="DK1129" s="568"/>
      <c r="DL1129" s="568"/>
      <c r="DM1129" s="568"/>
      <c r="DN1129" s="568"/>
      <c r="DO1129" s="568"/>
      <c r="DP1129" s="568"/>
      <c r="DQ1129" s="568"/>
      <c r="DR1129" s="568"/>
      <c r="DS1129" s="568"/>
    </row>
    <row r="1130" spans="1:123" ht="15.75" thickBot="1">
      <c r="A1130" s="2203"/>
      <c r="B1130" s="826" t="s">
        <v>533</v>
      </c>
      <c r="C1130" s="981" t="s">
        <v>12</v>
      </c>
      <c r="D1130" s="509" t="s">
        <v>930</v>
      </c>
      <c r="E1130" s="511">
        <v>104</v>
      </c>
      <c r="F1130" s="487">
        <v>4.6653846153846201</v>
      </c>
      <c r="G1130" s="487">
        <v>2.9168332752300299</v>
      </c>
      <c r="H1130" s="767">
        <v>16.3047115384615</v>
      </c>
      <c r="I1130" s="768">
        <v>10.174564449069999</v>
      </c>
      <c r="J1130" s="642" t="s">
        <v>12</v>
      </c>
      <c r="K1130" s="1163" t="s">
        <v>1091</v>
      </c>
      <c r="L1130" s="655" t="s">
        <v>12</v>
      </c>
      <c r="M1130" s="1161" t="s">
        <v>930</v>
      </c>
      <c r="N1130" s="1234">
        <v>2.3014999999999999</v>
      </c>
      <c r="O1130" s="532">
        <v>14.8</v>
      </c>
      <c r="P1130" s="532">
        <v>0.1555</v>
      </c>
      <c r="Q1130" s="520" t="s">
        <v>15</v>
      </c>
      <c r="R1130" s="128">
        <f>N1130</f>
        <v>2.3014999999999999</v>
      </c>
      <c r="S1130" s="357">
        <v>2.2332329999999998</v>
      </c>
      <c r="T1130" s="151" t="s">
        <v>15</v>
      </c>
      <c r="U1130" s="862"/>
      <c r="V1130" s="24"/>
      <c r="W1130" s="26"/>
      <c r="X1130" s="26"/>
      <c r="Y1130" s="525"/>
      <c r="Z1130" s="525"/>
      <c r="AA1130" s="525"/>
      <c r="AB1130" s="921"/>
      <c r="AC1130" s="26"/>
      <c r="AD1130" s="24"/>
      <c r="AE1130" s="26"/>
      <c r="AF1130" s="106"/>
      <c r="AG1130" s="37"/>
      <c r="AH1130" s="957"/>
      <c r="AI1130" s="1023"/>
      <c r="AJ1130" s="1023"/>
      <c r="AK1130" s="1023"/>
      <c r="AL1130" s="1023"/>
      <c r="AM1130" s="1023"/>
      <c r="AN1130" s="1023"/>
      <c r="AO1130" s="957"/>
      <c r="AP1130" s="957"/>
      <c r="AQ1130" s="957"/>
      <c r="AR1130" s="957"/>
      <c r="AS1130" s="957"/>
      <c r="AT1130" s="957"/>
      <c r="AU1130" s="957"/>
      <c r="AV1130" s="957"/>
      <c r="AW1130" s="957"/>
      <c r="AX1130" s="957"/>
      <c r="AY1130" s="957"/>
      <c r="AZ1130" s="957"/>
      <c r="BA1130" s="957"/>
      <c r="BB1130" s="957"/>
      <c r="BC1130" s="957"/>
      <c r="BD1130" s="957"/>
      <c r="BE1130" s="957"/>
      <c r="BF1130" s="957"/>
      <c r="BG1130" s="957"/>
    </row>
    <row r="1131" spans="1:123" s="692" customFormat="1" ht="9" customHeight="1" thickBot="1">
      <c r="A1131" s="695"/>
      <c r="B1131" s="815"/>
      <c r="C1131" s="684"/>
      <c r="D1131" s="683"/>
      <c r="E1131" s="707"/>
      <c r="F1131" s="707"/>
      <c r="G1131" s="707"/>
      <c r="H1131" s="709"/>
      <c r="I1131" s="709"/>
      <c r="J1131" s="682"/>
      <c r="K1131" s="683"/>
      <c r="L1131" s="682"/>
      <c r="M1131" s="685"/>
      <c r="N1131" s="1189"/>
      <c r="O1131" s="686"/>
      <c r="P1131" s="686"/>
      <c r="Q1131" s="687"/>
      <c r="R1131" s="687"/>
      <c r="S1131" s="688"/>
      <c r="T1131" s="688"/>
      <c r="U1131" s="854"/>
      <c r="V1131" s="893"/>
      <c r="W1131" s="685"/>
      <c r="X1131" s="685"/>
      <c r="Y1131" s="710"/>
      <c r="Z1131" s="710"/>
      <c r="AA1131" s="710"/>
      <c r="AB1131" s="921"/>
      <c r="AC1131" s="690"/>
      <c r="AD1131" s="690"/>
      <c r="AE1131" s="690"/>
      <c r="AF1131" s="711"/>
      <c r="AG1131" s="690"/>
      <c r="AH1131" s="959"/>
      <c r="AI1131" s="959"/>
      <c r="AJ1131" s="959"/>
      <c r="AK1131" s="959"/>
      <c r="AL1131" s="959"/>
      <c r="AM1131" s="959"/>
      <c r="AN1131" s="959"/>
      <c r="AO1131" s="959"/>
      <c r="AP1131" s="959"/>
      <c r="AQ1131" s="959"/>
      <c r="AR1131" s="959"/>
      <c r="AS1131" s="959"/>
      <c r="AT1131" s="959"/>
      <c r="AU1131" s="959"/>
      <c r="AV1131" s="959"/>
      <c r="AW1131" s="959"/>
      <c r="AX1131" s="959"/>
      <c r="AY1131" s="959"/>
      <c r="AZ1131" s="959"/>
      <c r="BA1131" s="959"/>
      <c r="BB1131" s="959"/>
      <c r="BC1131" s="959"/>
      <c r="BD1131" s="959"/>
      <c r="BE1131" s="959"/>
      <c r="BF1131" s="959"/>
      <c r="BG1131" s="959"/>
      <c r="BH1131" s="1125"/>
      <c r="DI1131" s="693"/>
    </row>
    <row r="1132" spans="1:123" ht="15" customHeight="1">
      <c r="A1132" s="2171" t="s">
        <v>931</v>
      </c>
      <c r="B1132" s="2194" t="s">
        <v>889</v>
      </c>
      <c r="C1132" s="2179" t="s">
        <v>13</v>
      </c>
      <c r="D1132" s="292" t="s">
        <v>890</v>
      </c>
      <c r="E1132" s="511">
        <v>28</v>
      </c>
      <c r="F1132" s="440" t="s">
        <v>1295</v>
      </c>
      <c r="G1132" s="440" t="s">
        <v>1295</v>
      </c>
      <c r="H1132" s="513">
        <v>12.198928571428601</v>
      </c>
      <c r="I1132" s="570">
        <v>2.5086462917141601</v>
      </c>
      <c r="J1132" s="234" t="s">
        <v>15</v>
      </c>
      <c r="K1132" s="233" t="s">
        <v>15</v>
      </c>
      <c r="L1132" s="234" t="s">
        <v>15</v>
      </c>
      <c r="M1132" s="233" t="s">
        <v>15</v>
      </c>
      <c r="N1132" s="441">
        <v>0</v>
      </c>
      <c r="O1132" s="280" t="s">
        <v>574</v>
      </c>
      <c r="P1132" s="280" t="s">
        <v>574</v>
      </c>
      <c r="Q1132" s="259">
        <v>0.48</v>
      </c>
      <c r="R1132" s="2152">
        <f>SUMPRODUCT(N1132:N1136,Q1132:Q1136)</f>
        <v>1.6313960000000001</v>
      </c>
      <c r="S1132" s="531" t="s">
        <v>68</v>
      </c>
      <c r="T1132" s="505" t="s">
        <v>69</v>
      </c>
      <c r="U1132" s="881"/>
      <c r="V1132" s="2243" t="s">
        <v>2698</v>
      </c>
      <c r="W1132" s="219" t="s">
        <v>47</v>
      </c>
      <c r="X1132" s="492" t="s">
        <v>961</v>
      </c>
      <c r="Y1132" s="533">
        <f>T1020+R1013+R1015+R1017*2</f>
        <v>2.0540908343469795</v>
      </c>
      <c r="Z1132" s="282" t="s">
        <v>40</v>
      </c>
      <c r="AA1132" s="575" t="s">
        <v>40</v>
      </c>
      <c r="AB1132" s="846"/>
      <c r="AC1132" s="26"/>
      <c r="AD1132" s="24"/>
      <c r="AE1132" s="26"/>
      <c r="AF1132" s="106"/>
      <c r="AG1132" s="37"/>
      <c r="AH1132" s="957"/>
      <c r="AI1132" s="1023"/>
      <c r="AJ1132" s="1023"/>
      <c r="AK1132" s="1023"/>
      <c r="AL1132" s="1023"/>
      <c r="AM1132" s="1023"/>
      <c r="AN1132" s="1023"/>
      <c r="AO1132" s="957"/>
      <c r="AP1132" s="957"/>
      <c r="AQ1132" s="957"/>
      <c r="AR1132" s="957"/>
      <c r="AS1132" s="957"/>
      <c r="AT1132" s="957"/>
      <c r="AU1132" s="957"/>
      <c r="AV1132" s="957"/>
      <c r="AW1132" s="957"/>
      <c r="AX1132" s="957"/>
      <c r="AY1132" s="957"/>
      <c r="AZ1132" s="957"/>
      <c r="BA1132" s="957"/>
      <c r="BB1132" s="957"/>
      <c r="BC1132" s="957"/>
      <c r="BD1132" s="957"/>
      <c r="BE1132" s="957"/>
      <c r="BF1132" s="957"/>
      <c r="BG1132" s="957"/>
    </row>
    <row r="1133" spans="1:123">
      <c r="A1133" s="2172"/>
      <c r="B1133" s="2199"/>
      <c r="C1133" s="2187"/>
      <c r="D1133" s="292" t="s">
        <v>891</v>
      </c>
      <c r="E1133" s="511">
        <v>3</v>
      </c>
      <c r="F1133" s="440" t="s">
        <v>1295</v>
      </c>
      <c r="G1133" s="440" t="s">
        <v>1295</v>
      </c>
      <c r="H1133" s="513">
        <v>15.99</v>
      </c>
      <c r="I1133" s="570">
        <v>0</v>
      </c>
      <c r="J1133" s="234" t="s">
        <v>15</v>
      </c>
      <c r="K1133" s="233" t="s">
        <v>15</v>
      </c>
      <c r="L1133" s="234" t="s">
        <v>15</v>
      </c>
      <c r="M1133" s="233" t="s">
        <v>15</v>
      </c>
      <c r="N1133" s="1233">
        <v>3.1373000000000002</v>
      </c>
      <c r="O1133" s="528">
        <v>2.2599999999999998</v>
      </c>
      <c r="P1133" s="528">
        <v>1.3852</v>
      </c>
      <c r="Q1133" s="549">
        <v>0.52</v>
      </c>
      <c r="R1133" s="2153"/>
      <c r="S1133" s="46" t="s">
        <v>892</v>
      </c>
      <c r="T1133" s="451" t="s">
        <v>893</v>
      </c>
      <c r="U1133" s="882"/>
      <c r="V1133" s="2244"/>
      <c r="W1133" s="982" t="s">
        <v>49</v>
      </c>
      <c r="X1133" s="494" t="s">
        <v>1029</v>
      </c>
      <c r="Y1133" s="526">
        <f>T1139+R1132+R1137+R1139*4</f>
        <v>16.072600396492383</v>
      </c>
      <c r="Z1133" s="526">
        <f>Y1133-Y1132</f>
        <v>14.018509562145404</v>
      </c>
      <c r="AA1133" s="580"/>
      <c r="AB1133" s="921"/>
      <c r="AC1133" s="26"/>
      <c r="AD1133" s="24"/>
      <c r="AE1133" s="26"/>
      <c r="AF1133" s="106"/>
      <c r="AG1133" s="37"/>
      <c r="AH1133" s="957"/>
      <c r="AI1133" s="1023"/>
      <c r="AJ1133" s="1023"/>
      <c r="AK1133" s="1023"/>
      <c r="AL1133" s="1023"/>
      <c r="AM1133" s="1023"/>
      <c r="AN1133" s="1023"/>
      <c r="AO1133" s="957"/>
      <c r="AP1133" s="957"/>
      <c r="AQ1133" s="957"/>
      <c r="AR1133" s="957"/>
      <c r="AS1133" s="957"/>
      <c r="AT1133" s="957"/>
      <c r="AU1133" s="957"/>
      <c r="AV1133" s="957"/>
      <c r="AW1133" s="957"/>
      <c r="AX1133" s="957"/>
      <c r="AY1133" s="957"/>
      <c r="AZ1133" s="957"/>
      <c r="BA1133" s="957"/>
      <c r="BB1133" s="957"/>
      <c r="BC1133" s="957"/>
      <c r="BD1133" s="957"/>
      <c r="BE1133" s="957"/>
      <c r="BF1133" s="957"/>
      <c r="BG1133" s="957"/>
    </row>
    <row r="1134" spans="1:123">
      <c r="A1134" s="2172"/>
      <c r="B1134" s="2199"/>
      <c r="C1134" s="2187"/>
      <c r="D1134" s="292" t="s">
        <v>894</v>
      </c>
      <c r="E1134" s="511">
        <v>4</v>
      </c>
      <c r="F1134" s="440" t="s">
        <v>1295</v>
      </c>
      <c r="G1134" s="440" t="s">
        <v>1295</v>
      </c>
      <c r="H1134" s="513">
        <v>9.99</v>
      </c>
      <c r="I1134" s="570">
        <v>0</v>
      </c>
      <c r="J1134" s="234" t="s">
        <v>15</v>
      </c>
      <c r="K1134" s="233" t="s">
        <v>15</v>
      </c>
      <c r="L1134" s="234" t="s">
        <v>15</v>
      </c>
      <c r="M1134" s="233" t="s">
        <v>15</v>
      </c>
      <c r="N1134" s="1233">
        <v>-0.4849</v>
      </c>
      <c r="O1134" s="528">
        <v>-0.39</v>
      </c>
      <c r="P1134" s="528">
        <v>1.2334000000000001</v>
      </c>
      <c r="Q1134" s="195" t="s">
        <v>15</v>
      </c>
      <c r="R1134" s="2153"/>
      <c r="S1134" s="531" t="s">
        <v>72</v>
      </c>
      <c r="T1134" s="416" t="s">
        <v>119</v>
      </c>
      <c r="U1134" s="876"/>
      <c r="V1134" s="2244"/>
      <c r="W1134" s="982" t="s">
        <v>47</v>
      </c>
      <c r="X1134" s="494" t="s">
        <v>964</v>
      </c>
      <c r="Y1134" s="526">
        <f>T1089+R1082+R1087+R1089+R1091*10+R1092*11</f>
        <v>8.2443726351512829</v>
      </c>
      <c r="Z1134" s="95" t="s">
        <v>40</v>
      </c>
      <c r="AA1134" s="117" t="s">
        <v>40</v>
      </c>
      <c r="AB1134" s="846"/>
      <c r="AC1134" s="26"/>
      <c r="AD1134" s="24"/>
      <c r="AE1134" s="26"/>
      <c r="AF1134" s="106"/>
      <c r="AG1134" s="37"/>
      <c r="AH1134" s="957"/>
      <c r="AI1134" s="1023"/>
      <c r="AJ1134" s="1023"/>
      <c r="AK1134" s="1023"/>
      <c r="AL1134" s="1023"/>
      <c r="AM1134" s="1023"/>
      <c r="AN1134" s="1023"/>
      <c r="AO1134" s="957"/>
      <c r="AP1134" s="957"/>
      <c r="AQ1134" s="957"/>
      <c r="AR1134" s="957"/>
      <c r="AS1134" s="957"/>
      <c r="AT1134" s="957"/>
      <c r="AU1134" s="957"/>
      <c r="AV1134" s="957"/>
      <c r="AW1134" s="957"/>
      <c r="AX1134" s="957"/>
      <c r="AY1134" s="957"/>
      <c r="AZ1134" s="957"/>
      <c r="BA1134" s="957"/>
      <c r="BB1134" s="957"/>
      <c r="BC1134" s="957"/>
      <c r="BD1134" s="957"/>
      <c r="BE1134" s="957"/>
      <c r="BF1134" s="957"/>
      <c r="BG1134" s="957"/>
    </row>
    <row r="1135" spans="1:123">
      <c r="A1135" s="2172"/>
      <c r="B1135" s="2199"/>
      <c r="C1135" s="2187"/>
      <c r="D1135" s="292" t="s">
        <v>895</v>
      </c>
      <c r="E1135" s="511">
        <v>7</v>
      </c>
      <c r="F1135" s="440" t="s">
        <v>1295</v>
      </c>
      <c r="G1135" s="440" t="s">
        <v>1295</v>
      </c>
      <c r="H1135" s="513">
        <v>12.275714285714299</v>
      </c>
      <c r="I1135" s="570">
        <v>3.5923198500080602</v>
      </c>
      <c r="J1135" s="234" t="s">
        <v>15</v>
      </c>
      <c r="K1135" s="233" t="s">
        <v>15</v>
      </c>
      <c r="L1135" s="234" t="s">
        <v>15</v>
      </c>
      <c r="M1135" s="233" t="s">
        <v>15</v>
      </c>
      <c r="N1135" s="1233">
        <v>3.1977000000000002</v>
      </c>
      <c r="O1135" s="528">
        <v>2.78</v>
      </c>
      <c r="P1135" s="528">
        <v>1.1501999999999999</v>
      </c>
      <c r="Q1135" s="195" t="s">
        <v>15</v>
      </c>
      <c r="R1135" s="2153"/>
      <c r="S1135" s="506" t="s">
        <v>73</v>
      </c>
      <c r="T1135" s="507" t="s">
        <v>140</v>
      </c>
      <c r="U1135" s="883"/>
      <c r="V1135" s="2245"/>
      <c r="W1135" s="982" t="s">
        <v>49</v>
      </c>
      <c r="X1135" s="494" t="s">
        <v>1030</v>
      </c>
      <c r="Y1135" s="526">
        <f>T1139+R1132+R1137+R1139*4</f>
        <v>16.072600396492383</v>
      </c>
      <c r="Z1135" s="526">
        <f>Y1135-Y1134</f>
        <v>7.8282277613411004</v>
      </c>
      <c r="AA1135" s="580"/>
      <c r="AB1135" s="921"/>
      <c r="AC1135" s="26"/>
      <c r="AD1135" s="24"/>
      <c r="AE1135" s="26"/>
      <c r="AF1135" s="106"/>
      <c r="AG1135" s="37"/>
      <c r="AH1135" s="957"/>
      <c r="AI1135" s="1023"/>
      <c r="AJ1135" s="1023"/>
      <c r="AK1135" s="1023"/>
      <c r="AL1135" s="1023"/>
      <c r="AM1135" s="1023"/>
      <c r="AN1135" s="1023"/>
      <c r="AO1135" s="957"/>
      <c r="AP1135" s="957"/>
      <c r="AQ1135" s="957"/>
      <c r="AR1135" s="957"/>
      <c r="AS1135" s="957"/>
      <c r="AT1135" s="957"/>
      <c r="AU1135" s="957"/>
      <c r="AV1135" s="957"/>
      <c r="AW1135" s="957"/>
      <c r="AX1135" s="957"/>
      <c r="AY1135" s="957"/>
      <c r="AZ1135" s="957"/>
      <c r="BA1135" s="957"/>
      <c r="BB1135" s="957"/>
      <c r="BC1135" s="957"/>
      <c r="BD1135" s="957"/>
      <c r="BE1135" s="957"/>
      <c r="BF1135" s="957"/>
      <c r="BG1135" s="957"/>
    </row>
    <row r="1136" spans="1:123">
      <c r="A1136" s="2172"/>
      <c r="B1136" s="2195"/>
      <c r="C1136" s="2180"/>
      <c r="D1136" s="292" t="s">
        <v>896</v>
      </c>
      <c r="E1136" s="511">
        <v>7</v>
      </c>
      <c r="F1136" s="440" t="s">
        <v>1295</v>
      </c>
      <c r="G1136" s="440" t="s">
        <v>1295</v>
      </c>
      <c r="H1136" s="513">
        <v>9.3971428571428604</v>
      </c>
      <c r="I1136" s="570">
        <v>2.4560857360558801</v>
      </c>
      <c r="J1136" s="234" t="s">
        <v>15</v>
      </c>
      <c r="K1136" s="233" t="s">
        <v>15</v>
      </c>
      <c r="L1136" s="234" t="s">
        <v>15</v>
      </c>
      <c r="M1136" s="233" t="s">
        <v>15</v>
      </c>
      <c r="N1136" s="1233">
        <v>-1.4174</v>
      </c>
      <c r="O1136" s="528">
        <v>-1.41</v>
      </c>
      <c r="P1136" s="528">
        <v>1.0027999999999999</v>
      </c>
      <c r="Q1136" s="195" t="s">
        <v>15</v>
      </c>
      <c r="R1136" s="2154"/>
      <c r="S1136" s="531" t="s">
        <v>74</v>
      </c>
      <c r="T1136" s="505" t="s">
        <v>75</v>
      </c>
      <c r="U1136" s="881"/>
      <c r="V1136" s="24"/>
      <c r="W1136" s="26"/>
      <c r="X1136" s="26"/>
      <c r="Y1136" s="525"/>
      <c r="Z1136" s="525"/>
      <c r="AA1136" s="525"/>
      <c r="AB1136" s="921"/>
      <c r="AC1136" s="26"/>
      <c r="AD1136" s="24"/>
      <c r="AE1136" s="26"/>
      <c r="AF1136" s="106"/>
      <c r="AG1136" s="37"/>
      <c r="AH1136" s="957"/>
      <c r="AI1136" s="1023"/>
      <c r="AJ1136" s="1023"/>
      <c r="AK1136" s="1023"/>
      <c r="AL1136" s="1023"/>
      <c r="AM1136" s="1023"/>
      <c r="AN1136" s="1023"/>
      <c r="AO1136" s="957"/>
      <c r="AP1136" s="957"/>
      <c r="AQ1136" s="957"/>
      <c r="AR1136" s="957"/>
      <c r="AS1136" s="957"/>
      <c r="AT1136" s="957"/>
      <c r="AU1136" s="957"/>
      <c r="AV1136" s="957"/>
      <c r="AW1136" s="957"/>
      <c r="AX1136" s="957"/>
      <c r="AY1136" s="957"/>
      <c r="AZ1136" s="957"/>
      <c r="BA1136" s="957"/>
      <c r="BB1136" s="957"/>
      <c r="BC1136" s="957"/>
      <c r="BD1136" s="957"/>
      <c r="BE1136" s="957"/>
      <c r="BF1136" s="957"/>
      <c r="BG1136" s="957"/>
    </row>
    <row r="1137" spans="1:113">
      <c r="A1137" s="2172"/>
      <c r="B1137" s="2194" t="s">
        <v>902</v>
      </c>
      <c r="C1137" s="2179" t="s">
        <v>11</v>
      </c>
      <c r="D1137" s="292" t="s">
        <v>33</v>
      </c>
      <c r="E1137" s="511">
        <v>20</v>
      </c>
      <c r="F1137" s="440" t="s">
        <v>1295</v>
      </c>
      <c r="G1137" s="440" t="s">
        <v>1295</v>
      </c>
      <c r="H1137" s="513">
        <v>12.682499999999999</v>
      </c>
      <c r="I1137" s="570">
        <v>1.6866406193814301</v>
      </c>
      <c r="J1137" s="234" t="s">
        <v>15</v>
      </c>
      <c r="K1137" s="233" t="s">
        <v>15</v>
      </c>
      <c r="L1137" s="234" t="s">
        <v>15</v>
      </c>
      <c r="M1137" s="233" t="s">
        <v>15</v>
      </c>
      <c r="N1137" s="1233">
        <v>5.0453000000000001</v>
      </c>
      <c r="O1137" s="528">
        <v>3.17</v>
      </c>
      <c r="P1137" s="528">
        <v>1.5919000000000001</v>
      </c>
      <c r="Q1137" s="251">
        <v>0.1365636129650136</v>
      </c>
      <c r="R1137" s="2130">
        <f>SUMPRODUCT(N1137:N1138,Q1137:Q1138)</f>
        <v>0.6890043964923831</v>
      </c>
      <c r="S1137" s="779">
        <v>49</v>
      </c>
      <c r="T1137" s="506" t="s">
        <v>140</v>
      </c>
      <c r="U1137" s="884"/>
      <c r="V1137" s="24"/>
      <c r="W1137" s="26"/>
      <c r="X1137" s="26"/>
      <c r="Y1137" s="525"/>
      <c r="Z1137" s="525"/>
      <c r="AA1137" s="525"/>
      <c r="AB1137" s="921"/>
      <c r="AC1137" s="26"/>
      <c r="AD1137" s="24"/>
      <c r="AE1137" s="26"/>
      <c r="AF1137" s="106"/>
      <c r="AG1137" s="37"/>
      <c r="AH1137" s="957"/>
      <c r="AI1137" s="1023"/>
      <c r="AJ1137" s="1023"/>
      <c r="AK1137" s="1023"/>
      <c r="AL1137" s="1023"/>
      <c r="AM1137" s="1023"/>
      <c r="AN1137" s="1023"/>
      <c r="AO1137" s="957"/>
      <c r="AP1137" s="957"/>
      <c r="AQ1137" s="957"/>
      <c r="AR1137" s="957"/>
      <c r="AS1137" s="957"/>
      <c r="AT1137" s="957"/>
      <c r="AU1137" s="957"/>
      <c r="AV1137" s="957"/>
      <c r="AW1137" s="957"/>
      <c r="AX1137" s="957"/>
      <c r="AY1137" s="957"/>
      <c r="AZ1137" s="957"/>
      <c r="BA1137" s="957"/>
      <c r="BB1137" s="957"/>
      <c r="BC1137" s="957"/>
      <c r="BD1137" s="957"/>
      <c r="BE1137" s="957"/>
      <c r="BF1137" s="957"/>
      <c r="BG1137" s="957"/>
    </row>
    <row r="1138" spans="1:113">
      <c r="A1138" s="2172"/>
      <c r="B1138" s="2195"/>
      <c r="C1138" s="2180"/>
      <c r="D1138" s="292" t="s">
        <v>32</v>
      </c>
      <c r="E1138" s="511">
        <v>29</v>
      </c>
      <c r="F1138" s="440" t="s">
        <v>1295</v>
      </c>
      <c r="G1138" s="440" t="s">
        <v>1295</v>
      </c>
      <c r="H1138" s="513">
        <v>11.2951724137931</v>
      </c>
      <c r="I1138" s="570">
        <v>3.3740275008296399</v>
      </c>
      <c r="J1138" s="234" t="s">
        <v>15</v>
      </c>
      <c r="K1138" s="233" t="s">
        <v>15</v>
      </c>
      <c r="L1138" s="234" t="s">
        <v>15</v>
      </c>
      <c r="M1138" s="233" t="s">
        <v>15</v>
      </c>
      <c r="N1138" s="537">
        <v>0</v>
      </c>
      <c r="O1138" s="536" t="s">
        <v>574</v>
      </c>
      <c r="P1138" s="536" t="s">
        <v>574</v>
      </c>
      <c r="Q1138" s="251">
        <v>0.86343638703498637</v>
      </c>
      <c r="R1138" s="2155"/>
      <c r="S1138" s="504" t="s">
        <v>41</v>
      </c>
      <c r="T1138" s="505" t="s">
        <v>42</v>
      </c>
      <c r="U1138" s="881"/>
      <c r="V1138" s="24"/>
      <c r="W1138" s="26"/>
      <c r="X1138" s="26"/>
      <c r="Y1138" s="525"/>
      <c r="Z1138" s="525"/>
      <c r="AA1138" s="525"/>
      <c r="AB1138" s="921"/>
      <c r="AC1138" s="26"/>
      <c r="AD1138" s="24"/>
      <c r="AE1138" s="26"/>
      <c r="AF1138" s="106"/>
      <c r="AG1138" s="37"/>
      <c r="AH1138" s="957"/>
      <c r="AI1138" s="1023"/>
      <c r="AJ1138" s="1023"/>
      <c r="AK1138" s="1023"/>
      <c r="AL1138" s="1023"/>
      <c r="AM1138" s="1023"/>
      <c r="AN1138" s="1023"/>
      <c r="AO1138" s="957"/>
      <c r="AP1138" s="957"/>
      <c r="AQ1138" s="957"/>
      <c r="AR1138" s="957"/>
      <c r="AS1138" s="957"/>
      <c r="AT1138" s="957"/>
      <c r="AU1138" s="957"/>
      <c r="AV1138" s="957"/>
      <c r="AW1138" s="957"/>
      <c r="AX1138" s="957"/>
      <c r="AY1138" s="957"/>
      <c r="AZ1138" s="957"/>
      <c r="BA1138" s="957"/>
      <c r="BB1138" s="957"/>
      <c r="BC1138" s="957"/>
      <c r="BD1138" s="957"/>
      <c r="BE1138" s="957"/>
      <c r="BF1138" s="957"/>
      <c r="BG1138" s="957"/>
    </row>
    <row r="1139" spans="1:113">
      <c r="A1139" s="2172"/>
      <c r="B1139" s="826" t="s">
        <v>533</v>
      </c>
      <c r="C1139" s="981" t="s">
        <v>12</v>
      </c>
      <c r="D1139" s="509" t="s">
        <v>1306</v>
      </c>
      <c r="E1139" s="780">
        <v>49</v>
      </c>
      <c r="F1139" s="772">
        <v>2.2224489795918401</v>
      </c>
      <c r="G1139" s="772">
        <v>1.17176243790469</v>
      </c>
      <c r="H1139" s="767">
        <v>11.861428571428601</v>
      </c>
      <c r="I1139" s="768">
        <v>2.8707795108646001</v>
      </c>
      <c r="J1139" s="642" t="s">
        <v>12</v>
      </c>
      <c r="K1139" s="1159" t="s">
        <v>1090</v>
      </c>
      <c r="L1139" s="642" t="s">
        <v>12</v>
      </c>
      <c r="M1139" s="1159" t="s">
        <v>1087</v>
      </c>
      <c r="N1139" s="1233">
        <v>2.9723000000000002</v>
      </c>
      <c r="O1139" s="528">
        <v>4.33</v>
      </c>
      <c r="P1139" s="528">
        <v>0.68640000000000001</v>
      </c>
      <c r="Q1139" s="195" t="s">
        <v>15</v>
      </c>
      <c r="R1139" s="128">
        <f>N1139</f>
        <v>2.9723000000000002</v>
      </c>
      <c r="S1139" s="452">
        <v>0.45</v>
      </c>
      <c r="T1139" s="260">
        <v>1.863</v>
      </c>
      <c r="U1139" s="863"/>
      <c r="V1139" s="24"/>
      <c r="W1139" s="26"/>
      <c r="X1139" s="26"/>
      <c r="Y1139" s="525"/>
      <c r="Z1139" s="525"/>
      <c r="AA1139" s="525"/>
      <c r="AB1139" s="921"/>
      <c r="AC1139" s="26"/>
      <c r="AD1139" s="24"/>
      <c r="AE1139" s="26"/>
      <c r="AF1139" s="106"/>
      <c r="AG1139" s="37"/>
      <c r="AH1139" s="957"/>
      <c r="AI1139" s="1023"/>
      <c r="AJ1139" s="1023"/>
      <c r="AK1139" s="1023"/>
      <c r="AL1139" s="1023"/>
      <c r="AM1139" s="1023"/>
      <c r="AN1139" s="1023"/>
      <c r="AO1139" s="957"/>
      <c r="AP1139" s="957"/>
      <c r="AQ1139" s="957"/>
      <c r="AR1139" s="957"/>
      <c r="AS1139" s="957"/>
      <c r="AT1139" s="957"/>
      <c r="AU1139" s="957"/>
      <c r="AV1139" s="957"/>
      <c r="AW1139" s="957"/>
      <c r="AX1139" s="957"/>
      <c r="AY1139" s="957"/>
      <c r="AZ1139" s="957"/>
      <c r="BA1139" s="957"/>
      <c r="BB1139" s="957"/>
      <c r="BC1139" s="957"/>
      <c r="BD1139" s="957"/>
      <c r="BE1139" s="957"/>
      <c r="BF1139" s="957"/>
      <c r="BG1139" s="957"/>
    </row>
    <row r="1140" spans="1:113" ht="15" customHeight="1">
      <c r="A1140" s="2172"/>
      <c r="B1140" s="827" t="s">
        <v>903</v>
      </c>
      <c r="C1140" s="814" t="s">
        <v>15</v>
      </c>
      <c r="D1140" s="440" t="s">
        <v>15</v>
      </c>
      <c r="E1140" s="440" t="s">
        <v>15</v>
      </c>
      <c r="F1140" s="440" t="s">
        <v>15</v>
      </c>
      <c r="G1140" s="440" t="s">
        <v>15</v>
      </c>
      <c r="H1140" s="440" t="s">
        <v>15</v>
      </c>
      <c r="I1140" s="662" t="s">
        <v>15</v>
      </c>
      <c r="J1140" s="657" t="s">
        <v>14</v>
      </c>
      <c r="K1140" s="1160">
        <v>15</v>
      </c>
      <c r="L1140" s="657" t="s">
        <v>14</v>
      </c>
      <c r="M1140" s="1183">
        <v>15</v>
      </c>
      <c r="N1140" s="1209" t="s">
        <v>15</v>
      </c>
      <c r="O1140" s="440" t="s">
        <v>15</v>
      </c>
      <c r="P1140" s="440" t="s">
        <v>15</v>
      </c>
      <c r="Q1140" s="440" t="s">
        <v>15</v>
      </c>
      <c r="R1140" s="440" t="s">
        <v>15</v>
      </c>
      <c r="S1140" s="118" t="s">
        <v>235</v>
      </c>
      <c r="T1140" s="119" t="s">
        <v>391</v>
      </c>
      <c r="U1140" s="855"/>
      <c r="V1140" s="24"/>
      <c r="W1140" s="26"/>
      <c r="X1140" s="26"/>
      <c r="Y1140" s="525"/>
      <c r="Z1140" s="525"/>
      <c r="AA1140" s="525"/>
      <c r="AB1140" s="921"/>
      <c r="AC1140" s="26"/>
      <c r="AD1140" s="24"/>
      <c r="AE1140" s="26"/>
      <c r="AF1140" s="106"/>
      <c r="AG1140" s="37"/>
      <c r="AH1140" s="957"/>
      <c r="AI1140" s="1023"/>
      <c r="AJ1140" s="1023"/>
      <c r="AK1140" s="1023"/>
      <c r="AL1140" s="1023"/>
      <c r="AM1140" s="1023"/>
      <c r="AN1140" s="1023"/>
      <c r="AO1140" s="957"/>
      <c r="AP1140" s="957"/>
      <c r="AQ1140" s="957"/>
      <c r="AR1140" s="957"/>
      <c r="AS1140" s="957"/>
      <c r="AT1140" s="957"/>
      <c r="AU1140" s="957"/>
      <c r="AV1140" s="957"/>
      <c r="AW1140" s="957"/>
      <c r="AX1140" s="957"/>
      <c r="AY1140" s="957"/>
      <c r="AZ1140" s="957"/>
      <c r="BA1140" s="957"/>
      <c r="BB1140" s="957"/>
      <c r="BC1140" s="957"/>
      <c r="BD1140" s="957"/>
      <c r="BE1140" s="957"/>
      <c r="BF1140" s="957"/>
      <c r="BG1140" s="957"/>
    </row>
    <row r="1141" spans="1:113" ht="15.75" thickBot="1">
      <c r="A1141" s="2188"/>
      <c r="B1141" s="1049" t="s">
        <v>1080</v>
      </c>
      <c r="C1141" s="41"/>
      <c r="D1141" s="26"/>
      <c r="E1141" s="26"/>
      <c r="F1141" s="26"/>
      <c r="G1141" s="26"/>
      <c r="H1141" s="26"/>
      <c r="I1141" s="26"/>
      <c r="J1141" s="75"/>
      <c r="K1141" s="26"/>
      <c r="L1141" s="75"/>
      <c r="M1141" s="26"/>
      <c r="N1141" s="1205"/>
      <c r="O1141" s="467"/>
      <c r="P1141" s="467"/>
      <c r="Q1141" s="252"/>
      <c r="R1141" s="252"/>
      <c r="S1141" s="357">
        <v>1.5454270000000001</v>
      </c>
      <c r="T1141" s="151" t="s">
        <v>15</v>
      </c>
      <c r="U1141" s="862"/>
      <c r="V1141" s="24"/>
      <c r="W1141" s="26"/>
      <c r="X1141" s="26"/>
      <c r="Y1141" s="525"/>
      <c r="Z1141" s="525"/>
      <c r="AA1141" s="525"/>
      <c r="AB1141" s="921"/>
      <c r="AC1141" s="26"/>
      <c r="AD1141" s="24"/>
      <c r="AE1141" s="26"/>
      <c r="AF1141" s="106"/>
      <c r="AG1141" s="37"/>
      <c r="AH1141" s="957"/>
      <c r="AI1141" s="1023"/>
      <c r="AJ1141" s="1023"/>
      <c r="AK1141" s="1023"/>
      <c r="AL1141" s="1023"/>
      <c r="AM1141" s="1023"/>
      <c r="AN1141" s="1023"/>
      <c r="AO1141" s="957"/>
      <c r="AP1141" s="957"/>
      <c r="AQ1141" s="957"/>
      <c r="AR1141" s="957"/>
      <c r="AS1141" s="957"/>
      <c r="AT1141" s="957"/>
      <c r="AU1141" s="957"/>
      <c r="AV1141" s="957"/>
      <c r="AW1141" s="957"/>
      <c r="AX1141" s="957"/>
      <c r="AY1141" s="957"/>
      <c r="AZ1141" s="957"/>
      <c r="BA1141" s="957"/>
      <c r="BB1141" s="957"/>
      <c r="BC1141" s="957"/>
      <c r="BD1141" s="957"/>
      <c r="BE1141" s="957"/>
      <c r="BF1141" s="957"/>
      <c r="BG1141" s="957"/>
    </row>
    <row r="1142" spans="1:113" s="692" customFormat="1" ht="9" customHeight="1" thickBot="1">
      <c r="A1142" s="695"/>
      <c r="B1142" s="815"/>
      <c r="C1142" s="684"/>
      <c r="D1142" s="683"/>
      <c r="E1142" s="707"/>
      <c r="F1142" s="707"/>
      <c r="G1142" s="707"/>
      <c r="H1142" s="709"/>
      <c r="I1142" s="709"/>
      <c r="J1142" s="682"/>
      <c r="K1142" s="683"/>
      <c r="L1142" s="682"/>
      <c r="M1142" s="685"/>
      <c r="N1142" s="1189"/>
      <c r="O1142" s="686"/>
      <c r="P1142" s="686"/>
      <c r="Q1142" s="687"/>
      <c r="R1142" s="687"/>
      <c r="S1142" s="688"/>
      <c r="T1142" s="688"/>
      <c r="U1142" s="854"/>
      <c r="V1142" s="893"/>
      <c r="W1142" s="685"/>
      <c r="X1142" s="685"/>
      <c r="Y1142" s="710"/>
      <c r="Z1142" s="710"/>
      <c r="AA1142" s="710"/>
      <c r="AB1142" s="921"/>
      <c r="AC1142" s="690"/>
      <c r="AD1142" s="690"/>
      <c r="AE1142" s="690"/>
      <c r="AF1142" s="711"/>
      <c r="AG1142" s="690"/>
      <c r="AH1142" s="959"/>
      <c r="AI1142" s="959"/>
      <c r="AJ1142" s="959"/>
      <c r="AK1142" s="959"/>
      <c r="AL1142" s="959"/>
      <c r="AM1142" s="959"/>
      <c r="AN1142" s="959"/>
      <c r="AO1142" s="959"/>
      <c r="AP1142" s="959"/>
      <c r="AQ1142" s="959"/>
      <c r="AR1142" s="959"/>
      <c r="AS1142" s="959"/>
      <c r="AT1142" s="959"/>
      <c r="AU1142" s="959"/>
      <c r="AV1142" s="959"/>
      <c r="AW1142" s="959"/>
      <c r="AX1142" s="959"/>
      <c r="AY1142" s="959"/>
      <c r="AZ1142" s="959"/>
      <c r="BA1142" s="959"/>
      <c r="BB1142" s="959"/>
      <c r="BC1142" s="959"/>
      <c r="BD1142" s="959"/>
      <c r="BE1142" s="959"/>
      <c r="BF1142" s="959"/>
      <c r="BG1142" s="959"/>
      <c r="BH1142" s="1125"/>
      <c r="DI1142" s="693"/>
    </row>
    <row r="1143" spans="1:113">
      <c r="A1143" s="2171" t="s">
        <v>1031</v>
      </c>
      <c r="B1143" s="817" t="s">
        <v>533</v>
      </c>
      <c r="C1143" s="981" t="s">
        <v>12</v>
      </c>
      <c r="D1143" s="86" t="s">
        <v>1040</v>
      </c>
      <c r="E1143" s="86">
        <v>178</v>
      </c>
      <c r="F1143" s="142">
        <v>265.33150000000001</v>
      </c>
      <c r="G1143" s="142">
        <v>279.06099999999998</v>
      </c>
      <c r="H1143" s="513">
        <v>36.603029999999997</v>
      </c>
      <c r="I1143" s="570">
        <v>25.691120000000002</v>
      </c>
      <c r="J1143" s="234" t="s">
        <v>15</v>
      </c>
      <c r="K1143" s="233" t="s">
        <v>15</v>
      </c>
      <c r="L1143" s="234" t="s">
        <v>15</v>
      </c>
      <c r="M1143" s="233" t="s">
        <v>15</v>
      </c>
      <c r="N1143" s="1194">
        <v>1.8881999999999999E-2</v>
      </c>
      <c r="O1143" s="142">
        <v>2.23</v>
      </c>
      <c r="P1143" s="142">
        <v>8.4499899999999992E-3</v>
      </c>
      <c r="Q1143" s="195" t="s">
        <v>15</v>
      </c>
      <c r="R1143" s="128">
        <f t="shared" ref="R1143:R1149" si="55">N1143</f>
        <v>1.8881999999999999E-2</v>
      </c>
      <c r="S1143" s="531" t="s">
        <v>68</v>
      </c>
      <c r="T1143" s="505" t="s">
        <v>69</v>
      </c>
      <c r="U1143" s="881"/>
      <c r="V1143" s="403" t="s">
        <v>1382</v>
      </c>
      <c r="W1143" s="26"/>
      <c r="X1143" s="26"/>
      <c r="Y1143" s="26"/>
      <c r="Z1143" s="581"/>
      <c r="AA1143" s="581"/>
      <c r="AC1143" s="26"/>
      <c r="AD1143" s="501"/>
      <c r="AE1143" s="26"/>
      <c r="AF1143" s="75" t="s">
        <v>1053</v>
      </c>
      <c r="AG1143" s="26"/>
      <c r="AH1143" s="957"/>
      <c r="AI1143" s="957"/>
      <c r="AJ1143" s="957"/>
      <c r="AK1143" s="957"/>
      <c r="AL1143" s="957"/>
      <c r="AM1143" s="957"/>
      <c r="AN1143" s="957"/>
      <c r="AO1143" s="957"/>
      <c r="AP1143" s="957"/>
      <c r="AQ1143" s="957"/>
      <c r="AR1143" s="957"/>
      <c r="AS1143" s="957"/>
      <c r="AT1143" s="957"/>
      <c r="AU1143" s="957"/>
      <c r="AV1143" s="957"/>
      <c r="AW1143" s="957"/>
      <c r="AX1143" s="957"/>
      <c r="AY1143" s="957"/>
      <c r="AZ1143" s="957"/>
      <c r="BA1143" s="957"/>
      <c r="BB1143" s="957"/>
      <c r="BC1143" s="957"/>
      <c r="BD1143" s="957"/>
      <c r="BE1143" s="957"/>
      <c r="BF1143" s="957"/>
      <c r="BG1143" s="957"/>
    </row>
    <row r="1144" spans="1:113">
      <c r="A1144" s="2172"/>
      <c r="B1144" s="817" t="s">
        <v>1032</v>
      </c>
      <c r="C1144" s="981" t="s">
        <v>12</v>
      </c>
      <c r="D1144" s="86" t="s">
        <v>1041</v>
      </c>
      <c r="E1144" s="86">
        <v>178</v>
      </c>
      <c r="F1144" s="142">
        <v>76.499690000000001</v>
      </c>
      <c r="G1144" s="142">
        <v>18.177600000000002</v>
      </c>
      <c r="H1144" s="513">
        <v>36.603029999999997</v>
      </c>
      <c r="I1144" s="570">
        <v>25.691120000000002</v>
      </c>
      <c r="J1144" s="234" t="s">
        <v>15</v>
      </c>
      <c r="K1144" s="233" t="s">
        <v>15</v>
      </c>
      <c r="L1144" s="234" t="s">
        <v>15</v>
      </c>
      <c r="M1144" s="233" t="s">
        <v>15</v>
      </c>
      <c r="N1144" s="1194">
        <v>0.32452999999999999</v>
      </c>
      <c r="O1144" s="142">
        <v>3.61</v>
      </c>
      <c r="P1144" s="142">
        <v>8.9875419999999998E-2</v>
      </c>
      <c r="Q1144" s="195" t="s">
        <v>15</v>
      </c>
      <c r="R1144" s="128">
        <f t="shared" si="55"/>
        <v>0.32452999999999999</v>
      </c>
      <c r="S1144" s="356" t="s">
        <v>159</v>
      </c>
      <c r="T1144" s="351" t="s">
        <v>310</v>
      </c>
      <c r="U1144" s="854"/>
      <c r="V1144" s="24"/>
      <c r="W1144" s="26"/>
      <c r="X1144" s="26"/>
      <c r="Y1144" s="26"/>
      <c r="Z1144" s="26"/>
      <c r="AA1144" s="26"/>
      <c r="AC1144" s="26"/>
      <c r="AD1144" s="24"/>
      <c r="AE1144" s="26"/>
      <c r="AF1144" s="75"/>
      <c r="AG1144" s="26"/>
      <c r="AH1144" s="957"/>
      <c r="AI1144" s="957"/>
      <c r="AJ1144" s="957"/>
      <c r="AK1144" s="957"/>
      <c r="AL1144" s="957"/>
      <c r="AM1144" s="957"/>
      <c r="AN1144" s="957"/>
      <c r="AO1144" s="957"/>
      <c r="AP1144" s="957"/>
      <c r="AQ1144" s="957"/>
      <c r="AR1144" s="957"/>
      <c r="AS1144" s="957"/>
      <c r="AT1144" s="957"/>
      <c r="AU1144" s="957"/>
      <c r="AV1144" s="957"/>
      <c r="AW1144" s="957"/>
      <c r="AX1144" s="957"/>
      <c r="AY1144" s="957"/>
      <c r="AZ1144" s="957"/>
      <c r="BA1144" s="957"/>
      <c r="BB1144" s="957"/>
      <c r="BC1144" s="957"/>
      <c r="BD1144" s="957"/>
      <c r="BE1144" s="957"/>
      <c r="BF1144" s="957"/>
      <c r="BG1144" s="957"/>
    </row>
    <row r="1145" spans="1:113">
      <c r="A1145" s="2172"/>
      <c r="B1145" s="817" t="s">
        <v>1033</v>
      </c>
      <c r="C1145" s="981" t="s">
        <v>12</v>
      </c>
      <c r="D1145" s="86" t="s">
        <v>1042</v>
      </c>
      <c r="E1145" s="86">
        <v>178</v>
      </c>
      <c r="F1145" s="447">
        <v>3766.067</v>
      </c>
      <c r="G1145" s="447">
        <v>416.2833</v>
      </c>
      <c r="H1145" s="513">
        <v>36.603029999999997</v>
      </c>
      <c r="I1145" s="570">
        <v>25.691120000000002</v>
      </c>
      <c r="J1145" s="234" t="s">
        <v>15</v>
      </c>
      <c r="K1145" s="233" t="s">
        <v>15</v>
      </c>
      <c r="L1145" s="234" t="s">
        <v>15</v>
      </c>
      <c r="M1145" s="233" t="s">
        <v>15</v>
      </c>
      <c r="N1145" s="1194">
        <v>-1.12932E-2</v>
      </c>
      <c r="O1145" s="142">
        <v>-2.79</v>
      </c>
      <c r="P1145" s="142">
        <v>4.0447E-3</v>
      </c>
      <c r="Q1145" s="195" t="s">
        <v>15</v>
      </c>
      <c r="R1145" s="128">
        <f t="shared" si="55"/>
        <v>-1.12932E-2</v>
      </c>
      <c r="S1145" s="135" t="s">
        <v>72</v>
      </c>
      <c r="T1145" s="119" t="s">
        <v>119</v>
      </c>
      <c r="U1145" s="855"/>
      <c r="V1145" s="24"/>
      <c r="W1145" s="26"/>
      <c r="X1145" s="26"/>
      <c r="Y1145" s="26"/>
      <c r="Z1145" s="26"/>
      <c r="AA1145" s="26"/>
      <c r="AC1145" s="26"/>
      <c r="AD1145" s="24"/>
      <c r="AE1145" s="26"/>
      <c r="AF1145" s="75"/>
      <c r="AG1145" s="26"/>
      <c r="AH1145" s="957"/>
      <c r="AI1145" s="957"/>
      <c r="AJ1145" s="957"/>
      <c r="AK1145" s="957"/>
      <c r="AL1145" s="957"/>
      <c r="AM1145" s="957"/>
      <c r="AN1145" s="957"/>
      <c r="AO1145" s="957"/>
      <c r="AP1145" s="957"/>
      <c r="AQ1145" s="957"/>
      <c r="AR1145" s="957"/>
      <c r="AS1145" s="957"/>
      <c r="AT1145" s="957"/>
      <c r="AU1145" s="957"/>
      <c r="AV1145" s="957"/>
      <c r="AW1145" s="957"/>
      <c r="AX1145" s="957"/>
      <c r="AY1145" s="957"/>
      <c r="AZ1145" s="957"/>
      <c r="BA1145" s="957"/>
      <c r="BB1145" s="957"/>
      <c r="BC1145" s="957"/>
      <c r="BD1145" s="957"/>
      <c r="BE1145" s="957"/>
      <c r="BF1145" s="957"/>
      <c r="BG1145" s="957"/>
    </row>
    <row r="1146" spans="1:113">
      <c r="A1146" s="2172"/>
      <c r="B1146" s="817" t="s">
        <v>1034</v>
      </c>
      <c r="C1146" s="981" t="s">
        <v>12</v>
      </c>
      <c r="D1146" s="86" t="s">
        <v>1043</v>
      </c>
      <c r="E1146" s="86">
        <v>178</v>
      </c>
      <c r="F1146" s="142">
        <v>72.983149999999995</v>
      </c>
      <c r="G1146" s="142">
        <v>9.5013970000000008</v>
      </c>
      <c r="H1146" s="513">
        <v>36.603029999999997</v>
      </c>
      <c r="I1146" s="570">
        <v>25.691120000000002</v>
      </c>
      <c r="J1146" s="234" t="s">
        <v>15</v>
      </c>
      <c r="K1146" s="233" t="s">
        <v>15</v>
      </c>
      <c r="L1146" s="234" t="s">
        <v>15</v>
      </c>
      <c r="M1146" s="233" t="s">
        <v>15</v>
      </c>
      <c r="N1146" s="1194">
        <v>0.1257742</v>
      </c>
      <c r="O1146" s="142">
        <v>0.65</v>
      </c>
      <c r="P1146" s="142">
        <v>0.19484867</v>
      </c>
      <c r="Q1146" s="195" t="s">
        <v>15</v>
      </c>
      <c r="R1146" s="128">
        <f t="shared" si="55"/>
        <v>0.1257742</v>
      </c>
      <c r="S1146" s="202" t="s">
        <v>139</v>
      </c>
      <c r="T1146" s="411" t="s">
        <v>140</v>
      </c>
      <c r="U1146" s="859"/>
      <c r="V1146" s="24"/>
      <c r="W1146" s="26"/>
      <c r="X1146" s="26"/>
      <c r="Y1146" s="26"/>
      <c r="Z1146" s="26"/>
      <c r="AA1146" s="26"/>
      <c r="AC1146" s="26"/>
      <c r="AD1146" s="24"/>
      <c r="AE1146" s="26"/>
      <c r="AF1146" s="75"/>
      <c r="AG1146" s="26"/>
      <c r="AH1146" s="957"/>
      <c r="AI1146" s="957"/>
      <c r="AJ1146" s="957"/>
      <c r="AK1146" s="957"/>
      <c r="AL1146" s="957"/>
      <c r="AM1146" s="957"/>
      <c r="AN1146" s="957"/>
      <c r="AO1146" s="957"/>
      <c r="AP1146" s="957"/>
      <c r="AQ1146" s="957"/>
      <c r="AR1146" s="957"/>
      <c r="AS1146" s="957"/>
      <c r="AT1146" s="957"/>
      <c r="AU1146" s="957"/>
      <c r="AV1146" s="957"/>
      <c r="AW1146" s="957"/>
      <c r="AX1146" s="957"/>
      <c r="AY1146" s="957"/>
      <c r="AZ1146" s="957"/>
      <c r="BA1146" s="957"/>
      <c r="BB1146" s="957"/>
      <c r="BC1146" s="957"/>
      <c r="BD1146" s="957"/>
      <c r="BE1146" s="957"/>
      <c r="BF1146" s="957"/>
      <c r="BG1146" s="957"/>
    </row>
    <row r="1147" spans="1:113">
      <c r="A1147" s="2172"/>
      <c r="B1147" s="2161" t="s">
        <v>1035</v>
      </c>
      <c r="C1147" s="2144" t="s">
        <v>13</v>
      </c>
      <c r="D1147" s="86" t="s">
        <v>1044</v>
      </c>
      <c r="E1147" s="86">
        <v>76</v>
      </c>
      <c r="F1147" s="440" t="s">
        <v>15</v>
      </c>
      <c r="G1147" s="440" t="s">
        <v>15</v>
      </c>
      <c r="H1147" s="513">
        <v>33.37039</v>
      </c>
      <c r="I1147" s="570">
        <v>28.096350000000001</v>
      </c>
      <c r="J1147" s="234" t="s">
        <v>15</v>
      </c>
      <c r="K1147" s="233" t="s">
        <v>15</v>
      </c>
      <c r="L1147" s="234" t="s">
        <v>15</v>
      </c>
      <c r="M1147" s="233" t="s">
        <v>15</v>
      </c>
      <c r="N1147" s="537">
        <v>0</v>
      </c>
      <c r="O1147" s="636" t="s">
        <v>574</v>
      </c>
      <c r="P1147" s="636" t="s">
        <v>574</v>
      </c>
      <c r="Q1147" s="195" t="s">
        <v>15</v>
      </c>
      <c r="R1147" s="128">
        <f t="shared" si="55"/>
        <v>0</v>
      </c>
      <c r="S1147" s="135" t="s">
        <v>74</v>
      </c>
      <c r="T1147" s="129" t="s">
        <v>75</v>
      </c>
      <c r="U1147" s="858"/>
      <c r="V1147" s="24"/>
      <c r="W1147" s="26"/>
      <c r="X1147" s="26"/>
      <c r="Y1147" s="26"/>
      <c r="Z1147" s="26"/>
      <c r="AA1147" s="26"/>
      <c r="AC1147" s="26"/>
      <c r="AD1147" s="24"/>
      <c r="AE1147" s="26"/>
      <c r="AF1147" s="75"/>
      <c r="AG1147" s="26"/>
      <c r="AH1147" s="957"/>
      <c r="AI1147" s="957"/>
      <c r="AJ1147" s="957"/>
      <c r="AK1147" s="957"/>
      <c r="AL1147" s="957"/>
      <c r="AM1147" s="957"/>
      <c r="AN1147" s="957"/>
      <c r="AO1147" s="957"/>
      <c r="AP1147" s="957"/>
      <c r="AQ1147" s="957"/>
      <c r="AR1147" s="957"/>
      <c r="AS1147" s="957"/>
      <c r="AT1147" s="957"/>
      <c r="AU1147" s="957"/>
      <c r="AV1147" s="957"/>
      <c r="AW1147" s="957"/>
      <c r="AX1147" s="957"/>
      <c r="AY1147" s="957"/>
      <c r="AZ1147" s="957"/>
      <c r="BA1147" s="957"/>
      <c r="BB1147" s="957"/>
      <c r="BC1147" s="957"/>
      <c r="BD1147" s="957"/>
      <c r="BE1147" s="957"/>
      <c r="BF1147" s="957"/>
      <c r="BG1147" s="957"/>
    </row>
    <row r="1148" spans="1:113">
      <c r="A1148" s="2172"/>
      <c r="B1148" s="2161"/>
      <c r="C1148" s="2144"/>
      <c r="D1148" s="86" t="s">
        <v>1045</v>
      </c>
      <c r="E1148" s="86">
        <v>95</v>
      </c>
      <c r="F1148" s="440" t="s">
        <v>15</v>
      </c>
      <c r="G1148" s="440" t="s">
        <v>15</v>
      </c>
      <c r="H1148" s="513">
        <v>35.683369999999996</v>
      </c>
      <c r="I1148" s="570">
        <v>19.815529999999999</v>
      </c>
      <c r="J1148" s="234" t="s">
        <v>15</v>
      </c>
      <c r="K1148" s="233" t="s">
        <v>15</v>
      </c>
      <c r="L1148" s="234" t="s">
        <v>15</v>
      </c>
      <c r="M1148" s="233" t="s">
        <v>15</v>
      </c>
      <c r="N1148" s="1194">
        <v>1.8870066999999999</v>
      </c>
      <c r="O1148" s="142">
        <v>0.53</v>
      </c>
      <c r="P1148" s="142">
        <v>3.5327229500000001</v>
      </c>
      <c r="Q1148" s="195" t="s">
        <v>15</v>
      </c>
      <c r="R1148" s="128">
        <f t="shared" si="55"/>
        <v>1.8870066999999999</v>
      </c>
      <c r="S1148" s="624">
        <v>178</v>
      </c>
      <c r="T1148" s="411" t="s">
        <v>140</v>
      </c>
      <c r="U1148" s="859"/>
      <c r="V1148" s="24"/>
      <c r="W1148" s="26"/>
      <c r="X1148" s="26"/>
      <c r="Y1148" s="26"/>
      <c r="Z1148" s="26"/>
      <c r="AA1148" s="26"/>
      <c r="AC1148" s="26"/>
      <c r="AD1148" s="24"/>
      <c r="AE1148" s="26"/>
      <c r="AF1148" s="75"/>
      <c r="AG1148" s="26"/>
      <c r="AH1148" s="957"/>
      <c r="AI1148" s="957"/>
      <c r="AJ1148" s="957"/>
      <c r="AK1148" s="957"/>
      <c r="AL1148" s="957"/>
      <c r="AM1148" s="957"/>
      <c r="AN1148" s="957"/>
      <c r="AO1148" s="957"/>
      <c r="AP1148" s="957"/>
      <c r="AQ1148" s="957"/>
      <c r="AR1148" s="957"/>
      <c r="AS1148" s="957"/>
      <c r="AT1148" s="957"/>
      <c r="AU1148" s="957"/>
      <c r="AV1148" s="957"/>
      <c r="AW1148" s="957"/>
      <c r="AX1148" s="957"/>
      <c r="AY1148" s="957"/>
      <c r="AZ1148" s="957"/>
      <c r="BA1148" s="957"/>
      <c r="BB1148" s="957"/>
      <c r="BC1148" s="957"/>
      <c r="BD1148" s="957"/>
      <c r="BE1148" s="957"/>
      <c r="BF1148" s="957"/>
      <c r="BG1148" s="957"/>
    </row>
    <row r="1149" spans="1:113">
      <c r="A1149" s="2172"/>
      <c r="B1149" s="2161"/>
      <c r="C1149" s="2144"/>
      <c r="D1149" s="86" t="s">
        <v>1046</v>
      </c>
      <c r="E1149" s="86">
        <v>4</v>
      </c>
      <c r="F1149" s="440" t="s">
        <v>15</v>
      </c>
      <c r="G1149" s="440" t="s">
        <v>15</v>
      </c>
      <c r="H1149" s="513">
        <v>86.834999999999994</v>
      </c>
      <c r="I1149" s="570">
        <v>34.943689999999997</v>
      </c>
      <c r="J1149" s="234" t="s">
        <v>15</v>
      </c>
      <c r="K1149" s="233" t="s">
        <v>15</v>
      </c>
      <c r="L1149" s="234" t="s">
        <v>15</v>
      </c>
      <c r="M1149" s="233" t="s">
        <v>15</v>
      </c>
      <c r="N1149" s="1194">
        <v>35.282326599999998</v>
      </c>
      <c r="O1149" s="142">
        <v>3.2</v>
      </c>
      <c r="P1149" s="142">
        <v>11.04294301</v>
      </c>
      <c r="Q1149" s="195" t="s">
        <v>15</v>
      </c>
      <c r="R1149" s="128">
        <f t="shared" si="55"/>
        <v>35.282326599999998</v>
      </c>
      <c r="S1149" s="135" t="s">
        <v>41</v>
      </c>
      <c r="T1149" s="129" t="s">
        <v>42</v>
      </c>
      <c r="U1149" s="858"/>
      <c r="V1149" s="24"/>
      <c r="W1149" s="26"/>
      <c r="X1149" s="26"/>
      <c r="Y1149" s="26"/>
      <c r="Z1149" s="26"/>
      <c r="AA1149" s="26"/>
      <c r="AC1149" s="26"/>
      <c r="AD1149" s="24"/>
      <c r="AE1149" s="26"/>
      <c r="AF1149" s="75"/>
      <c r="AG1149" s="26"/>
      <c r="AH1149" s="957"/>
      <c r="AI1149" s="957"/>
      <c r="AJ1149" s="957"/>
      <c r="AK1149" s="957"/>
      <c r="AL1149" s="957"/>
      <c r="AM1149" s="957"/>
      <c r="AN1149" s="957"/>
      <c r="AO1149" s="957"/>
      <c r="AP1149" s="957"/>
      <c r="AQ1149" s="957"/>
      <c r="AR1149" s="957"/>
      <c r="AS1149" s="957"/>
      <c r="AT1149" s="957"/>
      <c r="AU1149" s="957"/>
      <c r="AV1149" s="957"/>
      <c r="AW1149" s="957"/>
      <c r="AX1149" s="957"/>
      <c r="AY1149" s="957"/>
      <c r="AZ1149" s="957"/>
      <c r="BA1149" s="957"/>
      <c r="BB1149" s="957"/>
      <c r="BC1149" s="957"/>
      <c r="BD1149" s="957"/>
      <c r="BE1149" s="957"/>
      <c r="BF1149" s="957"/>
      <c r="BG1149" s="957"/>
    </row>
    <row r="1150" spans="1:113">
      <c r="A1150" s="2172"/>
      <c r="B1150" s="2161" t="s">
        <v>1036</v>
      </c>
      <c r="C1150" s="2144" t="s">
        <v>13</v>
      </c>
      <c r="D1150" s="86" t="s">
        <v>1047</v>
      </c>
      <c r="E1150" s="86">
        <v>120</v>
      </c>
      <c r="F1150" s="440" t="s">
        <v>15</v>
      </c>
      <c r="G1150" s="440" t="s">
        <v>15</v>
      </c>
      <c r="H1150" s="513">
        <v>30.833829999999999</v>
      </c>
      <c r="I1150" s="570">
        <v>22.815840000000001</v>
      </c>
      <c r="J1150" s="234" t="s">
        <v>15</v>
      </c>
      <c r="K1150" s="233" t="s">
        <v>15</v>
      </c>
      <c r="L1150" s="234" t="s">
        <v>15</v>
      </c>
      <c r="M1150" s="233" t="s">
        <v>15</v>
      </c>
      <c r="N1150" s="1194">
        <v>-3.0477392999999999</v>
      </c>
      <c r="O1150" s="142">
        <v>-0.81</v>
      </c>
      <c r="P1150" s="142">
        <v>3.74740267</v>
      </c>
      <c r="Q1150" s="128">
        <f t="shared" ref="Q1150:Q1157" si="56">E1150/$E$1145</f>
        <v>0.6741573033707865</v>
      </c>
      <c r="R1150" s="2129">
        <f>SUMPRODUCT(Q1150:Q1152,N1150:N1152)</f>
        <v>-0.12800635056179788</v>
      </c>
      <c r="S1150" s="333">
        <v>0.53</v>
      </c>
      <c r="T1150" s="157">
        <v>141.2402554</v>
      </c>
      <c r="U1150" s="861"/>
      <c r="V1150" s="24"/>
      <c r="W1150" s="26"/>
      <c r="X1150" s="26"/>
      <c r="Y1150" s="26"/>
      <c r="Z1150" s="26"/>
      <c r="AA1150" s="26"/>
      <c r="AC1150" s="26"/>
      <c r="AD1150" s="24"/>
      <c r="AE1150" s="26"/>
      <c r="AF1150" s="75"/>
      <c r="AG1150" s="26"/>
      <c r="AH1150" s="957"/>
      <c r="AI1150" s="957"/>
      <c r="AJ1150" s="957"/>
      <c r="AK1150" s="957"/>
      <c r="AL1150" s="957"/>
      <c r="AM1150" s="957"/>
      <c r="AN1150" s="957"/>
      <c r="AO1150" s="957"/>
      <c r="AP1150" s="957"/>
      <c r="AQ1150" s="957"/>
      <c r="AR1150" s="957"/>
      <c r="AS1150" s="957"/>
      <c r="AT1150" s="957"/>
      <c r="AU1150" s="957"/>
      <c r="AV1150" s="957"/>
      <c r="AW1150" s="957"/>
      <c r="AX1150" s="957"/>
      <c r="AY1150" s="957"/>
      <c r="AZ1150" s="957"/>
      <c r="BA1150" s="957"/>
      <c r="BB1150" s="957"/>
      <c r="BC1150" s="957"/>
      <c r="BD1150" s="957"/>
      <c r="BE1150" s="957"/>
      <c r="BF1150" s="957"/>
      <c r="BG1150" s="957"/>
    </row>
    <row r="1151" spans="1:113">
      <c r="A1151" s="2172"/>
      <c r="B1151" s="2161"/>
      <c r="C1151" s="2144"/>
      <c r="D1151" s="86" t="s">
        <v>1048</v>
      </c>
      <c r="E1151" s="86">
        <v>14</v>
      </c>
      <c r="F1151" s="440" t="s">
        <v>15</v>
      </c>
      <c r="G1151" s="440" t="s">
        <v>15</v>
      </c>
      <c r="H1151" s="513">
        <v>64.675709999999995</v>
      </c>
      <c r="I1151" s="570">
        <v>11.766540000000001</v>
      </c>
      <c r="J1151" s="234" t="s">
        <v>15</v>
      </c>
      <c r="K1151" s="233" t="s">
        <v>15</v>
      </c>
      <c r="L1151" s="234" t="s">
        <v>15</v>
      </c>
      <c r="M1151" s="233" t="s">
        <v>15</v>
      </c>
      <c r="N1151" s="1194">
        <v>24.495970400000001</v>
      </c>
      <c r="O1151" s="142">
        <v>3.34</v>
      </c>
      <c r="P1151" s="142">
        <v>7.3352218499999999</v>
      </c>
      <c r="Q1151" s="128">
        <f t="shared" si="56"/>
        <v>7.8651685393258425E-2</v>
      </c>
      <c r="R1151" s="2129"/>
      <c r="S1151" s="156" t="s">
        <v>235</v>
      </c>
      <c r="T1151" s="119" t="s">
        <v>391</v>
      </c>
      <c r="U1151" s="855"/>
      <c r="V1151" s="24"/>
      <c r="W1151" s="26"/>
      <c r="X1151" s="26"/>
      <c r="Y1151" s="26"/>
      <c r="Z1151" s="26"/>
      <c r="AA1151" s="26"/>
      <c r="AC1151" s="26"/>
      <c r="AD1151" s="24"/>
      <c r="AE1151" s="26"/>
      <c r="AF1151" s="75"/>
      <c r="AG1151" s="26"/>
      <c r="AH1151" s="957"/>
      <c r="AI1151" s="957"/>
      <c r="AJ1151" s="957"/>
      <c r="AK1151" s="957"/>
      <c r="AL1151" s="957"/>
      <c r="AM1151" s="957"/>
      <c r="AN1151" s="957"/>
      <c r="AO1151" s="957"/>
      <c r="AP1151" s="957"/>
      <c r="AQ1151" s="957"/>
      <c r="AR1151" s="957"/>
      <c r="AS1151" s="957"/>
      <c r="AT1151" s="957"/>
      <c r="AU1151" s="957"/>
      <c r="AV1151" s="957"/>
      <c r="AW1151" s="957"/>
      <c r="AX1151" s="957"/>
      <c r="AY1151" s="957"/>
      <c r="AZ1151" s="957"/>
      <c r="BA1151" s="957"/>
      <c r="BB1151" s="957"/>
      <c r="BC1151" s="957"/>
      <c r="BD1151" s="957"/>
      <c r="BE1151" s="957"/>
      <c r="BF1151" s="957"/>
      <c r="BG1151" s="957"/>
    </row>
    <row r="1152" spans="1:113">
      <c r="A1152" s="2172"/>
      <c r="B1152" s="2161"/>
      <c r="C1152" s="2144"/>
      <c r="D1152" s="86" t="s">
        <v>1049</v>
      </c>
      <c r="E1152" s="86">
        <v>44</v>
      </c>
      <c r="F1152" s="440" t="s">
        <v>15</v>
      </c>
      <c r="G1152" s="440" t="s">
        <v>15</v>
      </c>
      <c r="H1152" s="513">
        <v>43.405000000000001</v>
      </c>
      <c r="I1152" s="570">
        <v>28.941130000000001</v>
      </c>
      <c r="J1152" s="234" t="s">
        <v>15</v>
      </c>
      <c r="K1152" s="233" t="s">
        <v>15</v>
      </c>
      <c r="L1152" s="234" t="s">
        <v>15</v>
      </c>
      <c r="M1152" s="233" t="s">
        <v>15</v>
      </c>
      <c r="N1152" s="1194">
        <v>0</v>
      </c>
      <c r="O1152" s="142" t="s">
        <v>574</v>
      </c>
      <c r="P1152" s="142" t="s">
        <v>574</v>
      </c>
      <c r="Q1152" s="128">
        <f t="shared" si="56"/>
        <v>0.24719101123595505</v>
      </c>
      <c r="R1152" s="2129"/>
      <c r="S1152" s="88">
        <v>11.031000000000001</v>
      </c>
      <c r="T1152" s="800" t="s">
        <v>15</v>
      </c>
      <c r="U1152" s="862"/>
      <c r="V1152" s="24"/>
      <c r="W1152" s="26"/>
      <c r="X1152" s="26"/>
      <c r="Y1152" s="26"/>
      <c r="Z1152" s="26"/>
      <c r="AA1152" s="26"/>
      <c r="AC1152" s="26"/>
      <c r="AD1152" s="24"/>
      <c r="AE1152" s="26"/>
      <c r="AF1152" s="75"/>
      <c r="AG1152" s="26"/>
      <c r="AH1152" s="957"/>
      <c r="AI1152" s="957"/>
      <c r="AJ1152" s="957"/>
      <c r="AK1152" s="957"/>
      <c r="AL1152" s="957"/>
      <c r="AM1152" s="957"/>
      <c r="AN1152" s="957"/>
      <c r="AO1152" s="957"/>
      <c r="AP1152" s="957"/>
      <c r="AQ1152" s="957"/>
      <c r="AR1152" s="957"/>
      <c r="AS1152" s="957"/>
      <c r="AT1152" s="957"/>
      <c r="AU1152" s="957"/>
      <c r="AV1152" s="957"/>
      <c r="AW1152" s="957"/>
      <c r="AX1152" s="957"/>
      <c r="AY1152" s="957"/>
      <c r="AZ1152" s="957"/>
      <c r="BA1152" s="957"/>
      <c r="BB1152" s="957"/>
      <c r="BC1152" s="957"/>
      <c r="BD1152" s="957"/>
      <c r="BE1152" s="957"/>
      <c r="BF1152" s="957"/>
      <c r="BG1152" s="957"/>
    </row>
    <row r="1153" spans="1:113">
      <c r="A1153" s="2172"/>
      <c r="B1153" s="2161" t="s">
        <v>1037</v>
      </c>
      <c r="C1153" s="2144" t="s">
        <v>13</v>
      </c>
      <c r="D1153" s="86" t="s">
        <v>1050</v>
      </c>
      <c r="E1153" s="86">
        <v>114</v>
      </c>
      <c r="F1153" s="440" t="s">
        <v>15</v>
      </c>
      <c r="G1153" s="440" t="s">
        <v>15</v>
      </c>
      <c r="H1153" s="513">
        <v>33.257809999999999</v>
      </c>
      <c r="I1153" s="570">
        <v>22.935449999999999</v>
      </c>
      <c r="J1153" s="234" t="s">
        <v>15</v>
      </c>
      <c r="K1153" s="233" t="s">
        <v>15</v>
      </c>
      <c r="L1153" s="234" t="s">
        <v>15</v>
      </c>
      <c r="M1153" s="233" t="s">
        <v>15</v>
      </c>
      <c r="N1153" s="1194">
        <v>-106.28016049999999</v>
      </c>
      <c r="O1153" s="142">
        <v>-5.73</v>
      </c>
      <c r="P1153" s="142">
        <v>18.54387204</v>
      </c>
      <c r="Q1153" s="128">
        <f t="shared" si="56"/>
        <v>0.6404494382022472</v>
      </c>
      <c r="R1153" s="2129">
        <f>SUMPRODUCT(Q1153:Q1155,N1153:N1155)</f>
        <v>-104.73698917078652</v>
      </c>
      <c r="S1153" s="26"/>
      <c r="T1153" s="26"/>
      <c r="V1153" s="24"/>
      <c r="W1153" s="26"/>
      <c r="X1153" s="26"/>
      <c r="Y1153" s="26"/>
      <c r="Z1153" s="26"/>
      <c r="AA1153" s="26"/>
      <c r="AC1153" s="26"/>
      <c r="AD1153" s="24"/>
      <c r="AE1153" s="26"/>
      <c r="AF1153" s="75"/>
      <c r="AG1153" s="26"/>
      <c r="AH1153" s="957"/>
      <c r="AI1153" s="957"/>
      <c r="AJ1153" s="957"/>
      <c r="AK1153" s="957"/>
      <c r="AL1153" s="957"/>
      <c r="AM1153" s="957"/>
      <c r="AN1153" s="957"/>
      <c r="AO1153" s="957"/>
      <c r="AP1153" s="957"/>
      <c r="AQ1153" s="957"/>
      <c r="AR1153" s="957"/>
      <c r="AS1153" s="957"/>
      <c r="AT1153" s="957"/>
      <c r="AU1153" s="957"/>
      <c r="AV1153" s="957"/>
      <c r="AW1153" s="957"/>
      <c r="AX1153" s="957"/>
      <c r="AY1153" s="957"/>
      <c r="AZ1153" s="957"/>
      <c r="BA1153" s="957"/>
      <c r="BB1153" s="957"/>
      <c r="BC1153" s="957"/>
      <c r="BD1153" s="957"/>
      <c r="BE1153" s="957"/>
      <c r="BF1153" s="957"/>
      <c r="BG1153" s="957"/>
    </row>
    <row r="1154" spans="1:113">
      <c r="A1154" s="2172"/>
      <c r="B1154" s="2161"/>
      <c r="C1154" s="2144"/>
      <c r="D1154" s="86" t="s">
        <v>1051</v>
      </c>
      <c r="E1154" s="86">
        <v>63</v>
      </c>
      <c r="F1154" s="440" t="s">
        <v>15</v>
      </c>
      <c r="G1154" s="440" t="s">
        <v>15</v>
      </c>
      <c r="H1154" s="513">
        <v>41.145870000000002</v>
      </c>
      <c r="I1154" s="570">
        <v>27.16535</v>
      </c>
      <c r="J1154" s="234" t="s">
        <v>15</v>
      </c>
      <c r="K1154" s="233" t="s">
        <v>15</v>
      </c>
      <c r="L1154" s="234" t="s">
        <v>15</v>
      </c>
      <c r="M1154" s="233" t="s">
        <v>15</v>
      </c>
      <c r="N1154" s="1194">
        <v>-103.6070758</v>
      </c>
      <c r="O1154" s="142">
        <v>-5.52</v>
      </c>
      <c r="P1154" s="142">
        <v>18.765884029999999</v>
      </c>
      <c r="Q1154" s="128">
        <f t="shared" si="56"/>
        <v>0.3539325842696629</v>
      </c>
      <c r="R1154" s="2129"/>
      <c r="S1154" s="26"/>
      <c r="T1154" s="26"/>
      <c r="V1154" s="24"/>
      <c r="W1154" s="26"/>
      <c r="X1154" s="26"/>
      <c r="Y1154" s="26"/>
      <c r="Z1154" s="26"/>
      <c r="AA1154" s="26"/>
      <c r="AC1154" s="26"/>
      <c r="AD1154" s="24"/>
      <c r="AE1154" s="26"/>
      <c r="AF1154" s="75"/>
      <c r="AG1154" s="26"/>
      <c r="AH1154" s="957"/>
      <c r="AI1154" s="957"/>
      <c r="AJ1154" s="957"/>
      <c r="AK1154" s="957"/>
      <c r="AL1154" s="957"/>
      <c r="AM1154" s="957"/>
      <c r="AN1154" s="957"/>
      <c r="AO1154" s="957"/>
      <c r="AP1154" s="957"/>
      <c r="AQ1154" s="957"/>
      <c r="AR1154" s="957"/>
      <c r="AS1154" s="957"/>
      <c r="AT1154" s="957"/>
      <c r="AU1154" s="957"/>
      <c r="AV1154" s="957"/>
      <c r="AW1154" s="957"/>
      <c r="AX1154" s="957"/>
      <c r="AY1154" s="957"/>
      <c r="AZ1154" s="957"/>
      <c r="BA1154" s="957"/>
      <c r="BB1154" s="957"/>
      <c r="BC1154" s="957"/>
      <c r="BD1154" s="957"/>
      <c r="BE1154" s="957"/>
      <c r="BF1154" s="957"/>
      <c r="BG1154" s="957"/>
    </row>
    <row r="1155" spans="1:113">
      <c r="A1155" s="2172"/>
      <c r="B1155" s="2161"/>
      <c r="C1155" s="2144"/>
      <c r="D1155" s="86" t="s">
        <v>1052</v>
      </c>
      <c r="E1155" s="86">
        <v>1</v>
      </c>
      <c r="F1155" s="440" t="s">
        <v>15</v>
      </c>
      <c r="G1155" s="440" t="s">
        <v>15</v>
      </c>
      <c r="H1155" s="513">
        <v>131.76</v>
      </c>
      <c r="I1155" s="570" t="s">
        <v>574</v>
      </c>
      <c r="J1155" s="234" t="s">
        <v>15</v>
      </c>
      <c r="K1155" s="233" t="s">
        <v>15</v>
      </c>
      <c r="L1155" s="234" t="s">
        <v>15</v>
      </c>
      <c r="M1155" s="233" t="s">
        <v>15</v>
      </c>
      <c r="N1155" s="1194">
        <v>0</v>
      </c>
      <c r="O1155" s="142" t="s">
        <v>574</v>
      </c>
      <c r="P1155" s="142" t="s">
        <v>574</v>
      </c>
      <c r="Q1155" s="128">
        <f t="shared" si="56"/>
        <v>5.6179775280898875E-3</v>
      </c>
      <c r="R1155" s="2129"/>
      <c r="S1155" s="26"/>
      <c r="T1155" s="26"/>
      <c r="V1155" s="24"/>
      <c r="W1155" s="26"/>
      <c r="X1155" s="26"/>
      <c r="Y1155" s="26"/>
      <c r="Z1155" s="26"/>
      <c r="AA1155" s="26"/>
      <c r="AC1155" s="26"/>
      <c r="AD1155" s="24"/>
      <c r="AE1155" s="26"/>
      <c r="AF1155" s="75"/>
      <c r="AG1155" s="26"/>
      <c r="AH1155" s="957"/>
      <c r="AI1155" s="957"/>
      <c r="AJ1155" s="957"/>
      <c r="AK1155" s="957"/>
      <c r="AL1155" s="957"/>
      <c r="AM1155" s="957"/>
      <c r="AN1155" s="957"/>
      <c r="AO1155" s="957"/>
      <c r="AP1155" s="957"/>
      <c r="AQ1155" s="957"/>
      <c r="AR1155" s="957"/>
      <c r="AS1155" s="957"/>
      <c r="AT1155" s="957"/>
      <c r="AU1155" s="957"/>
      <c r="AV1155" s="957"/>
      <c r="AW1155" s="957"/>
      <c r="AX1155" s="957"/>
      <c r="AY1155" s="957"/>
      <c r="AZ1155" s="957"/>
      <c r="BA1155" s="957"/>
      <c r="BB1155" s="957"/>
      <c r="BC1155" s="957"/>
      <c r="BD1155" s="957"/>
      <c r="BE1155" s="957"/>
      <c r="BF1155" s="957"/>
      <c r="BG1155" s="957"/>
    </row>
    <row r="1156" spans="1:113">
      <c r="A1156" s="2172"/>
      <c r="B1156" s="2161" t="s">
        <v>1038</v>
      </c>
      <c r="C1156" s="2144" t="s">
        <v>11</v>
      </c>
      <c r="D1156" s="86" t="s">
        <v>33</v>
      </c>
      <c r="E1156" s="86">
        <v>20</v>
      </c>
      <c r="F1156" s="440" t="s">
        <v>15</v>
      </c>
      <c r="G1156" s="440" t="s">
        <v>15</v>
      </c>
      <c r="H1156" s="513">
        <v>64.507999999999996</v>
      </c>
      <c r="I1156" s="570">
        <v>29.38693</v>
      </c>
      <c r="J1156" s="234" t="s">
        <v>15</v>
      </c>
      <c r="K1156" s="233" t="s">
        <v>15</v>
      </c>
      <c r="L1156" s="234" t="s">
        <v>15</v>
      </c>
      <c r="M1156" s="233" t="s">
        <v>15</v>
      </c>
      <c r="N1156" s="1194">
        <v>13.967784099999999</v>
      </c>
      <c r="O1156" s="142">
        <v>2.11</v>
      </c>
      <c r="P1156" s="142">
        <v>6.6117400799999997</v>
      </c>
      <c r="Q1156" s="128">
        <f t="shared" si="56"/>
        <v>0.11235955056179775</v>
      </c>
      <c r="R1156" s="2129">
        <f>SUMPRODUCT(Q1156:Q1157,N1156:N1157)</f>
        <v>1.5694139438202246</v>
      </c>
      <c r="S1156" s="26"/>
      <c r="T1156" s="26"/>
      <c r="V1156" s="24"/>
      <c r="W1156" s="26"/>
      <c r="X1156" s="26"/>
      <c r="Y1156" s="26"/>
      <c r="Z1156" s="26"/>
      <c r="AA1156" s="26"/>
      <c r="AC1156" s="26"/>
      <c r="AD1156" s="24"/>
      <c r="AE1156" s="26"/>
      <c r="AF1156" s="75"/>
      <c r="AG1156" s="26"/>
      <c r="AH1156" s="957"/>
      <c r="AI1156" s="957"/>
      <c r="AJ1156" s="957"/>
      <c r="AK1156" s="957"/>
      <c r="AL1156" s="957"/>
      <c r="AM1156" s="957"/>
      <c r="AN1156" s="957"/>
      <c r="AO1156" s="957"/>
      <c r="AP1156" s="957"/>
      <c r="AQ1156" s="957"/>
      <c r="AR1156" s="957"/>
      <c r="AS1156" s="957"/>
      <c r="AT1156" s="957"/>
      <c r="AU1156" s="957"/>
      <c r="AV1156" s="957"/>
      <c r="AW1156" s="957"/>
      <c r="AX1156" s="957"/>
      <c r="AY1156" s="957"/>
      <c r="AZ1156" s="957"/>
      <c r="BA1156" s="957"/>
      <c r="BB1156" s="957"/>
      <c r="BC1156" s="957"/>
      <c r="BD1156" s="957"/>
      <c r="BE1156" s="957"/>
      <c r="BF1156" s="957"/>
      <c r="BG1156" s="957"/>
    </row>
    <row r="1157" spans="1:113">
      <c r="A1157" s="2172"/>
      <c r="B1157" s="2161"/>
      <c r="C1157" s="2144"/>
      <c r="D1157" s="86" t="s">
        <v>32</v>
      </c>
      <c r="E1157" s="86">
        <v>158</v>
      </c>
      <c r="F1157" s="440" t="s">
        <v>15</v>
      </c>
      <c r="G1157" s="440" t="s">
        <v>15</v>
      </c>
      <c r="H1157" s="513">
        <v>33.07076</v>
      </c>
      <c r="I1157" s="570">
        <v>22.975010000000001</v>
      </c>
      <c r="J1157" s="234" t="s">
        <v>15</v>
      </c>
      <c r="K1157" s="233" t="s">
        <v>15</v>
      </c>
      <c r="L1157" s="234" t="s">
        <v>15</v>
      </c>
      <c r="M1157" s="233" t="s">
        <v>15</v>
      </c>
      <c r="N1157" s="1194">
        <v>0</v>
      </c>
      <c r="O1157" s="142" t="s">
        <v>574</v>
      </c>
      <c r="P1157" s="142" t="s">
        <v>574</v>
      </c>
      <c r="Q1157" s="128">
        <f t="shared" si="56"/>
        <v>0.88764044943820219</v>
      </c>
      <c r="R1157" s="2129"/>
      <c r="S1157" s="26"/>
      <c r="T1157" s="26"/>
      <c r="V1157" s="24"/>
      <c r="W1157" s="26"/>
      <c r="X1157" s="26"/>
      <c r="Y1157" s="26"/>
      <c r="Z1157" s="26"/>
      <c r="AA1157" s="26"/>
      <c r="AC1157" s="26"/>
      <c r="AD1157" s="24"/>
      <c r="AE1157" s="26"/>
      <c r="AF1157" s="75"/>
      <c r="AG1157" s="26"/>
      <c r="AH1157" s="957"/>
      <c r="AI1157" s="957"/>
      <c r="AJ1157" s="957"/>
      <c r="AK1157" s="957"/>
      <c r="AL1157" s="957"/>
      <c r="AM1157" s="957"/>
      <c r="AN1157" s="957"/>
      <c r="AO1157" s="957"/>
      <c r="AP1157" s="957"/>
      <c r="AQ1157" s="957"/>
      <c r="AR1157" s="957"/>
      <c r="AS1157" s="957"/>
      <c r="AT1157" s="957"/>
      <c r="AU1157" s="957"/>
      <c r="AV1157" s="957"/>
      <c r="AW1157" s="957"/>
      <c r="AX1157" s="957"/>
      <c r="AY1157" s="957"/>
      <c r="AZ1157" s="957"/>
      <c r="BA1157" s="957"/>
      <c r="BB1157" s="957"/>
      <c r="BC1157" s="957"/>
      <c r="BD1157" s="957"/>
      <c r="BE1157" s="957"/>
      <c r="BF1157" s="957"/>
      <c r="BG1157" s="957"/>
    </row>
    <row r="1158" spans="1:113">
      <c r="A1158" s="2172"/>
      <c r="B1158" s="2161" t="s">
        <v>1039</v>
      </c>
      <c r="C1158" s="2144" t="s">
        <v>11</v>
      </c>
      <c r="D1158" s="86" t="s">
        <v>33</v>
      </c>
      <c r="E1158" s="86">
        <v>3</v>
      </c>
      <c r="F1158" s="440" t="s">
        <v>15</v>
      </c>
      <c r="G1158" s="440" t="s">
        <v>15</v>
      </c>
      <c r="H1158" s="513">
        <v>80.643330000000006</v>
      </c>
      <c r="I1158" s="570">
        <v>11.43731</v>
      </c>
      <c r="J1158" s="234" t="s">
        <v>15</v>
      </c>
      <c r="K1158" s="233" t="s">
        <v>15</v>
      </c>
      <c r="L1158" s="234" t="s">
        <v>15</v>
      </c>
      <c r="M1158" s="233" t="s">
        <v>15</v>
      </c>
      <c r="N1158" s="1194">
        <v>22.156568400000001</v>
      </c>
      <c r="O1158" s="142">
        <v>1.76</v>
      </c>
      <c r="P1158" s="142">
        <v>12.56236417</v>
      </c>
      <c r="Q1158" s="195" t="s">
        <v>15</v>
      </c>
      <c r="R1158" s="128">
        <f>N1158</f>
        <v>22.156568400000001</v>
      </c>
      <c r="S1158" s="26"/>
      <c r="T1158" s="26"/>
      <c r="V1158" s="24"/>
      <c r="W1158" s="26"/>
      <c r="X1158" s="26"/>
      <c r="Y1158" s="26"/>
      <c r="Z1158" s="26"/>
      <c r="AA1158" s="26"/>
      <c r="AC1158" s="26"/>
      <c r="AD1158" s="24"/>
      <c r="AE1158" s="26"/>
      <c r="AF1158" s="75"/>
      <c r="AG1158" s="26"/>
      <c r="AH1158" s="957"/>
      <c r="AI1158" s="957"/>
      <c r="AJ1158" s="957"/>
      <c r="AK1158" s="957"/>
      <c r="AL1158" s="957"/>
      <c r="AM1158" s="957"/>
      <c r="AN1158" s="957"/>
      <c r="AO1158" s="957"/>
      <c r="AP1158" s="957"/>
      <c r="AQ1158" s="957"/>
      <c r="AR1158" s="957"/>
      <c r="AS1158" s="957"/>
      <c r="AT1158" s="957"/>
      <c r="AU1158" s="957"/>
      <c r="AV1158" s="957"/>
      <c r="AW1158" s="957"/>
      <c r="AX1158" s="957"/>
      <c r="AY1158" s="957"/>
      <c r="AZ1158" s="957"/>
      <c r="BA1158" s="957"/>
      <c r="BB1158" s="957"/>
      <c r="BC1158" s="957"/>
      <c r="BD1158" s="957"/>
      <c r="BE1158" s="957"/>
      <c r="BF1158" s="957"/>
      <c r="BG1158" s="957"/>
    </row>
    <row r="1159" spans="1:113" ht="15.75" thickBot="1">
      <c r="A1159" s="2172"/>
      <c r="B1159" s="2161"/>
      <c r="C1159" s="2144"/>
      <c r="D1159" s="86" t="s">
        <v>32</v>
      </c>
      <c r="E1159" s="86">
        <v>155</v>
      </c>
      <c r="F1159" s="440" t="s">
        <v>15</v>
      </c>
      <c r="G1159" s="440" t="s">
        <v>15</v>
      </c>
      <c r="H1159" s="513">
        <v>35.848059999999997</v>
      </c>
      <c r="I1159" s="570">
        <v>25.21698</v>
      </c>
      <c r="J1159" s="234" t="s">
        <v>15</v>
      </c>
      <c r="K1159" s="233" t="s">
        <v>15</v>
      </c>
      <c r="L1159" s="234" t="s">
        <v>15</v>
      </c>
      <c r="M1159" s="233" t="s">
        <v>15</v>
      </c>
      <c r="N1159" s="1194">
        <v>0</v>
      </c>
      <c r="O1159" s="142" t="s">
        <v>574</v>
      </c>
      <c r="P1159" s="142" t="s">
        <v>574</v>
      </c>
      <c r="Q1159" s="195" t="s">
        <v>15</v>
      </c>
      <c r="R1159" s="128">
        <f>N1159</f>
        <v>0</v>
      </c>
      <c r="S1159" s="26"/>
      <c r="T1159" s="26"/>
      <c r="V1159" s="24"/>
      <c r="W1159" s="26"/>
      <c r="X1159" s="26"/>
      <c r="Y1159" s="26"/>
      <c r="Z1159" s="764"/>
      <c r="AA1159" s="764"/>
      <c r="AC1159" s="26"/>
      <c r="AD1159" s="240"/>
      <c r="AE1159" s="26"/>
      <c r="AF1159" s="75"/>
      <c r="AG1159" s="26"/>
      <c r="AH1159" s="957"/>
      <c r="AI1159" s="957"/>
      <c r="AJ1159" s="957"/>
      <c r="AK1159" s="957"/>
      <c r="AL1159" s="957"/>
      <c r="AM1159" s="957"/>
      <c r="AN1159" s="957"/>
      <c r="AO1159" s="957"/>
      <c r="AP1159" s="957"/>
      <c r="AQ1159" s="957"/>
      <c r="AR1159" s="957"/>
      <c r="AS1159" s="957"/>
      <c r="AT1159" s="957"/>
      <c r="AU1159" s="957"/>
      <c r="AV1159" s="957"/>
      <c r="AW1159" s="957"/>
      <c r="AX1159" s="957"/>
      <c r="AY1159" s="957"/>
      <c r="AZ1159" s="957"/>
      <c r="BA1159" s="957"/>
      <c r="BB1159" s="957"/>
      <c r="BC1159" s="957"/>
      <c r="BD1159" s="957"/>
      <c r="BE1159" s="957"/>
      <c r="BF1159" s="957"/>
      <c r="BG1159" s="957"/>
    </row>
    <row r="1160" spans="1:113" s="692" customFormat="1" ht="9" customHeight="1" thickBot="1">
      <c r="A1160" s="695"/>
      <c r="B1160" s="815"/>
      <c r="C1160" s="684"/>
      <c r="D1160" s="683"/>
      <c r="E1160" s="707"/>
      <c r="F1160" s="707"/>
      <c r="G1160" s="707"/>
      <c r="H1160" s="709"/>
      <c r="I1160" s="709"/>
      <c r="J1160" s="682"/>
      <c r="K1160" s="683"/>
      <c r="L1160" s="682"/>
      <c r="M1160" s="685"/>
      <c r="N1160" s="1189"/>
      <c r="O1160" s="686"/>
      <c r="P1160" s="686"/>
      <c r="Q1160" s="687"/>
      <c r="R1160" s="687"/>
      <c r="S1160" s="688"/>
      <c r="T1160" s="688"/>
      <c r="U1160" s="854"/>
      <c r="V1160" s="893"/>
      <c r="W1160" s="685"/>
      <c r="X1160" s="685"/>
      <c r="Y1160" s="710"/>
      <c r="Z1160" s="710"/>
      <c r="AA1160" s="710"/>
      <c r="AB1160" s="921"/>
      <c r="AC1160" s="690"/>
      <c r="AD1160" s="690"/>
      <c r="AE1160" s="690"/>
      <c r="AF1160" s="711"/>
      <c r="AG1160" s="690"/>
      <c r="AH1160" s="959"/>
      <c r="AI1160" s="959"/>
      <c r="AJ1160" s="959"/>
      <c r="AK1160" s="959"/>
      <c r="AL1160" s="959"/>
      <c r="AM1160" s="959"/>
      <c r="AN1160" s="959"/>
      <c r="AO1160" s="959"/>
      <c r="AP1160" s="959"/>
      <c r="AQ1160" s="959"/>
      <c r="AR1160" s="959"/>
      <c r="AS1160" s="959"/>
      <c r="AT1160" s="959"/>
      <c r="AU1160" s="959"/>
      <c r="AV1160" s="959"/>
      <c r="AW1160" s="959"/>
      <c r="AX1160" s="959"/>
      <c r="AY1160" s="959"/>
      <c r="AZ1160" s="959"/>
      <c r="BA1160" s="959"/>
      <c r="BB1160" s="959"/>
      <c r="BC1160" s="959"/>
      <c r="BD1160" s="959"/>
      <c r="BE1160" s="959"/>
      <c r="BF1160" s="959"/>
      <c r="BG1160" s="959"/>
      <c r="BH1160" s="1125"/>
      <c r="DI1160" s="693"/>
    </row>
    <row r="1161" spans="1:113">
      <c r="A1161" s="2171" t="s">
        <v>1374</v>
      </c>
      <c r="B1161" s="830" t="s">
        <v>533</v>
      </c>
      <c r="C1161" s="155" t="s">
        <v>12</v>
      </c>
      <c r="D1161" s="292" t="s">
        <v>1182</v>
      </c>
      <c r="E1161" s="95">
        <v>166</v>
      </c>
      <c r="F1161" s="452">
        <v>30.37</v>
      </c>
      <c r="G1161" s="452">
        <v>2.54</v>
      </c>
      <c r="H1161" s="165">
        <v>5.34</v>
      </c>
      <c r="I1161" s="166">
        <v>2.98</v>
      </c>
      <c r="J1161" s="801" t="s">
        <v>12</v>
      </c>
      <c r="K1161" s="1083" t="s">
        <v>1186</v>
      </c>
      <c r="L1161" s="642" t="s">
        <v>12</v>
      </c>
      <c r="M1161" s="1083" t="s">
        <v>1186</v>
      </c>
      <c r="N1161" s="441">
        <v>-0.38100000000000001</v>
      </c>
      <c r="O1161" s="789">
        <v>6.37</v>
      </c>
      <c r="P1161" s="789">
        <v>0.06</v>
      </c>
      <c r="Q1161" s="148" t="s">
        <v>15</v>
      </c>
      <c r="R1161" s="128">
        <f>N1161</f>
        <v>-0.38100000000000001</v>
      </c>
      <c r="S1161" s="127" t="s">
        <v>68</v>
      </c>
      <c r="T1161" s="129" t="s">
        <v>69</v>
      </c>
      <c r="V1161" s="2162" t="s">
        <v>2698</v>
      </c>
      <c r="W1161" s="335" t="s">
        <v>47</v>
      </c>
      <c r="X1161" s="335" t="s">
        <v>1383</v>
      </c>
      <c r="Y1161" s="169">
        <f>($T$1168+$R$1165+$R$1167+$R$1169+($R$1161*32)+($R$1162*85)+($R$1163*24000)+($R$1164*89))*(1+$T$1170)</f>
        <v>6.1008680175246468</v>
      </c>
      <c r="Z1161" s="95" t="s">
        <v>40</v>
      </c>
      <c r="AA1161" s="575" t="s">
        <v>40</v>
      </c>
      <c r="AC1161" s="26"/>
      <c r="AD1161" s="2137" t="s">
        <v>142</v>
      </c>
      <c r="AE1161" s="2138"/>
      <c r="AF1161" s="336" t="s">
        <v>1188</v>
      </c>
      <c r="AG1161" s="335" t="s">
        <v>1190</v>
      </c>
      <c r="AH1161" s="169">
        <f>($T$1168+$R$1165+$R$1167+$R$1169+($R$1161*32)+($R$1162*85)+($R$1163*24000)+($R$1164*89))*(1+$T$1170)</f>
        <v>6.1008680175246468</v>
      </c>
      <c r="AI1161" s="744">
        <v>4.3099999999999996</v>
      </c>
      <c r="AJ1161" s="744"/>
      <c r="AK1161" s="744">
        <v>3.14</v>
      </c>
      <c r="AL1161" s="744"/>
      <c r="AM1161" s="744">
        <v>5.99</v>
      </c>
      <c r="AN1161" s="744"/>
      <c r="AO1161" s="744">
        <v>5.18</v>
      </c>
      <c r="AP1161" s="744"/>
      <c r="AQ1161" s="731">
        <f>AH1161-AVERAGE(AI1161:AP1161)</f>
        <v>1.4458680175246474</v>
      </c>
      <c r="AR1161" s="1326">
        <f>AQ1161/AVERAGE(AI1161:AP1161)</f>
        <v>0.31060537433397373</v>
      </c>
      <c r="AS1161" s="163"/>
      <c r="AT1161" s="163"/>
      <c r="AU1161" s="163"/>
      <c r="AV1161" s="957"/>
      <c r="AW1161" s="957"/>
      <c r="AX1161" s="957"/>
      <c r="AY1161" s="957"/>
      <c r="AZ1161" s="957"/>
      <c r="BA1161" s="957"/>
      <c r="BB1161" s="957"/>
      <c r="BC1161" s="957"/>
      <c r="BD1161" s="957"/>
      <c r="BE1161" s="957"/>
      <c r="BF1161" s="957"/>
      <c r="BG1161" s="957"/>
    </row>
    <row r="1162" spans="1:113">
      <c r="A1162" s="2172"/>
      <c r="B1162" s="831" t="s">
        <v>1034</v>
      </c>
      <c r="C1162" s="155" t="s">
        <v>12</v>
      </c>
      <c r="D1162" s="292" t="s">
        <v>1183</v>
      </c>
      <c r="E1162" s="95">
        <v>166</v>
      </c>
      <c r="F1162" s="452">
        <v>82.81</v>
      </c>
      <c r="G1162" s="452">
        <v>3.45</v>
      </c>
      <c r="H1162" s="165">
        <v>5.34</v>
      </c>
      <c r="I1162" s="166">
        <v>2.98</v>
      </c>
      <c r="J1162" s="234" t="s">
        <v>15</v>
      </c>
      <c r="K1162" s="233" t="s">
        <v>15</v>
      </c>
      <c r="L1162" s="234" t="s">
        <v>15</v>
      </c>
      <c r="M1162" s="233" t="s">
        <v>15</v>
      </c>
      <c r="N1162" s="537">
        <v>0.15</v>
      </c>
      <c r="O1162" s="789">
        <v>3.73</v>
      </c>
      <c r="P1162" s="789">
        <v>0.04</v>
      </c>
      <c r="Q1162" s="148" t="s">
        <v>15</v>
      </c>
      <c r="R1162" s="128">
        <f>N1162</f>
        <v>0.15</v>
      </c>
      <c r="S1162" s="221" t="s">
        <v>1187</v>
      </c>
      <c r="T1162" s="794" t="s">
        <v>310</v>
      </c>
      <c r="V1162" s="2163"/>
      <c r="W1162" s="335" t="s">
        <v>49</v>
      </c>
      <c r="X1162" s="335" t="s">
        <v>1384</v>
      </c>
      <c r="Y1162" s="169">
        <f>(T1168+R1165+R1167+R1169+R1161*28+R1162*85+R1163*24000+R1164*100)*(1+$T$1170)</f>
        <v>7.3183680175246479</v>
      </c>
      <c r="Z1162" s="169">
        <f>Y1162-$Y$1161</f>
        <v>1.2175000000000011</v>
      </c>
      <c r="AA1162" s="834">
        <f>(32-28)*P1161+(100-89)*P1164</f>
        <v>0.56999999999999995</v>
      </c>
      <c r="AC1162" s="26"/>
      <c r="AD1162" s="49" t="s">
        <v>98</v>
      </c>
      <c r="AE1162" s="276">
        <f>AVERAGE(AR1161:AR1164)</f>
        <v>0.27959331917505725</v>
      </c>
      <c r="AF1162" s="336" t="s">
        <v>1189</v>
      </c>
      <c r="AG1162" s="335" t="s">
        <v>1191</v>
      </c>
      <c r="AH1162" s="169">
        <f>($T$1168+$R$1165+$R$1167+$R$1169+($R$1161*25)+($R$1162*85)+($R$1163*24000)+($R$1164*100))*(1+$T$1170)</f>
        <v>8.7471180175246452</v>
      </c>
      <c r="AI1162" s="744">
        <v>10.19</v>
      </c>
      <c r="AJ1162" s="744">
        <v>5</v>
      </c>
      <c r="AK1162" s="744">
        <v>4.99</v>
      </c>
      <c r="AL1162" s="744"/>
      <c r="AM1162" s="744">
        <v>9.99</v>
      </c>
      <c r="AN1162" s="744"/>
      <c r="AO1162" s="744"/>
      <c r="AP1162" s="744"/>
      <c r="AQ1162" s="731">
        <f t="shared" ref="AQ1162:AQ1164" si="57">AH1162-AVERAGE(AI1162:AP1162)</f>
        <v>1.2046180175246448</v>
      </c>
      <c r="AR1162" s="1326">
        <f t="shared" ref="AR1162:AR1164" si="58">AQ1162/AVERAGE(AI1162:AP1162)</f>
        <v>0.15971070832279016</v>
      </c>
      <c r="AS1162" s="163"/>
      <c r="AT1162" s="163"/>
      <c r="AU1162" s="163"/>
      <c r="AV1162" s="957"/>
      <c r="AW1162" s="957"/>
      <c r="AX1162" s="957"/>
      <c r="AY1162" s="957"/>
      <c r="AZ1162" s="957"/>
      <c r="BA1162" s="957"/>
      <c r="BB1162" s="957"/>
      <c r="BC1162" s="957"/>
      <c r="BD1162" s="957"/>
      <c r="BE1162" s="957"/>
      <c r="BF1162" s="957"/>
      <c r="BG1162" s="957"/>
    </row>
    <row r="1163" spans="1:113">
      <c r="A1163" s="2172"/>
      <c r="B1163" s="831" t="s">
        <v>1316</v>
      </c>
      <c r="C1163" s="155" t="s">
        <v>12</v>
      </c>
      <c r="D1163" s="292" t="s">
        <v>1184</v>
      </c>
      <c r="E1163" s="95">
        <v>166</v>
      </c>
      <c r="F1163" s="452">
        <v>29681</v>
      </c>
      <c r="G1163" s="452">
        <v>6554</v>
      </c>
      <c r="H1163" s="165">
        <v>5.34</v>
      </c>
      <c r="I1163" s="166">
        <v>2.98</v>
      </c>
      <c r="J1163" s="234" t="s">
        <v>15</v>
      </c>
      <c r="K1163" s="233" t="s">
        <v>15</v>
      </c>
      <c r="L1163" s="234" t="s">
        <v>15</v>
      </c>
      <c r="M1163" s="233" t="s">
        <v>15</v>
      </c>
      <c r="N1163" s="537">
        <v>4.0000000000000003E-5</v>
      </c>
      <c r="O1163" s="789">
        <v>1.76</v>
      </c>
      <c r="P1163" s="789">
        <v>2.0000000000000002E-5</v>
      </c>
      <c r="Q1163" s="148" t="s">
        <v>15</v>
      </c>
      <c r="R1163" s="128">
        <f>N1163</f>
        <v>4.0000000000000003E-5</v>
      </c>
      <c r="S1163" s="127" t="s">
        <v>72</v>
      </c>
      <c r="T1163" s="119" t="s">
        <v>119</v>
      </c>
      <c r="V1163" s="2164"/>
      <c r="W1163" s="335" t="s">
        <v>49</v>
      </c>
      <c r="X1163" s="335" t="s">
        <v>1385</v>
      </c>
      <c r="Y1163" s="165">
        <f>(T1168+R1165+R1167+R1169+R1161*28+R1162*85+R1163*40000+R1164*100)*(1+$T$1170)</f>
        <v>8.1183680175246469</v>
      </c>
      <c r="Z1163" s="169">
        <f>Y1163-$Y$1161</f>
        <v>2.0175000000000001</v>
      </c>
      <c r="AA1163" s="165">
        <f>(32-28)*P1161+(100-89)*P1164+(40000-24000)*P1163</f>
        <v>0.8899999999999999</v>
      </c>
      <c r="AC1163" s="26"/>
      <c r="AD1163" s="49" t="s">
        <v>143</v>
      </c>
      <c r="AE1163" s="276">
        <f>STDEV(AR1161:AR1164)</f>
        <v>8.547424140974226E-2</v>
      </c>
      <c r="AF1163" s="336" t="s">
        <v>1188</v>
      </c>
      <c r="AG1163" s="335" t="s">
        <v>1192</v>
      </c>
      <c r="AH1163" s="169">
        <f>($T$1168+$R$1165+$R$1167+$R$1169+($R$1161*32)+($R$1162*85)+($R$1163*20000)+($R$1164*92))*(1+$T$1170)</f>
        <v>5.7133680175246457</v>
      </c>
      <c r="AI1163" s="744"/>
      <c r="AJ1163" s="744"/>
      <c r="AK1163" s="744"/>
      <c r="AL1163" s="744"/>
      <c r="AM1163" s="744">
        <v>4.79</v>
      </c>
      <c r="AN1163" s="744">
        <v>4.08</v>
      </c>
      <c r="AO1163" s="744">
        <v>4.33</v>
      </c>
      <c r="AP1163" s="744">
        <v>3.6</v>
      </c>
      <c r="AQ1163" s="731">
        <f t="shared" si="57"/>
        <v>1.5133680175246456</v>
      </c>
      <c r="AR1163" s="1326">
        <f t="shared" si="58"/>
        <v>0.3603257184582489</v>
      </c>
      <c r="AS1163" s="163"/>
      <c r="AT1163" s="163"/>
      <c r="AU1163" s="163"/>
      <c r="AV1163" s="957"/>
      <c r="AW1163" s="957"/>
      <c r="AX1163" s="957"/>
      <c r="AY1163" s="957"/>
      <c r="AZ1163" s="957"/>
      <c r="BA1163" s="957"/>
      <c r="BB1163" s="957"/>
      <c r="BC1163" s="957"/>
      <c r="BD1163" s="957"/>
      <c r="BE1163" s="957"/>
      <c r="BF1163" s="957"/>
      <c r="BG1163" s="957"/>
    </row>
    <row r="1164" spans="1:113">
      <c r="A1164" s="2172"/>
      <c r="B1164" s="831" t="s">
        <v>1319</v>
      </c>
      <c r="C1164" s="155" t="s">
        <v>12</v>
      </c>
      <c r="D1164" s="292" t="s">
        <v>1185</v>
      </c>
      <c r="E1164" s="95">
        <v>166</v>
      </c>
      <c r="F1164" s="452">
        <v>92.32</v>
      </c>
      <c r="G1164" s="95">
        <v>5.98</v>
      </c>
      <c r="H1164" s="165">
        <v>5.34</v>
      </c>
      <c r="I1164" s="166">
        <v>2.98</v>
      </c>
      <c r="J1164" s="234" t="s">
        <v>15</v>
      </c>
      <c r="K1164" s="233" t="s">
        <v>15</v>
      </c>
      <c r="L1164" s="234" t="s">
        <v>15</v>
      </c>
      <c r="M1164" s="233" t="s">
        <v>15</v>
      </c>
      <c r="N1164" s="537">
        <v>-0.05</v>
      </c>
      <c r="O1164" s="789">
        <v>1.88</v>
      </c>
      <c r="P1164" s="789">
        <v>0.03</v>
      </c>
      <c r="Q1164" s="148" t="s">
        <v>15</v>
      </c>
      <c r="R1164" s="128">
        <f>N1164</f>
        <v>-0.05</v>
      </c>
      <c r="S1164" s="423" t="s">
        <v>139</v>
      </c>
      <c r="T1164" s="411" t="s">
        <v>140</v>
      </c>
      <c r="V1164" s="24"/>
      <c r="W1164" s="26"/>
      <c r="X1164" s="26"/>
      <c r="Y1164" s="525"/>
      <c r="Z1164" s="525"/>
      <c r="AA1164" s="525"/>
      <c r="AC1164" s="26"/>
      <c r="AD1164" s="49" t="s">
        <v>144</v>
      </c>
      <c r="AE1164" s="276">
        <f>MIN(AR1160:AR1164)</f>
        <v>0.15971070832279016</v>
      </c>
      <c r="AF1164" s="336" t="s">
        <v>1189</v>
      </c>
      <c r="AG1164" s="335" t="s">
        <v>1193</v>
      </c>
      <c r="AH1164" s="169">
        <f>($T$1168+$R$1165+$R$1167+$R$1169+($R$1161*28)+($R$1162*85)+($R$1163*40000)+($R$1164*97))*(1+$T$1170)</f>
        <v>8.3058680175246451</v>
      </c>
      <c r="AI1164" s="744"/>
      <c r="AJ1164" s="744"/>
      <c r="AK1164" s="744"/>
      <c r="AL1164" s="744">
        <v>5.72</v>
      </c>
      <c r="AM1164" s="744">
        <v>7.29</v>
      </c>
      <c r="AN1164" s="744"/>
      <c r="AO1164" s="744">
        <v>7.29</v>
      </c>
      <c r="AP1164" s="744">
        <v>5.5</v>
      </c>
      <c r="AQ1164" s="731">
        <f t="shared" si="57"/>
        <v>1.8558680175246449</v>
      </c>
      <c r="AR1164" s="1326">
        <f t="shared" si="58"/>
        <v>0.28773147558521628</v>
      </c>
      <c r="AS1164" s="163"/>
      <c r="AT1164" s="163"/>
      <c r="AU1164" s="163"/>
      <c r="AV1164" s="957"/>
      <c r="AW1164" s="957"/>
      <c r="AX1164" s="957"/>
      <c r="AY1164" s="957"/>
      <c r="AZ1164" s="957"/>
      <c r="BA1164" s="957"/>
      <c r="BB1164" s="957"/>
      <c r="BC1164" s="957"/>
      <c r="BD1164" s="957"/>
      <c r="BE1164" s="957"/>
      <c r="BF1164" s="957"/>
      <c r="BG1164" s="957"/>
    </row>
    <row r="1165" spans="1:113">
      <c r="A1165" s="2172"/>
      <c r="B1165" s="2161" t="s">
        <v>1313</v>
      </c>
      <c r="C1165" s="2144" t="s">
        <v>11</v>
      </c>
      <c r="D1165" s="291" t="s">
        <v>490</v>
      </c>
      <c r="E1165" s="95">
        <v>12</v>
      </c>
      <c r="F1165" s="148" t="s">
        <v>15</v>
      </c>
      <c r="G1165" s="148" t="s">
        <v>15</v>
      </c>
      <c r="H1165" s="165">
        <v>1.95</v>
      </c>
      <c r="I1165" s="166">
        <v>0</v>
      </c>
      <c r="J1165" s="234" t="s">
        <v>15</v>
      </c>
      <c r="K1165" s="233" t="s">
        <v>15</v>
      </c>
      <c r="L1165" s="234" t="s">
        <v>15</v>
      </c>
      <c r="M1165" s="233" t="s">
        <v>15</v>
      </c>
      <c r="N1165" s="1201">
        <v>-2.1</v>
      </c>
      <c r="O1165" s="133">
        <v>0.55000000000000004</v>
      </c>
      <c r="P1165" s="133">
        <v>3.78</v>
      </c>
      <c r="Q1165" s="128">
        <f>E1165/165</f>
        <v>7.2727272727272724E-2</v>
      </c>
      <c r="R1165" s="2129">
        <f>SUMPRODUCT(Q1165:Q1166,N1165:N1166)</f>
        <v>-0.15272727272727274</v>
      </c>
      <c r="S1165" s="127" t="s">
        <v>74</v>
      </c>
      <c r="T1165" s="129" t="s">
        <v>75</v>
      </c>
      <c r="V1165" s="24"/>
      <c r="W1165" s="26"/>
      <c r="X1165" s="26"/>
      <c r="Y1165" s="525"/>
      <c r="Z1165" s="525"/>
      <c r="AA1165" s="525"/>
      <c r="AC1165" s="26"/>
      <c r="AD1165" s="50" t="s">
        <v>145</v>
      </c>
      <c r="AE1165" s="276">
        <f>MAX(AR1161:AR1164)</f>
        <v>0.3603257184582489</v>
      </c>
      <c r="AF1165" s="75"/>
      <c r="AG1165" s="26"/>
      <c r="AH1165" s="163"/>
      <c r="AI1165" s="163"/>
      <c r="AJ1165" s="163"/>
      <c r="AK1165" s="163"/>
      <c r="AL1165" s="163"/>
      <c r="AM1165" s="163"/>
      <c r="AN1165" s="163"/>
      <c r="AO1165" s="163"/>
      <c r="AP1165" s="163"/>
      <c r="AQ1165" s="163"/>
      <c r="AR1165" s="163"/>
      <c r="AS1165" s="163"/>
      <c r="AT1165" s="163"/>
      <c r="AU1165" s="163"/>
      <c r="AV1165" s="957"/>
      <c r="AW1165" s="957"/>
      <c r="AX1165" s="957"/>
      <c r="AY1165" s="957"/>
      <c r="AZ1165" s="957"/>
      <c r="BA1165" s="957"/>
      <c r="BB1165" s="957"/>
      <c r="BC1165" s="957"/>
      <c r="BD1165" s="957"/>
      <c r="BE1165" s="957"/>
      <c r="BF1165" s="957"/>
      <c r="BG1165" s="957"/>
    </row>
    <row r="1166" spans="1:113">
      <c r="A1166" s="2172"/>
      <c r="B1166" s="2161"/>
      <c r="C1166" s="2144"/>
      <c r="D1166" s="291" t="s">
        <v>32</v>
      </c>
      <c r="E1166" s="95">
        <v>153</v>
      </c>
      <c r="F1166" s="148" t="s">
        <v>15</v>
      </c>
      <c r="G1166" s="148" t="s">
        <v>15</v>
      </c>
      <c r="H1166" s="165">
        <v>5.6</v>
      </c>
      <c r="I1166" s="166">
        <v>2.93</v>
      </c>
      <c r="J1166" s="234" t="s">
        <v>15</v>
      </c>
      <c r="K1166" s="233" t="s">
        <v>15</v>
      </c>
      <c r="L1166" s="234" t="s">
        <v>15</v>
      </c>
      <c r="M1166" s="233" t="s">
        <v>15</v>
      </c>
      <c r="N1166" s="1194">
        <v>0</v>
      </c>
      <c r="O1166" s="142" t="s">
        <v>574</v>
      </c>
      <c r="P1166" s="142" t="s">
        <v>574</v>
      </c>
      <c r="Q1166" s="128">
        <f>E1166/165</f>
        <v>0.92727272727272725</v>
      </c>
      <c r="R1166" s="2129"/>
      <c r="S1166" s="95">
        <v>165</v>
      </c>
      <c r="T1166" s="411" t="s">
        <v>140</v>
      </c>
      <c r="V1166" s="24"/>
      <c r="W1166" s="26"/>
      <c r="X1166" s="26"/>
      <c r="Y1166" s="525"/>
      <c r="Z1166" s="525"/>
      <c r="AA1166" s="525"/>
      <c r="AC1166" s="26"/>
      <c r="AD1166" s="24"/>
      <c r="AE1166" s="26"/>
      <c r="AF1166" s="75"/>
      <c r="AG1166" s="26"/>
      <c r="AH1166" s="163"/>
      <c r="AI1166" s="163"/>
      <c r="AJ1166" s="163"/>
      <c r="AK1166" s="163"/>
      <c r="AL1166" s="163"/>
      <c r="AM1166" s="163"/>
      <c r="AN1166" s="163"/>
      <c r="AO1166" s="163"/>
      <c r="AP1166" s="163"/>
      <c r="AQ1166" s="163"/>
      <c r="AR1166" s="163"/>
      <c r="AS1166" s="163"/>
      <c r="AT1166" s="163"/>
      <c r="AU1166" s="163"/>
      <c r="AV1166" s="957"/>
      <c r="AW1166" s="957"/>
      <c r="AX1166" s="957"/>
      <c r="AY1166" s="957"/>
      <c r="AZ1166" s="957"/>
      <c r="BA1166" s="957"/>
      <c r="BB1166" s="957"/>
      <c r="BC1166" s="957"/>
      <c r="BD1166" s="957"/>
      <c r="BE1166" s="957"/>
      <c r="BF1166" s="957"/>
      <c r="BG1166" s="957"/>
    </row>
    <row r="1167" spans="1:113">
      <c r="A1167" s="2172"/>
      <c r="B1167" s="2161" t="s">
        <v>1314</v>
      </c>
      <c r="C1167" s="2144" t="s">
        <v>11</v>
      </c>
      <c r="D1167" s="291" t="s">
        <v>490</v>
      </c>
      <c r="E1167" s="95">
        <v>6</v>
      </c>
      <c r="F1167" s="148" t="s">
        <v>15</v>
      </c>
      <c r="G1167" s="148" t="s">
        <v>15</v>
      </c>
      <c r="H1167" s="165">
        <v>15.64</v>
      </c>
      <c r="I1167" s="166">
        <v>2.88</v>
      </c>
      <c r="J1167" s="234" t="s">
        <v>15</v>
      </c>
      <c r="K1167" s="233" t="s">
        <v>15</v>
      </c>
      <c r="L1167" s="234" t="s">
        <v>15</v>
      </c>
      <c r="M1167" s="233" t="s">
        <v>15</v>
      </c>
      <c r="N1167" s="1201">
        <v>10.66</v>
      </c>
      <c r="O1167" s="133">
        <v>15.49</v>
      </c>
      <c r="P1167" s="133">
        <v>0.69</v>
      </c>
      <c r="Q1167" s="128">
        <f>E1167/166</f>
        <v>3.614457831325301E-2</v>
      </c>
      <c r="R1167" s="2129">
        <f>SUMPRODUCT(Q1167:Q1168,N1167:N1168)</f>
        <v>0.3853012048192771</v>
      </c>
      <c r="S1167" s="127" t="s">
        <v>41</v>
      </c>
      <c r="T1167" s="129" t="s">
        <v>42</v>
      </c>
      <c r="V1167" s="24"/>
      <c r="W1167" s="26"/>
      <c r="X1167" s="26"/>
      <c r="Y1167" s="525"/>
      <c r="Z1167" s="525"/>
      <c r="AA1167" s="525"/>
      <c r="AC1167" s="26"/>
      <c r="AD1167" s="24"/>
      <c r="AE1167" s="26"/>
      <c r="AF1167" s="75"/>
      <c r="AG1167" s="26"/>
      <c r="AH1167" s="163"/>
      <c r="AI1167" s="163"/>
      <c r="AJ1167" s="163"/>
      <c r="AK1167" s="163"/>
      <c r="AL1167" s="163"/>
      <c r="AM1167" s="163"/>
      <c r="AN1167" s="163"/>
      <c r="AO1167" s="163"/>
      <c r="AP1167" s="163"/>
      <c r="AQ1167" s="163"/>
      <c r="AR1167" s="163"/>
      <c r="AS1167" s="163"/>
      <c r="AT1167" s="163"/>
      <c r="AU1167" s="163"/>
      <c r="AV1167" s="957"/>
      <c r="AW1167" s="957"/>
      <c r="AX1167" s="957"/>
      <c r="AY1167" s="957"/>
      <c r="AZ1167" s="957"/>
      <c r="BA1167" s="957"/>
      <c r="BB1167" s="957"/>
      <c r="BC1167" s="957"/>
      <c r="BD1167" s="957"/>
      <c r="BE1167" s="957"/>
      <c r="BF1167" s="957"/>
      <c r="BG1167" s="957"/>
    </row>
    <row r="1168" spans="1:113">
      <c r="A1168" s="2172"/>
      <c r="B1168" s="2161"/>
      <c r="C1168" s="2144"/>
      <c r="D1168" s="291" t="s">
        <v>32</v>
      </c>
      <c r="E1168" s="452">
        <v>160</v>
      </c>
      <c r="F1168" s="148" t="s">
        <v>15</v>
      </c>
      <c r="G1168" s="148" t="s">
        <v>15</v>
      </c>
      <c r="H1168" s="169">
        <v>4.95</v>
      </c>
      <c r="I1168" s="166">
        <v>2.1800000000000002</v>
      </c>
      <c r="J1168" s="234" t="s">
        <v>15</v>
      </c>
      <c r="K1168" s="233" t="s">
        <v>15</v>
      </c>
      <c r="L1168" s="234" t="s">
        <v>15</v>
      </c>
      <c r="M1168" s="233" t="s">
        <v>15</v>
      </c>
      <c r="N1168" s="1194">
        <v>0</v>
      </c>
      <c r="O1168" s="142" t="s">
        <v>574</v>
      </c>
      <c r="P1168" s="142" t="s">
        <v>574</v>
      </c>
      <c r="Q1168" s="128">
        <f>E1168/166</f>
        <v>0.96385542168674698</v>
      </c>
      <c r="R1168" s="2129"/>
      <c r="S1168" s="86">
        <v>0.71799999999999997</v>
      </c>
      <c r="T1168" s="302">
        <v>6.99</v>
      </c>
      <c r="V1168" s="24"/>
      <c r="W1168" s="26"/>
      <c r="X1168" s="26"/>
      <c r="Y1168" s="525"/>
      <c r="Z1168" s="525"/>
      <c r="AA1168" s="525"/>
      <c r="AC1168" s="26"/>
      <c r="AD1168" s="24"/>
      <c r="AE1168" s="26"/>
      <c r="AF1168" s="75"/>
      <c r="AG1168" s="26"/>
      <c r="AH1168" s="163"/>
      <c r="AI1168" s="163"/>
      <c r="AJ1168" s="163"/>
      <c r="AK1168" s="163"/>
      <c r="AL1168" s="163"/>
      <c r="AM1168" s="163"/>
      <c r="AN1168" s="163"/>
      <c r="AO1168" s="163"/>
      <c r="AP1168" s="163"/>
      <c r="AQ1168" s="163"/>
      <c r="AR1168" s="163"/>
      <c r="AS1168" s="163"/>
      <c r="AT1168" s="163"/>
      <c r="AU1168" s="163"/>
      <c r="AV1168" s="957"/>
      <c r="AW1168" s="957"/>
      <c r="AX1168" s="957"/>
      <c r="AY1168" s="957"/>
      <c r="AZ1168" s="957"/>
      <c r="BA1168" s="957"/>
      <c r="BB1168" s="957"/>
      <c r="BC1168" s="957"/>
      <c r="BD1168" s="957"/>
      <c r="BE1168" s="957"/>
      <c r="BF1168" s="957"/>
      <c r="BG1168" s="957"/>
    </row>
    <row r="1169" spans="1:113">
      <c r="A1169" s="2172"/>
      <c r="B1169" s="2161" t="s">
        <v>1315</v>
      </c>
      <c r="C1169" s="2144" t="s">
        <v>11</v>
      </c>
      <c r="D1169" s="291" t="s">
        <v>490</v>
      </c>
      <c r="E1169" s="452">
        <v>124</v>
      </c>
      <c r="F1169" s="148" t="s">
        <v>15</v>
      </c>
      <c r="G1169" s="148" t="s">
        <v>15</v>
      </c>
      <c r="H1169" s="169">
        <v>6</v>
      </c>
      <c r="I1169" s="172">
        <v>3.05</v>
      </c>
      <c r="J1169" s="234" t="s">
        <v>15</v>
      </c>
      <c r="K1169" s="233" t="s">
        <v>15</v>
      </c>
      <c r="L1169" s="234" t="s">
        <v>15</v>
      </c>
      <c r="M1169" s="233" t="s">
        <v>15</v>
      </c>
      <c r="N1169" s="1201">
        <v>0.79</v>
      </c>
      <c r="O1169" s="133">
        <v>2.19</v>
      </c>
      <c r="P1169" s="133">
        <v>0.36</v>
      </c>
      <c r="Q1169" s="128">
        <f>E1169/166</f>
        <v>0.74698795180722888</v>
      </c>
      <c r="R1169" s="2129">
        <f>SUMPRODUCT(Q1169:Q1170,N1169:N1170)</f>
        <v>0.59012048192771083</v>
      </c>
      <c r="S1169" s="118" t="s">
        <v>235</v>
      </c>
      <c r="T1169" s="119" t="s">
        <v>391</v>
      </c>
      <c r="V1169" s="24"/>
      <c r="W1169" s="26"/>
      <c r="X1169" s="26"/>
      <c r="Y1169" s="525"/>
      <c r="Z1169" s="525"/>
      <c r="AA1169" s="525"/>
      <c r="AC1169" s="26"/>
      <c r="AD1169" s="24"/>
      <c r="AE1169" s="26"/>
      <c r="AF1169" s="75"/>
      <c r="AG1169" s="26"/>
      <c r="AH1169" s="163"/>
      <c r="AI1169" s="163"/>
      <c r="AJ1169" s="163"/>
      <c r="AK1169" s="163"/>
      <c r="AL1169" s="163"/>
      <c r="AM1169" s="163"/>
      <c r="AN1169" s="163"/>
      <c r="AO1169" s="163"/>
      <c r="AP1169" s="163"/>
      <c r="AQ1169" s="163"/>
      <c r="AR1169" s="163"/>
      <c r="AS1169" s="163"/>
      <c r="AT1169" s="163"/>
      <c r="AU1169" s="163"/>
      <c r="AV1169" s="957"/>
      <c r="AW1169" s="957"/>
      <c r="AX1169" s="957"/>
      <c r="AY1169" s="957"/>
      <c r="AZ1169" s="957"/>
      <c r="BA1169" s="957"/>
      <c r="BB1169" s="957"/>
      <c r="BC1169" s="957"/>
      <c r="BD1169" s="957"/>
      <c r="BE1169" s="957"/>
      <c r="BF1169" s="957"/>
      <c r="BG1169" s="957"/>
    </row>
    <row r="1170" spans="1:113" ht="15.75" thickBot="1">
      <c r="A1170" s="2188"/>
      <c r="B1170" s="2321"/>
      <c r="C1170" s="2204"/>
      <c r="D1170" s="738" t="s">
        <v>32</v>
      </c>
      <c r="E1170" s="439">
        <v>42</v>
      </c>
      <c r="F1170" s="270" t="s">
        <v>15</v>
      </c>
      <c r="G1170" s="270" t="s">
        <v>15</v>
      </c>
      <c r="H1170" s="739">
        <v>3.39</v>
      </c>
      <c r="I1170" s="320">
        <v>1.62</v>
      </c>
      <c r="J1170" s="234" t="s">
        <v>15</v>
      </c>
      <c r="K1170" s="233" t="s">
        <v>15</v>
      </c>
      <c r="L1170" s="234" t="s">
        <v>15</v>
      </c>
      <c r="M1170" s="233" t="s">
        <v>15</v>
      </c>
      <c r="N1170" s="1194">
        <v>0</v>
      </c>
      <c r="O1170" s="142" t="s">
        <v>574</v>
      </c>
      <c r="P1170" s="142" t="s">
        <v>574</v>
      </c>
      <c r="Q1170" s="256">
        <f>E1170/166</f>
        <v>0.25301204819277107</v>
      </c>
      <c r="R1170" s="2130"/>
      <c r="S1170" s="287">
        <v>1.1200000000000001</v>
      </c>
      <c r="T1170" s="365">
        <v>0.25</v>
      </c>
      <c r="U1170" s="885"/>
      <c r="V1170" s="24"/>
      <c r="W1170" s="26"/>
      <c r="X1170" s="26"/>
      <c r="Y1170" s="525"/>
      <c r="Z1170" s="525"/>
      <c r="AA1170" s="525"/>
      <c r="AB1170" s="852"/>
      <c r="AC1170" s="26"/>
      <c r="AD1170" s="24"/>
      <c r="AE1170" s="26"/>
      <c r="AF1170" s="75"/>
      <c r="AG1170" s="26"/>
      <c r="AH1170" s="163"/>
      <c r="AI1170" s="163"/>
      <c r="AJ1170" s="163"/>
      <c r="AK1170" s="163"/>
      <c r="AL1170" s="163"/>
      <c r="AM1170" s="163"/>
      <c r="AN1170" s="163"/>
      <c r="AO1170" s="163"/>
      <c r="AP1170" s="163"/>
      <c r="AQ1170" s="163"/>
      <c r="AR1170" s="163"/>
      <c r="AS1170" s="163"/>
      <c r="AT1170" s="163"/>
      <c r="AU1170" s="163"/>
      <c r="AV1170" s="957"/>
      <c r="AW1170" s="957"/>
      <c r="AX1170" s="957"/>
      <c r="AY1170" s="957"/>
      <c r="AZ1170" s="957"/>
      <c r="BA1170" s="957"/>
      <c r="BB1170" s="957"/>
      <c r="BC1170" s="957"/>
      <c r="BD1170" s="957"/>
      <c r="BE1170" s="957"/>
      <c r="BF1170" s="957"/>
      <c r="BG1170" s="957"/>
    </row>
    <row r="1171" spans="1:113" s="808" customFormat="1" ht="9" customHeight="1" thickBot="1">
      <c r="A1171" s="716"/>
      <c r="B1171" s="815"/>
      <c r="C1171" s="684"/>
      <c r="D1171" s="683"/>
      <c r="E1171" s="707"/>
      <c r="F1171" s="707"/>
      <c r="G1171" s="707"/>
      <c r="H1171" s="709"/>
      <c r="I1171" s="709"/>
      <c r="J1171" s="682"/>
      <c r="K1171" s="683"/>
      <c r="L1171" s="682"/>
      <c r="M1171" s="685"/>
      <c r="N1171" s="1189"/>
      <c r="O1171" s="686"/>
      <c r="P1171" s="686"/>
      <c r="Q1171" s="687"/>
      <c r="R1171" s="687"/>
      <c r="S1171" s="688"/>
      <c r="T1171" s="688"/>
      <c r="U1171" s="891"/>
      <c r="V1171" s="893"/>
      <c r="W1171" s="685"/>
      <c r="X1171" s="685"/>
      <c r="Y1171" s="710"/>
      <c r="Z1171" s="710"/>
      <c r="AA1171" s="710"/>
      <c r="AB1171" s="930"/>
      <c r="AC1171" s="690"/>
      <c r="AD1171" s="690"/>
      <c r="AE1171" s="690"/>
      <c r="AF1171" s="711"/>
      <c r="AG1171" s="690"/>
      <c r="AH1171" s="690"/>
      <c r="AI1171" s="690"/>
      <c r="AJ1171" s="690"/>
      <c r="AK1171" s="690"/>
      <c r="AL1171" s="690"/>
      <c r="AM1171" s="690"/>
      <c r="AN1171" s="690"/>
      <c r="AO1171" s="690"/>
      <c r="AP1171" s="690"/>
      <c r="AQ1171" s="690"/>
      <c r="AR1171" s="690"/>
      <c r="AS1171" s="690"/>
      <c r="AT1171" s="690"/>
      <c r="AU1171" s="690"/>
      <c r="AV1171" s="959"/>
      <c r="AW1171" s="959"/>
      <c r="AX1171" s="959"/>
      <c r="AY1171" s="959"/>
      <c r="AZ1171" s="959"/>
      <c r="BA1171" s="959"/>
      <c r="BB1171" s="959"/>
      <c r="BC1171" s="959"/>
      <c r="BD1171" s="959"/>
      <c r="BE1171" s="959"/>
      <c r="BF1171" s="959"/>
      <c r="BG1171" s="959"/>
      <c r="BH1171" s="1126"/>
      <c r="DI1171" s="740"/>
    </row>
    <row r="1172" spans="1:113">
      <c r="A1172" s="2171" t="s">
        <v>1373</v>
      </c>
      <c r="B1172" s="816" t="s">
        <v>533</v>
      </c>
      <c r="C1172" s="998" t="s">
        <v>12</v>
      </c>
      <c r="D1172" s="741" t="s">
        <v>1195</v>
      </c>
      <c r="E1172" s="610">
        <v>83</v>
      </c>
      <c r="F1172" s="534">
        <v>20.59</v>
      </c>
      <c r="G1172" s="534">
        <v>4.1100000000000003</v>
      </c>
      <c r="H1172" s="300">
        <v>5.16</v>
      </c>
      <c r="I1172" s="301">
        <v>1.93</v>
      </c>
      <c r="J1172" s="268" t="s">
        <v>15</v>
      </c>
      <c r="K1172" s="132" t="s">
        <v>15</v>
      </c>
      <c r="L1172" s="268" t="s">
        <v>15</v>
      </c>
      <c r="M1172" s="132" t="s">
        <v>15</v>
      </c>
      <c r="N1172" s="1190">
        <v>-0.122</v>
      </c>
      <c r="O1172" s="442">
        <v>2.3199999999999998</v>
      </c>
      <c r="P1172" s="442">
        <v>0.05</v>
      </c>
      <c r="Q1172" s="743" t="s">
        <v>15</v>
      </c>
      <c r="R1172" s="258">
        <f>N1172</f>
        <v>-0.122</v>
      </c>
      <c r="S1172" s="124" t="s">
        <v>68</v>
      </c>
      <c r="T1172" s="125" t="s">
        <v>69</v>
      </c>
      <c r="V1172" s="2398" t="s">
        <v>2698</v>
      </c>
      <c r="W1172" s="616" t="s">
        <v>47</v>
      </c>
      <c r="X1172" s="616" t="s">
        <v>1386</v>
      </c>
      <c r="Y1172" s="305">
        <f>($T$1179+$R$1172*25+$R$1173*85+$R$1174*87)*(1+$T$1181)</f>
        <v>5.6250000000000009</v>
      </c>
      <c r="Z1172" s="610" t="s">
        <v>40</v>
      </c>
      <c r="AA1172" s="611" t="s">
        <v>40</v>
      </c>
      <c r="AC1172" s="26"/>
      <c r="AD1172" s="2140" t="s">
        <v>142</v>
      </c>
      <c r="AE1172" s="2142"/>
      <c r="AF1172" s="1" t="s">
        <v>1188</v>
      </c>
      <c r="AG1172" s="616" t="s">
        <v>1201</v>
      </c>
      <c r="AH1172" s="305">
        <f>($T$1179+($R$1172*25)+($R$1173*85)+($R$1174*87)+$R$1177)*(1+$T$1181)</f>
        <v>6.2926204819277123</v>
      </c>
      <c r="AI1172" s="979">
        <v>5.89</v>
      </c>
      <c r="AJ1172" s="979"/>
      <c r="AK1172" s="979"/>
      <c r="AL1172" s="979">
        <v>5.68</v>
      </c>
      <c r="AM1172" s="731">
        <f>AH1172-AVERAGE(AI1172:AL1172)</f>
        <v>0.50762048192771214</v>
      </c>
      <c r="AN1172" s="1326">
        <f>AM1172/AVERAGE(AI1172:AL1172)</f>
        <v>8.7747706469786024E-2</v>
      </c>
      <c r="AO1172" s="163"/>
      <c r="AP1172" s="163"/>
      <c r="AQ1172" s="163"/>
      <c r="AR1172" s="163"/>
      <c r="AS1172" s="163"/>
      <c r="AT1172" s="163"/>
      <c r="AU1172" s="163"/>
      <c r="AV1172" s="957"/>
      <c r="AW1172" s="957"/>
      <c r="AX1172" s="957"/>
      <c r="AY1172" s="957"/>
      <c r="AZ1172" s="957"/>
      <c r="BA1172" s="957"/>
      <c r="BB1172" s="957"/>
      <c r="BC1172" s="957"/>
      <c r="BD1172" s="957"/>
      <c r="BE1172" s="957"/>
      <c r="BF1172" s="957"/>
      <c r="BG1172" s="957"/>
    </row>
    <row r="1173" spans="1:113">
      <c r="A1173" s="2391"/>
      <c r="B1173" s="817" t="s">
        <v>1034</v>
      </c>
      <c r="C1173" s="154" t="s">
        <v>12</v>
      </c>
      <c r="D1173" s="292" t="s">
        <v>1196</v>
      </c>
      <c r="E1173" s="95">
        <v>83</v>
      </c>
      <c r="F1173" s="452">
        <v>83.17</v>
      </c>
      <c r="G1173" s="452">
        <v>3.25</v>
      </c>
      <c r="H1173" s="165">
        <v>5.16</v>
      </c>
      <c r="I1173" s="166">
        <v>1.93</v>
      </c>
      <c r="J1173" s="234" t="s">
        <v>15</v>
      </c>
      <c r="K1173" s="233" t="s">
        <v>15</v>
      </c>
      <c r="L1173" s="234" t="s">
        <v>15</v>
      </c>
      <c r="M1173" s="233" t="s">
        <v>15</v>
      </c>
      <c r="N1173" s="537">
        <v>0.02</v>
      </c>
      <c r="O1173" s="789">
        <v>0.41</v>
      </c>
      <c r="P1173" s="789">
        <v>0.06</v>
      </c>
      <c r="Q1173" s="148" t="s">
        <v>15</v>
      </c>
      <c r="R1173" s="128">
        <f>N1173</f>
        <v>0.02</v>
      </c>
      <c r="S1173" s="221" t="s">
        <v>1187</v>
      </c>
      <c r="T1173" s="794" t="s">
        <v>310</v>
      </c>
      <c r="V1173" s="2163"/>
      <c r="W1173" s="335" t="s">
        <v>49</v>
      </c>
      <c r="X1173" s="616" t="s">
        <v>1387</v>
      </c>
      <c r="Y1173" s="169">
        <f>(T1179+R1172*21+R1173*85+R1174*100)*(1+$T$1181)</f>
        <v>8.3475000000000001</v>
      </c>
      <c r="Z1173" s="169">
        <f>Y1173-Y1172</f>
        <v>2.7224999999999993</v>
      </c>
      <c r="AA1173" s="166">
        <f>(25-21)*P1172+(100-87)*P1174</f>
        <v>0.85000000000000009</v>
      </c>
      <c r="AC1173" s="26"/>
      <c r="AD1173" s="20" t="s">
        <v>98</v>
      </c>
      <c r="AE1173" s="276">
        <f>AVERAGE(AN1172:AN1175)</f>
        <v>-1.0256230887052277E-2</v>
      </c>
      <c r="AF1173" s="336" t="s">
        <v>1189</v>
      </c>
      <c r="AG1173" s="335" t="s">
        <v>1198</v>
      </c>
      <c r="AH1173" s="305">
        <f>($T$1179+($R$1172*21)+($R$1173*85)+($R$1174*92)+$R$1177)*(1+$T$1181)</f>
        <v>7.7151204819277117</v>
      </c>
      <c r="AI1173" s="744">
        <v>8.59</v>
      </c>
      <c r="AJ1173" s="744">
        <v>7.22</v>
      </c>
      <c r="AK1173" s="744"/>
      <c r="AL1173" s="744"/>
      <c r="AM1173" s="731">
        <f t="shared" ref="AM1173:AM1175" si="59">AH1173-AVERAGE(AI1173:AL1173)</f>
        <v>-0.18987951807228765</v>
      </c>
      <c r="AN1173" s="1326">
        <f t="shared" ref="AN1173:AN1175" si="60">AM1173/AVERAGE(AI1173:AL1173)</f>
        <v>-2.4020179389283702E-2</v>
      </c>
      <c r="AO1173" s="163"/>
      <c r="AP1173" s="163"/>
      <c r="AQ1173" s="163"/>
      <c r="AR1173" s="163"/>
      <c r="AS1173" s="163"/>
      <c r="AT1173" s="163"/>
      <c r="AU1173" s="163"/>
      <c r="AV1173" s="957"/>
      <c r="AW1173" s="957"/>
      <c r="AX1173" s="957"/>
      <c r="AY1173" s="957"/>
      <c r="AZ1173" s="957"/>
      <c r="BA1173" s="957"/>
      <c r="BB1173" s="957"/>
      <c r="BC1173" s="957"/>
      <c r="BD1173" s="957"/>
      <c r="BE1173" s="957"/>
      <c r="BF1173" s="957"/>
      <c r="BG1173" s="957"/>
    </row>
    <row r="1174" spans="1:113">
      <c r="A1174" s="2391"/>
      <c r="B1174" s="831" t="s">
        <v>1319</v>
      </c>
      <c r="C1174" s="154" t="s">
        <v>12</v>
      </c>
      <c r="D1174" s="292" t="s">
        <v>1197</v>
      </c>
      <c r="E1174" s="95">
        <v>83</v>
      </c>
      <c r="F1174" s="452">
        <v>84.48</v>
      </c>
      <c r="G1174" s="452">
        <v>5.0199999999999996</v>
      </c>
      <c r="H1174" s="165">
        <v>5.16</v>
      </c>
      <c r="I1174" s="166">
        <v>1.93</v>
      </c>
      <c r="J1174" s="234" t="s">
        <v>15</v>
      </c>
      <c r="K1174" s="233" t="s">
        <v>15</v>
      </c>
      <c r="L1174" s="234" t="s">
        <v>15</v>
      </c>
      <c r="M1174" s="233" t="s">
        <v>15</v>
      </c>
      <c r="N1174" s="537">
        <v>0.13</v>
      </c>
      <c r="O1174" s="789">
        <v>2.63</v>
      </c>
      <c r="P1174" s="789">
        <v>0.05</v>
      </c>
      <c r="Q1174" s="148" t="s">
        <v>15</v>
      </c>
      <c r="R1174" s="128">
        <f>N1174</f>
        <v>0.13</v>
      </c>
      <c r="S1174" s="127" t="s">
        <v>72</v>
      </c>
      <c r="T1174" s="119" t="s">
        <v>119</v>
      </c>
      <c r="V1174" s="2135"/>
      <c r="W1174" s="335" t="s">
        <v>47</v>
      </c>
      <c r="X1174" s="335" t="s">
        <v>1388</v>
      </c>
      <c r="Y1174" s="169">
        <f>(T1179+R1172*17+R1173*85+R1174*80)*(1+$T$1181)</f>
        <v>5.7075000000000014</v>
      </c>
      <c r="Z1174" s="95" t="s">
        <v>40</v>
      </c>
      <c r="AA1174" s="117" t="s">
        <v>40</v>
      </c>
      <c r="AC1174" s="26"/>
      <c r="AD1174" s="20" t="s">
        <v>143</v>
      </c>
      <c r="AE1174" s="276">
        <f>STDEV(AN1172:AN1175)</f>
        <v>0.10062970048157371</v>
      </c>
      <c r="AF1174" s="336" t="s">
        <v>1188</v>
      </c>
      <c r="AG1174" s="335" t="s">
        <v>1199</v>
      </c>
      <c r="AH1174" s="305">
        <f>($T$1179+($R$1172*17)+($R$1173*85)+($R$1174*81)+$R$1177)*(1+$T$1181)</f>
        <v>6.5376204819277124</v>
      </c>
      <c r="AI1174" s="744">
        <v>5.87</v>
      </c>
      <c r="AJ1174" s="744">
        <v>6</v>
      </c>
      <c r="AK1174" s="744">
        <v>6.99</v>
      </c>
      <c r="AL1174" s="744"/>
      <c r="AM1174" s="731">
        <f t="shared" si="59"/>
        <v>0.25095381526104621</v>
      </c>
      <c r="AN1174" s="1326">
        <f t="shared" si="60"/>
        <v>3.9918422363899191E-2</v>
      </c>
      <c r="AO1174" s="163"/>
      <c r="AP1174" s="163"/>
      <c r="AQ1174" s="163"/>
      <c r="AR1174" s="163"/>
      <c r="AS1174" s="163"/>
      <c r="AT1174" s="163"/>
      <c r="AU1174" s="163"/>
      <c r="AV1174" s="957"/>
      <c r="AW1174" s="957"/>
      <c r="AX1174" s="957"/>
      <c r="AY1174" s="957"/>
      <c r="AZ1174" s="957"/>
      <c r="BA1174" s="957"/>
      <c r="BB1174" s="957"/>
      <c r="BC1174" s="957"/>
      <c r="BD1174" s="957"/>
      <c r="BE1174" s="957"/>
      <c r="BF1174" s="957"/>
      <c r="BG1174" s="957"/>
    </row>
    <row r="1175" spans="1:113">
      <c r="A1175" s="2391"/>
      <c r="B1175" s="2161" t="s">
        <v>1313</v>
      </c>
      <c r="C1175" s="2144" t="s">
        <v>11</v>
      </c>
      <c r="D1175" s="291" t="s">
        <v>490</v>
      </c>
      <c r="E1175" s="452">
        <v>10</v>
      </c>
      <c r="F1175" s="148" t="s">
        <v>15</v>
      </c>
      <c r="G1175" s="148" t="s">
        <v>15</v>
      </c>
      <c r="H1175" s="165">
        <v>1.95</v>
      </c>
      <c r="I1175" s="166">
        <v>0</v>
      </c>
      <c r="J1175" s="234" t="s">
        <v>15</v>
      </c>
      <c r="K1175" s="233" t="s">
        <v>15</v>
      </c>
      <c r="L1175" s="234" t="s">
        <v>15</v>
      </c>
      <c r="M1175" s="233" t="s">
        <v>15</v>
      </c>
      <c r="N1175" s="1201">
        <v>-3.03</v>
      </c>
      <c r="O1175" s="133">
        <v>6.94</v>
      </c>
      <c r="P1175" s="133">
        <v>0.44</v>
      </c>
      <c r="Q1175" s="128">
        <v>0</v>
      </c>
      <c r="R1175" s="2129">
        <f>SUMPRODUCT(Q1175:Q1176,N1175:N1176)</f>
        <v>0</v>
      </c>
      <c r="S1175" s="423" t="s">
        <v>139</v>
      </c>
      <c r="T1175" s="411" t="s">
        <v>140</v>
      </c>
      <c r="V1175" s="2136"/>
      <c r="W1175" s="335" t="s">
        <v>49</v>
      </c>
      <c r="X1175" s="335" t="s">
        <v>1389</v>
      </c>
      <c r="Y1175" s="165">
        <f>(T1179+R1172*15+R1173*85+R1174*90)*(1+$T$1181)</f>
        <v>7.6375000000000011</v>
      </c>
      <c r="Z1175" s="169">
        <f>Y1175-Y1174</f>
        <v>1.9299999999999997</v>
      </c>
      <c r="AA1175" s="166">
        <f>(17-15)*P1172+(90-80)*P1174</f>
        <v>0.6</v>
      </c>
      <c r="AC1175" s="26"/>
      <c r="AD1175" s="20" t="s">
        <v>144</v>
      </c>
      <c r="AE1175" s="276">
        <f>MIN(AN1172:AN1175)</f>
        <v>-0.14467087299261061</v>
      </c>
      <c r="AF1175" s="336" t="s">
        <v>1189</v>
      </c>
      <c r="AG1175" s="335" t="s">
        <v>1200</v>
      </c>
      <c r="AH1175" s="305">
        <f>($T$1179+($R$1172*15)+($R$1173*85)+($R$1174*80)+$R$1177)*(1+$T$1181)</f>
        <v>6.6801204819277116</v>
      </c>
      <c r="AI1175" s="744">
        <v>8.49</v>
      </c>
      <c r="AJ1175" s="744">
        <v>7.13</v>
      </c>
      <c r="AK1175" s="744"/>
      <c r="AL1175" s="744"/>
      <c r="AM1175" s="731">
        <f t="shared" si="59"/>
        <v>-1.1298795180722889</v>
      </c>
      <c r="AN1175" s="1326">
        <f t="shared" si="60"/>
        <v>-0.14467087299261061</v>
      </c>
      <c r="AO1175" s="163"/>
      <c r="AP1175" s="163"/>
      <c r="AQ1175" s="163"/>
      <c r="AR1175" s="163"/>
      <c r="AS1175" s="163"/>
      <c r="AT1175" s="163"/>
      <c r="AU1175" s="163"/>
      <c r="AV1175" s="957"/>
      <c r="AW1175" s="957"/>
      <c r="AX1175" s="957"/>
      <c r="AY1175" s="957"/>
      <c r="AZ1175" s="957"/>
      <c r="BA1175" s="957"/>
      <c r="BB1175" s="957"/>
      <c r="BC1175" s="957"/>
      <c r="BD1175" s="957"/>
      <c r="BE1175" s="957"/>
      <c r="BF1175" s="957"/>
      <c r="BG1175" s="957"/>
    </row>
    <row r="1176" spans="1:113">
      <c r="A1176" s="2391"/>
      <c r="B1176" s="2161"/>
      <c r="C1176" s="2144"/>
      <c r="D1176" s="291" t="s">
        <v>32</v>
      </c>
      <c r="E1176" s="452">
        <v>73</v>
      </c>
      <c r="F1176" s="148" t="s">
        <v>15</v>
      </c>
      <c r="G1176" s="148" t="s">
        <v>15</v>
      </c>
      <c r="H1176" s="165">
        <v>5.59</v>
      </c>
      <c r="I1176" s="166">
        <v>1.62</v>
      </c>
      <c r="J1176" s="234" t="s">
        <v>15</v>
      </c>
      <c r="K1176" s="233" t="s">
        <v>15</v>
      </c>
      <c r="L1176" s="234" t="s">
        <v>15</v>
      </c>
      <c r="M1176" s="233" t="s">
        <v>15</v>
      </c>
      <c r="N1176" s="1194">
        <v>0</v>
      </c>
      <c r="O1176" s="142" t="s">
        <v>574</v>
      </c>
      <c r="P1176" s="142" t="s">
        <v>574</v>
      </c>
      <c r="Q1176" s="128">
        <v>1</v>
      </c>
      <c r="R1176" s="2129"/>
      <c r="S1176" s="127" t="s">
        <v>74</v>
      </c>
      <c r="T1176" s="129" t="s">
        <v>75</v>
      </c>
      <c r="V1176" s="24"/>
      <c r="W1176" s="26"/>
      <c r="X1176" s="26"/>
      <c r="Y1176" s="525"/>
      <c r="Z1176" s="525"/>
      <c r="AA1176" s="525"/>
      <c r="AC1176" s="26"/>
      <c r="AD1176" s="20" t="s">
        <v>145</v>
      </c>
      <c r="AE1176" s="276">
        <f>MAX(AN1172:AN1175)</f>
        <v>8.7747706469786024E-2</v>
      </c>
      <c r="AF1176" s="75"/>
      <c r="AG1176" s="26"/>
      <c r="AH1176" s="163"/>
      <c r="AI1176" s="163"/>
      <c r="AJ1176" s="163"/>
      <c r="AK1176" s="163"/>
      <c r="AL1176" s="163"/>
      <c r="AM1176" s="163"/>
      <c r="AN1176" s="163"/>
      <c r="AO1176" s="163"/>
      <c r="AP1176" s="163"/>
      <c r="AQ1176" s="163"/>
      <c r="AR1176" s="163"/>
      <c r="AS1176" s="163"/>
      <c r="AT1176" s="163"/>
      <c r="AU1176" s="163"/>
      <c r="AV1176" s="957"/>
      <c r="AW1176" s="957"/>
      <c r="AX1176" s="957"/>
      <c r="AY1176" s="957"/>
      <c r="AZ1176" s="957"/>
      <c r="BA1176" s="957"/>
      <c r="BB1176" s="957"/>
      <c r="BC1176" s="957"/>
      <c r="BD1176" s="957"/>
      <c r="BE1176" s="957"/>
      <c r="BF1176" s="957"/>
      <c r="BG1176" s="957"/>
    </row>
    <row r="1177" spans="1:113">
      <c r="A1177" s="2391"/>
      <c r="B1177" s="2177" t="s">
        <v>1194</v>
      </c>
      <c r="C1177" s="2144" t="s">
        <v>11</v>
      </c>
      <c r="D1177" s="291" t="s">
        <v>490</v>
      </c>
      <c r="E1177" s="452">
        <v>31</v>
      </c>
      <c r="F1177" s="148" t="s">
        <v>15</v>
      </c>
      <c r="G1177" s="148" t="s">
        <v>15</v>
      </c>
      <c r="H1177" s="165">
        <v>6.59</v>
      </c>
      <c r="I1177" s="166">
        <v>1.1599999999999999</v>
      </c>
      <c r="J1177" s="234" t="s">
        <v>15</v>
      </c>
      <c r="K1177" s="233" t="s">
        <v>15</v>
      </c>
      <c r="L1177" s="234" t="s">
        <v>15</v>
      </c>
      <c r="M1177" s="233" t="s">
        <v>15</v>
      </c>
      <c r="N1177" s="1201">
        <v>1.43</v>
      </c>
      <c r="O1177" s="133">
        <v>4.51</v>
      </c>
      <c r="P1177" s="133">
        <v>0.32</v>
      </c>
      <c r="Q1177" s="128">
        <f>E1177/83</f>
        <v>0.37349397590361444</v>
      </c>
      <c r="R1177" s="2129">
        <f>SUMPRODUCT(Q1177:Q1178,N1177:N1178)</f>
        <v>0.53409638554216865</v>
      </c>
      <c r="S1177" s="95">
        <v>83</v>
      </c>
      <c r="T1177" s="411" t="s">
        <v>140</v>
      </c>
      <c r="V1177" s="24"/>
      <c r="W1177" s="26"/>
      <c r="X1177" s="26"/>
      <c r="Y1177" s="525"/>
      <c r="Z1177" s="525"/>
      <c r="AA1177" s="525"/>
      <c r="AC1177" s="26"/>
      <c r="AD1177" s="24"/>
      <c r="AE1177" s="26"/>
      <c r="AF1177" s="75"/>
      <c r="AG1177" s="26"/>
      <c r="AH1177" s="163"/>
      <c r="AI1177" s="163"/>
      <c r="AJ1177" s="163"/>
      <c r="AK1177" s="163"/>
      <c r="AL1177" s="163"/>
      <c r="AM1177" s="163"/>
      <c r="AN1177" s="163"/>
      <c r="AO1177" s="163"/>
      <c r="AP1177" s="163"/>
      <c r="AQ1177" s="163"/>
      <c r="AR1177" s="163"/>
      <c r="AS1177" s="163"/>
      <c r="AT1177" s="163"/>
      <c r="AU1177" s="163"/>
      <c r="AV1177" s="957"/>
      <c r="AW1177" s="957"/>
      <c r="AX1177" s="957"/>
      <c r="AY1177" s="957"/>
      <c r="AZ1177" s="957"/>
      <c r="BA1177" s="957"/>
      <c r="BB1177" s="957"/>
      <c r="BC1177" s="957"/>
      <c r="BD1177" s="957"/>
      <c r="BE1177" s="957"/>
      <c r="BF1177" s="957"/>
      <c r="BG1177" s="957"/>
    </row>
    <row r="1178" spans="1:113">
      <c r="A1178" s="2391"/>
      <c r="B1178" s="2178"/>
      <c r="C1178" s="2144"/>
      <c r="D1178" s="291" t="s">
        <v>32</v>
      </c>
      <c r="E1178" s="95">
        <v>52</v>
      </c>
      <c r="F1178" s="148" t="s">
        <v>15</v>
      </c>
      <c r="G1178" s="148" t="s">
        <v>15</v>
      </c>
      <c r="H1178" s="165">
        <v>4.3</v>
      </c>
      <c r="I1178" s="166">
        <v>1.79</v>
      </c>
      <c r="J1178" s="234" t="s">
        <v>15</v>
      </c>
      <c r="K1178" s="233" t="s">
        <v>15</v>
      </c>
      <c r="L1178" s="234" t="s">
        <v>15</v>
      </c>
      <c r="M1178" s="233" t="s">
        <v>15</v>
      </c>
      <c r="N1178" s="1194">
        <v>0</v>
      </c>
      <c r="O1178" s="142" t="s">
        <v>574</v>
      </c>
      <c r="P1178" s="142" t="s">
        <v>574</v>
      </c>
      <c r="Q1178" s="128">
        <f>E1178/83</f>
        <v>0.62650602409638556</v>
      </c>
      <c r="R1178" s="2129"/>
      <c r="S1178" s="127" t="s">
        <v>41</v>
      </c>
      <c r="T1178" s="129" t="s">
        <v>42</v>
      </c>
      <c r="V1178" s="24"/>
      <c r="W1178" s="26"/>
      <c r="X1178" s="26"/>
      <c r="Y1178" s="525"/>
      <c r="Z1178" s="525"/>
      <c r="AA1178" s="525"/>
      <c r="AC1178" s="26"/>
      <c r="AD1178" s="24"/>
      <c r="AE1178" s="26"/>
      <c r="AF1178" s="75"/>
      <c r="AG1178" s="26"/>
      <c r="AH1178" s="163"/>
      <c r="AI1178" s="163"/>
      <c r="AJ1178" s="163"/>
      <c r="AK1178" s="163"/>
      <c r="AL1178" s="163"/>
      <c r="AM1178" s="163"/>
      <c r="AN1178" s="163"/>
      <c r="AO1178" s="163"/>
      <c r="AP1178" s="163"/>
      <c r="AQ1178" s="163"/>
      <c r="AR1178" s="163"/>
      <c r="AS1178" s="163"/>
      <c r="AT1178" s="163"/>
      <c r="AU1178" s="163"/>
      <c r="AV1178" s="957"/>
      <c r="AW1178" s="957"/>
      <c r="AX1178" s="957"/>
      <c r="AY1178" s="957"/>
      <c r="AZ1178" s="957"/>
      <c r="BA1178" s="957"/>
      <c r="BB1178" s="957"/>
      <c r="BC1178" s="957"/>
      <c r="BD1178" s="957"/>
      <c r="BE1178" s="957"/>
      <c r="BF1178" s="957"/>
      <c r="BG1178" s="957"/>
    </row>
    <row r="1179" spans="1:113">
      <c r="A1179" s="2392"/>
      <c r="B1179" s="2116" t="s">
        <v>194</v>
      </c>
      <c r="C1179" s="41"/>
      <c r="D1179" s="26"/>
      <c r="E1179" s="26"/>
      <c r="F1179" s="41"/>
      <c r="G1179" s="41"/>
      <c r="H1179" s="26"/>
      <c r="I1179" s="26"/>
      <c r="J1179" s="75"/>
      <c r="K1179" s="26"/>
      <c r="L1179" s="75"/>
      <c r="M1179" s="26"/>
      <c r="N1179" s="1205"/>
      <c r="O1179" s="467"/>
      <c r="P1179" s="467"/>
      <c r="Q1179" s="252"/>
      <c r="R1179" s="252"/>
      <c r="S1179" s="357">
        <v>0.62</v>
      </c>
      <c r="T1179" s="302">
        <v>-5.46</v>
      </c>
      <c r="V1179" s="24"/>
      <c r="W1179" s="26"/>
      <c r="X1179" s="26"/>
      <c r="Y1179" s="525"/>
      <c r="Z1179" s="525"/>
      <c r="AA1179" s="525"/>
      <c r="AC1179" s="26"/>
      <c r="AD1179" s="24"/>
      <c r="AE1179" s="26"/>
      <c r="AF1179" s="75"/>
      <c r="AG1179" s="26"/>
      <c r="AH1179" s="163"/>
      <c r="AI1179" s="163"/>
      <c r="AJ1179" s="163"/>
      <c r="AK1179" s="163"/>
      <c r="AL1179" s="163"/>
      <c r="AM1179" s="163"/>
      <c r="AN1179" s="163"/>
      <c r="AO1179" s="163"/>
      <c r="AP1179" s="163"/>
      <c r="AQ1179" s="163"/>
      <c r="AR1179" s="163"/>
      <c r="AS1179" s="163"/>
      <c r="AT1179" s="163"/>
      <c r="AU1179" s="163"/>
      <c r="AV1179" s="957"/>
      <c r="AW1179" s="957"/>
      <c r="AX1179" s="957"/>
      <c r="AY1179" s="957"/>
      <c r="AZ1179" s="957"/>
      <c r="BA1179" s="957"/>
      <c r="BB1179" s="957"/>
      <c r="BC1179" s="957"/>
      <c r="BD1179" s="957"/>
      <c r="BE1179" s="957"/>
      <c r="BF1179" s="957"/>
      <c r="BG1179" s="957"/>
    </row>
    <row r="1180" spans="1:113">
      <c r="A1180" s="2392"/>
      <c r="B1180" s="2117"/>
      <c r="C1180" s="41"/>
      <c r="D1180" s="26"/>
      <c r="E1180" s="26"/>
      <c r="F1180" s="41"/>
      <c r="G1180" s="41"/>
      <c r="H1180" s="26"/>
      <c r="I1180" s="26"/>
      <c r="J1180" s="75"/>
      <c r="K1180" s="26"/>
      <c r="L1180" s="75"/>
      <c r="M1180" s="26"/>
      <c r="N1180" s="1205"/>
      <c r="O1180" s="467"/>
      <c r="P1180" s="467"/>
      <c r="Q1180" s="252"/>
      <c r="R1180" s="252"/>
      <c r="S1180" s="118" t="s">
        <v>235</v>
      </c>
      <c r="T1180" s="119" t="s">
        <v>391</v>
      </c>
      <c r="V1180" s="24"/>
      <c r="W1180" s="26"/>
      <c r="X1180" s="26"/>
      <c r="Y1180" s="525"/>
      <c r="Z1180" s="525"/>
      <c r="AA1180" s="525"/>
      <c r="AC1180" s="26"/>
      <c r="AD1180" s="24"/>
      <c r="AE1180" s="26"/>
      <c r="AF1180" s="75"/>
      <c r="AG1180" s="26"/>
      <c r="AH1180" s="163"/>
      <c r="AI1180" s="163"/>
      <c r="AJ1180" s="163"/>
      <c r="AK1180" s="163"/>
      <c r="AL1180" s="163"/>
      <c r="AM1180" s="163"/>
      <c r="AN1180" s="163"/>
      <c r="AO1180" s="163"/>
      <c r="AP1180" s="163"/>
      <c r="AQ1180" s="163"/>
      <c r="AR1180" s="163"/>
      <c r="AS1180" s="163"/>
      <c r="AT1180" s="163"/>
      <c r="AU1180" s="163"/>
      <c r="AV1180" s="957"/>
      <c r="AW1180" s="957"/>
      <c r="AX1180" s="957"/>
      <c r="AY1180" s="957"/>
      <c r="AZ1180" s="957"/>
      <c r="BA1180" s="957"/>
      <c r="BB1180" s="957"/>
      <c r="BC1180" s="957"/>
      <c r="BD1180" s="957"/>
      <c r="BE1180" s="957"/>
      <c r="BF1180" s="957"/>
      <c r="BG1180" s="957"/>
    </row>
    <row r="1181" spans="1:113" ht="15.75" thickBot="1">
      <c r="A1181" s="2393"/>
      <c r="B1181" s="2118"/>
      <c r="C1181" s="41"/>
      <c r="D1181" s="26"/>
      <c r="E1181" s="26"/>
      <c r="F1181" s="41"/>
      <c r="G1181" s="41"/>
      <c r="H1181" s="26"/>
      <c r="I1181" s="26"/>
      <c r="J1181" s="75"/>
      <c r="K1181" s="26"/>
      <c r="L1181" s="75"/>
      <c r="M1181" s="26"/>
      <c r="N1181" s="1205"/>
      <c r="O1181" s="467"/>
      <c r="P1181" s="467"/>
      <c r="Q1181" s="252"/>
      <c r="R1181" s="252"/>
      <c r="S1181" s="742">
        <v>0.86599999999999999</v>
      </c>
      <c r="T1181" s="840">
        <v>0.25</v>
      </c>
      <c r="U1181" s="885"/>
      <c r="V1181" s="24"/>
      <c r="W1181" s="26"/>
      <c r="X1181" s="26"/>
      <c r="Y1181" s="525"/>
      <c r="Z1181" s="525"/>
      <c r="AA1181" s="525"/>
      <c r="AB1181" s="852"/>
      <c r="AC1181" s="26"/>
      <c r="AD1181" s="24"/>
      <c r="AE1181" s="26"/>
      <c r="AF1181" s="75"/>
      <c r="AG1181" s="26"/>
      <c r="AH1181" s="163"/>
      <c r="AI1181" s="163"/>
      <c r="AJ1181" s="163"/>
      <c r="AK1181" s="163"/>
      <c r="AL1181" s="163"/>
      <c r="AM1181" s="163"/>
      <c r="AN1181" s="163"/>
      <c r="AO1181" s="163"/>
      <c r="AP1181" s="163"/>
      <c r="AQ1181" s="163"/>
      <c r="AR1181" s="163"/>
      <c r="AS1181" s="163"/>
      <c r="AT1181" s="163"/>
      <c r="AU1181" s="163"/>
      <c r="AV1181" s="957"/>
      <c r="AW1181" s="957"/>
      <c r="AX1181" s="957"/>
      <c r="AY1181" s="957"/>
      <c r="AZ1181" s="957"/>
      <c r="BA1181" s="957"/>
      <c r="BB1181" s="957"/>
      <c r="BC1181" s="957"/>
      <c r="BD1181" s="957"/>
      <c r="BE1181" s="957"/>
      <c r="BF1181" s="957"/>
      <c r="BG1181" s="957"/>
    </row>
    <row r="1182" spans="1:113" s="808" customFormat="1" ht="9" customHeight="1" thickBot="1">
      <c r="A1182" s="716"/>
      <c r="B1182" s="815"/>
      <c r="C1182" s="684"/>
      <c r="D1182" s="683"/>
      <c r="E1182" s="707"/>
      <c r="F1182" s="707"/>
      <c r="G1182" s="707"/>
      <c r="H1182" s="709"/>
      <c r="I1182" s="709"/>
      <c r="J1182" s="682"/>
      <c r="K1182" s="683"/>
      <c r="L1182" s="682"/>
      <c r="M1182" s="685"/>
      <c r="N1182" s="1189"/>
      <c r="O1182" s="686"/>
      <c r="P1182" s="686"/>
      <c r="Q1182" s="687"/>
      <c r="R1182" s="687"/>
      <c r="S1182" s="688"/>
      <c r="T1182" s="688"/>
      <c r="U1182" s="891"/>
      <c r="V1182" s="893"/>
      <c r="W1182" s="685"/>
      <c r="X1182" s="685"/>
      <c r="Y1182" s="710"/>
      <c r="Z1182" s="710"/>
      <c r="AA1182" s="710"/>
      <c r="AB1182" s="930"/>
      <c r="AC1182" s="690"/>
      <c r="AD1182" s="690"/>
      <c r="AE1182" s="690"/>
      <c r="AF1182" s="711"/>
      <c r="AG1182" s="690"/>
      <c r="AH1182" s="690"/>
      <c r="AI1182" s="690"/>
      <c r="AJ1182" s="690"/>
      <c r="AK1182" s="690"/>
      <c r="AL1182" s="690"/>
      <c r="AM1182" s="690"/>
      <c r="AN1182" s="690"/>
      <c r="AO1182" s="690"/>
      <c r="AP1182" s="690"/>
      <c r="AQ1182" s="690"/>
      <c r="AR1182" s="690"/>
      <c r="AS1182" s="690"/>
      <c r="AT1182" s="690"/>
      <c r="AU1182" s="690"/>
      <c r="AV1182" s="959"/>
      <c r="AW1182" s="959"/>
      <c r="AX1182" s="959"/>
      <c r="AY1182" s="959"/>
      <c r="AZ1182" s="959"/>
      <c r="BA1182" s="959"/>
      <c r="BB1182" s="959"/>
      <c r="BC1182" s="959"/>
      <c r="BD1182" s="959"/>
      <c r="BE1182" s="959"/>
      <c r="BF1182" s="959"/>
      <c r="BG1182" s="959"/>
      <c r="BH1182" s="1126"/>
      <c r="DI1182" s="740"/>
    </row>
    <row r="1183" spans="1:113">
      <c r="A1183" s="2171" t="s">
        <v>1372</v>
      </c>
      <c r="B1183" s="816" t="s">
        <v>533</v>
      </c>
      <c r="C1183" s="998" t="s">
        <v>12</v>
      </c>
      <c r="D1183" s="741" t="s">
        <v>1202</v>
      </c>
      <c r="E1183" s="610">
        <v>71</v>
      </c>
      <c r="F1183" s="534">
        <v>66</v>
      </c>
      <c r="G1183" s="534">
        <v>13.18</v>
      </c>
      <c r="H1183" s="300">
        <v>24.1</v>
      </c>
      <c r="I1183" s="301">
        <v>14.28</v>
      </c>
      <c r="J1183" s="839" t="s">
        <v>12</v>
      </c>
      <c r="K1183" s="663" t="s">
        <v>1321</v>
      </c>
      <c r="L1183" s="268" t="s">
        <v>15</v>
      </c>
      <c r="M1183" s="132" t="s">
        <v>15</v>
      </c>
      <c r="N1183" s="1190">
        <v>0.59</v>
      </c>
      <c r="O1183" s="442">
        <v>4.55</v>
      </c>
      <c r="P1183" s="442">
        <v>0.13</v>
      </c>
      <c r="Q1183" s="743" t="s">
        <v>15</v>
      </c>
      <c r="R1183" s="258">
        <f>N1183</f>
        <v>0.59</v>
      </c>
      <c r="S1183" s="124" t="s">
        <v>68</v>
      </c>
      <c r="T1183" s="125" t="s">
        <v>69</v>
      </c>
      <c r="V1183" s="2394" t="s">
        <v>2698</v>
      </c>
      <c r="W1183" s="616" t="s">
        <v>47</v>
      </c>
      <c r="X1183" s="616" t="s">
        <v>1391</v>
      </c>
      <c r="Y1183" s="305">
        <f>(T1190+R1187+R1183*59+R1186*95+R1184*85+R1185*36000)*(1+T1192)</f>
        <v>11.388204225352098</v>
      </c>
      <c r="Z1183" s="610" t="s">
        <v>40</v>
      </c>
      <c r="AA1183" s="611" t="s">
        <v>40</v>
      </c>
      <c r="AC1183" s="26"/>
      <c r="AD1183" s="2140" t="s">
        <v>142</v>
      </c>
      <c r="AE1183" s="2141"/>
      <c r="AF1183" s="1" t="s">
        <v>1188</v>
      </c>
      <c r="AG1183" s="616" t="s">
        <v>1205</v>
      </c>
      <c r="AH1183" s="746">
        <f>12.2*1.25</f>
        <v>15.25</v>
      </c>
      <c r="AI1183" s="979">
        <v>11.49</v>
      </c>
      <c r="AJ1183" s="979">
        <v>15.74</v>
      </c>
      <c r="AK1183" s="979">
        <v>12.9</v>
      </c>
      <c r="AL1183" s="979"/>
      <c r="AM1183" s="979"/>
      <c r="AN1183" s="979"/>
      <c r="AO1183" s="163"/>
      <c r="AP1183" s="163"/>
      <c r="AQ1183" s="163"/>
      <c r="AR1183" s="163"/>
      <c r="AS1183" s="163"/>
      <c r="AT1183" s="163"/>
      <c r="AU1183" s="163"/>
      <c r="AV1183" s="957"/>
      <c r="AW1183" s="957"/>
      <c r="AX1183" s="957"/>
      <c r="AY1183" s="957"/>
      <c r="AZ1183" s="957"/>
      <c r="BA1183" s="957"/>
      <c r="BB1183" s="957"/>
      <c r="BC1183" s="957"/>
      <c r="BD1183" s="957"/>
      <c r="BE1183" s="957"/>
      <c r="BF1183" s="957"/>
      <c r="BG1183" s="957"/>
    </row>
    <row r="1184" spans="1:113">
      <c r="A1184" s="2391"/>
      <c r="B1184" s="817" t="s">
        <v>1034</v>
      </c>
      <c r="C1184" s="154" t="s">
        <v>12</v>
      </c>
      <c r="D1184" s="292" t="s">
        <v>1196</v>
      </c>
      <c r="E1184" s="95">
        <v>71</v>
      </c>
      <c r="F1184" s="452">
        <v>83.14</v>
      </c>
      <c r="G1184" s="452">
        <v>3.19</v>
      </c>
      <c r="H1184" s="165">
        <v>24.1</v>
      </c>
      <c r="I1184" s="166">
        <v>14.28</v>
      </c>
      <c r="J1184" s="234" t="s">
        <v>15</v>
      </c>
      <c r="K1184" s="132" t="s">
        <v>15</v>
      </c>
      <c r="L1184" s="234" t="s">
        <v>15</v>
      </c>
      <c r="M1184" s="233" t="s">
        <v>15</v>
      </c>
      <c r="N1184" s="537">
        <v>-0.3</v>
      </c>
      <c r="O1184" s="789">
        <v>0.83</v>
      </c>
      <c r="P1184" s="789">
        <v>0.36</v>
      </c>
      <c r="Q1184" s="148" t="s">
        <v>15</v>
      </c>
      <c r="R1184" s="128">
        <f>N1184</f>
        <v>-0.3</v>
      </c>
      <c r="S1184" s="221" t="s">
        <v>1187</v>
      </c>
      <c r="T1184" s="794" t="s">
        <v>310</v>
      </c>
      <c r="V1184" s="2143"/>
      <c r="W1184" s="335" t="s">
        <v>49</v>
      </c>
      <c r="X1184" s="616" t="s">
        <v>1390</v>
      </c>
      <c r="Y1184" s="169">
        <f>(T1190+R1187+R1183*55+R1186*103+R1184*85+R1185*36000)*(1+T1192)</f>
        <v>32.038204225352075</v>
      </c>
      <c r="Z1184" s="169">
        <f>Y1184-Y1183</f>
        <v>20.649999999999977</v>
      </c>
      <c r="AA1184" s="166">
        <f>(59-55)*P1183+(103-95)*P1186</f>
        <v>4.68</v>
      </c>
      <c r="AC1184" s="26"/>
      <c r="AD1184" s="20" t="s">
        <v>98</v>
      </c>
      <c r="AE1184" s="931">
        <v>0.22823459872857335</v>
      </c>
      <c r="AF1184" s="336" t="s">
        <v>1189</v>
      </c>
      <c r="AG1184" s="335" t="s">
        <v>1206</v>
      </c>
      <c r="AH1184" s="736">
        <f>27.18*1.25</f>
        <v>33.975000000000001</v>
      </c>
      <c r="AI1184" s="744"/>
      <c r="AJ1184" s="744"/>
      <c r="AK1184" s="744"/>
      <c r="AL1184" s="744">
        <v>26.99</v>
      </c>
      <c r="AM1184" s="744">
        <v>15.86</v>
      </c>
      <c r="AN1184" s="744">
        <v>25.07</v>
      </c>
      <c r="AO1184" s="163"/>
      <c r="AP1184" s="163"/>
      <c r="AQ1184" s="163"/>
      <c r="AR1184" s="163"/>
      <c r="AS1184" s="163"/>
      <c r="AT1184" s="163"/>
      <c r="AU1184" s="163"/>
      <c r="AV1184" s="957"/>
      <c r="AW1184" s="957"/>
      <c r="AX1184" s="957"/>
      <c r="AY1184" s="957"/>
      <c r="AZ1184" s="957"/>
      <c r="BA1184" s="957"/>
      <c r="BB1184" s="957"/>
      <c r="BC1184" s="957"/>
      <c r="BD1184" s="957"/>
      <c r="BE1184" s="957"/>
      <c r="BF1184" s="957"/>
      <c r="BG1184" s="957"/>
    </row>
    <row r="1185" spans="1:113">
      <c r="A1185" s="2391"/>
      <c r="B1185" s="831" t="s">
        <v>1316</v>
      </c>
      <c r="C1185" s="154" t="s">
        <v>12</v>
      </c>
      <c r="D1185" s="292" t="s">
        <v>1203</v>
      </c>
      <c r="E1185" s="95">
        <v>71</v>
      </c>
      <c r="F1185" s="452">
        <v>28423</v>
      </c>
      <c r="G1185" s="452">
        <v>4070</v>
      </c>
      <c r="H1185" s="165">
        <v>24.1</v>
      </c>
      <c r="I1185" s="166">
        <v>14.28</v>
      </c>
      <c r="J1185" s="234" t="s">
        <v>15</v>
      </c>
      <c r="K1185" s="233" t="s">
        <v>15</v>
      </c>
      <c r="L1185" s="234" t="s">
        <v>15</v>
      </c>
      <c r="M1185" s="233" t="s">
        <v>15</v>
      </c>
      <c r="N1185" s="537">
        <v>-2.0000000000000001E-4</v>
      </c>
      <c r="O1185" s="789">
        <v>0.79</v>
      </c>
      <c r="P1185" s="789">
        <v>2.9999999999999997E-4</v>
      </c>
      <c r="Q1185" s="148" t="s">
        <v>15</v>
      </c>
      <c r="R1185" s="745">
        <f>N1185</f>
        <v>-2.0000000000000001E-4</v>
      </c>
      <c r="S1185" s="127" t="s">
        <v>72</v>
      </c>
      <c r="T1185" s="119" t="s">
        <v>119</v>
      </c>
      <c r="V1185" s="24"/>
      <c r="W1185" s="26"/>
      <c r="X1185" s="26"/>
      <c r="Y1185" s="525"/>
      <c r="Z1185" s="525"/>
      <c r="AA1185" s="525"/>
      <c r="AC1185" s="26"/>
      <c r="AD1185" s="20" t="s">
        <v>143</v>
      </c>
      <c r="AE1185" s="931">
        <v>0.18345436892242953</v>
      </c>
      <c r="AF1185" s="75"/>
      <c r="AG1185" s="26"/>
      <c r="AH1185" s="163"/>
      <c r="AI1185" s="163"/>
      <c r="AJ1185" s="163"/>
      <c r="AK1185" s="163"/>
      <c r="AL1185" s="163"/>
      <c r="AM1185" s="163"/>
      <c r="AN1185" s="163"/>
      <c r="AO1185" s="163"/>
      <c r="AP1185" s="163"/>
      <c r="AQ1185" s="163"/>
      <c r="AR1185" s="163"/>
      <c r="AS1185" s="163"/>
      <c r="AT1185" s="163"/>
      <c r="AU1185" s="163"/>
      <c r="AV1185" s="957"/>
      <c r="AW1185" s="957"/>
      <c r="AX1185" s="957"/>
      <c r="AY1185" s="957"/>
      <c r="AZ1185" s="957"/>
      <c r="BA1185" s="957"/>
      <c r="BB1185" s="957"/>
      <c r="BC1185" s="957"/>
      <c r="BD1185" s="957"/>
      <c r="BE1185" s="957"/>
      <c r="BF1185" s="957"/>
      <c r="BG1185" s="957"/>
    </row>
    <row r="1186" spans="1:113">
      <c r="A1186" s="2391"/>
      <c r="B1186" s="831" t="s">
        <v>1319</v>
      </c>
      <c r="C1186" s="154" t="s">
        <v>12</v>
      </c>
      <c r="D1186" s="292" t="s">
        <v>1204</v>
      </c>
      <c r="E1186" s="95">
        <v>71</v>
      </c>
      <c r="F1186" s="95">
        <v>98.65</v>
      </c>
      <c r="G1186" s="95">
        <v>3.78</v>
      </c>
      <c r="H1186" s="165">
        <v>24.1</v>
      </c>
      <c r="I1186" s="166">
        <v>14.28</v>
      </c>
      <c r="J1186" s="234" t="s">
        <v>15</v>
      </c>
      <c r="K1186" s="233" t="s">
        <v>15</v>
      </c>
      <c r="L1186" s="234" t="s">
        <v>15</v>
      </c>
      <c r="M1186" s="233" t="s">
        <v>15</v>
      </c>
      <c r="N1186" s="537">
        <v>2.36</v>
      </c>
      <c r="O1186" s="789">
        <v>4.57</v>
      </c>
      <c r="P1186" s="789">
        <v>0.52</v>
      </c>
      <c r="Q1186" s="148" t="s">
        <v>15</v>
      </c>
      <c r="R1186" s="128">
        <f>N1186</f>
        <v>2.36</v>
      </c>
      <c r="S1186" s="423" t="s">
        <v>139</v>
      </c>
      <c r="T1186" s="411" t="s">
        <v>140</v>
      </c>
      <c r="V1186" s="24"/>
      <c r="W1186" s="26"/>
      <c r="X1186" s="26"/>
      <c r="Y1186" s="525"/>
      <c r="Z1186" s="525"/>
      <c r="AA1186" s="525"/>
      <c r="AC1186" s="26"/>
      <c r="AD1186" s="20" t="s">
        <v>144</v>
      </c>
      <c r="AE1186" s="931">
        <v>-3.2131147540983618E-2</v>
      </c>
      <c r="AF1186" s="75"/>
      <c r="AG1186" s="26"/>
      <c r="AH1186" s="163"/>
      <c r="AI1186" s="938"/>
      <c r="AJ1186" s="938"/>
      <c r="AK1186" s="938"/>
      <c r="AL1186" s="163"/>
      <c r="AM1186" s="163"/>
      <c r="AN1186" s="163"/>
      <c r="AO1186" s="163"/>
      <c r="AP1186" s="163"/>
      <c r="AQ1186" s="163"/>
      <c r="AR1186" s="163"/>
      <c r="AS1186" s="163"/>
      <c r="AT1186" s="163"/>
      <c r="AU1186" s="163"/>
      <c r="AV1186" s="957"/>
      <c r="AW1186" s="957"/>
      <c r="AX1186" s="957"/>
      <c r="AY1186" s="957"/>
      <c r="AZ1186" s="957"/>
      <c r="BA1186" s="957"/>
      <c r="BB1186" s="957"/>
      <c r="BC1186" s="957"/>
      <c r="BD1186" s="957"/>
      <c r="BE1186" s="957"/>
      <c r="BF1186" s="957"/>
      <c r="BG1186" s="957"/>
    </row>
    <row r="1187" spans="1:113">
      <c r="A1187" s="2391"/>
      <c r="B1187" s="2161" t="s">
        <v>1314</v>
      </c>
      <c r="C1187" s="2144" t="s">
        <v>11</v>
      </c>
      <c r="D1187" s="291" t="s">
        <v>490</v>
      </c>
      <c r="E1187" s="95">
        <v>11</v>
      </c>
      <c r="F1187" s="148" t="s">
        <v>15</v>
      </c>
      <c r="G1187" s="148" t="s">
        <v>15</v>
      </c>
      <c r="H1187" s="165">
        <v>50.8</v>
      </c>
      <c r="I1187" s="166">
        <v>11.07</v>
      </c>
      <c r="J1187" s="234" t="s">
        <v>15</v>
      </c>
      <c r="K1187" s="233" t="s">
        <v>15</v>
      </c>
      <c r="L1187" s="234" t="s">
        <v>15</v>
      </c>
      <c r="M1187" s="233" t="s">
        <v>15</v>
      </c>
      <c r="N1187" s="1201">
        <v>34.6</v>
      </c>
      <c r="O1187" s="133">
        <v>12.69</v>
      </c>
      <c r="P1187" s="133">
        <v>2.73</v>
      </c>
      <c r="Q1187" s="128">
        <f>E1187/71</f>
        <v>0.15492957746478872</v>
      </c>
      <c r="R1187" s="2129">
        <f>SUMPRODUCT(Q1187:Q1188,N1187:N1188)</f>
        <v>5.3605633802816897</v>
      </c>
      <c r="S1187" s="127" t="s">
        <v>74</v>
      </c>
      <c r="T1187" s="129" t="s">
        <v>75</v>
      </c>
      <c r="V1187" s="24"/>
      <c r="W1187" s="26"/>
      <c r="X1187" s="26"/>
      <c r="Y1187" s="525"/>
      <c r="Z1187" s="525"/>
      <c r="AA1187" s="525"/>
      <c r="AC1187" s="26"/>
      <c r="AD1187" s="20" t="s">
        <v>145</v>
      </c>
      <c r="AE1187" s="931">
        <v>0.53318616629874915</v>
      </c>
      <c r="AF1187" s="75"/>
      <c r="AG1187" s="26"/>
      <c r="AH1187" s="163"/>
      <c r="AI1187" s="163"/>
      <c r="AJ1187" s="163"/>
      <c r="AK1187" s="163"/>
      <c r="AL1187" s="938"/>
      <c r="AM1187" s="938"/>
      <c r="AN1187" s="938"/>
      <c r="AO1187" s="163"/>
      <c r="AP1187" s="163"/>
      <c r="AQ1187" s="163"/>
      <c r="AR1187" s="163"/>
      <c r="AS1187" s="163"/>
      <c r="AT1187" s="163"/>
      <c r="AU1187" s="163"/>
      <c r="AV1187" s="957"/>
      <c r="AW1187" s="957"/>
      <c r="AX1187" s="957"/>
      <c r="AY1187" s="957"/>
      <c r="AZ1187" s="957"/>
      <c r="BA1187" s="957"/>
      <c r="BB1187" s="957"/>
      <c r="BC1187" s="957"/>
      <c r="BD1187" s="957"/>
      <c r="BE1187" s="957"/>
      <c r="BF1187" s="957"/>
      <c r="BG1187" s="957"/>
    </row>
    <row r="1188" spans="1:113">
      <c r="A1188" s="2391"/>
      <c r="B1188" s="2161"/>
      <c r="C1188" s="2144"/>
      <c r="D1188" s="291" t="s">
        <v>32</v>
      </c>
      <c r="E1188" s="95">
        <v>60</v>
      </c>
      <c r="F1188" s="148" t="s">
        <v>15</v>
      </c>
      <c r="G1188" s="148" t="s">
        <v>15</v>
      </c>
      <c r="H1188" s="165">
        <v>19.2</v>
      </c>
      <c r="I1188" s="166">
        <v>7.98</v>
      </c>
      <c r="J1188" s="234" t="s">
        <v>15</v>
      </c>
      <c r="K1188" s="233" t="s">
        <v>15</v>
      </c>
      <c r="L1188" s="234" t="s">
        <v>15</v>
      </c>
      <c r="M1188" s="233" t="s">
        <v>15</v>
      </c>
      <c r="N1188" s="1194">
        <v>0</v>
      </c>
      <c r="O1188" s="142" t="s">
        <v>574</v>
      </c>
      <c r="P1188" s="142" t="s">
        <v>574</v>
      </c>
      <c r="Q1188" s="128">
        <f>E1188/71</f>
        <v>0.84507042253521125</v>
      </c>
      <c r="R1188" s="2139"/>
      <c r="S1188" s="95">
        <v>71</v>
      </c>
      <c r="T1188" s="411" t="s">
        <v>140</v>
      </c>
      <c r="V1188" s="24"/>
      <c r="W1188" s="26"/>
      <c r="X1188" s="26"/>
      <c r="Y1188" s="525"/>
      <c r="Z1188" s="525"/>
      <c r="AA1188" s="525"/>
      <c r="AC1188" s="26"/>
      <c r="AD1188" s="24"/>
      <c r="AE1188" s="26"/>
      <c r="AF1188" s="75"/>
      <c r="AG1188" s="26"/>
      <c r="AH1188" s="163"/>
      <c r="AI1188" s="163"/>
      <c r="AJ1188" s="163"/>
      <c r="AK1188" s="163"/>
      <c r="AL1188" s="163"/>
      <c r="AM1188" s="163"/>
      <c r="AN1188" s="163"/>
      <c r="AO1188" s="163"/>
      <c r="AP1188" s="163"/>
      <c r="AQ1188" s="163"/>
      <c r="AR1188" s="163"/>
      <c r="AS1188" s="163"/>
      <c r="AT1188" s="163"/>
      <c r="AU1188" s="163"/>
      <c r="AV1188" s="957"/>
      <c r="AW1188" s="957"/>
      <c r="AX1188" s="957"/>
      <c r="AY1188" s="957"/>
      <c r="AZ1188" s="957"/>
      <c r="BA1188" s="957"/>
      <c r="BB1188" s="957"/>
      <c r="BC1188" s="957"/>
      <c r="BD1188" s="957"/>
      <c r="BE1188" s="957"/>
      <c r="BF1188" s="957"/>
      <c r="BG1188" s="957"/>
    </row>
    <row r="1189" spans="1:113">
      <c r="A1189" s="2391"/>
      <c r="B1189" s="2116" t="s">
        <v>194</v>
      </c>
      <c r="C1189" s="41"/>
      <c r="D1189" s="26"/>
      <c r="E1189" s="26"/>
      <c r="F1189" s="41"/>
      <c r="G1189" s="41"/>
      <c r="H1189" s="26"/>
      <c r="I1189" s="26"/>
      <c r="J1189" s="75"/>
      <c r="K1189" s="26"/>
      <c r="L1189" s="75"/>
      <c r="M1189" s="26"/>
      <c r="N1189" s="1205"/>
      <c r="O1189" s="467"/>
      <c r="P1189" s="467"/>
      <c r="Q1189" s="252"/>
      <c r="R1189" s="252"/>
      <c r="S1189" s="127" t="s">
        <v>41</v>
      </c>
      <c r="T1189" s="129" t="s">
        <v>42</v>
      </c>
      <c r="V1189" s="24"/>
      <c r="W1189" s="26"/>
      <c r="X1189" s="26"/>
      <c r="Y1189" s="525"/>
      <c r="Z1189" s="525"/>
      <c r="AA1189" s="525"/>
      <c r="AC1189" s="26"/>
      <c r="AD1189" s="24"/>
      <c r="AE1189" s="26"/>
      <c r="AF1189" s="75"/>
      <c r="AG1189" s="26"/>
      <c r="AH1189" s="163"/>
      <c r="AI1189" s="163"/>
      <c r="AJ1189" s="163"/>
      <c r="AK1189" s="163"/>
      <c r="AL1189" s="163"/>
      <c r="AM1189" s="163"/>
      <c r="AN1189" s="163"/>
      <c r="AO1189" s="163"/>
      <c r="AP1189" s="163"/>
      <c r="AQ1189" s="163"/>
      <c r="AR1189" s="163"/>
      <c r="AS1189" s="163"/>
      <c r="AT1189" s="163"/>
      <c r="AU1189" s="163"/>
      <c r="AV1189" s="957"/>
      <c r="AW1189" s="957"/>
      <c r="AX1189" s="957"/>
      <c r="AY1189" s="957"/>
      <c r="AZ1189" s="957"/>
      <c r="BA1189" s="957"/>
      <c r="BB1189" s="957"/>
      <c r="BC1189" s="957"/>
      <c r="BD1189" s="957"/>
      <c r="BE1189" s="957"/>
      <c r="BF1189" s="957"/>
      <c r="BG1189" s="957"/>
    </row>
    <row r="1190" spans="1:113">
      <c r="A1190" s="2391"/>
      <c r="B1190" s="2117"/>
      <c r="C1190" s="41"/>
      <c r="D1190" s="26"/>
      <c r="E1190" s="26"/>
      <c r="F1190" s="41"/>
      <c r="G1190" s="41"/>
      <c r="H1190" s="26"/>
      <c r="I1190" s="26"/>
      <c r="J1190" s="75"/>
      <c r="K1190" s="26"/>
      <c r="L1190" s="75"/>
      <c r="M1190" s="26"/>
      <c r="N1190" s="1205"/>
      <c r="O1190" s="467"/>
      <c r="P1190" s="467"/>
      <c r="Q1190" s="252"/>
      <c r="R1190" s="252"/>
      <c r="S1190" s="86">
        <v>0.76200000000000001</v>
      </c>
      <c r="T1190" s="302">
        <v>-222.56</v>
      </c>
      <c r="V1190" s="24"/>
      <c r="W1190" s="26"/>
      <c r="X1190" s="26"/>
      <c r="Y1190" s="525"/>
      <c r="Z1190" s="525"/>
      <c r="AA1190" s="525"/>
      <c r="AC1190" s="26"/>
      <c r="AD1190" s="24"/>
      <c r="AE1190" s="26"/>
      <c r="AF1190" s="75"/>
      <c r="AG1190" s="26"/>
      <c r="AH1190" s="163"/>
      <c r="AI1190" s="163"/>
      <c r="AJ1190" s="163"/>
      <c r="AK1190" s="163"/>
      <c r="AL1190" s="163"/>
      <c r="AM1190" s="163"/>
      <c r="AN1190" s="163"/>
      <c r="AO1190" s="163"/>
      <c r="AP1190" s="163"/>
      <c r="AQ1190" s="163"/>
      <c r="AR1190" s="163"/>
      <c r="AS1190" s="163"/>
      <c r="AT1190" s="163"/>
      <c r="AU1190" s="163"/>
      <c r="AV1190" s="957"/>
      <c r="AW1190" s="957"/>
      <c r="AX1190" s="957"/>
      <c r="AY1190" s="957"/>
      <c r="AZ1190" s="957"/>
      <c r="BA1190" s="957"/>
      <c r="BB1190" s="957"/>
      <c r="BC1190" s="957"/>
      <c r="BD1190" s="957"/>
      <c r="BE1190" s="957"/>
      <c r="BF1190" s="957"/>
      <c r="BG1190" s="957"/>
    </row>
    <row r="1191" spans="1:113">
      <c r="A1191" s="2391"/>
      <c r="B1191" s="2117"/>
      <c r="C1191" s="41"/>
      <c r="D1191" s="26"/>
      <c r="E1191" s="26"/>
      <c r="F1191" s="41"/>
      <c r="G1191" s="41"/>
      <c r="H1191" s="26"/>
      <c r="I1191" s="26"/>
      <c r="J1191" s="75"/>
      <c r="K1191" s="26"/>
      <c r="L1191" s="75"/>
      <c r="M1191" s="26"/>
      <c r="N1191" s="1205"/>
      <c r="O1191" s="467"/>
      <c r="P1191" s="467"/>
      <c r="Q1191" s="252"/>
      <c r="R1191" s="252"/>
      <c r="S1191" s="118" t="s">
        <v>235</v>
      </c>
      <c r="T1191" s="119" t="s">
        <v>391</v>
      </c>
      <c r="V1191" s="24"/>
      <c r="W1191" s="26"/>
      <c r="X1191" s="26"/>
      <c r="Y1191" s="525"/>
      <c r="Z1191" s="525"/>
      <c r="AA1191" s="525"/>
      <c r="AC1191" s="26"/>
      <c r="AD1191" s="24"/>
      <c r="AE1191" s="26"/>
      <c r="AF1191" s="75"/>
      <c r="AG1191" s="26"/>
      <c r="AH1191" s="163"/>
      <c r="AI1191" s="163"/>
      <c r="AJ1191" s="163"/>
      <c r="AK1191" s="163"/>
      <c r="AL1191" s="163"/>
      <c r="AM1191" s="163"/>
      <c r="AN1191" s="163"/>
      <c r="AO1191" s="163"/>
      <c r="AP1191" s="163"/>
      <c r="AQ1191" s="163"/>
      <c r="AR1191" s="163"/>
      <c r="AS1191" s="163"/>
      <c r="AT1191" s="163"/>
      <c r="AU1191" s="163"/>
      <c r="AV1191" s="957"/>
      <c r="AW1191" s="957"/>
      <c r="AX1191" s="957"/>
      <c r="AY1191" s="957"/>
      <c r="AZ1191" s="957"/>
      <c r="BA1191" s="957"/>
      <c r="BB1191" s="957"/>
      <c r="BC1191" s="957"/>
      <c r="BD1191" s="957"/>
      <c r="BE1191" s="957"/>
      <c r="BF1191" s="957"/>
      <c r="BG1191" s="957"/>
    </row>
    <row r="1192" spans="1:113" ht="15.75" thickBot="1">
      <c r="A1192" s="2395"/>
      <c r="B1192" s="2118"/>
      <c r="C1192" s="41"/>
      <c r="D1192" s="26"/>
      <c r="E1192" s="26"/>
      <c r="F1192" s="41"/>
      <c r="G1192" s="41"/>
      <c r="H1192" s="26"/>
      <c r="I1192" s="26"/>
      <c r="J1192" s="75"/>
      <c r="K1192" s="26"/>
      <c r="L1192" s="75"/>
      <c r="M1192" s="26"/>
      <c r="N1192" s="1205"/>
      <c r="O1192" s="467"/>
      <c r="P1192" s="467"/>
      <c r="Q1192" s="252"/>
      <c r="R1192" s="252"/>
      <c r="S1192" s="742">
        <v>4.57</v>
      </c>
      <c r="T1192" s="365">
        <v>0.25</v>
      </c>
      <c r="U1192" s="885"/>
      <c r="V1192" s="24"/>
      <c r="W1192" s="26"/>
      <c r="X1192" s="26"/>
      <c r="Y1192" s="525"/>
      <c r="Z1192" s="525"/>
      <c r="AA1192" s="525"/>
      <c r="AB1192" s="852"/>
      <c r="AC1192" s="26"/>
      <c r="AD1192" s="24"/>
      <c r="AE1192" s="26"/>
      <c r="AF1192" s="75"/>
      <c r="AG1192" s="26"/>
      <c r="AH1192" s="163"/>
      <c r="AI1192" s="163"/>
      <c r="AJ1192" s="163"/>
      <c r="AK1192" s="163"/>
      <c r="AL1192" s="163"/>
      <c r="AM1192" s="163"/>
      <c r="AN1192" s="163"/>
      <c r="AO1192" s="163"/>
      <c r="AP1192" s="163"/>
      <c r="AQ1192" s="163"/>
      <c r="AR1192" s="163"/>
      <c r="AS1192" s="163"/>
      <c r="AT1192" s="163"/>
      <c r="AU1192" s="163"/>
      <c r="AV1192" s="957"/>
      <c r="AW1192" s="957"/>
      <c r="AX1192" s="957"/>
      <c r="AY1192" s="957"/>
      <c r="AZ1192" s="957"/>
      <c r="BA1192" s="957"/>
      <c r="BB1192" s="957"/>
      <c r="BC1192" s="957"/>
      <c r="BD1192" s="957"/>
      <c r="BE1192" s="957"/>
      <c r="BF1192" s="957"/>
      <c r="BG1192" s="957"/>
    </row>
    <row r="1193" spans="1:113" s="692" customFormat="1" ht="9" customHeight="1" thickBot="1">
      <c r="A1193" s="716"/>
      <c r="B1193" s="818"/>
      <c r="C1193" s="712"/>
      <c r="D1193" s="699"/>
      <c r="E1193" s="733"/>
      <c r="F1193" s="733"/>
      <c r="G1193" s="733"/>
      <c r="H1193" s="734"/>
      <c r="I1193" s="734"/>
      <c r="J1193" s="682"/>
      <c r="K1193" s="683"/>
      <c r="L1193" s="682"/>
      <c r="M1193" s="685"/>
      <c r="N1193" s="1214"/>
      <c r="O1193" s="713"/>
      <c r="P1193" s="713"/>
      <c r="Q1193" s="714"/>
      <c r="R1193" s="714"/>
      <c r="S1193" s="704"/>
      <c r="T1193" s="704"/>
      <c r="U1193" s="854"/>
      <c r="V1193" s="893"/>
      <c r="W1193" s="700"/>
      <c r="X1193" s="700"/>
      <c r="Y1193" s="735"/>
      <c r="Z1193" s="735"/>
      <c r="AA1193" s="710"/>
      <c r="AB1193" s="921"/>
      <c r="AC1193" s="690"/>
      <c r="AD1193" s="690"/>
      <c r="AE1193" s="690"/>
      <c r="AF1193" s="737"/>
      <c r="AG1193" s="706"/>
      <c r="AH1193" s="706"/>
      <c r="AI1193" s="706"/>
      <c r="AJ1193" s="706"/>
      <c r="AK1193" s="706"/>
      <c r="AL1193" s="706"/>
      <c r="AM1193" s="706"/>
      <c r="AN1193" s="706"/>
      <c r="AO1193" s="706"/>
      <c r="AP1193" s="706"/>
      <c r="AQ1193" s="690"/>
      <c r="AR1193" s="690"/>
      <c r="AS1193" s="690"/>
      <c r="AT1193" s="690"/>
      <c r="AU1193" s="690"/>
      <c r="AV1193" s="959"/>
      <c r="AW1193" s="959"/>
      <c r="AX1193" s="959"/>
      <c r="AY1193" s="959"/>
      <c r="AZ1193" s="959"/>
      <c r="BA1193" s="959"/>
      <c r="BB1193" s="959"/>
      <c r="BC1193" s="959"/>
      <c r="BD1193" s="959"/>
      <c r="BE1193" s="959"/>
      <c r="BF1193" s="959"/>
      <c r="BG1193" s="959"/>
      <c r="BH1193" s="1125"/>
      <c r="DI1193" s="693"/>
    </row>
    <row r="1194" spans="1:113">
      <c r="A1194" s="2171" t="s">
        <v>1371</v>
      </c>
      <c r="B1194" s="816" t="s">
        <v>533</v>
      </c>
      <c r="C1194" s="998" t="s">
        <v>12</v>
      </c>
      <c r="D1194" s="232" t="s">
        <v>1207</v>
      </c>
      <c r="E1194" s="534">
        <v>203</v>
      </c>
      <c r="F1194" s="534">
        <v>34.380000000000003</v>
      </c>
      <c r="G1194" s="534">
        <v>13.86</v>
      </c>
      <c r="H1194" s="300">
        <v>8.69</v>
      </c>
      <c r="I1194" s="301">
        <v>4.17</v>
      </c>
      <c r="J1194" s="839" t="s">
        <v>12</v>
      </c>
      <c r="K1194" s="1083" t="s">
        <v>1322</v>
      </c>
      <c r="L1194" s="839" t="s">
        <v>12</v>
      </c>
      <c r="M1194" s="1083" t="s">
        <v>1322</v>
      </c>
      <c r="N1194" s="1190">
        <v>1.2999999999999999E-2</v>
      </c>
      <c r="O1194" s="442">
        <v>0.96</v>
      </c>
      <c r="P1194" s="442">
        <v>1.2999999999999999E-2</v>
      </c>
      <c r="Q1194" s="743" t="s">
        <v>15</v>
      </c>
      <c r="R1194" s="258">
        <f>N1194</f>
        <v>1.2999999999999999E-2</v>
      </c>
      <c r="S1194" s="124" t="s">
        <v>68</v>
      </c>
      <c r="T1194" s="125" t="s">
        <v>69</v>
      </c>
      <c r="V1194" s="2162" t="s">
        <v>2698</v>
      </c>
      <c r="W1194" s="616" t="s">
        <v>47</v>
      </c>
      <c r="X1194" s="335" t="s">
        <v>1383</v>
      </c>
      <c r="Y1194" s="305">
        <f>Y1161</f>
        <v>6.1008680175246468</v>
      </c>
      <c r="Z1194" s="95" t="s">
        <v>40</v>
      </c>
      <c r="AA1194" s="117" t="s">
        <v>40</v>
      </c>
      <c r="AC1194" s="26"/>
      <c r="AD1194" s="2140" t="s">
        <v>142</v>
      </c>
      <c r="AE1194" s="2142"/>
      <c r="AF1194" s="1" t="s">
        <v>1188</v>
      </c>
      <c r="AG1194" s="616" t="s">
        <v>1210</v>
      </c>
      <c r="AH1194" s="746">
        <f>10.58*1.25</f>
        <v>13.225</v>
      </c>
      <c r="AI1194" s="979">
        <v>15.74</v>
      </c>
      <c r="AJ1194" s="979"/>
      <c r="AK1194" s="979">
        <v>13.99</v>
      </c>
      <c r="AL1194" s="979"/>
      <c r="AM1194" s="979">
        <v>15.99</v>
      </c>
      <c r="AN1194" s="979"/>
      <c r="AO1194" s="979"/>
      <c r="AP1194" s="979">
        <v>15.7</v>
      </c>
      <c r="AQ1194" s="979"/>
      <c r="AR1194" s="979"/>
      <c r="AS1194" s="979"/>
      <c r="AT1194" s="979"/>
      <c r="AU1194" s="979"/>
      <c r="AV1194" s="957"/>
      <c r="AW1194" s="957"/>
      <c r="AX1194" s="957"/>
      <c r="AY1194" s="957"/>
      <c r="AZ1194" s="957"/>
      <c r="BA1194" s="957"/>
      <c r="BB1194" s="957"/>
      <c r="BC1194" s="957"/>
      <c r="BD1194" s="957"/>
      <c r="BE1194" s="957"/>
      <c r="BF1194" s="957"/>
      <c r="BG1194" s="957"/>
    </row>
    <row r="1195" spans="1:113">
      <c r="A1195" s="2391"/>
      <c r="B1195" s="817" t="s">
        <v>1034</v>
      </c>
      <c r="C1195" s="154" t="s">
        <v>12</v>
      </c>
      <c r="D1195" s="291" t="s">
        <v>1208</v>
      </c>
      <c r="E1195" s="452">
        <v>203</v>
      </c>
      <c r="F1195" s="452">
        <v>84.14</v>
      </c>
      <c r="G1195" s="452">
        <v>1.36</v>
      </c>
      <c r="H1195" s="165">
        <v>8.69</v>
      </c>
      <c r="I1195" s="166">
        <v>4.17</v>
      </c>
      <c r="J1195" s="234" t="s">
        <v>15</v>
      </c>
      <c r="K1195" s="233" t="s">
        <v>15</v>
      </c>
      <c r="L1195" s="234" t="s">
        <v>15</v>
      </c>
      <c r="M1195" s="233" t="s">
        <v>15</v>
      </c>
      <c r="N1195" s="537">
        <v>0.65100000000000002</v>
      </c>
      <c r="O1195" s="789">
        <v>4.34</v>
      </c>
      <c r="P1195" s="789">
        <v>0.14899999999999999</v>
      </c>
      <c r="Q1195" s="148" t="s">
        <v>15</v>
      </c>
      <c r="R1195" s="128">
        <f>N1195</f>
        <v>0.65100000000000002</v>
      </c>
      <c r="S1195" s="221" t="s">
        <v>1187</v>
      </c>
      <c r="T1195" s="794" t="s">
        <v>310</v>
      </c>
      <c r="V1195" s="2164"/>
      <c r="W1195" s="335" t="s">
        <v>49</v>
      </c>
      <c r="X1195" s="616" t="s">
        <v>1392</v>
      </c>
      <c r="Y1195" s="169">
        <f>(T1201+R1194*24+R1196*103+R1195*85+R1197+R1199+R1201)*(1+T1203)</f>
        <v>13.462155172413793</v>
      </c>
      <c r="Z1195" s="169">
        <f>Y1195-Y1194</f>
        <v>7.3612871548891459</v>
      </c>
      <c r="AA1195" s="166">
        <f>(32-28)*P1194+(103-89)*P1196</f>
        <v>0.318</v>
      </c>
      <c r="AC1195" s="26"/>
      <c r="AD1195" s="20" t="s">
        <v>98</v>
      </c>
      <c r="AE1195" s="405">
        <v>6.7000000000000004E-2</v>
      </c>
      <c r="AF1195" s="336" t="s">
        <v>1189</v>
      </c>
      <c r="AG1195" s="335" t="s">
        <v>1211</v>
      </c>
      <c r="AH1195" s="736">
        <f>11.46*1.25</f>
        <v>14.325000000000001</v>
      </c>
      <c r="AI1195" s="744">
        <v>13.88</v>
      </c>
      <c r="AJ1195" s="744"/>
      <c r="AK1195" s="744">
        <v>12.99</v>
      </c>
      <c r="AL1195" s="744"/>
      <c r="AM1195" s="744"/>
      <c r="AN1195" s="744">
        <v>10.55</v>
      </c>
      <c r="AO1195" s="744"/>
      <c r="AP1195" s="744">
        <v>13.84</v>
      </c>
      <c r="AQ1195" s="744"/>
      <c r="AR1195" s="744"/>
      <c r="AS1195" s="744"/>
      <c r="AT1195" s="744"/>
      <c r="AU1195" s="744"/>
      <c r="AV1195" s="957"/>
      <c r="AW1195" s="957"/>
      <c r="AX1195" s="957"/>
      <c r="AY1195" s="957"/>
      <c r="AZ1195" s="957"/>
      <c r="BA1195" s="957"/>
      <c r="BB1195" s="957"/>
      <c r="BC1195" s="957"/>
      <c r="BD1195" s="957"/>
      <c r="BE1195" s="957"/>
      <c r="BF1195" s="957"/>
      <c r="BG1195" s="957"/>
    </row>
    <row r="1196" spans="1:113">
      <c r="A1196" s="2391"/>
      <c r="B1196" s="831" t="s">
        <v>1319</v>
      </c>
      <c r="C1196" s="154" t="s">
        <v>12</v>
      </c>
      <c r="D1196" s="291" t="s">
        <v>1209</v>
      </c>
      <c r="E1196" s="452">
        <v>203</v>
      </c>
      <c r="F1196" s="452">
        <v>94.52</v>
      </c>
      <c r="G1196" s="452">
        <v>9.61</v>
      </c>
      <c r="H1196" s="165">
        <v>8.69</v>
      </c>
      <c r="I1196" s="166">
        <v>4.17</v>
      </c>
      <c r="J1196" s="234" t="s">
        <v>15</v>
      </c>
      <c r="K1196" s="233" t="s">
        <v>15</v>
      </c>
      <c r="L1196" s="234" t="s">
        <v>15</v>
      </c>
      <c r="M1196" s="233" t="s">
        <v>15</v>
      </c>
      <c r="N1196" s="537">
        <v>6.7000000000000004E-2</v>
      </c>
      <c r="O1196" s="789">
        <v>3.58</v>
      </c>
      <c r="P1196" s="789">
        <v>1.9E-2</v>
      </c>
      <c r="Q1196" s="148" t="s">
        <v>15</v>
      </c>
      <c r="R1196" s="128">
        <f>N1196</f>
        <v>6.7000000000000004E-2</v>
      </c>
      <c r="S1196" s="127" t="s">
        <v>72</v>
      </c>
      <c r="T1196" s="119" t="s">
        <v>119</v>
      </c>
      <c r="V1196" s="24"/>
      <c r="W1196" s="26"/>
      <c r="X1196" s="26"/>
      <c r="Y1196" s="525"/>
      <c r="Z1196" s="525"/>
      <c r="AA1196" s="525"/>
      <c r="AC1196" s="26"/>
      <c r="AD1196" s="20" t="s">
        <v>143</v>
      </c>
      <c r="AE1196" s="405">
        <v>0.16500000000000001</v>
      </c>
      <c r="AF1196" s="336" t="s">
        <v>1188</v>
      </c>
      <c r="AG1196" s="335" t="s">
        <v>1212</v>
      </c>
      <c r="AH1196" s="736">
        <f>5.02*1.25</f>
        <v>6.2749999999999995</v>
      </c>
      <c r="AI1196" s="744"/>
      <c r="AJ1196" s="744">
        <v>8.25</v>
      </c>
      <c r="AK1196" s="744"/>
      <c r="AL1196" s="744">
        <v>6.95</v>
      </c>
      <c r="AM1196" s="744"/>
      <c r="AN1196" s="744"/>
      <c r="AO1196" s="744">
        <v>5.4</v>
      </c>
      <c r="AP1196" s="744"/>
      <c r="AQ1196" s="744">
        <v>7.5</v>
      </c>
      <c r="AR1196" s="744"/>
      <c r="AS1196" s="744"/>
      <c r="AT1196" s="744"/>
      <c r="AU1196" s="744"/>
      <c r="AV1196" s="957"/>
      <c r="AW1196" s="957"/>
      <c r="AX1196" s="957"/>
      <c r="AY1196" s="957"/>
      <c r="AZ1196" s="957"/>
      <c r="BA1196" s="957"/>
      <c r="BB1196" s="957"/>
      <c r="BC1196" s="957"/>
      <c r="BD1196" s="957"/>
      <c r="BE1196" s="957"/>
      <c r="BF1196" s="957"/>
      <c r="BG1196" s="957"/>
    </row>
    <row r="1197" spans="1:113">
      <c r="A1197" s="2391"/>
      <c r="B1197" s="2161" t="s">
        <v>1315</v>
      </c>
      <c r="C1197" s="2144" t="s">
        <v>11</v>
      </c>
      <c r="D1197" s="291" t="s">
        <v>490</v>
      </c>
      <c r="E1197" s="95">
        <v>110</v>
      </c>
      <c r="F1197" s="148" t="s">
        <v>15</v>
      </c>
      <c r="G1197" s="148" t="s">
        <v>15</v>
      </c>
      <c r="H1197" s="165">
        <v>10.98</v>
      </c>
      <c r="I1197" s="166">
        <v>3.85</v>
      </c>
      <c r="J1197" s="234" t="s">
        <v>15</v>
      </c>
      <c r="K1197" s="233" t="s">
        <v>15</v>
      </c>
      <c r="L1197" s="234" t="s">
        <v>15</v>
      </c>
      <c r="M1197" s="233" t="s">
        <v>15</v>
      </c>
      <c r="N1197" s="1201">
        <v>3.6</v>
      </c>
      <c r="O1197" s="133">
        <v>7.42</v>
      </c>
      <c r="P1197" s="133">
        <v>0.48499999999999999</v>
      </c>
      <c r="Q1197" s="128">
        <f t="shared" ref="Q1197:Q1204" si="61">E1197/203</f>
        <v>0.54187192118226601</v>
      </c>
      <c r="R1197" s="2129">
        <f>SUMPRODUCT(Q1197:Q1198,N1197:N1198)</f>
        <v>1.9507389162561577</v>
      </c>
      <c r="S1197" s="423" t="s">
        <v>139</v>
      </c>
      <c r="T1197" s="411" t="s">
        <v>140</v>
      </c>
      <c r="V1197" s="24"/>
      <c r="W1197" s="26"/>
      <c r="X1197" s="26"/>
      <c r="Y1197" s="525"/>
      <c r="Z1197" s="525"/>
      <c r="AA1197" s="525"/>
      <c r="AC1197" s="26"/>
      <c r="AD1197" s="20" t="s">
        <v>144</v>
      </c>
      <c r="AE1197" s="405">
        <v>-0.13800000000000001</v>
      </c>
      <c r="AF1197" s="336" t="s">
        <v>1189</v>
      </c>
      <c r="AG1197" s="335" t="s">
        <v>1213</v>
      </c>
      <c r="AH1197" s="52">
        <f>5.76*1.25</f>
        <v>7.1999999999999993</v>
      </c>
      <c r="AI1197" s="744"/>
      <c r="AJ1197" s="744">
        <v>7.81</v>
      </c>
      <c r="AK1197" s="744"/>
      <c r="AL1197" s="744">
        <v>4.88</v>
      </c>
      <c r="AM1197" s="744"/>
      <c r="AN1197" s="744"/>
      <c r="AO1197" s="744">
        <v>4.74</v>
      </c>
      <c r="AP1197" s="744"/>
      <c r="AQ1197" s="744">
        <v>7.1</v>
      </c>
      <c r="AR1197" s="744"/>
      <c r="AS1197" s="744"/>
      <c r="AT1197" s="744"/>
      <c r="AU1197" s="744"/>
      <c r="AV1197" s="957"/>
      <c r="AW1197" s="957"/>
      <c r="AX1197" s="957"/>
      <c r="AY1197" s="957"/>
      <c r="AZ1197" s="957"/>
      <c r="BA1197" s="957"/>
      <c r="BB1197" s="957"/>
      <c r="BC1197" s="957"/>
      <c r="BD1197" s="957"/>
      <c r="BE1197" s="957"/>
      <c r="BF1197" s="957"/>
      <c r="BG1197" s="957"/>
    </row>
    <row r="1198" spans="1:113">
      <c r="A1198" s="2391"/>
      <c r="B1198" s="2161"/>
      <c r="C1198" s="2144"/>
      <c r="D1198" s="291" t="s">
        <v>32</v>
      </c>
      <c r="E1198" s="95">
        <v>93</v>
      </c>
      <c r="F1198" s="148" t="s">
        <v>15</v>
      </c>
      <c r="G1198" s="148" t="s">
        <v>15</v>
      </c>
      <c r="H1198" s="165">
        <v>5.99</v>
      </c>
      <c r="I1198" s="166">
        <v>2.65</v>
      </c>
      <c r="J1198" s="234" t="s">
        <v>15</v>
      </c>
      <c r="K1198" s="233" t="s">
        <v>15</v>
      </c>
      <c r="L1198" s="234" t="s">
        <v>15</v>
      </c>
      <c r="M1198" s="233" t="s">
        <v>15</v>
      </c>
      <c r="N1198" s="1194">
        <v>0</v>
      </c>
      <c r="O1198" s="142" t="s">
        <v>574</v>
      </c>
      <c r="P1198" s="142" t="s">
        <v>574</v>
      </c>
      <c r="Q1198" s="128">
        <f t="shared" si="61"/>
        <v>0.45812807881773399</v>
      </c>
      <c r="R1198" s="2139"/>
      <c r="S1198" s="127" t="s">
        <v>74</v>
      </c>
      <c r="T1198" s="129" t="s">
        <v>75</v>
      </c>
      <c r="V1198" s="24"/>
      <c r="W1198" s="26"/>
      <c r="X1198" s="26"/>
      <c r="Y1198" s="525"/>
      <c r="Z1198" s="525"/>
      <c r="AA1198" s="525"/>
      <c r="AC1198" s="26"/>
      <c r="AD1198" s="20" t="s">
        <v>145</v>
      </c>
      <c r="AE1198" s="405">
        <v>0.33100000000000002</v>
      </c>
      <c r="AF1198" s="336" t="s">
        <v>1188</v>
      </c>
      <c r="AG1198" s="335" t="s">
        <v>1214</v>
      </c>
      <c r="AH1198" s="52">
        <f>11.38*1.25</f>
        <v>14.225000000000001</v>
      </c>
      <c r="AI1198" s="744">
        <v>15.74</v>
      </c>
      <c r="AJ1198" s="744"/>
      <c r="AK1198" s="744">
        <v>13.99</v>
      </c>
      <c r="AL1198" s="744"/>
      <c r="AM1198" s="744">
        <v>15.99</v>
      </c>
      <c r="AN1198" s="744"/>
      <c r="AO1198" s="744"/>
      <c r="AP1198" s="744">
        <v>15.7</v>
      </c>
      <c r="AQ1198" s="744"/>
      <c r="AR1198" s="744"/>
      <c r="AS1198" s="744"/>
      <c r="AT1198" s="744"/>
      <c r="AU1198" s="744"/>
      <c r="AV1198" s="957"/>
      <c r="AW1198" s="957"/>
      <c r="AX1198" s="957"/>
      <c r="AY1198" s="957"/>
      <c r="AZ1198" s="957"/>
      <c r="BA1198" s="957"/>
      <c r="BB1198" s="957"/>
      <c r="BC1198" s="957"/>
      <c r="BD1198" s="957"/>
      <c r="BE1198" s="957"/>
      <c r="BF1198" s="957"/>
      <c r="BG1198" s="957"/>
    </row>
    <row r="1199" spans="1:113">
      <c r="A1199" s="2391"/>
      <c r="B1199" s="2222" t="s">
        <v>1314</v>
      </c>
      <c r="C1199" s="2144" t="s">
        <v>11</v>
      </c>
      <c r="D1199" s="291" t="s">
        <v>490</v>
      </c>
      <c r="E1199" s="95">
        <v>2</v>
      </c>
      <c r="F1199" s="148" t="s">
        <v>15</v>
      </c>
      <c r="G1199" s="148" t="s">
        <v>15</v>
      </c>
      <c r="H1199" s="165">
        <v>31.19</v>
      </c>
      <c r="I1199" s="166">
        <v>1.08</v>
      </c>
      <c r="J1199" s="234" t="s">
        <v>15</v>
      </c>
      <c r="K1199" s="233" t="s">
        <v>15</v>
      </c>
      <c r="L1199" s="234" t="s">
        <v>15</v>
      </c>
      <c r="M1199" s="233" t="s">
        <v>15</v>
      </c>
      <c r="N1199" s="1201">
        <v>19.12</v>
      </c>
      <c r="O1199" s="133">
        <v>11.75</v>
      </c>
      <c r="P1199" s="133">
        <v>1.63</v>
      </c>
      <c r="Q1199" s="128">
        <f t="shared" si="61"/>
        <v>9.852216748768473E-3</v>
      </c>
      <c r="R1199" s="2129">
        <f>SUMPRODUCT(Q1199:Q1200,N1199:N1200)</f>
        <v>0.18837438423645322</v>
      </c>
      <c r="S1199" s="95">
        <v>203</v>
      </c>
      <c r="T1199" s="117" t="s">
        <v>15</v>
      </c>
      <c r="V1199" s="24"/>
      <c r="W1199" s="26"/>
      <c r="X1199" s="26"/>
      <c r="Y1199" s="525"/>
      <c r="Z1199" s="525"/>
      <c r="AA1199" s="525"/>
      <c r="AC1199" s="26"/>
      <c r="AD1199" s="24"/>
      <c r="AE1199" s="26"/>
      <c r="AF1199" s="336" t="s">
        <v>1189</v>
      </c>
      <c r="AG1199" s="335" t="s">
        <v>1215</v>
      </c>
      <c r="AH1199" s="52">
        <f>11.99*1.25</f>
        <v>14.987500000000001</v>
      </c>
      <c r="AI1199" s="744"/>
      <c r="AJ1199" s="744"/>
      <c r="AK1199" s="744"/>
      <c r="AL1199" s="744"/>
      <c r="AM1199" s="744"/>
      <c r="AN1199" s="744"/>
      <c r="AO1199" s="744"/>
      <c r="AP1199" s="744"/>
      <c r="AQ1199" s="744"/>
      <c r="AR1199" s="744"/>
      <c r="AS1199" s="744">
        <v>10.75</v>
      </c>
      <c r="AT1199" s="744"/>
      <c r="AU1199" s="744">
        <v>14.53</v>
      </c>
      <c r="AV1199" s="957"/>
      <c r="AW1199" s="957"/>
      <c r="AX1199" s="957"/>
      <c r="AY1199" s="957"/>
      <c r="AZ1199" s="957"/>
      <c r="BA1199" s="957"/>
      <c r="BB1199" s="957"/>
      <c r="BC1199" s="957"/>
      <c r="BD1199" s="957"/>
      <c r="BE1199" s="957"/>
      <c r="BF1199" s="957"/>
      <c r="BG1199" s="957"/>
    </row>
    <row r="1200" spans="1:113">
      <c r="A1200" s="2391"/>
      <c r="B1200" s="2161"/>
      <c r="C1200" s="2144"/>
      <c r="D1200" s="291" t="s">
        <v>32</v>
      </c>
      <c r="E1200" s="95">
        <v>201</v>
      </c>
      <c r="F1200" s="148" t="s">
        <v>15</v>
      </c>
      <c r="G1200" s="148" t="s">
        <v>15</v>
      </c>
      <c r="H1200" s="165">
        <v>8.48</v>
      </c>
      <c r="I1200" s="166">
        <v>3.53</v>
      </c>
      <c r="J1200" s="234" t="s">
        <v>15</v>
      </c>
      <c r="K1200" s="233" t="s">
        <v>15</v>
      </c>
      <c r="L1200" s="234" t="s">
        <v>15</v>
      </c>
      <c r="M1200" s="233" t="s">
        <v>15</v>
      </c>
      <c r="N1200" s="1194">
        <v>0</v>
      </c>
      <c r="O1200" s="142" t="s">
        <v>574</v>
      </c>
      <c r="P1200" s="142" t="s">
        <v>574</v>
      </c>
      <c r="Q1200" s="128">
        <f t="shared" si="61"/>
        <v>0.99014778325123154</v>
      </c>
      <c r="R1200" s="2139"/>
      <c r="S1200" s="127" t="s">
        <v>41</v>
      </c>
      <c r="T1200" s="129" t="s">
        <v>42</v>
      </c>
      <c r="V1200" s="24"/>
      <c r="W1200" s="26"/>
      <c r="X1200" s="26"/>
      <c r="Y1200" s="525"/>
      <c r="Z1200" s="525"/>
      <c r="AA1200" s="525"/>
      <c r="AC1200" s="26"/>
      <c r="AD1200" s="24"/>
      <c r="AE1200" s="26"/>
      <c r="AF1200" s="336" t="s">
        <v>1188</v>
      </c>
      <c r="AG1200" s="335" t="s">
        <v>1216</v>
      </c>
      <c r="AH1200" s="52">
        <f>12.17*1.25</f>
        <v>15.2125</v>
      </c>
      <c r="AI1200" s="744">
        <v>13.88</v>
      </c>
      <c r="AJ1200" s="744"/>
      <c r="AK1200" s="744">
        <v>8.99</v>
      </c>
      <c r="AL1200" s="744"/>
      <c r="AM1200" s="744"/>
      <c r="AN1200" s="744"/>
      <c r="AO1200" s="744"/>
      <c r="AP1200" s="744"/>
      <c r="AQ1200" s="744"/>
      <c r="AR1200" s="744">
        <v>11.95</v>
      </c>
      <c r="AS1200" s="744"/>
      <c r="AT1200" s="744">
        <v>9.84</v>
      </c>
      <c r="AU1200" s="744"/>
      <c r="AV1200" s="957"/>
      <c r="AW1200" s="957"/>
      <c r="AX1200" s="957"/>
      <c r="AY1200" s="957"/>
      <c r="AZ1200" s="957"/>
      <c r="BA1200" s="957"/>
      <c r="BB1200" s="957"/>
      <c r="BC1200" s="957"/>
      <c r="BD1200" s="957"/>
      <c r="BE1200" s="957"/>
      <c r="BF1200" s="957"/>
      <c r="BG1200" s="957"/>
    </row>
    <row r="1201" spans="1:123">
      <c r="A1201" s="2391"/>
      <c r="B1201" s="2166" t="s">
        <v>1194</v>
      </c>
      <c r="C1201" s="2144" t="s">
        <v>11</v>
      </c>
      <c r="D1201" s="291" t="s">
        <v>490</v>
      </c>
      <c r="E1201" s="95">
        <v>24</v>
      </c>
      <c r="F1201" s="148" t="s">
        <v>15</v>
      </c>
      <c r="G1201" s="148" t="s">
        <v>15</v>
      </c>
      <c r="H1201" s="165">
        <v>11.96</v>
      </c>
      <c r="I1201" s="166">
        <v>2.21</v>
      </c>
      <c r="J1201" s="234" t="s">
        <v>15</v>
      </c>
      <c r="K1201" s="233" t="s">
        <v>15</v>
      </c>
      <c r="L1201" s="234" t="s">
        <v>15</v>
      </c>
      <c r="M1201" s="233" t="s">
        <v>15</v>
      </c>
      <c r="N1201" s="1201">
        <v>1.46</v>
      </c>
      <c r="O1201" s="133">
        <v>2.4700000000000002</v>
      </c>
      <c r="P1201" s="133">
        <v>0.59299999999999997</v>
      </c>
      <c r="Q1201" s="128">
        <f t="shared" si="61"/>
        <v>0.11822660098522167</v>
      </c>
      <c r="R1201" s="2129">
        <f>SUMPRODUCT(Q1201:Q1202,N1201:N1202)</f>
        <v>0.17261083743842362</v>
      </c>
      <c r="S1201" s="86">
        <v>0.72499999999999998</v>
      </c>
      <c r="T1201" s="302">
        <v>-54.09</v>
      </c>
      <c r="V1201" s="24"/>
      <c r="W1201" s="26"/>
      <c r="X1201" s="26"/>
      <c r="Y1201" s="525"/>
      <c r="Z1201" s="525"/>
      <c r="AA1201" s="525"/>
      <c r="AC1201" s="26"/>
      <c r="AD1201" s="24"/>
      <c r="AE1201" s="26"/>
      <c r="AF1201" s="336" t="s">
        <v>1189</v>
      </c>
      <c r="AG1201" s="335" t="s">
        <v>1217</v>
      </c>
      <c r="AH1201" s="52">
        <f>14.41*1.25</f>
        <v>18.012499999999999</v>
      </c>
      <c r="AI1201" s="744">
        <v>17.149999999999999</v>
      </c>
      <c r="AJ1201" s="744"/>
      <c r="AK1201" s="744"/>
      <c r="AL1201" s="744"/>
      <c r="AM1201" s="744"/>
      <c r="AN1201" s="744"/>
      <c r="AO1201" s="744"/>
      <c r="AP1201" s="744"/>
      <c r="AQ1201" s="744"/>
      <c r="AR1201" s="744"/>
      <c r="AS1201" s="744"/>
      <c r="AT1201" s="744">
        <v>15.99</v>
      </c>
      <c r="AU1201" s="744"/>
      <c r="AV1201" s="957"/>
      <c r="AW1201" s="957"/>
      <c r="AX1201" s="957"/>
      <c r="AY1201" s="957"/>
      <c r="AZ1201" s="957"/>
      <c r="BA1201" s="957"/>
      <c r="BB1201" s="957"/>
      <c r="BC1201" s="957"/>
      <c r="BD1201" s="957"/>
      <c r="BE1201" s="957"/>
      <c r="BF1201" s="957"/>
      <c r="BG1201" s="957"/>
    </row>
    <row r="1202" spans="1:123">
      <c r="A1202" s="2391"/>
      <c r="B1202" s="2166"/>
      <c r="C1202" s="2144"/>
      <c r="D1202" s="291" t="s">
        <v>32</v>
      </c>
      <c r="E1202" s="95">
        <v>179</v>
      </c>
      <c r="F1202" s="148" t="s">
        <v>15</v>
      </c>
      <c r="G1202" s="148" t="s">
        <v>15</v>
      </c>
      <c r="H1202" s="165">
        <v>8.26</v>
      </c>
      <c r="I1202" s="166">
        <v>4.18</v>
      </c>
      <c r="J1202" s="234" t="s">
        <v>15</v>
      </c>
      <c r="K1202" s="233" t="s">
        <v>15</v>
      </c>
      <c r="L1202" s="234" t="s">
        <v>15</v>
      </c>
      <c r="M1202" s="233" t="s">
        <v>15</v>
      </c>
      <c r="N1202" s="1194">
        <v>0</v>
      </c>
      <c r="O1202" s="142" t="s">
        <v>574</v>
      </c>
      <c r="P1202" s="142" t="s">
        <v>574</v>
      </c>
      <c r="Q1202" s="128">
        <f t="shared" si="61"/>
        <v>0.88177339901477836</v>
      </c>
      <c r="R1202" s="2139"/>
      <c r="S1202" s="118" t="s">
        <v>235</v>
      </c>
      <c r="T1202" s="119" t="s">
        <v>391</v>
      </c>
      <c r="V1202" s="24"/>
      <c r="W1202" s="26"/>
      <c r="X1202" s="26"/>
      <c r="Y1202" s="525"/>
      <c r="Z1202" s="525"/>
      <c r="AA1202" s="525"/>
      <c r="AC1202" s="26"/>
      <c r="AD1202" s="24"/>
      <c r="AE1202" s="26"/>
      <c r="AF1202" s="75"/>
      <c r="AG1202" s="26"/>
      <c r="AH1202" s="957"/>
      <c r="AI1202" s="957"/>
      <c r="AJ1202" s="957"/>
      <c r="AK1202" s="957"/>
      <c r="AL1202" s="957"/>
      <c r="AM1202" s="957"/>
      <c r="AN1202" s="957"/>
      <c r="AO1202" s="957"/>
      <c r="AP1202" s="957"/>
      <c r="AQ1202" s="957"/>
      <c r="AR1202" s="957"/>
      <c r="AS1202" s="957"/>
      <c r="AT1202" s="957"/>
      <c r="AU1202" s="957"/>
      <c r="AV1202" s="957"/>
      <c r="AW1202" s="957"/>
      <c r="AX1202" s="957"/>
      <c r="AY1202" s="957"/>
      <c r="AZ1202" s="957"/>
      <c r="BA1202" s="957"/>
      <c r="BB1202" s="957"/>
      <c r="BC1202" s="957"/>
      <c r="BD1202" s="957"/>
      <c r="BE1202" s="957"/>
      <c r="BF1202" s="957"/>
      <c r="BG1202" s="957"/>
    </row>
    <row r="1203" spans="1:123">
      <c r="A1203" s="2391"/>
      <c r="B1203" s="2389" t="s">
        <v>1313</v>
      </c>
      <c r="C1203" s="2144" t="s">
        <v>11</v>
      </c>
      <c r="D1203" s="291" t="s">
        <v>490</v>
      </c>
      <c r="E1203" s="95">
        <v>2</v>
      </c>
      <c r="F1203" s="148" t="s">
        <v>15</v>
      </c>
      <c r="G1203" s="148" t="s">
        <v>15</v>
      </c>
      <c r="H1203" s="165">
        <v>1.85</v>
      </c>
      <c r="I1203" s="166">
        <v>0.14000000000000001</v>
      </c>
      <c r="J1203" s="234" t="s">
        <v>15</v>
      </c>
      <c r="K1203" s="233" t="s">
        <v>15</v>
      </c>
      <c r="L1203" s="234" t="s">
        <v>15</v>
      </c>
      <c r="M1203" s="233" t="s">
        <v>15</v>
      </c>
      <c r="N1203" s="1201">
        <v>-6.21</v>
      </c>
      <c r="O1203" s="133">
        <v>3.77</v>
      </c>
      <c r="P1203" s="133">
        <v>1.65</v>
      </c>
      <c r="Q1203" s="128">
        <f t="shared" si="61"/>
        <v>9.852216748768473E-3</v>
      </c>
      <c r="R1203" s="2129">
        <f>SUMPRODUCT(Q1203:Q1204,N1203:N1204)</f>
        <v>-6.1182266009852215E-2</v>
      </c>
      <c r="S1203" s="86">
        <v>1.57</v>
      </c>
      <c r="T1203" s="151">
        <v>0.25</v>
      </c>
      <c r="V1203" s="24"/>
      <c r="W1203" s="26"/>
      <c r="X1203" s="26"/>
      <c r="Y1203" s="525"/>
      <c r="Z1203" s="525"/>
      <c r="AA1203" s="525"/>
      <c r="AC1203" s="26"/>
      <c r="AD1203" s="24"/>
      <c r="AE1203" s="26"/>
      <c r="AF1203" s="75"/>
      <c r="AG1203" s="26"/>
      <c r="AH1203" s="957"/>
      <c r="AI1203" s="957"/>
      <c r="AJ1203" s="957"/>
      <c r="AK1203" s="957"/>
      <c r="AL1203" s="957"/>
      <c r="AM1203" s="957"/>
      <c r="AN1203" s="957"/>
      <c r="AO1203" s="957"/>
      <c r="AP1203" s="957"/>
      <c r="AQ1203" s="957"/>
      <c r="AR1203" s="957"/>
      <c r="AS1203" s="957"/>
      <c r="AT1203" s="957"/>
      <c r="AU1203" s="957"/>
      <c r="AV1203" s="957"/>
      <c r="AW1203" s="957"/>
      <c r="AX1203" s="957"/>
      <c r="AY1203" s="957"/>
      <c r="AZ1203" s="957"/>
      <c r="BA1203" s="957"/>
      <c r="BB1203" s="957"/>
      <c r="BC1203" s="957"/>
      <c r="BD1203" s="957"/>
      <c r="BE1203" s="957"/>
      <c r="BF1203" s="957"/>
      <c r="BG1203" s="957"/>
    </row>
    <row r="1204" spans="1:123">
      <c r="A1204" s="2391"/>
      <c r="B1204" s="2389"/>
      <c r="C1204" s="2144"/>
      <c r="D1204" s="291" t="s">
        <v>32</v>
      </c>
      <c r="E1204" s="95">
        <v>201</v>
      </c>
      <c r="F1204" s="148" t="s">
        <v>15</v>
      </c>
      <c r="G1204" s="148" t="s">
        <v>15</v>
      </c>
      <c r="H1204" s="165">
        <v>8.77</v>
      </c>
      <c r="I1204" s="166">
        <v>4.13</v>
      </c>
      <c r="J1204" s="234" t="s">
        <v>15</v>
      </c>
      <c r="K1204" s="233" t="s">
        <v>15</v>
      </c>
      <c r="L1204" s="234" t="s">
        <v>15</v>
      </c>
      <c r="M1204" s="233" t="s">
        <v>15</v>
      </c>
      <c r="N1204" s="1194">
        <v>0</v>
      </c>
      <c r="O1204" s="142" t="s">
        <v>574</v>
      </c>
      <c r="P1204" s="142" t="s">
        <v>574</v>
      </c>
      <c r="Q1204" s="128">
        <f t="shared" si="61"/>
        <v>0.99014778325123154</v>
      </c>
      <c r="R1204" s="2139"/>
      <c r="S1204" s="26"/>
      <c r="T1204" s="26"/>
      <c r="V1204" s="24"/>
      <c r="W1204" s="26"/>
      <c r="X1204" s="26"/>
      <c r="Y1204" s="525"/>
      <c r="Z1204" s="525"/>
      <c r="AA1204" s="525"/>
      <c r="AC1204" s="26"/>
      <c r="AD1204" s="24"/>
      <c r="AE1204" s="26"/>
      <c r="AF1204" s="75"/>
      <c r="AG1204" s="26"/>
      <c r="AH1204" s="957"/>
      <c r="AI1204" s="957"/>
      <c r="AJ1204" s="957"/>
      <c r="AK1204" s="957"/>
      <c r="AL1204" s="957"/>
      <c r="AM1204" s="957"/>
      <c r="AN1204" s="957"/>
      <c r="AO1204" s="957"/>
      <c r="AP1204" s="957"/>
      <c r="AQ1204" s="957"/>
      <c r="AR1204" s="957"/>
      <c r="AS1204" s="957"/>
      <c r="AT1204" s="957"/>
      <c r="AU1204" s="957"/>
      <c r="AV1204" s="957"/>
      <c r="AW1204" s="957"/>
      <c r="AX1204" s="957"/>
      <c r="AY1204" s="957"/>
      <c r="AZ1204" s="957"/>
      <c r="BA1204" s="957"/>
      <c r="BB1204" s="957"/>
      <c r="BC1204" s="957"/>
      <c r="BD1204" s="957"/>
      <c r="BE1204" s="957"/>
      <c r="BF1204" s="957"/>
      <c r="BG1204" s="957"/>
    </row>
    <row r="1205" spans="1:123">
      <c r="A1205" s="2391"/>
      <c r="B1205" s="2389" t="s">
        <v>1317</v>
      </c>
      <c r="C1205" s="2144" t="s">
        <v>11</v>
      </c>
      <c r="D1205" s="291" t="s">
        <v>490</v>
      </c>
      <c r="E1205" s="95">
        <v>14</v>
      </c>
      <c r="F1205" s="148" t="s">
        <v>15</v>
      </c>
      <c r="G1205" s="148" t="s">
        <v>15</v>
      </c>
      <c r="H1205" s="165">
        <v>7.42</v>
      </c>
      <c r="I1205" s="166">
        <v>1.18</v>
      </c>
      <c r="J1205" s="234" t="s">
        <v>15</v>
      </c>
      <c r="K1205" s="233" t="s">
        <v>15</v>
      </c>
      <c r="L1205" s="234" t="s">
        <v>15</v>
      </c>
      <c r="M1205" s="233" t="s">
        <v>15</v>
      </c>
      <c r="N1205" s="1201">
        <v>-2.79</v>
      </c>
      <c r="O1205" s="133">
        <v>4.2300000000000004</v>
      </c>
      <c r="P1205" s="133">
        <v>0.66100000000000003</v>
      </c>
      <c r="Q1205" s="128">
        <v>0.13</v>
      </c>
      <c r="R1205" s="2129">
        <f>SUMPRODUCT(Q1205:Q1206,N1205:N1206)</f>
        <v>-0.36270000000000002</v>
      </c>
      <c r="S1205" s="26"/>
      <c r="T1205" s="26"/>
      <c r="V1205" s="24"/>
      <c r="W1205" s="26"/>
      <c r="X1205" s="26"/>
      <c r="Y1205" s="525"/>
      <c r="Z1205" s="525"/>
      <c r="AA1205" s="525"/>
      <c r="AC1205" s="26"/>
      <c r="AD1205" s="24"/>
      <c r="AE1205" s="26"/>
      <c r="AF1205" s="75"/>
      <c r="AG1205" s="26"/>
      <c r="AH1205" s="957"/>
      <c r="AI1205" s="957"/>
      <c r="AJ1205" s="957"/>
      <c r="AK1205" s="957"/>
      <c r="AL1205" s="957"/>
      <c r="AM1205" s="957"/>
      <c r="AN1205" s="957"/>
      <c r="AO1205" s="957"/>
      <c r="AP1205" s="957"/>
      <c r="AQ1205" s="957"/>
      <c r="AR1205" s="957"/>
      <c r="AS1205" s="957"/>
      <c r="AT1205" s="957"/>
      <c r="AU1205" s="957"/>
      <c r="AV1205" s="957"/>
      <c r="AW1205" s="957"/>
      <c r="AX1205" s="957"/>
      <c r="AY1205" s="957"/>
      <c r="AZ1205" s="957"/>
      <c r="BA1205" s="957"/>
      <c r="BB1205" s="957"/>
      <c r="BC1205" s="957"/>
      <c r="BD1205" s="957"/>
      <c r="BE1205" s="957"/>
      <c r="BF1205" s="957"/>
      <c r="BG1205" s="957"/>
    </row>
    <row r="1206" spans="1:123">
      <c r="A1206" s="2391"/>
      <c r="B1206" s="2389"/>
      <c r="C1206" s="2144"/>
      <c r="D1206" s="291" t="s">
        <v>32</v>
      </c>
      <c r="E1206" s="95">
        <v>189</v>
      </c>
      <c r="F1206" s="148" t="s">
        <v>15</v>
      </c>
      <c r="G1206" s="148" t="s">
        <v>15</v>
      </c>
      <c r="H1206" s="165">
        <v>8.7899999999999991</v>
      </c>
      <c r="I1206" s="166">
        <v>4.29</v>
      </c>
      <c r="J1206" s="234" t="s">
        <v>15</v>
      </c>
      <c r="K1206" s="233" t="s">
        <v>15</v>
      </c>
      <c r="L1206" s="234" t="s">
        <v>15</v>
      </c>
      <c r="M1206" s="233" t="s">
        <v>15</v>
      </c>
      <c r="N1206" s="1194">
        <v>0</v>
      </c>
      <c r="O1206" s="142" t="s">
        <v>574</v>
      </c>
      <c r="P1206" s="142" t="s">
        <v>574</v>
      </c>
      <c r="Q1206" s="128">
        <v>0.87</v>
      </c>
      <c r="R1206" s="2139"/>
      <c r="S1206" s="26"/>
      <c r="T1206" s="26"/>
      <c r="V1206" s="24"/>
      <c r="W1206" s="26"/>
      <c r="X1206" s="26"/>
      <c r="Y1206" s="525"/>
      <c r="Z1206" s="525"/>
      <c r="AA1206" s="525"/>
      <c r="AC1206" s="26"/>
      <c r="AD1206" s="24"/>
      <c r="AE1206" s="26"/>
      <c r="AF1206" s="75"/>
      <c r="AG1206" s="26"/>
      <c r="AH1206" s="957"/>
      <c r="AI1206" s="957"/>
      <c r="AJ1206" s="957"/>
      <c r="AK1206" s="957"/>
      <c r="AL1206" s="957"/>
      <c r="AM1206" s="957"/>
      <c r="AN1206" s="957"/>
      <c r="AO1206" s="957"/>
      <c r="AP1206" s="957"/>
      <c r="AQ1206" s="957"/>
      <c r="AR1206" s="957"/>
      <c r="AS1206" s="957"/>
      <c r="AT1206" s="957"/>
      <c r="AU1206" s="957"/>
      <c r="AV1206" s="957"/>
      <c r="AW1206" s="957"/>
      <c r="AX1206" s="957"/>
      <c r="AY1206" s="957"/>
      <c r="AZ1206" s="957"/>
      <c r="BA1206" s="957"/>
      <c r="BB1206" s="957"/>
      <c r="BC1206" s="957"/>
      <c r="BD1206" s="957"/>
      <c r="BE1206" s="957"/>
      <c r="BF1206" s="957"/>
      <c r="BG1206" s="957"/>
    </row>
    <row r="1207" spans="1:123">
      <c r="A1207" s="2391"/>
      <c r="B1207" s="2389" t="s">
        <v>1318</v>
      </c>
      <c r="C1207" s="2144" t="s">
        <v>11</v>
      </c>
      <c r="D1207" s="291" t="s">
        <v>490</v>
      </c>
      <c r="E1207" s="95">
        <v>30</v>
      </c>
      <c r="F1207" s="148" t="s">
        <v>15</v>
      </c>
      <c r="G1207" s="148" t="s">
        <v>15</v>
      </c>
      <c r="H1207" s="165">
        <v>4.7699999999999996</v>
      </c>
      <c r="I1207" s="166">
        <v>0.83</v>
      </c>
      <c r="J1207" s="234" t="s">
        <v>15</v>
      </c>
      <c r="K1207" s="233" t="s">
        <v>15</v>
      </c>
      <c r="L1207" s="234" t="s">
        <v>15</v>
      </c>
      <c r="M1207" s="233" t="s">
        <v>15</v>
      </c>
      <c r="N1207" s="1201">
        <v>-2.09</v>
      </c>
      <c r="O1207" s="133">
        <v>4.13</v>
      </c>
      <c r="P1207" s="133">
        <v>0.50700000000000001</v>
      </c>
      <c r="Q1207" s="128">
        <v>0.02</v>
      </c>
      <c r="R1207" s="2129">
        <f>SUMPRODUCT(Q1207:Q1208,N1207:N1208)</f>
        <v>-4.1799999999999997E-2</v>
      </c>
      <c r="S1207" s="26"/>
      <c r="T1207" s="26"/>
      <c r="V1207" s="24"/>
      <c r="W1207" s="26"/>
      <c r="X1207" s="26"/>
      <c r="Y1207" s="525"/>
      <c r="Z1207" s="525"/>
      <c r="AA1207" s="525"/>
      <c r="AC1207" s="26"/>
      <c r="AD1207" s="24"/>
      <c r="AE1207" s="26"/>
      <c r="AF1207" s="75"/>
      <c r="AG1207" s="26"/>
      <c r="AH1207" s="957"/>
      <c r="AI1207" s="957"/>
      <c r="AJ1207" s="957"/>
      <c r="AK1207" s="957"/>
      <c r="AL1207" s="957"/>
      <c r="AM1207" s="957"/>
      <c r="AN1207" s="957"/>
      <c r="AO1207" s="957"/>
      <c r="AP1207" s="957"/>
      <c r="AQ1207" s="957"/>
      <c r="AR1207" s="957"/>
      <c r="AS1207" s="957"/>
      <c r="AT1207" s="957"/>
      <c r="AU1207" s="957"/>
      <c r="AV1207" s="957"/>
      <c r="AW1207" s="957"/>
      <c r="AX1207" s="957"/>
      <c r="AY1207" s="957"/>
      <c r="AZ1207" s="957"/>
      <c r="BA1207" s="957"/>
      <c r="BB1207" s="957"/>
      <c r="BC1207" s="957"/>
      <c r="BD1207" s="957"/>
      <c r="BE1207" s="957"/>
      <c r="BF1207" s="957"/>
      <c r="BG1207" s="957"/>
    </row>
    <row r="1208" spans="1:123">
      <c r="A1208" s="2391"/>
      <c r="B1208" s="2389"/>
      <c r="C1208" s="2144"/>
      <c r="D1208" s="291" t="s">
        <v>32</v>
      </c>
      <c r="E1208" s="95">
        <v>173</v>
      </c>
      <c r="F1208" s="148" t="s">
        <v>15</v>
      </c>
      <c r="G1208" s="148" t="s">
        <v>15</v>
      </c>
      <c r="H1208" s="165">
        <v>9.3800000000000008</v>
      </c>
      <c r="I1208" s="166">
        <v>4.1399999999999997</v>
      </c>
      <c r="J1208" s="234" t="s">
        <v>15</v>
      </c>
      <c r="K1208" s="233" t="s">
        <v>15</v>
      </c>
      <c r="L1208" s="234" t="s">
        <v>15</v>
      </c>
      <c r="M1208" s="233" t="s">
        <v>15</v>
      </c>
      <c r="N1208" s="1194">
        <v>0</v>
      </c>
      <c r="O1208" s="142" t="s">
        <v>574</v>
      </c>
      <c r="P1208" s="142" t="s">
        <v>574</v>
      </c>
      <c r="Q1208" s="128">
        <v>0.98</v>
      </c>
      <c r="R1208" s="2139"/>
      <c r="S1208" s="26"/>
      <c r="T1208" s="26"/>
      <c r="V1208" s="24"/>
      <c r="W1208" s="26"/>
      <c r="X1208" s="26"/>
      <c r="Y1208" s="525"/>
      <c r="Z1208" s="525"/>
      <c r="AA1208" s="525"/>
      <c r="AC1208" s="26"/>
      <c r="AD1208" s="24"/>
      <c r="AE1208" s="26"/>
      <c r="AF1208" s="75"/>
      <c r="AG1208" s="26"/>
      <c r="AH1208" s="957"/>
      <c r="AI1208" s="957"/>
      <c r="AJ1208" s="957"/>
      <c r="AK1208" s="957"/>
      <c r="AL1208" s="957"/>
      <c r="AM1208" s="957"/>
      <c r="AN1208" s="957"/>
      <c r="AO1208" s="957"/>
      <c r="AP1208" s="957"/>
      <c r="AQ1208" s="957"/>
      <c r="AR1208" s="957"/>
      <c r="AS1208" s="957"/>
      <c r="AT1208" s="957"/>
      <c r="AU1208" s="957"/>
      <c r="AV1208" s="957"/>
      <c r="AW1208" s="957"/>
      <c r="AX1208" s="957"/>
      <c r="AY1208" s="957"/>
      <c r="AZ1208" s="957"/>
      <c r="BA1208" s="957"/>
      <c r="BB1208" s="957"/>
      <c r="BC1208" s="957"/>
      <c r="BD1208" s="957"/>
      <c r="BE1208" s="957"/>
      <c r="BF1208" s="957"/>
      <c r="BG1208" s="957"/>
    </row>
    <row r="1209" spans="1:123">
      <c r="A1209" s="2391"/>
      <c r="B1209" s="2389" t="s">
        <v>1320</v>
      </c>
      <c r="C1209" s="2144" t="s">
        <v>11</v>
      </c>
      <c r="D1209" s="291" t="s">
        <v>490</v>
      </c>
      <c r="E1209" s="95">
        <v>53</v>
      </c>
      <c r="F1209" s="148" t="s">
        <v>15</v>
      </c>
      <c r="G1209" s="148" t="s">
        <v>15</v>
      </c>
      <c r="H1209" s="165">
        <v>9.9499999999999993</v>
      </c>
      <c r="I1209" s="166">
        <v>2.67</v>
      </c>
      <c r="J1209" s="234" t="s">
        <v>15</v>
      </c>
      <c r="K1209" s="233" t="s">
        <v>15</v>
      </c>
      <c r="L1209" s="234" t="s">
        <v>15</v>
      </c>
      <c r="M1209" s="233" t="s">
        <v>15</v>
      </c>
      <c r="N1209" s="1201">
        <v>-1.65</v>
      </c>
      <c r="O1209" s="133">
        <v>3.56</v>
      </c>
      <c r="P1209" s="133">
        <v>0.46500000000000002</v>
      </c>
      <c r="Q1209" s="128">
        <v>0.21</v>
      </c>
      <c r="R1209" s="2129">
        <f>SUMPRODUCT(Q1209:Q1210,N1209:N1210)</f>
        <v>-0.34649999999999997</v>
      </c>
      <c r="S1209" s="26"/>
      <c r="T1209" s="26"/>
      <c r="V1209" s="24"/>
      <c r="W1209" s="26"/>
      <c r="X1209" s="26"/>
      <c r="Y1209" s="525"/>
      <c r="Z1209" s="525"/>
      <c r="AA1209" s="525"/>
      <c r="AC1209" s="26"/>
      <c r="AD1209" s="24"/>
      <c r="AE1209" s="26"/>
      <c r="AF1209" s="75"/>
      <c r="AG1209" s="26"/>
      <c r="AH1209" s="957"/>
      <c r="AI1209" s="957"/>
      <c r="AJ1209" s="957"/>
      <c r="AK1209" s="957"/>
      <c r="AL1209" s="957"/>
      <c r="AM1209" s="957"/>
      <c r="AN1209" s="957"/>
      <c r="AO1209" s="957"/>
      <c r="AP1209" s="957"/>
      <c r="AQ1209" s="957"/>
      <c r="AR1209" s="957"/>
      <c r="AS1209" s="957"/>
      <c r="AT1209" s="957"/>
      <c r="AU1209" s="957"/>
      <c r="AV1209" s="957"/>
      <c r="AW1209" s="957"/>
      <c r="AX1209" s="957"/>
      <c r="AY1209" s="957"/>
      <c r="AZ1209" s="957"/>
      <c r="BA1209" s="957"/>
      <c r="BB1209" s="957"/>
      <c r="BC1209" s="957"/>
      <c r="BD1209" s="957"/>
      <c r="BE1209" s="957"/>
      <c r="BF1209" s="957"/>
      <c r="BG1209" s="957"/>
    </row>
    <row r="1210" spans="1:123" ht="15.75" thickBot="1">
      <c r="A1210" s="2395"/>
      <c r="B1210" s="2390"/>
      <c r="C1210" s="2179"/>
      <c r="D1210" s="19" t="s">
        <v>32</v>
      </c>
      <c r="E1210" s="96">
        <v>150</v>
      </c>
      <c r="F1210" s="197" t="s">
        <v>15</v>
      </c>
      <c r="G1210" s="197" t="s">
        <v>15</v>
      </c>
      <c r="H1210" s="496">
        <v>8.25</v>
      </c>
      <c r="I1210" s="834">
        <v>4.51</v>
      </c>
      <c r="J1210" s="234" t="s">
        <v>15</v>
      </c>
      <c r="K1210" s="233" t="s">
        <v>15</v>
      </c>
      <c r="L1210" s="234" t="s">
        <v>15</v>
      </c>
      <c r="M1210" s="233" t="s">
        <v>15</v>
      </c>
      <c r="N1210" s="1196">
        <v>0</v>
      </c>
      <c r="O1210" s="142" t="s">
        <v>574</v>
      </c>
      <c r="P1210" s="142" t="s">
        <v>574</v>
      </c>
      <c r="Q1210" s="256">
        <v>0.79</v>
      </c>
      <c r="R1210" s="2246"/>
      <c r="S1210" s="26"/>
      <c r="T1210" s="26"/>
      <c r="V1210" s="24"/>
      <c r="W1210" s="26"/>
      <c r="X1210" s="26"/>
      <c r="Y1210" s="525"/>
      <c r="Z1210" s="525"/>
      <c r="AA1210" s="525"/>
      <c r="AC1210" s="26"/>
      <c r="AD1210" s="24"/>
      <c r="AE1210" s="26"/>
      <c r="AF1210" s="75"/>
      <c r="AG1210" s="26"/>
      <c r="AH1210" s="957"/>
      <c r="AI1210" s="957"/>
      <c r="AJ1210" s="957"/>
      <c r="AK1210" s="957"/>
      <c r="AL1210" s="957"/>
      <c r="AM1210" s="957"/>
      <c r="AN1210" s="957"/>
      <c r="AO1210" s="957"/>
      <c r="AP1210" s="957"/>
      <c r="AQ1210" s="957"/>
      <c r="AR1210" s="957"/>
      <c r="AS1210" s="957"/>
      <c r="AT1210" s="957"/>
      <c r="AU1210" s="957"/>
      <c r="AV1210" s="957"/>
      <c r="AW1210" s="957"/>
      <c r="AX1210" s="957"/>
      <c r="AY1210" s="957"/>
      <c r="AZ1210" s="957"/>
      <c r="BA1210" s="957"/>
      <c r="BB1210" s="957"/>
      <c r="BC1210" s="957"/>
      <c r="BD1210" s="957"/>
      <c r="BE1210" s="957"/>
      <c r="BF1210" s="957"/>
      <c r="BG1210" s="957"/>
    </row>
    <row r="1211" spans="1:123" s="705" customFormat="1" ht="25.5" customHeight="1" thickBot="1">
      <c r="A1211" s="721" t="s">
        <v>1113</v>
      </c>
      <c r="B1211" s="1054"/>
      <c r="C1211" s="684"/>
      <c r="D1211" s="683"/>
      <c r="E1211" s="683"/>
      <c r="F1211" s="683"/>
      <c r="G1211" s="683"/>
      <c r="H1211" s="683"/>
      <c r="I1211" s="683"/>
      <c r="J1211" s="682"/>
      <c r="K1211" s="683"/>
      <c r="L1211" s="682"/>
      <c r="M1211" s="685"/>
      <c r="N1211" s="1189"/>
      <c r="O1211" s="686"/>
      <c r="P1211" s="686"/>
      <c r="Q1211" s="687"/>
      <c r="R1211" s="687"/>
      <c r="S1211" s="688"/>
      <c r="T1211" s="688"/>
      <c r="U1211" s="854"/>
      <c r="V1211" s="893"/>
      <c r="W1211" s="685"/>
      <c r="X1211" s="685"/>
      <c r="Y1211" s="688"/>
      <c r="Z1211" s="688"/>
      <c r="AA1211" s="688"/>
      <c r="AB1211" s="846"/>
      <c r="AC1211" s="685"/>
      <c r="AD1211" s="685"/>
      <c r="AE1211" s="685"/>
      <c r="AF1211" s="689"/>
      <c r="AG1211" s="685"/>
      <c r="AH1211" s="959"/>
      <c r="AI1211" s="959"/>
      <c r="AJ1211" s="959"/>
      <c r="AK1211" s="959"/>
      <c r="AL1211" s="959"/>
      <c r="AM1211" s="959"/>
      <c r="AN1211" s="959"/>
      <c r="AO1211" s="959"/>
      <c r="AP1211" s="959"/>
      <c r="AQ1211" s="959"/>
      <c r="AR1211" s="959"/>
      <c r="AS1211" s="959"/>
      <c r="AT1211" s="959"/>
      <c r="AU1211" s="958"/>
      <c r="AV1211" s="958"/>
      <c r="AW1211" s="958"/>
      <c r="AX1211" s="958"/>
      <c r="AY1211" s="958"/>
      <c r="AZ1211" s="958"/>
      <c r="BA1211" s="958"/>
      <c r="BB1211" s="958"/>
      <c r="BC1211" s="958"/>
      <c r="BD1211" s="958"/>
      <c r="BE1211" s="958"/>
      <c r="BF1211" s="958"/>
      <c r="BG1211" s="958"/>
      <c r="BH1211" s="1125"/>
      <c r="CF1211" s="692"/>
      <c r="CG1211" s="692"/>
      <c r="CH1211" s="692"/>
      <c r="CI1211" s="692"/>
      <c r="CJ1211" s="692"/>
      <c r="CK1211" s="692"/>
      <c r="CL1211" s="692"/>
      <c r="CM1211" s="692"/>
      <c r="CN1211" s="692"/>
      <c r="CO1211" s="692"/>
      <c r="CP1211" s="692"/>
      <c r="CQ1211" s="692"/>
      <c r="CR1211" s="692"/>
      <c r="CS1211" s="692"/>
      <c r="CT1211" s="692"/>
      <c r="CU1211" s="692"/>
      <c r="CV1211" s="692"/>
      <c r="CW1211" s="692"/>
      <c r="CX1211" s="692"/>
      <c r="CY1211" s="692"/>
      <c r="CZ1211" s="692"/>
      <c r="DA1211" s="692"/>
      <c r="DB1211" s="692"/>
      <c r="DC1211" s="692"/>
      <c r="DD1211" s="692"/>
      <c r="DE1211" s="692"/>
      <c r="DF1211" s="692"/>
      <c r="DG1211" s="692"/>
      <c r="DH1211" s="692"/>
      <c r="DI1211" s="693"/>
      <c r="DJ1211" s="692"/>
      <c r="DK1211" s="692"/>
      <c r="DL1211" s="692"/>
      <c r="DM1211" s="692"/>
      <c r="DN1211" s="692"/>
      <c r="DO1211" s="692"/>
      <c r="DP1211" s="692"/>
      <c r="DQ1211" s="692"/>
      <c r="DR1211" s="692"/>
      <c r="DS1211" s="692"/>
    </row>
    <row r="1212" spans="1:123" ht="15" customHeight="1">
      <c r="A1212" s="2171" t="s">
        <v>1363</v>
      </c>
      <c r="B1212" s="819" t="s">
        <v>888</v>
      </c>
      <c r="C1212" s="810" t="s">
        <v>12</v>
      </c>
      <c r="D1212" s="292" t="s">
        <v>496</v>
      </c>
      <c r="E1212" s="95">
        <v>35</v>
      </c>
      <c r="F1212" s="452">
        <v>70.38</v>
      </c>
      <c r="G1212" s="452">
        <v>27.9</v>
      </c>
      <c r="H1212" s="165">
        <v>51.36</v>
      </c>
      <c r="I1212" s="166">
        <v>48.74</v>
      </c>
      <c r="J1212" s="234" t="s">
        <v>15</v>
      </c>
      <c r="K1212" s="233" t="s">
        <v>15</v>
      </c>
      <c r="L1212" s="298" t="s">
        <v>15</v>
      </c>
      <c r="M1212" s="233" t="s">
        <v>15</v>
      </c>
      <c r="N1212" s="537">
        <v>0.161</v>
      </c>
      <c r="O1212" s="536">
        <v>1.9</v>
      </c>
      <c r="P1212" s="536">
        <v>8.5000000000000006E-2</v>
      </c>
      <c r="Q1212" s="254" t="s">
        <v>15</v>
      </c>
      <c r="R1212" s="254" t="s">
        <v>15</v>
      </c>
      <c r="S1212" s="127" t="s">
        <v>68</v>
      </c>
      <c r="T1212" s="129" t="s">
        <v>69</v>
      </c>
      <c r="U1212" s="858"/>
      <c r="V1212" s="2134" t="s">
        <v>511</v>
      </c>
      <c r="W1212" s="335" t="s">
        <v>47</v>
      </c>
      <c r="X1212" s="335" t="s">
        <v>2163</v>
      </c>
      <c r="Y1212" s="169">
        <f>(($N$1212*73)+($N$1213*1.18)+$N$1215+$N$1217+$T$1219)*(1+$T$1221)</f>
        <v>20.374400000000001</v>
      </c>
      <c r="Z1212" s="1069" t="s">
        <v>40</v>
      </c>
      <c r="AA1212" s="1070" t="s">
        <v>40</v>
      </c>
      <c r="AB1212" s="922"/>
      <c r="AC1212" s="26"/>
      <c r="AD1212" s="2131" t="s">
        <v>142</v>
      </c>
      <c r="AE1212" s="2132"/>
      <c r="AF1212" s="336" t="s">
        <v>47</v>
      </c>
      <c r="AG1212" s="34" t="s">
        <v>500</v>
      </c>
      <c r="AH1212" s="158">
        <f>Y1212</f>
        <v>20.374400000000001</v>
      </c>
      <c r="AI1212" s="937">
        <v>30.64</v>
      </c>
      <c r="AJ1212" s="937">
        <v>25.5</v>
      </c>
      <c r="AK1212" s="937"/>
      <c r="AL1212" s="937"/>
      <c r="AM1212" s="937"/>
      <c r="AN1212" s="937"/>
      <c r="AO1212" s="937"/>
      <c r="AP1212" s="937"/>
      <c r="AQ1212" s="937">
        <v>21</v>
      </c>
      <c r="AR1212" s="937">
        <v>19</v>
      </c>
      <c r="AS1212" s="937"/>
      <c r="AT1212" s="1010"/>
      <c r="AU1212" s="731">
        <f>AH1212-AVERAGE(AI1212:AT1212)</f>
        <v>-3.6605999999999987</v>
      </c>
      <c r="AV1212" s="1326">
        <f>AU1212/AVERAGE(AI1212:AT1212)</f>
        <v>-0.15230289161639271</v>
      </c>
      <c r="AW1212" s="1012"/>
      <c r="AX1212" s="1012"/>
      <c r="AY1212" s="1012"/>
      <c r="AZ1212" s="1012"/>
      <c r="BA1212" s="1012"/>
      <c r="BB1212" s="1012"/>
      <c r="BC1212" s="1012"/>
      <c r="BD1212" s="1012"/>
      <c r="BE1212" s="1012"/>
      <c r="BF1212" s="1012"/>
      <c r="BG1212" s="1012"/>
    </row>
    <row r="1213" spans="1:123">
      <c r="A1213" s="2172"/>
      <c r="B1213" s="817" t="s">
        <v>493</v>
      </c>
      <c r="C1213" s="356" t="s">
        <v>12</v>
      </c>
      <c r="D1213" s="292" t="s">
        <v>497</v>
      </c>
      <c r="E1213" s="95">
        <v>32</v>
      </c>
      <c r="F1213" s="452">
        <v>0.95699999999999996</v>
      </c>
      <c r="G1213" s="452">
        <v>0.114</v>
      </c>
      <c r="H1213" s="165">
        <v>52.62</v>
      </c>
      <c r="I1213" s="166">
        <v>51.99</v>
      </c>
      <c r="J1213" s="234" t="s">
        <v>15</v>
      </c>
      <c r="K1213" s="233" t="s">
        <v>15</v>
      </c>
      <c r="L1213" s="234" t="s">
        <v>15</v>
      </c>
      <c r="M1213" s="233" t="s">
        <v>15</v>
      </c>
      <c r="N1213" s="537">
        <v>-11.27</v>
      </c>
      <c r="O1213" s="536">
        <v>0.54</v>
      </c>
      <c r="P1213" s="536">
        <v>21.04</v>
      </c>
      <c r="Q1213" s="275" t="s">
        <v>15</v>
      </c>
      <c r="R1213" s="275" t="s">
        <v>15</v>
      </c>
      <c r="S1213" s="555" t="s">
        <v>159</v>
      </c>
      <c r="T1213" s="556" t="s">
        <v>310</v>
      </c>
      <c r="U1213" s="859"/>
      <c r="V1213" s="2135"/>
      <c r="W1213" s="335" t="s">
        <v>49</v>
      </c>
      <c r="X1213" s="335" t="s">
        <v>525</v>
      </c>
      <c r="Y1213" s="169">
        <f>(($N$1212*76)+($N$1213*1.17)+$N$1214+$N$1216+$T$1219)*(1+$T$1221)</f>
        <v>69.750100000000003</v>
      </c>
      <c r="Z1213" s="1001">
        <f>Y1213-Y1212</f>
        <v>49.375700000000002</v>
      </c>
      <c r="AA1213" s="999">
        <f>(76-73)*P1212+(1.18-1.17)*P1213+P1214</f>
        <v>8.035400000000001</v>
      </c>
      <c r="AB1213" s="929"/>
      <c r="AC1213" s="26"/>
      <c r="AD1213" s="20" t="s">
        <v>98</v>
      </c>
      <c r="AE1213" s="276">
        <f>AVERAGE(AV1212:AV1215)</f>
        <v>-4.0024666103523225E-2</v>
      </c>
      <c r="AF1213" s="336" t="s">
        <v>49</v>
      </c>
      <c r="AG1213" s="34" t="s">
        <v>498</v>
      </c>
      <c r="AH1213" s="158">
        <f t="shared" ref="AH1213:AH1215" si="62">Y1213</f>
        <v>69.750100000000003</v>
      </c>
      <c r="AI1213" s="937">
        <v>59.25</v>
      </c>
      <c r="AJ1213" s="937"/>
      <c r="AK1213" s="937"/>
      <c r="AL1213" s="937"/>
      <c r="AM1213" s="937">
        <v>79</v>
      </c>
      <c r="AN1213" s="937">
        <v>45.43</v>
      </c>
      <c r="AO1213" s="937">
        <v>77.45</v>
      </c>
      <c r="AP1213" s="937"/>
      <c r="AQ1213" s="937"/>
      <c r="AR1213" s="937"/>
      <c r="AS1213" s="937"/>
      <c r="AT1213" s="1010"/>
      <c r="AU1213" s="731">
        <f t="shared" ref="AU1213:AU1215" si="63">AH1213-AVERAGE(AI1213:AT1213)</f>
        <v>4.4676000000000045</v>
      </c>
      <c r="AV1213" s="1326">
        <f t="shared" ref="AV1213:AV1215" si="64">AU1213/AVERAGE(AI1213:AT1213)</f>
        <v>6.8434879178953079E-2</v>
      </c>
      <c r="AW1213" s="1012"/>
      <c r="AX1213" s="1012"/>
      <c r="AY1213" s="1012"/>
      <c r="AZ1213" s="1012"/>
      <c r="BA1213" s="1012"/>
      <c r="BB1213" s="1012"/>
      <c r="BC1213" s="1012"/>
      <c r="BD1213" s="1012"/>
      <c r="BE1213" s="1012"/>
      <c r="BF1213" s="1012"/>
      <c r="BG1213" s="1012"/>
    </row>
    <row r="1214" spans="1:123">
      <c r="A1214" s="2172"/>
      <c r="B1214" s="2166" t="s">
        <v>494</v>
      </c>
      <c r="C1214" s="2144" t="s">
        <v>11</v>
      </c>
      <c r="D1214" s="292" t="s">
        <v>490</v>
      </c>
      <c r="E1214" s="95">
        <v>11</v>
      </c>
      <c r="F1214" s="148" t="s">
        <v>15</v>
      </c>
      <c r="G1214" s="148" t="s">
        <v>15</v>
      </c>
      <c r="H1214" s="165">
        <v>24.27</v>
      </c>
      <c r="I1214" s="166">
        <v>7.49</v>
      </c>
      <c r="J1214" s="234" t="s">
        <v>15</v>
      </c>
      <c r="K1214" s="233" t="s">
        <v>15</v>
      </c>
      <c r="L1214" s="2373" t="s">
        <v>11</v>
      </c>
      <c r="M1214" s="1184" t="s">
        <v>506</v>
      </c>
      <c r="N1214" s="1202">
        <v>31.59</v>
      </c>
      <c r="O1214" s="469">
        <v>4.17</v>
      </c>
      <c r="P1214" s="469">
        <v>7.57</v>
      </c>
      <c r="Q1214" s="251">
        <f>E1214/36</f>
        <v>0.30555555555555558</v>
      </c>
      <c r="R1214" s="2129">
        <f>SUMPRODUCT(Q1214:Q1215,N1214:N1215)</f>
        <v>9.6524999999999999</v>
      </c>
      <c r="S1214" s="127" t="s">
        <v>72</v>
      </c>
      <c r="T1214" s="119" t="s">
        <v>119</v>
      </c>
      <c r="U1214" s="855"/>
      <c r="V1214" s="2135"/>
      <c r="W1214" s="982" t="s">
        <v>47</v>
      </c>
      <c r="X1214" s="335" t="s">
        <v>526</v>
      </c>
      <c r="Y1214" s="169">
        <f>(($N$1212*93)+($N$1213*0.89)+$N$1215+$N$1217+$T$1219)*(1+$T$1221)</f>
        <v>26.862700000000004</v>
      </c>
      <c r="Z1214" s="290" t="s">
        <v>40</v>
      </c>
      <c r="AA1214" s="999" t="s">
        <v>40</v>
      </c>
      <c r="AB1214" s="922"/>
      <c r="AC1214" s="26"/>
      <c r="AD1214" s="20" t="s">
        <v>143</v>
      </c>
      <c r="AE1214" s="276">
        <f>STDEV(AV1212:AV1215)</f>
        <v>0.10825601929492271</v>
      </c>
      <c r="AF1214" s="289" t="s">
        <v>47</v>
      </c>
      <c r="AG1214" s="34" t="s">
        <v>501</v>
      </c>
      <c r="AH1214" s="158">
        <f t="shared" si="62"/>
        <v>26.862700000000004</v>
      </c>
      <c r="AI1214" s="937"/>
      <c r="AJ1214" s="937">
        <v>28.41</v>
      </c>
      <c r="AK1214" s="937"/>
      <c r="AL1214" s="937"/>
      <c r="AM1214" s="937"/>
      <c r="AN1214" s="937"/>
      <c r="AO1214" s="937"/>
      <c r="AP1214" s="937"/>
      <c r="AQ1214" s="937"/>
      <c r="AR1214" s="937"/>
      <c r="AS1214" s="937">
        <v>24.95</v>
      </c>
      <c r="AT1214" s="1010">
        <v>24.48</v>
      </c>
      <c r="AU1214" s="731">
        <f t="shared" si="63"/>
        <v>0.91603333333333481</v>
      </c>
      <c r="AV1214" s="1326">
        <f t="shared" si="64"/>
        <v>3.5304470709147023E-2</v>
      </c>
      <c r="AW1214" s="1012"/>
      <c r="AX1214" s="1012"/>
      <c r="AY1214" s="1012"/>
      <c r="AZ1214" s="1012"/>
      <c r="BA1214" s="1012"/>
      <c r="BB1214" s="1012"/>
      <c r="BC1214" s="1012"/>
      <c r="BD1214" s="1012"/>
      <c r="BE1214" s="1012"/>
      <c r="BF1214" s="1012"/>
      <c r="BG1214" s="1012"/>
    </row>
    <row r="1215" spans="1:123">
      <c r="A1215" s="2172"/>
      <c r="B1215" s="2166"/>
      <c r="C1215" s="2144"/>
      <c r="D1215" s="292" t="s">
        <v>32</v>
      </c>
      <c r="E1215" s="95">
        <v>25</v>
      </c>
      <c r="F1215" s="148" t="s">
        <v>15</v>
      </c>
      <c r="G1215" s="148" t="s">
        <v>15</v>
      </c>
      <c r="H1215" s="165">
        <v>72.12</v>
      </c>
      <c r="I1215" s="166">
        <v>19.7</v>
      </c>
      <c r="J1215" s="234" t="s">
        <v>15</v>
      </c>
      <c r="K1215" s="233" t="s">
        <v>15</v>
      </c>
      <c r="L1215" s="2374"/>
      <c r="M1215" s="1185" t="s">
        <v>524</v>
      </c>
      <c r="N1215" s="1194">
        <v>0</v>
      </c>
      <c r="O1215" s="142" t="s">
        <v>574</v>
      </c>
      <c r="P1215" s="142" t="s">
        <v>574</v>
      </c>
      <c r="Q1215" s="251">
        <f>E1215/36</f>
        <v>0.69444444444444442</v>
      </c>
      <c r="R1215" s="2129"/>
      <c r="S1215" s="423" t="s">
        <v>139</v>
      </c>
      <c r="T1215" s="411" t="s">
        <v>140</v>
      </c>
      <c r="U1215" s="859"/>
      <c r="V1215" s="2136"/>
      <c r="W1215" s="982" t="s">
        <v>49</v>
      </c>
      <c r="X1215" s="335" t="s">
        <v>527</v>
      </c>
      <c r="Y1215" s="169">
        <f>(($N$1212*96)+($N$1213*0.97)+$N$1214+$N$1216+$T$1219)*(1+$T$1221)</f>
        <v>75.224100000000007</v>
      </c>
      <c r="Z1215" s="1001">
        <f>Y1215-Y1214</f>
        <v>48.361400000000003</v>
      </c>
      <c r="AA1215" s="999">
        <f>(96-93)*P1212+(0.97-0.89)*P1213+P1214</f>
        <v>9.5081999999999987</v>
      </c>
      <c r="AB1215" s="929"/>
      <c r="AC1215" s="26"/>
      <c r="AD1215" s="20" t="s">
        <v>144</v>
      </c>
      <c r="AE1215" s="276">
        <f>MIN(AV1212:AV1215)</f>
        <v>-0.15230289161639271</v>
      </c>
      <c r="AF1215" s="289" t="s">
        <v>49</v>
      </c>
      <c r="AG1215" s="34" t="s">
        <v>499</v>
      </c>
      <c r="AH1215" s="158">
        <f t="shared" si="62"/>
        <v>75.224100000000007</v>
      </c>
      <c r="AI1215" s="937"/>
      <c r="AJ1215" s="937">
        <v>81.99</v>
      </c>
      <c r="AK1215" s="937">
        <v>71.62</v>
      </c>
      <c r="AL1215" s="937">
        <v>93.87</v>
      </c>
      <c r="AM1215" s="937"/>
      <c r="AN1215" s="937"/>
      <c r="AO1215" s="937"/>
      <c r="AP1215" s="937">
        <v>91.19</v>
      </c>
      <c r="AQ1215" s="937"/>
      <c r="AR1215" s="937"/>
      <c r="AS1215" s="937"/>
      <c r="AT1215" s="1010"/>
      <c r="AU1215" s="731">
        <f t="shared" si="63"/>
        <v>-9.4433999999999969</v>
      </c>
      <c r="AV1215" s="1326">
        <f t="shared" si="64"/>
        <v>-0.11153512268580029</v>
      </c>
      <c r="AW1215" s="1012"/>
      <c r="AX1215" s="1012"/>
      <c r="AY1215" s="1012"/>
      <c r="AZ1215" s="1012"/>
      <c r="BA1215" s="1012"/>
      <c r="BB1215" s="1012"/>
      <c r="BC1215" s="1012"/>
      <c r="BD1215" s="1012"/>
      <c r="BE1215" s="1012"/>
      <c r="BF1215" s="1012"/>
      <c r="BG1215" s="1012"/>
    </row>
    <row r="1216" spans="1:123">
      <c r="A1216" s="2172"/>
      <c r="B1216" s="2166" t="s">
        <v>495</v>
      </c>
      <c r="C1216" s="2144" t="s">
        <v>11</v>
      </c>
      <c r="D1216" s="292" t="s">
        <v>490</v>
      </c>
      <c r="E1216" s="95">
        <v>14</v>
      </c>
      <c r="F1216" s="148" t="s">
        <v>15</v>
      </c>
      <c r="G1216" s="148" t="s">
        <v>15</v>
      </c>
      <c r="H1216" s="165">
        <v>65.739999999999995</v>
      </c>
      <c r="I1216" s="166">
        <v>21.5</v>
      </c>
      <c r="J1216" s="234" t="s">
        <v>15</v>
      </c>
      <c r="K1216" s="233" t="s">
        <v>15</v>
      </c>
      <c r="L1216" s="234" t="s">
        <v>15</v>
      </c>
      <c r="M1216" s="233" t="s">
        <v>15</v>
      </c>
      <c r="N1216" s="1201">
        <v>17.190000000000001</v>
      </c>
      <c r="O1216" s="133">
        <v>7.12</v>
      </c>
      <c r="P1216" s="133">
        <v>2.41</v>
      </c>
      <c r="Q1216" s="251">
        <f>E1216/36</f>
        <v>0.3888888888888889</v>
      </c>
      <c r="R1216" s="2129">
        <f>SUMPRODUCT(Q1216:Q1217,N1216:N1217)</f>
        <v>6.6850000000000005</v>
      </c>
      <c r="S1216" s="127" t="s">
        <v>74</v>
      </c>
      <c r="T1216" s="129" t="s">
        <v>75</v>
      </c>
      <c r="U1216" s="858"/>
      <c r="V1216" s="24"/>
      <c r="W1216" s="26"/>
      <c r="X1216" s="26"/>
      <c r="Y1216" s="41"/>
      <c r="Z1216" s="41"/>
      <c r="AA1216" s="41"/>
      <c r="AB1216" s="846"/>
      <c r="AC1216" s="26"/>
      <c r="AD1216" s="20" t="s">
        <v>145</v>
      </c>
      <c r="AE1216" s="276">
        <f>MAX(AV1212:AV1215)</f>
        <v>6.8434879178953079E-2</v>
      </c>
      <c r="AF1216" s="75"/>
      <c r="AG1216" s="26"/>
      <c r="AH1216" s="957"/>
      <c r="AI1216" s="957"/>
      <c r="AJ1216" s="957"/>
      <c r="AK1216" s="957"/>
      <c r="AL1216" s="957"/>
      <c r="AM1216" s="957"/>
      <c r="AN1216" s="957"/>
      <c r="AO1216" s="957"/>
      <c r="AP1216" s="957"/>
      <c r="AQ1216" s="957"/>
      <c r="AR1216" s="957"/>
      <c r="AS1216" s="957"/>
      <c r="AT1216" s="957"/>
      <c r="AU1216" s="957"/>
      <c r="AV1216" s="957"/>
      <c r="AW1216" s="957"/>
      <c r="AX1216" s="957"/>
      <c r="AY1216" s="957"/>
      <c r="AZ1216" s="957"/>
      <c r="BA1216" s="957"/>
      <c r="BB1216" s="957"/>
      <c r="BC1216" s="957"/>
      <c r="BD1216" s="957"/>
      <c r="BE1216" s="957"/>
      <c r="BF1216" s="957"/>
      <c r="BG1216" s="957"/>
    </row>
    <row r="1217" spans="1:123">
      <c r="A1217" s="2172"/>
      <c r="B1217" s="2166"/>
      <c r="C1217" s="2144"/>
      <c r="D1217" s="292" t="s">
        <v>32</v>
      </c>
      <c r="E1217" s="95">
        <v>22</v>
      </c>
      <c r="F1217" s="148" t="s">
        <v>15</v>
      </c>
      <c r="G1217" s="148" t="s">
        <v>15</v>
      </c>
      <c r="H1217" s="165">
        <v>21.8</v>
      </c>
      <c r="I1217" s="166">
        <v>2.93</v>
      </c>
      <c r="J1217" s="234" t="s">
        <v>15</v>
      </c>
      <c r="K1217" s="233" t="s">
        <v>15</v>
      </c>
      <c r="L1217" s="234" t="s">
        <v>15</v>
      </c>
      <c r="M1217" s="233" t="s">
        <v>15</v>
      </c>
      <c r="N1217" s="1194">
        <v>0</v>
      </c>
      <c r="O1217" s="142" t="s">
        <v>574</v>
      </c>
      <c r="P1217" s="142" t="s">
        <v>574</v>
      </c>
      <c r="Q1217" s="251">
        <f>E1217/36</f>
        <v>0.61111111111111116</v>
      </c>
      <c r="R1217" s="2129"/>
      <c r="S1217" s="95">
        <v>31</v>
      </c>
      <c r="T1217" s="117" t="s">
        <v>15</v>
      </c>
      <c r="U1217" s="854"/>
      <c r="V1217" s="24"/>
      <c r="W1217" s="26"/>
      <c r="X1217" s="26"/>
      <c r="Y1217" s="41"/>
      <c r="Z1217" s="41"/>
      <c r="AA1217" s="41"/>
      <c r="AB1217" s="846"/>
      <c r="AC1217" s="26"/>
      <c r="AD1217" s="24"/>
      <c r="AE1217" s="26"/>
      <c r="AF1217" s="75"/>
      <c r="AG1217" s="26"/>
      <c r="AH1217" s="957"/>
      <c r="AI1217" s="957"/>
      <c r="AJ1217" s="957"/>
      <c r="AK1217" s="957"/>
      <c r="AL1217" s="957"/>
      <c r="AM1217" s="957"/>
      <c r="AN1217" s="957"/>
      <c r="AO1217" s="957"/>
      <c r="AP1217" s="957"/>
      <c r="AQ1217" s="957"/>
      <c r="AR1217" s="957"/>
      <c r="AS1217" s="957"/>
      <c r="AT1217" s="957"/>
      <c r="AU1217" s="957"/>
      <c r="AV1217" s="957"/>
      <c r="AW1217" s="957"/>
      <c r="AX1217" s="957"/>
      <c r="AY1217" s="957"/>
      <c r="AZ1217" s="957"/>
      <c r="BA1217" s="957"/>
      <c r="BB1217" s="957"/>
      <c r="BC1217" s="957"/>
      <c r="BD1217" s="957"/>
      <c r="BE1217" s="957"/>
      <c r="BF1217" s="957"/>
      <c r="BG1217" s="957"/>
    </row>
    <row r="1218" spans="1:123" ht="15" customHeight="1">
      <c r="A1218" s="2172"/>
      <c r="B1218" s="2116" t="s">
        <v>194</v>
      </c>
      <c r="C1218" s="41"/>
      <c r="D1218" s="26"/>
      <c r="E1218" s="26"/>
      <c r="F1218" s="26"/>
      <c r="G1218" s="26"/>
      <c r="H1218" s="26"/>
      <c r="I1218" s="26"/>
      <c r="J1218" s="75"/>
      <c r="K1218" s="26"/>
      <c r="L1218" s="75"/>
      <c r="M1218" s="26"/>
      <c r="N1218" s="1205"/>
      <c r="O1218" s="467"/>
      <c r="P1218" s="467"/>
      <c r="Q1218" s="252"/>
      <c r="R1218" s="252"/>
      <c r="S1218" s="127" t="s">
        <v>41</v>
      </c>
      <c r="T1218" s="129" t="s">
        <v>42</v>
      </c>
      <c r="U1218" s="858"/>
      <c r="V1218" s="24"/>
      <c r="W1218" s="26"/>
      <c r="X1218" s="26"/>
      <c r="Y1218" s="41"/>
      <c r="Z1218" s="41"/>
      <c r="AA1218" s="41"/>
      <c r="AB1218" s="846"/>
      <c r="AC1218" s="26"/>
      <c r="AD1218" s="24"/>
      <c r="AE1218" s="26"/>
      <c r="AF1218" s="75"/>
      <c r="AG1218" s="26"/>
      <c r="AH1218" s="957"/>
      <c r="AI1218" s="957"/>
      <c r="AJ1218" s="957"/>
      <c r="AK1218" s="957"/>
      <c r="AL1218" s="957"/>
      <c r="AM1218" s="957"/>
      <c r="AN1218" s="957"/>
      <c r="AO1218" s="957"/>
      <c r="AP1218" s="957"/>
      <c r="AQ1218" s="957"/>
      <c r="AR1218" s="957"/>
      <c r="AS1218" s="957"/>
      <c r="AT1218" s="957"/>
      <c r="AU1218" s="957"/>
      <c r="AV1218" s="957"/>
      <c r="AW1218" s="957"/>
      <c r="AX1218" s="957"/>
      <c r="AY1218" s="957"/>
      <c r="AZ1218" s="957"/>
      <c r="BA1218" s="957"/>
      <c r="BB1218" s="957"/>
      <c r="BC1218" s="957"/>
      <c r="BD1218" s="957"/>
      <c r="BE1218" s="957"/>
      <c r="BF1218" s="957"/>
      <c r="BG1218" s="957"/>
    </row>
    <row r="1219" spans="1:123">
      <c r="A1219" s="2172"/>
      <c r="B1219" s="2117"/>
      <c r="C1219" s="41"/>
      <c r="D1219" s="26"/>
      <c r="E1219" s="26"/>
      <c r="F1219" s="26"/>
      <c r="G1219" s="26"/>
      <c r="H1219" s="26"/>
      <c r="I1219" s="26"/>
      <c r="J1219" s="75"/>
      <c r="K1219" s="26"/>
      <c r="L1219" s="75"/>
      <c r="M1219" s="26"/>
      <c r="N1219" s="1205"/>
      <c r="O1219" s="467"/>
      <c r="P1219" s="467"/>
      <c r="Q1219" s="252"/>
      <c r="R1219" s="252"/>
      <c r="S1219" s="86">
        <v>0.84799999999999998</v>
      </c>
      <c r="T1219" s="302">
        <v>21.92</v>
      </c>
      <c r="U1219" s="874"/>
      <c r="V1219" s="24"/>
      <c r="W1219" s="26"/>
      <c r="X1219" s="26"/>
      <c r="Y1219" s="41"/>
      <c r="Z1219" s="41"/>
      <c r="AA1219" s="41"/>
      <c r="AB1219" s="846"/>
      <c r="AC1219" s="26"/>
      <c r="AD1219" s="24"/>
      <c r="AE1219" s="26"/>
      <c r="AF1219" s="75"/>
      <c r="AG1219" s="26"/>
      <c r="AH1219" s="957"/>
      <c r="AI1219" s="957"/>
      <c r="AJ1219" s="957"/>
      <c r="AK1219" s="957"/>
      <c r="AL1219" s="957"/>
      <c r="AM1219" s="957"/>
      <c r="AN1219" s="957"/>
      <c r="AO1219" s="957"/>
      <c r="AP1219" s="957"/>
      <c r="AQ1219" s="957"/>
      <c r="AR1219" s="957"/>
      <c r="AS1219" s="957"/>
      <c r="AT1219" s="957"/>
      <c r="AU1219" s="957"/>
      <c r="AV1219" s="957"/>
      <c r="AW1219" s="957"/>
      <c r="AX1219" s="957"/>
      <c r="AY1219" s="957"/>
      <c r="AZ1219" s="957"/>
      <c r="BA1219" s="957"/>
      <c r="BB1219" s="957"/>
      <c r="BC1219" s="957"/>
      <c r="BD1219" s="957"/>
      <c r="BE1219" s="957"/>
      <c r="BF1219" s="957"/>
      <c r="BG1219" s="957"/>
    </row>
    <row r="1220" spans="1:123">
      <c r="A1220" s="2172"/>
      <c r="B1220" s="2117"/>
      <c r="C1220" s="41"/>
      <c r="D1220" s="26"/>
      <c r="E1220" s="26"/>
      <c r="F1220" s="26"/>
      <c r="G1220" s="26"/>
      <c r="H1220" s="26"/>
      <c r="I1220" s="26"/>
      <c r="J1220" s="75"/>
      <c r="K1220" s="26"/>
      <c r="L1220" s="75"/>
      <c r="M1220" s="26"/>
      <c r="N1220" s="1205"/>
      <c r="O1220" s="467"/>
      <c r="P1220" s="467"/>
      <c r="Q1220" s="252"/>
      <c r="R1220" s="252"/>
      <c r="S1220" s="118" t="s">
        <v>235</v>
      </c>
      <c r="T1220" s="119" t="s">
        <v>391</v>
      </c>
      <c r="U1220" s="855"/>
      <c r="V1220" s="24"/>
      <c r="W1220" s="26"/>
      <c r="X1220" s="26"/>
      <c r="Y1220" s="41"/>
      <c r="Z1220" s="41"/>
      <c r="AA1220" s="41"/>
      <c r="AB1220" s="846"/>
      <c r="AC1220" s="26"/>
      <c r="AD1220" s="24"/>
      <c r="AE1220" s="26"/>
      <c r="AF1220" s="75"/>
      <c r="AG1220" s="26"/>
      <c r="AH1220" s="957"/>
      <c r="AI1220" s="957"/>
      <c r="AJ1220" s="957"/>
      <c r="AK1220" s="957"/>
      <c r="AL1220" s="957"/>
      <c r="AM1220" s="957"/>
      <c r="AN1220" s="957"/>
      <c r="AO1220" s="957"/>
      <c r="AP1220" s="957"/>
      <c r="AQ1220" s="957"/>
      <c r="AR1220" s="957"/>
      <c r="AS1220" s="957"/>
      <c r="AT1220" s="957"/>
      <c r="AU1220" s="957"/>
      <c r="AV1220" s="957"/>
      <c r="AW1220" s="957"/>
      <c r="AX1220" s="957"/>
      <c r="AY1220" s="957"/>
      <c r="AZ1220" s="957"/>
      <c r="BA1220" s="957"/>
      <c r="BB1220" s="957"/>
      <c r="BC1220" s="957"/>
      <c r="BD1220" s="957"/>
      <c r="BE1220" s="957"/>
      <c r="BF1220" s="957"/>
      <c r="BG1220" s="957"/>
    </row>
    <row r="1221" spans="1:123" ht="15.75" thickBot="1">
      <c r="A1221" s="2172"/>
      <c r="B1221" s="2118"/>
      <c r="C1221" s="41"/>
      <c r="D1221" s="26"/>
      <c r="E1221" s="26"/>
      <c r="F1221" s="26"/>
      <c r="G1221" s="26"/>
      <c r="H1221" s="26"/>
      <c r="I1221" s="26"/>
      <c r="J1221" s="75"/>
      <c r="K1221" s="26"/>
      <c r="L1221" s="186"/>
      <c r="M1221" s="26"/>
      <c r="N1221" s="1205"/>
      <c r="O1221" s="467"/>
      <c r="P1221" s="467"/>
      <c r="Q1221" s="252"/>
      <c r="R1221" s="252"/>
      <c r="S1221" s="86">
        <v>7.92</v>
      </c>
      <c r="T1221" s="151">
        <v>0</v>
      </c>
      <c r="U1221" s="862"/>
      <c r="V1221" s="24"/>
      <c r="W1221" s="26"/>
      <c r="X1221" s="26"/>
      <c r="Y1221" s="41"/>
      <c r="Z1221" s="41"/>
      <c r="AA1221" s="41"/>
      <c r="AB1221" s="846"/>
      <c r="AC1221" s="26"/>
      <c r="AD1221" s="24"/>
      <c r="AE1221" s="26"/>
      <c r="AF1221" s="75"/>
      <c r="AG1221" s="26"/>
      <c r="AH1221" s="957"/>
      <c r="AI1221" s="957"/>
      <c r="AJ1221" s="957"/>
      <c r="AK1221" s="957"/>
      <c r="AL1221" s="957"/>
      <c r="AM1221" s="957"/>
      <c r="AN1221" s="957"/>
      <c r="AO1221" s="957"/>
      <c r="AP1221" s="957"/>
      <c r="AQ1221" s="957"/>
      <c r="AR1221" s="957"/>
      <c r="AS1221" s="957"/>
      <c r="AT1221" s="957"/>
      <c r="AU1221" s="957"/>
      <c r="AV1221" s="957"/>
      <c r="AW1221" s="957"/>
      <c r="AX1221" s="957"/>
      <c r="AY1221" s="957"/>
      <c r="AZ1221" s="957"/>
      <c r="BA1221" s="957"/>
      <c r="BB1221" s="957"/>
      <c r="BC1221" s="957"/>
      <c r="BD1221" s="957"/>
      <c r="BE1221" s="957"/>
      <c r="BF1221" s="957"/>
      <c r="BG1221" s="957"/>
    </row>
    <row r="1222" spans="1:123" s="705" customFormat="1" ht="9" customHeight="1" thickBot="1">
      <c r="A1222" s="695"/>
      <c r="B1222" s="815"/>
      <c r="C1222" s="684"/>
      <c r="D1222" s="683"/>
      <c r="E1222" s="683"/>
      <c r="F1222" s="683"/>
      <c r="G1222" s="683"/>
      <c r="H1222" s="683"/>
      <c r="I1222" s="683"/>
      <c r="J1222" s="682"/>
      <c r="K1222" s="683"/>
      <c r="L1222" s="682"/>
      <c r="M1222" s="685"/>
      <c r="N1222" s="1189"/>
      <c r="O1222" s="686"/>
      <c r="P1222" s="686"/>
      <c r="Q1222" s="687"/>
      <c r="R1222" s="687"/>
      <c r="S1222" s="688"/>
      <c r="T1222" s="688"/>
      <c r="U1222" s="854"/>
      <c r="V1222" s="893"/>
      <c r="W1222" s="685"/>
      <c r="X1222" s="685"/>
      <c r="Y1222" s="688"/>
      <c r="Z1222" s="688"/>
      <c r="AA1222" s="688"/>
      <c r="AB1222" s="846"/>
      <c r="AC1222" s="685"/>
      <c r="AD1222" s="685"/>
      <c r="AE1222" s="685"/>
      <c r="AF1222" s="689"/>
      <c r="AG1222" s="685"/>
      <c r="AH1222" s="958"/>
      <c r="AI1222" s="959"/>
      <c r="AJ1222" s="959"/>
      <c r="AK1222" s="959"/>
      <c r="AL1222" s="959"/>
      <c r="AM1222" s="959"/>
      <c r="AN1222" s="959"/>
      <c r="AO1222" s="959"/>
      <c r="AP1222" s="959"/>
      <c r="AQ1222" s="959"/>
      <c r="AR1222" s="959"/>
      <c r="AS1222" s="958"/>
      <c r="AT1222" s="958"/>
      <c r="AU1222" s="958"/>
      <c r="AV1222" s="958"/>
      <c r="AW1222" s="958"/>
      <c r="AX1222" s="958"/>
      <c r="AY1222" s="958"/>
      <c r="AZ1222" s="958"/>
      <c r="BA1222" s="958"/>
      <c r="BB1222" s="958"/>
      <c r="BC1222" s="958"/>
      <c r="BD1222" s="958"/>
      <c r="BE1222" s="958"/>
      <c r="BF1222" s="958"/>
      <c r="BG1222" s="958"/>
      <c r="BH1222" s="1125"/>
      <c r="CF1222" s="692"/>
      <c r="CG1222" s="692"/>
      <c r="CH1222" s="692"/>
      <c r="CI1222" s="692"/>
      <c r="CJ1222" s="692"/>
      <c r="CK1222" s="692"/>
      <c r="CL1222" s="692"/>
      <c r="CM1222" s="692"/>
      <c r="CN1222" s="692"/>
      <c r="CO1222" s="692"/>
      <c r="CP1222" s="692"/>
      <c r="CQ1222" s="692"/>
      <c r="CR1222" s="692"/>
      <c r="CS1222" s="692"/>
      <c r="CT1222" s="692"/>
      <c r="CU1222" s="692"/>
      <c r="CV1222" s="692"/>
      <c r="CW1222" s="692"/>
      <c r="CX1222" s="692"/>
      <c r="CY1222" s="692"/>
      <c r="CZ1222" s="692"/>
      <c r="DA1222" s="692"/>
      <c r="DB1222" s="692"/>
      <c r="DC1222" s="692"/>
      <c r="DD1222" s="692"/>
      <c r="DE1222" s="692"/>
      <c r="DF1222" s="692"/>
      <c r="DG1222" s="692"/>
      <c r="DH1222" s="692"/>
      <c r="DI1222" s="693"/>
      <c r="DJ1222" s="692"/>
      <c r="DK1222" s="692"/>
      <c r="DL1222" s="692"/>
      <c r="DM1222" s="692"/>
      <c r="DN1222" s="692"/>
      <c r="DO1222" s="692"/>
      <c r="DP1222" s="692"/>
      <c r="DQ1222" s="692"/>
      <c r="DR1222" s="692"/>
      <c r="DS1222" s="692"/>
    </row>
    <row r="1223" spans="1:123" ht="15" customHeight="1">
      <c r="A1223" s="2171" t="s">
        <v>1364</v>
      </c>
      <c r="B1223" s="819" t="s">
        <v>888</v>
      </c>
      <c r="C1223" s="810" t="s">
        <v>12</v>
      </c>
      <c r="D1223" s="219" t="s">
        <v>504</v>
      </c>
      <c r="E1223" s="77">
        <v>86</v>
      </c>
      <c r="F1223" s="77">
        <v>93.37</v>
      </c>
      <c r="G1223" s="77">
        <v>98.01</v>
      </c>
      <c r="H1223" s="165">
        <v>56.44</v>
      </c>
      <c r="I1223" s="166">
        <v>55.01</v>
      </c>
      <c r="J1223" s="234" t="s">
        <v>15</v>
      </c>
      <c r="K1223" s="233" t="s">
        <v>15</v>
      </c>
      <c r="L1223" s="298" t="s">
        <v>15</v>
      </c>
      <c r="M1223" s="233" t="s">
        <v>15</v>
      </c>
      <c r="N1223" s="441">
        <v>0.4</v>
      </c>
      <c r="O1223" s="280">
        <v>9.85</v>
      </c>
      <c r="P1223" s="280">
        <v>0.04</v>
      </c>
      <c r="Q1223" s="254" t="s">
        <v>15</v>
      </c>
      <c r="R1223" s="280">
        <v>0.4</v>
      </c>
      <c r="S1223" s="149" t="s">
        <v>68</v>
      </c>
      <c r="T1223" s="150" t="s">
        <v>69</v>
      </c>
      <c r="U1223" s="858"/>
      <c r="V1223" s="2134" t="s">
        <v>511</v>
      </c>
      <c r="W1223" s="335" t="s">
        <v>47</v>
      </c>
      <c r="X1223" s="212" t="s">
        <v>528</v>
      </c>
      <c r="Y1223" s="1324">
        <f>($N$1226+$T$1230+($R$1223*65)+(1.03*$N$1224)+$N$1227)*(1+$T$1232)</f>
        <v>13.956800000000001</v>
      </c>
      <c r="Z1223" s="1069" t="s">
        <v>40</v>
      </c>
      <c r="AA1223" s="1070" t="s">
        <v>40</v>
      </c>
      <c r="AB1223" s="922"/>
      <c r="AC1223" s="26"/>
      <c r="AD1223" s="2131" t="s">
        <v>142</v>
      </c>
      <c r="AE1223" s="2133"/>
      <c r="AF1223" s="277" t="s">
        <v>47</v>
      </c>
      <c r="AG1223" s="212" t="s">
        <v>528</v>
      </c>
      <c r="AH1223" s="1328">
        <f>Y1223</f>
        <v>13.956800000000001</v>
      </c>
      <c r="AI1223" s="1030">
        <v>26.92</v>
      </c>
      <c r="AJ1223" s="1030"/>
      <c r="AK1223" s="1030">
        <v>17.3</v>
      </c>
      <c r="AL1223" s="1030">
        <v>16.899999999999999</v>
      </c>
      <c r="AM1223" s="1030">
        <v>14.85</v>
      </c>
      <c r="AN1223" s="1030"/>
      <c r="AO1223" s="1030"/>
      <c r="AP1223" s="1030"/>
      <c r="AQ1223" s="1030"/>
      <c r="AR1223" s="1031"/>
      <c r="AS1223" s="731">
        <f>AH1223-AVERAGE(AI1223:AR1223)</f>
        <v>-5.0356999999999985</v>
      </c>
      <c r="AT1223" s="1326">
        <f>AS1223/AVERAGE(AI1223:AR1223)</f>
        <v>-0.26514150322495716</v>
      </c>
      <c r="AU1223" s="1012"/>
      <c r="AV1223" s="1012"/>
      <c r="AW1223" s="1012"/>
      <c r="AX1223" s="1012"/>
      <c r="AY1223" s="1012"/>
      <c r="AZ1223" s="1012"/>
      <c r="BA1223" s="1012"/>
      <c r="BB1223" s="1012"/>
      <c r="BC1223" s="1012"/>
      <c r="BD1223" s="1012"/>
      <c r="BE1223" s="1012"/>
      <c r="BF1223" s="1012"/>
      <c r="BG1223" s="1012"/>
    </row>
    <row r="1224" spans="1:123">
      <c r="A1224" s="2172"/>
      <c r="B1224" s="817" t="s">
        <v>493</v>
      </c>
      <c r="C1224" s="356" t="s">
        <v>12</v>
      </c>
      <c r="D1224" s="291" t="s">
        <v>505</v>
      </c>
      <c r="E1224" s="452">
        <v>67</v>
      </c>
      <c r="F1224" s="452">
        <v>0.92600000000000005</v>
      </c>
      <c r="G1224" s="452">
        <v>0.111</v>
      </c>
      <c r="H1224" s="165">
        <v>58.61</v>
      </c>
      <c r="I1224" s="166">
        <v>60.18</v>
      </c>
      <c r="J1224" s="234" t="s">
        <v>15</v>
      </c>
      <c r="K1224" s="233" t="s">
        <v>15</v>
      </c>
      <c r="L1224" s="234" t="s">
        <v>15</v>
      </c>
      <c r="M1224" s="233" t="s">
        <v>15</v>
      </c>
      <c r="N1224" s="537">
        <v>10.56</v>
      </c>
      <c r="O1224" s="536">
        <v>0.31</v>
      </c>
      <c r="P1224" s="536">
        <v>34.520000000000003</v>
      </c>
      <c r="Q1224" s="275" t="s">
        <v>15</v>
      </c>
      <c r="R1224" s="275" t="s">
        <v>15</v>
      </c>
      <c r="S1224" s="555" t="s">
        <v>159</v>
      </c>
      <c r="T1224" s="556" t="s">
        <v>310</v>
      </c>
      <c r="U1224" s="859"/>
      <c r="V1224" s="2135"/>
      <c r="W1224" s="335" t="s">
        <v>49</v>
      </c>
      <c r="X1224" s="335" t="s">
        <v>529</v>
      </c>
      <c r="Y1224" s="304">
        <f>($N$1225+$T$1230+($R$1223*62)+(0.99*$N$1224)+$N$1228)*(1+$T$1232)</f>
        <v>80.724400000000003</v>
      </c>
      <c r="Z1224" s="1001">
        <f>Y1224-Y1223</f>
        <v>66.767600000000002</v>
      </c>
      <c r="AA1224" s="999">
        <f>(65-62)*P1223+(1.03-0.99)*P1224+P1225</f>
        <v>15.890800000000002</v>
      </c>
      <c r="AB1224" s="929"/>
      <c r="AC1224" s="26"/>
      <c r="AD1224" s="20" t="s">
        <v>98</v>
      </c>
      <c r="AE1224" s="276">
        <f>AVERAGE(AT1223:AT1226)</f>
        <v>-0.10253842934007282</v>
      </c>
      <c r="AF1224" s="336" t="s">
        <v>49</v>
      </c>
      <c r="AG1224" s="335" t="s">
        <v>529</v>
      </c>
      <c r="AH1224" s="1328">
        <f t="shared" ref="AH1224:AH1226" si="65">Y1224</f>
        <v>80.724400000000003</v>
      </c>
      <c r="AI1224" s="937"/>
      <c r="AJ1224" s="937">
        <v>99.88</v>
      </c>
      <c r="AK1224" s="937"/>
      <c r="AL1224" s="937"/>
      <c r="AM1224" s="937"/>
      <c r="AN1224" s="937">
        <v>74.53</v>
      </c>
      <c r="AO1224" s="937">
        <v>74.95</v>
      </c>
      <c r="AP1224" s="937">
        <v>69</v>
      </c>
      <c r="AQ1224" s="937"/>
      <c r="AR1224" s="1010"/>
      <c r="AS1224" s="731">
        <f t="shared" ref="AS1224:AS1226" si="66">AH1224-AVERAGE(AI1224:AR1224)</f>
        <v>1.1343999999999994</v>
      </c>
      <c r="AT1224" s="1326">
        <f t="shared" ref="AT1224:AT1226" si="67">AS1224/AVERAGE(AI1224:AR1224)</f>
        <v>1.425304686518406E-2</v>
      </c>
      <c r="AU1224" s="1012"/>
      <c r="AV1224" s="1012"/>
      <c r="AW1224" s="1012"/>
      <c r="AX1224" s="1012"/>
      <c r="AY1224" s="1012"/>
      <c r="AZ1224" s="1012"/>
      <c r="BA1224" s="1012"/>
      <c r="BB1224" s="1012"/>
      <c r="BC1224" s="1012"/>
      <c r="BD1224" s="1012"/>
      <c r="BE1224" s="1012"/>
      <c r="BF1224" s="1012"/>
      <c r="BG1224" s="1012"/>
    </row>
    <row r="1225" spans="1:123">
      <c r="A1225" s="2172"/>
      <c r="B1225" s="2166" t="s">
        <v>494</v>
      </c>
      <c r="C1225" s="2144" t="s">
        <v>11</v>
      </c>
      <c r="D1225" s="291" t="s">
        <v>33</v>
      </c>
      <c r="E1225" s="452">
        <v>5</v>
      </c>
      <c r="F1225" s="148" t="s">
        <v>15</v>
      </c>
      <c r="G1225" s="148" t="s">
        <v>15</v>
      </c>
      <c r="H1225" s="165">
        <v>97.78</v>
      </c>
      <c r="I1225" s="166">
        <v>30.05</v>
      </c>
      <c r="J1225" s="234" t="s">
        <v>15</v>
      </c>
      <c r="K1225" s="233" t="s">
        <v>15</v>
      </c>
      <c r="L1225" s="2373" t="s">
        <v>11</v>
      </c>
      <c r="M1225" s="1184" t="s">
        <v>506</v>
      </c>
      <c r="N1225" s="1201">
        <v>30.78</v>
      </c>
      <c r="O1225" s="133">
        <v>2.14</v>
      </c>
      <c r="P1225" s="133">
        <v>14.39</v>
      </c>
      <c r="Q1225" s="128">
        <f>E1225/96</f>
        <v>5.2083333333333336E-2</v>
      </c>
      <c r="R1225" s="2129">
        <f>SUMPRODUCT(Q1225:Q1226,N1225:N1226)</f>
        <v>1.6031250000000001</v>
      </c>
      <c r="S1225" s="127" t="s">
        <v>72</v>
      </c>
      <c r="T1225" s="119" t="s">
        <v>119</v>
      </c>
      <c r="U1225" s="855"/>
      <c r="V1225" s="2135"/>
      <c r="W1225" s="982" t="s">
        <v>47</v>
      </c>
      <c r="X1225" s="335" t="s">
        <v>530</v>
      </c>
      <c r="Y1225" s="1325">
        <f>($N$1226+$T$1230+($R$1223*98)+(0.95*$N$1224)+$N$1228)*(1+$T$1232)</f>
        <v>63.921999999999997</v>
      </c>
      <c r="Z1225" s="290" t="s">
        <v>40</v>
      </c>
      <c r="AA1225" s="999" t="s">
        <v>40</v>
      </c>
      <c r="AB1225" s="922"/>
      <c r="AC1225" s="26"/>
      <c r="AD1225" s="20" t="s">
        <v>143</v>
      </c>
      <c r="AE1225" s="276">
        <f>STDEV(AT1223:AT1226)</f>
        <v>0.22367184011950522</v>
      </c>
      <c r="AF1225" s="289" t="s">
        <v>47</v>
      </c>
      <c r="AG1225" s="335" t="s">
        <v>530</v>
      </c>
      <c r="AH1225" s="1328">
        <f t="shared" si="65"/>
        <v>63.921999999999997</v>
      </c>
      <c r="AI1225" s="937"/>
      <c r="AJ1225" s="937"/>
      <c r="AK1225" s="937"/>
      <c r="AL1225" s="937"/>
      <c r="AM1225" s="937"/>
      <c r="AN1225" s="937">
        <v>55.61</v>
      </c>
      <c r="AO1225" s="937">
        <v>59</v>
      </c>
      <c r="AP1225" s="937">
        <v>52</v>
      </c>
      <c r="AQ1225" s="937"/>
      <c r="AR1225" s="1010">
        <v>55</v>
      </c>
      <c r="AS1225" s="731">
        <f t="shared" si="66"/>
        <v>8.5194999999999936</v>
      </c>
      <c r="AT1225" s="1326">
        <f t="shared" si="67"/>
        <v>0.15377464915843136</v>
      </c>
      <c r="AU1225" s="1012"/>
      <c r="AV1225" s="1012"/>
      <c r="AW1225" s="1012"/>
      <c r="AX1225" s="1012"/>
      <c r="AY1225" s="1012"/>
      <c r="AZ1225" s="1012"/>
      <c r="BA1225" s="1012"/>
      <c r="BB1225" s="1012"/>
      <c r="BC1225" s="1012"/>
      <c r="BD1225" s="1012"/>
      <c r="BE1225" s="1012"/>
      <c r="BF1225" s="1012"/>
      <c r="BG1225" s="1012"/>
    </row>
    <row r="1226" spans="1:123">
      <c r="A1226" s="2172"/>
      <c r="B1226" s="2166"/>
      <c r="C1226" s="2144"/>
      <c r="D1226" s="292" t="s">
        <v>32</v>
      </c>
      <c r="E1226" s="95">
        <v>91</v>
      </c>
      <c r="F1226" s="148" t="s">
        <v>15</v>
      </c>
      <c r="G1226" s="148" t="s">
        <v>15</v>
      </c>
      <c r="H1226" s="165">
        <v>49.71</v>
      </c>
      <c r="I1226" s="166">
        <v>53.39</v>
      </c>
      <c r="J1226" s="234" t="s">
        <v>15</v>
      </c>
      <c r="K1226" s="233" t="s">
        <v>15</v>
      </c>
      <c r="L1226" s="2374"/>
      <c r="M1226" s="1185" t="s">
        <v>524</v>
      </c>
      <c r="N1226" s="1194">
        <v>0</v>
      </c>
      <c r="O1226" s="142" t="s">
        <v>574</v>
      </c>
      <c r="P1226" s="142" t="s">
        <v>574</v>
      </c>
      <c r="Q1226" s="128">
        <f>E1226/96</f>
        <v>0.94791666666666663</v>
      </c>
      <c r="R1226" s="2129"/>
      <c r="S1226" s="423" t="s">
        <v>139</v>
      </c>
      <c r="T1226" s="411" t="s">
        <v>140</v>
      </c>
      <c r="U1226" s="859"/>
      <c r="V1226" s="2136"/>
      <c r="W1226" s="982" t="s">
        <v>49</v>
      </c>
      <c r="X1226" s="335" t="s">
        <v>531</v>
      </c>
      <c r="Y1226" s="1325">
        <f>($N$1225+$T$1230+($R$1223*125)+(1*$N$1224)+$N$1228)*(1+$T$1232)</f>
        <v>106.03</v>
      </c>
      <c r="Z1226" s="1001">
        <f>Y1226-Y1225</f>
        <v>42.108000000000004</v>
      </c>
      <c r="AA1226" s="999">
        <f>(125-98)*P1223+(1-0.95)*P1224+P1225</f>
        <v>17.196000000000002</v>
      </c>
      <c r="AB1226" s="929"/>
      <c r="AC1226" s="26"/>
      <c r="AD1226" s="20" t="s">
        <v>144</v>
      </c>
      <c r="AE1226" s="276">
        <f>MIN(AT1223:AT1226)</f>
        <v>-0.31303991015894955</v>
      </c>
      <c r="AF1226" s="289" t="s">
        <v>49</v>
      </c>
      <c r="AG1226" s="335" t="s">
        <v>531</v>
      </c>
      <c r="AH1226" s="1328">
        <f t="shared" si="65"/>
        <v>106.03</v>
      </c>
      <c r="AI1226" s="937">
        <v>157.5</v>
      </c>
      <c r="AJ1226" s="937"/>
      <c r="AK1226" s="937"/>
      <c r="AL1226" s="937"/>
      <c r="AM1226" s="937"/>
      <c r="AN1226" s="937"/>
      <c r="AO1226" s="937"/>
      <c r="AP1226" s="937"/>
      <c r="AQ1226" s="937">
        <v>161.54</v>
      </c>
      <c r="AR1226" s="1010">
        <v>144</v>
      </c>
      <c r="AS1226" s="731">
        <f t="shared" si="66"/>
        <v>-48.316666666666663</v>
      </c>
      <c r="AT1226" s="1326">
        <f t="shared" si="67"/>
        <v>-0.31303991015894955</v>
      </c>
      <c r="AU1226" s="1012"/>
      <c r="AV1226" s="1012"/>
      <c r="AW1226" s="1012"/>
      <c r="AX1226" s="1012"/>
      <c r="AY1226" s="1012"/>
      <c r="AZ1226" s="1012"/>
      <c r="BA1226" s="1012"/>
      <c r="BB1226" s="1012"/>
      <c r="BC1226" s="1012"/>
      <c r="BD1226" s="1012"/>
      <c r="BE1226" s="1012"/>
      <c r="BF1226" s="1012"/>
      <c r="BG1226" s="1012"/>
    </row>
    <row r="1227" spans="1:123">
      <c r="A1227" s="2172"/>
      <c r="B1227" s="2166" t="s">
        <v>502</v>
      </c>
      <c r="C1227" s="2144" t="s">
        <v>11</v>
      </c>
      <c r="D1227" s="291" t="s">
        <v>33</v>
      </c>
      <c r="E1227" s="95">
        <v>17</v>
      </c>
      <c r="F1227" s="148" t="s">
        <v>15</v>
      </c>
      <c r="G1227" s="148" t="s">
        <v>15</v>
      </c>
      <c r="H1227" s="165">
        <v>17.27</v>
      </c>
      <c r="I1227" s="166">
        <v>12.56</v>
      </c>
      <c r="J1227" s="234" t="s">
        <v>15</v>
      </c>
      <c r="K1227" s="233" t="s">
        <v>15</v>
      </c>
      <c r="L1227" s="234" t="s">
        <v>15</v>
      </c>
      <c r="M1227" s="233" t="s">
        <v>15</v>
      </c>
      <c r="N1227" s="1201">
        <v>-37.61</v>
      </c>
      <c r="O1227" s="133">
        <v>-4.66</v>
      </c>
      <c r="P1227" s="133">
        <v>8.06</v>
      </c>
      <c r="Q1227" s="128">
        <f>E1227/96</f>
        <v>0.17708333333333334</v>
      </c>
      <c r="R1227" s="2129">
        <f>SUMPRODUCT(Q1227:Q1228,N1227:N1228)</f>
        <v>-6.6601041666666667</v>
      </c>
      <c r="S1227" s="127" t="s">
        <v>74</v>
      </c>
      <c r="T1227" s="129" t="s">
        <v>75</v>
      </c>
      <c r="U1227" s="858"/>
      <c r="V1227" s="24"/>
      <c r="W1227" s="26"/>
      <c r="X1227" s="26"/>
      <c r="Y1227" s="26"/>
      <c r="Z1227" s="26"/>
      <c r="AA1227" s="26"/>
      <c r="AC1227" s="26"/>
      <c r="AD1227" s="20" t="s">
        <v>145</v>
      </c>
      <c r="AE1227" s="276">
        <f>MAX(AT1223:AT1226)</f>
        <v>0.15377464915843136</v>
      </c>
      <c r="AF1227" s="75"/>
      <c r="AG1227" s="26"/>
      <c r="AH1227" s="957"/>
      <c r="AI1227" s="957"/>
      <c r="AJ1227" s="957"/>
      <c r="AK1227" s="957"/>
      <c r="AL1227" s="957"/>
      <c r="AM1227" s="957"/>
      <c r="AN1227" s="957"/>
      <c r="AO1227" s="957"/>
      <c r="AP1227" s="957"/>
      <c r="AQ1227" s="957"/>
      <c r="AR1227" s="957"/>
      <c r="AS1227" s="957"/>
      <c r="AT1227" s="957"/>
      <c r="AU1227" s="957"/>
      <c r="AV1227" s="957"/>
      <c r="AW1227" s="957"/>
      <c r="AX1227" s="957"/>
      <c r="AY1227" s="957"/>
      <c r="AZ1227" s="957"/>
      <c r="BA1227" s="957"/>
      <c r="BB1227" s="957"/>
      <c r="BC1227" s="957"/>
      <c r="BD1227" s="957"/>
      <c r="BE1227" s="957"/>
      <c r="BF1227" s="957"/>
      <c r="BG1227" s="957"/>
    </row>
    <row r="1228" spans="1:123">
      <c r="A1228" s="2172"/>
      <c r="B1228" s="2166"/>
      <c r="C1228" s="2144"/>
      <c r="D1228" s="292" t="s">
        <v>32</v>
      </c>
      <c r="E1228" s="95">
        <v>79</v>
      </c>
      <c r="F1228" s="148" t="s">
        <v>15</v>
      </c>
      <c r="G1228" s="148" t="s">
        <v>15</v>
      </c>
      <c r="H1228" s="165">
        <v>60.12</v>
      </c>
      <c r="I1228" s="166">
        <v>55.92</v>
      </c>
      <c r="J1228" s="234" t="s">
        <v>15</v>
      </c>
      <c r="K1228" s="233" t="s">
        <v>15</v>
      </c>
      <c r="L1228" s="234" t="s">
        <v>15</v>
      </c>
      <c r="M1228" s="233" t="s">
        <v>15</v>
      </c>
      <c r="N1228" s="1194">
        <v>0</v>
      </c>
      <c r="O1228" s="142" t="s">
        <v>574</v>
      </c>
      <c r="P1228" s="142" t="s">
        <v>574</v>
      </c>
      <c r="Q1228" s="128">
        <f>E1228/96</f>
        <v>0.82291666666666663</v>
      </c>
      <c r="R1228" s="2129"/>
      <c r="S1228" s="95">
        <v>63</v>
      </c>
      <c r="T1228" s="117" t="s">
        <v>15</v>
      </c>
      <c r="U1228" s="854"/>
      <c r="V1228" s="24"/>
      <c r="W1228" s="26"/>
      <c r="X1228" s="26"/>
      <c r="Y1228" s="26"/>
      <c r="Z1228" s="26"/>
      <c r="AA1228" s="26"/>
      <c r="AC1228" s="26"/>
      <c r="AD1228" s="24"/>
      <c r="AE1228" s="26"/>
      <c r="AF1228" s="75"/>
      <c r="AG1228" s="26"/>
      <c r="AH1228" s="957"/>
      <c r="AI1228" s="957"/>
      <c r="AJ1228" s="957"/>
      <c r="AK1228" s="957"/>
      <c r="AL1228" s="957"/>
      <c r="AM1228" s="957"/>
      <c r="AN1228" s="957"/>
      <c r="AO1228" s="957"/>
      <c r="AP1228" s="957"/>
      <c r="AQ1228" s="957"/>
      <c r="AR1228" s="957"/>
      <c r="AS1228" s="957"/>
      <c r="AT1228" s="957"/>
      <c r="AU1228" s="957"/>
      <c r="AV1228" s="957"/>
      <c r="AW1228" s="957"/>
      <c r="AX1228" s="957"/>
      <c r="AY1228" s="957"/>
      <c r="AZ1228" s="957"/>
      <c r="BA1228" s="957"/>
      <c r="BB1228" s="957"/>
      <c r="BC1228" s="957"/>
      <c r="BD1228" s="957"/>
      <c r="BE1228" s="957"/>
      <c r="BF1228" s="957"/>
      <c r="BG1228" s="957"/>
    </row>
    <row r="1229" spans="1:123">
      <c r="A1229" s="2172"/>
      <c r="B1229" s="2166" t="s">
        <v>503</v>
      </c>
      <c r="C1229" s="2144" t="s">
        <v>11</v>
      </c>
      <c r="D1229" s="291" t="s">
        <v>33</v>
      </c>
      <c r="E1229" s="95">
        <v>19</v>
      </c>
      <c r="F1229" s="148" t="s">
        <v>15</v>
      </c>
      <c r="G1229" s="148" t="s">
        <v>15</v>
      </c>
      <c r="H1229" s="165">
        <v>107.02</v>
      </c>
      <c r="I1229" s="166">
        <v>78.55</v>
      </c>
      <c r="J1229" s="234" t="s">
        <v>15</v>
      </c>
      <c r="K1229" s="233" t="s">
        <v>15</v>
      </c>
      <c r="L1229" s="234" t="s">
        <v>15</v>
      </c>
      <c r="M1229" s="233" t="s">
        <v>15</v>
      </c>
      <c r="N1229" s="1201">
        <v>40.89</v>
      </c>
      <c r="O1229" s="133">
        <v>3.47</v>
      </c>
      <c r="P1229" s="133">
        <v>11.78</v>
      </c>
      <c r="Q1229" s="128">
        <f>E1229/98</f>
        <v>0.19387755102040816</v>
      </c>
      <c r="R1229" s="2129">
        <f>SUMPRODUCT(Q1229:Q1230,N1229:N1230)</f>
        <v>7.9276530612244898</v>
      </c>
      <c r="S1229" s="127" t="s">
        <v>41</v>
      </c>
      <c r="T1229" s="129" t="s">
        <v>42</v>
      </c>
      <c r="U1229" s="858"/>
      <c r="V1229" s="24"/>
      <c r="W1229" s="26"/>
      <c r="X1229" s="26"/>
      <c r="Y1229" s="26"/>
      <c r="Z1229" s="26"/>
      <c r="AA1229" s="26"/>
      <c r="AC1229" s="26"/>
      <c r="AD1229" s="24"/>
      <c r="AE1229" s="26"/>
      <c r="AF1229" s="75"/>
      <c r="AG1229" s="26"/>
      <c r="AH1229" s="957"/>
      <c r="AI1229" s="957"/>
      <c r="AJ1229" s="957"/>
      <c r="AK1229" s="957"/>
      <c r="AL1229" s="957"/>
      <c r="AM1229" s="957"/>
      <c r="AN1229" s="957"/>
      <c r="AO1229" s="957"/>
      <c r="AP1229" s="957"/>
      <c r="AQ1229" s="957"/>
      <c r="AR1229" s="957"/>
      <c r="AS1229" s="957"/>
      <c r="AT1229" s="957"/>
      <c r="AU1229" s="957"/>
      <c r="AV1229" s="957"/>
      <c r="AW1229" s="957"/>
      <c r="AX1229" s="957"/>
      <c r="AY1229" s="957"/>
      <c r="AZ1229" s="957"/>
      <c r="BA1229" s="957"/>
      <c r="BB1229" s="957"/>
      <c r="BC1229" s="957"/>
      <c r="BD1229" s="957"/>
      <c r="BE1229" s="957"/>
      <c r="BF1229" s="957"/>
      <c r="BG1229" s="957"/>
    </row>
    <row r="1230" spans="1:123">
      <c r="A1230" s="2172"/>
      <c r="B1230" s="2166"/>
      <c r="C1230" s="2144"/>
      <c r="D1230" s="292" t="s">
        <v>32</v>
      </c>
      <c r="E1230" s="95">
        <v>77</v>
      </c>
      <c r="F1230" s="148" t="s">
        <v>15</v>
      </c>
      <c r="G1230" s="148" t="s">
        <v>15</v>
      </c>
      <c r="H1230" s="165">
        <v>38.24</v>
      </c>
      <c r="I1230" s="166">
        <v>33.1</v>
      </c>
      <c r="J1230" s="234" t="s">
        <v>15</v>
      </c>
      <c r="K1230" s="233" t="s">
        <v>15</v>
      </c>
      <c r="L1230" s="234" t="s">
        <v>15</v>
      </c>
      <c r="M1230" s="233" t="s">
        <v>15</v>
      </c>
      <c r="N1230" s="1194">
        <v>0</v>
      </c>
      <c r="O1230" s="142" t="s">
        <v>574</v>
      </c>
      <c r="P1230" s="142" t="s">
        <v>574</v>
      </c>
      <c r="Q1230" s="128">
        <f>E1230/98</f>
        <v>0.7857142857142857</v>
      </c>
      <c r="R1230" s="2129"/>
      <c r="S1230" s="86">
        <v>0.82299999999999995</v>
      </c>
      <c r="T1230" s="302">
        <v>14.69</v>
      </c>
      <c r="U1230" s="874"/>
      <c r="V1230" s="24"/>
      <c r="W1230" s="26"/>
      <c r="X1230" s="26"/>
      <c r="Y1230" s="26"/>
      <c r="Z1230" s="26"/>
      <c r="AA1230" s="26"/>
      <c r="AC1230" s="26"/>
      <c r="AD1230" s="24"/>
      <c r="AE1230" s="26"/>
      <c r="AF1230" s="75"/>
      <c r="AG1230" s="26"/>
      <c r="AH1230" s="957"/>
      <c r="AI1230" s="957"/>
      <c r="AJ1230" s="957"/>
      <c r="AK1230" s="957"/>
      <c r="AL1230" s="957"/>
      <c r="AM1230" s="957"/>
      <c r="AN1230" s="957"/>
      <c r="AO1230" s="957"/>
      <c r="AP1230" s="957"/>
      <c r="AQ1230" s="957"/>
      <c r="AR1230" s="957"/>
      <c r="AS1230" s="957"/>
      <c r="AT1230" s="957"/>
      <c r="AU1230" s="957"/>
      <c r="AV1230" s="957"/>
      <c r="AW1230" s="957"/>
      <c r="AX1230" s="957"/>
      <c r="AY1230" s="957"/>
      <c r="AZ1230" s="957"/>
      <c r="BA1230" s="957"/>
      <c r="BB1230" s="957"/>
      <c r="BC1230" s="957"/>
      <c r="BD1230" s="957"/>
      <c r="BE1230" s="957"/>
      <c r="BF1230" s="957"/>
      <c r="BG1230" s="957"/>
    </row>
    <row r="1231" spans="1:123">
      <c r="A1231" s="2172"/>
      <c r="B1231" s="2371" t="s">
        <v>194</v>
      </c>
      <c r="C1231" s="41"/>
      <c r="D1231" s="26"/>
      <c r="E1231" s="26"/>
      <c r="F1231" s="26"/>
      <c r="G1231" s="26"/>
      <c r="H1231" s="26"/>
      <c r="I1231" s="26"/>
      <c r="J1231" s="75"/>
      <c r="K1231" s="26"/>
      <c r="L1231" s="75"/>
      <c r="M1231" s="26"/>
      <c r="N1231" s="1210"/>
      <c r="O1231" s="475"/>
      <c r="P1231" s="475"/>
      <c r="Q1231" s="252"/>
      <c r="R1231" s="252"/>
      <c r="S1231" s="118" t="s">
        <v>235</v>
      </c>
      <c r="T1231" s="119" t="s">
        <v>391</v>
      </c>
      <c r="U1231" s="855"/>
      <c r="V1231" s="24"/>
      <c r="W1231" s="26"/>
      <c r="X1231" s="26"/>
      <c r="Y1231" s="26"/>
      <c r="Z1231" s="26"/>
      <c r="AA1231" s="26"/>
      <c r="AC1231" s="26"/>
      <c r="AD1231" s="24"/>
      <c r="AE1231" s="26"/>
      <c r="AF1231" s="75"/>
      <c r="AG1231" s="26"/>
      <c r="AH1231" s="957"/>
      <c r="AI1231" s="957"/>
      <c r="AJ1231" s="957"/>
      <c r="AK1231" s="957"/>
      <c r="AL1231" s="957"/>
      <c r="AM1231" s="957"/>
      <c r="AN1231" s="957"/>
      <c r="AO1231" s="957"/>
      <c r="AP1231" s="957"/>
      <c r="AQ1231" s="957"/>
      <c r="AR1231" s="957"/>
      <c r="AS1231" s="957"/>
      <c r="AT1231" s="957"/>
      <c r="AU1231" s="957"/>
      <c r="AV1231" s="957"/>
      <c r="AW1231" s="957"/>
      <c r="AX1231" s="957"/>
      <c r="AY1231" s="957"/>
      <c r="AZ1231" s="957"/>
      <c r="BA1231" s="957"/>
      <c r="BB1231" s="957"/>
      <c r="BC1231" s="957"/>
      <c r="BD1231" s="957"/>
      <c r="BE1231" s="957"/>
      <c r="BF1231" s="957"/>
      <c r="BG1231" s="957"/>
    </row>
    <row r="1232" spans="1:123" ht="15.75" thickBot="1">
      <c r="A1232" s="2172"/>
      <c r="B1232" s="2372"/>
      <c r="C1232" s="41"/>
      <c r="D1232" s="26"/>
      <c r="E1232" s="26"/>
      <c r="F1232" s="26"/>
      <c r="G1232" s="26"/>
      <c r="H1232" s="26"/>
      <c r="I1232" s="26"/>
      <c r="J1232" s="75"/>
      <c r="K1232" s="26"/>
      <c r="L1232" s="186"/>
      <c r="M1232" s="26"/>
      <c r="N1232" s="1216"/>
      <c r="O1232" s="475"/>
      <c r="P1232" s="475"/>
      <c r="Q1232" s="252"/>
      <c r="R1232" s="252"/>
      <c r="S1232" s="86">
        <v>20.73</v>
      </c>
      <c r="T1232" s="365">
        <v>0</v>
      </c>
      <c r="U1232" s="862"/>
      <c r="V1232" s="24"/>
      <c r="W1232" s="26"/>
      <c r="X1232" s="26"/>
      <c r="Y1232" s="26"/>
      <c r="Z1232" s="26"/>
      <c r="AA1232" s="26"/>
      <c r="AC1232" s="26"/>
      <c r="AD1232" s="24"/>
      <c r="AE1232" s="26"/>
      <c r="AF1232" s="75"/>
      <c r="AG1232" s="26"/>
      <c r="AH1232" s="957"/>
      <c r="AI1232" s="957"/>
      <c r="AJ1232" s="957"/>
      <c r="AK1232" s="957"/>
      <c r="AL1232" s="957"/>
      <c r="AM1232" s="957"/>
      <c r="AN1232" s="957"/>
      <c r="AO1232" s="957"/>
      <c r="AP1232" s="957"/>
      <c r="AQ1232" s="957"/>
      <c r="AR1232" s="957"/>
      <c r="AS1232" s="957"/>
      <c r="AT1232" s="957"/>
      <c r="AU1232" s="957"/>
      <c r="AV1232" s="957"/>
      <c r="AW1232" s="957"/>
      <c r="AX1232" s="957"/>
      <c r="AY1232" s="957"/>
      <c r="AZ1232" s="957"/>
      <c r="BA1232" s="957"/>
      <c r="BB1232" s="957"/>
      <c r="BC1232" s="957"/>
      <c r="BD1232" s="957"/>
      <c r="BE1232" s="957"/>
      <c r="BF1232" s="957"/>
      <c r="BG1232" s="957"/>
    </row>
    <row r="1233" spans="1:113" s="692" customFormat="1" ht="25.5" customHeight="1" thickBot="1">
      <c r="A1233" s="721" t="s">
        <v>1294</v>
      </c>
      <c r="B1233" s="1054"/>
      <c r="C1233" s="684"/>
      <c r="D1233" s="683"/>
      <c r="E1233" s="707"/>
      <c r="F1233" s="708"/>
      <c r="G1233" s="708"/>
      <c r="H1233" s="709"/>
      <c r="I1233" s="709"/>
      <c r="J1233" s="682"/>
      <c r="K1233" s="683"/>
      <c r="L1233" s="682"/>
      <c r="M1233" s="685"/>
      <c r="N1233" s="1189"/>
      <c r="O1233" s="686"/>
      <c r="P1233" s="686"/>
      <c r="Q1233" s="687"/>
      <c r="R1233" s="687"/>
      <c r="S1233" s="688"/>
      <c r="T1233" s="688"/>
      <c r="U1233" s="854"/>
      <c r="V1233" s="893"/>
      <c r="W1233" s="685"/>
      <c r="X1233" s="700"/>
      <c r="Y1233" s="710"/>
      <c r="Z1233" s="710"/>
      <c r="AA1233" s="710"/>
      <c r="AB1233" s="921"/>
      <c r="AC1233" s="690"/>
      <c r="AD1233" s="690"/>
      <c r="AE1233" s="690"/>
      <c r="AF1233" s="711"/>
      <c r="AG1233" s="690"/>
      <c r="AH1233" s="959"/>
      <c r="AI1233" s="958"/>
      <c r="AJ1233" s="958"/>
      <c r="AK1233" s="958"/>
      <c r="AL1233" s="958"/>
      <c r="AM1233" s="958"/>
      <c r="AN1233" s="959"/>
      <c r="AO1233" s="959"/>
      <c r="AP1233" s="959"/>
      <c r="AQ1233" s="959"/>
      <c r="AR1233" s="959"/>
      <c r="AS1233" s="959"/>
      <c r="AT1233" s="959"/>
      <c r="AU1233" s="959"/>
      <c r="AV1233" s="959"/>
      <c r="AW1233" s="959"/>
      <c r="AX1233" s="959"/>
      <c r="AY1233" s="959"/>
      <c r="AZ1233" s="959"/>
      <c r="BA1233" s="959"/>
      <c r="BB1233" s="959"/>
      <c r="BC1233" s="959"/>
      <c r="BD1233" s="959"/>
      <c r="BE1233" s="959"/>
      <c r="BF1233" s="959"/>
      <c r="BG1233" s="959"/>
      <c r="BH1233" s="1125"/>
      <c r="DI1233" s="693"/>
    </row>
    <row r="1234" spans="1:113" ht="15" customHeight="1">
      <c r="A1234" s="2119" t="s">
        <v>1376</v>
      </c>
      <c r="B1234" s="819" t="s">
        <v>1352</v>
      </c>
      <c r="C1234" s="1050" t="s">
        <v>12</v>
      </c>
      <c r="D1234" s="211" t="s">
        <v>1218</v>
      </c>
      <c r="E1234" s="282">
        <v>139</v>
      </c>
      <c r="F1234" s="747" t="s">
        <v>15</v>
      </c>
      <c r="G1234" s="747" t="s">
        <v>15</v>
      </c>
      <c r="H1234" s="513">
        <v>156.51</v>
      </c>
      <c r="I1234" s="570">
        <v>93.68</v>
      </c>
      <c r="J1234" s="298" t="s">
        <v>15</v>
      </c>
      <c r="K1234" s="1135" t="s">
        <v>15</v>
      </c>
      <c r="L1234" s="298" t="s">
        <v>15</v>
      </c>
      <c r="M1234" s="1135" t="s">
        <v>15</v>
      </c>
      <c r="N1234" s="441">
        <v>1.62</v>
      </c>
      <c r="O1234" s="280">
        <v>4.7</v>
      </c>
      <c r="P1234" s="280">
        <v>0.34499999999999997</v>
      </c>
      <c r="Q1234" s="747" t="s">
        <v>15</v>
      </c>
      <c r="R1234" s="259">
        <f t="shared" ref="R1234:R1243" si="68">N1234</f>
        <v>1.62</v>
      </c>
      <c r="S1234" s="149" t="s">
        <v>68</v>
      </c>
      <c r="T1234" s="150" t="s">
        <v>69</v>
      </c>
      <c r="U1234" s="887"/>
      <c r="V1234" s="2162" t="s">
        <v>2698</v>
      </c>
      <c r="W1234" s="212" t="s">
        <v>1220</v>
      </c>
      <c r="X1234" s="1067" t="s">
        <v>1393</v>
      </c>
      <c r="Y1234" s="299">
        <f>T1241+R1234*48+R1235*64</f>
        <v>92.131</v>
      </c>
      <c r="Z1234" s="1072" t="s">
        <v>40</v>
      </c>
      <c r="AA1234" s="1073" t="s">
        <v>40</v>
      </c>
      <c r="AB1234" s="755"/>
      <c r="AC1234" s="26"/>
      <c r="AD1234" s="2131" t="s">
        <v>142</v>
      </c>
      <c r="AE1234" s="2267"/>
      <c r="AF1234" s="277" t="s">
        <v>1220</v>
      </c>
      <c r="AG1234" s="212" t="s">
        <v>1221</v>
      </c>
      <c r="AH1234" s="1047">
        <v>182.54</v>
      </c>
      <c r="AI1234" s="1040"/>
      <c r="AJ1234" s="1040"/>
      <c r="AK1234" s="1040"/>
      <c r="AL1234" s="1040"/>
      <c r="AM1234" s="1040"/>
      <c r="AN1234" s="957"/>
      <c r="AO1234" s="957"/>
      <c r="AP1234" s="957"/>
      <c r="AQ1234" s="957"/>
      <c r="AR1234" s="957"/>
      <c r="AS1234" s="957"/>
      <c r="AT1234" s="957"/>
      <c r="AU1234" s="957"/>
      <c r="AV1234" s="957"/>
      <c r="AW1234" s="957"/>
      <c r="AX1234" s="957"/>
      <c r="AY1234" s="957"/>
      <c r="AZ1234" s="957"/>
      <c r="BA1234" s="957"/>
      <c r="BB1234" s="957"/>
      <c r="BC1234" s="957"/>
      <c r="BD1234" s="957"/>
      <c r="BE1234" s="957"/>
      <c r="BF1234" s="957"/>
      <c r="BG1234" s="957"/>
    </row>
    <row r="1235" spans="1:113" ht="15" customHeight="1">
      <c r="A1235" s="2120"/>
      <c r="B1235" s="817" t="s">
        <v>1328</v>
      </c>
      <c r="C1235" s="154" t="s">
        <v>12</v>
      </c>
      <c r="D1235" s="750" t="s">
        <v>1219</v>
      </c>
      <c r="E1235" s="95">
        <v>139</v>
      </c>
      <c r="F1235" s="148" t="s">
        <v>15</v>
      </c>
      <c r="G1235" s="148" t="s">
        <v>15</v>
      </c>
      <c r="H1235" s="513">
        <v>156.51</v>
      </c>
      <c r="I1235" s="570">
        <v>93.68</v>
      </c>
      <c r="J1235" s="234" t="s">
        <v>15</v>
      </c>
      <c r="K1235" s="233" t="s">
        <v>15</v>
      </c>
      <c r="L1235" s="234" t="s">
        <v>15</v>
      </c>
      <c r="M1235" s="233" t="s">
        <v>15</v>
      </c>
      <c r="N1235" s="537">
        <v>-0.17100000000000001</v>
      </c>
      <c r="O1235" s="789">
        <v>1.21</v>
      </c>
      <c r="P1235" s="789">
        <v>0.14099999999999999</v>
      </c>
      <c r="Q1235" s="148" t="s">
        <v>15</v>
      </c>
      <c r="R1235" s="128">
        <f t="shared" si="68"/>
        <v>-0.17100000000000001</v>
      </c>
      <c r="S1235" s="748" t="s">
        <v>1187</v>
      </c>
      <c r="T1235" s="794" t="s">
        <v>310</v>
      </c>
      <c r="U1235" s="888"/>
      <c r="V1235" s="2163"/>
      <c r="W1235" s="335" t="s">
        <v>49</v>
      </c>
      <c r="X1235" s="1066" t="s">
        <v>1394</v>
      </c>
      <c r="Y1235" s="165">
        <f>T1241+R1234*48+R1235*60</f>
        <v>92.814999999999998</v>
      </c>
      <c r="Z1235" s="165">
        <f>Y1235-$Y$1234</f>
        <v>0.6839999999999975</v>
      </c>
      <c r="AA1235" s="166">
        <f>(64-60)*P1235</f>
        <v>0.56399999999999995</v>
      </c>
      <c r="AB1235" s="754"/>
      <c r="AC1235" s="26"/>
      <c r="AD1235" s="2268" t="s">
        <v>1235</v>
      </c>
      <c r="AE1235" s="2269"/>
      <c r="AF1235" s="336" t="s">
        <v>49</v>
      </c>
      <c r="AG1235" s="335" t="s">
        <v>1222</v>
      </c>
      <c r="AH1235" s="1045">
        <v>185.96</v>
      </c>
      <c r="AI1235" s="1039"/>
      <c r="AJ1235" s="1039"/>
      <c r="AK1235" s="1039"/>
      <c r="AL1235" s="1039"/>
      <c r="AM1235" s="1039"/>
      <c r="AN1235" s="957"/>
      <c r="AO1235" s="957"/>
      <c r="AP1235" s="957"/>
      <c r="AQ1235" s="957"/>
      <c r="AR1235" s="957"/>
      <c r="AS1235" s="957"/>
      <c r="AT1235" s="957"/>
      <c r="AU1235" s="957"/>
      <c r="AV1235" s="957"/>
      <c r="AW1235" s="957"/>
      <c r="AX1235" s="957"/>
      <c r="AY1235" s="957"/>
      <c r="AZ1235" s="957"/>
      <c r="BA1235" s="957"/>
      <c r="BB1235" s="957"/>
      <c r="BC1235" s="957"/>
      <c r="BD1235" s="957"/>
      <c r="BE1235" s="957"/>
      <c r="BF1235" s="957"/>
      <c r="BG1235" s="957"/>
    </row>
    <row r="1236" spans="1:113" ht="15" customHeight="1">
      <c r="A1236" s="2120"/>
      <c r="B1236" s="2166" t="s">
        <v>1332</v>
      </c>
      <c r="C1236" s="2144" t="s">
        <v>11</v>
      </c>
      <c r="D1236" s="749" t="s">
        <v>490</v>
      </c>
      <c r="E1236" s="95">
        <v>32</v>
      </c>
      <c r="F1236" s="148" t="s">
        <v>15</v>
      </c>
      <c r="G1236" s="148" t="s">
        <v>15</v>
      </c>
      <c r="H1236" s="513">
        <v>215.81</v>
      </c>
      <c r="I1236" s="570">
        <v>63.32</v>
      </c>
      <c r="J1236" s="234" t="s">
        <v>15</v>
      </c>
      <c r="K1236" s="233" t="s">
        <v>15</v>
      </c>
      <c r="L1236" s="234" t="s">
        <v>15</v>
      </c>
      <c r="M1236" s="233" t="s">
        <v>15</v>
      </c>
      <c r="N1236" s="1201">
        <v>33.167999999999999</v>
      </c>
      <c r="O1236" s="133">
        <v>2.37</v>
      </c>
      <c r="P1236" s="133">
        <v>13.992000000000001</v>
      </c>
      <c r="Q1236" s="148" t="s">
        <v>15</v>
      </c>
      <c r="R1236" s="128">
        <f t="shared" si="68"/>
        <v>33.167999999999999</v>
      </c>
      <c r="S1236" s="127" t="s">
        <v>72</v>
      </c>
      <c r="T1236" s="119" t="s">
        <v>119</v>
      </c>
      <c r="U1236" s="888"/>
      <c r="V1236" s="2163"/>
      <c r="W1236" s="335" t="s">
        <v>49</v>
      </c>
      <c r="X1236" s="1066" t="s">
        <v>1395</v>
      </c>
      <c r="Y1236" s="165">
        <f>T1241+R1234*48+R1235*56</f>
        <v>93.498999999999995</v>
      </c>
      <c r="Z1236" s="165">
        <f>Y1236-$Y$1234</f>
        <v>1.367999999999995</v>
      </c>
      <c r="AA1236" s="166">
        <f>(64-56)*P1235</f>
        <v>1.1279999999999999</v>
      </c>
      <c r="AB1236" s="754"/>
      <c r="AC1236" s="26"/>
      <c r="AD1236" s="24"/>
      <c r="AE1236" s="26"/>
      <c r="AF1236" s="336" t="s">
        <v>1220</v>
      </c>
      <c r="AG1236" s="335" t="s">
        <v>1223</v>
      </c>
      <c r="AH1236" s="1045">
        <v>218.69</v>
      </c>
      <c r="AI1236" s="1039">
        <v>175.5</v>
      </c>
      <c r="AJ1236" s="1039"/>
      <c r="AK1236" s="1039"/>
      <c r="AL1236" s="1039"/>
      <c r="AM1236" s="1039"/>
      <c r="AN1236" s="957"/>
      <c r="AO1236" s="957"/>
      <c r="AP1236" s="957"/>
      <c r="AQ1236" s="957"/>
      <c r="AR1236" s="957"/>
      <c r="AS1236" s="957"/>
      <c r="AT1236" s="957"/>
      <c r="AU1236" s="957"/>
      <c r="AV1236" s="957"/>
      <c r="AW1236" s="957"/>
      <c r="AX1236" s="957"/>
      <c r="AY1236" s="957"/>
      <c r="AZ1236" s="957"/>
      <c r="BA1236" s="957"/>
      <c r="BB1236" s="957"/>
      <c r="BC1236" s="957"/>
      <c r="BD1236" s="957"/>
      <c r="BE1236" s="957"/>
      <c r="BF1236" s="957"/>
      <c r="BG1236" s="957"/>
    </row>
    <row r="1237" spans="1:113" ht="15" customHeight="1">
      <c r="A1237" s="2120"/>
      <c r="B1237" s="2166"/>
      <c r="C1237" s="2144"/>
      <c r="D1237" s="749" t="s">
        <v>32</v>
      </c>
      <c r="E1237" s="95">
        <v>107</v>
      </c>
      <c r="F1237" s="148" t="s">
        <v>15</v>
      </c>
      <c r="G1237" s="148" t="s">
        <v>15</v>
      </c>
      <c r="H1237" s="513">
        <v>138.78</v>
      </c>
      <c r="I1237" s="570">
        <v>94.2</v>
      </c>
      <c r="J1237" s="234" t="s">
        <v>15</v>
      </c>
      <c r="K1237" s="233" t="s">
        <v>15</v>
      </c>
      <c r="L1237" s="234" t="s">
        <v>15</v>
      </c>
      <c r="M1237" s="233" t="s">
        <v>15</v>
      </c>
      <c r="N1237" s="1194">
        <v>0</v>
      </c>
      <c r="O1237" s="142" t="s">
        <v>574</v>
      </c>
      <c r="P1237" s="142" t="s">
        <v>574</v>
      </c>
      <c r="Q1237" s="148" t="s">
        <v>15</v>
      </c>
      <c r="R1237" s="128">
        <f t="shared" si="68"/>
        <v>0</v>
      </c>
      <c r="S1237" s="423" t="s">
        <v>139</v>
      </c>
      <c r="T1237" s="411" t="s">
        <v>140</v>
      </c>
      <c r="U1237" s="888"/>
      <c r="V1237" s="2163"/>
      <c r="W1237" s="335" t="s">
        <v>1220</v>
      </c>
      <c r="X1237" s="1066" t="s">
        <v>1396</v>
      </c>
      <c r="Y1237" s="165">
        <f>T1241+R1234*48+R1235*128</f>
        <v>81.186999999999998</v>
      </c>
      <c r="Z1237" s="1074" t="s">
        <v>40</v>
      </c>
      <c r="AA1237" s="934" t="s">
        <v>40</v>
      </c>
      <c r="AB1237" s="754"/>
      <c r="AC1237" s="26"/>
      <c r="AD1237" s="24"/>
      <c r="AE1237" s="26"/>
      <c r="AF1237" s="336" t="s">
        <v>49</v>
      </c>
      <c r="AG1237" s="335" t="s">
        <v>1224</v>
      </c>
      <c r="AH1237" s="1046">
        <v>220.05</v>
      </c>
      <c r="AI1237" s="1039"/>
      <c r="AJ1237" s="1039"/>
      <c r="AK1237" s="1039"/>
      <c r="AL1237" s="1039"/>
      <c r="AM1237" s="1039"/>
      <c r="AN1237" s="957"/>
      <c r="AO1237" s="957"/>
      <c r="AP1237" s="957"/>
      <c r="AQ1237" s="957"/>
      <c r="AR1237" s="957"/>
      <c r="AS1237" s="957"/>
      <c r="AT1237" s="957"/>
      <c r="AU1237" s="957"/>
      <c r="AV1237" s="957"/>
      <c r="AW1237" s="957"/>
      <c r="AX1237" s="957"/>
      <c r="AY1237" s="957"/>
      <c r="AZ1237" s="957"/>
      <c r="BA1237" s="957"/>
      <c r="BB1237" s="957"/>
      <c r="BC1237" s="957"/>
      <c r="BD1237" s="957"/>
      <c r="BE1237" s="957"/>
      <c r="BF1237" s="957"/>
      <c r="BG1237" s="957"/>
    </row>
    <row r="1238" spans="1:113" ht="15" customHeight="1">
      <c r="A1238" s="2120"/>
      <c r="B1238" s="2166" t="s">
        <v>1333</v>
      </c>
      <c r="C1238" s="2144" t="s">
        <v>11</v>
      </c>
      <c r="D1238" s="749" t="s">
        <v>490</v>
      </c>
      <c r="E1238" s="95">
        <v>15</v>
      </c>
      <c r="F1238" s="148" t="s">
        <v>15</v>
      </c>
      <c r="G1238" s="148" t="s">
        <v>15</v>
      </c>
      <c r="H1238" s="513">
        <v>316.93</v>
      </c>
      <c r="I1238" s="570">
        <v>104.29</v>
      </c>
      <c r="J1238" s="234" t="s">
        <v>15</v>
      </c>
      <c r="K1238" s="233" t="s">
        <v>15</v>
      </c>
      <c r="L1238" s="234" t="s">
        <v>15</v>
      </c>
      <c r="M1238" s="233" t="s">
        <v>15</v>
      </c>
      <c r="N1238" s="1201">
        <v>117.697</v>
      </c>
      <c r="O1238" s="133">
        <v>6.96</v>
      </c>
      <c r="P1238" s="133">
        <v>16.911000000000001</v>
      </c>
      <c r="Q1238" s="148" t="s">
        <v>15</v>
      </c>
      <c r="R1238" s="128">
        <f t="shared" si="68"/>
        <v>117.697</v>
      </c>
      <c r="S1238" s="127" t="s">
        <v>74</v>
      </c>
      <c r="T1238" s="129" t="s">
        <v>75</v>
      </c>
      <c r="U1238" s="888"/>
      <c r="V1238" s="2164"/>
      <c r="W1238" s="335" t="s">
        <v>49</v>
      </c>
      <c r="X1238" s="1066" t="s">
        <v>1397</v>
      </c>
      <c r="Y1238" s="165">
        <f>T1241+R1234*48+R1235*84</f>
        <v>88.710999999999999</v>
      </c>
      <c r="Z1238" s="165">
        <f>Y1238-Y1237</f>
        <v>7.5240000000000009</v>
      </c>
      <c r="AA1238" s="166">
        <f>(64-56)*P1235</f>
        <v>1.1279999999999999</v>
      </c>
      <c r="AB1238" s="754"/>
      <c r="AC1238" s="26"/>
      <c r="AD1238" s="24"/>
      <c r="AE1238" s="26"/>
      <c r="AF1238" s="336" t="s">
        <v>1220</v>
      </c>
      <c r="AG1238" s="335" t="s">
        <v>1225</v>
      </c>
      <c r="AH1238" s="1046">
        <v>146.62</v>
      </c>
      <c r="AI1238" s="1039"/>
      <c r="AJ1238" s="1039">
        <v>190.8</v>
      </c>
      <c r="AK1238" s="1039">
        <v>138.74</v>
      </c>
      <c r="AL1238" s="1039"/>
      <c r="AM1238" s="1039"/>
      <c r="AN1238" s="957"/>
      <c r="AO1238" s="957"/>
      <c r="AP1238" s="957"/>
      <c r="AQ1238" s="957"/>
      <c r="AR1238" s="957"/>
      <c r="AS1238" s="957"/>
      <c r="AT1238" s="957"/>
      <c r="AU1238" s="957"/>
      <c r="AV1238" s="957"/>
      <c r="AW1238" s="957"/>
      <c r="AX1238" s="957"/>
      <c r="AY1238" s="957"/>
      <c r="AZ1238" s="957"/>
      <c r="BA1238" s="957"/>
      <c r="BB1238" s="957"/>
      <c r="BC1238" s="957"/>
      <c r="BD1238" s="957"/>
      <c r="BE1238" s="957"/>
      <c r="BF1238" s="957"/>
      <c r="BG1238" s="957"/>
    </row>
    <row r="1239" spans="1:113" ht="15" customHeight="1">
      <c r="A1239" s="2120"/>
      <c r="B1239" s="2166"/>
      <c r="C1239" s="2144"/>
      <c r="D1239" s="749" t="s">
        <v>32</v>
      </c>
      <c r="E1239" s="95">
        <v>124</v>
      </c>
      <c r="F1239" s="148" t="s">
        <v>15</v>
      </c>
      <c r="G1239" s="148" t="s">
        <v>15</v>
      </c>
      <c r="H1239" s="513">
        <v>137.1</v>
      </c>
      <c r="I1239" s="570">
        <v>71.34</v>
      </c>
      <c r="J1239" s="234" t="s">
        <v>15</v>
      </c>
      <c r="K1239" s="233" t="s">
        <v>15</v>
      </c>
      <c r="L1239" s="234" t="s">
        <v>15</v>
      </c>
      <c r="M1239" s="233" t="s">
        <v>15</v>
      </c>
      <c r="N1239" s="1194">
        <v>0</v>
      </c>
      <c r="O1239" s="142" t="s">
        <v>574</v>
      </c>
      <c r="P1239" s="142" t="s">
        <v>574</v>
      </c>
      <c r="Q1239" s="148" t="s">
        <v>15</v>
      </c>
      <c r="R1239" s="128">
        <f t="shared" si="68"/>
        <v>0</v>
      </c>
      <c r="S1239" s="95">
        <v>139</v>
      </c>
      <c r="T1239" s="117" t="s">
        <v>15</v>
      </c>
      <c r="U1239" s="888"/>
      <c r="V1239" s="24"/>
      <c r="W1239" s="26"/>
      <c r="X1239" s="26"/>
      <c r="Y1239" s="41"/>
      <c r="Z1239" s="41"/>
      <c r="AA1239" s="41"/>
      <c r="AB1239" s="754"/>
      <c r="AC1239" s="26"/>
      <c r="AD1239" s="24"/>
      <c r="AE1239" s="26"/>
      <c r="AF1239" s="336" t="s">
        <v>49</v>
      </c>
      <c r="AG1239" s="335" t="s">
        <v>1226</v>
      </c>
      <c r="AH1239" s="1046">
        <v>147.30000000000001</v>
      </c>
      <c r="AI1239" s="1039"/>
      <c r="AJ1239" s="1039"/>
      <c r="AK1239" s="1039"/>
      <c r="AL1239" s="1039"/>
      <c r="AM1239" s="1039"/>
      <c r="AN1239" s="957"/>
      <c r="AO1239" s="957"/>
      <c r="AP1239" s="957"/>
      <c r="AQ1239" s="957"/>
      <c r="AR1239" s="957"/>
      <c r="AS1239" s="957"/>
      <c r="AT1239" s="957"/>
      <c r="AU1239" s="957"/>
      <c r="AV1239" s="957"/>
      <c r="AW1239" s="957"/>
      <c r="AX1239" s="957"/>
      <c r="AY1239" s="957"/>
      <c r="AZ1239" s="957"/>
      <c r="BA1239" s="957"/>
      <c r="BB1239" s="957"/>
      <c r="BC1239" s="957"/>
      <c r="BD1239" s="957"/>
      <c r="BE1239" s="957"/>
      <c r="BF1239" s="957"/>
      <c r="BG1239" s="957"/>
    </row>
    <row r="1240" spans="1:113" ht="15" customHeight="1">
      <c r="A1240" s="2120"/>
      <c r="B1240" s="2166" t="s">
        <v>1331</v>
      </c>
      <c r="C1240" s="2144" t="s">
        <v>13</v>
      </c>
      <c r="D1240" s="785" t="s">
        <v>1329</v>
      </c>
      <c r="E1240" s="95">
        <v>41</v>
      </c>
      <c r="F1240" s="148" t="s">
        <v>15</v>
      </c>
      <c r="G1240" s="148" t="s">
        <v>15</v>
      </c>
      <c r="H1240" s="513">
        <v>247.4</v>
      </c>
      <c r="I1240" s="570">
        <v>107.44</v>
      </c>
      <c r="J1240" s="234" t="s">
        <v>15</v>
      </c>
      <c r="K1240" s="233" t="s">
        <v>15</v>
      </c>
      <c r="L1240" s="234" t="s">
        <v>15</v>
      </c>
      <c r="M1240" s="233" t="s">
        <v>15</v>
      </c>
      <c r="N1240" s="1201">
        <v>38.317</v>
      </c>
      <c r="O1240" s="133">
        <v>3.71</v>
      </c>
      <c r="P1240" s="133">
        <v>10.324999999999999</v>
      </c>
      <c r="Q1240" s="148" t="s">
        <v>15</v>
      </c>
      <c r="R1240" s="128">
        <f t="shared" si="68"/>
        <v>38.317</v>
      </c>
      <c r="S1240" s="127" t="s">
        <v>41</v>
      </c>
      <c r="T1240" s="129" t="s">
        <v>42</v>
      </c>
      <c r="U1240" s="888"/>
      <c r="V1240" s="24"/>
      <c r="W1240" s="26"/>
      <c r="X1240" s="26"/>
      <c r="Y1240" s="41"/>
      <c r="Z1240" s="41"/>
      <c r="AA1240" s="41"/>
      <c r="AB1240" s="754"/>
      <c r="AC1240" s="26"/>
      <c r="AD1240" s="24"/>
      <c r="AE1240" s="26"/>
      <c r="AF1240" s="336" t="s">
        <v>1220</v>
      </c>
      <c r="AG1240" s="335" t="s">
        <v>1227</v>
      </c>
      <c r="AH1240" s="1046">
        <v>92</v>
      </c>
      <c r="AI1240" s="1039"/>
      <c r="AJ1240" s="1039"/>
      <c r="AK1240" s="1039"/>
      <c r="AL1240" s="1039"/>
      <c r="AM1240" s="1039"/>
      <c r="AN1240" s="957"/>
      <c r="AO1240" s="957"/>
      <c r="AP1240" s="957"/>
      <c r="AQ1240" s="957"/>
      <c r="AR1240" s="957"/>
      <c r="AS1240" s="957"/>
      <c r="AT1240" s="957"/>
      <c r="AU1240" s="957"/>
      <c r="AV1240" s="957"/>
      <c r="AW1240" s="957"/>
      <c r="AX1240" s="957"/>
      <c r="AY1240" s="957"/>
      <c r="AZ1240" s="957"/>
      <c r="BA1240" s="957"/>
      <c r="BB1240" s="957"/>
      <c r="BC1240" s="957"/>
      <c r="BD1240" s="957"/>
      <c r="BE1240" s="957"/>
      <c r="BF1240" s="957"/>
      <c r="BG1240" s="957"/>
    </row>
    <row r="1241" spans="1:113" ht="15" customHeight="1">
      <c r="A1241" s="2120"/>
      <c r="B1241" s="2166"/>
      <c r="C1241" s="2144"/>
      <c r="D1241" s="785" t="s">
        <v>1330</v>
      </c>
      <c r="E1241" s="95">
        <v>98</v>
      </c>
      <c r="F1241" s="148" t="s">
        <v>15</v>
      </c>
      <c r="G1241" s="148" t="s">
        <v>15</v>
      </c>
      <c r="H1241" s="513">
        <v>118.48</v>
      </c>
      <c r="I1241" s="570">
        <v>52.65</v>
      </c>
      <c r="J1241" s="234" t="s">
        <v>15</v>
      </c>
      <c r="K1241" s="233" t="s">
        <v>15</v>
      </c>
      <c r="L1241" s="234" t="s">
        <v>15</v>
      </c>
      <c r="M1241" s="233" t="s">
        <v>15</v>
      </c>
      <c r="N1241" s="1194">
        <v>0</v>
      </c>
      <c r="O1241" s="142" t="s">
        <v>574</v>
      </c>
      <c r="P1241" s="142" t="s">
        <v>574</v>
      </c>
      <c r="Q1241" s="148" t="s">
        <v>15</v>
      </c>
      <c r="R1241" s="128">
        <f t="shared" si="68"/>
        <v>0</v>
      </c>
      <c r="S1241" s="86">
        <v>0.80800000000000005</v>
      </c>
      <c r="T1241" s="841">
        <v>25.315000000000001</v>
      </c>
      <c r="U1241" s="888"/>
      <c r="V1241" s="24"/>
      <c r="W1241" s="26"/>
      <c r="X1241" s="26"/>
      <c r="Y1241" s="41"/>
      <c r="Z1241" s="41"/>
      <c r="AA1241" s="41"/>
      <c r="AB1241" s="754"/>
      <c r="AC1241" s="26"/>
      <c r="AD1241" s="24"/>
      <c r="AE1241" s="26"/>
      <c r="AF1241" s="336" t="s">
        <v>49</v>
      </c>
      <c r="AG1241" s="335" t="s">
        <v>1228</v>
      </c>
      <c r="AH1241" s="1046">
        <v>93.03</v>
      </c>
      <c r="AI1241" s="1039"/>
      <c r="AJ1241" s="1039"/>
      <c r="AK1241" s="1039"/>
      <c r="AL1241" s="1039"/>
      <c r="AM1241" s="1039"/>
      <c r="AN1241" s="957"/>
      <c r="AO1241" s="957"/>
      <c r="AP1241" s="957"/>
      <c r="AQ1241" s="957"/>
      <c r="AR1241" s="957"/>
      <c r="AS1241" s="957"/>
      <c r="AT1241" s="957"/>
      <c r="AU1241" s="957"/>
      <c r="AV1241" s="957"/>
      <c r="AW1241" s="957"/>
      <c r="AX1241" s="957"/>
      <c r="AY1241" s="957"/>
      <c r="AZ1241" s="957"/>
      <c r="BA1241" s="957"/>
      <c r="BB1241" s="957"/>
      <c r="BC1241" s="957"/>
      <c r="BD1241" s="957"/>
      <c r="BE1241" s="957"/>
      <c r="BF1241" s="957"/>
      <c r="BG1241" s="957"/>
    </row>
    <row r="1242" spans="1:113" ht="15" customHeight="1">
      <c r="A1242" s="2120"/>
      <c r="B1242" s="2166" t="s">
        <v>1343</v>
      </c>
      <c r="C1242" s="2144" t="s">
        <v>11</v>
      </c>
      <c r="D1242" s="784" t="s">
        <v>490</v>
      </c>
      <c r="E1242" s="95">
        <v>12</v>
      </c>
      <c r="F1242" s="148" t="s">
        <v>15</v>
      </c>
      <c r="G1242" s="148" t="s">
        <v>15</v>
      </c>
      <c r="H1242" s="513">
        <v>294.18</v>
      </c>
      <c r="I1242" s="570">
        <v>65.67</v>
      </c>
      <c r="J1242" s="234" t="s">
        <v>15</v>
      </c>
      <c r="K1242" s="233" t="s">
        <v>15</v>
      </c>
      <c r="L1242" s="234" t="s">
        <v>15</v>
      </c>
      <c r="M1242" s="233" t="s">
        <v>15</v>
      </c>
      <c r="N1242" s="1201">
        <v>123.247</v>
      </c>
      <c r="O1242" s="133">
        <v>8.64</v>
      </c>
      <c r="P1242" s="133">
        <v>14.263</v>
      </c>
      <c r="Q1242" s="148" t="s">
        <v>15</v>
      </c>
      <c r="R1242" s="128">
        <f t="shared" si="68"/>
        <v>123.247</v>
      </c>
      <c r="S1242" s="118" t="s">
        <v>235</v>
      </c>
      <c r="T1242" s="119" t="s">
        <v>391</v>
      </c>
      <c r="U1242" s="888"/>
      <c r="V1242" s="24"/>
      <c r="W1242" s="26"/>
      <c r="X1242" s="26"/>
      <c r="Y1242" s="41"/>
      <c r="Z1242" s="41"/>
      <c r="AA1242" s="41"/>
      <c r="AB1242" s="754"/>
      <c r="AC1242" s="26"/>
      <c r="AD1242" s="24"/>
      <c r="AE1242" s="26"/>
      <c r="AF1242" s="336" t="s">
        <v>1220</v>
      </c>
      <c r="AG1242" s="335" t="s">
        <v>1229</v>
      </c>
      <c r="AH1242" s="1046">
        <v>144.28</v>
      </c>
      <c r="AI1242" s="1039"/>
      <c r="AJ1242" s="1039"/>
      <c r="AK1242" s="1039"/>
      <c r="AL1242" s="1039"/>
      <c r="AM1242" s="1039"/>
      <c r="AN1242" s="957"/>
      <c r="AO1242" s="957"/>
      <c r="AP1242" s="957"/>
      <c r="AQ1242" s="957"/>
      <c r="AR1242" s="957"/>
      <c r="AS1242" s="957"/>
      <c r="AT1242" s="957"/>
      <c r="AU1242" s="957"/>
      <c r="AV1242" s="957"/>
      <c r="AW1242" s="957"/>
      <c r="AX1242" s="957"/>
      <c r="AY1242" s="957"/>
      <c r="AZ1242" s="957"/>
      <c r="BA1242" s="957"/>
      <c r="BB1242" s="957"/>
      <c r="BC1242" s="957"/>
      <c r="BD1242" s="957"/>
      <c r="BE1242" s="957"/>
      <c r="BF1242" s="957"/>
      <c r="BG1242" s="957"/>
    </row>
    <row r="1243" spans="1:113" ht="15" customHeight="1">
      <c r="A1243" s="2120"/>
      <c r="B1243" s="2166"/>
      <c r="C1243" s="2144"/>
      <c r="D1243" s="784" t="s">
        <v>32</v>
      </c>
      <c r="E1243" s="95">
        <v>127</v>
      </c>
      <c r="F1243" s="148" t="s">
        <v>15</v>
      </c>
      <c r="G1243" s="148" t="s">
        <v>15</v>
      </c>
      <c r="H1243" s="513">
        <v>143.5</v>
      </c>
      <c r="I1243" s="570">
        <v>82.65</v>
      </c>
      <c r="J1243" s="234" t="s">
        <v>15</v>
      </c>
      <c r="K1243" s="233" t="s">
        <v>15</v>
      </c>
      <c r="L1243" s="234" t="s">
        <v>15</v>
      </c>
      <c r="M1243" s="233" t="s">
        <v>15</v>
      </c>
      <c r="N1243" s="1194">
        <v>0</v>
      </c>
      <c r="O1243" s="142" t="s">
        <v>574</v>
      </c>
      <c r="P1243" s="142" t="s">
        <v>574</v>
      </c>
      <c r="Q1243" s="148" t="s">
        <v>15</v>
      </c>
      <c r="R1243" s="128">
        <f t="shared" si="68"/>
        <v>0</v>
      </c>
      <c r="S1243" s="86">
        <v>29.15</v>
      </c>
      <c r="T1243" s="151">
        <v>0.25</v>
      </c>
      <c r="U1243" s="888"/>
      <c r="V1243" s="24"/>
      <c r="W1243" s="26"/>
      <c r="X1243" s="26"/>
      <c r="Y1243" s="41"/>
      <c r="Z1243" s="41"/>
      <c r="AA1243" s="41"/>
      <c r="AB1243" s="754"/>
      <c r="AC1243" s="26"/>
      <c r="AD1243" s="24"/>
      <c r="AE1243" s="26"/>
      <c r="AF1243" s="336" t="s">
        <v>49</v>
      </c>
      <c r="AG1243" s="335" t="s">
        <v>1230</v>
      </c>
      <c r="AH1243" s="1046">
        <v>144.96</v>
      </c>
      <c r="AI1243" s="1039"/>
      <c r="AJ1243" s="1039"/>
      <c r="AK1243" s="1039"/>
      <c r="AL1243" s="1039"/>
      <c r="AM1243" s="1039">
        <v>118.25</v>
      </c>
      <c r="AN1243" s="957"/>
      <c r="AO1243" s="957"/>
      <c r="AP1243" s="957"/>
      <c r="AQ1243" s="957"/>
      <c r="AR1243" s="957"/>
      <c r="AS1243" s="957"/>
      <c r="AT1243" s="957"/>
      <c r="AU1243" s="957"/>
      <c r="AV1243" s="957"/>
      <c r="AW1243" s="957"/>
      <c r="AX1243" s="957"/>
      <c r="AY1243" s="957"/>
      <c r="AZ1243" s="957"/>
      <c r="BA1243" s="957"/>
      <c r="BB1243" s="957"/>
      <c r="BC1243" s="957"/>
      <c r="BD1243" s="957"/>
      <c r="BE1243" s="957"/>
      <c r="BF1243" s="957"/>
      <c r="BG1243" s="957"/>
    </row>
    <row r="1244" spans="1:113" ht="15" customHeight="1">
      <c r="A1244" s="2120"/>
      <c r="B1244" s="2166" t="s">
        <v>1334</v>
      </c>
      <c r="C1244" s="2144" t="s">
        <v>11</v>
      </c>
      <c r="D1244" s="749" t="s">
        <v>490</v>
      </c>
      <c r="E1244" s="95">
        <v>35</v>
      </c>
      <c r="F1244" s="148" t="s">
        <v>15</v>
      </c>
      <c r="G1244" s="148" t="s">
        <v>15</v>
      </c>
      <c r="H1244" s="513">
        <v>150.26</v>
      </c>
      <c r="I1244" s="570">
        <v>63.49</v>
      </c>
      <c r="J1244" s="234" t="s">
        <v>15</v>
      </c>
      <c r="K1244" s="233" t="s">
        <v>15</v>
      </c>
      <c r="L1244" s="234" t="s">
        <v>15</v>
      </c>
      <c r="M1244" s="233" t="s">
        <v>15</v>
      </c>
      <c r="N1244" s="1201">
        <v>36.529000000000003</v>
      </c>
      <c r="O1244" s="133">
        <v>3.65</v>
      </c>
      <c r="P1244" s="133">
        <v>10.01</v>
      </c>
      <c r="Q1244" s="128">
        <f t="shared" ref="Q1244:Q1249" si="69">E1244/139</f>
        <v>0.25179856115107913</v>
      </c>
      <c r="R1244" s="2130">
        <f>SUMPRODUCT(Q1244:Q1245,N1244:N1245)</f>
        <v>9.1979496402877707</v>
      </c>
      <c r="S1244" s="26"/>
      <c r="T1244" s="26"/>
      <c r="U1244" s="888"/>
      <c r="V1244" s="24"/>
      <c r="W1244" s="26"/>
      <c r="X1244" s="26"/>
      <c r="Y1244" s="41"/>
      <c r="Z1244" s="41"/>
      <c r="AA1244" s="41"/>
      <c r="AB1244" s="754"/>
      <c r="AC1244" s="26"/>
      <c r="AD1244" s="24"/>
      <c r="AE1244" s="26"/>
      <c r="AF1244" s="336" t="s">
        <v>1220</v>
      </c>
      <c r="AG1244" s="335" t="s">
        <v>1231</v>
      </c>
      <c r="AH1244" s="1046">
        <v>86.66</v>
      </c>
      <c r="AI1244" s="1039"/>
      <c r="AJ1244" s="1039"/>
      <c r="AK1244" s="1039"/>
      <c r="AL1244" s="1039">
        <v>60.39</v>
      </c>
      <c r="AM1244" s="1039">
        <v>100.16</v>
      </c>
      <c r="AN1244" s="957"/>
      <c r="AO1244" s="957"/>
      <c r="AP1244" s="957"/>
      <c r="AQ1244" s="957"/>
      <c r="AR1244" s="957"/>
      <c r="AS1244" s="957"/>
      <c r="AT1244" s="957"/>
      <c r="AU1244" s="957"/>
      <c r="AV1244" s="957"/>
      <c r="AW1244" s="957"/>
      <c r="AX1244" s="957"/>
      <c r="AY1244" s="957"/>
      <c r="AZ1244" s="957"/>
      <c r="BA1244" s="957"/>
      <c r="BB1244" s="957"/>
      <c r="BC1244" s="957"/>
      <c r="BD1244" s="957"/>
      <c r="BE1244" s="957"/>
      <c r="BF1244" s="957"/>
      <c r="BG1244" s="957"/>
    </row>
    <row r="1245" spans="1:113" ht="15" customHeight="1">
      <c r="A1245" s="2120"/>
      <c r="B1245" s="2166"/>
      <c r="C1245" s="2144"/>
      <c r="D1245" s="749" t="s">
        <v>32</v>
      </c>
      <c r="E1245" s="95">
        <v>104</v>
      </c>
      <c r="F1245" s="148" t="s">
        <v>15</v>
      </c>
      <c r="G1245" s="148" t="s">
        <v>15</v>
      </c>
      <c r="H1245" s="513">
        <v>158.61000000000001</v>
      </c>
      <c r="I1245" s="570">
        <v>102.02</v>
      </c>
      <c r="J1245" s="234" t="s">
        <v>15</v>
      </c>
      <c r="K1245" s="233" t="s">
        <v>15</v>
      </c>
      <c r="L1245" s="234" t="s">
        <v>15</v>
      </c>
      <c r="M1245" s="233" t="s">
        <v>15</v>
      </c>
      <c r="N1245" s="1194">
        <v>0</v>
      </c>
      <c r="O1245" s="142" t="s">
        <v>574</v>
      </c>
      <c r="P1245" s="142" t="s">
        <v>574</v>
      </c>
      <c r="Q1245" s="128">
        <f t="shared" si="69"/>
        <v>0.74820143884892087</v>
      </c>
      <c r="R1245" s="2387"/>
      <c r="S1245" s="26"/>
      <c r="T1245" s="26"/>
      <c r="U1245" s="888"/>
      <c r="V1245" s="24"/>
      <c r="W1245" s="26"/>
      <c r="X1245" s="26"/>
      <c r="Y1245" s="41"/>
      <c r="Z1245" s="41"/>
      <c r="AA1245" s="41"/>
      <c r="AB1245" s="754"/>
      <c r="AC1245" s="26"/>
      <c r="AD1245" s="24"/>
      <c r="AE1245" s="26"/>
      <c r="AF1245" s="336" t="s">
        <v>49</v>
      </c>
      <c r="AG1245" s="335" t="s">
        <v>1232</v>
      </c>
      <c r="AH1245" s="1046">
        <v>87.68</v>
      </c>
      <c r="AI1245" s="1039"/>
      <c r="AJ1245" s="1039"/>
      <c r="AK1245" s="1039"/>
      <c r="AL1245" s="1039"/>
      <c r="AM1245" s="1039"/>
      <c r="AN1245" s="957"/>
      <c r="AO1245" s="957"/>
      <c r="AP1245" s="957"/>
      <c r="AQ1245" s="957"/>
      <c r="AR1245" s="957"/>
      <c r="AS1245" s="957"/>
      <c r="AT1245" s="957"/>
      <c r="AU1245" s="957"/>
      <c r="AV1245" s="957"/>
      <c r="AW1245" s="957"/>
      <c r="AX1245" s="957"/>
      <c r="AY1245" s="957"/>
      <c r="AZ1245" s="957"/>
      <c r="BA1245" s="957"/>
      <c r="BB1245" s="957"/>
      <c r="BC1245" s="957"/>
      <c r="BD1245" s="957"/>
      <c r="BE1245" s="957"/>
      <c r="BF1245" s="957"/>
      <c r="BG1245" s="957"/>
    </row>
    <row r="1246" spans="1:113" ht="15" customHeight="1">
      <c r="A1246" s="2120"/>
      <c r="B1246" s="2166" t="s">
        <v>1335</v>
      </c>
      <c r="C1246" s="2144" t="s">
        <v>11</v>
      </c>
      <c r="D1246" s="749" t="s">
        <v>490</v>
      </c>
      <c r="E1246" s="95">
        <v>45</v>
      </c>
      <c r="F1246" s="148" t="s">
        <v>15</v>
      </c>
      <c r="G1246" s="148" t="s">
        <v>15</v>
      </c>
      <c r="H1246" s="513">
        <v>233.78</v>
      </c>
      <c r="I1246" s="570">
        <v>96.12</v>
      </c>
      <c r="J1246" s="234" t="s">
        <v>15</v>
      </c>
      <c r="K1246" s="233" t="s">
        <v>15</v>
      </c>
      <c r="L1246" s="234" t="s">
        <v>15</v>
      </c>
      <c r="M1246" s="233" t="s">
        <v>15</v>
      </c>
      <c r="N1246" s="1201">
        <v>55.07</v>
      </c>
      <c r="O1246" s="133">
        <v>3.92</v>
      </c>
      <c r="P1246" s="133">
        <v>14.052</v>
      </c>
      <c r="Q1246" s="128">
        <f t="shared" si="69"/>
        <v>0.32374100719424459</v>
      </c>
      <c r="R1246" s="2130">
        <f>SUMPRODUCT(Q1246:Q1247,N1246:N1247)</f>
        <v>17.828417266187049</v>
      </c>
      <c r="S1246" s="26"/>
      <c r="T1246" s="26"/>
      <c r="U1246" s="888"/>
      <c r="V1246" s="24"/>
      <c r="W1246" s="26"/>
      <c r="X1246" s="26"/>
      <c r="Y1246" s="41"/>
      <c r="Z1246" s="41"/>
      <c r="AA1246" s="41"/>
      <c r="AB1246" s="754"/>
      <c r="AC1246" s="26"/>
      <c r="AD1246" s="24"/>
      <c r="AE1246" s="26"/>
      <c r="AF1246" s="336" t="s">
        <v>1220</v>
      </c>
      <c r="AG1246" s="335" t="s">
        <v>1233</v>
      </c>
      <c r="AH1246" s="1046">
        <v>81.19</v>
      </c>
      <c r="AI1246" s="1039"/>
      <c r="AJ1246" s="1039"/>
      <c r="AK1246" s="1039"/>
      <c r="AL1246" s="1039"/>
      <c r="AM1246" s="1039"/>
      <c r="AN1246" s="957"/>
      <c r="AO1246" s="957"/>
      <c r="AP1246" s="957"/>
      <c r="AQ1246" s="957"/>
      <c r="AR1246" s="957"/>
      <c r="AS1246" s="957"/>
      <c r="AT1246" s="957"/>
      <c r="AU1246" s="957"/>
      <c r="AV1246" s="957"/>
      <c r="AW1246" s="957"/>
      <c r="AX1246" s="957"/>
      <c r="AY1246" s="957"/>
      <c r="AZ1246" s="957"/>
      <c r="BA1246" s="957"/>
      <c r="BB1246" s="957"/>
      <c r="BC1246" s="957"/>
      <c r="BD1246" s="957"/>
      <c r="BE1246" s="957"/>
      <c r="BF1246" s="957"/>
      <c r="BG1246" s="957"/>
    </row>
    <row r="1247" spans="1:113" ht="15" customHeight="1">
      <c r="A1247" s="2120"/>
      <c r="B1247" s="2166"/>
      <c r="C1247" s="2144"/>
      <c r="D1247" s="749" t="s">
        <v>32</v>
      </c>
      <c r="E1247" s="95">
        <v>94</v>
      </c>
      <c r="F1247" s="148" t="s">
        <v>15</v>
      </c>
      <c r="G1247" s="148" t="s">
        <v>15</v>
      </c>
      <c r="H1247" s="513">
        <v>119.52</v>
      </c>
      <c r="I1247" s="570">
        <v>66.17</v>
      </c>
      <c r="J1247" s="234" t="s">
        <v>15</v>
      </c>
      <c r="K1247" s="233" t="s">
        <v>15</v>
      </c>
      <c r="L1247" s="234" t="s">
        <v>15</v>
      </c>
      <c r="M1247" s="233" t="s">
        <v>15</v>
      </c>
      <c r="N1247" s="1194">
        <v>0</v>
      </c>
      <c r="O1247" s="142" t="s">
        <v>574</v>
      </c>
      <c r="P1247" s="142" t="s">
        <v>574</v>
      </c>
      <c r="Q1247" s="128">
        <f t="shared" si="69"/>
        <v>0.67625899280575541</v>
      </c>
      <c r="R1247" s="2387"/>
      <c r="S1247" s="26"/>
      <c r="T1247" s="26"/>
      <c r="U1247" s="888"/>
      <c r="V1247" s="24"/>
      <c r="W1247" s="26"/>
      <c r="X1247" s="26"/>
      <c r="Y1247" s="41"/>
      <c r="Z1247" s="41"/>
      <c r="AA1247" s="41"/>
      <c r="AB1247" s="754"/>
      <c r="AC1247" s="26"/>
      <c r="AD1247" s="24"/>
      <c r="AE1247" s="26"/>
      <c r="AF1247" s="336" t="s">
        <v>49</v>
      </c>
      <c r="AG1247" s="335" t="s">
        <v>1234</v>
      </c>
      <c r="AH1247" s="1046">
        <v>82.55</v>
      </c>
      <c r="AI1247" s="1039"/>
      <c r="AJ1247" s="1039"/>
      <c r="AK1247" s="1039"/>
      <c r="AL1247" s="1039"/>
      <c r="AM1247" s="1039"/>
      <c r="AN1247" s="957"/>
      <c r="AO1247" s="957"/>
      <c r="AP1247" s="957"/>
      <c r="AQ1247" s="957"/>
      <c r="AR1247" s="957"/>
      <c r="AS1247" s="957"/>
      <c r="AT1247" s="957"/>
      <c r="AU1247" s="957"/>
      <c r="AV1247" s="957"/>
      <c r="AW1247" s="957"/>
      <c r="AX1247" s="957"/>
      <c r="AY1247" s="957"/>
      <c r="AZ1247" s="957"/>
      <c r="BA1247" s="957"/>
      <c r="BB1247" s="957"/>
      <c r="BC1247" s="957"/>
      <c r="BD1247" s="957"/>
      <c r="BE1247" s="957"/>
      <c r="BF1247" s="957"/>
      <c r="BG1247" s="957"/>
    </row>
    <row r="1248" spans="1:113" ht="15" customHeight="1">
      <c r="A1248" s="2120"/>
      <c r="B1248" s="2166" t="s">
        <v>1336</v>
      </c>
      <c r="C1248" s="2144" t="s">
        <v>11</v>
      </c>
      <c r="D1248" s="749" t="s">
        <v>490</v>
      </c>
      <c r="E1248" s="95">
        <v>15</v>
      </c>
      <c r="F1248" s="148" t="s">
        <v>15</v>
      </c>
      <c r="G1248" s="148" t="s">
        <v>15</v>
      </c>
      <c r="H1248" s="513">
        <v>144.53</v>
      </c>
      <c r="I1248" s="570">
        <v>84.11</v>
      </c>
      <c r="J1248" s="234" t="s">
        <v>15</v>
      </c>
      <c r="K1248" s="233" t="s">
        <v>15</v>
      </c>
      <c r="L1248" s="234" t="s">
        <v>15</v>
      </c>
      <c r="M1248" s="233" t="s">
        <v>15</v>
      </c>
      <c r="N1248" s="1201">
        <v>52.146999999999998</v>
      </c>
      <c r="O1248" s="133">
        <v>3.88</v>
      </c>
      <c r="P1248" s="133">
        <v>13.449</v>
      </c>
      <c r="Q1248" s="128">
        <f t="shared" si="69"/>
        <v>0.1079136690647482</v>
      </c>
      <c r="R1248" s="2130">
        <f>SUMPRODUCT(Q1248:Q1249,N1248:N1249)</f>
        <v>5.6273741007194245</v>
      </c>
      <c r="S1248" s="26"/>
      <c r="T1248" s="26"/>
      <c r="U1248" s="888"/>
      <c r="V1248" s="24"/>
      <c r="W1248" s="26"/>
      <c r="X1248" s="26"/>
      <c r="Y1248" s="41"/>
      <c r="Z1248" s="41"/>
      <c r="AA1248" s="41"/>
      <c r="AB1248" s="754"/>
      <c r="AC1248" s="26"/>
      <c r="AD1248" s="24"/>
      <c r="AE1248" s="26"/>
      <c r="AF1248" s="75"/>
      <c r="AG1248" s="26"/>
      <c r="AH1248" s="957"/>
      <c r="AI1248" s="957"/>
      <c r="AJ1248" s="957"/>
      <c r="AK1248" s="957"/>
      <c r="AL1248" s="957"/>
      <c r="AM1248" s="957"/>
      <c r="AN1248" s="957"/>
      <c r="AO1248" s="957"/>
      <c r="AP1248" s="957"/>
      <c r="AQ1248" s="957"/>
      <c r="AR1248" s="957"/>
      <c r="AS1248" s="957"/>
      <c r="AT1248" s="957"/>
      <c r="AU1248" s="957"/>
      <c r="AV1248" s="957"/>
      <c r="AW1248" s="957"/>
      <c r="AX1248" s="957"/>
      <c r="AY1248" s="957"/>
      <c r="AZ1248" s="957"/>
      <c r="BA1248" s="957"/>
      <c r="BB1248" s="957"/>
      <c r="BC1248" s="957"/>
      <c r="BD1248" s="957"/>
      <c r="BE1248" s="957"/>
      <c r="BF1248" s="957"/>
      <c r="BG1248" s="957"/>
    </row>
    <row r="1249" spans="1:113" ht="15.75" customHeight="1">
      <c r="A1249" s="2120"/>
      <c r="B1249" s="2177"/>
      <c r="C1249" s="2179"/>
      <c r="D1249" s="19" t="s">
        <v>32</v>
      </c>
      <c r="E1249" s="96">
        <v>124</v>
      </c>
      <c r="F1249" s="197" t="s">
        <v>15</v>
      </c>
      <c r="G1249" s="197" t="s">
        <v>15</v>
      </c>
      <c r="H1249" s="1270">
        <v>157.96</v>
      </c>
      <c r="I1249" s="1271">
        <v>94.98</v>
      </c>
      <c r="J1249" s="409" t="s">
        <v>15</v>
      </c>
      <c r="K1249" s="122" t="s">
        <v>15</v>
      </c>
      <c r="L1249" s="409" t="s">
        <v>15</v>
      </c>
      <c r="M1249" s="122" t="s">
        <v>15</v>
      </c>
      <c r="N1249" s="1199">
        <v>0</v>
      </c>
      <c r="O1249" s="410" t="s">
        <v>574</v>
      </c>
      <c r="P1249" s="410" t="s">
        <v>574</v>
      </c>
      <c r="Q1249" s="256">
        <f t="shared" si="69"/>
        <v>0.8920863309352518</v>
      </c>
      <c r="R1249" s="2388"/>
      <c r="S1249" s="26"/>
      <c r="T1249" s="26"/>
      <c r="U1249" s="889"/>
      <c r="V1249" s="24"/>
      <c r="W1249" s="26"/>
      <c r="X1249" s="26"/>
      <c r="Y1249" s="41"/>
      <c r="Z1249" s="41"/>
      <c r="AA1249" s="41"/>
      <c r="AB1249" s="757"/>
      <c r="AC1249" s="26"/>
      <c r="AD1249" s="24"/>
      <c r="AE1249" s="26"/>
      <c r="AF1249" s="75"/>
      <c r="AG1249" s="26"/>
      <c r="AH1249" s="957"/>
      <c r="AI1249" s="957"/>
      <c r="AJ1249" s="957"/>
      <c r="AK1249" s="957"/>
      <c r="AL1249" s="957"/>
      <c r="AM1249" s="957"/>
      <c r="AN1249" s="957"/>
      <c r="AO1249" s="957"/>
      <c r="AP1249" s="957"/>
      <c r="AQ1249" s="957"/>
      <c r="AR1249" s="957"/>
      <c r="AS1249" s="957"/>
      <c r="AT1249" s="957"/>
      <c r="AU1249" s="957"/>
      <c r="AV1249" s="957"/>
      <c r="AW1249" s="957"/>
      <c r="AX1249" s="957"/>
      <c r="AY1249" s="957"/>
      <c r="AZ1249" s="957"/>
      <c r="BA1249" s="957"/>
      <c r="BB1249" s="957"/>
      <c r="BC1249" s="957"/>
      <c r="BD1249" s="957"/>
      <c r="BE1249" s="957"/>
      <c r="BF1249" s="957"/>
      <c r="BG1249" s="957"/>
    </row>
    <row r="1250" spans="1:113" ht="15.75" thickBot="1">
      <c r="A1250" s="2145"/>
      <c r="B1250" s="1274"/>
      <c r="C1250" s="182"/>
      <c r="D1250" s="370"/>
      <c r="E1250" s="1272"/>
      <c r="F1250" s="1272"/>
      <c r="G1250" s="1272"/>
      <c r="H1250" s="1275"/>
      <c r="I1250" s="1275"/>
      <c r="J1250" s="1273"/>
      <c r="K1250" s="1272"/>
      <c r="L1250" s="1273"/>
      <c r="M1250" s="1272"/>
      <c r="N1250" s="1276"/>
      <c r="O1250" s="1277"/>
      <c r="P1250" s="1277"/>
      <c r="Q1250" s="391"/>
      <c r="R1250" s="1278"/>
      <c r="S1250" s="26"/>
      <c r="T1250" s="26"/>
      <c r="V1250" s="24"/>
      <c r="W1250" s="26"/>
      <c r="X1250" s="26"/>
      <c r="Y1250" s="41"/>
      <c r="Z1250" s="41"/>
      <c r="AA1250" s="41"/>
      <c r="AC1250" s="26"/>
      <c r="AD1250" s="896"/>
      <c r="AE1250" s="26"/>
      <c r="AF1250" s="75"/>
      <c r="AG1250" s="26"/>
      <c r="AH1250" s="957"/>
      <c r="AI1250" s="957"/>
      <c r="AJ1250" s="957"/>
      <c r="AK1250" s="957"/>
      <c r="AL1250" s="957"/>
      <c r="AM1250" s="957"/>
      <c r="AN1250" s="957"/>
      <c r="AO1250" s="957"/>
      <c r="AP1250" s="957"/>
      <c r="AQ1250" s="957"/>
      <c r="AR1250" s="957"/>
      <c r="AS1250" s="957"/>
      <c r="AT1250" s="957"/>
      <c r="AU1250" s="957"/>
      <c r="AV1250" s="957"/>
      <c r="AW1250" s="957"/>
      <c r="AX1250" s="957"/>
      <c r="AY1250" s="957"/>
      <c r="AZ1250" s="957"/>
      <c r="BA1250" s="957"/>
      <c r="BB1250" s="957"/>
      <c r="BC1250" s="957"/>
      <c r="BD1250" s="957"/>
      <c r="BE1250" s="957"/>
      <c r="BF1250" s="957"/>
      <c r="BG1250" s="957"/>
    </row>
    <row r="1251" spans="1:113" s="692" customFormat="1" ht="9" customHeight="1" thickBot="1">
      <c r="A1251" s="716"/>
      <c r="B1251" s="818"/>
      <c r="C1251" s="712"/>
      <c r="D1251" s="699"/>
      <c r="E1251" s="733"/>
      <c r="F1251" s="733"/>
      <c r="G1251" s="733"/>
      <c r="H1251" s="733"/>
      <c r="I1251" s="733"/>
      <c r="J1251" s="682"/>
      <c r="K1251" s="683"/>
      <c r="L1251" s="682"/>
      <c r="M1251" s="685"/>
      <c r="N1251" s="1214"/>
      <c r="O1251" s="713"/>
      <c r="P1251" s="713"/>
      <c r="Q1251" s="714"/>
      <c r="R1251" s="714"/>
      <c r="S1251" s="704"/>
      <c r="T1251" s="704"/>
      <c r="U1251" s="854"/>
      <c r="V1251" s="893"/>
      <c r="W1251" s="700"/>
      <c r="X1251" s="700"/>
      <c r="Y1251" s="735"/>
      <c r="Z1251" s="735"/>
      <c r="AA1251" s="710"/>
      <c r="AB1251" s="921"/>
      <c r="AC1251" s="690"/>
      <c r="AD1251" s="690"/>
      <c r="AE1251" s="690"/>
      <c r="AF1251" s="737"/>
      <c r="AG1251" s="706"/>
      <c r="AH1251" s="958"/>
      <c r="AI1251" s="958"/>
      <c r="AJ1251" s="958"/>
      <c r="AK1251" s="958"/>
      <c r="AL1251" s="958"/>
      <c r="AM1251" s="958"/>
      <c r="AN1251" s="959"/>
      <c r="AO1251" s="959"/>
      <c r="AP1251" s="959"/>
      <c r="AQ1251" s="959"/>
      <c r="AR1251" s="959"/>
      <c r="AS1251" s="959"/>
      <c r="AT1251" s="959"/>
      <c r="AU1251" s="959"/>
      <c r="AV1251" s="959"/>
      <c r="AW1251" s="959"/>
      <c r="AX1251" s="959"/>
      <c r="AY1251" s="959"/>
      <c r="AZ1251" s="959"/>
      <c r="BA1251" s="959"/>
      <c r="BB1251" s="959"/>
      <c r="BC1251" s="959"/>
      <c r="BD1251" s="959"/>
      <c r="BE1251" s="959"/>
      <c r="BF1251" s="959"/>
      <c r="BG1251" s="959"/>
      <c r="BH1251" s="1125"/>
      <c r="DI1251" s="693"/>
    </row>
    <row r="1252" spans="1:113">
      <c r="A1252" s="2171" t="s">
        <v>1370</v>
      </c>
      <c r="B1252" s="817" t="s">
        <v>1328</v>
      </c>
      <c r="C1252" s="1050" t="s">
        <v>12</v>
      </c>
      <c r="D1252" s="219" t="s">
        <v>1247</v>
      </c>
      <c r="E1252" s="282">
        <v>176</v>
      </c>
      <c r="F1252" s="77">
        <v>67.78</v>
      </c>
      <c r="G1252" s="77">
        <v>30.82</v>
      </c>
      <c r="H1252" s="513">
        <v>189.34</v>
      </c>
      <c r="I1252" s="570">
        <v>83.11</v>
      </c>
      <c r="J1252" s="234" t="s">
        <v>15</v>
      </c>
      <c r="K1252" s="233" t="s">
        <v>15</v>
      </c>
      <c r="L1252" s="234" t="s">
        <v>15</v>
      </c>
      <c r="M1252" s="233" t="s">
        <v>15</v>
      </c>
      <c r="N1252" s="441">
        <v>0.374</v>
      </c>
      <c r="O1252" s="280">
        <v>2.68</v>
      </c>
      <c r="P1252" s="280">
        <v>0.13900000000000001</v>
      </c>
      <c r="Q1252" s="1068" t="s">
        <v>15</v>
      </c>
      <c r="R1252" s="259">
        <f t="shared" ref="R1252:R1260" si="70">N1252</f>
        <v>0.374</v>
      </c>
      <c r="S1252" s="149" t="s">
        <v>68</v>
      </c>
      <c r="T1252" s="150" t="s">
        <v>69</v>
      </c>
      <c r="U1252" s="887"/>
      <c r="V1252" s="2162" t="s">
        <v>2698</v>
      </c>
      <c r="W1252" s="212" t="s">
        <v>1220</v>
      </c>
      <c r="X1252" s="1067" t="s">
        <v>1398</v>
      </c>
      <c r="Y1252" s="299">
        <f>T1259+R1252*64</f>
        <v>184.23600000000002</v>
      </c>
      <c r="Z1252" s="1072" t="s">
        <v>40</v>
      </c>
      <c r="AA1252" s="1073" t="s">
        <v>40</v>
      </c>
      <c r="AB1252" s="755"/>
      <c r="AC1252" s="26"/>
      <c r="AD1252" s="2131" t="s">
        <v>142</v>
      </c>
      <c r="AE1252" s="2267"/>
      <c r="AF1252" s="277" t="s">
        <v>1220</v>
      </c>
      <c r="AG1252" s="212" t="s">
        <v>1237</v>
      </c>
      <c r="AH1252" s="1047">
        <f>178.3*1.25</f>
        <v>222.875</v>
      </c>
      <c r="AI1252" s="158"/>
      <c r="AJ1252" s="158"/>
      <c r="AK1252" s="158"/>
      <c r="AL1252" s="158"/>
      <c r="AM1252" s="158"/>
      <c r="AN1252" s="957"/>
      <c r="AO1252" s="957"/>
      <c r="AP1252" s="957"/>
      <c r="AQ1252" s="957"/>
      <c r="AR1252" s="957"/>
      <c r="AS1252" s="957"/>
      <c r="AT1252" s="957"/>
      <c r="AU1252" s="957"/>
      <c r="AV1252" s="957"/>
      <c r="AW1252" s="957"/>
      <c r="AX1252" s="957"/>
      <c r="AY1252" s="957"/>
      <c r="AZ1252" s="957"/>
      <c r="BA1252" s="957"/>
      <c r="BB1252" s="957"/>
      <c r="BC1252" s="957"/>
      <c r="BD1252" s="957"/>
      <c r="BE1252" s="957"/>
      <c r="BF1252" s="957"/>
      <c r="BG1252" s="957"/>
    </row>
    <row r="1253" spans="1:113">
      <c r="A1253" s="2386"/>
      <c r="B1253" s="2177" t="s">
        <v>1340</v>
      </c>
      <c r="C1253" s="2144" t="s">
        <v>11</v>
      </c>
      <c r="D1253" s="749" t="s">
        <v>490</v>
      </c>
      <c r="E1253" s="95">
        <v>59</v>
      </c>
      <c r="F1253" s="148" t="s">
        <v>15</v>
      </c>
      <c r="G1253" s="148" t="s">
        <v>15</v>
      </c>
      <c r="H1253" s="513">
        <v>124.8</v>
      </c>
      <c r="I1253" s="570">
        <v>36.64</v>
      </c>
      <c r="J1253" s="234" t="s">
        <v>15</v>
      </c>
      <c r="K1253" s="233" t="s">
        <v>15</v>
      </c>
      <c r="L1253" s="234" t="s">
        <v>15</v>
      </c>
      <c r="M1253" s="233" t="s">
        <v>15</v>
      </c>
      <c r="N1253" s="1201">
        <v>-81.233000000000004</v>
      </c>
      <c r="O1253" s="133">
        <v>8.6</v>
      </c>
      <c r="P1253" s="133">
        <v>9.4499999999999993</v>
      </c>
      <c r="Q1253" s="148" t="s">
        <v>15</v>
      </c>
      <c r="R1253" s="128">
        <f t="shared" si="70"/>
        <v>-81.233000000000004</v>
      </c>
      <c r="S1253" s="748" t="s">
        <v>1187</v>
      </c>
      <c r="T1253" s="794" t="s">
        <v>310</v>
      </c>
      <c r="U1253" s="888"/>
      <c r="V1253" s="2163"/>
      <c r="W1253" s="335" t="s">
        <v>49</v>
      </c>
      <c r="X1253" s="1066" t="s">
        <v>1399</v>
      </c>
      <c r="Y1253" s="165">
        <f>T1259+R1252*60</f>
        <v>182.74</v>
      </c>
      <c r="Z1253" s="165">
        <f>Y1253-$Y$1252</f>
        <v>-1.4960000000000093</v>
      </c>
      <c r="AA1253" s="166">
        <f>(64-60)*P1252</f>
        <v>0.55600000000000005</v>
      </c>
      <c r="AB1253" s="754"/>
      <c r="AC1253" s="26"/>
      <c r="AD1253" s="2268" t="s">
        <v>1235</v>
      </c>
      <c r="AE1253" s="2269"/>
      <c r="AF1253" s="336" t="s">
        <v>49</v>
      </c>
      <c r="AG1253" s="335" t="s">
        <v>1238</v>
      </c>
      <c r="AH1253" s="1045">
        <f>170.8*1.25</f>
        <v>213.5</v>
      </c>
      <c r="AI1253" s="158"/>
      <c r="AJ1253" s="158"/>
      <c r="AK1253" s="158"/>
      <c r="AL1253" s="158"/>
      <c r="AM1253" s="158"/>
      <c r="AN1253" s="957"/>
      <c r="AO1253" s="957"/>
      <c r="AP1253" s="957"/>
      <c r="AQ1253" s="957"/>
      <c r="AR1253" s="957"/>
      <c r="AS1253" s="957"/>
      <c r="AT1253" s="957"/>
      <c r="AU1253" s="957"/>
      <c r="AV1253" s="957"/>
      <c r="AW1253" s="957"/>
      <c r="AX1253" s="957"/>
      <c r="AY1253" s="957"/>
      <c r="AZ1253" s="957"/>
      <c r="BA1253" s="957"/>
      <c r="BB1253" s="957"/>
      <c r="BC1253" s="957"/>
      <c r="BD1253" s="957"/>
      <c r="BE1253" s="957"/>
      <c r="BF1253" s="957"/>
      <c r="BG1253" s="957"/>
    </row>
    <row r="1254" spans="1:113">
      <c r="A1254" s="2386"/>
      <c r="B1254" s="2247"/>
      <c r="C1254" s="2144"/>
      <c r="D1254" s="749" t="s">
        <v>32</v>
      </c>
      <c r="E1254" s="95">
        <v>117</v>
      </c>
      <c r="F1254" s="148" t="s">
        <v>15</v>
      </c>
      <c r="G1254" s="148" t="s">
        <v>15</v>
      </c>
      <c r="H1254" s="513">
        <v>221.88</v>
      </c>
      <c r="I1254" s="570">
        <v>81.010000000000005</v>
      </c>
      <c r="J1254" s="234" t="s">
        <v>15</v>
      </c>
      <c r="K1254" s="233" t="s">
        <v>15</v>
      </c>
      <c r="L1254" s="234" t="s">
        <v>15</v>
      </c>
      <c r="M1254" s="233" t="s">
        <v>15</v>
      </c>
      <c r="N1254" s="1194">
        <v>0</v>
      </c>
      <c r="O1254" s="142" t="s">
        <v>574</v>
      </c>
      <c r="P1254" s="142" t="s">
        <v>574</v>
      </c>
      <c r="Q1254" s="148" t="s">
        <v>15</v>
      </c>
      <c r="R1254" s="128">
        <f t="shared" si="70"/>
        <v>0</v>
      </c>
      <c r="S1254" s="127" t="s">
        <v>72</v>
      </c>
      <c r="T1254" s="119" t="s">
        <v>119</v>
      </c>
      <c r="U1254" s="888"/>
      <c r="V1254" s="2163"/>
      <c r="W1254" s="335" t="s">
        <v>49</v>
      </c>
      <c r="X1254" s="1066" t="s">
        <v>1400</v>
      </c>
      <c r="Y1254" s="165">
        <f>T1259+R1252*58</f>
        <v>181.99200000000002</v>
      </c>
      <c r="Z1254" s="165">
        <f>Y1254-$Y$1252</f>
        <v>-2.2439999999999998</v>
      </c>
      <c r="AA1254" s="166">
        <f>(64-58)*P1252</f>
        <v>0.83400000000000007</v>
      </c>
      <c r="AB1254" s="754"/>
      <c r="AC1254" s="26"/>
      <c r="AD1254" s="24"/>
      <c r="AE1254" s="26"/>
      <c r="AF1254" s="336" t="s">
        <v>1220</v>
      </c>
      <c r="AG1254" s="335" t="s">
        <v>1239</v>
      </c>
      <c r="AH1254" s="1045">
        <f>208.01*1.25</f>
        <v>260.01249999999999</v>
      </c>
      <c r="AI1254" s="158"/>
      <c r="AJ1254" s="158"/>
      <c r="AK1254" s="158"/>
      <c r="AL1254" s="158"/>
      <c r="AM1254" s="158"/>
      <c r="AN1254" s="957"/>
      <c r="AO1254" s="957"/>
      <c r="AP1254" s="957"/>
      <c r="AQ1254" s="957"/>
      <c r="AR1254" s="957"/>
      <c r="AS1254" s="957"/>
      <c r="AT1254" s="957"/>
      <c r="AU1254" s="957"/>
      <c r="AV1254" s="957"/>
      <c r="AW1254" s="957"/>
      <c r="AX1254" s="957"/>
      <c r="AY1254" s="957"/>
      <c r="AZ1254" s="957"/>
      <c r="BA1254" s="957"/>
      <c r="BB1254" s="957"/>
      <c r="BC1254" s="957"/>
      <c r="BD1254" s="957"/>
      <c r="BE1254" s="957"/>
      <c r="BF1254" s="957"/>
      <c r="BG1254" s="957"/>
    </row>
    <row r="1255" spans="1:113">
      <c r="A1255" s="2386"/>
      <c r="B1255" s="2177" t="s">
        <v>1341</v>
      </c>
      <c r="C1255" s="2144" t="s">
        <v>11</v>
      </c>
      <c r="D1255" s="749" t="s">
        <v>490</v>
      </c>
      <c r="E1255" s="95">
        <v>9</v>
      </c>
      <c r="F1255" s="148" t="s">
        <v>15</v>
      </c>
      <c r="G1255" s="148" t="s">
        <v>15</v>
      </c>
      <c r="H1255" s="513">
        <v>183.78</v>
      </c>
      <c r="I1255" s="570">
        <v>24.47</v>
      </c>
      <c r="J1255" s="234" t="s">
        <v>15</v>
      </c>
      <c r="K1255" s="233" t="s">
        <v>15</v>
      </c>
      <c r="L1255" s="234" t="s">
        <v>15</v>
      </c>
      <c r="M1255" s="233" t="s">
        <v>15</v>
      </c>
      <c r="N1255" s="1201">
        <v>-37.993000000000002</v>
      </c>
      <c r="O1255" s="133">
        <v>1.91</v>
      </c>
      <c r="P1255" s="133">
        <v>19.93</v>
      </c>
      <c r="Q1255" s="148" t="s">
        <v>15</v>
      </c>
      <c r="R1255" s="128">
        <f t="shared" si="70"/>
        <v>-37.993000000000002</v>
      </c>
      <c r="S1255" s="423" t="s">
        <v>139</v>
      </c>
      <c r="T1255" s="411" t="s">
        <v>140</v>
      </c>
      <c r="U1255" s="888"/>
      <c r="V1255" s="2163"/>
      <c r="W1255" s="335" t="s">
        <v>1220</v>
      </c>
      <c r="X1255" s="1066" t="s">
        <v>1401</v>
      </c>
      <c r="Y1255" s="165">
        <f>T1259+R1252*128</f>
        <v>208.17200000000003</v>
      </c>
      <c r="Z1255" s="1074" t="s">
        <v>40</v>
      </c>
      <c r="AA1255" s="934" t="s">
        <v>40</v>
      </c>
      <c r="AB1255" s="754"/>
      <c r="AC1255" s="26"/>
      <c r="AD1255" s="24"/>
      <c r="AE1255" s="26"/>
      <c r="AF1255" s="336" t="s">
        <v>49</v>
      </c>
      <c r="AG1255" s="335" t="s">
        <v>1240</v>
      </c>
      <c r="AH1255" s="1046">
        <f>196.76*1.25</f>
        <v>245.95</v>
      </c>
      <c r="AI1255" s="158"/>
      <c r="AJ1255" s="158"/>
      <c r="AK1255" s="158"/>
      <c r="AL1255" s="158"/>
      <c r="AM1255" s="158"/>
      <c r="AN1255" s="957"/>
      <c r="AO1255" s="957"/>
      <c r="AP1255" s="957"/>
      <c r="AQ1255" s="957"/>
      <c r="AR1255" s="957"/>
      <c r="AS1255" s="957"/>
      <c r="AT1255" s="957"/>
      <c r="AU1255" s="957"/>
      <c r="AV1255" s="957"/>
      <c r="AW1255" s="957"/>
      <c r="AX1255" s="957"/>
      <c r="AY1255" s="957"/>
      <c r="AZ1255" s="957"/>
      <c r="BA1255" s="957"/>
      <c r="BB1255" s="957"/>
      <c r="BC1255" s="957"/>
      <c r="BD1255" s="957"/>
      <c r="BE1255" s="957"/>
      <c r="BF1255" s="957"/>
      <c r="BG1255" s="957"/>
    </row>
    <row r="1256" spans="1:113">
      <c r="A1256" s="2386"/>
      <c r="B1256" s="2247"/>
      <c r="C1256" s="2144"/>
      <c r="D1256" s="749" t="s">
        <v>32</v>
      </c>
      <c r="E1256" s="95">
        <v>167</v>
      </c>
      <c r="F1256" s="148" t="s">
        <v>15</v>
      </c>
      <c r="G1256" s="148" t="s">
        <v>15</v>
      </c>
      <c r="H1256" s="513">
        <v>189.64</v>
      </c>
      <c r="I1256" s="570">
        <v>85.15</v>
      </c>
      <c r="J1256" s="234" t="s">
        <v>15</v>
      </c>
      <c r="K1256" s="233" t="s">
        <v>15</v>
      </c>
      <c r="L1256" s="234" t="s">
        <v>15</v>
      </c>
      <c r="M1256" s="233" t="s">
        <v>15</v>
      </c>
      <c r="N1256" s="1194">
        <v>0</v>
      </c>
      <c r="O1256" s="142" t="s">
        <v>574</v>
      </c>
      <c r="P1256" s="142" t="s">
        <v>574</v>
      </c>
      <c r="Q1256" s="148" t="s">
        <v>15</v>
      </c>
      <c r="R1256" s="128">
        <f t="shared" si="70"/>
        <v>0</v>
      </c>
      <c r="S1256" s="127" t="s">
        <v>74</v>
      </c>
      <c r="T1256" s="129" t="s">
        <v>75</v>
      </c>
      <c r="U1256" s="888"/>
      <c r="V1256" s="2164"/>
      <c r="W1256" s="335" t="s">
        <v>49</v>
      </c>
      <c r="X1256" s="1066" t="s">
        <v>1402</v>
      </c>
      <c r="Y1256" s="165">
        <f>T1259+R1252*84</f>
        <v>191.71600000000001</v>
      </c>
      <c r="Z1256" s="165">
        <f>Y1256-$Y$1255</f>
        <v>-16.456000000000017</v>
      </c>
      <c r="AA1256" s="166">
        <f>(128-84)*P1252</f>
        <v>6.1160000000000005</v>
      </c>
      <c r="AB1256" s="754"/>
      <c r="AC1256" s="26"/>
      <c r="AD1256" s="24"/>
      <c r="AE1256" s="26"/>
      <c r="AF1256" s="336" t="s">
        <v>1220</v>
      </c>
      <c r="AG1256" s="335" t="s">
        <v>1241</v>
      </c>
      <c r="AH1256" s="1046">
        <f>103.07*1.25</f>
        <v>128.83749999999998</v>
      </c>
      <c r="AI1256" s="1039">
        <v>98.6</v>
      </c>
      <c r="AJ1256" s="158"/>
      <c r="AK1256" s="158"/>
      <c r="AL1256" s="158"/>
      <c r="AM1256" s="158"/>
      <c r="AN1256" s="957"/>
      <c r="AO1256" s="957"/>
      <c r="AP1256" s="957"/>
      <c r="AQ1256" s="957"/>
      <c r="AR1256" s="957"/>
      <c r="AS1256" s="957"/>
      <c r="AT1256" s="957"/>
      <c r="AU1256" s="957"/>
      <c r="AV1256" s="957"/>
      <c r="AW1256" s="957"/>
      <c r="AX1256" s="957"/>
      <c r="AY1256" s="957"/>
      <c r="AZ1256" s="957"/>
      <c r="BA1256" s="957"/>
      <c r="BB1256" s="957"/>
      <c r="BC1256" s="957"/>
      <c r="BD1256" s="957"/>
      <c r="BE1256" s="957"/>
      <c r="BF1256" s="957"/>
      <c r="BG1256" s="957"/>
    </row>
    <row r="1257" spans="1:113">
      <c r="A1257" s="2386"/>
      <c r="B1257" s="2177" t="s">
        <v>1339</v>
      </c>
      <c r="C1257" s="2144" t="s">
        <v>13</v>
      </c>
      <c r="D1257" s="785" t="s">
        <v>1337</v>
      </c>
      <c r="E1257" s="95">
        <v>17</v>
      </c>
      <c r="F1257" s="148" t="s">
        <v>15</v>
      </c>
      <c r="G1257" s="148" t="s">
        <v>15</v>
      </c>
      <c r="H1257" s="513">
        <v>262.44</v>
      </c>
      <c r="I1257" s="570">
        <v>124.76</v>
      </c>
      <c r="J1257" s="234" t="s">
        <v>15</v>
      </c>
      <c r="K1257" s="233" t="s">
        <v>15</v>
      </c>
      <c r="L1257" s="234" t="s">
        <v>15</v>
      </c>
      <c r="M1257" s="233" t="s">
        <v>15</v>
      </c>
      <c r="N1257" s="1201">
        <v>62.216999999999999</v>
      </c>
      <c r="O1257" s="133">
        <v>4.1100000000000003</v>
      </c>
      <c r="P1257" s="133">
        <v>15.15</v>
      </c>
      <c r="Q1257" s="148" t="s">
        <v>15</v>
      </c>
      <c r="R1257" s="128">
        <f t="shared" si="70"/>
        <v>62.216999999999999</v>
      </c>
      <c r="S1257" s="95">
        <v>176</v>
      </c>
      <c r="T1257" s="117" t="s">
        <v>15</v>
      </c>
      <c r="U1257" s="888"/>
      <c r="V1257" s="24"/>
      <c r="W1257" s="26"/>
      <c r="X1257" s="26"/>
      <c r="Y1257" s="41"/>
      <c r="Z1257" s="41"/>
      <c r="AA1257" s="41"/>
      <c r="AB1257" s="754"/>
      <c r="AC1257" s="26"/>
      <c r="AD1257" s="24"/>
      <c r="AE1257" s="26"/>
      <c r="AF1257" s="336" t="s">
        <v>49</v>
      </c>
      <c r="AG1257" s="335" t="s">
        <v>1242</v>
      </c>
      <c r="AH1257" s="1046">
        <f>101.57*1.25</f>
        <v>126.96249999999999</v>
      </c>
      <c r="AI1257" s="158"/>
      <c r="AJ1257" s="158"/>
      <c r="AK1257" s="158"/>
      <c r="AL1257" s="158"/>
      <c r="AM1257" s="158"/>
      <c r="AN1257" s="957"/>
      <c r="AO1257" s="957"/>
      <c r="AP1257" s="957"/>
      <c r="AQ1257" s="957"/>
      <c r="AR1257" s="957"/>
      <c r="AS1257" s="957"/>
      <c r="AT1257" s="957"/>
      <c r="AU1257" s="957"/>
      <c r="AV1257" s="957"/>
      <c r="AW1257" s="957"/>
      <c r="AX1257" s="957"/>
      <c r="AY1257" s="957"/>
      <c r="AZ1257" s="957"/>
      <c r="BA1257" s="957"/>
      <c r="BB1257" s="957"/>
      <c r="BC1257" s="957"/>
      <c r="BD1257" s="957"/>
      <c r="BE1257" s="957"/>
      <c r="BF1257" s="957"/>
      <c r="BG1257" s="957"/>
    </row>
    <row r="1258" spans="1:113">
      <c r="A1258" s="2386"/>
      <c r="B1258" s="2247"/>
      <c r="C1258" s="2144"/>
      <c r="D1258" s="785" t="s">
        <v>1338</v>
      </c>
      <c r="E1258" s="95">
        <v>159</v>
      </c>
      <c r="F1258" s="148" t="s">
        <v>15</v>
      </c>
      <c r="G1258" s="148" t="s">
        <v>15</v>
      </c>
      <c r="H1258" s="513">
        <v>181.52</v>
      </c>
      <c r="I1258" s="570">
        <v>73.739999999999995</v>
      </c>
      <c r="J1258" s="234" t="s">
        <v>15</v>
      </c>
      <c r="K1258" s="233" t="s">
        <v>15</v>
      </c>
      <c r="L1258" s="234" t="s">
        <v>15</v>
      </c>
      <c r="M1258" s="233" t="s">
        <v>15</v>
      </c>
      <c r="N1258" s="1194">
        <v>0</v>
      </c>
      <c r="O1258" s="142" t="s">
        <v>574</v>
      </c>
      <c r="P1258" s="142" t="s">
        <v>574</v>
      </c>
      <c r="Q1258" s="148" t="s">
        <v>15</v>
      </c>
      <c r="R1258" s="128">
        <f t="shared" si="70"/>
        <v>0</v>
      </c>
      <c r="S1258" s="127" t="s">
        <v>41</v>
      </c>
      <c r="T1258" s="129" t="s">
        <v>42</v>
      </c>
      <c r="U1258" s="888"/>
      <c r="V1258" s="24"/>
      <c r="W1258" s="26"/>
      <c r="X1258" s="26"/>
      <c r="Y1258" s="41"/>
      <c r="Z1258" s="41"/>
      <c r="AA1258" s="41"/>
      <c r="AB1258" s="754"/>
      <c r="AC1258" s="26"/>
      <c r="AD1258" s="24"/>
      <c r="AE1258" s="26"/>
      <c r="AF1258" s="336" t="s">
        <v>1220</v>
      </c>
      <c r="AG1258" s="335" t="s">
        <v>1243</v>
      </c>
      <c r="AH1258" s="1046">
        <f>135.78*1.25</f>
        <v>169.72499999999999</v>
      </c>
      <c r="AI1258" s="158"/>
      <c r="AJ1258" s="158"/>
      <c r="AK1258" s="158"/>
      <c r="AL1258" s="158"/>
      <c r="AM1258" s="158"/>
      <c r="AN1258" s="957"/>
      <c r="AO1258" s="957"/>
      <c r="AP1258" s="957"/>
      <c r="AQ1258" s="957"/>
      <c r="AR1258" s="957"/>
      <c r="AS1258" s="957"/>
      <c r="AT1258" s="957"/>
      <c r="AU1258" s="957"/>
      <c r="AV1258" s="957"/>
      <c r="AW1258" s="957"/>
      <c r="AX1258" s="957"/>
      <c r="AY1258" s="957"/>
      <c r="AZ1258" s="957"/>
      <c r="BA1258" s="957"/>
      <c r="BB1258" s="957"/>
      <c r="BC1258" s="957"/>
      <c r="BD1258" s="957"/>
      <c r="BE1258" s="957"/>
      <c r="BF1258" s="957"/>
      <c r="BG1258" s="957"/>
    </row>
    <row r="1259" spans="1:113">
      <c r="A1259" s="2386"/>
      <c r="B1259" s="2166" t="s">
        <v>1343</v>
      </c>
      <c r="C1259" s="2144" t="s">
        <v>11</v>
      </c>
      <c r="D1259" s="784" t="s">
        <v>490</v>
      </c>
      <c r="E1259" s="452">
        <v>11</v>
      </c>
      <c r="F1259" s="148" t="s">
        <v>15</v>
      </c>
      <c r="G1259" s="148" t="s">
        <v>15</v>
      </c>
      <c r="H1259" s="513">
        <v>303.75</v>
      </c>
      <c r="I1259" s="570">
        <v>71.73</v>
      </c>
      <c r="J1259" s="2237" t="s">
        <v>11</v>
      </c>
      <c r="K1259" s="15" t="s">
        <v>490</v>
      </c>
      <c r="L1259" s="2237" t="s">
        <v>11</v>
      </c>
      <c r="M1259" s="15" t="s">
        <v>490</v>
      </c>
      <c r="N1259" s="1201">
        <v>120.989</v>
      </c>
      <c r="O1259" s="133">
        <v>7.33</v>
      </c>
      <c r="P1259" s="133">
        <v>16.510000000000002</v>
      </c>
      <c r="Q1259" s="148" t="s">
        <v>15</v>
      </c>
      <c r="R1259" s="128">
        <f t="shared" si="70"/>
        <v>120.989</v>
      </c>
      <c r="S1259" s="86">
        <v>0.63400000000000001</v>
      </c>
      <c r="T1259" s="841">
        <v>160.30000000000001</v>
      </c>
      <c r="U1259" s="888"/>
      <c r="V1259" s="24"/>
      <c r="W1259" s="26"/>
      <c r="X1259" s="26"/>
      <c r="Y1259" s="41"/>
      <c r="Z1259" s="41"/>
      <c r="AA1259" s="41"/>
      <c r="AB1259" s="754"/>
      <c r="AC1259" s="26"/>
      <c r="AD1259" s="24"/>
      <c r="AE1259" s="26"/>
      <c r="AF1259" s="336" t="s">
        <v>49</v>
      </c>
      <c r="AG1259" s="335" t="s">
        <v>1244</v>
      </c>
      <c r="AH1259" s="1046">
        <f>133.538*1.25</f>
        <v>166.92250000000001</v>
      </c>
      <c r="AI1259" s="158"/>
      <c r="AJ1259" s="158"/>
      <c r="AK1259" s="158"/>
      <c r="AL1259" s="158"/>
      <c r="AM1259" s="158"/>
      <c r="AN1259" s="957"/>
      <c r="AO1259" s="957"/>
      <c r="AP1259" s="957"/>
      <c r="AQ1259" s="957"/>
      <c r="AR1259" s="957"/>
      <c r="AS1259" s="957"/>
      <c r="AT1259" s="957"/>
      <c r="AU1259" s="957"/>
      <c r="AV1259" s="957"/>
      <c r="AW1259" s="957"/>
      <c r="AX1259" s="957"/>
      <c r="AY1259" s="957"/>
      <c r="AZ1259" s="957"/>
      <c r="BA1259" s="957"/>
      <c r="BB1259" s="957"/>
      <c r="BC1259" s="957"/>
      <c r="BD1259" s="957"/>
      <c r="BE1259" s="957"/>
      <c r="BF1259" s="957"/>
      <c r="BG1259" s="957"/>
    </row>
    <row r="1260" spans="1:113">
      <c r="A1260" s="2386"/>
      <c r="B1260" s="2166"/>
      <c r="C1260" s="2144"/>
      <c r="D1260" s="784" t="s">
        <v>32</v>
      </c>
      <c r="E1260" s="452">
        <v>165</v>
      </c>
      <c r="F1260" s="148" t="s">
        <v>15</v>
      </c>
      <c r="G1260" s="148" t="s">
        <v>15</v>
      </c>
      <c r="H1260" s="513">
        <v>181.71</v>
      </c>
      <c r="I1260" s="570">
        <v>78.23</v>
      </c>
      <c r="J1260" s="2408"/>
      <c r="K1260" s="15" t="s">
        <v>32</v>
      </c>
      <c r="L1260" s="2408"/>
      <c r="M1260" s="15" t="s">
        <v>32</v>
      </c>
      <c r="N1260" s="1194">
        <v>0</v>
      </c>
      <c r="O1260" s="142" t="s">
        <v>574</v>
      </c>
      <c r="P1260" s="142" t="s">
        <v>574</v>
      </c>
      <c r="Q1260" s="148" t="s">
        <v>15</v>
      </c>
      <c r="R1260" s="128">
        <f t="shared" si="70"/>
        <v>0</v>
      </c>
      <c r="S1260" s="118" t="s">
        <v>235</v>
      </c>
      <c r="T1260" s="119" t="s">
        <v>391</v>
      </c>
      <c r="U1260" s="888"/>
      <c r="V1260" s="24"/>
      <c r="W1260" s="26"/>
      <c r="X1260" s="26"/>
      <c r="Y1260" s="41"/>
      <c r="Z1260" s="41"/>
      <c r="AA1260" s="41"/>
      <c r="AB1260" s="754"/>
      <c r="AC1260" s="26"/>
      <c r="AD1260" s="24"/>
      <c r="AE1260" s="26"/>
      <c r="AF1260" s="336" t="s">
        <v>1220</v>
      </c>
      <c r="AG1260" s="335" t="s">
        <v>1245</v>
      </c>
      <c r="AH1260" s="1046">
        <f>127.07*1.25</f>
        <v>158.83749999999998</v>
      </c>
      <c r="AI1260" s="158"/>
      <c r="AJ1260" s="158"/>
      <c r="AK1260" s="158"/>
      <c r="AL1260" s="158"/>
      <c r="AM1260" s="158"/>
      <c r="AN1260" s="957"/>
      <c r="AO1260" s="957"/>
      <c r="AP1260" s="957"/>
      <c r="AQ1260" s="957"/>
      <c r="AR1260" s="957"/>
      <c r="AS1260" s="957"/>
      <c r="AT1260" s="957"/>
      <c r="AU1260" s="957"/>
      <c r="AV1260" s="957"/>
      <c r="AW1260" s="957"/>
      <c r="AX1260" s="957"/>
      <c r="AY1260" s="957"/>
      <c r="AZ1260" s="957"/>
      <c r="BA1260" s="957"/>
      <c r="BB1260" s="957"/>
      <c r="BC1260" s="957"/>
      <c r="BD1260" s="957"/>
      <c r="BE1260" s="957"/>
      <c r="BF1260" s="957"/>
      <c r="BG1260" s="957"/>
    </row>
    <row r="1261" spans="1:113">
      <c r="A1261" s="2386"/>
      <c r="B1261" s="2177" t="s">
        <v>1342</v>
      </c>
      <c r="C1261" s="2144" t="s">
        <v>11</v>
      </c>
      <c r="D1261" s="749" t="s">
        <v>490</v>
      </c>
      <c r="E1261" s="452">
        <v>3</v>
      </c>
      <c r="F1261" s="148" t="s">
        <v>15</v>
      </c>
      <c r="G1261" s="148" t="s">
        <v>15</v>
      </c>
      <c r="H1261" s="513">
        <v>390</v>
      </c>
      <c r="I1261" s="570">
        <v>94.98</v>
      </c>
      <c r="J1261" s="234" t="s">
        <v>15</v>
      </c>
      <c r="K1261" s="233" t="s">
        <v>15</v>
      </c>
      <c r="L1261" s="234" t="s">
        <v>15</v>
      </c>
      <c r="M1261" s="233" t="s">
        <v>15</v>
      </c>
      <c r="N1261" s="1201">
        <v>108.498</v>
      </c>
      <c r="O1261" s="133">
        <v>2.83</v>
      </c>
      <c r="P1261" s="133">
        <v>38.4</v>
      </c>
      <c r="Q1261" s="128">
        <f>E1261/176</f>
        <v>1.7045454545454544E-2</v>
      </c>
      <c r="R1261" s="2129">
        <f>SUMPRODUCT(Q1261:Q1262,N1261:N1262)</f>
        <v>1.8493977272727271</v>
      </c>
      <c r="S1261" s="86">
        <v>31.66</v>
      </c>
      <c r="T1261" s="151">
        <v>0.25</v>
      </c>
      <c r="U1261" s="888"/>
      <c r="V1261" s="24"/>
      <c r="W1261" s="26"/>
      <c r="X1261" s="26"/>
      <c r="Y1261" s="41"/>
      <c r="Z1261" s="41"/>
      <c r="AA1261" s="41"/>
      <c r="AB1261" s="754"/>
      <c r="AC1261" s="26"/>
      <c r="AD1261" s="24"/>
      <c r="AE1261" s="26"/>
      <c r="AF1261" s="336" t="s">
        <v>49</v>
      </c>
      <c r="AG1261" s="335" t="s">
        <v>1246</v>
      </c>
      <c r="AH1261" s="1046">
        <f>124.07*1.25</f>
        <v>155.08749999999998</v>
      </c>
      <c r="AI1261" s="158"/>
      <c r="AJ1261" s="158"/>
      <c r="AK1261" s="158"/>
      <c r="AL1261" s="158"/>
      <c r="AM1261" s="158"/>
      <c r="AN1261" s="957"/>
      <c r="AO1261" s="957"/>
      <c r="AP1261" s="957"/>
      <c r="AQ1261" s="957"/>
      <c r="AR1261" s="957"/>
      <c r="AS1261" s="957"/>
      <c r="AT1261" s="957"/>
      <c r="AU1261" s="957"/>
      <c r="AV1261" s="957"/>
      <c r="AW1261" s="957"/>
      <c r="AX1261" s="957"/>
      <c r="AY1261" s="957"/>
      <c r="AZ1261" s="957"/>
      <c r="BA1261" s="957"/>
      <c r="BB1261" s="957"/>
      <c r="BC1261" s="957"/>
      <c r="BD1261" s="957"/>
      <c r="BE1261" s="957"/>
      <c r="BF1261" s="957"/>
      <c r="BG1261" s="957"/>
    </row>
    <row r="1262" spans="1:113">
      <c r="A1262" s="2386"/>
      <c r="B1262" s="2247"/>
      <c r="C1262" s="2144"/>
      <c r="D1262" s="749" t="s">
        <v>32</v>
      </c>
      <c r="E1262" s="452">
        <v>173</v>
      </c>
      <c r="F1262" s="148" t="s">
        <v>15</v>
      </c>
      <c r="G1262" s="148" t="s">
        <v>15</v>
      </c>
      <c r="H1262" s="513">
        <v>185.86</v>
      </c>
      <c r="I1262" s="570">
        <v>78.790000000000006</v>
      </c>
      <c r="J1262" s="234" t="s">
        <v>15</v>
      </c>
      <c r="K1262" s="233" t="s">
        <v>15</v>
      </c>
      <c r="L1262" s="234" t="s">
        <v>15</v>
      </c>
      <c r="M1262" s="233" t="s">
        <v>15</v>
      </c>
      <c r="N1262" s="1194">
        <v>0</v>
      </c>
      <c r="O1262" s="142" t="s">
        <v>574</v>
      </c>
      <c r="P1262" s="142" t="s">
        <v>574</v>
      </c>
      <c r="Q1262" s="128">
        <f>E1262/176</f>
        <v>0.98295454545454541</v>
      </c>
      <c r="R1262" s="2139"/>
      <c r="S1262" s="26"/>
      <c r="T1262" s="26"/>
      <c r="U1262" s="888"/>
      <c r="V1262" s="24"/>
      <c r="W1262" s="26"/>
      <c r="X1262" s="26"/>
      <c r="Y1262" s="41"/>
      <c r="Z1262" s="41"/>
      <c r="AA1262" s="41"/>
      <c r="AB1262" s="754"/>
      <c r="AC1262" s="26"/>
      <c r="AD1262" s="24"/>
      <c r="AE1262" s="26"/>
      <c r="AF1262" s="75"/>
      <c r="AG1262" s="26"/>
      <c r="AH1262" s="957"/>
      <c r="AI1262" s="957"/>
      <c r="AJ1262" s="957"/>
      <c r="AK1262" s="957"/>
      <c r="AL1262" s="957"/>
      <c r="AM1262" s="957"/>
      <c r="AN1262" s="957"/>
      <c r="AO1262" s="957"/>
      <c r="AP1262" s="957"/>
      <c r="AQ1262" s="957"/>
      <c r="AR1262" s="957"/>
      <c r="AS1262" s="957"/>
      <c r="AT1262" s="957"/>
      <c r="AU1262" s="957"/>
      <c r="AV1262" s="957"/>
      <c r="AW1262" s="957"/>
      <c r="AX1262" s="957"/>
      <c r="AY1262" s="957"/>
      <c r="AZ1262" s="957"/>
      <c r="BA1262" s="957"/>
      <c r="BB1262" s="957"/>
      <c r="BC1262" s="957"/>
      <c r="BD1262" s="957"/>
      <c r="BE1262" s="957"/>
      <c r="BF1262" s="957"/>
      <c r="BG1262" s="957"/>
    </row>
    <row r="1263" spans="1:113">
      <c r="A1263" s="2386"/>
      <c r="B1263" s="2177" t="s">
        <v>1236</v>
      </c>
      <c r="C1263" s="2144" t="s">
        <v>11</v>
      </c>
      <c r="D1263" s="749" t="s">
        <v>490</v>
      </c>
      <c r="E1263" s="95">
        <v>1</v>
      </c>
      <c r="F1263" s="148" t="s">
        <v>15</v>
      </c>
      <c r="G1263" s="148" t="s">
        <v>15</v>
      </c>
      <c r="H1263" s="513">
        <v>499</v>
      </c>
      <c r="I1263" s="233" t="s">
        <v>15</v>
      </c>
      <c r="J1263" s="234" t="s">
        <v>15</v>
      </c>
      <c r="K1263" s="233" t="s">
        <v>15</v>
      </c>
      <c r="L1263" s="234" t="s">
        <v>15</v>
      </c>
      <c r="M1263" s="233" t="s">
        <v>15</v>
      </c>
      <c r="N1263" s="1201">
        <v>151.69300000000001</v>
      </c>
      <c r="O1263" s="133">
        <v>2.39</v>
      </c>
      <c r="P1263" s="133">
        <v>63.39</v>
      </c>
      <c r="Q1263" s="148" t="s">
        <v>15</v>
      </c>
      <c r="R1263" s="128">
        <f>N1263</f>
        <v>151.69300000000001</v>
      </c>
      <c r="S1263" s="26"/>
      <c r="T1263" s="26"/>
      <c r="U1263" s="888"/>
      <c r="V1263" s="24"/>
      <c r="W1263" s="26"/>
      <c r="X1263" s="26"/>
      <c r="Y1263" s="41"/>
      <c r="Z1263" s="41"/>
      <c r="AA1263" s="41"/>
      <c r="AB1263" s="754"/>
      <c r="AC1263" s="26"/>
      <c r="AD1263" s="24"/>
      <c r="AE1263" s="26"/>
      <c r="AF1263" s="75"/>
      <c r="AG1263" s="26"/>
      <c r="AH1263" s="957"/>
      <c r="AI1263" s="957"/>
      <c r="AJ1263" s="957"/>
      <c r="AK1263" s="957"/>
      <c r="AL1263" s="957"/>
      <c r="AM1263" s="957"/>
      <c r="AN1263" s="957"/>
      <c r="AO1263" s="957"/>
      <c r="AP1263" s="957"/>
      <c r="AQ1263" s="957"/>
      <c r="AR1263" s="957"/>
      <c r="AS1263" s="957"/>
      <c r="AT1263" s="957"/>
      <c r="AU1263" s="957"/>
      <c r="AV1263" s="957"/>
      <c r="AW1263" s="957"/>
      <c r="AX1263" s="957"/>
      <c r="AY1263" s="957"/>
      <c r="AZ1263" s="957"/>
      <c r="BA1263" s="957"/>
      <c r="BB1263" s="957"/>
      <c r="BC1263" s="957"/>
      <c r="BD1263" s="957"/>
      <c r="BE1263" s="957"/>
      <c r="BF1263" s="957"/>
      <c r="BG1263" s="957"/>
    </row>
    <row r="1264" spans="1:113">
      <c r="A1264" s="2386"/>
      <c r="B1264" s="2247"/>
      <c r="C1264" s="2144"/>
      <c r="D1264" s="749" t="s">
        <v>32</v>
      </c>
      <c r="E1264" s="95">
        <v>175</v>
      </c>
      <c r="F1264" s="148" t="s">
        <v>15</v>
      </c>
      <c r="G1264" s="148" t="s">
        <v>15</v>
      </c>
      <c r="H1264" s="513">
        <v>187.57</v>
      </c>
      <c r="I1264" s="570">
        <v>79.959999999999994</v>
      </c>
      <c r="J1264" s="234" t="s">
        <v>15</v>
      </c>
      <c r="K1264" s="233" t="s">
        <v>15</v>
      </c>
      <c r="L1264" s="234" t="s">
        <v>15</v>
      </c>
      <c r="M1264" s="233" t="s">
        <v>15</v>
      </c>
      <c r="N1264" s="1194">
        <v>0</v>
      </c>
      <c r="O1264" s="142" t="s">
        <v>574</v>
      </c>
      <c r="P1264" s="142" t="s">
        <v>574</v>
      </c>
      <c r="Q1264" s="148" t="s">
        <v>15</v>
      </c>
      <c r="R1264" s="128">
        <f>N1264</f>
        <v>0</v>
      </c>
      <c r="S1264" s="26"/>
      <c r="T1264" s="26"/>
      <c r="U1264" s="888"/>
      <c r="V1264" s="24"/>
      <c r="W1264" s="26"/>
      <c r="X1264" s="26"/>
      <c r="Y1264" s="41"/>
      <c r="Z1264" s="41"/>
      <c r="AA1264" s="41"/>
      <c r="AB1264" s="754"/>
      <c r="AC1264" s="26"/>
      <c r="AD1264" s="24"/>
      <c r="AE1264" s="26"/>
      <c r="AF1264" s="75"/>
      <c r="AG1264" s="26"/>
      <c r="AH1264" s="957"/>
      <c r="AI1264" s="957"/>
      <c r="AJ1264" s="957"/>
      <c r="AK1264" s="957"/>
      <c r="AL1264" s="957"/>
      <c r="AM1264" s="957"/>
      <c r="AN1264" s="957"/>
      <c r="AO1264" s="957"/>
      <c r="AP1264" s="957"/>
      <c r="AQ1264" s="957"/>
      <c r="AR1264" s="957"/>
      <c r="AS1264" s="957"/>
      <c r="AT1264" s="957"/>
      <c r="AU1264" s="957"/>
      <c r="AV1264" s="957"/>
      <c r="AW1264" s="957"/>
      <c r="AX1264" s="957"/>
      <c r="AY1264" s="957"/>
      <c r="AZ1264" s="957"/>
      <c r="BA1264" s="957"/>
      <c r="BB1264" s="957"/>
      <c r="BC1264" s="957"/>
      <c r="BD1264" s="957"/>
      <c r="BE1264" s="957"/>
      <c r="BF1264" s="957"/>
      <c r="BG1264" s="957"/>
    </row>
    <row r="1265" spans="1:113">
      <c r="A1265" s="2386"/>
      <c r="B1265" s="2177" t="s">
        <v>1334</v>
      </c>
      <c r="C1265" s="2144" t="s">
        <v>11</v>
      </c>
      <c r="D1265" s="749" t="s">
        <v>490</v>
      </c>
      <c r="E1265" s="95">
        <v>46</v>
      </c>
      <c r="F1265" s="148" t="s">
        <v>15</v>
      </c>
      <c r="G1265" s="148" t="s">
        <v>15</v>
      </c>
      <c r="H1265" s="513">
        <v>180.2</v>
      </c>
      <c r="I1265" s="570">
        <v>52.07</v>
      </c>
      <c r="J1265" s="234" t="s">
        <v>15</v>
      </c>
      <c r="K1265" s="233" t="s">
        <v>15</v>
      </c>
      <c r="L1265" s="234" t="s">
        <v>15</v>
      </c>
      <c r="M1265" s="233" t="s">
        <v>15</v>
      </c>
      <c r="N1265" s="1201">
        <v>20.710999999999999</v>
      </c>
      <c r="O1265" s="133">
        <v>2.1800000000000002</v>
      </c>
      <c r="P1265" s="133">
        <v>9.48</v>
      </c>
      <c r="Q1265" s="128">
        <f>E1265/176</f>
        <v>0.26136363636363635</v>
      </c>
      <c r="R1265" s="2129">
        <f>SUMPRODUCT(Q1265:Q1266,N1265:N1266)</f>
        <v>5.4131022727272722</v>
      </c>
      <c r="S1265" s="26"/>
      <c r="T1265" s="26"/>
      <c r="U1265" s="888"/>
      <c r="V1265" s="24"/>
      <c r="W1265" s="26"/>
      <c r="X1265" s="26"/>
      <c r="Y1265" s="41"/>
      <c r="Z1265" s="41"/>
      <c r="AA1265" s="41"/>
      <c r="AB1265" s="754"/>
      <c r="AC1265" s="26"/>
      <c r="AD1265" s="24"/>
      <c r="AE1265" s="26"/>
      <c r="AF1265" s="75"/>
      <c r="AG1265" s="26"/>
      <c r="AH1265" s="957"/>
      <c r="AI1265" s="957"/>
      <c r="AJ1265" s="957"/>
      <c r="AK1265" s="957"/>
      <c r="AL1265" s="957"/>
      <c r="AM1265" s="957"/>
      <c r="AN1265" s="957"/>
      <c r="AO1265" s="957"/>
      <c r="AP1265" s="957"/>
      <c r="AQ1265" s="957"/>
      <c r="AR1265" s="957"/>
      <c r="AS1265" s="957"/>
      <c r="AT1265" s="957"/>
      <c r="AU1265" s="957"/>
      <c r="AV1265" s="957"/>
      <c r="AW1265" s="957"/>
      <c r="AX1265" s="957"/>
      <c r="AY1265" s="957"/>
      <c r="AZ1265" s="957"/>
      <c r="BA1265" s="957"/>
      <c r="BB1265" s="957"/>
      <c r="BC1265" s="957"/>
      <c r="BD1265" s="957"/>
      <c r="BE1265" s="957"/>
      <c r="BF1265" s="957"/>
      <c r="BG1265" s="957"/>
    </row>
    <row r="1266" spans="1:113">
      <c r="A1266" s="2386"/>
      <c r="B1266" s="2247"/>
      <c r="C1266" s="2144"/>
      <c r="D1266" s="749" t="s">
        <v>32</v>
      </c>
      <c r="E1266" s="95">
        <v>130</v>
      </c>
      <c r="F1266" s="148" t="s">
        <v>15</v>
      </c>
      <c r="G1266" s="148" t="s">
        <v>15</v>
      </c>
      <c r="H1266" s="513">
        <v>192.57</v>
      </c>
      <c r="I1266" s="570">
        <v>91.57</v>
      </c>
      <c r="J1266" s="234" t="s">
        <v>15</v>
      </c>
      <c r="K1266" s="233" t="s">
        <v>15</v>
      </c>
      <c r="L1266" s="234" t="s">
        <v>15</v>
      </c>
      <c r="M1266" s="233" t="s">
        <v>15</v>
      </c>
      <c r="N1266" s="1194">
        <v>0</v>
      </c>
      <c r="O1266" s="142" t="s">
        <v>574</v>
      </c>
      <c r="P1266" s="142" t="s">
        <v>574</v>
      </c>
      <c r="Q1266" s="128">
        <f>E1266/176</f>
        <v>0.73863636363636365</v>
      </c>
      <c r="R1266" s="2139"/>
      <c r="S1266" s="26"/>
      <c r="T1266" s="26"/>
      <c r="U1266" s="888"/>
      <c r="V1266" s="24"/>
      <c r="W1266" s="26"/>
      <c r="X1266" s="26"/>
      <c r="Y1266" s="41"/>
      <c r="Z1266" s="41"/>
      <c r="AA1266" s="41"/>
      <c r="AB1266" s="754"/>
      <c r="AC1266" s="26"/>
      <c r="AD1266" s="24"/>
      <c r="AE1266" s="26"/>
      <c r="AF1266" s="75"/>
      <c r="AG1266" s="26"/>
      <c r="AH1266" s="957"/>
      <c r="AI1266" s="957"/>
      <c r="AJ1266" s="957"/>
      <c r="AK1266" s="957"/>
      <c r="AL1266" s="957"/>
      <c r="AM1266" s="957"/>
      <c r="AN1266" s="957"/>
      <c r="AO1266" s="957"/>
      <c r="AP1266" s="957"/>
      <c r="AQ1266" s="957"/>
      <c r="AR1266" s="957"/>
      <c r="AS1266" s="957"/>
      <c r="AT1266" s="957"/>
      <c r="AU1266" s="957"/>
      <c r="AV1266" s="957"/>
      <c r="AW1266" s="957"/>
      <c r="AX1266" s="957"/>
      <c r="AY1266" s="957"/>
      <c r="AZ1266" s="957"/>
      <c r="BA1266" s="957"/>
      <c r="BB1266" s="957"/>
      <c r="BC1266" s="957"/>
      <c r="BD1266" s="957"/>
      <c r="BE1266" s="957"/>
      <c r="BF1266" s="957"/>
      <c r="BG1266" s="957"/>
    </row>
    <row r="1267" spans="1:113">
      <c r="A1267" s="2386"/>
      <c r="B1267" s="2177" t="s">
        <v>1335</v>
      </c>
      <c r="C1267" s="2144" t="s">
        <v>12</v>
      </c>
      <c r="D1267" s="749" t="s">
        <v>490</v>
      </c>
      <c r="E1267" s="95">
        <v>34</v>
      </c>
      <c r="F1267" s="148" t="s">
        <v>15</v>
      </c>
      <c r="G1267" s="148" t="s">
        <v>15</v>
      </c>
      <c r="H1267" s="513">
        <v>261.08999999999997</v>
      </c>
      <c r="I1267" s="570">
        <v>117.36</v>
      </c>
      <c r="J1267" s="234" t="s">
        <v>15</v>
      </c>
      <c r="K1267" s="233" t="s">
        <v>15</v>
      </c>
      <c r="L1267" s="234" t="s">
        <v>15</v>
      </c>
      <c r="M1267" s="233" t="s">
        <v>15</v>
      </c>
      <c r="N1267" s="1201">
        <v>57.517000000000003</v>
      </c>
      <c r="O1267" s="133">
        <v>5.0199999999999996</v>
      </c>
      <c r="P1267" s="133">
        <v>11.45</v>
      </c>
      <c r="Q1267" s="128">
        <f>E1267/176</f>
        <v>0.19318181818181818</v>
      </c>
      <c r="R1267" s="2129">
        <f>SUMPRODUCT(Q1267:Q1268,N1267:N1268)</f>
        <v>11.111238636363638</v>
      </c>
      <c r="S1267" s="26"/>
      <c r="T1267" s="26"/>
      <c r="U1267" s="888"/>
      <c r="V1267" s="24"/>
      <c r="W1267" s="26"/>
      <c r="X1267" s="26"/>
      <c r="Y1267" s="41"/>
      <c r="Z1267" s="41"/>
      <c r="AA1267" s="41"/>
      <c r="AB1267" s="754"/>
      <c r="AC1267" s="26"/>
      <c r="AD1267" s="24"/>
      <c r="AE1267" s="26"/>
      <c r="AF1267" s="75"/>
      <c r="AG1267" s="26"/>
      <c r="AH1267" s="957"/>
      <c r="AI1267" s="957"/>
      <c r="AJ1267" s="957"/>
      <c r="AK1267" s="957"/>
      <c r="AL1267" s="957"/>
      <c r="AM1267" s="957"/>
      <c r="AN1267" s="957"/>
      <c r="AO1267" s="957"/>
      <c r="AP1267" s="957"/>
      <c r="AQ1267" s="957"/>
      <c r="AR1267" s="957"/>
      <c r="AS1267" s="957"/>
      <c r="AT1267" s="957"/>
      <c r="AU1267" s="957"/>
      <c r="AV1267" s="957"/>
      <c r="AW1267" s="957"/>
      <c r="AX1267" s="957"/>
      <c r="AY1267" s="957"/>
      <c r="AZ1267" s="957"/>
      <c r="BA1267" s="957"/>
      <c r="BB1267" s="957"/>
      <c r="BC1267" s="957"/>
      <c r="BD1267" s="957"/>
      <c r="BE1267" s="957"/>
      <c r="BF1267" s="957"/>
      <c r="BG1267" s="957"/>
    </row>
    <row r="1268" spans="1:113" ht="15.75" thickBot="1">
      <c r="A1268" s="2386"/>
      <c r="B1268" s="2247"/>
      <c r="C1268" s="2179"/>
      <c r="D1268" s="19" t="s">
        <v>32</v>
      </c>
      <c r="E1268" s="96">
        <v>142</v>
      </c>
      <c r="F1268" s="197" t="s">
        <v>15</v>
      </c>
      <c r="G1268" s="197" t="s">
        <v>15</v>
      </c>
      <c r="H1268" s="513">
        <v>172.16</v>
      </c>
      <c r="I1268" s="570">
        <v>61.73</v>
      </c>
      <c r="J1268" s="409" t="s">
        <v>15</v>
      </c>
      <c r="K1268" s="122" t="s">
        <v>15</v>
      </c>
      <c r="L1268" s="409" t="s">
        <v>15</v>
      </c>
      <c r="M1268" s="122" t="s">
        <v>15</v>
      </c>
      <c r="N1268" s="1194">
        <v>0</v>
      </c>
      <c r="O1268" s="142" t="s">
        <v>574</v>
      </c>
      <c r="P1268" s="142" t="s">
        <v>574</v>
      </c>
      <c r="Q1268" s="256">
        <f>E1268/176</f>
        <v>0.80681818181818177</v>
      </c>
      <c r="R1268" s="2246"/>
      <c r="S1268" s="26"/>
      <c r="T1268" s="26"/>
      <c r="U1268" s="889"/>
      <c r="V1268" s="24"/>
      <c r="W1268" s="26"/>
      <c r="X1268" s="26"/>
      <c r="Y1268" s="41"/>
      <c r="Z1268" s="41"/>
      <c r="AA1268" s="41"/>
      <c r="AB1268" s="757"/>
      <c r="AC1268" s="26"/>
      <c r="AD1268" s="24"/>
      <c r="AE1268" s="26"/>
      <c r="AF1268" s="75"/>
      <c r="AG1268" s="26"/>
      <c r="AH1268" s="957"/>
      <c r="AI1268" s="957"/>
      <c r="AJ1268" s="957"/>
      <c r="AK1268" s="957"/>
      <c r="AL1268" s="957"/>
      <c r="AM1268" s="957"/>
      <c r="AN1268" s="957"/>
      <c r="AO1268" s="957"/>
      <c r="AP1268" s="957"/>
      <c r="AQ1268" s="957"/>
      <c r="AR1268" s="957"/>
      <c r="AS1268" s="957"/>
      <c r="AT1268" s="957"/>
      <c r="AU1268" s="957"/>
      <c r="AV1268" s="957"/>
      <c r="AW1268" s="957"/>
      <c r="AX1268" s="957"/>
      <c r="AY1268" s="957"/>
      <c r="AZ1268" s="957"/>
      <c r="BA1268" s="957"/>
      <c r="BB1268" s="957"/>
      <c r="BC1268" s="957"/>
      <c r="BD1268" s="957"/>
      <c r="BE1268" s="957"/>
      <c r="BF1268" s="957"/>
      <c r="BG1268" s="957"/>
    </row>
    <row r="1269" spans="1:113" s="692" customFormat="1" ht="9" customHeight="1" thickBot="1">
      <c r="A1269" s="716"/>
      <c r="B1269" s="818"/>
      <c r="C1269" s="712"/>
      <c r="D1269" s="699"/>
      <c r="E1269" s="733"/>
      <c r="F1269" s="733"/>
      <c r="G1269" s="733"/>
      <c r="H1269" s="733"/>
      <c r="I1269" s="733"/>
      <c r="J1269" s="682"/>
      <c r="K1269" s="683"/>
      <c r="L1269" s="682"/>
      <c r="M1269" s="685"/>
      <c r="N1269" s="1214"/>
      <c r="O1269" s="713"/>
      <c r="P1269" s="713"/>
      <c r="Q1269" s="714"/>
      <c r="R1269" s="714"/>
      <c r="S1269" s="704"/>
      <c r="T1269" s="704"/>
      <c r="U1269" s="854"/>
      <c r="V1269" s="893"/>
      <c r="W1269" s="700"/>
      <c r="X1269" s="700"/>
      <c r="Y1269" s="735"/>
      <c r="Z1269" s="735"/>
      <c r="AA1269" s="710"/>
      <c r="AB1269" s="921"/>
      <c r="AC1269" s="690"/>
      <c r="AD1269" s="690"/>
      <c r="AE1269" s="690"/>
      <c r="AF1269" s="737"/>
      <c r="AG1269" s="706"/>
      <c r="AH1269" s="958"/>
      <c r="AI1269" s="958"/>
      <c r="AJ1269" s="958"/>
      <c r="AK1269" s="958"/>
      <c r="AL1269" s="958"/>
      <c r="AM1269" s="958"/>
      <c r="AN1269" s="959"/>
      <c r="AO1269" s="959"/>
      <c r="AP1269" s="959"/>
      <c r="AQ1269" s="959"/>
      <c r="AR1269" s="959"/>
      <c r="AS1269" s="959"/>
      <c r="AT1269" s="959"/>
      <c r="AU1269" s="959"/>
      <c r="AV1269" s="959"/>
      <c r="AW1269" s="959"/>
      <c r="AX1269" s="959"/>
      <c r="AY1269" s="959"/>
      <c r="AZ1269" s="959"/>
      <c r="BA1269" s="959"/>
      <c r="BB1269" s="959"/>
      <c r="BC1269" s="959"/>
      <c r="BD1269" s="959"/>
      <c r="BE1269" s="959"/>
      <c r="BF1269" s="959"/>
      <c r="BG1269" s="959"/>
      <c r="BH1269" s="1125"/>
      <c r="DI1269" s="693"/>
    </row>
    <row r="1270" spans="1:113" ht="15" customHeight="1">
      <c r="A1270" s="2119" t="s">
        <v>1369</v>
      </c>
      <c r="B1270" s="817" t="s">
        <v>1328</v>
      </c>
      <c r="C1270" s="1050" t="s">
        <v>12</v>
      </c>
      <c r="D1270" s="211" t="s">
        <v>1248</v>
      </c>
      <c r="E1270" s="282">
        <v>124</v>
      </c>
      <c r="F1270" s="77">
        <v>96.13</v>
      </c>
      <c r="G1270" s="77">
        <v>54.23</v>
      </c>
      <c r="H1270" s="513">
        <v>110.66</v>
      </c>
      <c r="I1270" s="570">
        <v>79.59</v>
      </c>
      <c r="J1270" s="298" t="s">
        <v>15</v>
      </c>
      <c r="K1270" s="1135" t="s">
        <v>15</v>
      </c>
      <c r="L1270" s="298" t="s">
        <v>15</v>
      </c>
      <c r="M1270" s="1135" t="s">
        <v>15</v>
      </c>
      <c r="N1270" s="441">
        <v>0.16200000000000001</v>
      </c>
      <c r="O1270" s="280">
        <v>2.58</v>
      </c>
      <c r="P1270" s="280">
        <v>6.3E-2</v>
      </c>
      <c r="Q1270" s="747" t="s">
        <v>15</v>
      </c>
      <c r="R1270" s="259">
        <f t="shared" ref="R1270:R1279" si="71">N1270</f>
        <v>0.16200000000000001</v>
      </c>
      <c r="S1270" s="149" t="s">
        <v>68</v>
      </c>
      <c r="T1270" s="150" t="s">
        <v>69</v>
      </c>
      <c r="U1270" s="887"/>
      <c r="V1270" s="2162" t="s">
        <v>2698</v>
      </c>
      <c r="W1270" s="212" t="s">
        <v>1220</v>
      </c>
      <c r="X1270" s="1067" t="s">
        <v>1403</v>
      </c>
      <c r="Y1270" s="299">
        <f>T1277+R1270*64+R1271*48</f>
        <v>56.872</v>
      </c>
      <c r="Z1270" s="1072" t="s">
        <v>40</v>
      </c>
      <c r="AA1270" s="1073" t="s">
        <v>40</v>
      </c>
      <c r="AB1270" s="755"/>
      <c r="AC1270" s="26"/>
      <c r="AD1270" s="2131" t="s">
        <v>142</v>
      </c>
      <c r="AE1270" s="2267"/>
      <c r="AF1270" s="277" t="s">
        <v>1220</v>
      </c>
      <c r="AG1270" s="212" t="s">
        <v>1249</v>
      </c>
      <c r="AH1270" s="1047">
        <f>57.04*1.25</f>
        <v>71.3</v>
      </c>
      <c r="AI1270" s="1039">
        <v>76</v>
      </c>
      <c r="AJ1270" s="1039"/>
      <c r="AK1270" s="1039"/>
      <c r="AL1270" s="1039"/>
      <c r="AM1270" s="1039"/>
      <c r="AN1270" s="957"/>
      <c r="AO1270" s="957"/>
      <c r="AP1270" s="957"/>
      <c r="AQ1270" s="957"/>
      <c r="AR1270" s="957"/>
      <c r="AS1270" s="957"/>
      <c r="AT1270" s="957"/>
      <c r="AU1270" s="957"/>
      <c r="AV1270" s="957"/>
      <c r="AW1270" s="957"/>
      <c r="AX1270" s="957"/>
      <c r="AY1270" s="957"/>
      <c r="AZ1270" s="957"/>
      <c r="BA1270" s="957"/>
      <c r="BB1270" s="957"/>
      <c r="BC1270" s="957"/>
      <c r="BD1270" s="957"/>
      <c r="BE1270" s="957"/>
      <c r="BF1270" s="957"/>
      <c r="BG1270" s="957"/>
    </row>
    <row r="1271" spans="1:113" ht="15" customHeight="1">
      <c r="A1271" s="2120"/>
      <c r="B1271" s="816" t="s">
        <v>1352</v>
      </c>
      <c r="C1271" s="154" t="s">
        <v>12</v>
      </c>
      <c r="D1271" s="750" t="s">
        <v>1218</v>
      </c>
      <c r="E1271" s="95">
        <v>124</v>
      </c>
      <c r="F1271" s="452">
        <v>60.48</v>
      </c>
      <c r="G1271" s="452">
        <v>26.21</v>
      </c>
      <c r="H1271" s="513">
        <v>110.66</v>
      </c>
      <c r="I1271" s="570">
        <v>79.59</v>
      </c>
      <c r="J1271" s="268" t="s">
        <v>15</v>
      </c>
      <c r="K1271" s="132" t="s">
        <v>15</v>
      </c>
      <c r="L1271" s="268" t="s">
        <v>15</v>
      </c>
      <c r="M1271" s="132" t="s">
        <v>15</v>
      </c>
      <c r="N1271" s="537">
        <v>0.55800000000000005</v>
      </c>
      <c r="O1271" s="789">
        <v>0.14000000000000001</v>
      </c>
      <c r="P1271" s="789">
        <v>3.97</v>
      </c>
      <c r="Q1271" s="148" t="s">
        <v>15</v>
      </c>
      <c r="R1271" s="128">
        <f t="shared" si="71"/>
        <v>0.55800000000000005</v>
      </c>
      <c r="S1271" s="748" t="s">
        <v>1187</v>
      </c>
      <c r="T1271" s="794" t="s">
        <v>310</v>
      </c>
      <c r="U1271" s="888"/>
      <c r="V1271" s="2163"/>
      <c r="W1271" s="335" t="s">
        <v>49</v>
      </c>
      <c r="X1271" s="1066" t="s">
        <v>1404</v>
      </c>
      <c r="Y1271" s="165">
        <f>T1277+R1270*60+R1271*48</f>
        <v>56.224000000000004</v>
      </c>
      <c r="Z1271" s="165">
        <f>Y1271-$Y$1270</f>
        <v>-0.64799999999999613</v>
      </c>
      <c r="AA1271" s="166">
        <f>(64-60)*P1270</f>
        <v>0.252</v>
      </c>
      <c r="AB1271" s="754"/>
      <c r="AC1271" s="26"/>
      <c r="AD1271" s="2268" t="s">
        <v>1235</v>
      </c>
      <c r="AE1271" s="2269"/>
      <c r="AF1271" s="336" t="s">
        <v>49</v>
      </c>
      <c r="AG1271" s="335" t="s">
        <v>1250</v>
      </c>
      <c r="AH1271" s="1045">
        <f>56.38*1.25</f>
        <v>70.475000000000009</v>
      </c>
      <c r="AI1271" s="1039"/>
      <c r="AJ1271" s="1039"/>
      <c r="AK1271" s="1039"/>
      <c r="AL1271" s="1039"/>
      <c r="AM1271" s="1039"/>
      <c r="AN1271" s="957"/>
      <c r="AO1271" s="957"/>
      <c r="AP1271" s="957"/>
      <c r="AQ1271" s="957"/>
      <c r="AR1271" s="957"/>
      <c r="AS1271" s="957"/>
      <c r="AT1271" s="957"/>
      <c r="AU1271" s="957"/>
      <c r="AV1271" s="957"/>
      <c r="AW1271" s="957"/>
      <c r="AX1271" s="957"/>
      <c r="AY1271" s="957"/>
      <c r="AZ1271" s="957"/>
      <c r="BA1271" s="957"/>
      <c r="BB1271" s="957"/>
      <c r="BC1271" s="957"/>
      <c r="BD1271" s="957"/>
      <c r="BE1271" s="957"/>
      <c r="BF1271" s="957"/>
      <c r="BG1271" s="957"/>
    </row>
    <row r="1272" spans="1:113" ht="15" customHeight="1">
      <c r="A1272" s="2120"/>
      <c r="B1272" s="2166" t="s">
        <v>1332</v>
      </c>
      <c r="C1272" s="2144" t="s">
        <v>11</v>
      </c>
      <c r="D1272" s="749" t="s">
        <v>490</v>
      </c>
      <c r="E1272" s="95">
        <v>10</v>
      </c>
      <c r="F1272" s="148" t="s">
        <v>15</v>
      </c>
      <c r="G1272" s="148" t="s">
        <v>15</v>
      </c>
      <c r="H1272" s="513">
        <v>310.45</v>
      </c>
      <c r="I1272" s="570">
        <v>33.49</v>
      </c>
      <c r="J1272" s="234" t="s">
        <v>15</v>
      </c>
      <c r="K1272" s="233" t="s">
        <v>15</v>
      </c>
      <c r="L1272" s="234" t="s">
        <v>15</v>
      </c>
      <c r="M1272" s="233" t="s">
        <v>15</v>
      </c>
      <c r="N1272" s="1201">
        <v>219.56</v>
      </c>
      <c r="O1272" s="133">
        <v>14.89</v>
      </c>
      <c r="P1272" s="133">
        <v>14.75</v>
      </c>
      <c r="Q1272" s="148" t="s">
        <v>15</v>
      </c>
      <c r="R1272" s="128">
        <f t="shared" si="71"/>
        <v>219.56</v>
      </c>
      <c r="S1272" s="127" t="s">
        <v>72</v>
      </c>
      <c r="T1272" s="119" t="s">
        <v>119</v>
      </c>
      <c r="U1272" s="888"/>
      <c r="V1272" s="2163"/>
      <c r="W1272" s="335" t="s">
        <v>49</v>
      </c>
      <c r="X1272" s="1066" t="s">
        <v>1405</v>
      </c>
      <c r="Y1272" s="165">
        <f>T1277+R1270*58+R1271*48</f>
        <v>55.900000000000006</v>
      </c>
      <c r="Z1272" s="165">
        <f>Y1272-$Y$1270</f>
        <v>-0.9719999999999942</v>
      </c>
      <c r="AA1272" s="166">
        <f>(64-58)*P1270</f>
        <v>0.378</v>
      </c>
      <c r="AB1272" s="754"/>
      <c r="AC1272" s="26"/>
      <c r="AD1272" s="24"/>
      <c r="AE1272" s="26"/>
      <c r="AF1272" s="336" t="s">
        <v>1220</v>
      </c>
      <c r="AG1272" s="335" t="s">
        <v>1251</v>
      </c>
      <c r="AH1272" s="1045">
        <f>91.39*1.25</f>
        <v>114.2375</v>
      </c>
      <c r="AI1272" s="1039">
        <v>91.52</v>
      </c>
      <c r="AJ1272" s="1039">
        <v>91.95</v>
      </c>
      <c r="AK1272" s="1039"/>
      <c r="AL1272" s="1039"/>
      <c r="AM1272" s="1039"/>
      <c r="AN1272" s="957"/>
      <c r="AO1272" s="957"/>
      <c r="AP1272" s="957"/>
      <c r="AQ1272" s="957"/>
      <c r="AR1272" s="957"/>
      <c r="AS1272" s="957"/>
      <c r="AT1272" s="957"/>
      <c r="AU1272" s="957"/>
      <c r="AV1272" s="957"/>
      <c r="AW1272" s="957"/>
      <c r="AX1272" s="957"/>
      <c r="AY1272" s="957"/>
      <c r="AZ1272" s="957"/>
      <c r="BA1272" s="957"/>
      <c r="BB1272" s="957"/>
      <c r="BC1272" s="957"/>
      <c r="BD1272" s="957"/>
      <c r="BE1272" s="957"/>
      <c r="BF1272" s="957"/>
      <c r="BG1272" s="957"/>
    </row>
    <row r="1273" spans="1:113" ht="15" customHeight="1">
      <c r="A1273" s="2120"/>
      <c r="B1273" s="2166"/>
      <c r="C1273" s="2144"/>
      <c r="D1273" s="749" t="s">
        <v>32</v>
      </c>
      <c r="E1273" s="95">
        <v>114</v>
      </c>
      <c r="F1273" s="148" t="s">
        <v>15</v>
      </c>
      <c r="G1273" s="148" t="s">
        <v>15</v>
      </c>
      <c r="H1273" s="513">
        <v>93.13</v>
      </c>
      <c r="I1273" s="570">
        <v>54.43</v>
      </c>
      <c r="J1273" s="234" t="s">
        <v>15</v>
      </c>
      <c r="K1273" s="233" t="s">
        <v>15</v>
      </c>
      <c r="L1273" s="234" t="s">
        <v>15</v>
      </c>
      <c r="M1273" s="233" t="s">
        <v>15</v>
      </c>
      <c r="N1273" s="1194">
        <v>0</v>
      </c>
      <c r="O1273" s="142" t="s">
        <v>574</v>
      </c>
      <c r="P1273" s="142" t="s">
        <v>574</v>
      </c>
      <c r="Q1273" s="148" t="s">
        <v>15</v>
      </c>
      <c r="R1273" s="128">
        <f t="shared" si="71"/>
        <v>0</v>
      </c>
      <c r="S1273" s="423" t="s">
        <v>139</v>
      </c>
      <c r="T1273" s="411" t="s">
        <v>140</v>
      </c>
      <c r="U1273" s="888"/>
      <c r="V1273" s="2163"/>
      <c r="W1273" s="335" t="s">
        <v>1220</v>
      </c>
      <c r="X1273" s="1066" t="s">
        <v>1406</v>
      </c>
      <c r="Y1273" s="165">
        <f>T1277+R1270*128+R1271*48</f>
        <v>67.240000000000009</v>
      </c>
      <c r="Z1273" s="1074" t="s">
        <v>40</v>
      </c>
      <c r="AA1273" s="934" t="s">
        <v>40</v>
      </c>
      <c r="AB1273" s="754"/>
      <c r="AC1273" s="26"/>
      <c r="AD1273" s="24"/>
      <c r="AE1273" s="26"/>
      <c r="AF1273" s="336" t="s">
        <v>49</v>
      </c>
      <c r="AG1273" s="335" t="s">
        <v>1252</v>
      </c>
      <c r="AH1273" s="1046">
        <f>89.74*1.25</f>
        <v>112.175</v>
      </c>
      <c r="AI1273" s="1039"/>
      <c r="AJ1273" s="1039"/>
      <c r="AK1273" s="1039"/>
      <c r="AL1273" s="1039"/>
      <c r="AM1273" s="1039"/>
      <c r="AN1273" s="957"/>
      <c r="AO1273" s="957"/>
      <c r="AP1273" s="957"/>
      <c r="AQ1273" s="957"/>
      <c r="AR1273" s="957"/>
      <c r="AS1273" s="957"/>
      <c r="AT1273" s="957"/>
      <c r="AU1273" s="957"/>
      <c r="AV1273" s="957"/>
      <c r="AW1273" s="957"/>
      <c r="AX1273" s="957"/>
      <c r="AY1273" s="957"/>
      <c r="AZ1273" s="957"/>
      <c r="BA1273" s="957"/>
      <c r="BB1273" s="957"/>
      <c r="BC1273" s="957"/>
      <c r="BD1273" s="957"/>
      <c r="BE1273" s="957"/>
      <c r="BF1273" s="957"/>
      <c r="BG1273" s="957"/>
    </row>
    <row r="1274" spans="1:113" ht="15" customHeight="1">
      <c r="A1274" s="2120"/>
      <c r="B1274" s="2177" t="s">
        <v>1340</v>
      </c>
      <c r="C1274" s="2144" t="s">
        <v>11</v>
      </c>
      <c r="D1274" s="749" t="s">
        <v>490</v>
      </c>
      <c r="E1274" s="95">
        <v>8</v>
      </c>
      <c r="F1274" s="148" t="s">
        <v>15</v>
      </c>
      <c r="G1274" s="148" t="s">
        <v>15</v>
      </c>
      <c r="H1274" s="513">
        <v>178.92</v>
      </c>
      <c r="I1274" s="570">
        <v>27.35</v>
      </c>
      <c r="J1274" s="234" t="s">
        <v>15</v>
      </c>
      <c r="K1274" s="233" t="s">
        <v>15</v>
      </c>
      <c r="L1274" s="234" t="s">
        <v>15</v>
      </c>
      <c r="M1274" s="233" t="s">
        <v>15</v>
      </c>
      <c r="N1274" s="1201">
        <v>101.06</v>
      </c>
      <c r="O1274" s="133">
        <v>14.29</v>
      </c>
      <c r="P1274" s="133">
        <v>7.07</v>
      </c>
      <c r="Q1274" s="148" t="s">
        <v>15</v>
      </c>
      <c r="R1274" s="128">
        <f t="shared" si="71"/>
        <v>101.06</v>
      </c>
      <c r="S1274" s="127" t="s">
        <v>74</v>
      </c>
      <c r="T1274" s="129" t="s">
        <v>75</v>
      </c>
      <c r="U1274" s="888"/>
      <c r="V1274" s="2164"/>
      <c r="W1274" s="335" t="s">
        <v>49</v>
      </c>
      <c r="X1274" s="1066" t="s">
        <v>1407</v>
      </c>
      <c r="Y1274" s="165">
        <f>T1277+R1270*84+R1271*48</f>
        <v>60.112000000000009</v>
      </c>
      <c r="Z1274" s="165">
        <f>Y1274-$Y$1273</f>
        <v>-7.1280000000000001</v>
      </c>
      <c r="AA1274" s="166">
        <f>(128-84)*P1270</f>
        <v>2.7720000000000002</v>
      </c>
      <c r="AB1274" s="754"/>
      <c r="AC1274" s="26"/>
      <c r="AD1274" s="24"/>
      <c r="AE1274" s="26"/>
      <c r="AF1274" s="336" t="s">
        <v>1220</v>
      </c>
      <c r="AG1274" s="335" t="s">
        <v>1253</v>
      </c>
      <c r="AH1274" s="1046">
        <f>217.26*1.25</f>
        <v>271.57499999999999</v>
      </c>
      <c r="AI1274" s="1039"/>
      <c r="AJ1274" s="1039"/>
      <c r="AK1274" s="1039">
        <v>175</v>
      </c>
      <c r="AL1274" s="1039"/>
      <c r="AM1274" s="1039"/>
      <c r="AN1274" s="957"/>
      <c r="AO1274" s="957"/>
      <c r="AP1274" s="957"/>
      <c r="AQ1274" s="957"/>
      <c r="AR1274" s="957"/>
      <c r="AS1274" s="957"/>
      <c r="AT1274" s="957"/>
      <c r="AU1274" s="957"/>
      <c r="AV1274" s="957"/>
      <c r="AW1274" s="957"/>
      <c r="AX1274" s="957"/>
      <c r="AY1274" s="957"/>
      <c r="AZ1274" s="957"/>
      <c r="BA1274" s="957"/>
      <c r="BB1274" s="957"/>
      <c r="BC1274" s="957"/>
      <c r="BD1274" s="957"/>
      <c r="BE1274" s="957"/>
      <c r="BF1274" s="957"/>
      <c r="BG1274" s="957"/>
    </row>
    <row r="1275" spans="1:113" ht="15" customHeight="1">
      <c r="A1275" s="2120"/>
      <c r="B1275" s="2247"/>
      <c r="C1275" s="2144"/>
      <c r="D1275" s="749" t="s">
        <v>32</v>
      </c>
      <c r="E1275" s="95">
        <v>116</v>
      </c>
      <c r="F1275" s="148" t="s">
        <v>15</v>
      </c>
      <c r="G1275" s="148" t="s">
        <v>15</v>
      </c>
      <c r="H1275" s="513">
        <v>105.95</v>
      </c>
      <c r="I1275" s="570">
        <v>79.89</v>
      </c>
      <c r="J1275" s="234" t="s">
        <v>15</v>
      </c>
      <c r="K1275" s="233" t="s">
        <v>15</v>
      </c>
      <c r="L1275" s="234" t="s">
        <v>15</v>
      </c>
      <c r="M1275" s="233" t="s">
        <v>15</v>
      </c>
      <c r="N1275" s="1194">
        <v>0</v>
      </c>
      <c r="O1275" s="142" t="s">
        <v>574</v>
      </c>
      <c r="P1275" s="142" t="s">
        <v>574</v>
      </c>
      <c r="Q1275" s="148" t="s">
        <v>15</v>
      </c>
      <c r="R1275" s="128">
        <f t="shared" si="71"/>
        <v>0</v>
      </c>
      <c r="S1275" s="95">
        <v>124</v>
      </c>
      <c r="T1275" s="117" t="s">
        <v>15</v>
      </c>
      <c r="U1275" s="888"/>
      <c r="V1275" s="24"/>
      <c r="W1275" s="26"/>
      <c r="X1275" s="26"/>
      <c r="Y1275" s="41"/>
      <c r="Z1275" s="41"/>
      <c r="AA1275" s="41"/>
      <c r="AB1275" s="754"/>
      <c r="AC1275" s="26"/>
      <c r="AD1275" s="24"/>
      <c r="AE1275" s="26"/>
      <c r="AF1275" s="336" t="s">
        <v>49</v>
      </c>
      <c r="AG1275" s="335" t="s">
        <v>1254</v>
      </c>
      <c r="AH1275" s="1046">
        <f>216.27*1.25</f>
        <v>270.33750000000003</v>
      </c>
      <c r="AI1275" s="1039"/>
      <c r="AJ1275" s="1039"/>
      <c r="AK1275" s="1039"/>
      <c r="AL1275" s="1039"/>
      <c r="AM1275" s="1039"/>
      <c r="AN1275" s="957"/>
      <c r="AO1275" s="957"/>
      <c r="AP1275" s="957"/>
      <c r="AQ1275" s="957"/>
      <c r="AR1275" s="957"/>
      <c r="AS1275" s="957"/>
      <c r="AT1275" s="957"/>
      <c r="AU1275" s="957"/>
      <c r="AV1275" s="957"/>
      <c r="AW1275" s="957"/>
      <c r="AX1275" s="957"/>
      <c r="AY1275" s="957"/>
      <c r="AZ1275" s="957"/>
      <c r="BA1275" s="957"/>
      <c r="BB1275" s="957"/>
      <c r="BC1275" s="957"/>
      <c r="BD1275" s="957"/>
      <c r="BE1275" s="957"/>
      <c r="BF1275" s="957"/>
      <c r="BG1275" s="957"/>
    </row>
    <row r="1276" spans="1:113" ht="15" customHeight="1">
      <c r="A1276" s="2120"/>
      <c r="B1276" s="2177" t="s">
        <v>1341</v>
      </c>
      <c r="C1276" s="2144" t="s">
        <v>11</v>
      </c>
      <c r="D1276" s="749" t="s">
        <v>490</v>
      </c>
      <c r="E1276" s="95">
        <v>11</v>
      </c>
      <c r="F1276" s="148" t="s">
        <v>15</v>
      </c>
      <c r="G1276" s="148" t="s">
        <v>15</v>
      </c>
      <c r="H1276" s="513">
        <v>180.12</v>
      </c>
      <c r="I1276" s="570">
        <v>75.06</v>
      </c>
      <c r="J1276" s="234" t="s">
        <v>15</v>
      </c>
      <c r="K1276" s="233" t="s">
        <v>15</v>
      </c>
      <c r="L1276" s="234" t="s">
        <v>15</v>
      </c>
      <c r="M1276" s="233" t="s">
        <v>15</v>
      </c>
      <c r="N1276" s="1201">
        <v>60.46</v>
      </c>
      <c r="O1276" s="133">
        <v>14.49</v>
      </c>
      <c r="P1276" s="133">
        <v>4.17</v>
      </c>
      <c r="Q1276" s="148" t="s">
        <v>15</v>
      </c>
      <c r="R1276" s="128">
        <f t="shared" si="71"/>
        <v>60.46</v>
      </c>
      <c r="S1276" s="127" t="s">
        <v>41</v>
      </c>
      <c r="T1276" s="129" t="s">
        <v>42</v>
      </c>
      <c r="U1276" s="888"/>
      <c r="V1276" s="24"/>
      <c r="W1276" s="26"/>
      <c r="X1276" s="26"/>
      <c r="Y1276" s="41"/>
      <c r="Z1276" s="41"/>
      <c r="AA1276" s="41"/>
      <c r="AB1276" s="754"/>
      <c r="AC1276" s="26"/>
      <c r="AD1276" s="24"/>
      <c r="AE1276" s="26"/>
      <c r="AF1276" s="336" t="s">
        <v>1220</v>
      </c>
      <c r="AG1276" s="335" t="s">
        <v>1255</v>
      </c>
      <c r="AH1276" s="1046">
        <f>67.6*1.25</f>
        <v>84.5</v>
      </c>
      <c r="AI1276" s="1039">
        <v>74.930000000000007</v>
      </c>
      <c r="AJ1276" s="1039"/>
      <c r="AK1276" s="1039"/>
      <c r="AL1276" s="1039"/>
      <c r="AM1276" s="1039"/>
      <c r="AN1276" s="957"/>
      <c r="AO1276" s="957"/>
      <c r="AP1276" s="957"/>
      <c r="AQ1276" s="957"/>
      <c r="AR1276" s="957"/>
      <c r="AS1276" s="957"/>
      <c r="AT1276" s="957"/>
      <c r="AU1276" s="957"/>
      <c r="AV1276" s="957"/>
      <c r="AW1276" s="957"/>
      <c r="AX1276" s="957"/>
      <c r="AY1276" s="957"/>
      <c r="AZ1276" s="957"/>
      <c r="BA1276" s="957"/>
      <c r="BB1276" s="957"/>
      <c r="BC1276" s="957"/>
      <c r="BD1276" s="957"/>
      <c r="BE1276" s="957"/>
      <c r="BF1276" s="957"/>
      <c r="BG1276" s="957"/>
    </row>
    <row r="1277" spans="1:113" ht="15" customHeight="1">
      <c r="A1277" s="2120"/>
      <c r="B1277" s="2247"/>
      <c r="C1277" s="2144"/>
      <c r="D1277" s="749" t="s">
        <v>32</v>
      </c>
      <c r="E1277" s="95">
        <v>113</v>
      </c>
      <c r="F1277" s="148" t="s">
        <v>15</v>
      </c>
      <c r="G1277" s="148" t="s">
        <v>15</v>
      </c>
      <c r="H1277" s="513">
        <v>103.89</v>
      </c>
      <c r="I1277" s="570">
        <v>77.03</v>
      </c>
      <c r="J1277" s="234" t="s">
        <v>15</v>
      </c>
      <c r="K1277" s="233" t="s">
        <v>15</v>
      </c>
      <c r="L1277" s="234" t="s">
        <v>15</v>
      </c>
      <c r="M1277" s="233" t="s">
        <v>15</v>
      </c>
      <c r="N1277" s="1194">
        <v>0</v>
      </c>
      <c r="O1277" s="142" t="s">
        <v>574</v>
      </c>
      <c r="P1277" s="142" t="s">
        <v>574</v>
      </c>
      <c r="Q1277" s="148" t="s">
        <v>15</v>
      </c>
      <c r="R1277" s="128">
        <f t="shared" si="71"/>
        <v>0</v>
      </c>
      <c r="S1277" s="86">
        <v>0.88400000000000001</v>
      </c>
      <c r="T1277" s="302">
        <v>19.72</v>
      </c>
      <c r="U1277" s="888"/>
      <c r="V1277" s="24"/>
      <c r="W1277" s="26"/>
      <c r="X1277" s="26"/>
      <c r="Y1277" s="41"/>
      <c r="Z1277" s="41"/>
      <c r="AA1277" s="41"/>
      <c r="AB1277" s="754"/>
      <c r="AC1277" s="26"/>
      <c r="AD1277" s="24"/>
      <c r="AE1277" s="26"/>
      <c r="AF1277" s="336" t="s">
        <v>49</v>
      </c>
      <c r="AG1277" s="335" t="s">
        <v>1256</v>
      </c>
      <c r="AH1277" s="1046">
        <f>66.28*1.25</f>
        <v>82.85</v>
      </c>
      <c r="AI1277" s="1039"/>
      <c r="AJ1277" s="1039"/>
      <c r="AK1277" s="1039"/>
      <c r="AL1277" s="1039"/>
      <c r="AM1277" s="1039"/>
      <c r="AN1277" s="957"/>
      <c r="AO1277" s="957"/>
      <c r="AP1277" s="957"/>
      <c r="AQ1277" s="957"/>
      <c r="AR1277" s="957"/>
      <c r="AS1277" s="957"/>
      <c r="AT1277" s="957"/>
      <c r="AU1277" s="957"/>
      <c r="AV1277" s="957"/>
      <c r="AW1277" s="957"/>
      <c r="AX1277" s="957"/>
      <c r="AY1277" s="957"/>
      <c r="AZ1277" s="957"/>
      <c r="BA1277" s="957"/>
      <c r="BB1277" s="957"/>
      <c r="BC1277" s="957"/>
      <c r="BD1277" s="957"/>
      <c r="BE1277" s="957"/>
      <c r="BF1277" s="957"/>
      <c r="BG1277" s="957"/>
    </row>
    <row r="1278" spans="1:113" ht="15" customHeight="1">
      <c r="A1278" s="2120"/>
      <c r="B1278" s="2177" t="s">
        <v>1339</v>
      </c>
      <c r="C1278" s="2144" t="s">
        <v>13</v>
      </c>
      <c r="D1278" s="785" t="s">
        <v>1337</v>
      </c>
      <c r="E1278" s="95">
        <v>9</v>
      </c>
      <c r="F1278" s="148" t="s">
        <v>15</v>
      </c>
      <c r="G1278" s="148" t="s">
        <v>15</v>
      </c>
      <c r="H1278" s="513">
        <v>189.92</v>
      </c>
      <c r="I1278" s="570">
        <v>117.1</v>
      </c>
      <c r="J1278" s="234" t="s">
        <v>15</v>
      </c>
      <c r="K1278" s="233" t="s">
        <v>15</v>
      </c>
      <c r="L1278" s="234" t="s">
        <v>15</v>
      </c>
      <c r="M1278" s="233" t="s">
        <v>15</v>
      </c>
      <c r="N1278" s="1201">
        <v>54.49</v>
      </c>
      <c r="O1278" s="133">
        <v>10.9</v>
      </c>
      <c r="P1278" s="133">
        <v>5</v>
      </c>
      <c r="Q1278" s="148" t="s">
        <v>15</v>
      </c>
      <c r="R1278" s="128">
        <f t="shared" si="71"/>
        <v>54.49</v>
      </c>
      <c r="S1278" s="118" t="s">
        <v>235</v>
      </c>
      <c r="T1278" s="119" t="s">
        <v>391</v>
      </c>
      <c r="U1278" s="888"/>
      <c r="V1278" s="24"/>
      <c r="W1278" s="26"/>
      <c r="X1278" s="26"/>
      <c r="Y1278" s="41"/>
      <c r="Z1278" s="41"/>
      <c r="AA1278" s="41"/>
      <c r="AB1278" s="754"/>
      <c r="AC1278" s="26"/>
      <c r="AD1278" s="24"/>
      <c r="AE1278" s="26"/>
      <c r="AF1278" s="336" t="s">
        <v>1220</v>
      </c>
      <c r="AG1278" s="335" t="s">
        <v>1257</v>
      </c>
      <c r="AH1278" s="1046">
        <f>110.86*1.25</f>
        <v>138.57499999999999</v>
      </c>
      <c r="AI1278" s="1039"/>
      <c r="AJ1278" s="1039"/>
      <c r="AK1278" s="1039"/>
      <c r="AL1278" s="1039">
        <v>67.61</v>
      </c>
      <c r="AM1278" s="1039">
        <v>56.74</v>
      </c>
      <c r="AN1278" s="957"/>
      <c r="AO1278" s="957"/>
      <c r="AP1278" s="957"/>
      <c r="AQ1278" s="957"/>
      <c r="AR1278" s="957"/>
      <c r="AS1278" s="957"/>
      <c r="AT1278" s="957"/>
      <c r="AU1278" s="957"/>
      <c r="AV1278" s="957"/>
      <c r="AW1278" s="957"/>
      <c r="AX1278" s="957"/>
      <c r="AY1278" s="957"/>
      <c r="AZ1278" s="957"/>
      <c r="BA1278" s="957"/>
      <c r="BB1278" s="957"/>
      <c r="BC1278" s="957"/>
      <c r="BD1278" s="957"/>
      <c r="BE1278" s="957"/>
      <c r="BF1278" s="957"/>
      <c r="BG1278" s="957"/>
    </row>
    <row r="1279" spans="1:113" ht="15" customHeight="1">
      <c r="A1279" s="2120"/>
      <c r="B1279" s="2247"/>
      <c r="C1279" s="2144"/>
      <c r="D1279" s="785" t="s">
        <v>1338</v>
      </c>
      <c r="E1279" s="95">
        <v>115</v>
      </c>
      <c r="F1279" s="148" t="s">
        <v>15</v>
      </c>
      <c r="G1279" s="148" t="s">
        <v>15</v>
      </c>
      <c r="H1279" s="513">
        <v>104.45</v>
      </c>
      <c r="I1279" s="570">
        <v>73.05</v>
      </c>
      <c r="J1279" s="234" t="s">
        <v>15</v>
      </c>
      <c r="K1279" s="233" t="s">
        <v>15</v>
      </c>
      <c r="L1279" s="234" t="s">
        <v>15</v>
      </c>
      <c r="M1279" s="233" t="s">
        <v>15</v>
      </c>
      <c r="N1279" s="1194">
        <v>0</v>
      </c>
      <c r="O1279" s="142" t="s">
        <v>574</v>
      </c>
      <c r="P1279" s="142" t="s">
        <v>574</v>
      </c>
      <c r="Q1279" s="148" t="s">
        <v>15</v>
      </c>
      <c r="R1279" s="128">
        <f t="shared" si="71"/>
        <v>0</v>
      </c>
      <c r="S1279" s="86">
        <v>19.149999999999999</v>
      </c>
      <c r="T1279" s="151">
        <v>0.25</v>
      </c>
      <c r="U1279" s="888"/>
      <c r="V1279" s="24"/>
      <c r="W1279" s="26"/>
      <c r="X1279" s="26"/>
      <c r="Y1279" s="41"/>
      <c r="Z1279" s="41"/>
      <c r="AA1279" s="41"/>
      <c r="AB1279" s="754"/>
      <c r="AC1279" s="26"/>
      <c r="AD1279" s="24"/>
      <c r="AE1279" s="26"/>
      <c r="AF1279" s="336" t="s">
        <v>49</v>
      </c>
      <c r="AG1279" s="335" t="s">
        <v>1258</v>
      </c>
      <c r="AH1279" s="1046">
        <f>107.56*1.25</f>
        <v>134.44999999999999</v>
      </c>
      <c r="AI1279" s="1039"/>
      <c r="AJ1279" s="1039"/>
      <c r="AK1279" s="1039"/>
      <c r="AL1279" s="1039"/>
      <c r="AM1279" s="1039"/>
      <c r="AN1279" s="957"/>
      <c r="AO1279" s="957"/>
      <c r="AP1279" s="957"/>
      <c r="AQ1279" s="957"/>
      <c r="AR1279" s="957"/>
      <c r="AS1279" s="957"/>
      <c r="AT1279" s="957"/>
      <c r="AU1279" s="957"/>
      <c r="AV1279" s="957"/>
      <c r="AW1279" s="957"/>
      <c r="AX1279" s="957"/>
      <c r="AY1279" s="957"/>
      <c r="AZ1279" s="957"/>
      <c r="BA1279" s="957"/>
      <c r="BB1279" s="957"/>
      <c r="BC1279" s="957"/>
      <c r="BD1279" s="957"/>
      <c r="BE1279" s="957"/>
      <c r="BF1279" s="957"/>
      <c r="BG1279" s="957"/>
    </row>
    <row r="1280" spans="1:113" ht="15" customHeight="1">
      <c r="A1280" s="2120"/>
      <c r="B1280" s="2166" t="s">
        <v>1336</v>
      </c>
      <c r="C1280" s="2144" t="s">
        <v>11</v>
      </c>
      <c r="D1280" s="749" t="s">
        <v>490</v>
      </c>
      <c r="E1280" s="95">
        <v>10</v>
      </c>
      <c r="F1280" s="148" t="s">
        <v>15</v>
      </c>
      <c r="G1280" s="148" t="s">
        <v>15</v>
      </c>
      <c r="H1280" s="513">
        <v>272.97000000000003</v>
      </c>
      <c r="I1280" s="570">
        <v>78.489999999999995</v>
      </c>
      <c r="J1280" s="234" t="s">
        <v>15</v>
      </c>
      <c r="K1280" s="233" t="s">
        <v>15</v>
      </c>
      <c r="L1280" s="234" t="s">
        <v>15</v>
      </c>
      <c r="M1280" s="233" t="s">
        <v>15</v>
      </c>
      <c r="N1280" s="1201">
        <v>34.450000000000003</v>
      </c>
      <c r="O1280" s="133">
        <v>15.47</v>
      </c>
      <c r="P1280" s="133">
        <v>2.23</v>
      </c>
      <c r="Q1280" s="128">
        <f t="shared" ref="Q1280:Q1285" si="72">E1280/124</f>
        <v>8.0645161290322578E-2</v>
      </c>
      <c r="R1280" s="2129">
        <f>SUMPRODUCT(Q1280:Q1281,N1280:N1281)</f>
        <v>2.778225806451613</v>
      </c>
      <c r="S1280" s="26"/>
      <c r="T1280" s="26"/>
      <c r="U1280" s="888"/>
      <c r="V1280" s="24"/>
      <c r="W1280" s="26"/>
      <c r="X1280" s="26"/>
      <c r="Y1280" s="41"/>
      <c r="Z1280" s="41"/>
      <c r="AA1280" s="41"/>
      <c r="AB1280" s="754"/>
      <c r="AC1280" s="26"/>
      <c r="AD1280" s="24"/>
      <c r="AE1280" s="26"/>
      <c r="AF1280" s="75"/>
      <c r="AG1280" s="26"/>
      <c r="AH1280" s="957"/>
      <c r="AI1280" s="957"/>
      <c r="AJ1280" s="957"/>
      <c r="AK1280" s="957"/>
      <c r="AL1280" s="957"/>
      <c r="AM1280" s="957"/>
      <c r="AN1280" s="957"/>
      <c r="AO1280" s="957"/>
      <c r="AP1280" s="957"/>
      <c r="AQ1280" s="957"/>
      <c r="AR1280" s="957"/>
      <c r="AS1280" s="957"/>
      <c r="AT1280" s="957"/>
      <c r="AU1280" s="957"/>
      <c r="AV1280" s="957"/>
      <c r="AW1280" s="957"/>
      <c r="AX1280" s="957"/>
      <c r="AY1280" s="957"/>
      <c r="AZ1280" s="957"/>
      <c r="BA1280" s="957"/>
      <c r="BB1280" s="957"/>
      <c r="BC1280" s="957"/>
      <c r="BD1280" s="957"/>
      <c r="BE1280" s="957"/>
      <c r="BF1280" s="957"/>
      <c r="BG1280" s="957"/>
    </row>
    <row r="1281" spans="1:113" ht="15" customHeight="1">
      <c r="A1281" s="2120"/>
      <c r="B1281" s="2166"/>
      <c r="C1281" s="2144"/>
      <c r="D1281" s="749" t="s">
        <v>32</v>
      </c>
      <c r="E1281" s="95">
        <v>114</v>
      </c>
      <c r="F1281" s="148" t="s">
        <v>15</v>
      </c>
      <c r="G1281" s="148" t="s">
        <v>15</v>
      </c>
      <c r="H1281" s="513">
        <v>96.42</v>
      </c>
      <c r="I1281" s="570">
        <v>62.19</v>
      </c>
      <c r="J1281" s="234" t="s">
        <v>15</v>
      </c>
      <c r="K1281" s="233" t="s">
        <v>15</v>
      </c>
      <c r="L1281" s="234" t="s">
        <v>15</v>
      </c>
      <c r="M1281" s="233" t="s">
        <v>15</v>
      </c>
      <c r="N1281" s="1194">
        <v>0</v>
      </c>
      <c r="O1281" s="142" t="s">
        <v>574</v>
      </c>
      <c r="P1281" s="142" t="s">
        <v>574</v>
      </c>
      <c r="Q1281" s="128">
        <f t="shared" si="72"/>
        <v>0.91935483870967738</v>
      </c>
      <c r="R1281" s="2139"/>
      <c r="S1281" s="26"/>
      <c r="T1281" s="26"/>
      <c r="U1281" s="888"/>
      <c r="V1281" s="24"/>
      <c r="W1281" s="26"/>
      <c r="X1281" s="26"/>
      <c r="Y1281" s="41"/>
      <c r="Z1281" s="41"/>
      <c r="AA1281" s="41"/>
      <c r="AB1281" s="754"/>
      <c r="AC1281" s="26"/>
      <c r="AD1281" s="24"/>
      <c r="AE1281" s="26"/>
      <c r="AF1281" s="75"/>
      <c r="AG1281" s="26"/>
      <c r="AH1281" s="957"/>
      <c r="AI1281" s="957"/>
      <c r="AJ1281" s="957"/>
      <c r="AK1281" s="957"/>
      <c r="AL1281" s="957"/>
      <c r="AM1281" s="957"/>
      <c r="AN1281" s="957"/>
      <c r="AO1281" s="957"/>
      <c r="AP1281" s="957"/>
      <c r="AQ1281" s="957"/>
      <c r="AR1281" s="957"/>
      <c r="AS1281" s="957"/>
      <c r="AT1281" s="957"/>
      <c r="AU1281" s="957"/>
      <c r="AV1281" s="957"/>
      <c r="AW1281" s="957"/>
      <c r="AX1281" s="957"/>
      <c r="AY1281" s="957"/>
      <c r="AZ1281" s="957"/>
      <c r="BA1281" s="957"/>
      <c r="BB1281" s="957"/>
      <c r="BC1281" s="957"/>
      <c r="BD1281" s="957"/>
      <c r="BE1281" s="957"/>
      <c r="BF1281" s="957"/>
      <c r="BG1281" s="957"/>
    </row>
    <row r="1282" spans="1:113" ht="15" customHeight="1">
      <c r="A1282" s="2120"/>
      <c r="B1282" s="2166" t="s">
        <v>1344</v>
      </c>
      <c r="C1282" s="2144" t="s">
        <v>11</v>
      </c>
      <c r="D1282" s="749" t="s">
        <v>490</v>
      </c>
      <c r="E1282" s="95">
        <v>5</v>
      </c>
      <c r="F1282" s="148" t="s">
        <v>15</v>
      </c>
      <c r="G1282" s="148" t="s">
        <v>15</v>
      </c>
      <c r="H1282" s="513">
        <v>105.59</v>
      </c>
      <c r="I1282" s="570">
        <v>75.709999999999994</v>
      </c>
      <c r="J1282" s="234" t="s">
        <v>15</v>
      </c>
      <c r="K1282" s="233" t="s">
        <v>15</v>
      </c>
      <c r="L1282" s="234" t="s">
        <v>15</v>
      </c>
      <c r="M1282" s="233" t="s">
        <v>15</v>
      </c>
      <c r="N1282" s="1201">
        <v>95.43</v>
      </c>
      <c r="O1282" s="133">
        <v>4.97</v>
      </c>
      <c r="P1282" s="133">
        <v>19.21</v>
      </c>
      <c r="Q1282" s="128">
        <f t="shared" si="72"/>
        <v>4.0322580645161289E-2</v>
      </c>
      <c r="R1282" s="2129">
        <f>SUMPRODUCT(Q1282:Q1283,N1282:N1283)</f>
        <v>3.8479838709677421</v>
      </c>
      <c r="S1282" s="26"/>
      <c r="T1282" s="26"/>
      <c r="U1282" s="888"/>
      <c r="V1282" s="24"/>
      <c r="W1282" s="26"/>
      <c r="X1282" s="26"/>
      <c r="Y1282" s="41"/>
      <c r="Z1282" s="41"/>
      <c r="AA1282" s="41"/>
      <c r="AB1282" s="754"/>
      <c r="AC1282" s="26"/>
      <c r="AD1282" s="24"/>
      <c r="AE1282" s="26"/>
      <c r="AF1282" s="75"/>
      <c r="AG1282" s="26"/>
      <c r="AH1282" s="957"/>
      <c r="AI1282" s="957"/>
      <c r="AJ1282" s="957"/>
      <c r="AK1282" s="957"/>
      <c r="AL1282" s="957"/>
      <c r="AM1282" s="957"/>
      <c r="AN1282" s="957"/>
      <c r="AO1282" s="957"/>
      <c r="AP1282" s="957"/>
      <c r="AQ1282" s="957"/>
      <c r="AR1282" s="957"/>
      <c r="AS1282" s="957"/>
      <c r="AT1282" s="957"/>
      <c r="AU1282" s="957"/>
      <c r="AV1282" s="957"/>
      <c r="AW1282" s="957"/>
      <c r="AX1282" s="957"/>
      <c r="AY1282" s="957"/>
      <c r="AZ1282" s="957"/>
      <c r="BA1282" s="957"/>
      <c r="BB1282" s="957"/>
      <c r="BC1282" s="957"/>
      <c r="BD1282" s="957"/>
      <c r="BE1282" s="957"/>
      <c r="BF1282" s="957"/>
      <c r="BG1282" s="957"/>
    </row>
    <row r="1283" spans="1:113" ht="15" customHeight="1">
      <c r="A1283" s="2120"/>
      <c r="B1283" s="2166"/>
      <c r="C1283" s="2144"/>
      <c r="D1283" s="749" t="s">
        <v>32</v>
      </c>
      <c r="E1283" s="95">
        <v>119</v>
      </c>
      <c r="F1283" s="148" t="s">
        <v>15</v>
      </c>
      <c r="G1283" s="148" t="s">
        <v>15</v>
      </c>
      <c r="H1283" s="513">
        <v>231.2</v>
      </c>
      <c r="I1283" s="570">
        <v>82.15</v>
      </c>
      <c r="J1283" s="234" t="s">
        <v>15</v>
      </c>
      <c r="K1283" s="233" t="s">
        <v>15</v>
      </c>
      <c r="L1283" s="234" t="s">
        <v>15</v>
      </c>
      <c r="M1283" s="233" t="s">
        <v>15</v>
      </c>
      <c r="N1283" s="1194">
        <v>0</v>
      </c>
      <c r="O1283" s="142" t="s">
        <v>574</v>
      </c>
      <c r="P1283" s="142" t="s">
        <v>574</v>
      </c>
      <c r="Q1283" s="128">
        <f t="shared" si="72"/>
        <v>0.95967741935483875</v>
      </c>
      <c r="R1283" s="2139"/>
      <c r="S1283" s="26"/>
      <c r="T1283" s="26"/>
      <c r="U1283" s="888"/>
      <c r="V1283" s="24"/>
      <c r="W1283" s="26"/>
      <c r="X1283" s="26"/>
      <c r="Y1283" s="41"/>
      <c r="Z1283" s="41"/>
      <c r="AA1283" s="41"/>
      <c r="AB1283" s="754"/>
      <c r="AC1283" s="26"/>
      <c r="AD1283" s="24"/>
      <c r="AE1283" s="26"/>
      <c r="AF1283" s="75"/>
      <c r="AG1283" s="26"/>
      <c r="AH1283" s="957"/>
      <c r="AI1283" s="957"/>
      <c r="AJ1283" s="957"/>
      <c r="AK1283" s="957"/>
      <c r="AL1283" s="957"/>
      <c r="AM1283" s="957"/>
      <c r="AN1283" s="957"/>
      <c r="AO1283" s="957"/>
      <c r="AP1283" s="957"/>
      <c r="AQ1283" s="957"/>
      <c r="AR1283" s="957"/>
      <c r="AS1283" s="957"/>
      <c r="AT1283" s="957"/>
      <c r="AU1283" s="957"/>
      <c r="AV1283" s="957"/>
      <c r="AW1283" s="957"/>
      <c r="AX1283" s="957"/>
      <c r="AY1283" s="957"/>
      <c r="AZ1283" s="957"/>
      <c r="BA1283" s="957"/>
      <c r="BB1283" s="957"/>
      <c r="BC1283" s="957"/>
      <c r="BD1283" s="957"/>
      <c r="BE1283" s="957"/>
      <c r="BF1283" s="957"/>
      <c r="BG1283" s="957"/>
    </row>
    <row r="1284" spans="1:113" ht="15" customHeight="1">
      <c r="A1284" s="2120"/>
      <c r="B1284" s="2166" t="s">
        <v>1345</v>
      </c>
      <c r="C1284" s="2144" t="s">
        <v>11</v>
      </c>
      <c r="D1284" s="749" t="s">
        <v>490</v>
      </c>
      <c r="E1284" s="95">
        <v>6</v>
      </c>
      <c r="F1284" s="148" t="s">
        <v>15</v>
      </c>
      <c r="G1284" s="148" t="s">
        <v>15</v>
      </c>
      <c r="H1284" s="513">
        <v>170.33</v>
      </c>
      <c r="I1284" s="570">
        <v>38.1</v>
      </c>
      <c r="J1284" s="234" t="s">
        <v>15</v>
      </c>
      <c r="K1284" s="233" t="s">
        <v>15</v>
      </c>
      <c r="L1284" s="234" t="s">
        <v>15</v>
      </c>
      <c r="M1284" s="233" t="s">
        <v>15</v>
      </c>
      <c r="N1284" s="1201">
        <v>30.11</v>
      </c>
      <c r="O1284" s="133">
        <v>1.86</v>
      </c>
      <c r="P1284" s="133">
        <v>16.21</v>
      </c>
      <c r="Q1284" s="128">
        <f t="shared" si="72"/>
        <v>4.8387096774193547E-2</v>
      </c>
      <c r="R1284" s="2129">
        <f>SUMPRODUCT(Q1284:Q1285,N1284:N1285)</f>
        <v>1.4569354838709676</v>
      </c>
      <c r="S1284" s="26"/>
      <c r="T1284" s="26"/>
      <c r="U1284" s="888"/>
      <c r="V1284" s="24"/>
      <c r="W1284" s="26"/>
      <c r="X1284" s="26"/>
      <c r="Y1284" s="41"/>
      <c r="Z1284" s="41"/>
      <c r="AA1284" s="41"/>
      <c r="AB1284" s="754"/>
      <c r="AC1284" s="26"/>
      <c r="AD1284" s="24"/>
      <c r="AE1284" s="26"/>
      <c r="AF1284" s="75"/>
      <c r="AG1284" s="26"/>
      <c r="AH1284" s="957"/>
      <c r="AI1284" s="957"/>
      <c r="AJ1284" s="957"/>
      <c r="AK1284" s="957"/>
      <c r="AL1284" s="957"/>
      <c r="AM1284" s="957"/>
      <c r="AN1284" s="957"/>
      <c r="AO1284" s="957"/>
      <c r="AP1284" s="957"/>
      <c r="AQ1284" s="957"/>
      <c r="AR1284" s="957"/>
      <c r="AS1284" s="957"/>
      <c r="AT1284" s="957"/>
      <c r="AU1284" s="957"/>
      <c r="AV1284" s="957"/>
      <c r="AW1284" s="957"/>
      <c r="AX1284" s="957"/>
      <c r="AY1284" s="957"/>
      <c r="AZ1284" s="957"/>
      <c r="BA1284" s="957"/>
      <c r="BB1284" s="957"/>
      <c r="BC1284" s="957"/>
      <c r="BD1284" s="957"/>
      <c r="BE1284" s="957"/>
      <c r="BF1284" s="957"/>
      <c r="BG1284" s="957"/>
    </row>
    <row r="1285" spans="1:113" ht="15.75" customHeight="1">
      <c r="A1285" s="2120"/>
      <c r="B1285" s="2177"/>
      <c r="C1285" s="2179"/>
      <c r="D1285" s="19" t="s">
        <v>32</v>
      </c>
      <c r="E1285" s="96">
        <v>118</v>
      </c>
      <c r="F1285" s="197" t="s">
        <v>15</v>
      </c>
      <c r="G1285" s="197" t="s">
        <v>15</v>
      </c>
      <c r="H1285" s="1270">
        <v>107.62</v>
      </c>
      <c r="I1285" s="1271">
        <v>80.03</v>
      </c>
      <c r="J1285" s="409" t="s">
        <v>15</v>
      </c>
      <c r="K1285" s="122" t="s">
        <v>15</v>
      </c>
      <c r="L1285" s="409" t="s">
        <v>15</v>
      </c>
      <c r="M1285" s="122" t="s">
        <v>15</v>
      </c>
      <c r="N1285" s="1199">
        <v>0</v>
      </c>
      <c r="O1285" s="410" t="s">
        <v>574</v>
      </c>
      <c r="P1285" s="410" t="s">
        <v>574</v>
      </c>
      <c r="Q1285" s="256">
        <f t="shared" si="72"/>
        <v>0.95161290322580649</v>
      </c>
      <c r="R1285" s="2246"/>
      <c r="S1285" s="26"/>
      <c r="T1285" s="26"/>
      <c r="U1285" s="889"/>
      <c r="V1285" s="24"/>
      <c r="W1285" s="26"/>
      <c r="X1285" s="26"/>
      <c r="Y1285" s="41"/>
      <c r="Z1285" s="41"/>
      <c r="AA1285" s="41"/>
      <c r="AB1285" s="757"/>
      <c r="AC1285" s="26"/>
      <c r="AD1285" s="24"/>
      <c r="AE1285" s="26"/>
      <c r="AF1285" s="75"/>
      <c r="AG1285" s="26"/>
      <c r="AH1285" s="957"/>
      <c r="AI1285" s="957"/>
      <c r="AJ1285" s="957"/>
      <c r="AK1285" s="957"/>
      <c r="AL1285" s="957"/>
      <c r="AM1285" s="957"/>
      <c r="AN1285" s="957"/>
      <c r="AO1285" s="957"/>
      <c r="AP1285" s="957"/>
      <c r="AQ1285" s="957"/>
      <c r="AR1285" s="957"/>
      <c r="AS1285" s="957"/>
      <c r="AT1285" s="957"/>
      <c r="AU1285" s="957"/>
      <c r="AV1285" s="957"/>
      <c r="AW1285" s="957"/>
      <c r="AX1285" s="957"/>
      <c r="AY1285" s="957"/>
      <c r="AZ1285" s="957"/>
      <c r="BA1285" s="957"/>
      <c r="BB1285" s="957"/>
      <c r="BC1285" s="957"/>
      <c r="BD1285" s="957"/>
      <c r="BE1285" s="957"/>
      <c r="BF1285" s="957"/>
      <c r="BG1285" s="957"/>
    </row>
    <row r="1286" spans="1:113" ht="15" customHeight="1">
      <c r="A1286" s="2120"/>
      <c r="B1286" s="2116" t="s">
        <v>194</v>
      </c>
      <c r="C1286" s="1280"/>
      <c r="D1286" s="27"/>
      <c r="E1286" s="39"/>
      <c r="F1286" s="39"/>
      <c r="G1286" s="39"/>
      <c r="H1286" s="1281"/>
      <c r="I1286" s="1281"/>
      <c r="J1286" s="1168"/>
      <c r="K1286" s="39"/>
      <c r="L1286" s="1168"/>
      <c r="M1286" s="39"/>
      <c r="N1286" s="1282"/>
      <c r="O1286" s="1283"/>
      <c r="P1286" s="1283"/>
      <c r="Q1286" s="253"/>
      <c r="R1286" s="331"/>
      <c r="S1286" s="26"/>
      <c r="T1286" s="26"/>
      <c r="V1286" s="24"/>
      <c r="W1286" s="26"/>
      <c r="X1286" s="26"/>
      <c r="Y1286" s="41"/>
      <c r="Z1286" s="41"/>
      <c r="AA1286" s="41"/>
      <c r="AC1286" s="26"/>
      <c r="AD1286" s="24"/>
      <c r="AE1286" s="26"/>
      <c r="AF1286" s="75"/>
      <c r="AG1286" s="26"/>
      <c r="AH1286" s="957"/>
      <c r="AI1286" s="957"/>
      <c r="AJ1286" s="957"/>
      <c r="AK1286" s="957"/>
      <c r="AL1286" s="957"/>
      <c r="AM1286" s="957"/>
      <c r="AN1286" s="957"/>
      <c r="AO1286" s="957"/>
      <c r="AP1286" s="957"/>
      <c r="AQ1286" s="957"/>
      <c r="AR1286" s="957"/>
      <c r="AS1286" s="957"/>
      <c r="AT1286" s="957"/>
      <c r="AU1286" s="957"/>
      <c r="AV1286" s="957"/>
      <c r="AW1286" s="957"/>
      <c r="AX1286" s="957"/>
      <c r="AY1286" s="957"/>
      <c r="AZ1286" s="957"/>
      <c r="BA1286" s="957"/>
      <c r="BB1286" s="957"/>
      <c r="BC1286" s="957"/>
      <c r="BD1286" s="957"/>
      <c r="BE1286" s="957"/>
      <c r="BF1286" s="957"/>
      <c r="BG1286" s="957"/>
    </row>
    <row r="1287" spans="1:113">
      <c r="A1287" s="2120"/>
      <c r="B1287" s="2117"/>
      <c r="C1287" s="1106"/>
      <c r="D1287" s="26"/>
      <c r="E1287" s="41"/>
      <c r="F1287" s="41"/>
      <c r="G1287" s="41"/>
      <c r="H1287" s="1267"/>
      <c r="I1287" s="1267"/>
      <c r="J1287" s="81"/>
      <c r="K1287" s="41"/>
      <c r="L1287" s="81"/>
      <c r="M1287" s="41"/>
      <c r="N1287" s="1268"/>
      <c r="O1287" s="1269"/>
      <c r="P1287" s="1269"/>
      <c r="Q1287" s="252"/>
      <c r="R1287" s="647"/>
      <c r="S1287" s="26"/>
      <c r="T1287" s="26"/>
      <c r="V1287" s="24"/>
      <c r="W1287" s="26"/>
      <c r="X1287" s="26"/>
      <c r="Y1287" s="41"/>
      <c r="Z1287" s="41"/>
      <c r="AA1287" s="41"/>
      <c r="AC1287" s="26"/>
      <c r="AD1287" s="24"/>
      <c r="AE1287" s="26"/>
      <c r="AF1287" s="75"/>
      <c r="AG1287" s="26"/>
      <c r="AH1287" s="957"/>
      <c r="AI1287" s="957"/>
      <c r="AJ1287" s="957"/>
      <c r="AK1287" s="957"/>
      <c r="AL1287" s="957"/>
      <c r="AM1287" s="957"/>
      <c r="AN1287" s="957"/>
      <c r="AO1287" s="957"/>
      <c r="AP1287" s="957"/>
      <c r="AQ1287" s="957"/>
      <c r="AR1287" s="957"/>
      <c r="AS1287" s="957"/>
      <c r="AT1287" s="957"/>
      <c r="AU1287" s="957"/>
      <c r="AV1287" s="957"/>
      <c r="AW1287" s="957"/>
      <c r="AX1287" s="957"/>
      <c r="AY1287" s="957"/>
      <c r="AZ1287" s="957"/>
      <c r="BA1287" s="957"/>
      <c r="BB1287" s="957"/>
      <c r="BC1287" s="957"/>
      <c r="BD1287" s="957"/>
      <c r="BE1287" s="957"/>
      <c r="BF1287" s="957"/>
      <c r="BG1287" s="957"/>
    </row>
    <row r="1288" spans="1:113" ht="15.75" thickBot="1">
      <c r="A1288" s="2145"/>
      <c r="B1288" s="2118"/>
      <c r="C1288" s="1107"/>
      <c r="D1288" s="764"/>
      <c r="E1288" s="813"/>
      <c r="F1288" s="813"/>
      <c r="G1288" s="813"/>
      <c r="H1288" s="1284"/>
      <c r="I1288" s="1284"/>
      <c r="J1288" s="1279"/>
      <c r="K1288" s="813"/>
      <c r="L1288" s="1279"/>
      <c r="M1288" s="813"/>
      <c r="N1288" s="1285"/>
      <c r="O1288" s="1286"/>
      <c r="P1288" s="1286"/>
      <c r="Q1288" s="842"/>
      <c r="R1288" s="1287"/>
      <c r="S1288" s="26"/>
      <c r="T1288" s="26"/>
      <c r="V1288" s="24"/>
      <c r="W1288" s="26"/>
      <c r="X1288" s="26"/>
      <c r="Y1288" s="41"/>
      <c r="Z1288" s="41"/>
      <c r="AA1288" s="41"/>
      <c r="AC1288" s="26"/>
      <c r="AD1288" s="896"/>
      <c r="AE1288" s="26"/>
      <c r="AF1288" s="75"/>
      <c r="AG1288" s="26"/>
      <c r="AH1288" s="957"/>
      <c r="AI1288" s="957"/>
      <c r="AJ1288" s="957"/>
      <c r="AK1288" s="957"/>
      <c r="AL1288" s="957"/>
      <c r="AM1288" s="957"/>
      <c r="AN1288" s="957"/>
      <c r="AO1288" s="957"/>
      <c r="AP1288" s="957"/>
      <c r="AQ1288" s="957"/>
      <c r="AR1288" s="957"/>
      <c r="AS1288" s="957"/>
      <c r="AT1288" s="957"/>
      <c r="AU1288" s="957"/>
      <c r="AV1288" s="957"/>
      <c r="AW1288" s="957"/>
      <c r="AX1288" s="957"/>
      <c r="AY1288" s="957"/>
      <c r="AZ1288" s="957"/>
      <c r="BA1288" s="957"/>
      <c r="BB1288" s="957"/>
      <c r="BC1288" s="957"/>
      <c r="BD1288" s="957"/>
      <c r="BE1288" s="957"/>
      <c r="BF1288" s="957"/>
      <c r="BG1288" s="957"/>
    </row>
    <row r="1289" spans="1:113" s="692" customFormat="1" ht="9" customHeight="1" thickBot="1">
      <c r="A1289" s="716"/>
      <c r="B1289" s="818"/>
      <c r="C1289" s="712"/>
      <c r="D1289" s="699"/>
      <c r="E1289" s="733"/>
      <c r="F1289" s="733"/>
      <c r="G1289" s="733"/>
      <c r="H1289" s="733"/>
      <c r="I1289" s="733"/>
      <c r="J1289" s="682"/>
      <c r="K1289" s="683"/>
      <c r="L1289" s="682"/>
      <c r="M1289" s="685"/>
      <c r="N1289" s="1214"/>
      <c r="O1289" s="713"/>
      <c r="P1289" s="713"/>
      <c r="Q1289" s="714"/>
      <c r="R1289" s="714"/>
      <c r="S1289" s="704"/>
      <c r="T1289" s="704"/>
      <c r="U1289" s="854"/>
      <c r="V1289" s="893"/>
      <c r="W1289" s="700"/>
      <c r="X1289" s="700"/>
      <c r="Y1289" s="735"/>
      <c r="Z1289" s="735"/>
      <c r="AA1289" s="710"/>
      <c r="AB1289" s="921"/>
      <c r="AC1289" s="690"/>
      <c r="AD1289" s="690"/>
      <c r="AE1289" s="690"/>
      <c r="AF1289" s="737"/>
      <c r="AG1289" s="706"/>
      <c r="AH1289" s="958"/>
      <c r="AI1289" s="958"/>
      <c r="AJ1289" s="958"/>
      <c r="AK1289" s="958"/>
      <c r="AL1289" s="958"/>
      <c r="AM1289" s="958"/>
      <c r="AN1289" s="959"/>
      <c r="AO1289" s="959"/>
      <c r="AP1289" s="959"/>
      <c r="AQ1289" s="959"/>
      <c r="AR1289" s="959"/>
      <c r="AS1289" s="959"/>
      <c r="AT1289" s="959"/>
      <c r="AU1289" s="959"/>
      <c r="AV1289" s="959"/>
      <c r="AW1289" s="959"/>
      <c r="AX1289" s="959"/>
      <c r="AY1289" s="959"/>
      <c r="AZ1289" s="959"/>
      <c r="BA1289" s="959"/>
      <c r="BB1289" s="959"/>
      <c r="BC1289" s="959"/>
      <c r="BD1289" s="959"/>
      <c r="BE1289" s="959"/>
      <c r="BF1289" s="959"/>
      <c r="BG1289" s="959"/>
      <c r="BH1289" s="1125"/>
      <c r="DI1289" s="693"/>
    </row>
    <row r="1290" spans="1:113">
      <c r="A1290" s="2171" t="s">
        <v>1368</v>
      </c>
      <c r="B1290" s="817" t="s">
        <v>1328</v>
      </c>
      <c r="C1290" s="1050" t="s">
        <v>12</v>
      </c>
      <c r="D1290" s="211" t="s">
        <v>1271</v>
      </c>
      <c r="E1290" s="282">
        <v>132</v>
      </c>
      <c r="F1290" s="77">
        <v>126.39</v>
      </c>
      <c r="G1290" s="77">
        <v>111.26</v>
      </c>
      <c r="H1290" s="513">
        <v>232.27</v>
      </c>
      <c r="I1290" s="570">
        <v>117.52</v>
      </c>
      <c r="J1290" s="298" t="s">
        <v>15</v>
      </c>
      <c r="K1290" s="1135" t="s">
        <v>15</v>
      </c>
      <c r="L1290" s="298" t="s">
        <v>15</v>
      </c>
      <c r="M1290" s="1135" t="s">
        <v>15</v>
      </c>
      <c r="N1290" s="441">
        <v>0.52500000000000002</v>
      </c>
      <c r="O1290" s="280">
        <v>9.81</v>
      </c>
      <c r="P1290" s="280">
        <v>5.2999999999999999E-2</v>
      </c>
      <c r="Q1290" s="747" t="s">
        <v>15</v>
      </c>
      <c r="R1290" s="259">
        <f t="shared" ref="R1290:R1301" si="73">N1290</f>
        <v>0.52500000000000002</v>
      </c>
      <c r="S1290" s="149" t="s">
        <v>68</v>
      </c>
      <c r="T1290" s="150" t="s">
        <v>69</v>
      </c>
      <c r="U1290" s="887"/>
      <c r="V1290" s="2162" t="s">
        <v>2698</v>
      </c>
      <c r="W1290" s="212" t="s">
        <v>1220</v>
      </c>
      <c r="X1290" s="1067" t="s">
        <v>1408</v>
      </c>
      <c r="Y1290" s="299">
        <f>T1297+R1290*64+R1291*48+R1296</f>
        <v>87.128000000000014</v>
      </c>
      <c r="Z1290" s="1072" t="s">
        <v>40</v>
      </c>
      <c r="AA1290" s="1073" t="s">
        <v>40</v>
      </c>
      <c r="AB1290" s="755"/>
      <c r="AC1290" s="26"/>
      <c r="AD1290" s="2131" t="s">
        <v>142</v>
      </c>
      <c r="AE1290" s="2267"/>
      <c r="AF1290" s="277" t="s">
        <v>1220</v>
      </c>
      <c r="AG1290" s="212" t="s">
        <v>1261</v>
      </c>
      <c r="AH1290" s="1040">
        <f>353.54*1.25</f>
        <v>441.92500000000001</v>
      </c>
      <c r="AI1290" s="158"/>
      <c r="AJ1290" s="158"/>
      <c r="AK1290" s="158"/>
      <c r="AL1290" s="158"/>
      <c r="AM1290" s="158"/>
      <c r="AN1290" s="957"/>
      <c r="AO1290" s="957"/>
      <c r="AP1290" s="957"/>
      <c r="AQ1290" s="957"/>
      <c r="AR1290" s="957"/>
      <c r="AS1290" s="957"/>
      <c r="AT1290" s="957"/>
      <c r="AU1290" s="957"/>
      <c r="AV1290" s="957"/>
      <c r="AW1290" s="957"/>
      <c r="AX1290" s="957"/>
      <c r="AY1290" s="957"/>
      <c r="AZ1290" s="957"/>
      <c r="BA1290" s="957"/>
      <c r="BB1290" s="957"/>
      <c r="BC1290" s="957"/>
      <c r="BD1290" s="957"/>
      <c r="BE1290" s="957"/>
      <c r="BF1290" s="957"/>
      <c r="BG1290" s="957"/>
    </row>
    <row r="1291" spans="1:113">
      <c r="A1291" s="2410"/>
      <c r="B1291" s="816" t="s">
        <v>1352</v>
      </c>
      <c r="C1291" s="154" t="s">
        <v>12</v>
      </c>
      <c r="D1291" s="750" t="s">
        <v>1218</v>
      </c>
      <c r="E1291" s="95">
        <v>132</v>
      </c>
      <c r="F1291" s="452">
        <v>53.81</v>
      </c>
      <c r="G1291" s="452">
        <v>16.54</v>
      </c>
      <c r="H1291" s="513">
        <v>232.27</v>
      </c>
      <c r="I1291" s="570">
        <v>117.52</v>
      </c>
      <c r="J1291" s="234" t="s">
        <v>15</v>
      </c>
      <c r="K1291" s="233" t="s">
        <v>15</v>
      </c>
      <c r="L1291" s="234" t="s">
        <v>15</v>
      </c>
      <c r="M1291" s="233" t="s">
        <v>15</v>
      </c>
      <c r="N1291" s="537">
        <v>1.786</v>
      </c>
      <c r="O1291" s="789">
        <v>4.97</v>
      </c>
      <c r="P1291" s="789">
        <v>0.35899999999999999</v>
      </c>
      <c r="Q1291" s="148" t="s">
        <v>15</v>
      </c>
      <c r="R1291" s="128">
        <f t="shared" si="73"/>
        <v>1.786</v>
      </c>
      <c r="S1291" s="748" t="s">
        <v>1187</v>
      </c>
      <c r="T1291" s="794" t="s">
        <v>310</v>
      </c>
      <c r="U1291" s="888"/>
      <c r="V1291" s="2163"/>
      <c r="W1291" s="335" t="s">
        <v>49</v>
      </c>
      <c r="X1291" s="1066" t="s">
        <v>1409</v>
      </c>
      <c r="Y1291" s="165">
        <f>T1297+R1290*60+R1291*48+R1296</f>
        <v>85.02800000000002</v>
      </c>
      <c r="Z1291" s="165">
        <f>Y1291-$Y$1290</f>
        <v>-2.0999999999999943</v>
      </c>
      <c r="AA1291" s="166">
        <f>(64-60)*P1290</f>
        <v>0.21199999999999999</v>
      </c>
      <c r="AB1291" s="754"/>
      <c r="AC1291" s="26"/>
      <c r="AD1291" s="2268" t="s">
        <v>1235</v>
      </c>
      <c r="AE1291" s="2269"/>
      <c r="AF1291" s="336" t="s">
        <v>49</v>
      </c>
      <c r="AG1291" s="335" t="s">
        <v>1262</v>
      </c>
      <c r="AH1291" s="1039">
        <f>349.34*1.25</f>
        <v>436.67499999999995</v>
      </c>
      <c r="AI1291" s="158"/>
      <c r="AJ1291" s="158"/>
      <c r="AK1291" s="158"/>
      <c r="AL1291" s="158"/>
      <c r="AM1291" s="158"/>
      <c r="AN1291" s="957"/>
      <c r="AO1291" s="957"/>
      <c r="AP1291" s="957"/>
      <c r="AQ1291" s="957"/>
      <c r="AR1291" s="957"/>
      <c r="AS1291" s="957"/>
      <c r="AT1291" s="957"/>
      <c r="AU1291" s="957"/>
      <c r="AV1291" s="957"/>
      <c r="AW1291" s="957"/>
      <c r="AX1291" s="957"/>
      <c r="AY1291" s="957"/>
      <c r="AZ1291" s="957"/>
      <c r="BA1291" s="957"/>
      <c r="BB1291" s="957"/>
      <c r="BC1291" s="957"/>
      <c r="BD1291" s="957"/>
      <c r="BE1291" s="957"/>
      <c r="BF1291" s="957"/>
      <c r="BG1291" s="957"/>
    </row>
    <row r="1292" spans="1:113">
      <c r="A1292" s="2410"/>
      <c r="B1292" s="2166" t="s">
        <v>1348</v>
      </c>
      <c r="C1292" s="2144" t="s">
        <v>11</v>
      </c>
      <c r="D1292" s="749" t="s">
        <v>490</v>
      </c>
      <c r="E1292" s="452">
        <v>11</v>
      </c>
      <c r="F1292" s="148" t="s">
        <v>15</v>
      </c>
      <c r="G1292" s="148" t="s">
        <v>15</v>
      </c>
      <c r="H1292" s="513">
        <v>279.10000000000002</v>
      </c>
      <c r="I1292" s="570">
        <v>85.33</v>
      </c>
      <c r="J1292" s="234" t="s">
        <v>15</v>
      </c>
      <c r="K1292" s="233" t="s">
        <v>15</v>
      </c>
      <c r="L1292" s="234" t="s">
        <v>15</v>
      </c>
      <c r="M1292" s="233" t="s">
        <v>15</v>
      </c>
      <c r="N1292" s="1201">
        <v>225.48</v>
      </c>
      <c r="O1292" s="133">
        <v>6.96</v>
      </c>
      <c r="P1292" s="133">
        <v>32.4</v>
      </c>
      <c r="Q1292" s="148" t="s">
        <v>15</v>
      </c>
      <c r="R1292" s="128">
        <f t="shared" si="73"/>
        <v>225.48</v>
      </c>
      <c r="S1292" s="127" t="s">
        <v>72</v>
      </c>
      <c r="T1292" s="119" t="s">
        <v>119</v>
      </c>
      <c r="U1292" s="888"/>
      <c r="V1292" s="2163"/>
      <c r="W1292" s="335" t="s">
        <v>49</v>
      </c>
      <c r="X1292" s="1066" t="s">
        <v>1410</v>
      </c>
      <c r="Y1292" s="165">
        <f>T1297+R1290*58+R1291*48+R1296</f>
        <v>83.978000000000009</v>
      </c>
      <c r="Z1292" s="165">
        <f>Y1292-$Y$1290</f>
        <v>-3.1500000000000057</v>
      </c>
      <c r="AA1292" s="166">
        <f>(64-58)*P1290</f>
        <v>0.318</v>
      </c>
      <c r="AB1292" s="754"/>
      <c r="AC1292" s="26"/>
      <c r="AD1292" s="24"/>
      <c r="AE1292" s="26"/>
      <c r="AF1292" s="336" t="s">
        <v>1220</v>
      </c>
      <c r="AG1292" s="335" t="s">
        <v>1263</v>
      </c>
      <c r="AH1292" s="1039">
        <f>297.44*1.25</f>
        <v>371.8</v>
      </c>
      <c r="AI1292" s="158"/>
      <c r="AJ1292" s="158"/>
      <c r="AK1292" s="158"/>
      <c r="AL1292" s="158"/>
      <c r="AM1292" s="158"/>
      <c r="AN1292" s="957"/>
      <c r="AO1292" s="957"/>
      <c r="AP1292" s="957"/>
      <c r="AQ1292" s="957"/>
      <c r="AR1292" s="957"/>
      <c r="AS1292" s="957"/>
      <c r="AT1292" s="957"/>
      <c r="AU1292" s="957"/>
      <c r="AV1292" s="957"/>
      <c r="AW1292" s="957"/>
      <c r="AX1292" s="957"/>
      <c r="AY1292" s="957"/>
      <c r="AZ1292" s="957"/>
      <c r="BA1292" s="957"/>
      <c r="BB1292" s="957"/>
      <c r="BC1292" s="957"/>
      <c r="BD1292" s="957"/>
      <c r="BE1292" s="957"/>
      <c r="BF1292" s="957"/>
      <c r="BG1292" s="957"/>
    </row>
    <row r="1293" spans="1:113">
      <c r="A1293" s="2410"/>
      <c r="B1293" s="2166"/>
      <c r="C1293" s="2144"/>
      <c r="D1293" s="749" t="s">
        <v>32</v>
      </c>
      <c r="E1293" s="95">
        <v>121</v>
      </c>
      <c r="F1293" s="148" t="s">
        <v>15</v>
      </c>
      <c r="G1293" s="148" t="s">
        <v>15</v>
      </c>
      <c r="H1293" s="513">
        <v>228.01</v>
      </c>
      <c r="I1293" s="570">
        <v>119.38</v>
      </c>
      <c r="J1293" s="234" t="s">
        <v>15</v>
      </c>
      <c r="K1293" s="233" t="s">
        <v>15</v>
      </c>
      <c r="L1293" s="234" t="s">
        <v>15</v>
      </c>
      <c r="M1293" s="233" t="s">
        <v>15</v>
      </c>
      <c r="N1293" s="1194">
        <v>0</v>
      </c>
      <c r="O1293" s="142" t="s">
        <v>574</v>
      </c>
      <c r="P1293" s="142" t="s">
        <v>574</v>
      </c>
      <c r="Q1293" s="148" t="s">
        <v>15</v>
      </c>
      <c r="R1293" s="128">
        <f t="shared" si="73"/>
        <v>0</v>
      </c>
      <c r="S1293" s="423" t="s">
        <v>139</v>
      </c>
      <c r="T1293" s="411" t="s">
        <v>140</v>
      </c>
      <c r="U1293" s="888"/>
      <c r="V1293" s="2163"/>
      <c r="W1293" s="335" t="s">
        <v>1220</v>
      </c>
      <c r="X1293" s="1066" t="s">
        <v>1411</v>
      </c>
      <c r="Y1293" s="165">
        <f>T1297+R1290*128+R1291*48+R1296</f>
        <v>120.72800000000004</v>
      </c>
      <c r="Z1293" s="1074" t="s">
        <v>40</v>
      </c>
      <c r="AA1293" s="934" t="s">
        <v>40</v>
      </c>
      <c r="AB1293" s="754"/>
      <c r="AC1293" s="26"/>
      <c r="AD1293" s="24"/>
      <c r="AE1293" s="26"/>
      <c r="AF1293" s="336" t="s">
        <v>49</v>
      </c>
      <c r="AG1293" s="335" t="s">
        <v>1264</v>
      </c>
      <c r="AH1293" s="1039">
        <f>295.34*1.25</f>
        <v>369.17499999999995</v>
      </c>
      <c r="AI1293" s="158"/>
      <c r="AJ1293" s="158"/>
      <c r="AK1293" s="158"/>
      <c r="AL1293" s="158"/>
      <c r="AM1293" s="158"/>
      <c r="AN1293" s="957"/>
      <c r="AO1293" s="957"/>
      <c r="AP1293" s="957"/>
      <c r="AQ1293" s="957"/>
      <c r="AR1293" s="957"/>
      <c r="AS1293" s="957"/>
      <c r="AT1293" s="957"/>
      <c r="AU1293" s="957"/>
      <c r="AV1293" s="957"/>
      <c r="AW1293" s="957"/>
      <c r="AX1293" s="957"/>
      <c r="AY1293" s="957"/>
      <c r="AZ1293" s="957"/>
      <c r="BA1293" s="957"/>
      <c r="BB1293" s="957"/>
      <c r="BC1293" s="957"/>
      <c r="BD1293" s="957"/>
      <c r="BE1293" s="957"/>
      <c r="BF1293" s="957"/>
      <c r="BG1293" s="957"/>
    </row>
    <row r="1294" spans="1:113">
      <c r="A1294" s="2410"/>
      <c r="B1294" s="2166" t="s">
        <v>1349</v>
      </c>
      <c r="C1294" s="2144" t="s">
        <v>11</v>
      </c>
      <c r="D1294" s="749" t="s">
        <v>490</v>
      </c>
      <c r="E1294" s="95">
        <v>57</v>
      </c>
      <c r="F1294" s="148" t="s">
        <v>15</v>
      </c>
      <c r="G1294" s="148" t="s">
        <v>15</v>
      </c>
      <c r="H1294" s="513">
        <v>302.08</v>
      </c>
      <c r="I1294" s="570">
        <v>101.93</v>
      </c>
      <c r="J1294" s="234" t="s">
        <v>15</v>
      </c>
      <c r="K1294" s="233" t="s">
        <v>15</v>
      </c>
      <c r="L1294" s="234" t="s">
        <v>15</v>
      </c>
      <c r="M1294" s="233" t="s">
        <v>15</v>
      </c>
      <c r="N1294" s="1201">
        <v>207.52</v>
      </c>
      <c r="O1294" s="133">
        <v>19.87</v>
      </c>
      <c r="P1294" s="133">
        <v>10.44</v>
      </c>
      <c r="Q1294" s="148" t="s">
        <v>15</v>
      </c>
      <c r="R1294" s="128">
        <f t="shared" si="73"/>
        <v>207.52</v>
      </c>
      <c r="S1294" s="127" t="s">
        <v>74</v>
      </c>
      <c r="T1294" s="129" t="s">
        <v>75</v>
      </c>
      <c r="U1294" s="888"/>
      <c r="V1294" s="2164"/>
      <c r="W1294" s="335" t="s">
        <v>49</v>
      </c>
      <c r="X1294" s="1066" t="s">
        <v>1412</v>
      </c>
      <c r="Y1294" s="165">
        <f>T1297+R1290*84+R1291*48</f>
        <v>134.72800000000001</v>
      </c>
      <c r="Z1294" s="165">
        <f>Y1294-$Y$1293</f>
        <v>13.999999999999972</v>
      </c>
      <c r="AA1294" s="166">
        <f>(128-84)*P1290+P1296</f>
        <v>17.132000000000001</v>
      </c>
      <c r="AB1294" s="754"/>
      <c r="AC1294" s="26"/>
      <c r="AD1294" s="24"/>
      <c r="AE1294" s="26"/>
      <c r="AF1294" s="336" t="s">
        <v>1220</v>
      </c>
      <c r="AG1294" s="335" t="s">
        <v>1265</v>
      </c>
      <c r="AH1294" s="1039">
        <f>253.54*1.25</f>
        <v>316.92500000000001</v>
      </c>
      <c r="AI1294" s="158"/>
      <c r="AJ1294" s="158"/>
      <c r="AK1294" s="158"/>
      <c r="AL1294" s="158"/>
      <c r="AM1294" s="158"/>
      <c r="AN1294" s="957"/>
      <c r="AO1294" s="957"/>
      <c r="AP1294" s="957"/>
      <c r="AQ1294" s="957"/>
      <c r="AR1294" s="957"/>
      <c r="AS1294" s="957"/>
      <c r="AT1294" s="957"/>
      <c r="AU1294" s="957"/>
      <c r="AV1294" s="957"/>
      <c r="AW1294" s="957"/>
      <c r="AX1294" s="957"/>
      <c r="AY1294" s="957"/>
      <c r="AZ1294" s="957"/>
      <c r="BA1294" s="957"/>
      <c r="BB1294" s="957"/>
      <c r="BC1294" s="957"/>
      <c r="BD1294" s="957"/>
      <c r="BE1294" s="957"/>
      <c r="BF1294" s="957"/>
      <c r="BG1294" s="957"/>
    </row>
    <row r="1295" spans="1:113">
      <c r="A1295" s="2410"/>
      <c r="B1295" s="2166"/>
      <c r="C1295" s="2144"/>
      <c r="D1295" s="749" t="s">
        <v>32</v>
      </c>
      <c r="E1295" s="95">
        <v>75</v>
      </c>
      <c r="F1295" s="148" t="s">
        <v>15</v>
      </c>
      <c r="G1295" s="148" t="s">
        <v>15</v>
      </c>
      <c r="H1295" s="513">
        <v>179.22</v>
      </c>
      <c r="I1295" s="570">
        <v>99.91</v>
      </c>
      <c r="J1295" s="234" t="s">
        <v>15</v>
      </c>
      <c r="K1295" s="233" t="s">
        <v>15</v>
      </c>
      <c r="L1295" s="234" t="s">
        <v>15</v>
      </c>
      <c r="M1295" s="233" t="s">
        <v>15</v>
      </c>
      <c r="N1295" s="1194">
        <v>0</v>
      </c>
      <c r="O1295" s="142" t="s">
        <v>574</v>
      </c>
      <c r="P1295" s="142" t="s">
        <v>574</v>
      </c>
      <c r="Q1295" s="148" t="s">
        <v>15</v>
      </c>
      <c r="R1295" s="128">
        <f t="shared" si="73"/>
        <v>0</v>
      </c>
      <c r="S1295" s="95">
        <v>132</v>
      </c>
      <c r="T1295" s="117" t="s">
        <v>15</v>
      </c>
      <c r="U1295" s="888"/>
      <c r="V1295" s="24"/>
      <c r="W1295" s="26"/>
      <c r="X1295" s="26"/>
      <c r="Y1295" s="41"/>
      <c r="Z1295" s="41"/>
      <c r="AA1295" s="41"/>
      <c r="AB1295" s="754"/>
      <c r="AC1295" s="26"/>
      <c r="AD1295" s="24"/>
      <c r="AE1295" s="26"/>
      <c r="AF1295" s="336" t="s">
        <v>49</v>
      </c>
      <c r="AG1295" s="335" t="s">
        <v>1266</v>
      </c>
      <c r="AH1295" s="1039">
        <f>250.39*1.25</f>
        <v>312.98749999999995</v>
      </c>
      <c r="AI1295" s="158"/>
      <c r="AJ1295" s="158"/>
      <c r="AK1295" s="158"/>
      <c r="AL1295" s="158"/>
      <c r="AM1295" s="158"/>
      <c r="AN1295" s="957"/>
      <c r="AO1295" s="957"/>
      <c r="AP1295" s="957"/>
      <c r="AQ1295" s="957"/>
      <c r="AR1295" s="957"/>
      <c r="AS1295" s="957"/>
      <c r="AT1295" s="957"/>
      <c r="AU1295" s="957"/>
      <c r="AV1295" s="957"/>
      <c r="AW1295" s="957"/>
      <c r="AX1295" s="957"/>
      <c r="AY1295" s="957"/>
      <c r="AZ1295" s="957"/>
      <c r="BA1295" s="957"/>
      <c r="BB1295" s="957"/>
      <c r="BC1295" s="957"/>
      <c r="BD1295" s="957"/>
      <c r="BE1295" s="957"/>
      <c r="BF1295" s="957"/>
      <c r="BG1295" s="957"/>
    </row>
    <row r="1296" spans="1:113">
      <c r="A1296" s="2410"/>
      <c r="B1296" s="2177" t="s">
        <v>1347</v>
      </c>
      <c r="C1296" s="2144" t="s">
        <v>11</v>
      </c>
      <c r="D1296" s="784" t="s">
        <v>490</v>
      </c>
      <c r="E1296" s="452">
        <v>98</v>
      </c>
      <c r="F1296" s="148" t="s">
        <v>15</v>
      </c>
      <c r="G1296" s="148" t="s">
        <v>15</v>
      </c>
      <c r="H1296" s="513">
        <v>210.19</v>
      </c>
      <c r="I1296" s="570">
        <v>112.72</v>
      </c>
      <c r="J1296" s="234" t="s">
        <v>15</v>
      </c>
      <c r="K1296" s="233" t="s">
        <v>15</v>
      </c>
      <c r="L1296" s="234" t="s">
        <v>15</v>
      </c>
      <c r="M1296" s="233" t="s">
        <v>15</v>
      </c>
      <c r="N1296" s="1201">
        <v>-37.1</v>
      </c>
      <c r="O1296" s="133">
        <v>2.5099999999999998</v>
      </c>
      <c r="P1296" s="133">
        <v>14.8</v>
      </c>
      <c r="Q1296" s="148" t="s">
        <v>15</v>
      </c>
      <c r="R1296" s="128">
        <f t="shared" si="73"/>
        <v>-37.1</v>
      </c>
      <c r="S1296" s="127" t="s">
        <v>41</v>
      </c>
      <c r="T1296" s="129" t="s">
        <v>42</v>
      </c>
      <c r="U1296" s="888"/>
      <c r="V1296" s="24"/>
      <c r="W1296" s="26"/>
      <c r="X1296" s="26"/>
      <c r="Y1296" s="41"/>
      <c r="Z1296" s="41"/>
      <c r="AA1296" s="41"/>
      <c r="AB1296" s="754"/>
      <c r="AC1296" s="26"/>
      <c r="AD1296" s="24"/>
      <c r="AE1296" s="26"/>
      <c r="AF1296" s="336" t="s">
        <v>1220</v>
      </c>
      <c r="AG1296" s="335" t="s">
        <v>1267</v>
      </c>
      <c r="AH1296" s="1039">
        <f>316.5*1.25</f>
        <v>395.625</v>
      </c>
      <c r="AI1296" s="158"/>
      <c r="AJ1296" s="158"/>
      <c r="AK1296" s="158"/>
      <c r="AL1296" s="158"/>
      <c r="AM1296" s="158"/>
      <c r="AN1296" s="957"/>
      <c r="AO1296" s="957"/>
      <c r="AP1296" s="957"/>
      <c r="AQ1296" s="957"/>
      <c r="AR1296" s="957"/>
      <c r="AS1296" s="957"/>
      <c r="AT1296" s="957"/>
      <c r="AU1296" s="957"/>
      <c r="AV1296" s="957"/>
      <c r="AW1296" s="957"/>
      <c r="AX1296" s="957"/>
      <c r="AY1296" s="957"/>
      <c r="AZ1296" s="957"/>
      <c r="BA1296" s="957"/>
      <c r="BB1296" s="957"/>
      <c r="BC1296" s="957"/>
      <c r="BD1296" s="957"/>
      <c r="BE1296" s="957"/>
      <c r="BF1296" s="957"/>
      <c r="BG1296" s="957"/>
    </row>
    <row r="1297" spans="1:59">
      <c r="A1297" s="2410"/>
      <c r="B1297" s="2247"/>
      <c r="C1297" s="2144"/>
      <c r="D1297" s="784" t="s">
        <v>32</v>
      </c>
      <c r="E1297" s="95">
        <v>34</v>
      </c>
      <c r="F1297" s="148" t="s">
        <v>15</v>
      </c>
      <c r="G1297" s="148" t="s">
        <v>15</v>
      </c>
      <c r="H1297" s="513">
        <v>295.92</v>
      </c>
      <c r="I1297" s="570">
        <v>108.91</v>
      </c>
      <c r="J1297" s="234" t="s">
        <v>15</v>
      </c>
      <c r="K1297" s="233" t="s">
        <v>15</v>
      </c>
      <c r="L1297" s="234" t="s">
        <v>15</v>
      </c>
      <c r="M1297" s="233" t="s">
        <v>15</v>
      </c>
      <c r="N1297" s="1194">
        <v>0</v>
      </c>
      <c r="O1297" s="142" t="s">
        <v>574</v>
      </c>
      <c r="P1297" s="142" t="s">
        <v>574</v>
      </c>
      <c r="Q1297" s="148" t="s">
        <v>15</v>
      </c>
      <c r="R1297" s="128">
        <f t="shared" si="73"/>
        <v>0</v>
      </c>
      <c r="S1297" s="86">
        <v>0.751</v>
      </c>
      <c r="T1297" s="841">
        <v>4.9000000000000004</v>
      </c>
      <c r="U1297" s="888"/>
      <c r="V1297" s="24"/>
      <c r="W1297" s="26"/>
      <c r="X1297" s="26"/>
      <c r="Y1297" s="41"/>
      <c r="Z1297" s="41"/>
      <c r="AA1297" s="41"/>
      <c r="AB1297" s="754"/>
      <c r="AC1297" s="26"/>
      <c r="AD1297" s="24"/>
      <c r="AE1297" s="26"/>
      <c r="AF1297" s="336" t="s">
        <v>49</v>
      </c>
      <c r="AG1297" s="335" t="s">
        <v>1268</v>
      </c>
      <c r="AH1297" s="1039">
        <f>312.3*1.25</f>
        <v>390.375</v>
      </c>
      <c r="AI1297" s="158"/>
      <c r="AJ1297" s="158"/>
      <c r="AK1297" s="158"/>
      <c r="AL1297" s="158"/>
      <c r="AM1297" s="158"/>
      <c r="AN1297" s="957"/>
      <c r="AO1297" s="957"/>
      <c r="AP1297" s="957"/>
      <c r="AQ1297" s="957"/>
      <c r="AR1297" s="957"/>
      <c r="AS1297" s="957"/>
      <c r="AT1297" s="957"/>
      <c r="AU1297" s="957"/>
      <c r="AV1297" s="957"/>
      <c r="AW1297" s="957"/>
      <c r="AX1297" s="957"/>
      <c r="AY1297" s="957"/>
      <c r="AZ1297" s="957"/>
      <c r="BA1297" s="957"/>
      <c r="BB1297" s="957"/>
      <c r="BC1297" s="957"/>
      <c r="BD1297" s="957"/>
      <c r="BE1297" s="957"/>
      <c r="BF1297" s="957"/>
      <c r="BG1297" s="957"/>
    </row>
    <row r="1298" spans="1:59">
      <c r="A1298" s="2410"/>
      <c r="B1298" s="2166" t="s">
        <v>1350</v>
      </c>
      <c r="C1298" s="2144" t="s">
        <v>11</v>
      </c>
      <c r="D1298" s="749" t="s">
        <v>490</v>
      </c>
      <c r="E1298" s="95">
        <v>4</v>
      </c>
      <c r="F1298" s="148" t="s">
        <v>15</v>
      </c>
      <c r="G1298" s="148" t="s">
        <v>15</v>
      </c>
      <c r="H1298" s="513">
        <v>311.5</v>
      </c>
      <c r="I1298" s="570">
        <v>121</v>
      </c>
      <c r="J1298" s="234" t="s">
        <v>15</v>
      </c>
      <c r="K1298" s="233" t="s">
        <v>15</v>
      </c>
      <c r="L1298" s="234" t="s">
        <v>15</v>
      </c>
      <c r="M1298" s="233" t="s">
        <v>15</v>
      </c>
      <c r="N1298" s="1201">
        <v>86.08</v>
      </c>
      <c r="O1298" s="133">
        <v>2.41</v>
      </c>
      <c r="P1298" s="133">
        <v>35.69</v>
      </c>
      <c r="Q1298" s="148" t="s">
        <v>15</v>
      </c>
      <c r="R1298" s="128">
        <f t="shared" si="73"/>
        <v>86.08</v>
      </c>
      <c r="S1298" s="118" t="s">
        <v>235</v>
      </c>
      <c r="T1298" s="119" t="s">
        <v>391</v>
      </c>
      <c r="U1298" s="888"/>
      <c r="V1298" s="24"/>
      <c r="W1298" s="26"/>
      <c r="X1298" s="26"/>
      <c r="Y1298" s="41"/>
      <c r="Z1298" s="41"/>
      <c r="AA1298" s="41"/>
      <c r="AB1298" s="754"/>
      <c r="AC1298" s="26"/>
      <c r="AD1298" s="24"/>
      <c r="AE1298" s="26"/>
      <c r="AF1298" s="336" t="s">
        <v>1220</v>
      </c>
      <c r="AG1298" s="335" t="s">
        <v>1269</v>
      </c>
      <c r="AH1298" s="1039">
        <f>191.48*1.25</f>
        <v>239.35</v>
      </c>
      <c r="AI1298" s="158"/>
      <c r="AJ1298" s="158"/>
      <c r="AK1298" s="158"/>
      <c r="AL1298" s="158"/>
      <c r="AM1298" s="158"/>
      <c r="AN1298" s="957"/>
      <c r="AO1298" s="957"/>
      <c r="AP1298" s="957"/>
      <c r="AQ1298" s="957"/>
      <c r="AR1298" s="957"/>
      <c r="AS1298" s="957"/>
      <c r="AT1298" s="957"/>
      <c r="AU1298" s="957"/>
      <c r="AV1298" s="957"/>
      <c r="AW1298" s="957"/>
      <c r="AX1298" s="957"/>
      <c r="AY1298" s="957"/>
      <c r="AZ1298" s="957"/>
      <c r="BA1298" s="957"/>
      <c r="BB1298" s="957"/>
      <c r="BC1298" s="957"/>
      <c r="BD1298" s="957"/>
      <c r="BE1298" s="957"/>
      <c r="BF1298" s="957"/>
      <c r="BG1298" s="957"/>
    </row>
    <row r="1299" spans="1:59">
      <c r="A1299" s="2410"/>
      <c r="B1299" s="2166"/>
      <c r="C1299" s="2144"/>
      <c r="D1299" s="749" t="s">
        <v>32</v>
      </c>
      <c r="E1299" s="95">
        <v>128</v>
      </c>
      <c r="F1299" s="148" t="s">
        <v>15</v>
      </c>
      <c r="G1299" s="148" t="s">
        <v>15</v>
      </c>
      <c r="H1299" s="513">
        <v>229.79</v>
      </c>
      <c r="I1299" s="570">
        <v>117.03</v>
      </c>
      <c r="J1299" s="234" t="s">
        <v>15</v>
      </c>
      <c r="K1299" s="233" t="s">
        <v>15</v>
      </c>
      <c r="L1299" s="234" t="s">
        <v>15</v>
      </c>
      <c r="M1299" s="233" t="s">
        <v>15</v>
      </c>
      <c r="N1299" s="1194">
        <v>0</v>
      </c>
      <c r="O1299" s="142" t="s">
        <v>574</v>
      </c>
      <c r="P1299" s="142" t="s">
        <v>574</v>
      </c>
      <c r="Q1299" s="148" t="s">
        <v>15</v>
      </c>
      <c r="R1299" s="128">
        <f t="shared" si="73"/>
        <v>0</v>
      </c>
      <c r="S1299" s="86">
        <v>41.31</v>
      </c>
      <c r="T1299" s="151">
        <v>0.25</v>
      </c>
      <c r="U1299" s="888"/>
      <c r="V1299" s="24"/>
      <c r="W1299" s="26"/>
      <c r="X1299" s="26"/>
      <c r="Y1299" s="41"/>
      <c r="Z1299" s="41"/>
      <c r="AA1299" s="41"/>
      <c r="AB1299" s="754"/>
      <c r="AC1299" s="26"/>
      <c r="AD1299" s="24"/>
      <c r="AE1299" s="26"/>
      <c r="AF1299" s="336" t="s">
        <v>49</v>
      </c>
      <c r="AG1299" s="335" t="s">
        <v>1270</v>
      </c>
      <c r="AH1299" s="1039">
        <f>185.18*1.25</f>
        <v>231.47500000000002</v>
      </c>
      <c r="AI1299" s="158"/>
      <c r="AJ1299" s="158"/>
      <c r="AK1299" s="158"/>
      <c r="AL1299" s="158"/>
      <c r="AM1299" s="158"/>
      <c r="AN1299" s="957"/>
      <c r="AO1299" s="957"/>
      <c r="AP1299" s="957"/>
      <c r="AQ1299" s="957"/>
      <c r="AR1299" s="957"/>
      <c r="AS1299" s="957"/>
      <c r="AT1299" s="957"/>
      <c r="AU1299" s="957"/>
      <c r="AV1299" s="957"/>
      <c r="AW1299" s="957"/>
      <c r="AX1299" s="957"/>
      <c r="AY1299" s="957"/>
      <c r="AZ1299" s="957"/>
      <c r="BA1299" s="957"/>
      <c r="BB1299" s="957"/>
      <c r="BC1299" s="957"/>
      <c r="BD1299" s="957"/>
      <c r="BE1299" s="957"/>
      <c r="BF1299" s="957"/>
      <c r="BG1299" s="957"/>
    </row>
    <row r="1300" spans="1:59">
      <c r="A1300" s="2410"/>
      <c r="B1300" s="2166" t="s">
        <v>1343</v>
      </c>
      <c r="C1300" s="2144" t="s">
        <v>11</v>
      </c>
      <c r="D1300" s="784" t="s">
        <v>490</v>
      </c>
      <c r="E1300" s="452">
        <v>5</v>
      </c>
      <c r="F1300" s="148" t="s">
        <v>15</v>
      </c>
      <c r="G1300" s="148" t="s">
        <v>15</v>
      </c>
      <c r="H1300" s="513">
        <v>394.2</v>
      </c>
      <c r="I1300" s="570">
        <v>109.32</v>
      </c>
      <c r="J1300" s="234" t="s">
        <v>15</v>
      </c>
      <c r="K1300" s="233" t="s">
        <v>15</v>
      </c>
      <c r="L1300" s="234" t="s">
        <v>15</v>
      </c>
      <c r="M1300" s="233" t="s">
        <v>15</v>
      </c>
      <c r="N1300" s="1201">
        <v>66.69</v>
      </c>
      <c r="O1300" s="133">
        <v>32.119999999999997</v>
      </c>
      <c r="P1300" s="133">
        <v>2.08</v>
      </c>
      <c r="Q1300" s="148" t="s">
        <v>15</v>
      </c>
      <c r="R1300" s="128">
        <f t="shared" si="73"/>
        <v>66.69</v>
      </c>
      <c r="S1300" s="26"/>
      <c r="T1300" s="26"/>
      <c r="U1300" s="888"/>
      <c r="V1300" s="24"/>
      <c r="W1300" s="26"/>
      <c r="X1300" s="26"/>
      <c r="Y1300" s="41"/>
      <c r="Z1300" s="41"/>
      <c r="AA1300" s="41"/>
      <c r="AB1300" s="754"/>
      <c r="AC1300" s="26"/>
      <c r="AD1300" s="24"/>
      <c r="AE1300" s="26"/>
      <c r="AF1300" s="75"/>
      <c r="AG1300" s="26"/>
      <c r="AH1300" s="957"/>
      <c r="AI1300" s="957"/>
      <c r="AJ1300" s="957"/>
      <c r="AK1300" s="957"/>
      <c r="AL1300" s="957"/>
      <c r="AM1300" s="957"/>
      <c r="AN1300" s="957"/>
      <c r="AO1300" s="957"/>
      <c r="AP1300" s="957"/>
      <c r="AQ1300" s="957"/>
      <c r="AR1300" s="957"/>
      <c r="AS1300" s="957"/>
      <c r="AT1300" s="957"/>
      <c r="AU1300" s="957"/>
      <c r="AV1300" s="957"/>
      <c r="AW1300" s="957"/>
      <c r="AX1300" s="957"/>
      <c r="AY1300" s="957"/>
      <c r="AZ1300" s="957"/>
      <c r="BA1300" s="957"/>
      <c r="BB1300" s="957"/>
      <c r="BC1300" s="957"/>
      <c r="BD1300" s="957"/>
      <c r="BE1300" s="957"/>
      <c r="BF1300" s="957"/>
      <c r="BG1300" s="957"/>
    </row>
    <row r="1301" spans="1:59">
      <c r="A1301" s="2410"/>
      <c r="B1301" s="2166"/>
      <c r="C1301" s="2144"/>
      <c r="D1301" s="784" t="s">
        <v>32</v>
      </c>
      <c r="E1301" s="452">
        <v>127</v>
      </c>
      <c r="F1301" s="148" t="s">
        <v>15</v>
      </c>
      <c r="G1301" s="148" t="s">
        <v>15</v>
      </c>
      <c r="H1301" s="513">
        <v>225.9</v>
      </c>
      <c r="I1301" s="570">
        <v>113.57</v>
      </c>
      <c r="J1301" s="234" t="s">
        <v>15</v>
      </c>
      <c r="K1301" s="233" t="s">
        <v>15</v>
      </c>
      <c r="L1301" s="234" t="s">
        <v>15</v>
      </c>
      <c r="M1301" s="233" t="s">
        <v>15</v>
      </c>
      <c r="N1301" s="1194">
        <v>0</v>
      </c>
      <c r="O1301" s="142" t="s">
        <v>574</v>
      </c>
      <c r="P1301" s="142" t="s">
        <v>574</v>
      </c>
      <c r="Q1301" s="148" t="s">
        <v>15</v>
      </c>
      <c r="R1301" s="128">
        <f t="shared" si="73"/>
        <v>0</v>
      </c>
      <c r="S1301" s="26"/>
      <c r="T1301" s="26"/>
      <c r="U1301" s="888"/>
      <c r="V1301" s="24"/>
      <c r="W1301" s="26"/>
      <c r="X1301" s="26"/>
      <c r="Y1301" s="41"/>
      <c r="Z1301" s="41"/>
      <c r="AA1301" s="41"/>
      <c r="AB1301" s="754"/>
      <c r="AC1301" s="26"/>
      <c r="AD1301" s="24"/>
      <c r="AE1301" s="26"/>
      <c r="AF1301" s="75"/>
      <c r="AG1301" s="26"/>
      <c r="AH1301" s="957"/>
      <c r="AI1301" s="957"/>
      <c r="AJ1301" s="957"/>
      <c r="AK1301" s="957"/>
      <c r="AL1301" s="957"/>
      <c r="AM1301" s="957"/>
      <c r="AN1301" s="957"/>
      <c r="AO1301" s="957"/>
      <c r="AP1301" s="957"/>
      <c r="AQ1301" s="957"/>
      <c r="AR1301" s="957"/>
      <c r="AS1301" s="957"/>
      <c r="AT1301" s="957"/>
      <c r="AU1301" s="957"/>
      <c r="AV1301" s="957"/>
      <c r="AW1301" s="957"/>
      <c r="AX1301" s="957"/>
      <c r="AY1301" s="957"/>
      <c r="AZ1301" s="957"/>
      <c r="BA1301" s="957"/>
      <c r="BB1301" s="957"/>
      <c r="BC1301" s="957"/>
      <c r="BD1301" s="957"/>
      <c r="BE1301" s="957"/>
      <c r="BF1301" s="957"/>
      <c r="BG1301" s="957"/>
    </row>
    <row r="1302" spans="1:59">
      <c r="A1302" s="2410"/>
      <c r="B1302" s="2166" t="s">
        <v>1259</v>
      </c>
      <c r="C1302" s="2144" t="s">
        <v>11</v>
      </c>
      <c r="D1302" s="749" t="s">
        <v>490</v>
      </c>
      <c r="E1302" s="95">
        <v>18</v>
      </c>
      <c r="F1302" s="148" t="s">
        <v>15</v>
      </c>
      <c r="G1302" s="148" t="s">
        <v>15</v>
      </c>
      <c r="H1302" s="513">
        <v>310.70999999999998</v>
      </c>
      <c r="I1302" s="570">
        <v>51.4</v>
      </c>
      <c r="J1302" s="234" t="s">
        <v>15</v>
      </c>
      <c r="K1302" s="233" t="s">
        <v>15</v>
      </c>
      <c r="L1302" s="234" t="s">
        <v>15</v>
      </c>
      <c r="M1302" s="233" t="s">
        <v>15</v>
      </c>
      <c r="N1302" s="1201">
        <v>60.69</v>
      </c>
      <c r="O1302" s="133">
        <v>2.95</v>
      </c>
      <c r="P1302" s="133">
        <v>20.6</v>
      </c>
      <c r="Q1302" s="128">
        <f t="shared" ref="Q1302:Q1313" si="74">E1302/132</f>
        <v>0.13636363636363635</v>
      </c>
      <c r="R1302" s="2129">
        <f>SUMPRODUCT(Q1302:Q1303,N1302:N1303)</f>
        <v>8.2759090909090904</v>
      </c>
      <c r="S1302" s="26"/>
      <c r="T1302" s="26"/>
      <c r="U1302" s="888"/>
      <c r="V1302" s="24"/>
      <c r="W1302" s="26"/>
      <c r="X1302" s="26"/>
      <c r="Y1302" s="41"/>
      <c r="Z1302" s="41"/>
      <c r="AA1302" s="41"/>
      <c r="AB1302" s="754"/>
      <c r="AC1302" s="26"/>
      <c r="AD1302" s="24"/>
      <c r="AE1302" s="26"/>
      <c r="AF1302" s="75"/>
      <c r="AG1302" s="26"/>
      <c r="AH1302" s="957"/>
      <c r="AI1302" s="957"/>
      <c r="AJ1302" s="957"/>
      <c r="AK1302" s="957"/>
      <c r="AL1302" s="957"/>
      <c r="AM1302" s="957"/>
      <c r="AN1302" s="957"/>
      <c r="AO1302" s="957"/>
      <c r="AP1302" s="957"/>
      <c r="AQ1302" s="957"/>
      <c r="AR1302" s="957"/>
      <c r="AS1302" s="957"/>
      <c r="AT1302" s="957"/>
      <c r="AU1302" s="957"/>
      <c r="AV1302" s="957"/>
      <c r="AW1302" s="957"/>
      <c r="AX1302" s="957"/>
      <c r="AY1302" s="957"/>
      <c r="AZ1302" s="957"/>
      <c r="BA1302" s="957"/>
      <c r="BB1302" s="957"/>
      <c r="BC1302" s="957"/>
      <c r="BD1302" s="957"/>
      <c r="BE1302" s="957"/>
      <c r="BF1302" s="957"/>
      <c r="BG1302" s="957"/>
    </row>
    <row r="1303" spans="1:59">
      <c r="A1303" s="2410"/>
      <c r="B1303" s="2166"/>
      <c r="C1303" s="2144"/>
      <c r="D1303" s="749" t="s">
        <v>32</v>
      </c>
      <c r="E1303" s="95">
        <v>114</v>
      </c>
      <c r="F1303" s="148" t="s">
        <v>15</v>
      </c>
      <c r="G1303" s="148" t="s">
        <v>15</v>
      </c>
      <c r="H1303" s="513">
        <v>219.88</v>
      </c>
      <c r="I1303" s="570">
        <v>120.33</v>
      </c>
      <c r="J1303" s="234" t="s">
        <v>15</v>
      </c>
      <c r="K1303" s="233" t="s">
        <v>15</v>
      </c>
      <c r="L1303" s="234" t="s">
        <v>15</v>
      </c>
      <c r="M1303" s="233" t="s">
        <v>15</v>
      </c>
      <c r="N1303" s="1194">
        <v>0</v>
      </c>
      <c r="O1303" s="142" t="s">
        <v>574</v>
      </c>
      <c r="P1303" s="142" t="s">
        <v>574</v>
      </c>
      <c r="Q1303" s="128">
        <f t="shared" si="74"/>
        <v>0.86363636363636365</v>
      </c>
      <c r="R1303" s="2139"/>
      <c r="S1303" s="26"/>
      <c r="T1303" s="26"/>
      <c r="U1303" s="888"/>
      <c r="V1303" s="24"/>
      <c r="W1303" s="26"/>
      <c r="X1303" s="26"/>
      <c r="Y1303" s="41"/>
      <c r="Z1303" s="41"/>
      <c r="AA1303" s="41"/>
      <c r="AB1303" s="754"/>
      <c r="AC1303" s="26"/>
      <c r="AD1303" s="24"/>
      <c r="AE1303" s="26"/>
      <c r="AF1303" s="75"/>
      <c r="AG1303" s="26"/>
      <c r="AH1303" s="957"/>
      <c r="AI1303" s="957"/>
      <c r="AJ1303" s="957"/>
      <c r="AK1303" s="957"/>
      <c r="AL1303" s="957"/>
      <c r="AM1303" s="957"/>
      <c r="AN1303" s="957"/>
      <c r="AO1303" s="957"/>
      <c r="AP1303" s="957"/>
      <c r="AQ1303" s="957"/>
      <c r="AR1303" s="957"/>
      <c r="AS1303" s="957"/>
      <c r="AT1303" s="957"/>
      <c r="AU1303" s="957"/>
      <c r="AV1303" s="957"/>
      <c r="AW1303" s="957"/>
      <c r="AX1303" s="957"/>
      <c r="AY1303" s="957"/>
      <c r="AZ1303" s="957"/>
      <c r="BA1303" s="957"/>
      <c r="BB1303" s="957"/>
      <c r="BC1303" s="957"/>
      <c r="BD1303" s="957"/>
      <c r="BE1303" s="957"/>
      <c r="BF1303" s="957"/>
      <c r="BG1303" s="957"/>
    </row>
    <row r="1304" spans="1:59">
      <c r="A1304" s="2410"/>
      <c r="B1304" s="2166" t="s">
        <v>1260</v>
      </c>
      <c r="C1304" s="2144" t="s">
        <v>11</v>
      </c>
      <c r="D1304" s="749" t="s">
        <v>490</v>
      </c>
      <c r="E1304" s="452">
        <v>5</v>
      </c>
      <c r="F1304" s="148" t="s">
        <v>15</v>
      </c>
      <c r="G1304" s="148" t="s">
        <v>15</v>
      </c>
      <c r="H1304" s="513">
        <v>240.25</v>
      </c>
      <c r="I1304" s="570">
        <v>141.15</v>
      </c>
      <c r="J1304" s="234" t="s">
        <v>15</v>
      </c>
      <c r="K1304" s="233" t="s">
        <v>15</v>
      </c>
      <c r="L1304" s="234" t="s">
        <v>15</v>
      </c>
      <c r="M1304" s="233" t="s">
        <v>15</v>
      </c>
      <c r="N1304" s="1201">
        <v>102.38</v>
      </c>
      <c r="O1304" s="133">
        <v>3.37</v>
      </c>
      <c r="P1304" s="133">
        <v>30.36</v>
      </c>
      <c r="Q1304" s="128">
        <f t="shared" si="74"/>
        <v>3.787878787878788E-2</v>
      </c>
      <c r="R1304" s="2129">
        <f>SUMPRODUCT(Q1304:Q1305,N1304:N1305)</f>
        <v>3.8780303030303029</v>
      </c>
      <c r="S1304" s="26"/>
      <c r="T1304" s="26"/>
      <c r="U1304" s="888"/>
      <c r="V1304" s="24"/>
      <c r="W1304" s="26"/>
      <c r="X1304" s="26"/>
      <c r="Y1304" s="41"/>
      <c r="Z1304" s="41"/>
      <c r="AA1304" s="41"/>
      <c r="AB1304" s="754"/>
      <c r="AC1304" s="26"/>
      <c r="AD1304" s="24"/>
      <c r="AE1304" s="26"/>
      <c r="AF1304" s="75"/>
      <c r="AG1304" s="26"/>
      <c r="AH1304" s="957"/>
      <c r="AI1304" s="957"/>
      <c r="AJ1304" s="957"/>
      <c r="AK1304" s="957"/>
      <c r="AL1304" s="957"/>
      <c r="AM1304" s="957"/>
      <c r="AN1304" s="957"/>
      <c r="AO1304" s="957"/>
      <c r="AP1304" s="957"/>
      <c r="AQ1304" s="957"/>
      <c r="AR1304" s="957"/>
      <c r="AS1304" s="957"/>
      <c r="AT1304" s="957"/>
      <c r="AU1304" s="957"/>
      <c r="AV1304" s="957"/>
      <c r="AW1304" s="957"/>
      <c r="AX1304" s="957"/>
      <c r="AY1304" s="957"/>
      <c r="AZ1304" s="957"/>
      <c r="BA1304" s="957"/>
      <c r="BB1304" s="957"/>
      <c r="BC1304" s="957"/>
      <c r="BD1304" s="957"/>
      <c r="BE1304" s="957"/>
      <c r="BF1304" s="957"/>
      <c r="BG1304" s="957"/>
    </row>
    <row r="1305" spans="1:59">
      <c r="A1305" s="2410"/>
      <c r="B1305" s="2166"/>
      <c r="C1305" s="2144"/>
      <c r="D1305" s="749" t="s">
        <v>32</v>
      </c>
      <c r="E1305" s="452">
        <v>127</v>
      </c>
      <c r="F1305" s="148" t="s">
        <v>15</v>
      </c>
      <c r="G1305" s="148" t="s">
        <v>15</v>
      </c>
      <c r="H1305" s="513">
        <v>231.96</v>
      </c>
      <c r="I1305" s="570">
        <v>117.15</v>
      </c>
      <c r="J1305" s="234" t="s">
        <v>15</v>
      </c>
      <c r="K1305" s="233" t="s">
        <v>15</v>
      </c>
      <c r="L1305" s="234" t="s">
        <v>15</v>
      </c>
      <c r="M1305" s="233" t="s">
        <v>15</v>
      </c>
      <c r="N1305" s="1194">
        <v>0</v>
      </c>
      <c r="O1305" s="142" t="s">
        <v>574</v>
      </c>
      <c r="P1305" s="142" t="s">
        <v>574</v>
      </c>
      <c r="Q1305" s="128">
        <f t="shared" si="74"/>
        <v>0.96212121212121215</v>
      </c>
      <c r="R1305" s="2139"/>
      <c r="S1305" s="26"/>
      <c r="T1305" s="26"/>
      <c r="U1305" s="888"/>
      <c r="V1305" s="24"/>
      <c r="W1305" s="26"/>
      <c r="X1305" s="26"/>
      <c r="Y1305" s="41"/>
      <c r="Z1305" s="41"/>
      <c r="AA1305" s="41"/>
      <c r="AB1305" s="754"/>
      <c r="AC1305" s="26"/>
      <c r="AD1305" s="24"/>
      <c r="AE1305" s="26"/>
      <c r="AF1305" s="75"/>
      <c r="AG1305" s="26"/>
      <c r="AH1305" s="957"/>
      <c r="AI1305" s="957"/>
      <c r="AJ1305" s="957"/>
      <c r="AK1305" s="957"/>
      <c r="AL1305" s="957"/>
      <c r="AM1305" s="957"/>
      <c r="AN1305" s="957"/>
      <c r="AO1305" s="957"/>
      <c r="AP1305" s="957"/>
      <c r="AQ1305" s="957"/>
      <c r="AR1305" s="957"/>
      <c r="AS1305" s="957"/>
      <c r="AT1305" s="957"/>
      <c r="AU1305" s="957"/>
      <c r="AV1305" s="957"/>
      <c r="AW1305" s="957"/>
      <c r="AX1305" s="957"/>
      <c r="AY1305" s="957"/>
      <c r="AZ1305" s="957"/>
      <c r="BA1305" s="957"/>
      <c r="BB1305" s="957"/>
      <c r="BC1305" s="957"/>
      <c r="BD1305" s="957"/>
      <c r="BE1305" s="957"/>
      <c r="BF1305" s="957"/>
      <c r="BG1305" s="957"/>
    </row>
    <row r="1306" spans="1:59">
      <c r="A1306" s="2410"/>
      <c r="B1306" s="2166" t="s">
        <v>1346</v>
      </c>
      <c r="C1306" s="2144" t="s">
        <v>11</v>
      </c>
      <c r="D1306" s="749" t="s">
        <v>490</v>
      </c>
      <c r="E1306" s="95">
        <v>24</v>
      </c>
      <c r="F1306" s="148" t="s">
        <v>15</v>
      </c>
      <c r="G1306" s="148" t="s">
        <v>15</v>
      </c>
      <c r="H1306" s="513">
        <v>295.38</v>
      </c>
      <c r="I1306" s="570">
        <v>72.739999999999995</v>
      </c>
      <c r="J1306" s="234" t="s">
        <v>15</v>
      </c>
      <c r="K1306" s="233" t="s">
        <v>15</v>
      </c>
      <c r="L1306" s="234" t="s">
        <v>15</v>
      </c>
      <c r="M1306" s="233" t="s">
        <v>15</v>
      </c>
      <c r="N1306" s="1201">
        <v>-57.96</v>
      </c>
      <c r="O1306" s="133">
        <v>2.21</v>
      </c>
      <c r="P1306" s="133">
        <v>26.25</v>
      </c>
      <c r="Q1306" s="128">
        <f t="shared" si="74"/>
        <v>0.18181818181818182</v>
      </c>
      <c r="R1306" s="2129">
        <f>SUMPRODUCT(Q1306:Q1307,N1306:N1307)</f>
        <v>-10.538181818181819</v>
      </c>
      <c r="S1306" s="26"/>
      <c r="T1306" s="26"/>
      <c r="U1306" s="888"/>
      <c r="V1306" s="24"/>
      <c r="W1306" s="26"/>
      <c r="X1306" s="26"/>
      <c r="Y1306" s="41"/>
      <c r="Z1306" s="41"/>
      <c r="AA1306" s="41"/>
      <c r="AB1306" s="754"/>
      <c r="AC1306" s="26"/>
      <c r="AD1306" s="24"/>
      <c r="AE1306" s="26"/>
      <c r="AF1306" s="75"/>
      <c r="AG1306" s="26"/>
      <c r="AH1306" s="957"/>
      <c r="AI1306" s="957"/>
      <c r="AJ1306" s="957"/>
      <c r="AK1306" s="957"/>
      <c r="AL1306" s="957"/>
      <c r="AM1306" s="957"/>
      <c r="AN1306" s="957"/>
      <c r="AO1306" s="957"/>
      <c r="AP1306" s="957"/>
      <c r="AQ1306" s="957"/>
      <c r="AR1306" s="957"/>
      <c r="AS1306" s="957"/>
      <c r="AT1306" s="957"/>
      <c r="AU1306" s="957"/>
      <c r="AV1306" s="957"/>
      <c r="AW1306" s="957"/>
      <c r="AX1306" s="957"/>
      <c r="AY1306" s="957"/>
      <c r="AZ1306" s="957"/>
      <c r="BA1306" s="957"/>
      <c r="BB1306" s="957"/>
      <c r="BC1306" s="957"/>
      <c r="BD1306" s="957"/>
      <c r="BE1306" s="957"/>
      <c r="BF1306" s="957"/>
      <c r="BG1306" s="957"/>
    </row>
    <row r="1307" spans="1:59">
      <c r="A1307" s="2410"/>
      <c r="B1307" s="2166"/>
      <c r="C1307" s="2144"/>
      <c r="D1307" s="749" t="s">
        <v>32</v>
      </c>
      <c r="E1307" s="95">
        <v>108</v>
      </c>
      <c r="F1307" s="148" t="s">
        <v>15</v>
      </c>
      <c r="G1307" s="148" t="s">
        <v>15</v>
      </c>
      <c r="H1307" s="513">
        <v>218.25</v>
      </c>
      <c r="I1307" s="570">
        <v>121.16</v>
      </c>
      <c r="J1307" s="234" t="s">
        <v>15</v>
      </c>
      <c r="K1307" s="233" t="s">
        <v>15</v>
      </c>
      <c r="L1307" s="234" t="s">
        <v>15</v>
      </c>
      <c r="M1307" s="233" t="s">
        <v>15</v>
      </c>
      <c r="N1307" s="1194">
        <v>0</v>
      </c>
      <c r="O1307" s="142" t="s">
        <v>574</v>
      </c>
      <c r="P1307" s="142" t="s">
        <v>574</v>
      </c>
      <c r="Q1307" s="128">
        <f t="shared" si="74"/>
        <v>0.81818181818181823</v>
      </c>
      <c r="R1307" s="2139"/>
      <c r="S1307" s="26"/>
      <c r="T1307" s="26"/>
      <c r="U1307" s="888"/>
      <c r="V1307" s="24"/>
      <c r="W1307" s="26"/>
      <c r="X1307" s="26"/>
      <c r="Y1307" s="41"/>
      <c r="Z1307" s="41"/>
      <c r="AA1307" s="41"/>
      <c r="AB1307" s="754"/>
      <c r="AC1307" s="26"/>
      <c r="AD1307" s="24"/>
      <c r="AE1307" s="26"/>
      <c r="AF1307" s="75"/>
      <c r="AG1307" s="26"/>
      <c r="AH1307" s="957"/>
      <c r="AI1307" s="957"/>
      <c r="AJ1307" s="957"/>
      <c r="AK1307" s="957"/>
      <c r="AL1307" s="957"/>
      <c r="AM1307" s="957"/>
      <c r="AN1307" s="957"/>
      <c r="AO1307" s="957"/>
      <c r="AP1307" s="957"/>
      <c r="AQ1307" s="957"/>
      <c r="AR1307" s="957"/>
      <c r="AS1307" s="957"/>
      <c r="AT1307" s="957"/>
      <c r="AU1307" s="957"/>
      <c r="AV1307" s="957"/>
      <c r="AW1307" s="957"/>
      <c r="AX1307" s="957"/>
      <c r="AY1307" s="957"/>
      <c r="AZ1307" s="957"/>
      <c r="BA1307" s="957"/>
      <c r="BB1307" s="957"/>
      <c r="BC1307" s="957"/>
      <c r="BD1307" s="957"/>
      <c r="BE1307" s="957"/>
      <c r="BF1307" s="957"/>
      <c r="BG1307" s="957"/>
    </row>
    <row r="1308" spans="1:59">
      <c r="A1308" s="2410"/>
      <c r="B1308" s="2166" t="s">
        <v>1334</v>
      </c>
      <c r="C1308" s="2144" t="s">
        <v>11</v>
      </c>
      <c r="D1308" s="749" t="s">
        <v>490</v>
      </c>
      <c r="E1308" s="95">
        <v>30</v>
      </c>
      <c r="F1308" s="148" t="s">
        <v>15</v>
      </c>
      <c r="G1308" s="148" t="s">
        <v>15</v>
      </c>
      <c r="H1308" s="513">
        <v>240.98</v>
      </c>
      <c r="I1308" s="570">
        <v>130.82</v>
      </c>
      <c r="J1308" s="234" t="s">
        <v>15</v>
      </c>
      <c r="K1308" s="233" t="s">
        <v>15</v>
      </c>
      <c r="L1308" s="234" t="s">
        <v>15</v>
      </c>
      <c r="M1308" s="233" t="s">
        <v>15</v>
      </c>
      <c r="N1308" s="1201">
        <v>-48.9</v>
      </c>
      <c r="O1308" s="133">
        <v>2.65</v>
      </c>
      <c r="P1308" s="133">
        <v>18.489999999999998</v>
      </c>
      <c r="Q1308" s="128">
        <f t="shared" si="74"/>
        <v>0.22727272727272727</v>
      </c>
      <c r="R1308" s="2129">
        <f>SUMPRODUCT(Q1308:Q1309,N1308:N1309)</f>
        <v>-11.113636363636363</v>
      </c>
      <c r="S1308" s="26"/>
      <c r="T1308" s="26"/>
      <c r="U1308" s="888"/>
      <c r="V1308" s="24"/>
      <c r="W1308" s="26"/>
      <c r="X1308" s="26"/>
      <c r="Y1308" s="41"/>
      <c r="Z1308" s="41"/>
      <c r="AA1308" s="41"/>
      <c r="AB1308" s="754"/>
      <c r="AC1308" s="26"/>
      <c r="AD1308" s="24"/>
      <c r="AE1308" s="26"/>
      <c r="AF1308" s="75"/>
      <c r="AG1308" s="26"/>
      <c r="AH1308" s="957"/>
      <c r="AI1308" s="957"/>
      <c r="AJ1308" s="957"/>
      <c r="AK1308" s="957"/>
      <c r="AL1308" s="957"/>
      <c r="AM1308" s="957"/>
      <c r="AN1308" s="957"/>
      <c r="AO1308" s="957"/>
      <c r="AP1308" s="957"/>
      <c r="AQ1308" s="957"/>
      <c r="AR1308" s="957"/>
      <c r="AS1308" s="957"/>
      <c r="AT1308" s="957"/>
      <c r="AU1308" s="957"/>
      <c r="AV1308" s="957"/>
      <c r="AW1308" s="957"/>
      <c r="AX1308" s="957"/>
      <c r="AY1308" s="957"/>
      <c r="AZ1308" s="957"/>
      <c r="BA1308" s="957"/>
      <c r="BB1308" s="957"/>
      <c r="BC1308" s="957"/>
      <c r="BD1308" s="957"/>
      <c r="BE1308" s="957"/>
      <c r="BF1308" s="957"/>
      <c r="BG1308" s="957"/>
    </row>
    <row r="1309" spans="1:59">
      <c r="A1309" s="2410"/>
      <c r="B1309" s="2166"/>
      <c r="C1309" s="2144"/>
      <c r="D1309" s="749" t="s">
        <v>32</v>
      </c>
      <c r="E1309" s="95">
        <v>102</v>
      </c>
      <c r="F1309" s="148" t="s">
        <v>15</v>
      </c>
      <c r="G1309" s="148" t="s">
        <v>15</v>
      </c>
      <c r="H1309" s="513">
        <v>229.71</v>
      </c>
      <c r="I1309" s="570">
        <v>113.89</v>
      </c>
      <c r="J1309" s="234" t="s">
        <v>15</v>
      </c>
      <c r="K1309" s="233" t="s">
        <v>15</v>
      </c>
      <c r="L1309" s="234" t="s">
        <v>15</v>
      </c>
      <c r="M1309" s="233" t="s">
        <v>15</v>
      </c>
      <c r="N1309" s="1194">
        <v>0</v>
      </c>
      <c r="O1309" s="142" t="s">
        <v>574</v>
      </c>
      <c r="P1309" s="142" t="s">
        <v>574</v>
      </c>
      <c r="Q1309" s="128">
        <f t="shared" si="74"/>
        <v>0.77272727272727271</v>
      </c>
      <c r="R1309" s="2139"/>
      <c r="S1309" s="26"/>
      <c r="T1309" s="26"/>
      <c r="U1309" s="888"/>
      <c r="V1309" s="24"/>
      <c r="W1309" s="26"/>
      <c r="X1309" s="26"/>
      <c r="Y1309" s="41"/>
      <c r="Z1309" s="41"/>
      <c r="AA1309" s="41"/>
      <c r="AB1309" s="754"/>
      <c r="AC1309" s="26"/>
      <c r="AD1309" s="24"/>
      <c r="AE1309" s="26"/>
      <c r="AF1309" s="75"/>
      <c r="AG1309" s="26"/>
      <c r="AH1309" s="957"/>
      <c r="AI1309" s="957"/>
      <c r="AJ1309" s="957"/>
      <c r="AK1309" s="957"/>
      <c r="AL1309" s="957"/>
      <c r="AM1309" s="957"/>
      <c r="AN1309" s="957"/>
      <c r="AO1309" s="957"/>
      <c r="AP1309" s="957"/>
      <c r="AQ1309" s="957"/>
      <c r="AR1309" s="957"/>
      <c r="AS1309" s="957"/>
      <c r="AT1309" s="957"/>
      <c r="AU1309" s="957"/>
      <c r="AV1309" s="957"/>
      <c r="AW1309" s="957"/>
      <c r="AX1309" s="957"/>
      <c r="AY1309" s="957"/>
      <c r="AZ1309" s="957"/>
      <c r="BA1309" s="957"/>
      <c r="BB1309" s="957"/>
      <c r="BC1309" s="957"/>
      <c r="BD1309" s="957"/>
      <c r="BE1309" s="957"/>
      <c r="BF1309" s="957"/>
      <c r="BG1309" s="957"/>
    </row>
    <row r="1310" spans="1:59">
      <c r="A1310" s="2410"/>
      <c r="B1310" s="2166" t="s">
        <v>1335</v>
      </c>
      <c r="C1310" s="2144" t="s">
        <v>11</v>
      </c>
      <c r="D1310" s="749" t="s">
        <v>490</v>
      </c>
      <c r="E1310" s="95">
        <v>13</v>
      </c>
      <c r="F1310" s="148" t="s">
        <v>15</v>
      </c>
      <c r="G1310" s="148" t="s">
        <v>15</v>
      </c>
      <c r="H1310" s="513">
        <v>269.77</v>
      </c>
      <c r="I1310" s="570">
        <v>97.01</v>
      </c>
      <c r="J1310" s="234" t="s">
        <v>15</v>
      </c>
      <c r="K1310" s="233" t="s">
        <v>15</v>
      </c>
      <c r="L1310" s="234" t="s">
        <v>15</v>
      </c>
      <c r="M1310" s="233" t="s">
        <v>15</v>
      </c>
      <c r="N1310" s="1201">
        <v>-66.209999999999994</v>
      </c>
      <c r="O1310" s="133">
        <v>25.73</v>
      </c>
      <c r="P1310" s="133">
        <v>2.57</v>
      </c>
      <c r="Q1310" s="128">
        <f t="shared" si="74"/>
        <v>9.8484848484848481E-2</v>
      </c>
      <c r="R1310" s="2129">
        <f>SUMPRODUCT(Q1310:Q1311,N1310:N1311)</f>
        <v>-6.5206818181818171</v>
      </c>
      <c r="S1310" s="26"/>
      <c r="T1310" s="26"/>
      <c r="U1310" s="888"/>
      <c r="V1310" s="24"/>
      <c r="W1310" s="26"/>
      <c r="X1310" s="26"/>
      <c r="Y1310" s="41"/>
      <c r="Z1310" s="41"/>
      <c r="AA1310" s="41"/>
      <c r="AB1310" s="754"/>
      <c r="AC1310" s="26"/>
      <c r="AD1310" s="24"/>
      <c r="AE1310" s="26"/>
      <c r="AF1310" s="75"/>
      <c r="AG1310" s="26"/>
      <c r="AH1310" s="957"/>
      <c r="AI1310" s="957"/>
      <c r="AJ1310" s="957"/>
      <c r="AK1310" s="957"/>
      <c r="AL1310" s="957"/>
      <c r="AM1310" s="957"/>
      <c r="AN1310" s="957"/>
      <c r="AO1310" s="957"/>
      <c r="AP1310" s="957"/>
      <c r="AQ1310" s="957"/>
      <c r="AR1310" s="957"/>
      <c r="AS1310" s="957"/>
      <c r="AT1310" s="957"/>
      <c r="AU1310" s="957"/>
      <c r="AV1310" s="957"/>
      <c r="AW1310" s="957"/>
      <c r="AX1310" s="957"/>
      <c r="AY1310" s="957"/>
      <c r="AZ1310" s="957"/>
      <c r="BA1310" s="957"/>
      <c r="BB1310" s="957"/>
      <c r="BC1310" s="957"/>
      <c r="BD1310" s="957"/>
      <c r="BE1310" s="957"/>
      <c r="BF1310" s="957"/>
      <c r="BG1310" s="957"/>
    </row>
    <row r="1311" spans="1:59">
      <c r="A1311" s="2410"/>
      <c r="B1311" s="2166"/>
      <c r="C1311" s="2144"/>
      <c r="D1311" s="749" t="s">
        <v>32</v>
      </c>
      <c r="E1311" s="95">
        <v>119</v>
      </c>
      <c r="F1311" s="148" t="s">
        <v>15</v>
      </c>
      <c r="G1311" s="148" t="s">
        <v>15</v>
      </c>
      <c r="H1311" s="513">
        <v>228.17</v>
      </c>
      <c r="I1311" s="570">
        <v>119.18</v>
      </c>
      <c r="J1311" s="234" t="s">
        <v>15</v>
      </c>
      <c r="K1311" s="233" t="s">
        <v>15</v>
      </c>
      <c r="L1311" s="234" t="s">
        <v>15</v>
      </c>
      <c r="M1311" s="233" t="s">
        <v>15</v>
      </c>
      <c r="N1311" s="1194">
        <v>0</v>
      </c>
      <c r="O1311" s="142" t="s">
        <v>574</v>
      </c>
      <c r="P1311" s="142" t="s">
        <v>574</v>
      </c>
      <c r="Q1311" s="128">
        <f t="shared" si="74"/>
        <v>0.90151515151515149</v>
      </c>
      <c r="R1311" s="2139"/>
      <c r="S1311" s="26"/>
      <c r="T1311" s="26"/>
      <c r="U1311" s="888"/>
      <c r="V1311" s="24"/>
      <c r="W1311" s="26"/>
      <c r="X1311" s="26"/>
      <c r="Y1311" s="41"/>
      <c r="Z1311" s="41"/>
      <c r="AA1311" s="41"/>
      <c r="AB1311" s="754"/>
      <c r="AC1311" s="26"/>
      <c r="AD1311" s="24"/>
      <c r="AE1311" s="26"/>
      <c r="AF1311" s="75"/>
      <c r="AG1311" s="26"/>
      <c r="AH1311" s="957"/>
      <c r="AI1311" s="957"/>
      <c r="AJ1311" s="957"/>
      <c r="AK1311" s="957"/>
      <c r="AL1311" s="957"/>
      <c r="AM1311" s="957"/>
      <c r="AN1311" s="957"/>
      <c r="AO1311" s="957"/>
      <c r="AP1311" s="957"/>
      <c r="AQ1311" s="957"/>
      <c r="AR1311" s="957"/>
      <c r="AS1311" s="957"/>
      <c r="AT1311" s="957"/>
      <c r="AU1311" s="957"/>
      <c r="AV1311" s="957"/>
      <c r="AW1311" s="957"/>
      <c r="AX1311" s="957"/>
      <c r="AY1311" s="957"/>
      <c r="AZ1311" s="957"/>
      <c r="BA1311" s="957"/>
      <c r="BB1311" s="957"/>
      <c r="BC1311" s="957"/>
      <c r="BD1311" s="957"/>
      <c r="BE1311" s="957"/>
      <c r="BF1311" s="957"/>
      <c r="BG1311" s="957"/>
    </row>
    <row r="1312" spans="1:59">
      <c r="A1312" s="2410"/>
      <c r="B1312" s="2166" t="s">
        <v>1336</v>
      </c>
      <c r="C1312" s="2144" t="s">
        <v>11</v>
      </c>
      <c r="D1312" s="749" t="s">
        <v>490</v>
      </c>
      <c r="E1312" s="95">
        <v>12</v>
      </c>
      <c r="F1312" s="148" t="s">
        <v>15</v>
      </c>
      <c r="G1312" s="148" t="s">
        <v>15</v>
      </c>
      <c r="H1312" s="513">
        <v>257.22000000000003</v>
      </c>
      <c r="I1312" s="570">
        <v>168.02</v>
      </c>
      <c r="J1312" s="234" t="s">
        <v>15</v>
      </c>
      <c r="K1312" s="233" t="s">
        <v>15</v>
      </c>
      <c r="L1312" s="234" t="s">
        <v>15</v>
      </c>
      <c r="M1312" s="233" t="s">
        <v>15</v>
      </c>
      <c r="N1312" s="1201">
        <v>-56.92</v>
      </c>
      <c r="O1312" s="133">
        <v>28.98</v>
      </c>
      <c r="P1312" s="133">
        <v>1.96</v>
      </c>
      <c r="Q1312" s="128">
        <f t="shared" si="74"/>
        <v>9.0909090909090912E-2</v>
      </c>
      <c r="R1312" s="2129">
        <f>SUMPRODUCT(Q1312:Q1313,N1312:N1313)</f>
        <v>-5.1745454545454548</v>
      </c>
      <c r="S1312" s="26"/>
      <c r="T1312" s="26"/>
      <c r="U1312" s="888"/>
      <c r="V1312" s="24"/>
      <c r="W1312" s="26"/>
      <c r="X1312" s="26"/>
      <c r="Y1312" s="41"/>
      <c r="Z1312" s="41"/>
      <c r="AA1312" s="41"/>
      <c r="AB1312" s="754"/>
      <c r="AC1312" s="26"/>
      <c r="AD1312" s="24"/>
      <c r="AE1312" s="26"/>
      <c r="AF1312" s="75"/>
      <c r="AG1312" s="26"/>
      <c r="AH1312" s="957"/>
      <c r="AI1312" s="957"/>
      <c r="AJ1312" s="957"/>
      <c r="AK1312" s="957"/>
      <c r="AL1312" s="957"/>
      <c r="AM1312" s="957"/>
      <c r="AN1312" s="957"/>
      <c r="AO1312" s="957"/>
      <c r="AP1312" s="957"/>
      <c r="AQ1312" s="957"/>
      <c r="AR1312" s="957"/>
      <c r="AS1312" s="957"/>
      <c r="AT1312" s="957"/>
      <c r="AU1312" s="957"/>
      <c r="AV1312" s="957"/>
      <c r="AW1312" s="957"/>
      <c r="AX1312" s="957"/>
      <c r="AY1312" s="957"/>
      <c r="AZ1312" s="957"/>
      <c r="BA1312" s="957"/>
      <c r="BB1312" s="957"/>
      <c r="BC1312" s="957"/>
      <c r="BD1312" s="957"/>
      <c r="BE1312" s="957"/>
      <c r="BF1312" s="957"/>
      <c r="BG1312" s="957"/>
    </row>
    <row r="1313" spans="1:113" ht="15.75" thickBot="1">
      <c r="A1313" s="2410"/>
      <c r="B1313" s="2177"/>
      <c r="C1313" s="2179"/>
      <c r="D1313" s="19" t="s">
        <v>32</v>
      </c>
      <c r="E1313" s="96">
        <v>120</v>
      </c>
      <c r="F1313" s="197" t="s">
        <v>15</v>
      </c>
      <c r="G1313" s="197" t="s">
        <v>15</v>
      </c>
      <c r="H1313" s="513">
        <v>229.78</v>
      </c>
      <c r="I1313" s="570">
        <v>111.92</v>
      </c>
      <c r="J1313" s="409" t="s">
        <v>15</v>
      </c>
      <c r="K1313" s="122" t="s">
        <v>15</v>
      </c>
      <c r="L1313" s="409" t="s">
        <v>15</v>
      </c>
      <c r="M1313" s="122" t="s">
        <v>15</v>
      </c>
      <c r="N1313" s="1194">
        <v>0</v>
      </c>
      <c r="O1313" s="142" t="s">
        <v>574</v>
      </c>
      <c r="P1313" s="142" t="s">
        <v>574</v>
      </c>
      <c r="Q1313" s="256">
        <f t="shared" si="74"/>
        <v>0.90909090909090906</v>
      </c>
      <c r="R1313" s="2246"/>
      <c r="S1313" s="26"/>
      <c r="T1313" s="26"/>
      <c r="U1313" s="890"/>
      <c r="V1313" s="24"/>
      <c r="W1313" s="26"/>
      <c r="X1313" s="26"/>
      <c r="Y1313" s="41"/>
      <c r="Z1313" s="41"/>
      <c r="AA1313" s="41"/>
      <c r="AB1313" s="756"/>
      <c r="AC1313" s="26"/>
      <c r="AD1313" s="24"/>
      <c r="AE1313" s="26"/>
      <c r="AF1313" s="75"/>
      <c r="AG1313" s="26"/>
      <c r="AH1313" s="957"/>
      <c r="AI1313" s="957"/>
      <c r="AJ1313" s="957"/>
      <c r="AK1313" s="957"/>
      <c r="AL1313" s="957"/>
      <c r="AM1313" s="957"/>
      <c r="AN1313" s="957"/>
      <c r="AO1313" s="957"/>
      <c r="AP1313" s="957"/>
      <c r="AQ1313" s="957"/>
      <c r="AR1313" s="957"/>
      <c r="AS1313" s="957"/>
      <c r="AT1313" s="957"/>
      <c r="AU1313" s="957"/>
      <c r="AV1313" s="957"/>
      <c r="AW1313" s="957"/>
      <c r="AX1313" s="957"/>
      <c r="AY1313" s="957"/>
      <c r="AZ1313" s="957"/>
      <c r="BA1313" s="957"/>
      <c r="BB1313" s="957"/>
      <c r="BC1313" s="957"/>
      <c r="BD1313" s="957"/>
      <c r="BE1313" s="957"/>
      <c r="BF1313" s="957"/>
      <c r="BG1313" s="957"/>
    </row>
    <row r="1314" spans="1:113" s="692" customFormat="1" ht="9" customHeight="1" thickBot="1">
      <c r="A1314" s="716"/>
      <c r="B1314" s="818"/>
      <c r="C1314" s="712"/>
      <c r="D1314" s="699"/>
      <c r="E1314" s="733"/>
      <c r="F1314" s="733"/>
      <c r="G1314" s="733"/>
      <c r="H1314" s="733"/>
      <c r="I1314" s="733"/>
      <c r="J1314" s="682"/>
      <c r="K1314" s="683"/>
      <c r="L1314" s="682"/>
      <c r="M1314" s="685"/>
      <c r="N1314" s="1214"/>
      <c r="O1314" s="713"/>
      <c r="P1314" s="713"/>
      <c r="Q1314" s="714"/>
      <c r="R1314" s="714"/>
      <c r="S1314" s="704"/>
      <c r="T1314" s="704"/>
      <c r="U1314" s="854"/>
      <c r="V1314" s="893"/>
      <c r="W1314" s="700"/>
      <c r="X1314" s="700"/>
      <c r="Y1314" s="735"/>
      <c r="Z1314" s="735"/>
      <c r="AA1314" s="710"/>
      <c r="AB1314" s="921"/>
      <c r="AC1314" s="690"/>
      <c r="AD1314" s="690"/>
      <c r="AE1314" s="690"/>
      <c r="AF1314" s="737"/>
      <c r="AG1314" s="706"/>
      <c r="AH1314" s="958"/>
      <c r="AI1314" s="958"/>
      <c r="AJ1314" s="958"/>
      <c r="AK1314" s="958"/>
      <c r="AL1314" s="958"/>
      <c r="AM1314" s="958"/>
      <c r="AN1314" s="958"/>
      <c r="AO1314" s="958"/>
      <c r="AP1314" s="958"/>
      <c r="AQ1314" s="959"/>
      <c r="AR1314" s="959"/>
      <c r="AS1314" s="959"/>
      <c r="AT1314" s="959"/>
      <c r="AU1314" s="959"/>
      <c r="AV1314" s="959"/>
      <c r="AW1314" s="959"/>
      <c r="AX1314" s="959"/>
      <c r="AY1314" s="959"/>
      <c r="AZ1314" s="959"/>
      <c r="BA1314" s="959"/>
      <c r="BB1314" s="959"/>
      <c r="BC1314" s="959"/>
      <c r="BD1314" s="959"/>
      <c r="BE1314" s="959"/>
      <c r="BF1314" s="959"/>
      <c r="BG1314" s="959"/>
      <c r="BH1314" s="1125"/>
      <c r="DI1314" s="693"/>
    </row>
    <row r="1315" spans="1:113" ht="15" customHeight="1">
      <c r="A1315" s="2147" t="s">
        <v>1365</v>
      </c>
      <c r="B1315" s="819" t="s">
        <v>1352</v>
      </c>
      <c r="C1315" s="1050" t="s">
        <v>12</v>
      </c>
      <c r="D1315" s="282" t="s">
        <v>1218</v>
      </c>
      <c r="E1315" s="282">
        <v>52</v>
      </c>
      <c r="F1315" s="282">
        <v>41.31</v>
      </c>
      <c r="G1315" s="77">
        <v>15.47</v>
      </c>
      <c r="H1315" s="513">
        <v>171.72</v>
      </c>
      <c r="I1315" s="570">
        <v>75.33</v>
      </c>
      <c r="J1315" s="298" t="s">
        <v>15</v>
      </c>
      <c r="K1315" s="1135" t="s">
        <v>15</v>
      </c>
      <c r="L1315" s="298" t="s">
        <v>15</v>
      </c>
      <c r="M1315" s="1135" t="s">
        <v>15</v>
      </c>
      <c r="N1315" s="441">
        <v>3.2770000000000001</v>
      </c>
      <c r="O1315" s="280">
        <v>4.82</v>
      </c>
      <c r="P1315" s="280">
        <v>0.68</v>
      </c>
      <c r="Q1315" s="747" t="s">
        <v>15</v>
      </c>
      <c r="R1315" s="259">
        <f t="shared" ref="R1315:R1323" si="75">N1315</f>
        <v>3.2770000000000001</v>
      </c>
      <c r="S1315" s="149" t="s">
        <v>68</v>
      </c>
      <c r="T1315" s="150" t="s">
        <v>69</v>
      </c>
      <c r="V1315" s="2162" t="s">
        <v>2698</v>
      </c>
      <c r="W1315" s="212" t="s">
        <v>1220</v>
      </c>
      <c r="X1315" s="1065" t="s">
        <v>1414</v>
      </c>
      <c r="Y1315" s="1072">
        <f>T1352+R1347+R1349+R1345*20+R1346*456</f>
        <v>216.03741379310344</v>
      </c>
      <c r="Z1315" s="1077" t="s">
        <v>40</v>
      </c>
      <c r="AA1315" s="1073" t="s">
        <v>40</v>
      </c>
      <c r="AC1315" s="26"/>
      <c r="AD1315" s="24"/>
      <c r="AE1315" s="26"/>
      <c r="AF1315" s="75"/>
      <c r="AG1315" s="26"/>
      <c r="AH1315" s="957"/>
      <c r="AI1315" s="957"/>
      <c r="AJ1315" s="957"/>
      <c r="AK1315" s="957"/>
      <c r="AL1315" s="957"/>
      <c r="AM1315" s="957"/>
      <c r="AN1315" s="957"/>
      <c r="AO1315" s="957"/>
      <c r="AP1315" s="957"/>
      <c r="AQ1315" s="957"/>
      <c r="AR1315" s="957"/>
      <c r="AS1315" s="957"/>
      <c r="AT1315" s="957"/>
      <c r="AU1315" s="957"/>
      <c r="AV1315" s="957"/>
      <c r="AW1315" s="957"/>
      <c r="AX1315" s="957"/>
      <c r="AY1315" s="957"/>
      <c r="AZ1315" s="957"/>
      <c r="BA1315" s="957"/>
      <c r="BB1315" s="957"/>
      <c r="BC1315" s="957"/>
      <c r="BD1315" s="957"/>
      <c r="BE1315" s="957"/>
      <c r="BF1315" s="957"/>
      <c r="BG1315" s="957"/>
    </row>
    <row r="1316" spans="1:113" ht="15" customHeight="1">
      <c r="A1316" s="2148"/>
      <c r="B1316" s="817" t="s">
        <v>1353</v>
      </c>
      <c r="C1316" s="154" t="s">
        <v>12</v>
      </c>
      <c r="D1316" s="762" t="s">
        <v>1275</v>
      </c>
      <c r="E1316" s="95">
        <v>52</v>
      </c>
      <c r="F1316" s="802">
        <v>4.5599999999999996</v>
      </c>
      <c r="G1316" s="452">
        <v>1.86</v>
      </c>
      <c r="H1316" s="513">
        <v>171.72</v>
      </c>
      <c r="I1316" s="570">
        <v>75.33</v>
      </c>
      <c r="J1316" s="234" t="s">
        <v>15</v>
      </c>
      <c r="K1316" s="233" t="s">
        <v>15</v>
      </c>
      <c r="L1316" s="234" t="s">
        <v>15</v>
      </c>
      <c r="M1316" s="233" t="s">
        <v>15</v>
      </c>
      <c r="N1316" s="537">
        <v>16.608000000000001</v>
      </c>
      <c r="O1316" s="789">
        <v>4.28</v>
      </c>
      <c r="P1316" s="789">
        <v>3.879</v>
      </c>
      <c r="Q1316" s="148" t="s">
        <v>15</v>
      </c>
      <c r="R1316" s="128">
        <f t="shared" si="75"/>
        <v>16.608000000000001</v>
      </c>
      <c r="S1316" s="753" t="s">
        <v>1187</v>
      </c>
      <c r="T1316" s="794" t="s">
        <v>310</v>
      </c>
      <c r="V1316" s="2163"/>
      <c r="W1316" s="335" t="s">
        <v>49</v>
      </c>
      <c r="X1316" s="1066" t="s">
        <v>1415</v>
      </c>
      <c r="Y1316" s="1074">
        <f>T1322+R1315*48+R1316*6+R1317*54</f>
        <v>197.81200000000001</v>
      </c>
      <c r="Z1316" s="165">
        <f>Y1316-$Y$1315</f>
        <v>-18.225413793103428</v>
      </c>
      <c r="AA1316" s="1079"/>
      <c r="AC1316" s="26"/>
      <c r="AD1316" s="24"/>
      <c r="AE1316" s="26"/>
      <c r="AF1316" s="75"/>
      <c r="AG1316" s="26"/>
      <c r="AH1316" s="957"/>
      <c r="AI1316" s="957"/>
      <c r="AJ1316" s="957"/>
      <c r="AK1316" s="957"/>
      <c r="AL1316" s="957"/>
      <c r="AM1316" s="957"/>
      <c r="AN1316" s="957"/>
      <c r="AO1316" s="957"/>
      <c r="AP1316" s="957"/>
      <c r="AQ1316" s="957"/>
      <c r="AR1316" s="957"/>
      <c r="AS1316" s="957"/>
      <c r="AT1316" s="957"/>
      <c r="AU1316" s="957"/>
      <c r="AV1316" s="957"/>
      <c r="AW1316" s="957"/>
      <c r="AX1316" s="957"/>
      <c r="AY1316" s="957"/>
      <c r="AZ1316" s="957"/>
      <c r="BA1316" s="957"/>
      <c r="BB1316" s="957"/>
      <c r="BC1316" s="957"/>
      <c r="BD1316" s="957"/>
      <c r="BE1316" s="957"/>
      <c r="BF1316" s="957"/>
      <c r="BG1316" s="957"/>
    </row>
    <row r="1317" spans="1:113" ht="15" customHeight="1">
      <c r="A1317" s="2148"/>
      <c r="B1317" s="817" t="s">
        <v>1272</v>
      </c>
      <c r="C1317" s="154" t="s">
        <v>12</v>
      </c>
      <c r="D1317" s="95" t="s">
        <v>1274</v>
      </c>
      <c r="E1317" s="95">
        <v>52</v>
      </c>
      <c r="F1317" s="95">
        <v>48.75</v>
      </c>
      <c r="G1317" s="452">
        <v>11.28</v>
      </c>
      <c r="H1317" s="513">
        <v>171.72</v>
      </c>
      <c r="I1317" s="570">
        <v>75.33</v>
      </c>
      <c r="J1317" s="234" t="s">
        <v>15</v>
      </c>
      <c r="K1317" s="233" t="s">
        <v>15</v>
      </c>
      <c r="L1317" s="234" t="s">
        <v>15</v>
      </c>
      <c r="M1317" s="233" t="s">
        <v>15</v>
      </c>
      <c r="N1317" s="537">
        <v>-1.3580000000000001</v>
      </c>
      <c r="O1317" s="789">
        <v>-1.97</v>
      </c>
      <c r="P1317" s="789">
        <v>0.68799999999999994</v>
      </c>
      <c r="Q1317" s="148" t="s">
        <v>15</v>
      </c>
      <c r="R1317" s="128">
        <f t="shared" si="75"/>
        <v>-1.3580000000000001</v>
      </c>
      <c r="S1317" s="127" t="s">
        <v>72</v>
      </c>
      <c r="T1317" s="119" t="s">
        <v>119</v>
      </c>
      <c r="V1317" s="2163"/>
      <c r="W1317" s="335" t="s">
        <v>1220</v>
      </c>
      <c r="X1317" s="1066" t="s">
        <v>1416</v>
      </c>
      <c r="Y1317" s="1074">
        <f>T1297+R1291*96+R1290*236+R1296</f>
        <v>263.15600000000001</v>
      </c>
      <c r="Z1317" s="1078" t="s">
        <v>40</v>
      </c>
      <c r="AA1317" s="934" t="s">
        <v>40</v>
      </c>
      <c r="AC1317" s="26"/>
      <c r="AD1317" s="24"/>
      <c r="AE1317" s="26"/>
      <c r="AF1317" s="75"/>
      <c r="AG1317" s="26"/>
      <c r="AH1317" s="957"/>
      <c r="AI1317" s="957"/>
      <c r="AJ1317" s="957"/>
      <c r="AK1317" s="957"/>
      <c r="AL1317" s="957"/>
      <c r="AM1317" s="957"/>
      <c r="AN1317" s="957"/>
      <c r="AO1317" s="957"/>
      <c r="AP1317" s="957"/>
      <c r="AQ1317" s="957"/>
      <c r="AR1317" s="957"/>
      <c r="AS1317" s="957"/>
      <c r="AT1317" s="957"/>
      <c r="AU1317" s="957"/>
      <c r="AV1317" s="957"/>
      <c r="AW1317" s="957"/>
      <c r="AX1317" s="957"/>
      <c r="AY1317" s="957"/>
      <c r="AZ1317" s="957"/>
      <c r="BA1317" s="957"/>
      <c r="BB1317" s="957"/>
      <c r="BC1317" s="957"/>
      <c r="BD1317" s="957"/>
      <c r="BE1317" s="957"/>
      <c r="BF1317" s="957"/>
      <c r="BG1317" s="957"/>
    </row>
    <row r="1318" spans="1:113" ht="15" customHeight="1">
      <c r="A1318" s="2148"/>
      <c r="B1318" s="2166" t="s">
        <v>1273</v>
      </c>
      <c r="C1318" s="2144" t="s">
        <v>11</v>
      </c>
      <c r="D1318" s="752" t="s">
        <v>490</v>
      </c>
      <c r="E1318" s="95">
        <v>8</v>
      </c>
      <c r="F1318" s="148" t="s">
        <v>15</v>
      </c>
      <c r="G1318" s="148" t="s">
        <v>15</v>
      </c>
      <c r="H1318" s="513">
        <v>146.71</v>
      </c>
      <c r="I1318" s="570">
        <v>27.71</v>
      </c>
      <c r="J1318" s="234" t="s">
        <v>15</v>
      </c>
      <c r="K1318" s="233" t="s">
        <v>15</v>
      </c>
      <c r="L1318" s="234" t="s">
        <v>15</v>
      </c>
      <c r="M1318" s="233" t="s">
        <v>15</v>
      </c>
      <c r="N1318" s="1201">
        <v>46.456000000000003</v>
      </c>
      <c r="O1318" s="133">
        <v>2.13</v>
      </c>
      <c r="P1318" s="133">
        <v>21.812000000000001</v>
      </c>
      <c r="Q1318" s="148" t="s">
        <v>15</v>
      </c>
      <c r="R1318" s="128">
        <f t="shared" si="75"/>
        <v>46.456000000000003</v>
      </c>
      <c r="S1318" s="423" t="s">
        <v>139</v>
      </c>
      <c r="T1318" s="411" t="s">
        <v>140</v>
      </c>
      <c r="V1318" s="2164"/>
      <c r="W1318" s="335" t="s">
        <v>49</v>
      </c>
      <c r="X1318" s="1066" t="s">
        <v>1415</v>
      </c>
      <c r="Y1318" s="1074">
        <f>T1322+R1315*48+R1316*6+R1317*54</f>
        <v>197.81200000000001</v>
      </c>
      <c r="Z1318" s="165">
        <f>Y1318-$Y$1317</f>
        <v>-65.343999999999994</v>
      </c>
      <c r="AA1318" s="1079"/>
      <c r="AC1318" s="26"/>
      <c r="AD1318" s="24"/>
      <c r="AE1318" s="26"/>
      <c r="AF1318" s="75"/>
      <c r="AG1318" s="26"/>
      <c r="AH1318" s="957"/>
      <c r="AI1318" s="957"/>
      <c r="AJ1318" s="957"/>
      <c r="AK1318" s="957"/>
      <c r="AL1318" s="957"/>
      <c r="AM1318" s="957"/>
      <c r="AN1318" s="957"/>
      <c r="AO1318" s="957"/>
      <c r="AP1318" s="957"/>
      <c r="AQ1318" s="957"/>
      <c r="AR1318" s="957"/>
      <c r="AS1318" s="957"/>
      <c r="AT1318" s="957"/>
      <c r="AU1318" s="957"/>
      <c r="AV1318" s="957"/>
      <c r="AW1318" s="957"/>
      <c r="AX1318" s="957"/>
      <c r="AY1318" s="957"/>
      <c r="AZ1318" s="957"/>
      <c r="BA1318" s="957"/>
      <c r="BB1318" s="957"/>
      <c r="BC1318" s="957"/>
      <c r="BD1318" s="957"/>
      <c r="BE1318" s="957"/>
      <c r="BF1318" s="957"/>
      <c r="BG1318" s="957"/>
    </row>
    <row r="1319" spans="1:113" ht="15" customHeight="1">
      <c r="A1319" s="2148"/>
      <c r="B1319" s="2166"/>
      <c r="C1319" s="2144"/>
      <c r="D1319" s="752" t="s">
        <v>32</v>
      </c>
      <c r="E1319" s="95">
        <v>44</v>
      </c>
      <c r="F1319" s="148" t="s">
        <v>15</v>
      </c>
      <c r="G1319" s="148" t="s">
        <v>15</v>
      </c>
      <c r="H1319" s="513">
        <v>176.27</v>
      </c>
      <c r="I1319" s="570">
        <v>80.430000000000007</v>
      </c>
      <c r="J1319" s="234" t="s">
        <v>15</v>
      </c>
      <c r="K1319" s="233" t="s">
        <v>15</v>
      </c>
      <c r="L1319" s="234" t="s">
        <v>15</v>
      </c>
      <c r="M1319" s="233" t="s">
        <v>15</v>
      </c>
      <c r="N1319" s="1194">
        <v>0</v>
      </c>
      <c r="O1319" s="142" t="s">
        <v>574</v>
      </c>
      <c r="P1319" s="142" t="s">
        <v>574</v>
      </c>
      <c r="Q1319" s="148" t="s">
        <v>15</v>
      </c>
      <c r="R1319" s="128">
        <f t="shared" si="75"/>
        <v>0</v>
      </c>
      <c r="S1319" s="127" t="s">
        <v>74</v>
      </c>
      <c r="T1319" s="129" t="s">
        <v>75</v>
      </c>
      <c r="V1319" s="24"/>
      <c r="W1319" s="26"/>
      <c r="X1319" s="26"/>
      <c r="Y1319" s="41"/>
      <c r="Z1319" s="41"/>
      <c r="AA1319" s="41"/>
      <c r="AC1319" s="26"/>
      <c r="AD1319" s="24"/>
      <c r="AE1319" s="26"/>
      <c r="AF1319" s="75"/>
      <c r="AG1319" s="26"/>
      <c r="AH1319" s="957"/>
      <c r="AI1319" s="957"/>
      <c r="AJ1319" s="957"/>
      <c r="AK1319" s="957"/>
      <c r="AL1319" s="957"/>
      <c r="AM1319" s="957"/>
      <c r="AN1319" s="957"/>
      <c r="AO1319" s="957"/>
      <c r="AP1319" s="957"/>
      <c r="AQ1319" s="957"/>
      <c r="AR1319" s="957"/>
      <c r="AS1319" s="957"/>
      <c r="AT1319" s="957"/>
      <c r="AU1319" s="957"/>
      <c r="AV1319" s="957"/>
      <c r="AW1319" s="957"/>
      <c r="AX1319" s="957"/>
      <c r="AY1319" s="957"/>
      <c r="AZ1319" s="957"/>
      <c r="BA1319" s="957"/>
      <c r="BB1319" s="957"/>
      <c r="BC1319" s="957"/>
      <c r="BD1319" s="957"/>
      <c r="BE1319" s="957"/>
      <c r="BF1319" s="957"/>
      <c r="BG1319" s="957"/>
    </row>
    <row r="1320" spans="1:113" ht="15" customHeight="1">
      <c r="A1320" s="2148"/>
      <c r="B1320" s="2166" t="s">
        <v>1351</v>
      </c>
      <c r="C1320" s="2144" t="s">
        <v>11</v>
      </c>
      <c r="D1320" s="752" t="s">
        <v>490</v>
      </c>
      <c r="E1320" s="95">
        <v>1</v>
      </c>
      <c r="F1320" s="148" t="s">
        <v>15</v>
      </c>
      <c r="G1320" s="148" t="s">
        <v>15</v>
      </c>
      <c r="H1320" s="513">
        <v>224</v>
      </c>
      <c r="I1320" s="233" t="s">
        <v>15</v>
      </c>
      <c r="J1320" s="234" t="s">
        <v>15</v>
      </c>
      <c r="K1320" s="233" t="s">
        <v>15</v>
      </c>
      <c r="L1320" s="234" t="s">
        <v>15</v>
      </c>
      <c r="M1320" s="233" t="s">
        <v>15</v>
      </c>
      <c r="N1320" s="1201">
        <v>100.63500000000001</v>
      </c>
      <c r="O1320" s="133">
        <v>2.0699999999999998</v>
      </c>
      <c r="P1320" s="133">
        <v>48.54</v>
      </c>
      <c r="Q1320" s="148" t="s">
        <v>15</v>
      </c>
      <c r="R1320" s="128">
        <f t="shared" si="75"/>
        <v>100.63500000000001</v>
      </c>
      <c r="S1320" s="95">
        <v>52</v>
      </c>
      <c r="T1320" s="117" t="s">
        <v>15</v>
      </c>
      <c r="V1320" s="24"/>
      <c r="W1320" s="26"/>
      <c r="X1320" s="26"/>
      <c r="Y1320" s="41"/>
      <c r="Z1320" s="41"/>
      <c r="AA1320" s="41"/>
      <c r="AC1320" s="26"/>
      <c r="AD1320" s="24"/>
      <c r="AE1320" s="26"/>
      <c r="AF1320" s="75"/>
      <c r="AG1320" s="26"/>
      <c r="AH1320" s="957"/>
      <c r="AI1320" s="957"/>
      <c r="AJ1320" s="957"/>
      <c r="AK1320" s="957"/>
      <c r="AL1320" s="957"/>
      <c r="AM1320" s="957"/>
      <c r="AN1320" s="957"/>
      <c r="AO1320" s="957"/>
      <c r="AP1320" s="957"/>
      <c r="AQ1320" s="957"/>
      <c r="AR1320" s="957"/>
      <c r="AS1320" s="957"/>
      <c r="AT1320" s="957"/>
      <c r="AU1320" s="957"/>
      <c r="AV1320" s="957"/>
      <c r="AW1320" s="957"/>
      <c r="AX1320" s="957"/>
      <c r="AY1320" s="957"/>
      <c r="AZ1320" s="957"/>
      <c r="BA1320" s="957"/>
      <c r="BB1320" s="957"/>
      <c r="BC1320" s="957"/>
      <c r="BD1320" s="957"/>
      <c r="BE1320" s="957"/>
      <c r="BF1320" s="957"/>
      <c r="BG1320" s="957"/>
    </row>
    <row r="1321" spans="1:113" ht="15" customHeight="1">
      <c r="A1321" s="2148"/>
      <c r="B1321" s="2166"/>
      <c r="C1321" s="2144"/>
      <c r="D1321" s="752" t="s">
        <v>32</v>
      </c>
      <c r="E1321" s="95">
        <v>51</v>
      </c>
      <c r="F1321" s="148" t="s">
        <v>15</v>
      </c>
      <c r="G1321" s="148" t="s">
        <v>15</v>
      </c>
      <c r="H1321" s="513">
        <v>170.69</v>
      </c>
      <c r="I1321" s="570">
        <v>75.72</v>
      </c>
      <c r="J1321" s="234" t="s">
        <v>15</v>
      </c>
      <c r="K1321" s="233" t="s">
        <v>15</v>
      </c>
      <c r="L1321" s="234" t="s">
        <v>15</v>
      </c>
      <c r="M1321" s="233" t="s">
        <v>15</v>
      </c>
      <c r="N1321" s="1194">
        <v>0</v>
      </c>
      <c r="O1321" s="142" t="s">
        <v>574</v>
      </c>
      <c r="P1321" s="142" t="s">
        <v>574</v>
      </c>
      <c r="Q1321" s="148" t="s">
        <v>15</v>
      </c>
      <c r="R1321" s="128">
        <f t="shared" si="75"/>
        <v>0</v>
      </c>
      <c r="S1321" s="127" t="s">
        <v>41</v>
      </c>
      <c r="T1321" s="129" t="s">
        <v>42</v>
      </c>
      <c r="V1321" s="24"/>
      <c r="W1321" s="26"/>
      <c r="X1321" s="26"/>
      <c r="Y1321" s="41"/>
      <c r="Z1321" s="41"/>
      <c r="AA1321" s="41"/>
      <c r="AC1321" s="26"/>
      <c r="AD1321" s="24"/>
      <c r="AE1321" s="26"/>
      <c r="AF1321" s="75"/>
      <c r="AG1321" s="26"/>
      <c r="AH1321" s="957"/>
      <c r="AI1321" s="957"/>
      <c r="AJ1321" s="957"/>
      <c r="AK1321" s="957"/>
      <c r="AL1321" s="957"/>
      <c r="AM1321" s="957"/>
      <c r="AN1321" s="957"/>
      <c r="AO1321" s="957"/>
      <c r="AP1321" s="957"/>
      <c r="AQ1321" s="957"/>
      <c r="AR1321" s="957"/>
      <c r="AS1321" s="957"/>
      <c r="AT1321" s="957"/>
      <c r="AU1321" s="957"/>
      <c r="AV1321" s="957"/>
      <c r="AW1321" s="957"/>
      <c r="AX1321" s="957"/>
      <c r="AY1321" s="957"/>
      <c r="AZ1321" s="957"/>
      <c r="BA1321" s="957"/>
      <c r="BB1321" s="957"/>
      <c r="BC1321" s="957"/>
      <c r="BD1321" s="957"/>
      <c r="BE1321" s="957"/>
      <c r="BF1321" s="957"/>
      <c r="BG1321" s="957"/>
    </row>
    <row r="1322" spans="1:113" ht="15" customHeight="1">
      <c r="A1322" s="2148"/>
      <c r="B1322" s="2166" t="s">
        <v>1350</v>
      </c>
      <c r="C1322" s="2144" t="s">
        <v>11</v>
      </c>
      <c r="D1322" s="752" t="s">
        <v>490</v>
      </c>
      <c r="E1322" s="95">
        <v>44</v>
      </c>
      <c r="F1322" s="148" t="s">
        <v>15</v>
      </c>
      <c r="G1322" s="148" t="s">
        <v>15</v>
      </c>
      <c r="H1322" s="513">
        <v>171.08</v>
      </c>
      <c r="I1322" s="570">
        <v>81.11</v>
      </c>
      <c r="J1322" s="234" t="s">
        <v>15</v>
      </c>
      <c r="K1322" s="233" t="s">
        <v>15</v>
      </c>
      <c r="L1322" s="234" t="s">
        <v>15</v>
      </c>
      <c r="M1322" s="233" t="s">
        <v>15</v>
      </c>
      <c r="N1322" s="1201">
        <v>-1.925</v>
      </c>
      <c r="O1322" s="133">
        <v>0.1</v>
      </c>
      <c r="P1322" s="133">
        <v>19.728000000000002</v>
      </c>
      <c r="Q1322" s="148" t="s">
        <v>15</v>
      </c>
      <c r="R1322" s="128">
        <f t="shared" si="75"/>
        <v>-1.925</v>
      </c>
      <c r="S1322" s="86">
        <v>0.65800000000000003</v>
      </c>
      <c r="T1322" s="841">
        <v>14.2</v>
      </c>
      <c r="V1322" s="24"/>
      <c r="W1322" s="26"/>
      <c r="X1322" s="26"/>
      <c r="Y1322" s="41"/>
      <c r="Z1322" s="41"/>
      <c r="AA1322" s="41"/>
      <c r="AC1322" s="26"/>
      <c r="AD1322" s="24"/>
      <c r="AE1322" s="26"/>
      <c r="AF1322" s="75"/>
      <c r="AG1322" s="26"/>
      <c r="AH1322" s="957"/>
      <c r="AI1322" s="957"/>
      <c r="AJ1322" s="957"/>
      <c r="AK1322" s="957"/>
      <c r="AL1322" s="957"/>
      <c r="AM1322" s="957"/>
      <c r="AN1322" s="957"/>
      <c r="AO1322" s="957"/>
      <c r="AP1322" s="957"/>
      <c r="AQ1322" s="957"/>
      <c r="AR1322" s="957"/>
      <c r="AS1322" s="957"/>
      <c r="AT1322" s="957"/>
      <c r="AU1322" s="957"/>
      <c r="AV1322" s="957"/>
      <c r="AW1322" s="957"/>
      <c r="AX1322" s="957"/>
      <c r="AY1322" s="957"/>
      <c r="AZ1322" s="957"/>
      <c r="BA1322" s="957"/>
      <c r="BB1322" s="957"/>
      <c r="BC1322" s="957"/>
      <c r="BD1322" s="957"/>
      <c r="BE1322" s="957"/>
      <c r="BF1322" s="957"/>
      <c r="BG1322" s="957"/>
    </row>
    <row r="1323" spans="1:113" ht="15" customHeight="1">
      <c r="A1323" s="2148"/>
      <c r="B1323" s="2166"/>
      <c r="C1323" s="2144"/>
      <c r="D1323" s="752" t="s">
        <v>32</v>
      </c>
      <c r="E1323" s="95">
        <v>8</v>
      </c>
      <c r="F1323" s="148" t="s">
        <v>15</v>
      </c>
      <c r="G1323" s="148" t="s">
        <v>15</v>
      </c>
      <c r="H1323" s="513">
        <v>175.08</v>
      </c>
      <c r="I1323" s="570">
        <v>30.26</v>
      </c>
      <c r="J1323" s="234" t="s">
        <v>15</v>
      </c>
      <c r="K1323" s="233" t="s">
        <v>15</v>
      </c>
      <c r="L1323" s="234" t="s">
        <v>15</v>
      </c>
      <c r="M1323" s="233" t="s">
        <v>15</v>
      </c>
      <c r="N1323" s="1194">
        <v>0</v>
      </c>
      <c r="O1323" s="142" t="s">
        <v>574</v>
      </c>
      <c r="P1323" s="142" t="s">
        <v>574</v>
      </c>
      <c r="Q1323" s="148" t="s">
        <v>15</v>
      </c>
      <c r="R1323" s="128">
        <f t="shared" si="75"/>
        <v>0</v>
      </c>
      <c r="S1323" s="118" t="s">
        <v>235</v>
      </c>
      <c r="T1323" s="119" t="s">
        <v>391</v>
      </c>
      <c r="V1323" s="24"/>
      <c r="W1323" s="26"/>
      <c r="X1323" s="26"/>
      <c r="Y1323" s="41"/>
      <c r="Z1323" s="41"/>
      <c r="AA1323" s="41"/>
      <c r="AC1323" s="26"/>
      <c r="AD1323" s="24"/>
      <c r="AE1323" s="26"/>
      <c r="AF1323" s="75"/>
      <c r="AG1323" s="26"/>
      <c r="AH1323" s="957"/>
      <c r="AI1323" s="957"/>
      <c r="AJ1323" s="957"/>
      <c r="AK1323" s="957"/>
      <c r="AL1323" s="957"/>
      <c r="AM1323" s="957"/>
      <c r="AN1323" s="957"/>
      <c r="AO1323" s="957"/>
      <c r="AP1323" s="957"/>
      <c r="AQ1323" s="957"/>
      <c r="AR1323" s="957"/>
      <c r="AS1323" s="957"/>
      <c r="AT1323" s="957"/>
      <c r="AU1323" s="957"/>
      <c r="AV1323" s="957"/>
      <c r="AW1323" s="957"/>
      <c r="AX1323" s="957"/>
      <c r="AY1323" s="957"/>
      <c r="AZ1323" s="957"/>
      <c r="BA1323" s="957"/>
      <c r="BB1323" s="957"/>
      <c r="BC1323" s="957"/>
      <c r="BD1323" s="957"/>
      <c r="BE1323" s="957"/>
      <c r="BF1323" s="957"/>
      <c r="BG1323" s="957"/>
    </row>
    <row r="1324" spans="1:113" ht="15" customHeight="1">
      <c r="A1324" s="2148"/>
      <c r="B1324" s="2166" t="s">
        <v>1336</v>
      </c>
      <c r="C1324" s="2144" t="s">
        <v>11</v>
      </c>
      <c r="D1324" s="752" t="s">
        <v>490</v>
      </c>
      <c r="E1324" s="95">
        <v>4</v>
      </c>
      <c r="F1324" s="148" t="s">
        <v>15</v>
      </c>
      <c r="G1324" s="148" t="s">
        <v>15</v>
      </c>
      <c r="H1324" s="513">
        <v>300.54000000000002</v>
      </c>
      <c r="I1324" s="570">
        <v>185.47</v>
      </c>
      <c r="J1324" s="234" t="s">
        <v>15</v>
      </c>
      <c r="K1324" s="233" t="s">
        <v>15</v>
      </c>
      <c r="L1324" s="234" t="s">
        <v>15</v>
      </c>
      <c r="M1324" s="233" t="s">
        <v>15</v>
      </c>
      <c r="N1324" s="1201">
        <v>67.489000000000004</v>
      </c>
      <c r="O1324" s="133">
        <v>33.866999999999997</v>
      </c>
      <c r="P1324" s="133">
        <v>1.99</v>
      </c>
      <c r="Q1324" s="128">
        <f>E1324/52</f>
        <v>7.6923076923076927E-2</v>
      </c>
      <c r="R1324" s="2129">
        <f>SUMPRODUCT(Q1324:Q1325,N1324:N1325)</f>
        <v>5.1914615384615388</v>
      </c>
      <c r="S1324" s="86">
        <v>34.89</v>
      </c>
      <c r="T1324" s="151">
        <v>0.25</v>
      </c>
      <c r="V1324" s="24"/>
      <c r="W1324" s="26"/>
      <c r="X1324" s="26"/>
      <c r="Y1324" s="41"/>
      <c r="Z1324" s="41"/>
      <c r="AA1324" s="41"/>
      <c r="AC1324" s="26"/>
      <c r="AD1324" s="24"/>
      <c r="AE1324" s="26"/>
      <c r="AF1324" s="75"/>
      <c r="AG1324" s="26"/>
      <c r="AH1324" s="957"/>
      <c r="AI1324" s="957"/>
      <c r="AJ1324" s="957"/>
      <c r="AK1324" s="957"/>
      <c r="AL1324" s="957"/>
      <c r="AM1324" s="957"/>
      <c r="AN1324" s="957"/>
      <c r="AO1324" s="957"/>
      <c r="AP1324" s="957"/>
      <c r="AQ1324" s="957"/>
      <c r="AR1324" s="957"/>
      <c r="AS1324" s="957"/>
      <c r="AT1324" s="957"/>
      <c r="AU1324" s="957"/>
      <c r="AV1324" s="957"/>
      <c r="AW1324" s="957"/>
      <c r="AX1324" s="957"/>
      <c r="AY1324" s="957"/>
      <c r="AZ1324" s="957"/>
      <c r="BA1324" s="957"/>
      <c r="BB1324" s="957"/>
      <c r="BC1324" s="957"/>
      <c r="BD1324" s="957"/>
      <c r="BE1324" s="957"/>
      <c r="BF1324" s="957"/>
      <c r="BG1324" s="957"/>
    </row>
    <row r="1325" spans="1:113" ht="15.75" customHeight="1">
      <c r="A1325" s="2148"/>
      <c r="B1325" s="2166"/>
      <c r="C1325" s="2144"/>
      <c r="D1325" s="752" t="s">
        <v>32</v>
      </c>
      <c r="E1325" s="95">
        <v>48</v>
      </c>
      <c r="F1325" s="148" t="s">
        <v>15</v>
      </c>
      <c r="G1325" s="148" t="s">
        <v>15</v>
      </c>
      <c r="H1325" s="513">
        <v>160.99</v>
      </c>
      <c r="I1325" s="570">
        <v>49.32</v>
      </c>
      <c r="J1325" s="234" t="s">
        <v>15</v>
      </c>
      <c r="K1325" s="233" t="s">
        <v>15</v>
      </c>
      <c r="L1325" s="234" t="s">
        <v>15</v>
      </c>
      <c r="M1325" s="233" t="s">
        <v>15</v>
      </c>
      <c r="N1325" s="1194">
        <v>0</v>
      </c>
      <c r="O1325" s="142" t="s">
        <v>574</v>
      </c>
      <c r="P1325" s="142" t="s">
        <v>574</v>
      </c>
      <c r="Q1325" s="128">
        <f>E1325/52</f>
        <v>0.92307692307692313</v>
      </c>
      <c r="R1325" s="2139"/>
      <c r="S1325" s="26"/>
      <c r="T1325" s="26"/>
      <c r="V1325" s="24"/>
      <c r="W1325" s="26"/>
      <c r="X1325" s="26"/>
      <c r="Y1325" s="41"/>
      <c r="Z1325" s="41"/>
      <c r="AA1325" s="41"/>
      <c r="AC1325" s="26"/>
      <c r="AD1325" s="24"/>
      <c r="AE1325" s="26"/>
      <c r="AF1325" s="75"/>
      <c r="AG1325" s="26"/>
      <c r="AH1325" s="957"/>
      <c r="AI1325" s="957"/>
      <c r="AJ1325" s="957"/>
      <c r="AK1325" s="957"/>
      <c r="AL1325" s="957"/>
      <c r="AM1325" s="957"/>
      <c r="AN1325" s="957"/>
      <c r="AO1325" s="957"/>
      <c r="AP1325" s="957"/>
      <c r="AQ1325" s="957"/>
      <c r="AR1325" s="957"/>
      <c r="AS1325" s="957"/>
      <c r="AT1325" s="957"/>
      <c r="AU1325" s="957"/>
      <c r="AV1325" s="957"/>
      <c r="AW1325" s="957"/>
      <c r="AX1325" s="957"/>
      <c r="AY1325" s="957"/>
      <c r="AZ1325" s="957"/>
      <c r="BA1325" s="957"/>
      <c r="BB1325" s="957"/>
      <c r="BC1325" s="957"/>
      <c r="BD1325" s="957"/>
      <c r="BE1325" s="957"/>
      <c r="BF1325" s="957"/>
      <c r="BG1325" s="957"/>
    </row>
    <row r="1326" spans="1:113" ht="15" customHeight="1">
      <c r="A1326" s="2148"/>
      <c r="B1326" s="2116" t="s">
        <v>194</v>
      </c>
      <c r="C1326" s="174"/>
      <c r="D1326" s="26"/>
      <c r="E1326" s="41"/>
      <c r="F1326" s="41"/>
      <c r="G1326" s="41"/>
      <c r="H1326" s="1267"/>
      <c r="I1326" s="1267"/>
      <c r="J1326" s="81"/>
      <c r="K1326" s="41"/>
      <c r="L1326" s="81"/>
      <c r="M1326" s="41"/>
      <c r="N1326" s="1268"/>
      <c r="O1326" s="1269"/>
      <c r="P1326" s="1269"/>
      <c r="Q1326" s="252"/>
      <c r="R1326" s="647"/>
      <c r="S1326" s="26"/>
      <c r="T1326" s="26"/>
      <c r="V1326" s="24"/>
      <c r="W1326" s="26"/>
      <c r="X1326" s="26"/>
      <c r="Y1326" s="41"/>
      <c r="Z1326" s="41"/>
      <c r="AA1326" s="41"/>
      <c r="AC1326" s="26"/>
      <c r="AD1326" s="24"/>
      <c r="AE1326" s="26"/>
      <c r="AF1326" s="75"/>
      <c r="AG1326" s="26"/>
      <c r="AH1326" s="957"/>
      <c r="AI1326" s="957"/>
      <c r="AJ1326" s="957"/>
      <c r="AK1326" s="957"/>
      <c r="AL1326" s="957"/>
      <c r="AM1326" s="957"/>
      <c r="AN1326" s="957"/>
      <c r="AO1326" s="957"/>
      <c r="AP1326" s="957"/>
      <c r="AQ1326" s="957"/>
      <c r="AR1326" s="957"/>
      <c r="AS1326" s="957"/>
      <c r="AT1326" s="957"/>
      <c r="AU1326" s="957"/>
      <c r="AV1326" s="957"/>
      <c r="AW1326" s="957"/>
      <c r="AX1326" s="957"/>
      <c r="AY1326" s="957"/>
      <c r="AZ1326" s="957"/>
      <c r="BA1326" s="957"/>
      <c r="BB1326" s="957"/>
      <c r="BC1326" s="957"/>
      <c r="BD1326" s="957"/>
      <c r="BE1326" s="957"/>
      <c r="BF1326" s="957"/>
      <c r="BG1326" s="957"/>
    </row>
    <row r="1327" spans="1:113" ht="15" customHeight="1">
      <c r="A1327" s="2148"/>
      <c r="B1327" s="2117"/>
      <c r="C1327" s="174"/>
      <c r="D1327" s="26"/>
      <c r="E1327" s="41"/>
      <c r="F1327" s="41"/>
      <c r="G1327" s="41"/>
      <c r="H1327" s="1267"/>
      <c r="I1327" s="1267"/>
      <c r="J1327" s="81"/>
      <c r="K1327" s="41"/>
      <c r="L1327" s="81"/>
      <c r="M1327" s="41"/>
      <c r="N1327" s="1268"/>
      <c r="O1327" s="1269"/>
      <c r="P1327" s="1269"/>
      <c r="Q1327" s="252"/>
      <c r="R1327" s="647"/>
      <c r="S1327" s="26"/>
      <c r="T1327" s="26"/>
      <c r="V1327" s="24"/>
      <c r="W1327" s="26"/>
      <c r="X1327" s="26"/>
      <c r="Y1327" s="41"/>
      <c r="Z1327" s="41"/>
      <c r="AA1327" s="41"/>
      <c r="AC1327" s="26"/>
      <c r="AD1327" s="24"/>
      <c r="AE1327" s="26"/>
      <c r="AF1327" s="75"/>
      <c r="AG1327" s="26"/>
      <c r="AH1327" s="957"/>
      <c r="AI1327" s="957"/>
      <c r="AJ1327" s="957"/>
      <c r="AK1327" s="957"/>
      <c r="AL1327" s="957"/>
      <c r="AM1327" s="957"/>
      <c r="AN1327" s="957"/>
      <c r="AO1327" s="957"/>
      <c r="AP1327" s="957"/>
      <c r="AQ1327" s="957"/>
      <c r="AR1327" s="957"/>
      <c r="AS1327" s="957"/>
      <c r="AT1327" s="957"/>
      <c r="AU1327" s="957"/>
      <c r="AV1327" s="957"/>
      <c r="AW1327" s="957"/>
      <c r="AX1327" s="957"/>
      <c r="AY1327" s="957"/>
      <c r="AZ1327" s="957"/>
      <c r="BA1327" s="957"/>
      <c r="BB1327" s="957"/>
      <c r="BC1327" s="957"/>
      <c r="BD1327" s="957"/>
      <c r="BE1327" s="957"/>
      <c r="BF1327" s="957"/>
      <c r="BG1327" s="957"/>
    </row>
    <row r="1328" spans="1:113" ht="15.75" customHeight="1">
      <c r="A1328" s="2148"/>
      <c r="B1328" s="2117"/>
      <c r="C1328" s="174"/>
      <c r="D1328" s="26"/>
      <c r="E1328" s="41"/>
      <c r="F1328" s="41"/>
      <c r="G1328" s="41"/>
      <c r="H1328" s="1267"/>
      <c r="I1328" s="1267"/>
      <c r="J1328" s="81"/>
      <c r="K1328" s="41"/>
      <c r="L1328" s="81"/>
      <c r="M1328" s="41"/>
      <c r="N1328" s="1268"/>
      <c r="O1328" s="1269"/>
      <c r="P1328" s="1269"/>
      <c r="Q1328" s="252"/>
      <c r="R1328" s="647"/>
      <c r="S1328" s="26"/>
      <c r="T1328" s="26"/>
      <c r="V1328" s="24"/>
      <c r="W1328" s="26"/>
      <c r="X1328" s="26"/>
      <c r="Y1328" s="41"/>
      <c r="Z1328" s="41"/>
      <c r="AA1328" s="41"/>
      <c r="AC1328" s="26"/>
      <c r="AD1328" s="24"/>
      <c r="AE1328" s="26"/>
      <c r="AF1328" s="75"/>
      <c r="AG1328" s="26"/>
      <c r="AH1328" s="957"/>
      <c r="AI1328" s="957"/>
      <c r="AJ1328" s="957"/>
      <c r="AK1328" s="957"/>
      <c r="AL1328" s="957"/>
      <c r="AM1328" s="957"/>
      <c r="AN1328" s="957"/>
      <c r="AO1328" s="957"/>
      <c r="AP1328" s="957"/>
      <c r="AQ1328" s="957"/>
      <c r="AR1328" s="957"/>
      <c r="AS1328" s="957"/>
      <c r="AT1328" s="957"/>
      <c r="AU1328" s="957"/>
      <c r="AV1328" s="957"/>
      <c r="AW1328" s="957"/>
      <c r="AX1328" s="957"/>
      <c r="AY1328" s="957"/>
      <c r="AZ1328" s="957"/>
      <c r="BA1328" s="957"/>
      <c r="BB1328" s="957"/>
      <c r="BC1328" s="957"/>
      <c r="BD1328" s="957"/>
      <c r="BE1328" s="957"/>
      <c r="BF1328" s="957"/>
      <c r="BG1328" s="957"/>
    </row>
    <row r="1329" spans="1:113">
      <c r="A1329" s="2148"/>
      <c r="B1329" s="2117"/>
      <c r="C1329" s="174"/>
      <c r="D1329" s="26"/>
      <c r="E1329" s="41"/>
      <c r="F1329" s="41"/>
      <c r="G1329" s="41"/>
      <c r="H1329" s="1267"/>
      <c r="I1329" s="1267"/>
      <c r="J1329" s="81"/>
      <c r="K1329" s="41"/>
      <c r="L1329" s="81"/>
      <c r="M1329" s="41"/>
      <c r="N1329" s="1268"/>
      <c r="O1329" s="1269"/>
      <c r="P1329" s="1269"/>
      <c r="Q1329" s="252"/>
      <c r="R1329" s="647"/>
      <c r="S1329" s="26"/>
      <c r="T1329" s="26"/>
      <c r="V1329" s="24"/>
      <c r="W1329" s="26"/>
      <c r="X1329" s="26"/>
      <c r="Y1329" s="41"/>
      <c r="Z1329" s="41"/>
      <c r="AA1329" s="41"/>
      <c r="AC1329" s="26"/>
      <c r="AD1329" s="24"/>
      <c r="AE1329" s="26"/>
      <c r="AF1329" s="75"/>
      <c r="AG1329" s="26"/>
      <c r="AH1329" s="957"/>
      <c r="AI1329" s="957"/>
      <c r="AJ1329" s="957"/>
      <c r="AK1329" s="957"/>
      <c r="AL1329" s="957"/>
      <c r="AM1329" s="957"/>
      <c r="AN1329" s="957"/>
      <c r="AO1329" s="957"/>
      <c r="AP1329" s="957"/>
      <c r="AQ1329" s="957"/>
      <c r="AR1329" s="957"/>
      <c r="AS1329" s="957"/>
      <c r="AT1329" s="957"/>
      <c r="AU1329" s="957"/>
      <c r="AV1329" s="957"/>
      <c r="AW1329" s="957"/>
      <c r="AX1329" s="957"/>
      <c r="AY1329" s="957"/>
      <c r="AZ1329" s="957"/>
      <c r="BA1329" s="957"/>
      <c r="BB1329" s="957"/>
      <c r="BC1329" s="957"/>
      <c r="BD1329" s="957"/>
      <c r="BE1329" s="957"/>
      <c r="BF1329" s="957"/>
      <c r="BG1329" s="957"/>
    </row>
    <row r="1330" spans="1:113">
      <c r="A1330" s="2148"/>
      <c r="B1330" s="2117"/>
      <c r="C1330" s="174"/>
      <c r="D1330" s="26"/>
      <c r="E1330" s="41"/>
      <c r="F1330" s="41"/>
      <c r="G1330" s="41"/>
      <c r="H1330" s="1267"/>
      <c r="I1330" s="1267"/>
      <c r="J1330" s="81"/>
      <c r="K1330" s="41"/>
      <c r="L1330" s="81"/>
      <c r="M1330" s="41"/>
      <c r="N1330" s="1268"/>
      <c r="O1330" s="1269"/>
      <c r="P1330" s="1269"/>
      <c r="Q1330" s="252"/>
      <c r="R1330" s="647"/>
      <c r="S1330" s="26"/>
      <c r="T1330" s="26"/>
      <c r="V1330" s="24"/>
      <c r="W1330" s="26"/>
      <c r="X1330" s="26"/>
      <c r="Y1330" s="41"/>
      <c r="Z1330" s="41"/>
      <c r="AA1330" s="41"/>
      <c r="AC1330" s="26"/>
      <c r="AD1330" s="24"/>
      <c r="AE1330" s="26"/>
      <c r="AF1330" s="75"/>
      <c r="AG1330" s="26"/>
      <c r="AH1330" s="957"/>
      <c r="AI1330" s="957"/>
      <c r="AJ1330" s="957"/>
      <c r="AK1330" s="957"/>
      <c r="AL1330" s="957"/>
      <c r="AM1330" s="957"/>
      <c r="AN1330" s="957"/>
      <c r="AO1330" s="957"/>
      <c r="AP1330" s="957"/>
      <c r="AQ1330" s="957"/>
      <c r="AR1330" s="957"/>
      <c r="AS1330" s="957"/>
      <c r="AT1330" s="957"/>
      <c r="AU1330" s="957"/>
      <c r="AV1330" s="957"/>
      <c r="AW1330" s="957"/>
      <c r="AX1330" s="957"/>
      <c r="AY1330" s="957"/>
      <c r="AZ1330" s="957"/>
      <c r="BA1330" s="957"/>
      <c r="BB1330" s="957"/>
      <c r="BC1330" s="957"/>
      <c r="BD1330" s="957"/>
      <c r="BE1330" s="957"/>
      <c r="BF1330" s="957"/>
      <c r="BG1330" s="957"/>
    </row>
    <row r="1331" spans="1:113">
      <c r="A1331" s="2148"/>
      <c r="B1331" s="2117"/>
      <c r="C1331" s="174"/>
      <c r="D1331" s="26"/>
      <c r="E1331" s="41"/>
      <c r="F1331" s="41"/>
      <c r="G1331" s="41"/>
      <c r="H1331" s="1267"/>
      <c r="I1331" s="1267"/>
      <c r="J1331" s="81"/>
      <c r="K1331" s="41"/>
      <c r="L1331" s="81"/>
      <c r="M1331" s="41"/>
      <c r="N1331" s="1268"/>
      <c r="O1331" s="1269"/>
      <c r="P1331" s="1269"/>
      <c r="Q1331" s="252"/>
      <c r="R1331" s="647"/>
      <c r="S1331" s="26"/>
      <c r="T1331" s="26"/>
      <c r="V1331" s="24"/>
      <c r="W1331" s="26"/>
      <c r="X1331" s="26"/>
      <c r="Y1331" s="41"/>
      <c r="Z1331" s="41"/>
      <c r="AA1331" s="41"/>
      <c r="AC1331" s="26"/>
      <c r="AD1331" s="24"/>
      <c r="AE1331" s="26"/>
      <c r="AF1331" s="75"/>
      <c r="AG1331" s="26"/>
      <c r="AH1331" s="957"/>
      <c r="AI1331" s="957"/>
      <c r="AJ1331" s="957"/>
      <c r="AK1331" s="957"/>
      <c r="AL1331" s="957"/>
      <c r="AM1331" s="957"/>
      <c r="AN1331" s="957"/>
      <c r="AO1331" s="957"/>
      <c r="AP1331" s="957"/>
      <c r="AQ1331" s="957"/>
      <c r="AR1331" s="957"/>
      <c r="AS1331" s="957"/>
      <c r="AT1331" s="957"/>
      <c r="AU1331" s="957"/>
      <c r="AV1331" s="957"/>
      <c r="AW1331" s="957"/>
      <c r="AX1331" s="957"/>
      <c r="AY1331" s="957"/>
      <c r="AZ1331" s="957"/>
      <c r="BA1331" s="957"/>
      <c r="BB1331" s="957"/>
      <c r="BC1331" s="957"/>
      <c r="BD1331" s="957"/>
      <c r="BE1331" s="957"/>
      <c r="BF1331" s="957"/>
      <c r="BG1331" s="957"/>
    </row>
    <row r="1332" spans="1:113" ht="15.75" thickBot="1">
      <c r="A1332" s="2149"/>
      <c r="B1332" s="2118"/>
      <c r="C1332" s="174"/>
      <c r="D1332" s="26"/>
      <c r="E1332" s="41"/>
      <c r="F1332" s="41"/>
      <c r="G1332" s="41"/>
      <c r="H1332" s="1267"/>
      <c r="I1332" s="1267"/>
      <c r="J1332" s="81"/>
      <c r="K1332" s="41"/>
      <c r="L1332" s="81"/>
      <c r="M1332" s="41"/>
      <c r="N1332" s="1268"/>
      <c r="O1332" s="1269"/>
      <c r="P1332" s="1269"/>
      <c r="Q1332" s="252"/>
      <c r="R1332" s="647"/>
      <c r="S1332" s="26"/>
      <c r="T1332" s="26"/>
      <c r="V1332" s="24"/>
      <c r="W1332" s="26"/>
      <c r="X1332" s="26"/>
      <c r="Y1332" s="41"/>
      <c r="Z1332" s="41"/>
      <c r="AA1332" s="41"/>
      <c r="AC1332" s="26"/>
      <c r="AD1332" s="24"/>
      <c r="AE1332" s="26"/>
      <c r="AF1332" s="75"/>
      <c r="AG1332" s="26"/>
      <c r="AH1332" s="957"/>
      <c r="AI1332" s="957"/>
      <c r="AJ1332" s="957"/>
      <c r="AK1332" s="957"/>
      <c r="AL1332" s="957"/>
      <c r="AM1332" s="957"/>
      <c r="AN1332" s="957"/>
      <c r="AO1332" s="957"/>
      <c r="AP1332" s="957"/>
      <c r="AQ1332" s="957"/>
      <c r="AR1332" s="957"/>
      <c r="AS1332" s="957"/>
      <c r="AT1332" s="957"/>
      <c r="AU1332" s="957"/>
      <c r="AV1332" s="957"/>
      <c r="AW1332" s="957"/>
      <c r="AX1332" s="957"/>
      <c r="AY1332" s="957"/>
      <c r="AZ1332" s="957"/>
      <c r="BA1332" s="957"/>
      <c r="BB1332" s="957"/>
      <c r="BC1332" s="957"/>
      <c r="BD1332" s="957"/>
      <c r="BE1332" s="957"/>
      <c r="BF1332" s="957"/>
      <c r="BG1332" s="957"/>
    </row>
    <row r="1333" spans="1:113" s="808" customFormat="1" ht="9" customHeight="1" thickBot="1">
      <c r="A1333" s="716"/>
      <c r="B1333" s="815"/>
      <c r="C1333" s="684"/>
      <c r="D1333" s="683"/>
      <c r="E1333" s="707"/>
      <c r="F1333" s="707"/>
      <c r="G1333" s="707"/>
      <c r="H1333" s="709"/>
      <c r="I1333" s="709"/>
      <c r="J1333" s="682"/>
      <c r="K1333" s="683"/>
      <c r="L1333" s="682"/>
      <c r="M1333" s="685"/>
      <c r="N1333" s="1189"/>
      <c r="O1333" s="686"/>
      <c r="P1333" s="686"/>
      <c r="Q1333" s="687"/>
      <c r="R1333" s="687"/>
      <c r="S1333" s="688"/>
      <c r="T1333" s="688"/>
      <c r="U1333" s="891"/>
      <c r="V1333" s="893"/>
      <c r="W1333" s="685"/>
      <c r="X1333" s="685"/>
      <c r="Y1333" s="710"/>
      <c r="Z1333" s="710"/>
      <c r="AA1333" s="710"/>
      <c r="AB1333" s="930"/>
      <c r="AC1333" s="690"/>
      <c r="AD1333" s="1289"/>
      <c r="AE1333" s="690"/>
      <c r="AF1333" s="711"/>
      <c r="AG1333" s="690"/>
      <c r="AH1333" s="959"/>
      <c r="AI1333" s="959"/>
      <c r="AJ1333" s="959"/>
      <c r="AK1333" s="959"/>
      <c r="AL1333" s="959"/>
      <c r="AM1333" s="959"/>
      <c r="AN1333" s="959"/>
      <c r="AO1333" s="959"/>
      <c r="AP1333" s="959"/>
      <c r="AQ1333" s="959"/>
      <c r="AR1333" s="959"/>
      <c r="AS1333" s="959"/>
      <c r="AT1333" s="959"/>
      <c r="AU1333" s="959"/>
      <c r="AV1333" s="959"/>
      <c r="AW1333" s="959"/>
      <c r="AX1333" s="959"/>
      <c r="AY1333" s="959"/>
      <c r="AZ1333" s="959"/>
      <c r="BA1333" s="959"/>
      <c r="BB1333" s="959"/>
      <c r="BC1333" s="959"/>
      <c r="BD1333" s="959"/>
      <c r="BE1333" s="959"/>
      <c r="BF1333" s="959"/>
      <c r="BG1333" s="959"/>
      <c r="BH1333" s="1126"/>
      <c r="DI1333" s="740"/>
    </row>
    <row r="1334" spans="1:113">
      <c r="A1334" s="2171" t="s">
        <v>1367</v>
      </c>
      <c r="B1334" s="816" t="s">
        <v>1328</v>
      </c>
      <c r="C1334" s="990" t="s">
        <v>12</v>
      </c>
      <c r="D1334" s="401" t="s">
        <v>1078</v>
      </c>
      <c r="E1334" s="88">
        <v>23</v>
      </c>
      <c r="F1334" s="369">
        <v>46.956519999999998</v>
      </c>
      <c r="G1334" s="369">
        <v>16.565239999999999</v>
      </c>
      <c r="H1334" s="803">
        <v>319.43040000000002</v>
      </c>
      <c r="I1334" s="804">
        <v>75.688590000000005</v>
      </c>
      <c r="J1334" s="268" t="s">
        <v>15</v>
      </c>
      <c r="K1334" s="132" t="s">
        <v>15</v>
      </c>
      <c r="L1334" s="1093" t="s">
        <v>12</v>
      </c>
      <c r="M1334" s="1186" t="s">
        <v>1079</v>
      </c>
      <c r="N1334" s="1208">
        <v>-0.1464946</v>
      </c>
      <c r="O1334" s="369">
        <v>-0.63</v>
      </c>
      <c r="P1334" s="805">
        <v>0.23105523</v>
      </c>
      <c r="Q1334" s="806" t="s">
        <v>15</v>
      </c>
      <c r="R1334" s="807">
        <f>N1334</f>
        <v>-0.1464946</v>
      </c>
      <c r="S1334" s="428" t="s">
        <v>68</v>
      </c>
      <c r="T1334" s="125" t="s">
        <v>69</v>
      </c>
      <c r="U1334" s="858"/>
      <c r="V1334" s="2193" t="s">
        <v>863</v>
      </c>
      <c r="W1334" s="232" t="s">
        <v>47</v>
      </c>
      <c r="X1334" s="1067" t="s">
        <v>1413</v>
      </c>
      <c r="Y1334" s="1075">
        <f>Y1270</f>
        <v>56.872</v>
      </c>
      <c r="Z1334" s="1075" t="s">
        <v>40</v>
      </c>
      <c r="AA1334" s="1076" t="s">
        <v>40</v>
      </c>
      <c r="AB1334" s="921"/>
      <c r="AC1334" s="26"/>
      <c r="AD1334" s="24"/>
      <c r="AE1334" s="26"/>
      <c r="AF1334" s="11" t="s">
        <v>47</v>
      </c>
      <c r="AG1334" s="232" t="s">
        <v>1101</v>
      </c>
      <c r="AH1334" s="1035" t="s">
        <v>380</v>
      </c>
      <c r="AI1334" s="1028"/>
      <c r="AJ1334" s="956"/>
      <c r="AK1334" s="956"/>
      <c r="AL1334" s="957"/>
      <c r="AM1334" s="957"/>
      <c r="AN1334" s="957"/>
      <c r="AO1334" s="957"/>
      <c r="AP1334" s="957"/>
      <c r="AQ1334" s="957"/>
      <c r="AR1334" s="957"/>
      <c r="AS1334" s="957"/>
      <c r="AT1334" s="957"/>
      <c r="AU1334" s="957"/>
      <c r="AV1334" s="957"/>
      <c r="AW1334" s="957"/>
      <c r="AX1334" s="957"/>
      <c r="AY1334" s="957"/>
      <c r="AZ1334" s="957"/>
      <c r="BA1334" s="957"/>
      <c r="BB1334" s="957"/>
      <c r="BC1334" s="957"/>
      <c r="BD1334" s="957"/>
      <c r="BE1334" s="957"/>
      <c r="BF1334" s="957"/>
      <c r="BG1334" s="957"/>
    </row>
    <row r="1335" spans="1:113">
      <c r="A1335" s="2172"/>
      <c r="B1335" s="2161" t="s">
        <v>1354</v>
      </c>
      <c r="C1335" s="2144" t="s">
        <v>11</v>
      </c>
      <c r="D1335" s="86" t="s">
        <v>33</v>
      </c>
      <c r="E1335" s="88">
        <v>12</v>
      </c>
      <c r="F1335" s="440" t="s">
        <v>15</v>
      </c>
      <c r="G1335" s="440" t="s">
        <v>15</v>
      </c>
      <c r="H1335" s="513">
        <v>386.23329999999999</v>
      </c>
      <c r="I1335" s="570">
        <v>25.205310000000001</v>
      </c>
      <c r="J1335" s="234" t="s">
        <v>15</v>
      </c>
      <c r="K1335" s="233" t="s">
        <v>15</v>
      </c>
      <c r="L1335" s="234" t="s">
        <v>15</v>
      </c>
      <c r="M1335" s="233" t="s">
        <v>15</v>
      </c>
      <c r="N1335" s="1208">
        <v>117.1066386</v>
      </c>
      <c r="O1335" s="369">
        <v>16.600000000000001</v>
      </c>
      <c r="P1335" s="638">
        <v>7.0528518599999996</v>
      </c>
      <c r="Q1335" s="806" t="s">
        <v>15</v>
      </c>
      <c r="R1335" s="1003">
        <f>N1335</f>
        <v>117.1066386</v>
      </c>
      <c r="S1335" s="356" t="s">
        <v>159</v>
      </c>
      <c r="T1335" s="351" t="s">
        <v>310</v>
      </c>
      <c r="U1335" s="854"/>
      <c r="V1335" s="2136"/>
      <c r="W1335" s="982" t="s">
        <v>49</v>
      </c>
      <c r="X1335" s="291" t="s">
        <v>1102</v>
      </c>
      <c r="Y1335" s="526">
        <f>((64*$R$1334)+$R$1336+$R$1338+$R$1339+$T$1341)*(1+$T$1343)</f>
        <v>273.64195208869563</v>
      </c>
      <c r="Z1335" s="526">
        <f>Y1335-$Y$1334</f>
        <v>216.76995208869562</v>
      </c>
      <c r="AA1335" s="1080"/>
      <c r="AC1335" s="26"/>
      <c r="AD1335" s="24"/>
      <c r="AE1335" s="26"/>
      <c r="AF1335" s="289" t="s">
        <v>49</v>
      </c>
      <c r="AG1335" s="291" t="s">
        <v>1102</v>
      </c>
      <c r="AH1335" s="1036">
        <f>((64*$R$1334)+$N$1336+$R$1338+$R$1339+$T$1341)*1.2</f>
        <v>273.64195208869563</v>
      </c>
      <c r="AI1335" s="956">
        <v>179</v>
      </c>
      <c r="AJ1335" s="956">
        <f>175</f>
        <v>175</v>
      </c>
      <c r="AK1335" s="956">
        <v>223</v>
      </c>
      <c r="AL1335" s="957"/>
      <c r="AM1335" s="957"/>
      <c r="AN1335" s="957"/>
      <c r="AO1335" s="957"/>
      <c r="AP1335" s="957"/>
      <c r="AQ1335" s="957"/>
      <c r="AR1335" s="957"/>
      <c r="AS1335" s="957"/>
      <c r="AT1335" s="957"/>
      <c r="AU1335" s="957"/>
      <c r="AV1335" s="957"/>
      <c r="AW1335" s="957"/>
      <c r="AX1335" s="957"/>
      <c r="AY1335" s="957"/>
      <c r="AZ1335" s="957"/>
      <c r="BA1335" s="957"/>
      <c r="BB1335" s="957"/>
      <c r="BC1335" s="957"/>
      <c r="BD1335" s="957"/>
      <c r="BE1335" s="957"/>
      <c r="BF1335" s="957"/>
      <c r="BG1335" s="957"/>
    </row>
    <row r="1336" spans="1:113">
      <c r="A1336" s="2172"/>
      <c r="B1336" s="2161"/>
      <c r="C1336" s="2144"/>
      <c r="D1336" s="86" t="s">
        <v>32</v>
      </c>
      <c r="E1336" s="88">
        <v>11</v>
      </c>
      <c r="F1336" s="440" t="s">
        <v>15</v>
      </c>
      <c r="G1336" s="440" t="s">
        <v>15</v>
      </c>
      <c r="H1336" s="513">
        <v>246.55449999999999</v>
      </c>
      <c r="I1336" s="570">
        <v>26.59516</v>
      </c>
      <c r="J1336" s="234" t="s">
        <v>15</v>
      </c>
      <c r="K1336" s="233" t="s">
        <v>15</v>
      </c>
      <c r="L1336" s="234" t="s">
        <v>15</v>
      </c>
      <c r="M1336" s="233" t="s">
        <v>15</v>
      </c>
      <c r="N1336" s="1208">
        <v>0</v>
      </c>
      <c r="O1336" s="369" t="s">
        <v>574</v>
      </c>
      <c r="P1336" s="638" t="s">
        <v>574</v>
      </c>
      <c r="Q1336" s="806" t="s">
        <v>15</v>
      </c>
      <c r="R1336" s="1003">
        <f>N1336</f>
        <v>0</v>
      </c>
      <c r="S1336" s="135" t="s">
        <v>72</v>
      </c>
      <c r="T1336" s="119" t="s">
        <v>119</v>
      </c>
      <c r="U1336" s="855"/>
      <c r="V1336" s="2398" t="s">
        <v>2698</v>
      </c>
      <c r="W1336" s="982" t="s">
        <v>49</v>
      </c>
      <c r="X1336" s="291" t="s">
        <v>1103</v>
      </c>
      <c r="Y1336" s="526">
        <f>((64*$R$1334)+$N$1335+$R$1338+$R$1339+$T$1341)*(1+$T$1343)</f>
        <v>414.16991840869565</v>
      </c>
      <c r="Z1336" s="526">
        <f>Y1336-$Y$1334</f>
        <v>357.29791840869564</v>
      </c>
      <c r="AA1336" s="1080"/>
      <c r="AC1336" s="26"/>
      <c r="AD1336" s="24"/>
      <c r="AE1336" s="26"/>
      <c r="AF1336" s="289" t="s">
        <v>49</v>
      </c>
      <c r="AG1336" s="291" t="s">
        <v>1173</v>
      </c>
      <c r="AH1336" s="1036">
        <f>((64*$R$1334)+$N$1336+$R$1337+$R$1339+$T$1341)*1.2</f>
        <v>328.44683720869563</v>
      </c>
      <c r="AI1336" s="956"/>
      <c r="AJ1336" s="956">
        <v>285</v>
      </c>
      <c r="AK1336" s="956"/>
      <c r="AL1336" s="957"/>
      <c r="AM1336" s="957"/>
      <c r="AN1336" s="957"/>
      <c r="AO1336" s="957"/>
      <c r="AP1336" s="957"/>
      <c r="AQ1336" s="957"/>
      <c r="AR1336" s="957"/>
      <c r="AS1336" s="957"/>
      <c r="AT1336" s="957"/>
      <c r="AU1336" s="957"/>
      <c r="AV1336" s="957"/>
      <c r="AW1336" s="957"/>
      <c r="AX1336" s="957"/>
      <c r="AY1336" s="957"/>
      <c r="AZ1336" s="957"/>
      <c r="BA1336" s="957"/>
      <c r="BB1336" s="957"/>
      <c r="BC1336" s="957"/>
      <c r="BD1336" s="957"/>
      <c r="BE1336" s="957"/>
      <c r="BF1336" s="957"/>
      <c r="BG1336" s="957"/>
    </row>
    <row r="1337" spans="1:113">
      <c r="A1337" s="2172"/>
      <c r="B1337" s="2161" t="s">
        <v>1343</v>
      </c>
      <c r="C1337" s="2144" t="s">
        <v>11</v>
      </c>
      <c r="D1337" s="86" t="s">
        <v>33</v>
      </c>
      <c r="E1337" s="88">
        <v>14</v>
      </c>
      <c r="F1337" s="440" t="s">
        <v>15</v>
      </c>
      <c r="G1337" s="440" t="s">
        <v>15</v>
      </c>
      <c r="H1337" s="513">
        <v>323.29289999999997</v>
      </c>
      <c r="I1337" s="570">
        <v>62.41536</v>
      </c>
      <c r="J1337" s="234" t="s">
        <v>15</v>
      </c>
      <c r="K1337" s="233" t="s">
        <v>15</v>
      </c>
      <c r="L1337" s="2237" t="s">
        <v>11</v>
      </c>
      <c r="M1337" s="1187" t="s">
        <v>33</v>
      </c>
      <c r="N1337" s="1208">
        <v>45.670737600000002</v>
      </c>
      <c r="O1337" s="369">
        <v>5.83</v>
      </c>
      <c r="P1337" s="638">
        <v>7.8348516200000002</v>
      </c>
      <c r="Q1337" s="632" t="s">
        <v>15</v>
      </c>
      <c r="R1337" s="633">
        <f>N1337</f>
        <v>45.670737600000002</v>
      </c>
      <c r="S1337" s="202" t="s">
        <v>139</v>
      </c>
      <c r="T1337" s="411" t="s">
        <v>140</v>
      </c>
      <c r="U1337" s="859"/>
      <c r="V1337" s="2164"/>
      <c r="W1337" s="982" t="s">
        <v>49</v>
      </c>
      <c r="X1337" s="291" t="s">
        <v>1104</v>
      </c>
      <c r="Y1337" s="526">
        <f>((64*$R$1334)+$N$1335+$R$1337+$R$1339+$T$1341)*(1+$T$1343)</f>
        <v>468.97480352869565</v>
      </c>
      <c r="Z1337" s="526">
        <f>Y1337-$Y$1334</f>
        <v>412.10280352869563</v>
      </c>
      <c r="AA1337" s="1080"/>
      <c r="AC1337" s="26"/>
      <c r="AD1337" s="24"/>
      <c r="AE1337" s="26"/>
      <c r="AF1337" s="75"/>
      <c r="AG1337" s="26"/>
      <c r="AH1337" s="957"/>
      <c r="AI1337" s="957"/>
      <c r="AJ1337" s="957"/>
      <c r="AK1337" s="957"/>
      <c r="AL1337" s="957"/>
      <c r="AM1337" s="957"/>
      <c r="AN1337" s="957"/>
      <c r="AO1337" s="957"/>
      <c r="AP1337" s="957"/>
      <c r="AQ1337" s="957"/>
      <c r="AR1337" s="957"/>
      <c r="AS1337" s="957"/>
      <c r="AT1337" s="957"/>
      <c r="AU1337" s="957"/>
      <c r="AV1337" s="957"/>
      <c r="AW1337" s="957"/>
      <c r="AX1337" s="957"/>
      <c r="AY1337" s="957"/>
      <c r="AZ1337" s="957"/>
      <c r="BA1337" s="957"/>
      <c r="BB1337" s="957"/>
      <c r="BC1337" s="957"/>
      <c r="BD1337" s="957"/>
      <c r="BE1337" s="957"/>
      <c r="BF1337" s="957"/>
      <c r="BG1337" s="957"/>
    </row>
    <row r="1338" spans="1:113">
      <c r="A1338" s="2172"/>
      <c r="B1338" s="2161"/>
      <c r="C1338" s="2144"/>
      <c r="D1338" s="86" t="s">
        <v>32</v>
      </c>
      <c r="E1338" s="88">
        <v>9</v>
      </c>
      <c r="F1338" s="440" t="s">
        <v>15</v>
      </c>
      <c r="G1338" s="440" t="s">
        <v>15</v>
      </c>
      <c r="H1338" s="513">
        <v>313.42219999999998</v>
      </c>
      <c r="I1338" s="570">
        <v>96.731089999999995</v>
      </c>
      <c r="J1338" s="234" t="s">
        <v>15</v>
      </c>
      <c r="K1338" s="233" t="s">
        <v>15</v>
      </c>
      <c r="L1338" s="2237"/>
      <c r="M1338" s="1187" t="s">
        <v>32</v>
      </c>
      <c r="N1338" s="1208">
        <v>0</v>
      </c>
      <c r="O1338" s="369" t="s">
        <v>574</v>
      </c>
      <c r="P1338" s="638" t="s">
        <v>574</v>
      </c>
      <c r="Q1338" s="632" t="s">
        <v>15</v>
      </c>
      <c r="R1338" s="795">
        <f>N1338</f>
        <v>0</v>
      </c>
      <c r="S1338" s="135" t="s">
        <v>74</v>
      </c>
      <c r="T1338" s="129" t="s">
        <v>75</v>
      </c>
      <c r="U1338" s="858"/>
      <c r="V1338" s="24"/>
      <c r="W1338" s="26"/>
      <c r="X1338" s="26"/>
      <c r="Y1338" s="26"/>
      <c r="Z1338" s="26"/>
      <c r="AA1338" s="837"/>
      <c r="AC1338" s="26"/>
      <c r="AD1338" s="24"/>
      <c r="AE1338" s="26"/>
      <c r="AF1338" s="75"/>
      <c r="AG1338" s="26"/>
      <c r="AH1338" s="957"/>
      <c r="AI1338" s="957"/>
      <c r="AJ1338" s="957"/>
      <c r="AK1338" s="957"/>
      <c r="AL1338" s="957"/>
      <c r="AM1338" s="957"/>
      <c r="AN1338" s="957"/>
      <c r="AO1338" s="957"/>
      <c r="AP1338" s="957"/>
      <c r="AQ1338" s="957"/>
      <c r="AR1338" s="957"/>
      <c r="AS1338" s="957"/>
      <c r="AT1338" s="957"/>
      <c r="AU1338" s="957"/>
      <c r="AV1338" s="957"/>
      <c r="AW1338" s="957"/>
      <c r="AX1338" s="957"/>
      <c r="AY1338" s="957"/>
      <c r="AZ1338" s="957"/>
      <c r="BA1338" s="957"/>
      <c r="BB1338" s="957"/>
      <c r="BC1338" s="957"/>
      <c r="BD1338" s="957"/>
      <c r="BE1338" s="957"/>
      <c r="BF1338" s="957"/>
      <c r="BG1338" s="957"/>
    </row>
    <row r="1339" spans="1:113">
      <c r="A1339" s="2172"/>
      <c r="B1339" s="2161" t="s">
        <v>153</v>
      </c>
      <c r="C1339" s="2144" t="s">
        <v>13</v>
      </c>
      <c r="D1339" s="86" t="s">
        <v>1074</v>
      </c>
      <c r="E1339" s="88">
        <v>1</v>
      </c>
      <c r="F1339" s="440" t="s">
        <v>15</v>
      </c>
      <c r="G1339" s="440" t="s">
        <v>15</v>
      </c>
      <c r="H1339" s="513">
        <v>399</v>
      </c>
      <c r="I1339" s="570" t="s">
        <v>574</v>
      </c>
      <c r="J1339" s="234" t="s">
        <v>15</v>
      </c>
      <c r="K1339" s="233" t="s">
        <v>15</v>
      </c>
      <c r="L1339" s="234" t="s">
        <v>15</v>
      </c>
      <c r="M1339" s="233" t="s">
        <v>15</v>
      </c>
      <c r="N1339" s="1208">
        <v>69.1814064</v>
      </c>
      <c r="O1339" s="369">
        <v>4.6500000000000004</v>
      </c>
      <c r="P1339" s="638">
        <v>14.86612942</v>
      </c>
      <c r="Q1339" s="625">
        <f>E1339/$E$1334</f>
        <v>4.3478260869565216E-2</v>
      </c>
      <c r="R1339" s="2165">
        <f>SUMPRODUCT(Q1339:Q1342,N1339:N1342)</f>
        <v>15.323007773913043</v>
      </c>
      <c r="S1339" s="624">
        <f>E1334</f>
        <v>23</v>
      </c>
      <c r="T1339" s="411" t="s">
        <v>140</v>
      </c>
      <c r="U1339" s="859"/>
      <c r="V1339" s="24"/>
      <c r="W1339" s="26"/>
      <c r="X1339" s="26"/>
      <c r="Y1339" s="26"/>
      <c r="Z1339" s="26"/>
      <c r="AA1339" s="909"/>
      <c r="AC1339" s="26"/>
      <c r="AD1339" s="24"/>
      <c r="AE1339" s="26"/>
      <c r="AF1339" s="75"/>
      <c r="AG1339" s="26"/>
      <c r="AH1339" s="957"/>
      <c r="AI1339" s="957"/>
      <c r="AJ1339" s="957"/>
      <c r="AK1339" s="957"/>
      <c r="AL1339" s="957"/>
      <c r="AM1339" s="957"/>
      <c r="AN1339" s="957"/>
      <c r="AO1339" s="957"/>
      <c r="AP1339" s="957"/>
      <c r="AQ1339" s="957"/>
      <c r="AR1339" s="957"/>
      <c r="AS1339" s="957"/>
      <c r="AT1339" s="957"/>
      <c r="AU1339" s="957"/>
      <c r="AV1339" s="957"/>
      <c r="AW1339" s="957"/>
      <c r="AX1339" s="957"/>
      <c r="AY1339" s="957"/>
      <c r="AZ1339" s="957"/>
      <c r="BA1339" s="957"/>
      <c r="BB1339" s="957"/>
      <c r="BC1339" s="957"/>
      <c r="BD1339" s="957"/>
      <c r="BE1339" s="957"/>
      <c r="BF1339" s="957"/>
      <c r="BG1339" s="957"/>
    </row>
    <row r="1340" spans="1:113">
      <c r="A1340" s="2172"/>
      <c r="B1340" s="2161"/>
      <c r="C1340" s="2144"/>
      <c r="D1340" s="86" t="s">
        <v>1075</v>
      </c>
      <c r="E1340" s="88">
        <v>15</v>
      </c>
      <c r="F1340" s="440" t="s">
        <v>15</v>
      </c>
      <c r="G1340" s="440" t="s">
        <v>15</v>
      </c>
      <c r="H1340" s="513">
        <v>285.5933</v>
      </c>
      <c r="I1340" s="570">
        <v>65.679940000000002</v>
      </c>
      <c r="J1340" s="234" t="s">
        <v>15</v>
      </c>
      <c r="K1340" s="233" t="s">
        <v>15</v>
      </c>
      <c r="L1340" s="234" t="s">
        <v>15</v>
      </c>
      <c r="M1340" s="233" t="s">
        <v>15</v>
      </c>
      <c r="N1340" s="1208">
        <v>0</v>
      </c>
      <c r="O1340" s="369" t="s">
        <v>574</v>
      </c>
      <c r="P1340" s="638" t="s">
        <v>574</v>
      </c>
      <c r="Q1340" s="625">
        <f>E1340/$E$1334</f>
        <v>0.65217391304347827</v>
      </c>
      <c r="R1340" s="2165"/>
      <c r="S1340" s="135" t="s">
        <v>41</v>
      </c>
      <c r="T1340" s="129" t="s">
        <v>42</v>
      </c>
      <c r="U1340" s="858"/>
      <c r="V1340" s="24"/>
      <c r="W1340" s="26"/>
      <c r="X1340" s="26"/>
      <c r="Y1340" s="26"/>
      <c r="Z1340" s="26"/>
      <c r="AA1340" s="909"/>
      <c r="AC1340" s="26"/>
      <c r="AD1340" s="24"/>
      <c r="AE1340" s="26"/>
      <c r="AF1340" s="75"/>
      <c r="AG1340" s="26"/>
      <c r="AH1340" s="957"/>
      <c r="AI1340" s="957"/>
      <c r="AJ1340" s="957"/>
      <c r="AK1340" s="957"/>
      <c r="AL1340" s="957"/>
      <c r="AM1340" s="957"/>
      <c r="AN1340" s="957"/>
      <c r="AO1340" s="957"/>
      <c r="AP1340" s="957"/>
      <c r="AQ1340" s="957"/>
      <c r="AR1340" s="957"/>
      <c r="AS1340" s="957"/>
      <c r="AT1340" s="957"/>
      <c r="AU1340" s="957"/>
      <c r="AV1340" s="957"/>
      <c r="AW1340" s="957"/>
      <c r="AX1340" s="957"/>
      <c r="AY1340" s="957"/>
      <c r="AZ1340" s="957"/>
      <c r="BA1340" s="957"/>
      <c r="BB1340" s="957"/>
      <c r="BC1340" s="957"/>
      <c r="BD1340" s="957"/>
      <c r="BE1340" s="957"/>
      <c r="BF1340" s="957"/>
      <c r="BG1340" s="957"/>
    </row>
    <row r="1341" spans="1:113">
      <c r="A1341" s="2172"/>
      <c r="B1341" s="2161"/>
      <c r="C1341" s="2144"/>
      <c r="D1341" s="86" t="s">
        <v>1076</v>
      </c>
      <c r="E1341" s="88">
        <v>4</v>
      </c>
      <c r="F1341" s="440" t="s">
        <v>15</v>
      </c>
      <c r="G1341" s="440" t="s">
        <v>15</v>
      </c>
      <c r="H1341" s="513">
        <v>358.5</v>
      </c>
      <c r="I1341" s="570">
        <v>60.052750000000003</v>
      </c>
      <c r="J1341" s="234" t="s">
        <v>15</v>
      </c>
      <c r="K1341" s="233" t="s">
        <v>15</v>
      </c>
      <c r="L1341" s="234" t="s">
        <v>15</v>
      </c>
      <c r="M1341" s="233" t="s">
        <v>15</v>
      </c>
      <c r="N1341" s="1208">
        <v>10.6758883</v>
      </c>
      <c r="O1341" s="369">
        <v>1.29</v>
      </c>
      <c r="P1341" s="638">
        <v>8.2917459099999995</v>
      </c>
      <c r="Q1341" s="625">
        <f>E1341/$E$1334</f>
        <v>0.17391304347826086</v>
      </c>
      <c r="R1341" s="2165"/>
      <c r="S1341" s="152">
        <v>0.97951900000000003</v>
      </c>
      <c r="T1341" s="157">
        <v>222.08760670000001</v>
      </c>
      <c r="U1341" s="861"/>
      <c r="V1341" s="24"/>
      <c r="W1341" s="26"/>
      <c r="X1341" s="26"/>
      <c r="Y1341" s="26"/>
      <c r="Z1341" s="26"/>
      <c r="AA1341" s="909"/>
      <c r="AC1341" s="26"/>
      <c r="AD1341" s="24"/>
      <c r="AE1341" s="26"/>
      <c r="AF1341" s="75"/>
      <c r="AG1341" s="26"/>
      <c r="AH1341" s="957"/>
      <c r="AI1341" s="957"/>
      <c r="AJ1341" s="957"/>
      <c r="AK1341" s="957"/>
      <c r="AL1341" s="957"/>
      <c r="AM1341" s="957"/>
      <c r="AN1341" s="957"/>
      <c r="AO1341" s="957"/>
      <c r="AP1341" s="957"/>
      <c r="AQ1341" s="957"/>
      <c r="AR1341" s="957"/>
      <c r="AS1341" s="957"/>
      <c r="AT1341" s="957"/>
      <c r="AU1341" s="957"/>
      <c r="AV1341" s="957"/>
      <c r="AW1341" s="957"/>
      <c r="AX1341" s="957"/>
      <c r="AY1341" s="957"/>
      <c r="AZ1341" s="957"/>
      <c r="BA1341" s="957"/>
      <c r="BB1341" s="957"/>
      <c r="BC1341" s="957"/>
      <c r="BD1341" s="957"/>
      <c r="BE1341" s="957"/>
      <c r="BF1341" s="957"/>
      <c r="BG1341" s="957"/>
    </row>
    <row r="1342" spans="1:113">
      <c r="A1342" s="2172"/>
      <c r="B1342" s="2161"/>
      <c r="C1342" s="2144"/>
      <c r="D1342" s="86" t="s">
        <v>1077</v>
      </c>
      <c r="E1342" s="88">
        <v>3</v>
      </c>
      <c r="F1342" s="440" t="s">
        <v>15</v>
      </c>
      <c r="G1342" s="440" t="s">
        <v>15</v>
      </c>
      <c r="H1342" s="513">
        <v>410</v>
      </c>
      <c r="I1342" s="570">
        <v>17.320509999999999</v>
      </c>
      <c r="J1342" s="234" t="s">
        <v>15</v>
      </c>
      <c r="K1342" s="233" t="s">
        <v>15</v>
      </c>
      <c r="L1342" s="234" t="s">
        <v>15</v>
      </c>
      <c r="M1342" s="233" t="s">
        <v>15</v>
      </c>
      <c r="N1342" s="1208">
        <v>80.1814064</v>
      </c>
      <c r="O1342" s="369">
        <v>7.53</v>
      </c>
      <c r="P1342" s="638">
        <v>10.65122757</v>
      </c>
      <c r="Q1342" s="625">
        <f>E1342/$E$1334</f>
        <v>0.13043478260869565</v>
      </c>
      <c r="R1342" s="2165"/>
      <c r="S1342" s="156" t="s">
        <v>235</v>
      </c>
      <c r="T1342" s="119" t="s">
        <v>391</v>
      </c>
      <c r="U1342" s="855"/>
      <c r="V1342" s="24"/>
      <c r="W1342" s="26"/>
      <c r="X1342" s="26"/>
      <c r="Y1342" s="26"/>
      <c r="Z1342" s="26"/>
      <c r="AA1342" s="909"/>
      <c r="AC1342" s="26"/>
      <c r="AD1342" s="24"/>
      <c r="AE1342" s="26"/>
      <c r="AF1342" s="75"/>
      <c r="AG1342" s="26"/>
      <c r="AH1342" s="957"/>
      <c r="AI1342" s="957"/>
      <c r="AJ1342" s="957"/>
      <c r="AK1342" s="957"/>
      <c r="AL1342" s="957"/>
      <c r="AM1342" s="957"/>
      <c r="AN1342" s="957"/>
      <c r="AO1342" s="957"/>
      <c r="AP1342" s="957"/>
      <c r="AQ1342" s="957"/>
      <c r="AR1342" s="957"/>
      <c r="AS1342" s="957"/>
      <c r="AT1342" s="957"/>
      <c r="AU1342" s="957"/>
      <c r="AV1342" s="957"/>
      <c r="AW1342" s="957"/>
      <c r="AX1342" s="957"/>
      <c r="AY1342" s="957"/>
      <c r="AZ1342" s="957"/>
      <c r="BA1342" s="957"/>
      <c r="BB1342" s="957"/>
      <c r="BC1342" s="957"/>
      <c r="BD1342" s="957"/>
      <c r="BE1342" s="957"/>
      <c r="BF1342" s="957"/>
      <c r="BG1342" s="957"/>
    </row>
    <row r="1343" spans="1:113" ht="15.75" thickBot="1">
      <c r="A1343" s="2172"/>
      <c r="B1343" s="1049" t="s">
        <v>1080</v>
      </c>
      <c r="C1343" s="41"/>
      <c r="D1343" s="26"/>
      <c r="E1343" s="26"/>
      <c r="F1343" s="26"/>
      <c r="G1343" s="26"/>
      <c r="H1343" s="26"/>
      <c r="I1343" s="26"/>
      <c r="J1343" s="75"/>
      <c r="K1343" s="26"/>
      <c r="L1343" s="75"/>
      <c r="M1343" s="26"/>
      <c r="N1343" s="1210"/>
      <c r="O1343" s="475"/>
      <c r="P1343" s="475"/>
      <c r="Q1343" s="252"/>
      <c r="R1343" s="252"/>
      <c r="S1343" s="641">
        <v>8.7650000000000006</v>
      </c>
      <c r="T1343" s="800">
        <v>0.2</v>
      </c>
      <c r="U1343" s="862"/>
      <c r="V1343" s="24"/>
      <c r="W1343" s="26"/>
      <c r="X1343" s="26"/>
      <c r="Y1343" s="26"/>
      <c r="Z1343" s="26"/>
      <c r="AA1343" s="916"/>
      <c r="AC1343" s="26"/>
      <c r="AD1343" s="24"/>
      <c r="AE1343" s="26"/>
      <c r="AF1343" s="75"/>
      <c r="AG1343" s="26"/>
      <c r="AH1343" s="957"/>
      <c r="AI1343" s="957"/>
      <c r="AJ1343" s="957"/>
      <c r="AK1343" s="957"/>
      <c r="AL1343" s="957"/>
      <c r="AM1343" s="957"/>
      <c r="AN1343" s="957"/>
      <c r="AO1343" s="957"/>
      <c r="AP1343" s="957"/>
      <c r="AQ1343" s="957"/>
      <c r="AR1343" s="957"/>
      <c r="AS1343" s="957"/>
      <c r="AT1343" s="957"/>
      <c r="AU1343" s="957"/>
      <c r="AV1343" s="957"/>
      <c r="AW1343" s="957"/>
      <c r="AX1343" s="957"/>
      <c r="AY1343" s="957"/>
      <c r="AZ1343" s="957"/>
      <c r="BA1343" s="957"/>
      <c r="BB1343" s="957"/>
      <c r="BC1343" s="957"/>
      <c r="BD1343" s="957"/>
      <c r="BE1343" s="957"/>
      <c r="BF1343" s="957"/>
      <c r="BG1343" s="957"/>
    </row>
    <row r="1344" spans="1:113" s="808" customFormat="1" ht="9" customHeight="1" thickBot="1">
      <c r="A1344" s="716"/>
      <c r="B1344" s="815"/>
      <c r="C1344" s="684"/>
      <c r="D1344" s="683"/>
      <c r="E1344" s="707"/>
      <c r="F1344" s="707"/>
      <c r="G1344" s="707"/>
      <c r="H1344" s="709"/>
      <c r="I1344" s="709"/>
      <c r="J1344" s="682"/>
      <c r="K1344" s="683"/>
      <c r="L1344" s="682"/>
      <c r="M1344" s="685"/>
      <c r="N1344" s="1189"/>
      <c r="O1344" s="686"/>
      <c r="P1344" s="686"/>
      <c r="Q1344" s="687"/>
      <c r="R1344" s="687"/>
      <c r="S1344" s="688"/>
      <c r="T1344" s="688"/>
      <c r="U1344" s="891"/>
      <c r="V1344" s="893"/>
      <c r="W1344" s="685"/>
      <c r="X1344" s="685"/>
      <c r="Y1344" s="710"/>
      <c r="Z1344" s="710"/>
      <c r="AA1344" s="710"/>
      <c r="AB1344" s="930"/>
      <c r="AC1344" s="690"/>
      <c r="AD1344" s="690"/>
      <c r="AE1344" s="690"/>
      <c r="AF1344" s="711"/>
      <c r="AG1344" s="690"/>
      <c r="AH1344" s="959"/>
      <c r="AI1344" s="959"/>
      <c r="AJ1344" s="959"/>
      <c r="AK1344" s="959"/>
      <c r="AL1344" s="959"/>
      <c r="AM1344" s="959"/>
      <c r="AN1344" s="959"/>
      <c r="AO1344" s="959"/>
      <c r="AP1344" s="959"/>
      <c r="AQ1344" s="959"/>
      <c r="AR1344" s="959"/>
      <c r="AS1344" s="959"/>
      <c r="AT1344" s="959"/>
      <c r="AU1344" s="959"/>
      <c r="AV1344" s="959"/>
      <c r="AW1344" s="959"/>
      <c r="AX1344" s="959"/>
      <c r="AY1344" s="959"/>
      <c r="AZ1344" s="959"/>
      <c r="BA1344" s="959"/>
      <c r="BB1344" s="959"/>
      <c r="BC1344" s="959"/>
      <c r="BD1344" s="959"/>
      <c r="BE1344" s="959"/>
      <c r="BF1344" s="959"/>
      <c r="BG1344" s="959"/>
      <c r="BH1344" s="1126"/>
      <c r="DI1344" s="740"/>
    </row>
    <row r="1345" spans="1:59">
      <c r="A1345" s="2119" t="s">
        <v>1366</v>
      </c>
      <c r="B1345" s="816" t="s">
        <v>2081</v>
      </c>
      <c r="C1345" s="1310" t="s">
        <v>12</v>
      </c>
      <c r="D1345" s="1353" t="s">
        <v>2095</v>
      </c>
      <c r="E1345" s="1355">
        <v>58</v>
      </c>
      <c r="F1345" s="1351">
        <v>19.03</v>
      </c>
      <c r="G1345" s="1351">
        <v>3.11</v>
      </c>
      <c r="H1345" s="1350">
        <v>215.85</v>
      </c>
      <c r="I1345" s="1354">
        <v>47.1</v>
      </c>
      <c r="J1345" s="234" t="s">
        <v>15</v>
      </c>
      <c r="K1345" s="233" t="s">
        <v>15</v>
      </c>
      <c r="L1345" s="234" t="s">
        <v>15</v>
      </c>
      <c r="M1345" s="233" t="s">
        <v>15</v>
      </c>
      <c r="N1345" s="1349">
        <v>7.1</v>
      </c>
      <c r="O1345" s="1352">
        <v>4.95</v>
      </c>
      <c r="P1345" s="1352">
        <v>1.43</v>
      </c>
      <c r="Q1345" s="806" t="s">
        <v>15</v>
      </c>
      <c r="R1345" s="283">
        <f>N1345</f>
        <v>7.1</v>
      </c>
      <c r="S1345" s="428" t="s">
        <v>68</v>
      </c>
      <c r="T1345" s="125" t="s">
        <v>69</v>
      </c>
      <c r="U1345" s="862"/>
      <c r="V1345" s="403" t="s">
        <v>2086</v>
      </c>
      <c r="W1345" s="26"/>
      <c r="X1345" s="26"/>
      <c r="Y1345" s="26"/>
      <c r="Z1345" s="26"/>
      <c r="AA1345" s="26"/>
      <c r="AC1345" s="26"/>
      <c r="AD1345" s="26"/>
      <c r="AE1345" s="26"/>
      <c r="AF1345" s="75"/>
      <c r="AG1345" s="26"/>
      <c r="AH1345" s="957"/>
      <c r="AI1345" s="957"/>
      <c r="AJ1345" s="957"/>
      <c r="AK1345" s="957"/>
      <c r="AL1345" s="957"/>
      <c r="AM1345" s="957"/>
      <c r="AN1345" s="957"/>
      <c r="AO1345" s="957"/>
      <c r="AP1345" s="957"/>
      <c r="AQ1345" s="957"/>
      <c r="AR1345" s="957"/>
      <c r="AS1345" s="957"/>
      <c r="AT1345" s="957"/>
      <c r="AU1345" s="957"/>
      <c r="AV1345" s="957"/>
      <c r="AW1345" s="957"/>
      <c r="AX1345" s="957"/>
      <c r="AY1345" s="957"/>
      <c r="AZ1345" s="957"/>
      <c r="BA1345" s="957"/>
      <c r="BB1345" s="957"/>
      <c r="BC1345" s="957"/>
      <c r="BD1345" s="957"/>
      <c r="BE1345" s="957"/>
      <c r="BF1345" s="957"/>
      <c r="BG1345" s="957"/>
    </row>
    <row r="1346" spans="1:59">
      <c r="A1346" s="2120"/>
      <c r="B1346" s="816" t="s">
        <v>533</v>
      </c>
      <c r="C1346" s="1310" t="s">
        <v>12</v>
      </c>
      <c r="D1346" s="1353" t="s">
        <v>2096</v>
      </c>
      <c r="E1346" s="1355">
        <v>58</v>
      </c>
      <c r="F1346" s="1351">
        <v>358.36</v>
      </c>
      <c r="G1346" s="1351">
        <v>173.9</v>
      </c>
      <c r="H1346" s="767">
        <v>215.85</v>
      </c>
      <c r="I1346" s="768">
        <v>47.1</v>
      </c>
      <c r="J1346" s="234" t="s">
        <v>15</v>
      </c>
      <c r="K1346" s="233" t="s">
        <v>15</v>
      </c>
      <c r="L1346" s="234" t="s">
        <v>15</v>
      </c>
      <c r="M1346" s="233" t="s">
        <v>15</v>
      </c>
      <c r="N1346" s="1308">
        <v>0.06</v>
      </c>
      <c r="O1346" s="1300">
        <v>2.54</v>
      </c>
      <c r="P1346" s="1300">
        <v>0.02</v>
      </c>
      <c r="Q1346" s="806" t="s">
        <v>15</v>
      </c>
      <c r="R1346" s="1348">
        <f>N1346</f>
        <v>0.06</v>
      </c>
      <c r="S1346" s="1314" t="s">
        <v>1187</v>
      </c>
      <c r="T1346" s="351" t="s">
        <v>310</v>
      </c>
      <c r="U1346" s="862"/>
      <c r="V1346" s="24"/>
      <c r="W1346" s="26"/>
      <c r="X1346" s="26"/>
      <c r="Y1346" s="26"/>
      <c r="Z1346" s="26"/>
      <c r="AA1346" s="26"/>
      <c r="AC1346" s="26"/>
      <c r="AD1346" s="26"/>
      <c r="AE1346" s="26"/>
      <c r="AF1346" s="75"/>
      <c r="AG1346" s="26"/>
      <c r="AH1346" s="957"/>
      <c r="AI1346" s="957"/>
      <c r="AJ1346" s="957"/>
      <c r="AK1346" s="957"/>
      <c r="AL1346" s="957"/>
      <c r="AM1346" s="957"/>
      <c r="AN1346" s="957"/>
      <c r="AO1346" s="957"/>
      <c r="AP1346" s="957"/>
      <c r="AQ1346" s="957"/>
      <c r="AR1346" s="957"/>
      <c r="AS1346" s="957"/>
      <c r="AT1346" s="957"/>
      <c r="AU1346" s="957"/>
      <c r="AV1346" s="957"/>
      <c r="AW1346" s="957"/>
      <c r="AX1346" s="957"/>
      <c r="AY1346" s="957"/>
      <c r="AZ1346" s="957"/>
      <c r="BA1346" s="957"/>
      <c r="BB1346" s="957"/>
      <c r="BC1346" s="957"/>
      <c r="BD1346" s="957"/>
      <c r="BE1346" s="957"/>
      <c r="BF1346" s="957"/>
      <c r="BG1346" s="957"/>
    </row>
    <row r="1347" spans="1:59">
      <c r="A1347" s="2120"/>
      <c r="B1347" s="2161" t="s">
        <v>2083</v>
      </c>
      <c r="C1347" s="2144" t="s">
        <v>11</v>
      </c>
      <c r="D1347" s="86" t="s">
        <v>33</v>
      </c>
      <c r="E1347" s="1355">
        <v>31</v>
      </c>
      <c r="F1347" s="440"/>
      <c r="G1347" s="440"/>
      <c r="H1347" s="767">
        <v>200.91</v>
      </c>
      <c r="I1347" s="768">
        <v>34.76</v>
      </c>
      <c r="J1347" s="234" t="s">
        <v>15</v>
      </c>
      <c r="K1347" s="233" t="s">
        <v>15</v>
      </c>
      <c r="L1347" s="234" t="s">
        <v>15</v>
      </c>
      <c r="M1347" s="233" t="s">
        <v>15</v>
      </c>
      <c r="N1347" s="2375">
        <v>-65.13</v>
      </c>
      <c r="O1347" s="2375">
        <v>7.81</v>
      </c>
      <c r="P1347" s="2375">
        <v>8.34</v>
      </c>
      <c r="Q1347" s="1348">
        <f t="shared" ref="Q1347:Q1354" si="76">E1347/58</f>
        <v>0.53448275862068961</v>
      </c>
      <c r="R1347" s="2129">
        <f>SUMPRODUCT(Q1347:Q1348,N1347:N1348)</f>
        <v>-34.810862068965513</v>
      </c>
      <c r="S1347" s="135" t="s">
        <v>72</v>
      </c>
      <c r="T1347" s="119" t="s">
        <v>119</v>
      </c>
      <c r="U1347" s="862"/>
      <c r="V1347" s="24"/>
      <c r="W1347" s="26"/>
      <c r="X1347" s="26"/>
      <c r="Y1347" s="26"/>
      <c r="Z1347" s="26"/>
      <c r="AA1347" s="26"/>
      <c r="AC1347" s="26"/>
      <c r="AD1347" s="26"/>
      <c r="AE1347" s="26"/>
      <c r="AF1347" s="75"/>
      <c r="AG1347" s="26"/>
      <c r="AH1347" s="957"/>
      <c r="AI1347" s="957"/>
      <c r="AJ1347" s="957"/>
      <c r="AK1347" s="957"/>
      <c r="AL1347" s="957"/>
      <c r="AM1347" s="957"/>
      <c r="AN1347" s="957"/>
      <c r="AO1347" s="957"/>
      <c r="AP1347" s="957"/>
      <c r="AQ1347" s="957"/>
      <c r="AR1347" s="957"/>
      <c r="AS1347" s="957"/>
      <c r="AT1347" s="957"/>
      <c r="AU1347" s="957"/>
      <c r="AV1347" s="957"/>
      <c r="AW1347" s="957"/>
      <c r="AX1347" s="957"/>
      <c r="AY1347" s="957"/>
      <c r="AZ1347" s="957"/>
      <c r="BA1347" s="957"/>
      <c r="BB1347" s="957"/>
      <c r="BC1347" s="957"/>
      <c r="BD1347" s="957"/>
      <c r="BE1347" s="957"/>
      <c r="BF1347" s="957"/>
      <c r="BG1347" s="957"/>
    </row>
    <row r="1348" spans="1:59">
      <c r="A1348" s="2120"/>
      <c r="B1348" s="2161"/>
      <c r="C1348" s="2144"/>
      <c r="D1348" s="86" t="s">
        <v>32</v>
      </c>
      <c r="E1348" s="1355">
        <v>27</v>
      </c>
      <c r="F1348" s="440"/>
      <c r="G1348" s="440"/>
      <c r="H1348" s="767">
        <v>233</v>
      </c>
      <c r="I1348" s="768">
        <v>53.83</v>
      </c>
      <c r="J1348" s="234" t="s">
        <v>15</v>
      </c>
      <c r="K1348" s="233" t="s">
        <v>15</v>
      </c>
      <c r="L1348" s="234" t="s">
        <v>15</v>
      </c>
      <c r="M1348" s="233" t="s">
        <v>15</v>
      </c>
      <c r="N1348" s="2376"/>
      <c r="O1348" s="2376"/>
      <c r="P1348" s="2376"/>
      <c r="Q1348" s="1348">
        <f t="shared" si="76"/>
        <v>0.46551724137931033</v>
      </c>
      <c r="R1348" s="2139"/>
      <c r="S1348" s="202" t="s">
        <v>139</v>
      </c>
      <c r="T1348" s="411" t="s">
        <v>140</v>
      </c>
      <c r="U1348" s="862"/>
      <c r="V1348" s="24"/>
      <c r="W1348" s="26"/>
      <c r="X1348" s="26"/>
      <c r="Y1348" s="26"/>
      <c r="Z1348" s="26"/>
      <c r="AA1348" s="26"/>
      <c r="AC1348" s="26"/>
      <c r="AD1348" s="26"/>
      <c r="AE1348" s="26"/>
      <c r="AF1348" s="75"/>
      <c r="AG1348" s="26"/>
      <c r="AH1348" s="957"/>
      <c r="AI1348" s="957"/>
      <c r="AJ1348" s="957"/>
      <c r="AK1348" s="957"/>
      <c r="AL1348" s="957"/>
      <c r="AM1348" s="957"/>
      <c r="AN1348" s="957"/>
      <c r="AO1348" s="957"/>
      <c r="AP1348" s="957"/>
      <c r="AQ1348" s="957"/>
      <c r="AR1348" s="957"/>
      <c r="AS1348" s="957"/>
      <c r="AT1348" s="957"/>
      <c r="AU1348" s="957"/>
      <c r="AV1348" s="957"/>
      <c r="AW1348" s="957"/>
      <c r="AX1348" s="957"/>
      <c r="AY1348" s="957"/>
      <c r="AZ1348" s="957"/>
      <c r="BA1348" s="957"/>
      <c r="BB1348" s="957"/>
      <c r="BC1348" s="957"/>
      <c r="BD1348" s="957"/>
      <c r="BE1348" s="957"/>
      <c r="BF1348" s="957"/>
      <c r="BG1348" s="957"/>
    </row>
    <row r="1349" spans="1:59">
      <c r="A1349" s="2120"/>
      <c r="B1349" s="2161" t="s">
        <v>2082</v>
      </c>
      <c r="C1349" s="2144" t="s">
        <v>11</v>
      </c>
      <c r="D1349" s="86" t="s">
        <v>33</v>
      </c>
      <c r="E1349" s="1355">
        <v>4</v>
      </c>
      <c r="F1349" s="440"/>
      <c r="G1349" s="440"/>
      <c r="H1349" s="767">
        <v>156.25</v>
      </c>
      <c r="I1349" s="768">
        <v>11.94</v>
      </c>
      <c r="J1349" s="234" t="s">
        <v>15</v>
      </c>
      <c r="K1349" s="233" t="s">
        <v>15</v>
      </c>
      <c r="L1349" s="234" t="s">
        <v>15</v>
      </c>
      <c r="M1349" s="233" t="s">
        <v>15</v>
      </c>
      <c r="N1349" s="2375">
        <v>-65.42</v>
      </c>
      <c r="O1349" s="2375">
        <v>4.12</v>
      </c>
      <c r="P1349" s="2375">
        <v>15.88</v>
      </c>
      <c r="Q1349" s="1348">
        <f t="shared" si="76"/>
        <v>6.8965517241379309E-2</v>
      </c>
      <c r="R1349" s="2129">
        <f>SUMPRODUCT(Q1349:Q1350,N1349:N1350)</f>
        <v>-4.5117241379310347</v>
      </c>
      <c r="S1349" s="135" t="s">
        <v>74</v>
      </c>
      <c r="T1349" s="129" t="s">
        <v>75</v>
      </c>
      <c r="U1349" s="862"/>
      <c r="V1349" s="24"/>
      <c r="W1349" s="26"/>
      <c r="X1349" s="26"/>
      <c r="Y1349" s="26"/>
      <c r="Z1349" s="26"/>
      <c r="AA1349" s="26"/>
      <c r="AC1349" s="26"/>
      <c r="AD1349" s="26"/>
      <c r="AE1349" s="26"/>
      <c r="AF1349" s="75"/>
      <c r="AG1349" s="26"/>
      <c r="AH1349" s="957"/>
      <c r="AI1349" s="957"/>
      <c r="AJ1349" s="957"/>
      <c r="AK1349" s="957"/>
      <c r="AL1349" s="957"/>
      <c r="AM1349" s="957"/>
      <c r="AN1349" s="957"/>
      <c r="AO1349" s="957"/>
      <c r="AP1349" s="957"/>
      <c r="AQ1349" s="957"/>
      <c r="AR1349" s="957"/>
      <c r="AS1349" s="957"/>
      <c r="AT1349" s="957"/>
      <c r="AU1349" s="957"/>
      <c r="AV1349" s="957"/>
      <c r="AW1349" s="957"/>
      <c r="AX1349" s="957"/>
      <c r="AY1349" s="957"/>
      <c r="AZ1349" s="957"/>
      <c r="BA1349" s="957"/>
      <c r="BB1349" s="957"/>
      <c r="BC1349" s="957"/>
      <c r="BD1349" s="957"/>
      <c r="BE1349" s="957"/>
      <c r="BF1349" s="957"/>
      <c r="BG1349" s="957"/>
    </row>
    <row r="1350" spans="1:59">
      <c r="A1350" s="2120"/>
      <c r="B1350" s="2161"/>
      <c r="C1350" s="2144"/>
      <c r="D1350" s="86" t="s">
        <v>32</v>
      </c>
      <c r="E1350" s="1355">
        <v>54</v>
      </c>
      <c r="F1350" s="440"/>
      <c r="G1350" s="440"/>
      <c r="H1350" s="767">
        <v>220.26</v>
      </c>
      <c r="I1350" s="768">
        <v>45.71</v>
      </c>
      <c r="J1350" s="234" t="s">
        <v>15</v>
      </c>
      <c r="K1350" s="233" t="s">
        <v>15</v>
      </c>
      <c r="L1350" s="234" t="s">
        <v>15</v>
      </c>
      <c r="M1350" s="233" t="s">
        <v>15</v>
      </c>
      <c r="N1350" s="2376"/>
      <c r="O1350" s="2376"/>
      <c r="P1350" s="2376"/>
      <c r="Q1350" s="1348">
        <f t="shared" si="76"/>
        <v>0.93103448275862066</v>
      </c>
      <c r="R1350" s="2139"/>
      <c r="S1350" s="624">
        <v>58</v>
      </c>
      <c r="T1350" s="411"/>
      <c r="U1350" s="862"/>
      <c r="V1350" s="24"/>
      <c r="W1350" s="26"/>
      <c r="X1350" s="26"/>
      <c r="Y1350" s="26"/>
      <c r="Z1350" s="26"/>
      <c r="AA1350" s="26"/>
      <c r="AC1350" s="26"/>
      <c r="AD1350" s="26"/>
      <c r="AE1350" s="26"/>
      <c r="AF1350" s="75"/>
      <c r="AG1350" s="26"/>
      <c r="AH1350" s="957"/>
      <c r="AI1350" s="957"/>
      <c r="AJ1350" s="957"/>
      <c r="AK1350" s="957"/>
      <c r="AL1350" s="957"/>
      <c r="AM1350" s="957"/>
      <c r="AN1350" s="957"/>
      <c r="AO1350" s="957"/>
      <c r="AP1350" s="957"/>
      <c r="AQ1350" s="957"/>
      <c r="AR1350" s="957"/>
      <c r="AS1350" s="957"/>
      <c r="AT1350" s="957"/>
      <c r="AU1350" s="957"/>
      <c r="AV1350" s="957"/>
      <c r="AW1350" s="957"/>
      <c r="AX1350" s="957"/>
      <c r="AY1350" s="957"/>
      <c r="AZ1350" s="957"/>
      <c r="BA1350" s="957"/>
      <c r="BB1350" s="957"/>
      <c r="BC1350" s="957"/>
      <c r="BD1350" s="957"/>
      <c r="BE1350" s="957"/>
      <c r="BF1350" s="957"/>
      <c r="BG1350" s="957"/>
    </row>
    <row r="1351" spans="1:59">
      <c r="A1351" s="2120"/>
      <c r="B1351" s="2161" t="s">
        <v>2084</v>
      </c>
      <c r="C1351" s="2144" t="s">
        <v>11</v>
      </c>
      <c r="D1351" s="86" t="s">
        <v>33</v>
      </c>
      <c r="E1351" s="1355">
        <v>26</v>
      </c>
      <c r="F1351" s="440"/>
      <c r="G1351" s="440"/>
      <c r="H1351" s="767">
        <v>220.97</v>
      </c>
      <c r="I1351" s="768">
        <v>37.22</v>
      </c>
      <c r="J1351" s="234" t="s">
        <v>15</v>
      </c>
      <c r="K1351" s="233" t="s">
        <v>15</v>
      </c>
      <c r="L1351" s="234" t="s">
        <v>15</v>
      </c>
      <c r="M1351" s="233" t="s">
        <v>15</v>
      </c>
      <c r="N1351" s="2375">
        <v>16.66</v>
      </c>
      <c r="O1351" s="2375">
        <v>2.0099999999999998</v>
      </c>
      <c r="P1351" s="2375">
        <v>8.2799999999999994</v>
      </c>
      <c r="Q1351" s="1348">
        <f t="shared" si="76"/>
        <v>0.44827586206896552</v>
      </c>
      <c r="R1351" s="2129">
        <f>SUMPRODUCT(Q1351:Q1352,N1351:N1352)</f>
        <v>7.4682758620689658</v>
      </c>
      <c r="S1351" s="135" t="s">
        <v>41</v>
      </c>
      <c r="T1351" s="129" t="s">
        <v>42</v>
      </c>
      <c r="U1351" s="862"/>
      <c r="V1351" s="24"/>
      <c r="W1351" s="26"/>
      <c r="X1351" s="26"/>
      <c r="Y1351" s="26"/>
      <c r="Z1351" s="26"/>
      <c r="AA1351" s="26"/>
      <c r="AC1351" s="26"/>
      <c r="AD1351" s="26"/>
      <c r="AE1351" s="26"/>
      <c r="AF1351" s="75"/>
      <c r="AG1351" s="26"/>
      <c r="AH1351" s="957"/>
      <c r="AI1351" s="957"/>
      <c r="AJ1351" s="957"/>
      <c r="AK1351" s="957"/>
      <c r="AL1351" s="957"/>
      <c r="AM1351" s="957"/>
      <c r="AN1351" s="957"/>
      <c r="AO1351" s="957"/>
      <c r="AP1351" s="957"/>
      <c r="AQ1351" s="957"/>
      <c r="AR1351" s="957"/>
      <c r="AS1351" s="957"/>
      <c r="AT1351" s="957"/>
      <c r="AU1351" s="957"/>
      <c r="AV1351" s="957"/>
      <c r="AW1351" s="957"/>
      <c r="AX1351" s="957"/>
      <c r="AY1351" s="957"/>
      <c r="AZ1351" s="957"/>
      <c r="BA1351" s="957"/>
      <c r="BB1351" s="957"/>
      <c r="BC1351" s="957"/>
      <c r="BD1351" s="957"/>
      <c r="BE1351" s="957"/>
      <c r="BF1351" s="957"/>
      <c r="BG1351" s="957"/>
    </row>
    <row r="1352" spans="1:59">
      <c r="A1352" s="2120"/>
      <c r="B1352" s="2161"/>
      <c r="C1352" s="2144"/>
      <c r="D1352" s="86" t="s">
        <v>32</v>
      </c>
      <c r="E1352" s="1355">
        <v>32</v>
      </c>
      <c r="F1352" s="440"/>
      <c r="G1352" s="440"/>
      <c r="H1352" s="767">
        <v>211.68</v>
      </c>
      <c r="I1352" s="768">
        <v>54.05</v>
      </c>
      <c r="J1352" s="234" t="s">
        <v>15</v>
      </c>
      <c r="K1352" s="233" t="s">
        <v>15</v>
      </c>
      <c r="L1352" s="234" t="s">
        <v>15</v>
      </c>
      <c r="M1352" s="233" t="s">
        <v>15</v>
      </c>
      <c r="N1352" s="2376"/>
      <c r="O1352" s="2376"/>
      <c r="P1352" s="2376"/>
      <c r="Q1352" s="1348">
        <f t="shared" si="76"/>
        <v>0.55172413793103448</v>
      </c>
      <c r="R1352" s="2139"/>
      <c r="S1352" s="152">
        <v>0.68100000000000005</v>
      </c>
      <c r="T1352" s="157">
        <v>86</v>
      </c>
      <c r="U1352" s="862"/>
      <c r="V1352" s="24"/>
      <c r="W1352" s="26"/>
      <c r="X1352" s="26"/>
      <c r="Y1352" s="26"/>
      <c r="Z1352" s="26"/>
      <c r="AA1352" s="26"/>
      <c r="AC1352" s="26"/>
      <c r="AD1352" s="26"/>
      <c r="AE1352" s="26"/>
      <c r="AF1352" s="75"/>
      <c r="AG1352" s="26"/>
      <c r="AH1352" s="957"/>
      <c r="AI1352" s="957"/>
      <c r="AJ1352" s="957"/>
      <c r="AK1352" s="957"/>
      <c r="AL1352" s="957"/>
      <c r="AM1352" s="957"/>
      <c r="AN1352" s="957"/>
      <c r="AO1352" s="957"/>
      <c r="AP1352" s="957"/>
      <c r="AQ1352" s="957"/>
      <c r="AR1352" s="957"/>
      <c r="AS1352" s="957"/>
      <c r="AT1352" s="957"/>
      <c r="AU1352" s="957"/>
      <c r="AV1352" s="957"/>
      <c r="AW1352" s="957"/>
      <c r="AX1352" s="957"/>
      <c r="AY1352" s="957"/>
      <c r="AZ1352" s="957"/>
      <c r="BA1352" s="957"/>
      <c r="BB1352" s="957"/>
      <c r="BC1352" s="957"/>
      <c r="BD1352" s="957"/>
      <c r="BE1352" s="957"/>
      <c r="BF1352" s="957"/>
      <c r="BG1352" s="957"/>
    </row>
    <row r="1353" spans="1:59">
      <c r="A1353" s="2120"/>
      <c r="B1353" s="2161" t="s">
        <v>2085</v>
      </c>
      <c r="C1353" s="2144" t="s">
        <v>11</v>
      </c>
      <c r="D1353" s="86" t="s">
        <v>33</v>
      </c>
      <c r="E1353" s="1355">
        <v>5</v>
      </c>
      <c r="F1353" s="440"/>
      <c r="G1353" s="440"/>
      <c r="H1353" s="767">
        <v>242.38</v>
      </c>
      <c r="I1353" s="768">
        <v>52.25</v>
      </c>
      <c r="J1353" s="234" t="s">
        <v>15</v>
      </c>
      <c r="K1353" s="233" t="s">
        <v>15</v>
      </c>
      <c r="L1353" s="234" t="s">
        <v>15</v>
      </c>
      <c r="M1353" s="233" t="s">
        <v>15</v>
      </c>
      <c r="N1353" s="2375">
        <v>54.86</v>
      </c>
      <c r="O1353" s="2375">
        <v>3.84</v>
      </c>
      <c r="P1353" s="2375">
        <v>14.29</v>
      </c>
      <c r="Q1353" s="1348">
        <f t="shared" si="76"/>
        <v>8.6206896551724144E-2</v>
      </c>
      <c r="R1353" s="2129">
        <f>SUMPRODUCT(Q1353:Q1354,N1353:N1354)</f>
        <v>4.7293103448275868</v>
      </c>
      <c r="S1353" s="156" t="s">
        <v>235</v>
      </c>
      <c r="T1353" s="119" t="s">
        <v>391</v>
      </c>
      <c r="U1353" s="862"/>
      <c r="V1353" s="24"/>
      <c r="W1353" s="26"/>
      <c r="X1353" s="26"/>
      <c r="Y1353" s="26"/>
      <c r="Z1353" s="26"/>
      <c r="AA1353" s="26"/>
      <c r="AC1353" s="26"/>
      <c r="AD1353" s="26"/>
      <c r="AE1353" s="26"/>
      <c r="AF1353" s="75"/>
      <c r="AG1353" s="26"/>
      <c r="AH1353" s="957"/>
      <c r="AI1353" s="957"/>
      <c r="AJ1353" s="957"/>
      <c r="AK1353" s="957"/>
      <c r="AL1353" s="957"/>
      <c r="AM1353" s="957"/>
      <c r="AN1353" s="957"/>
      <c r="AO1353" s="957"/>
      <c r="AP1353" s="957"/>
      <c r="AQ1353" s="957"/>
      <c r="AR1353" s="957"/>
      <c r="AS1353" s="957"/>
      <c r="AT1353" s="957"/>
      <c r="AU1353" s="957"/>
      <c r="AV1353" s="957"/>
      <c r="AW1353" s="957"/>
      <c r="AX1353" s="957"/>
      <c r="AY1353" s="957"/>
      <c r="AZ1353" s="957"/>
      <c r="BA1353" s="957"/>
      <c r="BB1353" s="957"/>
      <c r="BC1353" s="957"/>
      <c r="BD1353" s="957"/>
      <c r="BE1353" s="957"/>
      <c r="BF1353" s="957"/>
      <c r="BG1353" s="957"/>
    </row>
    <row r="1354" spans="1:59" ht="15.75" thickBot="1">
      <c r="A1354" s="2120"/>
      <c r="B1354" s="2161"/>
      <c r="C1354" s="2144"/>
      <c r="D1354" s="86" t="s">
        <v>32</v>
      </c>
      <c r="E1354" s="1355">
        <v>53</v>
      </c>
      <c r="F1354" s="440"/>
      <c r="G1354" s="440"/>
      <c r="H1354" s="767">
        <v>213.35</v>
      </c>
      <c r="I1354" s="768">
        <v>46.34</v>
      </c>
      <c r="J1354" s="234" t="s">
        <v>15</v>
      </c>
      <c r="K1354" s="233" t="s">
        <v>15</v>
      </c>
      <c r="L1354" s="234" t="s">
        <v>15</v>
      </c>
      <c r="M1354" s="233" t="s">
        <v>15</v>
      </c>
      <c r="N1354" s="2376"/>
      <c r="O1354" s="2376"/>
      <c r="P1354" s="2376"/>
      <c r="Q1354" s="1348">
        <f t="shared" si="76"/>
        <v>0.91379310344827591</v>
      </c>
      <c r="R1354" s="2139"/>
      <c r="S1354" s="1315">
        <v>21.03</v>
      </c>
      <c r="T1354" s="800"/>
      <c r="U1354" s="862"/>
      <c r="V1354" s="24"/>
      <c r="W1354" s="26"/>
      <c r="X1354" s="26"/>
      <c r="Y1354" s="26"/>
      <c r="Z1354" s="26"/>
      <c r="AA1354" s="26"/>
      <c r="AC1354" s="26"/>
      <c r="AD1354" s="26"/>
      <c r="AE1354" s="26"/>
      <c r="AF1354" s="75"/>
      <c r="AG1354" s="26"/>
      <c r="AH1354" s="957"/>
      <c r="AI1354" s="957"/>
      <c r="AJ1354" s="957"/>
      <c r="AK1354" s="957"/>
      <c r="AL1354" s="957"/>
      <c r="AM1354" s="957"/>
      <c r="AN1354" s="957"/>
      <c r="AO1354" s="957"/>
      <c r="AP1354" s="957"/>
      <c r="AQ1354" s="957"/>
      <c r="AR1354" s="957"/>
      <c r="AS1354" s="957"/>
      <c r="AT1354" s="957"/>
      <c r="AU1354" s="957"/>
      <c r="AV1354" s="957"/>
      <c r="AW1354" s="957"/>
      <c r="AX1354" s="957"/>
      <c r="AY1354" s="957"/>
      <c r="AZ1354" s="957"/>
      <c r="BA1354" s="957"/>
      <c r="BB1354" s="957"/>
      <c r="BC1354" s="957"/>
      <c r="BD1354" s="957"/>
      <c r="BE1354" s="957"/>
      <c r="BF1354" s="957"/>
      <c r="BG1354" s="957"/>
    </row>
    <row r="1355" spans="1:59" ht="18.75" hidden="1">
      <c r="A1355" s="1096"/>
      <c r="B1355" s="1049"/>
      <c r="C1355" s="41"/>
      <c r="D1355" s="26"/>
      <c r="E1355" s="26"/>
      <c r="F1355" s="26"/>
      <c r="G1355" s="26"/>
      <c r="H1355" s="26"/>
      <c r="I1355" s="26"/>
      <c r="J1355" s="75"/>
      <c r="K1355" s="26"/>
      <c r="L1355" s="75"/>
      <c r="M1355" s="26"/>
      <c r="N1355" s="1210"/>
      <c r="O1355" s="475"/>
      <c r="P1355" s="475"/>
      <c r="Q1355" s="252"/>
      <c r="R1355" s="252"/>
      <c r="S1355" s="26"/>
      <c r="T1355" s="26"/>
      <c r="U1355" s="862"/>
      <c r="V1355" s="24"/>
      <c r="W1355" s="26"/>
      <c r="X1355" s="26"/>
      <c r="Y1355" s="26"/>
      <c r="Z1355" s="26"/>
      <c r="AA1355" s="26"/>
      <c r="AC1355" s="26"/>
      <c r="AD1355" s="26"/>
      <c r="AE1355" s="26"/>
      <c r="AF1355" s="75"/>
      <c r="AG1355" s="26"/>
      <c r="AH1355" s="957"/>
      <c r="AI1355" s="957"/>
      <c r="AJ1355" s="957"/>
      <c r="AK1355" s="957"/>
      <c r="AL1355" s="957"/>
      <c r="AM1355" s="957"/>
      <c r="AN1355" s="957"/>
      <c r="AO1355" s="957"/>
      <c r="AP1355" s="957"/>
      <c r="AQ1355" s="957"/>
      <c r="AR1355" s="957"/>
      <c r="AS1355" s="957"/>
      <c r="AT1355" s="957"/>
      <c r="AU1355" s="957"/>
      <c r="AV1355" s="957"/>
      <c r="AW1355" s="957"/>
      <c r="AX1355" s="957"/>
      <c r="AY1355" s="957"/>
      <c r="AZ1355" s="957"/>
      <c r="BA1355" s="957"/>
      <c r="BB1355" s="957"/>
      <c r="BC1355" s="957"/>
      <c r="BD1355" s="957"/>
      <c r="BE1355" s="957"/>
      <c r="BF1355" s="957"/>
      <c r="BG1355" s="957"/>
    </row>
    <row r="1356" spans="1:59" ht="18.75" hidden="1">
      <c r="A1356" s="1096"/>
      <c r="B1356" s="1049"/>
      <c r="C1356" s="41"/>
      <c r="D1356" s="26"/>
      <c r="E1356" s="26"/>
      <c r="F1356" s="26"/>
      <c r="G1356" s="26"/>
      <c r="H1356" s="26"/>
      <c r="I1356" s="26"/>
      <c r="J1356" s="75"/>
      <c r="K1356" s="26"/>
      <c r="L1356" s="75"/>
      <c r="M1356" s="26"/>
      <c r="N1356" s="1210"/>
      <c r="O1356" s="475"/>
      <c r="P1356" s="475"/>
      <c r="Q1356" s="252"/>
      <c r="R1356" s="252"/>
      <c r="S1356" s="26"/>
      <c r="T1356" s="26"/>
      <c r="U1356" s="862"/>
      <c r="V1356" s="24"/>
      <c r="W1356" s="26"/>
      <c r="X1356" s="26"/>
      <c r="Y1356" s="26"/>
      <c r="Z1356" s="26"/>
      <c r="AA1356" s="26"/>
      <c r="AC1356" s="26"/>
      <c r="AD1356" s="26"/>
      <c r="AE1356" s="26"/>
      <c r="AF1356" s="75"/>
      <c r="AG1356" s="26"/>
      <c r="AH1356" s="957"/>
      <c r="AI1356" s="957"/>
      <c r="AJ1356" s="957"/>
      <c r="AK1356" s="957"/>
      <c r="AL1356" s="957"/>
      <c r="AM1356" s="957"/>
      <c r="AN1356" s="957"/>
      <c r="AO1356" s="957"/>
      <c r="AP1356" s="957"/>
      <c r="AQ1356" s="957"/>
      <c r="AR1356" s="957"/>
      <c r="AS1356" s="957"/>
      <c r="AT1356" s="957"/>
      <c r="AU1356" s="957"/>
      <c r="AV1356" s="957"/>
      <c r="AW1356" s="957"/>
      <c r="AX1356" s="957"/>
      <c r="AY1356" s="957"/>
      <c r="AZ1356" s="957"/>
      <c r="BA1356" s="957"/>
      <c r="BB1356" s="957"/>
      <c r="BC1356" s="957"/>
      <c r="BD1356" s="957"/>
      <c r="BE1356" s="957"/>
      <c r="BF1356" s="957"/>
      <c r="BG1356" s="957"/>
    </row>
    <row r="1357" spans="1:59" ht="18.75" hidden="1">
      <c r="A1357" s="1096"/>
      <c r="B1357" s="1049"/>
      <c r="C1357" s="41"/>
      <c r="D1357" s="26"/>
      <c r="E1357" s="26"/>
      <c r="F1357" s="26"/>
      <c r="G1357" s="26"/>
      <c r="H1357" s="26"/>
      <c r="I1357" s="26"/>
      <c r="J1357" s="75"/>
      <c r="K1357" s="26"/>
      <c r="L1357" s="75"/>
      <c r="M1357" s="26"/>
      <c r="N1357" s="1210"/>
      <c r="O1357" s="475"/>
      <c r="P1357" s="475"/>
      <c r="Q1357" s="252"/>
      <c r="R1357" s="252"/>
      <c r="S1357" s="26"/>
      <c r="T1357" s="26"/>
      <c r="U1357" s="862"/>
      <c r="V1357" s="24"/>
      <c r="W1357" s="26"/>
      <c r="X1357" s="26"/>
      <c r="Y1357" s="26"/>
      <c r="Z1357" s="26"/>
      <c r="AA1357" s="26"/>
      <c r="AC1357" s="26"/>
      <c r="AD1357" s="26"/>
      <c r="AE1357" s="26"/>
      <c r="AF1357" s="75"/>
      <c r="AG1357" s="26"/>
      <c r="AH1357" s="957"/>
      <c r="AI1357" s="957"/>
      <c r="AJ1357" s="957"/>
      <c r="AK1357" s="957"/>
      <c r="AL1357" s="957"/>
      <c r="AM1357" s="957"/>
      <c r="AN1357" s="957"/>
      <c r="AO1357" s="957"/>
      <c r="AP1357" s="957"/>
      <c r="AQ1357" s="957"/>
      <c r="AR1357" s="957"/>
      <c r="AS1357" s="957"/>
      <c r="AT1357" s="957"/>
      <c r="AU1357" s="957"/>
      <c r="AV1357" s="957"/>
      <c r="AW1357" s="957"/>
      <c r="AX1357" s="957"/>
      <c r="AY1357" s="957"/>
      <c r="AZ1357" s="957"/>
      <c r="BA1357" s="957"/>
      <c r="BB1357" s="957"/>
      <c r="BC1357" s="957"/>
      <c r="BD1357" s="957"/>
      <c r="BE1357" s="957"/>
      <c r="BF1357" s="957"/>
      <c r="BG1357" s="957"/>
    </row>
    <row r="1358" spans="1:59" ht="18.75" hidden="1">
      <c r="A1358" s="1096"/>
      <c r="B1358" s="1049"/>
      <c r="C1358" s="41"/>
      <c r="D1358" s="26"/>
      <c r="E1358" s="26"/>
      <c r="F1358" s="26"/>
      <c r="G1358" s="26"/>
      <c r="H1358" s="26"/>
      <c r="I1358" s="26"/>
      <c r="J1358" s="75"/>
      <c r="K1358" s="26"/>
      <c r="L1358" s="75"/>
      <c r="M1358" s="26"/>
      <c r="N1358" s="1210"/>
      <c r="O1358" s="475"/>
      <c r="P1358" s="475"/>
      <c r="Q1358" s="252"/>
      <c r="R1358" s="252"/>
      <c r="S1358" s="26"/>
      <c r="T1358" s="26"/>
      <c r="U1358" s="862"/>
      <c r="V1358" s="24"/>
      <c r="W1358" s="26"/>
      <c r="X1358" s="26"/>
      <c r="Y1358" s="26"/>
      <c r="Z1358" s="26"/>
      <c r="AA1358" s="26"/>
      <c r="AC1358" s="26"/>
      <c r="AD1358" s="26"/>
      <c r="AE1358" s="26"/>
      <c r="AF1358" s="75"/>
      <c r="AG1358" s="26"/>
      <c r="AH1358" s="957"/>
      <c r="AI1358" s="957"/>
      <c r="AJ1358" s="957"/>
      <c r="AK1358" s="957"/>
      <c r="AL1358" s="957"/>
      <c r="AM1358" s="957"/>
      <c r="AN1358" s="957"/>
      <c r="AO1358" s="957"/>
      <c r="AP1358" s="957"/>
      <c r="AQ1358" s="957"/>
      <c r="AR1358" s="957"/>
      <c r="AS1358" s="957"/>
      <c r="AT1358" s="957"/>
      <c r="AU1358" s="957"/>
      <c r="AV1358" s="957"/>
      <c r="AW1358" s="957"/>
      <c r="AX1358" s="957"/>
      <c r="AY1358" s="957"/>
      <c r="AZ1358" s="957"/>
      <c r="BA1358" s="957"/>
      <c r="BB1358" s="957"/>
      <c r="BC1358" s="957"/>
      <c r="BD1358" s="957"/>
      <c r="BE1358" s="957"/>
      <c r="BF1358" s="957"/>
      <c r="BG1358" s="957"/>
    </row>
    <row r="1359" spans="1:59" ht="18.75" hidden="1">
      <c r="A1359" s="1249"/>
      <c r="B1359" s="1049"/>
      <c r="C1359" s="41"/>
      <c r="D1359" s="26"/>
      <c r="E1359" s="26"/>
      <c r="F1359" s="26"/>
      <c r="G1359" s="26"/>
      <c r="H1359" s="26"/>
      <c r="I1359" s="26"/>
      <c r="J1359" s="75"/>
      <c r="K1359" s="26"/>
      <c r="L1359" s="75"/>
      <c r="M1359" s="26"/>
      <c r="N1359" s="1210"/>
      <c r="O1359" s="475"/>
      <c r="P1359" s="475"/>
      <c r="Q1359" s="252"/>
      <c r="R1359" s="252"/>
      <c r="S1359" s="26"/>
      <c r="T1359" s="26"/>
      <c r="U1359" s="862"/>
      <c r="V1359" s="24"/>
      <c r="W1359" s="26"/>
      <c r="X1359" s="26"/>
      <c r="Y1359" s="26"/>
      <c r="Z1359" s="26"/>
      <c r="AA1359" s="26"/>
      <c r="AC1359" s="26"/>
      <c r="AD1359" s="26"/>
      <c r="AE1359" s="26"/>
      <c r="AF1359" s="75"/>
      <c r="AG1359" s="26"/>
      <c r="AH1359" s="957"/>
      <c r="AI1359" s="957"/>
      <c r="AJ1359" s="957"/>
      <c r="AK1359" s="957"/>
      <c r="AL1359" s="957"/>
      <c r="AM1359" s="957"/>
      <c r="AN1359" s="957"/>
      <c r="AO1359" s="957"/>
      <c r="AP1359" s="957"/>
      <c r="AQ1359" s="957"/>
      <c r="AR1359" s="957"/>
      <c r="AS1359" s="957"/>
      <c r="AT1359" s="957"/>
      <c r="AU1359" s="957"/>
      <c r="AV1359" s="957"/>
      <c r="AW1359" s="957"/>
      <c r="AX1359" s="957"/>
      <c r="AY1359" s="957"/>
      <c r="AZ1359" s="957"/>
      <c r="BA1359" s="957"/>
      <c r="BB1359" s="957"/>
      <c r="BC1359" s="957"/>
      <c r="BD1359" s="957"/>
      <c r="BE1359" s="957"/>
      <c r="BF1359" s="957"/>
      <c r="BG1359" s="957"/>
    </row>
    <row r="1360" spans="1:59" ht="18.75" hidden="1">
      <c r="A1360" s="1249"/>
      <c r="B1360" s="1049"/>
      <c r="C1360" s="41"/>
      <c r="D1360" s="26"/>
      <c r="E1360" s="26"/>
      <c r="F1360" s="26"/>
      <c r="G1360" s="26"/>
      <c r="H1360" s="26"/>
      <c r="I1360" s="26"/>
      <c r="J1360" s="75"/>
      <c r="K1360" s="26"/>
      <c r="L1360" s="75"/>
      <c r="M1360" s="26"/>
      <c r="N1360" s="1210"/>
      <c r="O1360" s="475"/>
      <c r="P1360" s="475"/>
      <c r="Q1360" s="252"/>
      <c r="R1360" s="252"/>
      <c r="S1360" s="26"/>
      <c r="T1360" s="26"/>
      <c r="U1360" s="862"/>
      <c r="V1360" s="24"/>
      <c r="W1360" s="26"/>
      <c r="X1360" s="26"/>
      <c r="Y1360" s="26"/>
      <c r="Z1360" s="26"/>
      <c r="AA1360" s="26"/>
      <c r="AC1360" s="26"/>
      <c r="AD1360" s="26"/>
      <c r="AE1360" s="26"/>
      <c r="AF1360" s="75"/>
      <c r="AG1360" s="26"/>
      <c r="AH1360" s="957"/>
      <c r="AI1360" s="957"/>
      <c r="AJ1360" s="957"/>
      <c r="AK1360" s="957"/>
      <c r="AL1360" s="957"/>
      <c r="AM1360" s="957"/>
      <c r="AN1360" s="957"/>
      <c r="AO1360" s="957"/>
      <c r="AP1360" s="957"/>
      <c r="AQ1360" s="957"/>
      <c r="AR1360" s="957"/>
      <c r="AS1360" s="957"/>
      <c r="AT1360" s="957"/>
      <c r="AU1360" s="957"/>
      <c r="AV1360" s="957"/>
      <c r="AW1360" s="957"/>
      <c r="AX1360" s="957"/>
      <c r="AY1360" s="957"/>
      <c r="AZ1360" s="957"/>
      <c r="BA1360" s="957"/>
      <c r="BB1360" s="957"/>
      <c r="BC1360" s="957"/>
      <c r="BD1360" s="957"/>
      <c r="BE1360" s="957"/>
      <c r="BF1360" s="957"/>
      <c r="BG1360" s="957"/>
    </row>
    <row r="1361" spans="1:123" ht="18.75" hidden="1">
      <c r="A1361" s="1249"/>
      <c r="B1361" s="1049"/>
      <c r="C1361" s="41"/>
      <c r="D1361" s="26"/>
      <c r="E1361" s="26"/>
      <c r="F1361" s="26"/>
      <c r="G1361" s="26"/>
      <c r="H1361" s="26"/>
      <c r="I1361" s="26"/>
      <c r="J1361" s="75"/>
      <c r="K1361" s="26"/>
      <c r="L1361" s="75"/>
      <c r="M1361" s="26"/>
      <c r="N1361" s="1210"/>
      <c r="O1361" s="475"/>
      <c r="P1361" s="475"/>
      <c r="Q1361" s="252"/>
      <c r="R1361" s="252"/>
      <c r="S1361" s="26"/>
      <c r="T1361" s="26"/>
      <c r="U1361" s="862"/>
      <c r="V1361" s="24"/>
      <c r="W1361" s="26"/>
      <c r="X1361" s="26"/>
      <c r="Y1361" s="26"/>
      <c r="Z1361" s="26"/>
      <c r="AA1361" s="26"/>
      <c r="AC1361" s="26"/>
      <c r="AD1361" s="26"/>
      <c r="AE1361" s="26"/>
      <c r="AF1361" s="75"/>
      <c r="AG1361" s="26"/>
      <c r="AH1361" s="957"/>
      <c r="AI1361" s="957"/>
      <c r="AJ1361" s="957"/>
      <c r="AK1361" s="957"/>
      <c r="AL1361" s="957"/>
      <c r="AM1361" s="957"/>
      <c r="AN1361" s="957"/>
      <c r="AO1361" s="957"/>
      <c r="AP1361" s="957"/>
      <c r="AQ1361" s="957"/>
      <c r="AR1361" s="957"/>
      <c r="AS1361" s="957"/>
      <c r="AT1361" s="957"/>
      <c r="AU1361" s="957"/>
      <c r="AV1361" s="957"/>
      <c r="AW1361" s="957"/>
      <c r="AX1361" s="957"/>
      <c r="AY1361" s="957"/>
      <c r="AZ1361" s="957"/>
      <c r="BA1361" s="957"/>
      <c r="BB1361" s="957"/>
      <c r="BC1361" s="957"/>
      <c r="BD1361" s="957"/>
      <c r="BE1361" s="957"/>
      <c r="BF1361" s="957"/>
      <c r="BG1361" s="957"/>
    </row>
    <row r="1362" spans="1:123" ht="19.5" hidden="1" thickBot="1">
      <c r="A1362" s="1249"/>
      <c r="B1362" s="1049"/>
      <c r="C1362" s="41"/>
      <c r="D1362" s="26"/>
      <c r="E1362" s="26"/>
      <c r="F1362" s="26"/>
      <c r="G1362" s="26"/>
      <c r="H1362" s="26"/>
      <c r="I1362" s="26"/>
      <c r="J1362" s="75"/>
      <c r="K1362" s="26"/>
      <c r="L1362" s="75"/>
      <c r="M1362" s="26"/>
      <c r="N1362" s="1210"/>
      <c r="O1362" s="475"/>
      <c r="P1362" s="475"/>
      <c r="Q1362" s="252"/>
      <c r="R1362" s="252"/>
      <c r="S1362" s="26"/>
      <c r="T1362" s="26"/>
      <c r="U1362" s="862"/>
      <c r="V1362" s="24"/>
      <c r="W1362" s="26"/>
      <c r="X1362" s="26"/>
      <c r="Y1362" s="26"/>
      <c r="Z1362" s="26"/>
      <c r="AA1362" s="26"/>
      <c r="AC1362" s="26"/>
      <c r="AD1362" s="26"/>
      <c r="AE1362" s="26"/>
      <c r="AF1362" s="75"/>
      <c r="AG1362" s="26"/>
      <c r="AH1362" s="957"/>
      <c r="AI1362" s="957"/>
      <c r="AJ1362" s="957"/>
      <c r="AK1362" s="957"/>
      <c r="AL1362" s="957"/>
      <c r="AM1362" s="957"/>
      <c r="AN1362" s="957"/>
      <c r="AO1362" s="957"/>
      <c r="AP1362" s="957"/>
      <c r="AQ1362" s="957"/>
      <c r="AR1362" s="957"/>
      <c r="AS1362" s="957"/>
      <c r="AT1362" s="957"/>
      <c r="AU1362" s="957"/>
      <c r="AV1362" s="957"/>
      <c r="AW1362" s="957"/>
      <c r="AX1362" s="957"/>
      <c r="AY1362" s="957"/>
      <c r="AZ1362" s="957"/>
      <c r="BA1362" s="957"/>
      <c r="BB1362" s="957"/>
      <c r="BC1362" s="957"/>
      <c r="BD1362" s="957"/>
      <c r="BE1362" s="957"/>
      <c r="BF1362" s="957"/>
      <c r="BG1362" s="957"/>
    </row>
    <row r="1363" spans="1:123" s="692" customFormat="1" ht="25.5" customHeight="1" thickBot="1">
      <c r="A1363" s="721" t="s">
        <v>1114</v>
      </c>
      <c r="B1363" s="1054"/>
      <c r="C1363" s="684"/>
      <c r="D1363" s="683"/>
      <c r="E1363" s="707"/>
      <c r="F1363" s="708"/>
      <c r="G1363" s="708"/>
      <c r="H1363" s="709"/>
      <c r="I1363" s="709"/>
      <c r="J1363" s="682"/>
      <c r="K1363" s="683"/>
      <c r="L1363" s="682"/>
      <c r="M1363" s="685"/>
      <c r="N1363" s="1189"/>
      <c r="O1363" s="686"/>
      <c r="P1363" s="686"/>
      <c r="Q1363" s="687"/>
      <c r="R1363" s="687"/>
      <c r="S1363" s="688"/>
      <c r="T1363" s="688"/>
      <c r="U1363" s="854"/>
      <c r="V1363" s="893"/>
      <c r="W1363" s="685"/>
      <c r="X1363" s="700"/>
      <c r="Y1363" s="710"/>
      <c r="Z1363" s="710"/>
      <c r="AA1363" s="710"/>
      <c r="AB1363" s="921"/>
      <c r="AC1363" s="690"/>
      <c r="AD1363" s="690"/>
      <c r="AE1363" s="690"/>
      <c r="AF1363" s="711"/>
      <c r="AG1363" s="690"/>
      <c r="AH1363" s="959"/>
      <c r="AI1363" s="958"/>
      <c r="AJ1363" s="958"/>
      <c r="AK1363" s="958"/>
      <c r="AL1363" s="958"/>
      <c r="AM1363" s="958"/>
      <c r="AN1363" s="959"/>
      <c r="AO1363" s="959"/>
      <c r="AP1363" s="959"/>
      <c r="AQ1363" s="959"/>
      <c r="AR1363" s="959"/>
      <c r="AS1363" s="959"/>
      <c r="AT1363" s="959"/>
      <c r="AU1363" s="959"/>
      <c r="AV1363" s="959"/>
      <c r="AW1363" s="959"/>
      <c r="AX1363" s="959"/>
      <c r="AY1363" s="959"/>
      <c r="AZ1363" s="959"/>
      <c r="BA1363" s="959"/>
      <c r="BB1363" s="959"/>
      <c r="BC1363" s="959"/>
      <c r="BD1363" s="959"/>
      <c r="BE1363" s="959"/>
      <c r="BF1363" s="959"/>
      <c r="BG1363" s="959"/>
      <c r="BH1363" s="1125"/>
      <c r="DI1363" s="693"/>
    </row>
    <row r="1364" spans="1:123">
      <c r="A1364" s="2171" t="s">
        <v>1375</v>
      </c>
      <c r="B1364" s="832" t="s">
        <v>1063</v>
      </c>
      <c r="C1364" s="810" t="s">
        <v>12</v>
      </c>
      <c r="D1364" s="637" t="s">
        <v>1064</v>
      </c>
      <c r="E1364" s="88">
        <v>30</v>
      </c>
      <c r="F1364" s="369">
        <v>1403.8</v>
      </c>
      <c r="G1364" s="369">
        <v>1868.8309999999999</v>
      </c>
      <c r="H1364" s="513">
        <v>97.527680000000004</v>
      </c>
      <c r="I1364" s="570">
        <v>39.038220000000003</v>
      </c>
      <c r="J1364" s="234" t="s">
        <v>15</v>
      </c>
      <c r="K1364" s="233" t="s">
        <v>15</v>
      </c>
      <c r="L1364" s="234" t="s">
        <v>15</v>
      </c>
      <c r="M1364" s="233" t="s">
        <v>15</v>
      </c>
      <c r="N1364" s="1198">
        <v>-1.9605999999999998E-3</v>
      </c>
      <c r="O1364" s="382">
        <v>-0.74</v>
      </c>
      <c r="P1364" s="382">
        <v>2.65314E-3</v>
      </c>
      <c r="Q1364" s="254" t="s">
        <v>15</v>
      </c>
      <c r="R1364" s="259">
        <f>N1364</f>
        <v>-1.9605999999999998E-3</v>
      </c>
      <c r="S1364" s="153" t="s">
        <v>68</v>
      </c>
      <c r="T1364" s="129" t="s">
        <v>69</v>
      </c>
      <c r="U1364" s="858"/>
      <c r="V1364" s="2193" t="s">
        <v>863</v>
      </c>
      <c r="W1364" s="219" t="s">
        <v>47</v>
      </c>
      <c r="X1364" s="219" t="s">
        <v>1098</v>
      </c>
      <c r="Y1364" s="526">
        <v>0</v>
      </c>
      <c r="Z1364" s="526" t="s">
        <v>40</v>
      </c>
      <c r="AA1364" s="665" t="s">
        <v>40</v>
      </c>
      <c r="AB1364" s="921"/>
      <c r="AC1364" s="914" t="s">
        <v>1325</v>
      </c>
      <c r="AD1364" s="798" t="s">
        <v>1100</v>
      </c>
      <c r="AE1364" s="932" t="s">
        <v>1324</v>
      </c>
      <c r="AF1364" s="218" t="s">
        <v>47</v>
      </c>
      <c r="AG1364" s="219" t="s">
        <v>1098</v>
      </c>
      <c r="AH1364" s="1036">
        <v>0</v>
      </c>
      <c r="AI1364" s="956"/>
      <c r="AJ1364" s="956"/>
      <c r="AK1364" s="956"/>
      <c r="AL1364" s="956"/>
      <c r="AM1364" s="956"/>
      <c r="AN1364" s="957"/>
      <c r="AO1364" s="957"/>
      <c r="AP1364" s="957"/>
      <c r="AQ1364" s="957"/>
      <c r="AR1364" s="957"/>
      <c r="AS1364" s="957"/>
      <c r="AT1364" s="957"/>
      <c r="AU1364" s="957"/>
      <c r="AV1364" s="957"/>
      <c r="AW1364" s="957"/>
      <c r="AX1364" s="957"/>
      <c r="AY1364" s="957"/>
      <c r="AZ1364" s="957"/>
      <c r="BA1364" s="957"/>
      <c r="BB1364" s="957"/>
      <c r="BC1364" s="957"/>
      <c r="BD1364" s="957"/>
      <c r="BE1364" s="957"/>
      <c r="BF1364" s="957"/>
      <c r="BG1364" s="957"/>
    </row>
    <row r="1365" spans="1:123">
      <c r="A1365" s="2172"/>
      <c r="B1365" s="2161" t="s">
        <v>1065</v>
      </c>
      <c r="C1365" s="2144" t="s">
        <v>11</v>
      </c>
      <c r="D1365" s="86" t="s">
        <v>33</v>
      </c>
      <c r="E1365" s="88">
        <v>9</v>
      </c>
      <c r="F1365" s="440" t="s">
        <v>15</v>
      </c>
      <c r="G1365" s="440" t="s">
        <v>15</v>
      </c>
      <c r="H1365" s="513">
        <v>80.343620000000001</v>
      </c>
      <c r="I1365" s="570">
        <v>49.905259999999998</v>
      </c>
      <c r="J1365" s="234" t="s">
        <v>15</v>
      </c>
      <c r="K1365" s="233" t="s">
        <v>15</v>
      </c>
      <c r="L1365" s="234" t="s">
        <v>15</v>
      </c>
      <c r="M1365" s="233" t="s">
        <v>15</v>
      </c>
      <c r="N1365" s="1194">
        <v>0.17977054000000001</v>
      </c>
      <c r="O1365" s="142">
        <v>0.01</v>
      </c>
      <c r="P1365" s="142">
        <v>12.23975356</v>
      </c>
      <c r="Q1365" s="128">
        <f t="shared" ref="Q1365:Q1372" si="77">E1365/$E$1364</f>
        <v>0.3</v>
      </c>
      <c r="R1365" s="2129">
        <f>SUMPRODUCT(Q1365:Q1366,N1365:N1366)</f>
        <v>5.3931161999999998E-2</v>
      </c>
      <c r="S1365" s="356" t="s">
        <v>1073</v>
      </c>
      <c r="T1365" s="351" t="s">
        <v>310</v>
      </c>
      <c r="U1365" s="854"/>
      <c r="V1365" s="2136"/>
      <c r="W1365" s="982" t="s">
        <v>49</v>
      </c>
      <c r="X1365" s="291" t="s">
        <v>1099</v>
      </c>
      <c r="Y1365" s="526">
        <f>((5000*$R$1364)+$R$1365+$R$1367+$R$1370+$T$1371)*(1+$T$1373)</f>
        <v>108.57236074639998</v>
      </c>
      <c r="Z1365" s="526">
        <f>Y1365-Y1364</f>
        <v>108.57236074639998</v>
      </c>
      <c r="AA1365" s="15" t="s">
        <v>1105</v>
      </c>
      <c r="AC1365" s="915" t="s">
        <v>1326</v>
      </c>
      <c r="AD1365" s="799" t="s">
        <v>98</v>
      </c>
      <c r="AE1365" s="933">
        <v>97.527714285714268</v>
      </c>
      <c r="AF1365" s="289" t="s">
        <v>49</v>
      </c>
      <c r="AG1365" s="291" t="s">
        <v>1099</v>
      </c>
      <c r="AH1365" s="1036">
        <f>((5000*$R$1364)+$R$1365+$R$1367+$R$1370+$T$1371)*1.2</f>
        <v>108.57236074639998</v>
      </c>
      <c r="AI1365" s="956">
        <v>51</v>
      </c>
      <c r="AJ1365" s="956">
        <v>12.06</v>
      </c>
      <c r="AK1365" s="956">
        <v>13.4</v>
      </c>
      <c r="AL1365" s="956">
        <v>123.01</v>
      </c>
      <c r="AM1365" s="956">
        <v>36.700000000000003</v>
      </c>
      <c r="AN1365" s="957"/>
      <c r="AO1365" s="957"/>
      <c r="AP1365" s="957"/>
      <c r="AQ1365" s="957"/>
      <c r="AR1365" s="957"/>
      <c r="AS1365" s="957"/>
      <c r="AT1365" s="957"/>
      <c r="AU1365" s="957"/>
      <c r="AV1365" s="957"/>
      <c r="AW1365" s="957"/>
      <c r="AX1365" s="957"/>
      <c r="AY1365" s="957"/>
      <c r="AZ1365" s="957"/>
      <c r="BA1365" s="957"/>
      <c r="BB1365" s="957"/>
      <c r="BC1365" s="957"/>
      <c r="BD1365" s="957"/>
      <c r="BE1365" s="957"/>
      <c r="BF1365" s="957"/>
      <c r="BG1365" s="957"/>
    </row>
    <row r="1366" spans="1:123">
      <c r="A1366" s="2172"/>
      <c r="B1366" s="2161"/>
      <c r="C1366" s="2144"/>
      <c r="D1366" s="86" t="s">
        <v>32</v>
      </c>
      <c r="E1366" s="88">
        <v>21</v>
      </c>
      <c r="F1366" s="440" t="s">
        <v>15</v>
      </c>
      <c r="G1366" s="440" t="s">
        <v>15</v>
      </c>
      <c r="H1366" s="513">
        <v>104.89230000000001</v>
      </c>
      <c r="I1366" s="570">
        <v>31.995799999999999</v>
      </c>
      <c r="J1366" s="234" t="s">
        <v>15</v>
      </c>
      <c r="K1366" s="233" t="s">
        <v>15</v>
      </c>
      <c r="L1366" s="234" t="s">
        <v>15</v>
      </c>
      <c r="M1366" s="233" t="s">
        <v>15</v>
      </c>
      <c r="N1366" s="537">
        <v>0</v>
      </c>
      <c r="O1366" s="636"/>
      <c r="P1366" s="636"/>
      <c r="Q1366" s="128">
        <f t="shared" si="77"/>
        <v>0.7</v>
      </c>
      <c r="R1366" s="2129"/>
      <c r="S1366" s="135" t="s">
        <v>72</v>
      </c>
      <c r="T1366" s="119" t="s">
        <v>119</v>
      </c>
      <c r="U1366" s="855"/>
      <c r="V1366" s="24"/>
      <c r="W1366" s="26"/>
      <c r="X1366" s="26"/>
      <c r="Y1366" s="26"/>
      <c r="Z1366" s="26"/>
      <c r="AA1366" s="837"/>
      <c r="AC1366" s="909" t="s">
        <v>1327</v>
      </c>
      <c r="AD1366" s="781" t="s">
        <v>1323</v>
      </c>
      <c r="AE1366" s="166">
        <f>AE1365*1.2</f>
        <v>117.03325714285711</v>
      </c>
      <c r="AF1366" s="75"/>
      <c r="AG1366" s="26"/>
      <c r="AH1366" s="957"/>
      <c r="AI1366" s="957"/>
      <c r="AJ1366" s="957"/>
      <c r="AK1366" s="957"/>
      <c r="AL1366" s="957"/>
      <c r="AM1366" s="957"/>
      <c r="AN1366" s="957"/>
      <c r="AO1366" s="957"/>
      <c r="AP1366" s="957"/>
      <c r="AQ1366" s="957"/>
      <c r="AR1366" s="957"/>
      <c r="AS1366" s="957"/>
      <c r="AT1366" s="957"/>
      <c r="AU1366" s="957"/>
      <c r="AV1366" s="957"/>
      <c r="AW1366" s="957"/>
      <c r="AX1366" s="957"/>
      <c r="AY1366" s="957"/>
      <c r="AZ1366" s="957"/>
      <c r="BA1366" s="957"/>
      <c r="BB1366" s="957"/>
      <c r="BC1366" s="957"/>
      <c r="BD1366" s="957"/>
      <c r="BE1366" s="957"/>
      <c r="BF1366" s="957"/>
      <c r="BG1366" s="957"/>
    </row>
    <row r="1367" spans="1:123">
      <c r="A1367" s="2172"/>
      <c r="B1367" s="2161" t="s">
        <v>1066</v>
      </c>
      <c r="C1367" s="2144" t="s">
        <v>1068</v>
      </c>
      <c r="D1367" s="86" t="s">
        <v>1069</v>
      </c>
      <c r="E1367" s="88">
        <v>12</v>
      </c>
      <c r="F1367" s="440" t="s">
        <v>15</v>
      </c>
      <c r="G1367" s="440" t="s">
        <v>15</v>
      </c>
      <c r="H1367" s="513">
        <v>114.14</v>
      </c>
      <c r="I1367" s="570">
        <v>29.409939999999999</v>
      </c>
      <c r="J1367" s="234" t="s">
        <v>15</v>
      </c>
      <c r="K1367" s="233" t="s">
        <v>15</v>
      </c>
      <c r="L1367" s="234" t="s">
        <v>15</v>
      </c>
      <c r="M1367" s="233" t="s">
        <v>15</v>
      </c>
      <c r="N1367" s="1194">
        <v>10.586053339999999</v>
      </c>
      <c r="O1367" s="142">
        <v>0.79</v>
      </c>
      <c r="P1367" s="142">
        <v>13.442149349999999</v>
      </c>
      <c r="Q1367" s="128">
        <f t="shared" si="77"/>
        <v>0.4</v>
      </c>
      <c r="R1367" s="2129">
        <f>SUMPRODUCT(Q1367:Q1369,N1367:N1369)</f>
        <v>4.9077912640000001</v>
      </c>
      <c r="S1367" s="202" t="s">
        <v>139</v>
      </c>
      <c r="T1367" s="411" t="s">
        <v>140</v>
      </c>
      <c r="U1367" s="859"/>
      <c r="V1367" s="403"/>
      <c r="W1367" s="26"/>
      <c r="X1367" s="26"/>
      <c r="Y1367" s="26"/>
      <c r="Z1367" s="26"/>
      <c r="AA1367" s="909"/>
      <c r="AC1367" s="909"/>
      <c r="AD1367" s="781" t="s">
        <v>109</v>
      </c>
      <c r="AE1367" s="934">
        <v>7.1273755994070038</v>
      </c>
      <c r="AF1367" s="75"/>
      <c r="AG1367" s="26"/>
      <c r="AH1367" s="957"/>
      <c r="AI1367" s="957"/>
      <c r="AJ1367" s="957"/>
      <c r="AK1367" s="957"/>
      <c r="AL1367" s="957"/>
      <c r="AM1367" s="957"/>
      <c r="AN1367" s="957"/>
      <c r="AO1367" s="957"/>
      <c r="AP1367" s="957"/>
      <c r="AQ1367" s="957"/>
      <c r="AR1367" s="957"/>
      <c r="AS1367" s="957"/>
      <c r="AT1367" s="957"/>
      <c r="AU1367" s="957"/>
      <c r="AV1367" s="957"/>
      <c r="AW1367" s="957"/>
      <c r="AX1367" s="957"/>
      <c r="AY1367" s="957"/>
      <c r="AZ1367" s="957"/>
      <c r="BA1367" s="957"/>
      <c r="BB1367" s="957"/>
      <c r="BC1367" s="957"/>
      <c r="BD1367" s="957"/>
      <c r="BE1367" s="957"/>
      <c r="BF1367" s="957"/>
      <c r="BG1367" s="957"/>
    </row>
    <row r="1368" spans="1:123">
      <c r="A1368" s="2172"/>
      <c r="B1368" s="2161"/>
      <c r="C1368" s="2144"/>
      <c r="D1368" s="86" t="s">
        <v>1070</v>
      </c>
      <c r="E1368" s="88">
        <v>12</v>
      </c>
      <c r="F1368" s="440" t="s">
        <v>15</v>
      </c>
      <c r="G1368" s="440" t="s">
        <v>15</v>
      </c>
      <c r="H1368" s="513">
        <v>101.2696</v>
      </c>
      <c r="I1368" s="570">
        <v>31.87445</v>
      </c>
      <c r="J1368" s="234" t="s">
        <v>15</v>
      </c>
      <c r="K1368" s="233" t="s">
        <v>15</v>
      </c>
      <c r="L1368" s="234" t="s">
        <v>15</v>
      </c>
      <c r="M1368" s="233" t="s">
        <v>15</v>
      </c>
      <c r="N1368" s="1194">
        <v>1.6834248199999999</v>
      </c>
      <c r="O1368" s="142">
        <v>0.12</v>
      </c>
      <c r="P1368" s="142">
        <v>14.336895500000001</v>
      </c>
      <c r="Q1368" s="128">
        <f t="shared" si="77"/>
        <v>0.4</v>
      </c>
      <c r="R1368" s="2129"/>
      <c r="S1368" s="135" t="s">
        <v>74</v>
      </c>
      <c r="T1368" s="129" t="s">
        <v>75</v>
      </c>
      <c r="U1368" s="858"/>
      <c r="V1368" s="24"/>
      <c r="W1368" s="26"/>
      <c r="X1368" s="26"/>
      <c r="Y1368" s="26"/>
      <c r="Z1368" s="26"/>
      <c r="AA1368" s="909"/>
      <c r="AC1368" s="909"/>
      <c r="AD1368" s="781" t="s">
        <v>110</v>
      </c>
      <c r="AE1368" s="934">
        <v>105.35714285714286</v>
      </c>
      <c r="AF1368" s="75"/>
      <c r="AG1368" s="26"/>
      <c r="AH1368" s="957"/>
      <c r="AI1368" s="957"/>
      <c r="AJ1368" s="957"/>
      <c r="AK1368" s="957"/>
      <c r="AL1368" s="957"/>
      <c r="AM1368" s="957"/>
      <c r="AN1368" s="957"/>
      <c r="AO1368" s="957"/>
      <c r="AP1368" s="957"/>
      <c r="AQ1368" s="957"/>
      <c r="AR1368" s="957"/>
      <c r="AS1368" s="957"/>
      <c r="AT1368" s="957"/>
      <c r="AU1368" s="957"/>
      <c r="AV1368" s="957"/>
      <c r="AW1368" s="957"/>
      <c r="AX1368" s="957"/>
      <c r="AY1368" s="957"/>
      <c r="AZ1368" s="957"/>
      <c r="BA1368" s="957"/>
      <c r="BB1368" s="957"/>
      <c r="BC1368" s="957"/>
      <c r="BD1368" s="957"/>
      <c r="BE1368" s="957"/>
      <c r="BF1368" s="957"/>
      <c r="BG1368" s="957"/>
    </row>
    <row r="1369" spans="1:123">
      <c r="A1369" s="2172"/>
      <c r="B1369" s="2161"/>
      <c r="C1369" s="2144"/>
      <c r="D1369" s="86" t="s">
        <v>1067</v>
      </c>
      <c r="E1369" s="88">
        <v>6</v>
      </c>
      <c r="F1369" s="440" t="s">
        <v>15</v>
      </c>
      <c r="G1369" s="440" t="s">
        <v>15</v>
      </c>
      <c r="H1369" s="513">
        <v>57.080449999999999</v>
      </c>
      <c r="I1369" s="570">
        <v>51.739220000000003</v>
      </c>
      <c r="J1369" s="234" t="s">
        <v>15</v>
      </c>
      <c r="K1369" s="233" t="s">
        <v>15</v>
      </c>
      <c r="L1369" s="234" t="s">
        <v>15</v>
      </c>
      <c r="M1369" s="233" t="s">
        <v>15</v>
      </c>
      <c r="N1369" s="1194">
        <v>0</v>
      </c>
      <c r="O1369" s="142" t="s">
        <v>574</v>
      </c>
      <c r="P1369" s="142" t="s">
        <v>574</v>
      </c>
      <c r="Q1369" s="128">
        <f t="shared" si="77"/>
        <v>0.2</v>
      </c>
      <c r="R1369" s="2129"/>
      <c r="S1369" s="624">
        <f>E1364</f>
        <v>30</v>
      </c>
      <c r="T1369" s="411" t="s">
        <v>140</v>
      </c>
      <c r="U1369" s="859"/>
      <c r="V1369" s="24"/>
      <c r="W1369" s="26"/>
      <c r="X1369" s="26"/>
      <c r="Y1369" s="26"/>
      <c r="Z1369" s="26"/>
      <c r="AA1369" s="909"/>
      <c r="AC1369" s="909"/>
      <c r="AD1369" s="781" t="s">
        <v>681</v>
      </c>
      <c r="AE1369" s="934">
        <v>39.038243916071202</v>
      </c>
      <c r="AF1369" s="75"/>
      <c r="AG1369" s="26"/>
      <c r="AH1369" s="957"/>
      <c r="AI1369" s="957"/>
      <c r="AJ1369" s="957"/>
      <c r="AK1369" s="957"/>
      <c r="AL1369" s="957"/>
      <c r="AM1369" s="957"/>
      <c r="AN1369" s="957"/>
      <c r="AO1369" s="957"/>
      <c r="AP1369" s="957"/>
      <c r="AQ1369" s="957"/>
      <c r="AR1369" s="957"/>
      <c r="AS1369" s="957"/>
      <c r="AT1369" s="957"/>
      <c r="AU1369" s="957"/>
      <c r="AV1369" s="957"/>
      <c r="AW1369" s="957"/>
      <c r="AX1369" s="957"/>
      <c r="AY1369" s="957"/>
      <c r="AZ1369" s="957"/>
      <c r="BA1369" s="957"/>
      <c r="BB1369" s="957"/>
      <c r="BC1369" s="957"/>
      <c r="BD1369" s="957"/>
      <c r="BE1369" s="957"/>
      <c r="BF1369" s="957"/>
      <c r="BG1369" s="957"/>
    </row>
    <row r="1370" spans="1:123">
      <c r="A1370" s="2172"/>
      <c r="B1370" s="2161" t="s">
        <v>153</v>
      </c>
      <c r="C1370" s="2144" t="s">
        <v>13</v>
      </c>
      <c r="D1370" s="86" t="s">
        <v>1071</v>
      </c>
      <c r="E1370" s="88">
        <v>22</v>
      </c>
      <c r="F1370" s="440" t="s">
        <v>15</v>
      </c>
      <c r="G1370" s="440" t="s">
        <v>15</v>
      </c>
      <c r="H1370" s="513">
        <v>114.0577</v>
      </c>
      <c r="I1370" s="570">
        <v>8.8471759999999993</v>
      </c>
      <c r="J1370" s="234" t="s">
        <v>15</v>
      </c>
      <c r="K1370" s="233" t="s">
        <v>15</v>
      </c>
      <c r="L1370" s="234" t="s">
        <v>15</v>
      </c>
      <c r="M1370" s="233" t="s">
        <v>15</v>
      </c>
      <c r="N1370" s="1194">
        <v>22.37473628</v>
      </c>
      <c r="O1370" s="142">
        <v>1.6</v>
      </c>
      <c r="P1370" s="142">
        <v>13.977205769999999</v>
      </c>
      <c r="Q1370" s="128">
        <f t="shared" si="77"/>
        <v>0.73333333333333328</v>
      </c>
      <c r="R1370" s="2129">
        <f>SUMPRODUCT(Q1370:Q1372,N1370:N1372)</f>
        <v>7.2687974026666655</v>
      </c>
      <c r="S1370" s="135" t="s">
        <v>41</v>
      </c>
      <c r="T1370" s="129" t="s">
        <v>42</v>
      </c>
      <c r="U1370" s="858"/>
      <c r="V1370" s="24"/>
      <c r="W1370" s="26"/>
      <c r="X1370" s="26"/>
      <c r="Y1370" s="26"/>
      <c r="Z1370" s="26"/>
      <c r="AA1370" s="909"/>
      <c r="AC1370" s="909"/>
      <c r="AD1370" s="781" t="s">
        <v>112</v>
      </c>
      <c r="AE1370" s="934">
        <v>1523.9844880506701</v>
      </c>
      <c r="AF1370" s="75"/>
      <c r="AG1370" s="26"/>
      <c r="AH1370" s="957"/>
      <c r="AI1370" s="957"/>
      <c r="AJ1370" s="957"/>
      <c r="AK1370" s="957"/>
      <c r="AL1370" s="957"/>
      <c r="AM1370" s="957"/>
      <c r="AN1370" s="957"/>
      <c r="AO1370" s="957"/>
      <c r="AP1370" s="957"/>
      <c r="AQ1370" s="957"/>
      <c r="AR1370" s="957"/>
      <c r="AS1370" s="957"/>
      <c r="AT1370" s="957"/>
      <c r="AU1370" s="957"/>
      <c r="AV1370" s="957"/>
      <c r="AW1370" s="957"/>
      <c r="AX1370" s="957"/>
      <c r="AY1370" s="957"/>
      <c r="AZ1370" s="957"/>
      <c r="BA1370" s="957"/>
      <c r="BB1370" s="957"/>
      <c r="BC1370" s="957"/>
      <c r="BD1370" s="957"/>
      <c r="BE1370" s="957"/>
      <c r="BF1370" s="957"/>
      <c r="BG1370" s="957"/>
    </row>
    <row r="1371" spans="1:123">
      <c r="A1371" s="2172"/>
      <c r="B1371" s="2161"/>
      <c r="C1371" s="2144"/>
      <c r="D1371" s="86" t="s">
        <v>1072</v>
      </c>
      <c r="E1371" s="88">
        <v>4</v>
      </c>
      <c r="F1371" s="440" t="s">
        <v>15</v>
      </c>
      <c r="G1371" s="440" t="s">
        <v>15</v>
      </c>
      <c r="H1371" s="513">
        <v>17.625</v>
      </c>
      <c r="I1371" s="570">
        <v>6.4744339999999996</v>
      </c>
      <c r="J1371" s="234" t="s">
        <v>15</v>
      </c>
      <c r="K1371" s="233" t="s">
        <v>15</v>
      </c>
      <c r="L1371" s="234" t="s">
        <v>15</v>
      </c>
      <c r="M1371" s="233" t="s">
        <v>15</v>
      </c>
      <c r="N1371" s="1194">
        <v>-68.54506902</v>
      </c>
      <c r="O1371" s="142">
        <v>-3.37</v>
      </c>
      <c r="P1371" s="142">
        <v>20.339079600000002</v>
      </c>
      <c r="Q1371" s="128">
        <f t="shared" si="77"/>
        <v>0.13333333333333333</v>
      </c>
      <c r="R1371" s="2129"/>
      <c r="S1371" s="369">
        <v>0.74270199999999997</v>
      </c>
      <c r="T1371" s="664">
        <v>88.049447459999996</v>
      </c>
      <c r="U1371" s="892"/>
      <c r="V1371" s="24"/>
      <c r="W1371" s="26"/>
      <c r="X1371" s="26"/>
      <c r="Y1371" s="26"/>
      <c r="Z1371" s="26"/>
      <c r="AA1371" s="909"/>
      <c r="AC1371" s="909"/>
      <c r="AD1371" s="781" t="s">
        <v>115</v>
      </c>
      <c r="AE1371" s="934">
        <v>159.69</v>
      </c>
      <c r="AF1371" s="75"/>
      <c r="AG1371" s="26"/>
      <c r="AH1371" s="957"/>
      <c r="AI1371" s="957"/>
      <c r="AJ1371" s="957"/>
      <c r="AK1371" s="957"/>
      <c r="AL1371" s="957"/>
      <c r="AM1371" s="957"/>
      <c r="AN1371" s="957"/>
      <c r="AO1371" s="957"/>
      <c r="AP1371" s="957"/>
      <c r="AQ1371" s="957"/>
      <c r="AR1371" s="957"/>
      <c r="AS1371" s="957"/>
      <c r="AT1371" s="957"/>
      <c r="AU1371" s="957"/>
      <c r="AV1371" s="957"/>
      <c r="AW1371" s="957"/>
      <c r="AX1371" s="957"/>
      <c r="AY1371" s="957"/>
      <c r="AZ1371" s="957"/>
      <c r="BA1371" s="957"/>
      <c r="BB1371" s="957"/>
      <c r="BC1371" s="957"/>
      <c r="BD1371" s="957"/>
      <c r="BE1371" s="957"/>
      <c r="BF1371" s="957"/>
      <c r="BG1371" s="957"/>
    </row>
    <row r="1372" spans="1:123">
      <c r="A1372" s="2172"/>
      <c r="B1372" s="2161"/>
      <c r="C1372" s="2144"/>
      <c r="D1372" s="86" t="s">
        <v>1067</v>
      </c>
      <c r="E1372" s="88">
        <v>4</v>
      </c>
      <c r="F1372" s="440" t="s">
        <v>15</v>
      </c>
      <c r="G1372" s="440" t="s">
        <v>15</v>
      </c>
      <c r="H1372" s="513">
        <v>86.515000000000001</v>
      </c>
      <c r="I1372" s="570">
        <v>58.855220000000003</v>
      </c>
      <c r="J1372" s="234" t="s">
        <v>15</v>
      </c>
      <c r="K1372" s="233" t="s">
        <v>15</v>
      </c>
      <c r="L1372" s="234" t="s">
        <v>15</v>
      </c>
      <c r="M1372" s="233" t="s">
        <v>15</v>
      </c>
      <c r="N1372" s="1194">
        <v>0</v>
      </c>
      <c r="O1372" s="142" t="s">
        <v>574</v>
      </c>
      <c r="P1372" s="142" t="s">
        <v>574</v>
      </c>
      <c r="Q1372" s="128">
        <f t="shared" si="77"/>
        <v>0.13333333333333333</v>
      </c>
      <c r="R1372" s="2129"/>
      <c r="S1372" s="156" t="s">
        <v>235</v>
      </c>
      <c r="T1372" s="119" t="s">
        <v>391</v>
      </c>
      <c r="U1372" s="855"/>
      <c r="V1372" s="24"/>
      <c r="W1372" s="26"/>
      <c r="X1372" s="26"/>
      <c r="Y1372" s="26"/>
      <c r="Z1372" s="26"/>
      <c r="AA1372" s="909"/>
      <c r="AC1372" s="909"/>
      <c r="AD1372" s="781" t="s">
        <v>116</v>
      </c>
      <c r="AE1372" s="934">
        <v>12.81</v>
      </c>
      <c r="AF1372" s="75"/>
      <c r="AG1372" s="26"/>
      <c r="AH1372" s="957"/>
      <c r="AI1372" s="957"/>
      <c r="AJ1372" s="957"/>
      <c r="AK1372" s="957"/>
      <c r="AL1372" s="957"/>
      <c r="AM1372" s="957"/>
      <c r="AN1372" s="957"/>
      <c r="AO1372" s="957"/>
      <c r="AP1372" s="957"/>
      <c r="AQ1372" s="957"/>
      <c r="AR1372" s="957"/>
      <c r="AS1372" s="957"/>
      <c r="AT1372" s="957"/>
      <c r="AU1372" s="957"/>
      <c r="AV1372" s="957"/>
      <c r="AW1372" s="957"/>
      <c r="AX1372" s="957"/>
      <c r="AY1372" s="957"/>
      <c r="AZ1372" s="957"/>
      <c r="BA1372" s="957"/>
      <c r="BB1372" s="957"/>
      <c r="BC1372" s="957"/>
      <c r="BD1372" s="957"/>
      <c r="BE1372" s="957"/>
      <c r="BF1372" s="957"/>
      <c r="BG1372" s="957"/>
    </row>
    <row r="1373" spans="1:123" ht="15.75" thickBot="1">
      <c r="A1373" s="2172"/>
      <c r="B1373" s="1051" t="s">
        <v>1080</v>
      </c>
      <c r="C1373" s="41"/>
      <c r="D1373" s="26"/>
      <c r="E1373" s="41"/>
      <c r="F1373" s="41"/>
      <c r="G1373" s="41"/>
      <c r="H1373" s="41"/>
      <c r="I1373" s="41"/>
      <c r="J1373" s="75"/>
      <c r="K1373" s="26"/>
      <c r="L1373" s="75"/>
      <c r="M1373" s="26"/>
      <c r="N1373" s="1205"/>
      <c r="O1373" s="467"/>
      <c r="P1373" s="467"/>
      <c r="Q1373" s="252"/>
      <c r="R1373" s="252"/>
      <c r="S1373" s="641">
        <v>13.228</v>
      </c>
      <c r="T1373" s="800">
        <v>0.2</v>
      </c>
      <c r="U1373" s="862"/>
      <c r="V1373" s="24"/>
      <c r="W1373" s="26"/>
      <c r="X1373" s="26"/>
      <c r="Y1373" s="26"/>
      <c r="Z1373" s="26"/>
      <c r="AA1373" s="916"/>
      <c r="AC1373" s="916"/>
      <c r="AD1373" s="781" t="s">
        <v>117</v>
      </c>
      <c r="AE1373" s="934">
        <v>172.5</v>
      </c>
      <c r="AF1373" s="75"/>
      <c r="AG1373" s="26"/>
      <c r="AH1373" s="957"/>
      <c r="AI1373" s="957"/>
      <c r="AJ1373" s="957"/>
      <c r="AK1373" s="957"/>
      <c r="AL1373" s="957"/>
      <c r="AM1373" s="957"/>
      <c r="AN1373" s="957"/>
      <c r="AO1373" s="957"/>
      <c r="AP1373" s="957"/>
      <c r="AQ1373" s="957"/>
      <c r="AR1373" s="957"/>
      <c r="AS1373" s="957"/>
      <c r="AT1373" s="957"/>
      <c r="AU1373" s="957"/>
      <c r="AV1373" s="957"/>
      <c r="AW1373" s="957"/>
      <c r="AX1373" s="957"/>
      <c r="AY1373" s="957"/>
      <c r="AZ1373" s="957"/>
      <c r="BA1373" s="957"/>
      <c r="BB1373" s="957"/>
      <c r="BC1373" s="957"/>
      <c r="BD1373" s="957"/>
      <c r="BE1373" s="957"/>
      <c r="BF1373" s="957"/>
      <c r="BG1373" s="957"/>
    </row>
    <row r="1374" spans="1:123" s="705" customFormat="1" ht="9" customHeight="1" thickBot="1">
      <c r="A1374" s="695"/>
      <c r="B1374" s="815"/>
      <c r="C1374" s="684"/>
      <c r="D1374" s="683"/>
      <c r="E1374" s="684"/>
      <c r="F1374" s="684"/>
      <c r="G1374" s="684"/>
      <c r="H1374" s="684"/>
      <c r="I1374" s="684"/>
      <c r="J1374" s="682"/>
      <c r="K1374" s="683"/>
      <c r="L1374" s="682"/>
      <c r="M1374" s="685"/>
      <c r="N1374" s="1189"/>
      <c r="O1374" s="686"/>
      <c r="P1374" s="686"/>
      <c r="Q1374" s="687"/>
      <c r="R1374" s="687"/>
      <c r="S1374" s="688"/>
      <c r="T1374" s="688"/>
      <c r="U1374" s="854"/>
      <c r="V1374" s="893"/>
      <c r="W1374" s="685"/>
      <c r="X1374" s="685"/>
      <c r="Y1374" s="688"/>
      <c r="Z1374" s="688"/>
      <c r="AA1374" s="688"/>
      <c r="AB1374" s="846"/>
      <c r="AC1374" s="685"/>
      <c r="AD1374" s="685"/>
      <c r="AE1374" s="685"/>
      <c r="AF1374" s="689"/>
      <c r="AG1374" s="685"/>
      <c r="AH1374" s="958"/>
      <c r="AI1374" s="959"/>
      <c r="AJ1374" s="959"/>
      <c r="AK1374" s="959"/>
      <c r="AL1374" s="959"/>
      <c r="AM1374" s="959"/>
      <c r="AN1374" s="959"/>
      <c r="AO1374" s="959"/>
      <c r="AP1374" s="959"/>
      <c r="AQ1374" s="959"/>
      <c r="AR1374" s="959"/>
      <c r="AS1374" s="959"/>
      <c r="AT1374" s="959"/>
      <c r="AU1374" s="958"/>
      <c r="AV1374" s="958"/>
      <c r="AW1374" s="958"/>
      <c r="AX1374" s="958"/>
      <c r="AY1374" s="958"/>
      <c r="AZ1374" s="958"/>
      <c r="BA1374" s="958"/>
      <c r="BB1374" s="958"/>
      <c r="BC1374" s="958"/>
      <c r="BD1374" s="958"/>
      <c r="BE1374" s="958"/>
      <c r="BF1374" s="958"/>
      <c r="BG1374" s="958"/>
      <c r="BH1374" s="1125"/>
      <c r="CF1374" s="692"/>
      <c r="CG1374" s="692"/>
      <c r="CH1374" s="692"/>
      <c r="CI1374" s="692"/>
      <c r="CJ1374" s="692"/>
      <c r="CK1374" s="692"/>
      <c r="CL1374" s="692"/>
      <c r="CM1374" s="692"/>
      <c r="CN1374" s="692"/>
      <c r="CO1374" s="692"/>
      <c r="CP1374" s="692"/>
      <c r="CQ1374" s="692"/>
      <c r="CR1374" s="692"/>
      <c r="CS1374" s="692"/>
      <c r="CT1374" s="692"/>
      <c r="CU1374" s="692"/>
      <c r="CV1374" s="692"/>
      <c r="CW1374" s="692"/>
      <c r="CX1374" s="692"/>
      <c r="CY1374" s="692"/>
      <c r="CZ1374" s="692"/>
      <c r="DA1374" s="692"/>
      <c r="DB1374" s="692"/>
      <c r="DC1374" s="692"/>
      <c r="DD1374" s="692"/>
      <c r="DE1374" s="692"/>
      <c r="DF1374" s="692"/>
      <c r="DG1374" s="692"/>
      <c r="DH1374" s="692"/>
      <c r="DI1374" s="693"/>
      <c r="DJ1374" s="692"/>
      <c r="DK1374" s="692"/>
      <c r="DL1374" s="692"/>
      <c r="DM1374" s="692"/>
      <c r="DN1374" s="692"/>
      <c r="DO1374" s="692"/>
      <c r="DP1374" s="692"/>
      <c r="DQ1374" s="692"/>
      <c r="DR1374" s="692"/>
      <c r="DS1374" s="692"/>
    </row>
    <row r="1375" spans="1:123" s="76" customFormat="1" ht="15" customHeight="1">
      <c r="A1375" s="2119" t="s">
        <v>492</v>
      </c>
      <c r="B1375" s="1052" t="s">
        <v>514</v>
      </c>
      <c r="C1375" s="1053" t="s">
        <v>12</v>
      </c>
      <c r="D1375" s="284" t="s">
        <v>532</v>
      </c>
      <c r="E1375" s="281">
        <v>40</v>
      </c>
      <c r="F1375" s="285">
        <v>1062</v>
      </c>
      <c r="G1375" s="281">
        <v>579</v>
      </c>
      <c r="H1375" s="165">
        <v>109.35</v>
      </c>
      <c r="I1375" s="166">
        <v>59.31</v>
      </c>
      <c r="J1375" s="271" t="s">
        <v>14</v>
      </c>
      <c r="K1375" s="1164" t="s">
        <v>517</v>
      </c>
      <c r="L1375" s="271" t="s">
        <v>14</v>
      </c>
      <c r="M1375" s="1188" t="s">
        <v>517</v>
      </c>
      <c r="N1375" s="1238">
        <v>-2E-3</v>
      </c>
      <c r="O1375" s="480">
        <v>0.36</v>
      </c>
      <c r="P1375" s="480">
        <v>6.0000000000000001E-3</v>
      </c>
      <c r="Q1375" s="254" t="s">
        <v>15</v>
      </c>
      <c r="R1375" s="283">
        <v>6.0000000000000001E-3</v>
      </c>
      <c r="S1375" s="124" t="s">
        <v>68</v>
      </c>
      <c r="T1375" s="125" t="s">
        <v>69</v>
      </c>
      <c r="U1375" s="858"/>
      <c r="V1375" s="2134" t="s">
        <v>2749</v>
      </c>
      <c r="W1375" s="211" t="s">
        <v>47</v>
      </c>
      <c r="X1375" s="219" t="s">
        <v>491</v>
      </c>
      <c r="Y1375" s="539">
        <v>0</v>
      </c>
      <c r="Z1375" s="539" t="s">
        <v>40</v>
      </c>
      <c r="AA1375" s="172" t="s">
        <v>40</v>
      </c>
      <c r="AB1375" s="923"/>
      <c r="AC1375" s="26"/>
      <c r="AD1375" s="2137" t="s">
        <v>142</v>
      </c>
      <c r="AE1375" s="2248"/>
      <c r="AF1375" s="218" t="s">
        <v>49</v>
      </c>
      <c r="AG1375" s="335" t="s">
        <v>515</v>
      </c>
      <c r="AH1375" s="1328">
        <f>Y1376</f>
        <v>87.362499999999997</v>
      </c>
      <c r="AI1375" s="168"/>
      <c r="AJ1375" s="168"/>
      <c r="AK1375" s="168">
        <v>61.67</v>
      </c>
      <c r="AL1375" s="168">
        <v>67.84</v>
      </c>
      <c r="AM1375" s="168">
        <v>76.31</v>
      </c>
      <c r="AN1375" s="168"/>
      <c r="AO1375" s="168"/>
      <c r="AP1375" s="168"/>
      <c r="AQ1375" s="168"/>
      <c r="AR1375" s="168"/>
      <c r="AS1375" s="168"/>
      <c r="AT1375" s="1041"/>
      <c r="AU1375" s="1041"/>
      <c r="AV1375" s="731">
        <f>AH1375-AVERAGE(AI1375:AU1375)</f>
        <v>18.755833333333328</v>
      </c>
      <c r="AW1375" s="1341">
        <f>AV1375/AVERAGE(AI1375:AU1375)</f>
        <v>0.27338208143037596</v>
      </c>
      <c r="AX1375" s="1012"/>
      <c r="AY1375" s="1012"/>
      <c r="AZ1375" s="1012"/>
      <c r="BA1375" s="1012"/>
      <c r="BB1375" s="1012"/>
      <c r="BC1375" s="1012"/>
      <c r="BD1375" s="1012"/>
      <c r="BE1375" s="1012"/>
      <c r="BF1375" s="1012"/>
      <c r="BG1375" s="1012"/>
      <c r="BH1375" s="1125"/>
      <c r="CF1375" s="557"/>
      <c r="CG1375" s="557"/>
      <c r="CH1375" s="557"/>
      <c r="CI1375" s="557"/>
      <c r="CJ1375" s="557"/>
      <c r="CK1375" s="557"/>
      <c r="CL1375" s="557"/>
      <c r="CM1375" s="557"/>
      <c r="CN1375" s="557"/>
      <c r="CO1375" s="557"/>
      <c r="CP1375" s="557"/>
      <c r="CQ1375" s="557"/>
      <c r="CR1375" s="557"/>
      <c r="CS1375" s="557"/>
      <c r="CT1375" s="557"/>
      <c r="CU1375" s="557"/>
      <c r="CV1375" s="557"/>
      <c r="CW1375" s="557"/>
      <c r="CX1375" s="557"/>
      <c r="CY1375" s="557"/>
      <c r="CZ1375" s="557"/>
      <c r="DA1375" s="557"/>
      <c r="DB1375" s="557"/>
      <c r="DC1375" s="557"/>
      <c r="DD1375" s="557"/>
      <c r="DE1375" s="557"/>
      <c r="DF1375" s="557"/>
      <c r="DG1375" s="557"/>
      <c r="DH1375" s="557"/>
      <c r="DI1375" s="569"/>
      <c r="DJ1375" s="557"/>
      <c r="DK1375" s="557"/>
      <c r="DL1375" s="557"/>
      <c r="DM1375" s="557"/>
      <c r="DN1375" s="557"/>
      <c r="DO1375" s="557"/>
      <c r="DP1375" s="557"/>
      <c r="DQ1375" s="557"/>
      <c r="DR1375" s="557"/>
      <c r="DS1375" s="557"/>
    </row>
    <row r="1376" spans="1:123" ht="15" customHeight="1">
      <c r="A1376" s="2120"/>
      <c r="B1376" s="2178" t="s">
        <v>480</v>
      </c>
      <c r="C1376" s="2180" t="s">
        <v>11</v>
      </c>
      <c r="D1376" s="232" t="s">
        <v>490</v>
      </c>
      <c r="E1376" s="534">
        <v>2</v>
      </c>
      <c r="F1376" s="148" t="s">
        <v>15</v>
      </c>
      <c r="G1376" s="148" t="s">
        <v>15</v>
      </c>
      <c r="H1376" s="165">
        <v>56.88</v>
      </c>
      <c r="I1376" s="166">
        <v>9.7200000000000006</v>
      </c>
      <c r="J1376" s="268" t="s">
        <v>15</v>
      </c>
      <c r="K1376" s="132" t="s">
        <v>15</v>
      </c>
      <c r="L1376" s="268" t="s">
        <v>15</v>
      </c>
      <c r="M1376" s="132" t="s">
        <v>15</v>
      </c>
      <c r="N1376" s="1190">
        <v>-60.55</v>
      </c>
      <c r="O1376" s="2156">
        <v>3.35</v>
      </c>
      <c r="P1376" s="2156">
        <v>18.07</v>
      </c>
      <c r="Q1376" s="258">
        <f t="shared" ref="Q1376:Q1395" si="78">E1376/40</f>
        <v>0.05</v>
      </c>
      <c r="R1376" s="2155">
        <f>SUMPRODUCT(Q1376:Q1377,N1376:N1377)</f>
        <v>-3.0274999999999999</v>
      </c>
      <c r="S1376" s="221" t="s">
        <v>510</v>
      </c>
      <c r="T1376" s="556" t="s">
        <v>310</v>
      </c>
      <c r="U1376" s="859"/>
      <c r="V1376" s="2135"/>
      <c r="W1376" s="232" t="s">
        <v>49</v>
      </c>
      <c r="X1376" s="335" t="s">
        <v>515</v>
      </c>
      <c r="Y1376" s="539">
        <f>((300*$R$1375)+$T$1382+$N$1377+$N$1379+$N$1381+$N$1383+$N$1385+$N$1390)*(1+$T$1384)</f>
        <v>87.362499999999997</v>
      </c>
      <c r="Z1376" s="539">
        <f>Y1376</f>
        <v>87.362499999999997</v>
      </c>
      <c r="AA1376" s="172">
        <f>12.31/109.35*Y1376</f>
        <v>9.8347725194330149</v>
      </c>
      <c r="AB1376" s="923"/>
      <c r="AC1376" s="26"/>
      <c r="AD1376" s="20" t="s">
        <v>98</v>
      </c>
      <c r="AE1376" s="278">
        <v>0</v>
      </c>
      <c r="AF1376" s="289" t="s">
        <v>49</v>
      </c>
      <c r="AG1376" s="558" t="s">
        <v>516</v>
      </c>
      <c r="AH1376" s="1328">
        <f t="shared" ref="AH1376:AH1378" si="79">Y1377</f>
        <v>164.38749999999999</v>
      </c>
      <c r="AI1376" s="168"/>
      <c r="AJ1376" s="168"/>
      <c r="AK1376" s="168"/>
      <c r="AL1376" s="168">
        <v>128.33000000000001</v>
      </c>
      <c r="AM1376" s="168">
        <v>157.79</v>
      </c>
      <c r="AN1376" s="168"/>
      <c r="AO1376" s="168"/>
      <c r="AP1376" s="168"/>
      <c r="AQ1376" s="168"/>
      <c r="AR1376" s="168">
        <v>134.29</v>
      </c>
      <c r="AS1376" s="168"/>
      <c r="AT1376" s="168"/>
      <c r="AU1376" s="168"/>
      <c r="AV1376" s="731">
        <f t="shared" ref="AV1376:AV1378" si="80">AH1376-AVERAGE(AI1376:AU1376)</f>
        <v>24.250833333333333</v>
      </c>
      <c r="AW1376" s="1341">
        <f t="shared" ref="AW1376:AW1378" si="81">AV1376/AVERAGE(AI1376:AU1376)</f>
        <v>0.17305130705739635</v>
      </c>
      <c r="AX1376" s="1012"/>
      <c r="AY1376" s="1012"/>
      <c r="AZ1376" s="1012"/>
      <c r="BA1376" s="1012"/>
      <c r="BB1376" s="1012"/>
      <c r="BC1376" s="1012"/>
      <c r="BD1376" s="1012"/>
      <c r="BE1376" s="1012"/>
      <c r="BF1376" s="1012"/>
      <c r="BG1376" s="1012"/>
    </row>
    <row r="1377" spans="1:59" ht="15" customHeight="1">
      <c r="A1377" s="2120"/>
      <c r="B1377" s="2166"/>
      <c r="C1377" s="2144"/>
      <c r="D1377" s="291" t="s">
        <v>32</v>
      </c>
      <c r="E1377" s="452">
        <v>38</v>
      </c>
      <c r="F1377" s="148" t="s">
        <v>15</v>
      </c>
      <c r="G1377" s="148" t="s">
        <v>15</v>
      </c>
      <c r="H1377" s="165">
        <v>112.11</v>
      </c>
      <c r="I1377" s="166">
        <v>59.57</v>
      </c>
      <c r="J1377" s="234" t="s">
        <v>15</v>
      </c>
      <c r="K1377" s="233" t="s">
        <v>15</v>
      </c>
      <c r="L1377" s="234" t="s">
        <v>15</v>
      </c>
      <c r="M1377" s="233" t="s">
        <v>15</v>
      </c>
      <c r="N1377" s="1239">
        <v>0</v>
      </c>
      <c r="O1377" s="2128"/>
      <c r="P1377" s="2128"/>
      <c r="Q1377" s="128">
        <f t="shared" si="78"/>
        <v>0.95</v>
      </c>
      <c r="R1377" s="2129"/>
      <c r="S1377" s="127" t="s">
        <v>72</v>
      </c>
      <c r="T1377" s="119" t="s">
        <v>119</v>
      </c>
      <c r="U1377" s="855"/>
      <c r="V1377" s="2136"/>
      <c r="W1377" s="982" t="s">
        <v>49</v>
      </c>
      <c r="X1377" s="558" t="s">
        <v>516</v>
      </c>
      <c r="Y1377" s="1319">
        <f>((1000*$R$1375)+$T$1382+$N$1377+$N$1379+$N$1381+$N$1383+$N$1384+$N$1392)*(1+$T$1384)</f>
        <v>164.38749999999999</v>
      </c>
      <c r="Z1377" s="1319">
        <f t="shared" ref="Z1377:Z1379" si="82">Y1377</f>
        <v>164.38749999999999</v>
      </c>
      <c r="AA1377" s="172">
        <f>12.31/109.35*Y1377</f>
        <v>18.50580818472794</v>
      </c>
      <c r="AB1377" s="923"/>
      <c r="AC1377" s="26"/>
      <c r="AD1377" s="20" t="s">
        <v>143</v>
      </c>
      <c r="AE1377" s="278">
        <v>0.107</v>
      </c>
      <c r="AF1377" s="289" t="s">
        <v>49</v>
      </c>
      <c r="AG1377" s="335" t="s">
        <v>2176</v>
      </c>
      <c r="AH1377" s="1328">
        <f t="shared" si="79"/>
        <v>323.71250000000003</v>
      </c>
      <c r="AI1377" s="168">
        <v>285.54000000000002</v>
      </c>
      <c r="AJ1377" s="168">
        <v>174</v>
      </c>
      <c r="AK1377" s="168"/>
      <c r="AL1377" s="168"/>
      <c r="AM1377" s="168"/>
      <c r="AN1377" s="168"/>
      <c r="AO1377" s="168"/>
      <c r="AP1377" s="168"/>
      <c r="AQ1377" s="168"/>
      <c r="AR1377" s="168"/>
      <c r="AS1377" s="168">
        <v>189</v>
      </c>
      <c r="AT1377" s="168">
        <v>212.06</v>
      </c>
      <c r="AU1377" s="168">
        <v>134</v>
      </c>
      <c r="AV1377" s="731">
        <f t="shared" si="80"/>
        <v>124.79250000000005</v>
      </c>
      <c r="AW1377" s="1341">
        <f t="shared" si="81"/>
        <v>0.62735019103157075</v>
      </c>
      <c r="AX1377" s="1012"/>
      <c r="AY1377" s="1012"/>
      <c r="AZ1377" s="1012"/>
      <c r="BA1377" s="1012"/>
      <c r="BB1377" s="1012"/>
      <c r="BC1377" s="1012"/>
      <c r="BD1377" s="1012"/>
      <c r="BE1377" s="1012"/>
      <c r="BF1377" s="1012"/>
      <c r="BG1377" s="1012"/>
    </row>
    <row r="1378" spans="1:59" ht="15" customHeight="1">
      <c r="A1378" s="2120"/>
      <c r="B1378" s="2166" t="s">
        <v>481</v>
      </c>
      <c r="C1378" s="2144" t="s">
        <v>11</v>
      </c>
      <c r="D1378" s="291" t="s">
        <v>490</v>
      </c>
      <c r="E1378" s="452">
        <v>1</v>
      </c>
      <c r="F1378" s="148" t="s">
        <v>15</v>
      </c>
      <c r="G1378" s="148" t="s">
        <v>15</v>
      </c>
      <c r="H1378" s="165">
        <v>166.69</v>
      </c>
      <c r="I1378" s="233" t="s">
        <v>15</v>
      </c>
      <c r="J1378" s="234" t="s">
        <v>15</v>
      </c>
      <c r="K1378" s="233" t="s">
        <v>15</v>
      </c>
      <c r="L1378" s="234" t="s">
        <v>15</v>
      </c>
      <c r="M1378" s="233" t="s">
        <v>15</v>
      </c>
      <c r="N1378" s="537">
        <v>49.27</v>
      </c>
      <c r="O1378" s="2126">
        <v>2.21</v>
      </c>
      <c r="P1378" s="2126">
        <v>22.33</v>
      </c>
      <c r="Q1378" s="128">
        <f t="shared" si="78"/>
        <v>2.5000000000000001E-2</v>
      </c>
      <c r="R1378" s="2129">
        <f>SUMPRODUCT(Q1378:Q1379,N1378:N1379)</f>
        <v>1.2317500000000001</v>
      </c>
      <c r="S1378" s="423" t="s">
        <v>139</v>
      </c>
      <c r="T1378" s="411" t="s">
        <v>140</v>
      </c>
      <c r="U1378" s="859"/>
      <c r="V1378" s="2143" t="s">
        <v>2698</v>
      </c>
      <c r="W1378" s="982" t="s">
        <v>49</v>
      </c>
      <c r="X1378" s="335" t="s">
        <v>2175</v>
      </c>
      <c r="Y1378" s="1319">
        <f>((2000*$R$1375)+$T$1382+$N$1377+$N$1379+$N$1380+$N$1383+$N$1385+$N$1390)*(1+$T$1384)</f>
        <v>323.71250000000003</v>
      </c>
      <c r="Z1378" s="1319">
        <f t="shared" si="82"/>
        <v>323.71250000000003</v>
      </c>
      <c r="AA1378" s="172">
        <f>12.31/109.35*Y1378</f>
        <v>36.44170896204848</v>
      </c>
      <c r="AB1378" s="923"/>
      <c r="AC1378" s="26"/>
      <c r="AD1378" s="20" t="s">
        <v>144</v>
      </c>
      <c r="AE1378" s="278">
        <v>-0.104</v>
      </c>
      <c r="AF1378" s="289" t="s">
        <v>49</v>
      </c>
      <c r="AG1378" s="335" t="s">
        <v>2177</v>
      </c>
      <c r="AH1378" s="1328">
        <f t="shared" si="79"/>
        <v>164.38749999999999</v>
      </c>
      <c r="AI1378" s="168"/>
      <c r="AJ1378" s="168"/>
      <c r="AK1378" s="168"/>
      <c r="AL1378" s="168"/>
      <c r="AM1378" s="168"/>
      <c r="AN1378" s="168">
        <v>72.2</v>
      </c>
      <c r="AO1378" s="168">
        <v>78.569999999999993</v>
      </c>
      <c r="AP1378" s="168">
        <v>104</v>
      </c>
      <c r="AQ1378" s="168">
        <v>146</v>
      </c>
      <c r="AR1378" s="168"/>
      <c r="AS1378" s="168"/>
      <c r="AT1378" s="168"/>
      <c r="AU1378" s="168">
        <v>119</v>
      </c>
      <c r="AV1378" s="731">
        <f t="shared" si="80"/>
        <v>60.433499999999995</v>
      </c>
      <c r="AW1378" s="1341">
        <f t="shared" si="81"/>
        <v>0.58134848105892989</v>
      </c>
      <c r="AX1378" s="1012"/>
      <c r="AY1378" s="1012"/>
      <c r="AZ1378" s="1012"/>
      <c r="BA1378" s="1012"/>
      <c r="BB1378" s="1012"/>
      <c r="BC1378" s="1012"/>
      <c r="BD1378" s="1012"/>
      <c r="BE1378" s="1012"/>
      <c r="BF1378" s="1012"/>
      <c r="BG1378" s="1012"/>
    </row>
    <row r="1379" spans="1:59" ht="15" customHeight="1">
      <c r="A1379" s="2120"/>
      <c r="B1379" s="2166"/>
      <c r="C1379" s="2144"/>
      <c r="D1379" s="291" t="s">
        <v>32</v>
      </c>
      <c r="E1379" s="95">
        <v>39</v>
      </c>
      <c r="F1379" s="148" t="s">
        <v>15</v>
      </c>
      <c r="G1379" s="148" t="s">
        <v>15</v>
      </c>
      <c r="H1379" s="165">
        <v>107.88</v>
      </c>
      <c r="I1379" s="166">
        <v>59.34</v>
      </c>
      <c r="J1379" s="234" t="s">
        <v>15</v>
      </c>
      <c r="K1379" s="233" t="s">
        <v>15</v>
      </c>
      <c r="L1379" s="234" t="s">
        <v>15</v>
      </c>
      <c r="M1379" s="233" t="s">
        <v>15</v>
      </c>
      <c r="N1379" s="1239">
        <v>0</v>
      </c>
      <c r="O1379" s="2128"/>
      <c r="P1379" s="2128"/>
      <c r="Q1379" s="128">
        <f t="shared" si="78"/>
        <v>0.97499999999999998</v>
      </c>
      <c r="R1379" s="2129"/>
      <c r="S1379" s="127" t="s">
        <v>74</v>
      </c>
      <c r="T1379" s="129" t="s">
        <v>75</v>
      </c>
      <c r="U1379" s="858"/>
      <c r="V1379" s="2143"/>
      <c r="W1379" s="982" t="s">
        <v>49</v>
      </c>
      <c r="X1379" s="335" t="s">
        <v>2177</v>
      </c>
      <c r="Y1379" s="1319">
        <f>((1000*$R$1375)+$T$1382+$N$1377+$N$1379+$N$1381+$N$1383+$N$1384+$N$1392)*(1+$T$1384)</f>
        <v>164.38749999999999</v>
      </c>
      <c r="Z1379" s="1319">
        <f t="shared" si="82"/>
        <v>164.38749999999999</v>
      </c>
      <c r="AA1379" s="172">
        <f>12.31/109.35*Y1379</f>
        <v>18.50580818472794</v>
      </c>
      <c r="AB1379" s="923"/>
      <c r="AC1379" s="26"/>
      <c r="AD1379" s="20" t="s">
        <v>145</v>
      </c>
      <c r="AE1379" s="278">
        <v>0.14699999999999999</v>
      </c>
      <c r="AF1379" s="75"/>
      <c r="AG1379" s="26"/>
      <c r="AH1379" s="957"/>
      <c r="AI1379" s="957"/>
      <c r="AJ1379" s="957"/>
      <c r="AK1379" s="957"/>
      <c r="AL1379" s="957"/>
      <c r="AM1379" s="957"/>
      <c r="AN1379" s="957"/>
      <c r="AO1379" s="957"/>
      <c r="AP1379" s="957"/>
      <c r="AQ1379" s="957"/>
      <c r="AR1379" s="957"/>
      <c r="AS1379" s="957"/>
      <c r="AT1379" s="957"/>
      <c r="AU1379" s="957"/>
      <c r="AV1379" s="957"/>
      <c r="AW1379" s="957"/>
      <c r="AX1379" s="957"/>
      <c r="AY1379" s="957"/>
      <c r="AZ1379" s="957"/>
      <c r="BA1379" s="957"/>
      <c r="BB1379" s="957"/>
      <c r="BC1379" s="957"/>
      <c r="BD1379" s="957"/>
      <c r="BE1379" s="957"/>
      <c r="BF1379" s="957"/>
      <c r="BG1379" s="957"/>
    </row>
    <row r="1380" spans="1:59" ht="15" customHeight="1">
      <c r="A1380" s="2120"/>
      <c r="B1380" s="2166" t="s">
        <v>482</v>
      </c>
      <c r="C1380" s="2144" t="s">
        <v>11</v>
      </c>
      <c r="D1380" s="291" t="s">
        <v>490</v>
      </c>
      <c r="E1380" s="452">
        <v>3</v>
      </c>
      <c r="F1380" s="148" t="s">
        <v>15</v>
      </c>
      <c r="G1380" s="148" t="s">
        <v>15</v>
      </c>
      <c r="H1380" s="165">
        <v>246.97</v>
      </c>
      <c r="I1380" s="166">
        <v>0</v>
      </c>
      <c r="J1380" s="234" t="s">
        <v>15</v>
      </c>
      <c r="K1380" s="233" t="s">
        <v>15</v>
      </c>
      <c r="L1380" s="234" t="s">
        <v>15</v>
      </c>
      <c r="M1380" s="233" t="s">
        <v>15</v>
      </c>
      <c r="N1380" s="537">
        <v>178.88</v>
      </c>
      <c r="O1380" s="2126">
        <v>14.08</v>
      </c>
      <c r="P1380" s="2126">
        <v>12.71</v>
      </c>
      <c r="Q1380" s="128">
        <f t="shared" si="78"/>
        <v>7.4999999999999997E-2</v>
      </c>
      <c r="R1380" s="2129">
        <f>SUMPRODUCT(Q1380:Q1381,N1380:N1381)</f>
        <v>13.415999999999999</v>
      </c>
      <c r="S1380" s="95">
        <v>40</v>
      </c>
      <c r="T1380" s="117" t="s">
        <v>15</v>
      </c>
      <c r="U1380" s="854"/>
      <c r="V1380" s="24"/>
      <c r="W1380" s="26"/>
      <c r="X1380" s="26"/>
      <c r="Y1380" s="26"/>
      <c r="Z1380" s="26"/>
      <c r="AA1380" s="26"/>
      <c r="AC1380" s="26"/>
      <c r="AD1380" s="24"/>
      <c r="AE1380" s="26"/>
      <c r="AF1380" s="75"/>
      <c r="AG1380" s="26"/>
      <c r="AH1380" s="957"/>
      <c r="AI1380" s="957"/>
      <c r="AJ1380" s="957"/>
      <c r="AK1380" s="957"/>
      <c r="AL1380" s="957"/>
      <c r="AM1380" s="957"/>
      <c r="AN1380" s="957"/>
      <c r="AO1380" s="957"/>
      <c r="AP1380" s="957"/>
      <c r="AQ1380" s="957"/>
      <c r="AR1380" s="957"/>
      <c r="AS1380" s="957"/>
      <c r="AT1380" s="957"/>
      <c r="AU1380" s="957"/>
      <c r="AV1380" s="957"/>
      <c r="AW1380" s="957"/>
      <c r="AX1380" s="957"/>
      <c r="AY1380" s="957"/>
      <c r="AZ1380" s="957"/>
      <c r="BA1380" s="957"/>
      <c r="BB1380" s="957"/>
      <c r="BC1380" s="957"/>
      <c r="BD1380" s="957"/>
      <c r="BE1380" s="957"/>
      <c r="BF1380" s="957"/>
      <c r="BG1380" s="957"/>
    </row>
    <row r="1381" spans="1:59" ht="15" customHeight="1">
      <c r="A1381" s="2120"/>
      <c r="B1381" s="2166"/>
      <c r="C1381" s="2144"/>
      <c r="D1381" s="291" t="s">
        <v>32</v>
      </c>
      <c r="E1381" s="452">
        <v>37</v>
      </c>
      <c r="F1381" s="148" t="s">
        <v>15</v>
      </c>
      <c r="G1381" s="148" t="s">
        <v>15</v>
      </c>
      <c r="H1381" s="165">
        <v>98.19</v>
      </c>
      <c r="I1381" s="166">
        <v>45.88</v>
      </c>
      <c r="J1381" s="234" t="s">
        <v>15</v>
      </c>
      <c r="K1381" s="233" t="s">
        <v>15</v>
      </c>
      <c r="L1381" s="234" t="s">
        <v>15</v>
      </c>
      <c r="M1381" s="233" t="s">
        <v>15</v>
      </c>
      <c r="N1381" s="1239">
        <v>0</v>
      </c>
      <c r="O1381" s="2128"/>
      <c r="P1381" s="2128"/>
      <c r="Q1381" s="128">
        <f t="shared" si="78"/>
        <v>0.92500000000000004</v>
      </c>
      <c r="R1381" s="2129"/>
      <c r="S1381" s="127" t="s">
        <v>41</v>
      </c>
      <c r="T1381" s="129" t="s">
        <v>42</v>
      </c>
      <c r="U1381" s="858"/>
      <c r="V1381" s="24"/>
      <c r="W1381" s="26"/>
      <c r="X1381" s="26"/>
      <c r="Y1381" s="26"/>
      <c r="Z1381" s="26"/>
      <c r="AA1381" s="26"/>
      <c r="AC1381" s="26"/>
      <c r="AD1381" s="24"/>
      <c r="AE1381" s="26"/>
      <c r="AF1381" s="75"/>
      <c r="AG1381" s="26"/>
      <c r="AH1381" s="957"/>
      <c r="AI1381" s="957"/>
      <c r="AJ1381" s="957"/>
      <c r="AK1381" s="957"/>
      <c r="AL1381" s="957"/>
      <c r="AM1381" s="957"/>
      <c r="AN1381" s="957"/>
      <c r="AO1381" s="957"/>
      <c r="AP1381" s="957"/>
      <c r="AQ1381" s="957"/>
      <c r="AR1381" s="957"/>
      <c r="AS1381" s="957"/>
      <c r="AT1381" s="957"/>
      <c r="AU1381" s="957"/>
      <c r="AV1381" s="957"/>
      <c r="AW1381" s="957"/>
      <c r="AX1381" s="957"/>
      <c r="AY1381" s="957"/>
      <c r="AZ1381" s="957"/>
      <c r="BA1381" s="957"/>
      <c r="BB1381" s="957"/>
      <c r="BC1381" s="957"/>
      <c r="BD1381" s="957"/>
      <c r="BE1381" s="957"/>
      <c r="BF1381" s="957"/>
      <c r="BG1381" s="957"/>
    </row>
    <row r="1382" spans="1:59" ht="15" customHeight="1">
      <c r="A1382" s="2120"/>
      <c r="B1382" s="2166" t="s">
        <v>483</v>
      </c>
      <c r="C1382" s="2144" t="s">
        <v>11</v>
      </c>
      <c r="D1382" s="291" t="s">
        <v>490</v>
      </c>
      <c r="E1382" s="452">
        <v>2</v>
      </c>
      <c r="F1382" s="148" t="s">
        <v>15</v>
      </c>
      <c r="G1382" s="148" t="s">
        <v>15</v>
      </c>
      <c r="H1382" s="165">
        <v>197.29</v>
      </c>
      <c r="I1382" s="166">
        <v>0</v>
      </c>
      <c r="J1382" s="234" t="s">
        <v>15</v>
      </c>
      <c r="K1382" s="233" t="s">
        <v>15</v>
      </c>
      <c r="L1382" s="234" t="s">
        <v>15</v>
      </c>
      <c r="M1382" s="233" t="s">
        <v>15</v>
      </c>
      <c r="N1382" s="537">
        <v>101.15</v>
      </c>
      <c r="O1382" s="2126">
        <v>5.91</v>
      </c>
      <c r="P1382" s="2126">
        <v>17.13</v>
      </c>
      <c r="Q1382" s="128">
        <f t="shared" si="78"/>
        <v>0.05</v>
      </c>
      <c r="R1382" s="2129">
        <f>SUMPRODUCT(Q1382:Q1383,N1382:N1383)</f>
        <v>5.057500000000001</v>
      </c>
      <c r="S1382" s="86">
        <v>0.92700000000000005</v>
      </c>
      <c r="T1382" s="302">
        <v>117.42</v>
      </c>
      <c r="U1382" s="874"/>
      <c r="V1382" s="24"/>
      <c r="W1382" s="26"/>
      <c r="X1382" s="26"/>
      <c r="Y1382" s="26"/>
      <c r="Z1382" s="26"/>
      <c r="AA1382" s="26"/>
      <c r="AC1382" s="26"/>
      <c r="AD1382" s="24"/>
      <c r="AE1382" s="26"/>
      <c r="AF1382" s="75"/>
      <c r="AG1382" s="26"/>
      <c r="AH1382" s="957"/>
      <c r="AI1382" s="957"/>
      <c r="AJ1382" s="957"/>
      <c r="AK1382" s="957"/>
      <c r="AL1382" s="957"/>
      <c r="AM1382" s="957"/>
      <c r="AN1382" s="957"/>
      <c r="AO1382" s="957"/>
      <c r="AP1382" s="957"/>
      <c r="AQ1382" s="957"/>
      <c r="AR1382" s="957"/>
      <c r="AS1382" s="957"/>
      <c r="AT1382" s="957"/>
      <c r="AU1382" s="957"/>
      <c r="AV1382" s="957"/>
      <c r="AW1382" s="957"/>
      <c r="AX1382" s="957"/>
      <c r="AY1382" s="957"/>
      <c r="AZ1382" s="957"/>
      <c r="BA1382" s="957"/>
      <c r="BB1382" s="957"/>
      <c r="BC1382" s="957"/>
      <c r="BD1382" s="957"/>
      <c r="BE1382" s="957"/>
      <c r="BF1382" s="957"/>
      <c r="BG1382" s="957"/>
    </row>
    <row r="1383" spans="1:59" ht="15" customHeight="1">
      <c r="A1383" s="2120"/>
      <c r="B1383" s="2166"/>
      <c r="C1383" s="2144"/>
      <c r="D1383" s="291" t="s">
        <v>32</v>
      </c>
      <c r="E1383" s="452">
        <v>38</v>
      </c>
      <c r="F1383" s="148" t="s">
        <v>15</v>
      </c>
      <c r="G1383" s="148" t="s">
        <v>15</v>
      </c>
      <c r="H1383" s="165">
        <v>104.72</v>
      </c>
      <c r="I1383" s="166">
        <v>57.17</v>
      </c>
      <c r="J1383" s="234" t="s">
        <v>15</v>
      </c>
      <c r="K1383" s="233" t="s">
        <v>15</v>
      </c>
      <c r="L1383" s="234" t="s">
        <v>15</v>
      </c>
      <c r="M1383" s="233" t="s">
        <v>15</v>
      </c>
      <c r="N1383" s="1239">
        <v>0</v>
      </c>
      <c r="O1383" s="2128"/>
      <c r="P1383" s="2128"/>
      <c r="Q1383" s="128">
        <f t="shared" si="78"/>
        <v>0.95</v>
      </c>
      <c r="R1383" s="2129"/>
      <c r="S1383" s="118" t="s">
        <v>235</v>
      </c>
      <c r="T1383" s="119" t="s">
        <v>391</v>
      </c>
      <c r="U1383" s="855"/>
      <c r="V1383" s="24"/>
      <c r="W1383" s="26"/>
      <c r="X1383" s="26"/>
      <c r="Y1383" s="26"/>
      <c r="Z1383" s="26"/>
      <c r="AA1383" s="26"/>
      <c r="AC1383" s="26"/>
      <c r="AD1383" s="24"/>
      <c r="AE1383" s="26"/>
      <c r="AF1383" s="75"/>
      <c r="AG1383" s="26"/>
      <c r="AH1383" s="957"/>
      <c r="AI1383" s="957"/>
      <c r="AJ1383" s="957"/>
      <c r="AK1383" s="957"/>
      <c r="AL1383" s="957"/>
      <c r="AM1383" s="957"/>
      <c r="AN1383" s="957"/>
      <c r="AO1383" s="957"/>
      <c r="AP1383" s="957"/>
      <c r="AQ1383" s="957"/>
      <c r="AR1383" s="957"/>
      <c r="AS1383" s="957"/>
      <c r="AT1383" s="957"/>
      <c r="AU1383" s="957"/>
      <c r="AV1383" s="957"/>
      <c r="AW1383" s="957"/>
      <c r="AX1383" s="957"/>
      <c r="AY1383" s="957"/>
      <c r="AZ1383" s="957"/>
      <c r="BA1383" s="957"/>
      <c r="BB1383" s="957"/>
      <c r="BC1383" s="957"/>
      <c r="BD1383" s="957"/>
      <c r="BE1383" s="957"/>
      <c r="BF1383" s="957"/>
      <c r="BG1383" s="957"/>
    </row>
    <row r="1384" spans="1:59" ht="15" customHeight="1">
      <c r="A1384" s="2120"/>
      <c r="B1384" s="2166" t="s">
        <v>484</v>
      </c>
      <c r="C1384" s="2144" t="s">
        <v>11</v>
      </c>
      <c r="D1384" s="291" t="s">
        <v>490</v>
      </c>
      <c r="E1384" s="452">
        <v>15</v>
      </c>
      <c r="F1384" s="148" t="s">
        <v>15</v>
      </c>
      <c r="G1384" s="148" t="s">
        <v>15</v>
      </c>
      <c r="H1384" s="165">
        <v>136.07</v>
      </c>
      <c r="I1384" s="166">
        <v>40.409999999999997</v>
      </c>
      <c r="J1384" s="234" t="s">
        <v>15</v>
      </c>
      <c r="K1384" s="233" t="s">
        <v>15</v>
      </c>
      <c r="L1384" s="234" t="s">
        <v>15</v>
      </c>
      <c r="M1384" s="233" t="s">
        <v>15</v>
      </c>
      <c r="N1384" s="537">
        <v>42.36</v>
      </c>
      <c r="O1384" s="2126">
        <v>5.14</v>
      </c>
      <c r="P1384" s="2126">
        <v>8.24</v>
      </c>
      <c r="Q1384" s="128">
        <f t="shared" si="78"/>
        <v>0.375</v>
      </c>
      <c r="R1384" s="2129">
        <f>SUMPRODUCT(Q1384:Q1385,N1384:N1385)</f>
        <v>15.885</v>
      </c>
      <c r="S1384" s="86">
        <v>12.31</v>
      </c>
      <c r="T1384" s="151">
        <v>0.25</v>
      </c>
      <c r="U1384" s="862"/>
      <c r="V1384" s="24"/>
      <c r="W1384" s="26"/>
      <c r="X1384" s="26"/>
      <c r="Y1384" s="26"/>
      <c r="Z1384" s="26"/>
      <c r="AA1384" s="26"/>
      <c r="AC1384" s="26"/>
      <c r="AD1384" s="24"/>
      <c r="AE1384" s="26"/>
      <c r="AF1384" s="75"/>
      <c r="AG1384" s="26"/>
      <c r="AH1384" s="957"/>
      <c r="AI1384" s="957"/>
      <c r="AJ1384" s="957"/>
      <c r="AK1384" s="957"/>
      <c r="AL1384" s="957"/>
      <c r="AM1384" s="957"/>
      <c r="AN1384" s="957"/>
      <c r="AO1384" s="957"/>
      <c r="AP1384" s="957"/>
      <c r="AQ1384" s="957"/>
      <c r="AR1384" s="957"/>
      <c r="AS1384" s="957"/>
      <c r="AT1384" s="957"/>
      <c r="AU1384" s="957"/>
      <c r="AV1384" s="957"/>
      <c r="AW1384" s="957"/>
      <c r="AX1384" s="957"/>
      <c r="AY1384" s="957"/>
      <c r="AZ1384" s="957"/>
      <c r="BA1384" s="957"/>
      <c r="BB1384" s="957"/>
      <c r="BC1384" s="957"/>
      <c r="BD1384" s="957"/>
      <c r="BE1384" s="957"/>
      <c r="BF1384" s="957"/>
      <c r="BG1384" s="957"/>
    </row>
    <row r="1385" spans="1:59" ht="15" customHeight="1">
      <c r="A1385" s="2120"/>
      <c r="B1385" s="2166"/>
      <c r="C1385" s="2144"/>
      <c r="D1385" s="291" t="s">
        <v>32</v>
      </c>
      <c r="E1385" s="452">
        <v>25</v>
      </c>
      <c r="F1385" s="148" t="s">
        <v>15</v>
      </c>
      <c r="G1385" s="148" t="s">
        <v>15</v>
      </c>
      <c r="H1385" s="165">
        <v>93.32</v>
      </c>
      <c r="I1385" s="166">
        <v>63.65</v>
      </c>
      <c r="J1385" s="234" t="s">
        <v>15</v>
      </c>
      <c r="K1385" s="233" t="s">
        <v>15</v>
      </c>
      <c r="L1385" s="234" t="s">
        <v>15</v>
      </c>
      <c r="M1385" s="233" t="s">
        <v>15</v>
      </c>
      <c r="N1385" s="1239">
        <v>0</v>
      </c>
      <c r="O1385" s="2128"/>
      <c r="P1385" s="2128"/>
      <c r="Q1385" s="128">
        <f t="shared" si="78"/>
        <v>0.625</v>
      </c>
      <c r="R1385" s="2129"/>
      <c r="S1385" s="26"/>
      <c r="T1385" s="26"/>
      <c r="V1385" s="24"/>
      <c r="W1385" s="26"/>
      <c r="X1385" s="26"/>
      <c r="Y1385" s="26"/>
      <c r="Z1385" s="26"/>
      <c r="AA1385" s="26"/>
      <c r="AC1385" s="26"/>
      <c r="AD1385" s="24"/>
      <c r="AE1385" s="26"/>
      <c r="AF1385" s="75"/>
      <c r="AG1385" s="26"/>
      <c r="AH1385" s="957"/>
      <c r="AI1385" s="957"/>
      <c r="AJ1385" s="957"/>
      <c r="AK1385" s="957"/>
      <c r="AL1385" s="957"/>
      <c r="AM1385" s="957"/>
      <c r="AN1385" s="957"/>
      <c r="AO1385" s="957"/>
      <c r="AP1385" s="957"/>
      <c r="AQ1385" s="957"/>
      <c r="AR1385" s="957"/>
      <c r="AS1385" s="957"/>
      <c r="AT1385" s="957"/>
      <c r="AU1385" s="957"/>
      <c r="AV1385" s="957"/>
      <c r="AW1385" s="957"/>
      <c r="AX1385" s="957"/>
      <c r="AY1385" s="957"/>
      <c r="AZ1385" s="957"/>
      <c r="BA1385" s="957"/>
      <c r="BB1385" s="957"/>
      <c r="BC1385" s="957"/>
      <c r="BD1385" s="957"/>
      <c r="BE1385" s="957"/>
      <c r="BF1385" s="957"/>
      <c r="BG1385" s="957"/>
    </row>
    <row r="1386" spans="1:59" ht="15" customHeight="1">
      <c r="A1386" s="2120"/>
      <c r="B1386" s="2166" t="s">
        <v>485</v>
      </c>
      <c r="C1386" s="2144" t="s">
        <v>11</v>
      </c>
      <c r="D1386" s="291" t="s">
        <v>490</v>
      </c>
      <c r="E1386" s="452">
        <v>1</v>
      </c>
      <c r="F1386" s="148" t="s">
        <v>15</v>
      </c>
      <c r="G1386" s="148" t="s">
        <v>15</v>
      </c>
      <c r="H1386" s="165">
        <v>67.89</v>
      </c>
      <c r="I1386" s="233" t="s">
        <v>15</v>
      </c>
      <c r="J1386" s="234" t="s">
        <v>15</v>
      </c>
      <c r="K1386" s="233" t="s">
        <v>15</v>
      </c>
      <c r="L1386" s="234" t="s">
        <v>15</v>
      </c>
      <c r="M1386" s="233" t="s">
        <v>15</v>
      </c>
      <c r="N1386" s="537">
        <v>-49.53</v>
      </c>
      <c r="O1386" s="2126">
        <v>2.2200000000000002</v>
      </c>
      <c r="P1386" s="2126">
        <v>22.33</v>
      </c>
      <c r="Q1386" s="128">
        <f t="shared" si="78"/>
        <v>2.5000000000000001E-2</v>
      </c>
      <c r="R1386" s="2129">
        <f>SUMPRODUCT(Q1386:Q1387,N1386:N1387)</f>
        <v>-1.2382500000000001</v>
      </c>
      <c r="S1386" s="26"/>
      <c r="T1386" s="26"/>
      <c r="V1386" s="24"/>
      <c r="W1386" s="26"/>
      <c r="X1386" s="26"/>
      <c r="Y1386" s="26"/>
      <c r="Z1386" s="26"/>
      <c r="AA1386" s="26"/>
      <c r="AC1386" s="26"/>
      <c r="AD1386" s="24"/>
      <c r="AE1386" s="26"/>
      <c r="AF1386" s="75"/>
      <c r="AG1386" s="26"/>
      <c r="AH1386" s="957"/>
      <c r="AI1386" s="957"/>
      <c r="AJ1386" s="957"/>
      <c r="AK1386" s="957"/>
      <c r="AL1386" s="957"/>
      <c r="AM1386" s="957"/>
      <c r="AN1386" s="957"/>
      <c r="AO1386" s="957"/>
      <c r="AP1386" s="957"/>
      <c r="AQ1386" s="957"/>
      <c r="AR1386" s="957"/>
      <c r="AS1386" s="957"/>
      <c r="AT1386" s="957"/>
      <c r="AU1386" s="957"/>
      <c r="AV1386" s="957"/>
      <c r="AW1386" s="957"/>
      <c r="AX1386" s="957"/>
      <c r="AY1386" s="957"/>
      <c r="AZ1386" s="957"/>
      <c r="BA1386" s="957"/>
      <c r="BB1386" s="957"/>
      <c r="BC1386" s="957"/>
      <c r="BD1386" s="957"/>
      <c r="BE1386" s="957"/>
      <c r="BF1386" s="957"/>
      <c r="BG1386" s="957"/>
    </row>
    <row r="1387" spans="1:59" ht="15" customHeight="1">
      <c r="A1387" s="2120"/>
      <c r="B1387" s="2166"/>
      <c r="C1387" s="2144"/>
      <c r="D1387" s="291" t="s">
        <v>32</v>
      </c>
      <c r="E1387" s="452">
        <v>39</v>
      </c>
      <c r="F1387" s="148" t="s">
        <v>15</v>
      </c>
      <c r="G1387" s="148" t="s">
        <v>15</v>
      </c>
      <c r="H1387" s="165">
        <v>110.41</v>
      </c>
      <c r="I1387" s="166">
        <v>59.7</v>
      </c>
      <c r="J1387" s="234" t="s">
        <v>15</v>
      </c>
      <c r="K1387" s="233" t="s">
        <v>15</v>
      </c>
      <c r="L1387" s="234" t="s">
        <v>15</v>
      </c>
      <c r="M1387" s="233" t="s">
        <v>15</v>
      </c>
      <c r="N1387" s="1239">
        <v>0</v>
      </c>
      <c r="O1387" s="2128"/>
      <c r="P1387" s="2128"/>
      <c r="Q1387" s="128">
        <f t="shared" si="78"/>
        <v>0.97499999999999998</v>
      </c>
      <c r="R1387" s="2129"/>
      <c r="S1387" s="26"/>
      <c r="T1387" s="26"/>
      <c r="V1387" s="24"/>
      <c r="W1387" s="26"/>
      <c r="X1387" s="26"/>
      <c r="Y1387" s="26"/>
      <c r="Z1387" s="26"/>
      <c r="AA1387" s="26"/>
      <c r="AC1387" s="26"/>
      <c r="AD1387" s="24"/>
      <c r="AE1387" s="26"/>
      <c r="AF1387" s="75"/>
      <c r="AG1387" s="26"/>
      <c r="AH1387" s="957"/>
      <c r="AI1387" s="957"/>
      <c r="AJ1387" s="957"/>
      <c r="AK1387" s="957"/>
      <c r="AL1387" s="957"/>
      <c r="AM1387" s="957"/>
      <c r="AN1387" s="957"/>
      <c r="AO1387" s="957"/>
      <c r="AP1387" s="957"/>
      <c r="AQ1387" s="957"/>
      <c r="AR1387" s="957"/>
      <c r="AS1387" s="957"/>
      <c r="AT1387" s="957"/>
      <c r="AU1387" s="957"/>
      <c r="AV1387" s="957"/>
      <c r="AW1387" s="957"/>
      <c r="AX1387" s="957"/>
      <c r="AY1387" s="957"/>
      <c r="AZ1387" s="957"/>
      <c r="BA1387" s="957"/>
      <c r="BB1387" s="957"/>
      <c r="BC1387" s="957"/>
      <c r="BD1387" s="957"/>
      <c r="BE1387" s="957"/>
      <c r="BF1387" s="957"/>
      <c r="BG1387" s="957"/>
    </row>
    <row r="1388" spans="1:59" ht="15" customHeight="1">
      <c r="A1388" s="2120"/>
      <c r="B1388" s="2166" t="s">
        <v>487</v>
      </c>
      <c r="C1388" s="2144" t="s">
        <v>11</v>
      </c>
      <c r="D1388" s="291" t="s">
        <v>490</v>
      </c>
      <c r="E1388" s="452">
        <v>3</v>
      </c>
      <c r="F1388" s="148" t="s">
        <v>15</v>
      </c>
      <c r="G1388" s="148" t="s">
        <v>15</v>
      </c>
      <c r="H1388" s="165">
        <v>144.78</v>
      </c>
      <c r="I1388" s="166">
        <v>41.79</v>
      </c>
      <c r="J1388" s="234" t="s">
        <v>15</v>
      </c>
      <c r="K1388" s="233" t="s">
        <v>15</v>
      </c>
      <c r="L1388" s="234" t="s">
        <v>15</v>
      </c>
      <c r="M1388" s="233" t="s">
        <v>15</v>
      </c>
      <c r="N1388" s="537">
        <v>48.54</v>
      </c>
      <c r="O1388" s="2126">
        <v>4.0999999999999996</v>
      </c>
      <c r="P1388" s="2126">
        <v>11.83</v>
      </c>
      <c r="Q1388" s="128">
        <f t="shared" si="78"/>
        <v>7.4999999999999997E-2</v>
      </c>
      <c r="R1388" s="2129">
        <f>SUMPRODUCT(Q1388:Q1389,N1388:N1389)</f>
        <v>3.6404999999999998</v>
      </c>
      <c r="S1388" s="26"/>
      <c r="T1388" s="26"/>
      <c r="V1388" s="24"/>
      <c r="W1388" s="26"/>
      <c r="X1388" s="26"/>
      <c r="Y1388" s="26"/>
      <c r="Z1388" s="26"/>
      <c r="AA1388" s="26"/>
      <c r="AC1388" s="26"/>
      <c r="AD1388" s="24"/>
      <c r="AE1388" s="26"/>
      <c r="AF1388" s="75"/>
      <c r="AG1388" s="26"/>
      <c r="AH1388" s="957"/>
      <c r="AI1388" s="957"/>
      <c r="AJ1388" s="957"/>
      <c r="AK1388" s="957"/>
      <c r="AL1388" s="957"/>
      <c r="AM1388" s="957"/>
      <c r="AN1388" s="957"/>
      <c r="AO1388" s="957"/>
      <c r="AP1388" s="957"/>
      <c r="AQ1388" s="957"/>
      <c r="AR1388" s="957"/>
      <c r="AS1388" s="957"/>
      <c r="AT1388" s="957"/>
      <c r="AU1388" s="957"/>
      <c r="AV1388" s="957"/>
      <c r="AW1388" s="957"/>
      <c r="AX1388" s="957"/>
      <c r="AY1388" s="957"/>
      <c r="AZ1388" s="957"/>
      <c r="BA1388" s="957"/>
      <c r="BB1388" s="957"/>
      <c r="BC1388" s="957"/>
      <c r="BD1388" s="957"/>
      <c r="BE1388" s="957"/>
      <c r="BF1388" s="957"/>
      <c r="BG1388" s="957"/>
    </row>
    <row r="1389" spans="1:59" ht="15" customHeight="1">
      <c r="A1389" s="2120"/>
      <c r="B1389" s="2166"/>
      <c r="C1389" s="2144"/>
      <c r="D1389" s="291" t="s">
        <v>32</v>
      </c>
      <c r="E1389" s="452">
        <v>37</v>
      </c>
      <c r="F1389" s="148" t="s">
        <v>15</v>
      </c>
      <c r="G1389" s="148" t="s">
        <v>15</v>
      </c>
      <c r="H1389" s="165">
        <v>106.48</v>
      </c>
      <c r="I1389" s="166">
        <v>60.01</v>
      </c>
      <c r="J1389" s="234" t="s">
        <v>15</v>
      </c>
      <c r="K1389" s="233" t="s">
        <v>15</v>
      </c>
      <c r="L1389" s="234" t="s">
        <v>15</v>
      </c>
      <c r="M1389" s="233" t="s">
        <v>15</v>
      </c>
      <c r="N1389" s="1239">
        <v>0</v>
      </c>
      <c r="O1389" s="2128"/>
      <c r="P1389" s="2128"/>
      <c r="Q1389" s="128">
        <f t="shared" si="78"/>
        <v>0.92500000000000004</v>
      </c>
      <c r="R1389" s="2129"/>
      <c r="S1389" s="26"/>
      <c r="T1389" s="26"/>
      <c r="V1389" s="24"/>
      <c r="W1389" s="26"/>
      <c r="X1389" s="26"/>
      <c r="Y1389" s="26"/>
      <c r="Z1389" s="26"/>
      <c r="AA1389" s="26"/>
      <c r="AC1389" s="26"/>
      <c r="AD1389" s="24"/>
      <c r="AE1389" s="26"/>
      <c r="AF1389" s="75"/>
      <c r="AG1389" s="26"/>
      <c r="AH1389" s="957"/>
      <c r="AI1389" s="957"/>
      <c r="AJ1389" s="957"/>
      <c r="AK1389" s="957"/>
      <c r="AL1389" s="957"/>
      <c r="AM1389" s="957"/>
      <c r="AN1389" s="957"/>
      <c r="AO1389" s="957"/>
      <c r="AP1389" s="957"/>
      <c r="AQ1389" s="957"/>
      <c r="AR1389" s="957"/>
      <c r="AS1389" s="957"/>
      <c r="AT1389" s="957"/>
      <c r="AU1389" s="957"/>
      <c r="AV1389" s="957"/>
      <c r="AW1389" s="957"/>
      <c r="AX1389" s="957"/>
      <c r="AY1389" s="957"/>
      <c r="AZ1389" s="957"/>
      <c r="BA1389" s="957"/>
      <c r="BB1389" s="957"/>
      <c r="BC1389" s="957"/>
      <c r="BD1389" s="957"/>
      <c r="BE1389" s="957"/>
      <c r="BF1389" s="957"/>
      <c r="BG1389" s="957"/>
    </row>
    <row r="1390" spans="1:59" ht="15" customHeight="1">
      <c r="A1390" s="2120"/>
      <c r="B1390" s="2166" t="s">
        <v>488</v>
      </c>
      <c r="C1390" s="2144" t="s">
        <v>11</v>
      </c>
      <c r="D1390" s="291" t="s">
        <v>490</v>
      </c>
      <c r="E1390" s="452">
        <v>20</v>
      </c>
      <c r="F1390" s="148" t="s">
        <v>15</v>
      </c>
      <c r="G1390" s="148" t="s">
        <v>15</v>
      </c>
      <c r="H1390" s="165">
        <v>123.37</v>
      </c>
      <c r="I1390" s="166">
        <v>62.27</v>
      </c>
      <c r="J1390" s="234" t="s">
        <v>15</v>
      </c>
      <c r="K1390" s="233" t="s">
        <v>15</v>
      </c>
      <c r="L1390" s="234" t="s">
        <v>15</v>
      </c>
      <c r="M1390" s="233" t="s">
        <v>15</v>
      </c>
      <c r="N1390" s="537">
        <v>-49.33</v>
      </c>
      <c r="O1390" s="2126">
        <v>4.1500000000000004</v>
      </c>
      <c r="P1390" s="2126">
        <v>11.88</v>
      </c>
      <c r="Q1390" s="128">
        <f t="shared" si="78"/>
        <v>0.5</v>
      </c>
      <c r="R1390" s="2129">
        <f>SUMPRODUCT(Q1390:Q1391,N1390:N1391)</f>
        <v>-24.664999999999999</v>
      </c>
      <c r="S1390" s="26"/>
      <c r="T1390" s="26"/>
      <c r="V1390" s="24"/>
      <c r="W1390" s="26"/>
      <c r="X1390" s="26"/>
      <c r="Y1390" s="26"/>
      <c r="Z1390" s="26"/>
      <c r="AA1390" s="26"/>
      <c r="AC1390" s="26"/>
      <c r="AD1390" s="24"/>
      <c r="AE1390" s="26"/>
      <c r="AF1390" s="75"/>
      <c r="AG1390" s="26"/>
      <c r="AH1390" s="957"/>
      <c r="AI1390" s="957"/>
      <c r="AJ1390" s="957"/>
      <c r="AK1390" s="957"/>
      <c r="AL1390" s="957"/>
      <c r="AM1390" s="957"/>
      <c r="AN1390" s="957"/>
      <c r="AO1390" s="957"/>
      <c r="AP1390" s="957"/>
      <c r="AQ1390" s="957"/>
      <c r="AR1390" s="957"/>
      <c r="AS1390" s="957"/>
      <c r="AT1390" s="957"/>
      <c r="AU1390" s="957"/>
      <c r="AV1390" s="957"/>
      <c r="AW1390" s="957"/>
      <c r="AX1390" s="957"/>
      <c r="AY1390" s="957"/>
      <c r="AZ1390" s="957"/>
      <c r="BA1390" s="957"/>
      <c r="BB1390" s="957"/>
      <c r="BC1390" s="957"/>
      <c r="BD1390" s="957"/>
      <c r="BE1390" s="957"/>
      <c r="BF1390" s="957"/>
      <c r="BG1390" s="957"/>
    </row>
    <row r="1391" spans="1:59" ht="15" customHeight="1">
      <c r="A1391" s="2120"/>
      <c r="B1391" s="2166"/>
      <c r="C1391" s="2144"/>
      <c r="D1391" s="291" t="s">
        <v>32</v>
      </c>
      <c r="E1391" s="452">
        <v>20</v>
      </c>
      <c r="F1391" s="148" t="s">
        <v>15</v>
      </c>
      <c r="G1391" s="148" t="s">
        <v>15</v>
      </c>
      <c r="H1391" s="165">
        <v>95.34</v>
      </c>
      <c r="I1391" s="166">
        <v>54.13</v>
      </c>
      <c r="J1391" s="234" t="s">
        <v>15</v>
      </c>
      <c r="K1391" s="233" t="s">
        <v>15</v>
      </c>
      <c r="L1391" s="234" t="s">
        <v>15</v>
      </c>
      <c r="M1391" s="233" t="s">
        <v>15</v>
      </c>
      <c r="N1391" s="1239">
        <v>0</v>
      </c>
      <c r="O1391" s="2128"/>
      <c r="P1391" s="2128"/>
      <c r="Q1391" s="128">
        <f t="shared" si="78"/>
        <v>0.5</v>
      </c>
      <c r="R1391" s="2129"/>
      <c r="S1391" s="26"/>
      <c r="T1391" s="26"/>
      <c r="V1391" s="24"/>
      <c r="W1391" s="26"/>
      <c r="X1391" s="26"/>
      <c r="Y1391" s="26"/>
      <c r="Z1391" s="26"/>
      <c r="AA1391" s="26"/>
      <c r="AC1391" s="26"/>
      <c r="AD1391" s="24"/>
      <c r="AE1391" s="26"/>
      <c r="AF1391" s="75"/>
      <c r="AG1391" s="26"/>
      <c r="AH1391" s="957"/>
      <c r="AI1391" s="957"/>
      <c r="AJ1391" s="957"/>
      <c r="AK1391" s="957"/>
      <c r="AL1391" s="957"/>
      <c r="AM1391" s="957"/>
      <c r="AN1391" s="957"/>
      <c r="AO1391" s="957"/>
      <c r="AP1391" s="957"/>
      <c r="AQ1391" s="957"/>
      <c r="AR1391" s="957"/>
      <c r="AS1391" s="957"/>
      <c r="AT1391" s="957"/>
      <c r="AU1391" s="957"/>
      <c r="AV1391" s="957"/>
      <c r="AW1391" s="957"/>
      <c r="AX1391" s="957"/>
      <c r="AY1391" s="957"/>
      <c r="AZ1391" s="957"/>
      <c r="BA1391" s="957"/>
      <c r="BB1391" s="957"/>
      <c r="BC1391" s="957"/>
      <c r="BD1391" s="957"/>
      <c r="BE1391" s="957"/>
      <c r="BF1391" s="957"/>
      <c r="BG1391" s="957"/>
    </row>
    <row r="1392" spans="1:59" ht="15" customHeight="1">
      <c r="A1392" s="2120"/>
      <c r="B1392" s="2166" t="s">
        <v>486</v>
      </c>
      <c r="C1392" s="2144" t="s">
        <v>11</v>
      </c>
      <c r="D1392" s="291" t="s">
        <v>490</v>
      </c>
      <c r="E1392" s="452">
        <v>12</v>
      </c>
      <c r="F1392" s="148" t="s">
        <v>15</v>
      </c>
      <c r="G1392" s="148" t="s">
        <v>15</v>
      </c>
      <c r="H1392" s="165">
        <v>88.56</v>
      </c>
      <c r="I1392" s="166">
        <v>55.65</v>
      </c>
      <c r="J1392" s="234" t="s">
        <v>15</v>
      </c>
      <c r="K1392" s="233" t="s">
        <v>15</v>
      </c>
      <c r="L1392" s="234" t="s">
        <v>15</v>
      </c>
      <c r="M1392" s="233" t="s">
        <v>15</v>
      </c>
      <c r="N1392" s="537">
        <v>-34.270000000000003</v>
      </c>
      <c r="O1392" s="2126">
        <v>3</v>
      </c>
      <c r="P1392" s="2126">
        <v>11.42</v>
      </c>
      <c r="Q1392" s="128">
        <f t="shared" si="78"/>
        <v>0.3</v>
      </c>
      <c r="R1392" s="2129">
        <f>SUMPRODUCT(Q1392:Q1393,N1392:N1393)</f>
        <v>-10.281000000000001</v>
      </c>
      <c r="S1392" s="26"/>
      <c r="T1392" s="26"/>
      <c r="V1392" s="24"/>
      <c r="W1392" s="26"/>
      <c r="X1392" s="26"/>
      <c r="Y1392" s="26"/>
      <c r="Z1392" s="26"/>
      <c r="AA1392" s="26"/>
      <c r="AC1392" s="26"/>
      <c r="AD1392" s="24"/>
      <c r="AE1392" s="26"/>
      <c r="AF1392" s="75"/>
      <c r="AG1392" s="26"/>
      <c r="AH1392" s="957"/>
      <c r="AI1392" s="957"/>
      <c r="AJ1392" s="957"/>
      <c r="AK1392" s="957"/>
      <c r="AL1392" s="957"/>
      <c r="AM1392" s="957"/>
      <c r="AN1392" s="957"/>
      <c r="AO1392" s="957"/>
      <c r="AP1392" s="957"/>
      <c r="AQ1392" s="957"/>
      <c r="AR1392" s="957"/>
      <c r="AS1392" s="957"/>
      <c r="AT1392" s="957"/>
      <c r="AU1392" s="957"/>
      <c r="AV1392" s="957"/>
      <c r="AW1392" s="957"/>
      <c r="AX1392" s="957"/>
      <c r="AY1392" s="957"/>
      <c r="AZ1392" s="957"/>
      <c r="BA1392" s="957"/>
      <c r="BB1392" s="957"/>
      <c r="BC1392" s="957"/>
      <c r="BD1392" s="957"/>
      <c r="BE1392" s="957"/>
      <c r="BF1392" s="957"/>
      <c r="BG1392" s="957"/>
    </row>
    <row r="1393" spans="1:113" ht="15" customHeight="1">
      <c r="A1393" s="2120"/>
      <c r="B1393" s="2166"/>
      <c r="C1393" s="2144"/>
      <c r="D1393" s="291" t="s">
        <v>32</v>
      </c>
      <c r="E1393" s="452">
        <v>28</v>
      </c>
      <c r="F1393" s="148" t="s">
        <v>15</v>
      </c>
      <c r="G1393" s="148" t="s">
        <v>15</v>
      </c>
      <c r="H1393" s="165">
        <v>118.26</v>
      </c>
      <c r="I1393" s="166">
        <v>59.54</v>
      </c>
      <c r="J1393" s="234" t="s">
        <v>15</v>
      </c>
      <c r="K1393" s="233" t="s">
        <v>15</v>
      </c>
      <c r="L1393" s="234" t="s">
        <v>15</v>
      </c>
      <c r="M1393" s="233" t="s">
        <v>15</v>
      </c>
      <c r="N1393" s="1239">
        <v>0</v>
      </c>
      <c r="O1393" s="2128"/>
      <c r="P1393" s="2128"/>
      <c r="Q1393" s="128">
        <f t="shared" si="78"/>
        <v>0.7</v>
      </c>
      <c r="R1393" s="2129"/>
      <c r="S1393" s="26"/>
      <c r="T1393" s="26"/>
      <c r="V1393" s="24"/>
      <c r="W1393" s="26"/>
      <c r="X1393" s="26"/>
      <c r="Y1393" s="26"/>
      <c r="Z1393" s="26"/>
      <c r="AA1393" s="26"/>
      <c r="AC1393" s="26"/>
      <c r="AD1393" s="24"/>
      <c r="AE1393" s="26"/>
      <c r="AF1393" s="75"/>
      <c r="AG1393" s="26"/>
      <c r="AH1393" s="957"/>
      <c r="AI1393" s="957"/>
      <c r="AJ1393" s="957"/>
      <c r="AK1393" s="957"/>
      <c r="AL1393" s="957"/>
      <c r="AM1393" s="957"/>
      <c r="AN1393" s="957"/>
      <c r="AO1393" s="957"/>
      <c r="AP1393" s="957"/>
      <c r="AQ1393" s="957"/>
      <c r="AR1393" s="957"/>
      <c r="AS1393" s="957"/>
      <c r="AT1393" s="957"/>
      <c r="AU1393" s="957"/>
      <c r="AV1393" s="957"/>
      <c r="AW1393" s="957"/>
      <c r="AX1393" s="957"/>
      <c r="AY1393" s="957"/>
      <c r="AZ1393" s="957"/>
      <c r="BA1393" s="957"/>
      <c r="BB1393" s="957"/>
      <c r="BC1393" s="957"/>
      <c r="BD1393" s="957"/>
      <c r="BE1393" s="957"/>
      <c r="BF1393" s="957"/>
      <c r="BG1393" s="957"/>
    </row>
    <row r="1394" spans="1:113" ht="15" customHeight="1">
      <c r="A1394" s="2120"/>
      <c r="B1394" s="2166" t="s">
        <v>489</v>
      </c>
      <c r="C1394" s="2144" t="s">
        <v>11</v>
      </c>
      <c r="D1394" s="291" t="s">
        <v>490</v>
      </c>
      <c r="E1394" s="452">
        <v>11</v>
      </c>
      <c r="F1394" s="148" t="s">
        <v>15</v>
      </c>
      <c r="G1394" s="148" t="s">
        <v>15</v>
      </c>
      <c r="H1394" s="165">
        <v>86.1</v>
      </c>
      <c r="I1394" s="166">
        <v>57.68</v>
      </c>
      <c r="J1394" s="234" t="s">
        <v>15</v>
      </c>
      <c r="K1394" s="233" t="s">
        <v>15</v>
      </c>
      <c r="L1394" s="234" t="s">
        <v>15</v>
      </c>
      <c r="M1394" s="233" t="s">
        <v>15</v>
      </c>
      <c r="N1394" s="537">
        <v>-29.37</v>
      </c>
      <c r="O1394" s="2126">
        <v>2.56</v>
      </c>
      <c r="P1394" s="2126">
        <v>11.46</v>
      </c>
      <c r="Q1394" s="128">
        <f t="shared" si="78"/>
        <v>0.27500000000000002</v>
      </c>
      <c r="R1394" s="2129">
        <f>SUMPRODUCT(Q1394:Q1395,N1394:N1395)</f>
        <v>-8.0767500000000005</v>
      </c>
      <c r="S1394" s="26"/>
      <c r="T1394" s="26"/>
      <c r="V1394" s="24"/>
      <c r="W1394" s="26"/>
      <c r="X1394" s="26"/>
      <c r="Y1394" s="26"/>
      <c r="Z1394" s="26"/>
      <c r="AA1394" s="26"/>
      <c r="AC1394" s="26"/>
      <c r="AD1394" s="24"/>
      <c r="AE1394" s="26"/>
      <c r="AF1394" s="75"/>
      <c r="AG1394" s="26"/>
      <c r="AH1394" s="957"/>
      <c r="AI1394" s="957"/>
      <c r="AJ1394" s="957"/>
      <c r="AK1394" s="957"/>
      <c r="AL1394" s="957"/>
      <c r="AM1394" s="957"/>
      <c r="AN1394" s="957"/>
      <c r="AO1394" s="957"/>
      <c r="AP1394" s="957"/>
      <c r="AQ1394" s="957"/>
      <c r="AR1394" s="957"/>
      <c r="AS1394" s="957"/>
      <c r="AT1394" s="957"/>
      <c r="AU1394" s="957"/>
      <c r="AV1394" s="957"/>
      <c r="AW1394" s="957"/>
      <c r="AX1394" s="957"/>
      <c r="AY1394" s="957"/>
      <c r="AZ1394" s="957"/>
      <c r="BA1394" s="957"/>
      <c r="BB1394" s="957"/>
      <c r="BC1394" s="957"/>
      <c r="BD1394" s="957"/>
      <c r="BE1394" s="957"/>
      <c r="BF1394" s="957"/>
      <c r="BG1394" s="957"/>
    </row>
    <row r="1395" spans="1:113" ht="15.75" customHeight="1" thickBot="1">
      <c r="A1395" s="2120"/>
      <c r="B1395" s="2370"/>
      <c r="C1395" s="2179"/>
      <c r="D1395" s="19" t="s">
        <v>32</v>
      </c>
      <c r="E1395" s="25">
        <v>29</v>
      </c>
      <c r="F1395" s="197" t="s">
        <v>15</v>
      </c>
      <c r="G1395" s="197" t="s">
        <v>15</v>
      </c>
      <c r="H1395" s="496">
        <v>118.17</v>
      </c>
      <c r="I1395" s="834">
        <v>58.47</v>
      </c>
      <c r="J1395" s="409" t="s">
        <v>15</v>
      </c>
      <c r="K1395" s="122" t="s">
        <v>15</v>
      </c>
      <c r="L1395" s="409" t="s">
        <v>15</v>
      </c>
      <c r="M1395" s="122" t="s">
        <v>15</v>
      </c>
      <c r="N1395" s="1288">
        <v>0</v>
      </c>
      <c r="O1395" s="2127"/>
      <c r="P1395" s="2127"/>
      <c r="Q1395" s="256">
        <f t="shared" si="78"/>
        <v>0.72499999999999998</v>
      </c>
      <c r="R1395" s="2130"/>
      <c r="S1395" s="26"/>
      <c r="T1395" s="26"/>
      <c r="V1395" s="24"/>
      <c r="W1395" s="26"/>
      <c r="X1395" s="26"/>
      <c r="Y1395" s="26"/>
      <c r="Z1395" s="26"/>
      <c r="AA1395" s="26"/>
      <c r="AC1395" s="26"/>
      <c r="AD1395" s="24"/>
      <c r="AE1395" s="26"/>
      <c r="AF1395" s="75"/>
      <c r="AG1395" s="26"/>
      <c r="AH1395" s="957"/>
      <c r="AI1395" s="957"/>
      <c r="AJ1395" s="957"/>
      <c r="AK1395" s="957"/>
      <c r="AL1395" s="957"/>
      <c r="AM1395" s="957"/>
      <c r="AN1395" s="957"/>
      <c r="AO1395" s="957"/>
      <c r="AP1395" s="957"/>
      <c r="AQ1395" s="957"/>
      <c r="AR1395" s="957"/>
      <c r="AS1395" s="957"/>
      <c r="AT1395" s="957"/>
      <c r="AU1395" s="957"/>
      <c r="AV1395" s="957"/>
      <c r="AW1395" s="957"/>
      <c r="AX1395" s="957"/>
      <c r="AY1395" s="957"/>
      <c r="AZ1395" s="957"/>
      <c r="BA1395" s="957"/>
      <c r="BB1395" s="957"/>
      <c r="BC1395" s="957"/>
      <c r="BD1395" s="957"/>
      <c r="BE1395" s="957"/>
      <c r="BF1395" s="957"/>
      <c r="BG1395" s="957"/>
    </row>
    <row r="1396" spans="1:113">
      <c r="A1396" s="2120"/>
      <c r="B1396" s="2146" t="s">
        <v>1080</v>
      </c>
      <c r="C1396" s="1280"/>
      <c r="D1396" s="27"/>
      <c r="E1396" s="39"/>
      <c r="F1396" s="39"/>
      <c r="G1396" s="39"/>
      <c r="H1396" s="161"/>
      <c r="I1396" s="161"/>
      <c r="J1396" s="39"/>
      <c r="K1396" s="39"/>
      <c r="L1396" s="39"/>
      <c r="M1396" s="39"/>
      <c r="N1396" s="1290"/>
      <c r="O1396" s="1291"/>
      <c r="P1396" s="1291"/>
      <c r="Q1396" s="253"/>
      <c r="R1396" s="1255"/>
      <c r="S1396" s="26"/>
      <c r="T1396" s="26"/>
      <c r="V1396" s="24"/>
      <c r="W1396" s="26"/>
      <c r="X1396" s="26"/>
      <c r="Y1396" s="26"/>
      <c r="Z1396" s="26"/>
      <c r="AA1396" s="26"/>
      <c r="AC1396" s="26"/>
      <c r="AD1396" s="24"/>
      <c r="AE1396" s="26"/>
      <c r="AF1396" s="75"/>
      <c r="AG1396" s="26"/>
      <c r="AH1396" s="957"/>
      <c r="AI1396" s="957"/>
      <c r="AJ1396" s="957"/>
      <c r="AK1396" s="957"/>
      <c r="AL1396" s="957"/>
      <c r="AM1396" s="957"/>
      <c r="AN1396" s="957"/>
      <c r="AO1396" s="957"/>
      <c r="AP1396" s="957"/>
      <c r="AQ1396" s="957"/>
      <c r="AR1396" s="957"/>
      <c r="AS1396" s="957"/>
      <c r="AT1396" s="957"/>
      <c r="AU1396" s="957"/>
      <c r="AV1396" s="957"/>
      <c r="AW1396" s="957"/>
      <c r="AX1396" s="957"/>
      <c r="AY1396" s="957"/>
      <c r="AZ1396" s="957"/>
      <c r="BA1396" s="957"/>
      <c r="BB1396" s="957"/>
      <c r="BC1396" s="957"/>
      <c r="BD1396" s="957"/>
      <c r="BE1396" s="957"/>
      <c r="BF1396" s="957"/>
      <c r="BG1396" s="957"/>
    </row>
    <row r="1397" spans="1:113">
      <c r="A1397" s="2120"/>
      <c r="B1397" s="2123"/>
      <c r="C1397" s="1106"/>
      <c r="D1397" s="26"/>
      <c r="E1397" s="41"/>
      <c r="F1397" s="41"/>
      <c r="G1397" s="41"/>
      <c r="H1397" s="163"/>
      <c r="I1397" s="163"/>
      <c r="J1397" s="41"/>
      <c r="K1397" s="41"/>
      <c r="L1397" s="41"/>
      <c r="M1397" s="41"/>
      <c r="N1397" s="1292"/>
      <c r="O1397" s="1293"/>
      <c r="P1397" s="1293"/>
      <c r="Q1397" s="252"/>
      <c r="R1397" s="246"/>
      <c r="S1397" s="26"/>
      <c r="T1397" s="26"/>
      <c r="V1397" s="24"/>
      <c r="W1397" s="26"/>
      <c r="X1397" s="26"/>
      <c r="Y1397" s="26"/>
      <c r="Z1397" s="26"/>
      <c r="AA1397" s="26"/>
      <c r="AC1397" s="26"/>
      <c r="AD1397" s="24"/>
      <c r="AE1397" s="26"/>
      <c r="AF1397" s="75"/>
      <c r="AG1397" s="26"/>
      <c r="AH1397" s="957"/>
      <c r="AI1397" s="957"/>
      <c r="AJ1397" s="957"/>
      <c r="AK1397" s="957"/>
      <c r="AL1397" s="957"/>
      <c r="AM1397" s="957"/>
      <c r="AN1397" s="957"/>
      <c r="AO1397" s="957"/>
      <c r="AP1397" s="957"/>
      <c r="AQ1397" s="957"/>
      <c r="AR1397" s="957"/>
      <c r="AS1397" s="957"/>
      <c r="AT1397" s="957"/>
      <c r="AU1397" s="957"/>
      <c r="AV1397" s="957"/>
      <c r="AW1397" s="957"/>
      <c r="AX1397" s="957"/>
      <c r="AY1397" s="957"/>
      <c r="AZ1397" s="957"/>
      <c r="BA1397" s="957"/>
      <c r="BB1397" s="957"/>
      <c r="BC1397" s="957"/>
      <c r="BD1397" s="957"/>
      <c r="BE1397" s="957"/>
      <c r="BF1397" s="957"/>
      <c r="BG1397" s="957"/>
    </row>
    <row r="1398" spans="1:113">
      <c r="A1398" s="2120"/>
      <c r="B1398" s="2123"/>
      <c r="C1398" s="1106"/>
      <c r="D1398" s="26"/>
      <c r="E1398" s="41"/>
      <c r="F1398" s="41"/>
      <c r="G1398" s="41"/>
      <c r="H1398" s="163"/>
      <c r="I1398" s="163"/>
      <c r="J1398" s="41"/>
      <c r="K1398" s="41"/>
      <c r="L1398" s="41"/>
      <c r="M1398" s="41"/>
      <c r="N1398" s="1292"/>
      <c r="O1398" s="1293"/>
      <c r="P1398" s="1293"/>
      <c r="Q1398" s="252"/>
      <c r="R1398" s="246"/>
      <c r="S1398" s="26"/>
      <c r="T1398" s="26"/>
      <c r="V1398" s="24"/>
      <c r="W1398" s="26"/>
      <c r="X1398" s="26"/>
      <c r="Y1398" s="26"/>
      <c r="Z1398" s="26"/>
      <c r="AA1398" s="26"/>
      <c r="AC1398" s="26"/>
      <c r="AD1398" s="24"/>
      <c r="AE1398" s="26"/>
      <c r="AF1398" s="75"/>
      <c r="AG1398" s="26"/>
      <c r="AH1398" s="957"/>
      <c r="AI1398" s="957"/>
      <c r="AJ1398" s="957"/>
      <c r="AK1398" s="957"/>
      <c r="AL1398" s="957"/>
      <c r="AM1398" s="957"/>
      <c r="AN1398" s="957"/>
      <c r="AO1398" s="957"/>
      <c r="AP1398" s="957"/>
      <c r="AQ1398" s="957"/>
      <c r="AR1398" s="957"/>
      <c r="AS1398" s="957"/>
      <c r="AT1398" s="957"/>
      <c r="AU1398" s="957"/>
      <c r="AV1398" s="957"/>
      <c r="AW1398" s="957"/>
      <c r="AX1398" s="957"/>
      <c r="AY1398" s="957"/>
      <c r="AZ1398" s="957"/>
      <c r="BA1398" s="957"/>
      <c r="BB1398" s="957"/>
      <c r="BC1398" s="957"/>
      <c r="BD1398" s="957"/>
      <c r="BE1398" s="957"/>
      <c r="BF1398" s="957"/>
      <c r="BG1398" s="957"/>
    </row>
    <row r="1399" spans="1:113" ht="15.75" thickBot="1">
      <c r="A1399" s="2145"/>
      <c r="B1399" s="2124"/>
      <c r="C1399" s="1107"/>
      <c r="D1399" s="764"/>
      <c r="E1399" s="813"/>
      <c r="F1399" s="813"/>
      <c r="G1399" s="813"/>
      <c r="H1399" s="1294"/>
      <c r="I1399" s="1294"/>
      <c r="J1399" s="813"/>
      <c r="K1399" s="813"/>
      <c r="L1399" s="813"/>
      <c r="M1399" s="813"/>
      <c r="N1399" s="1295"/>
      <c r="O1399" s="1296"/>
      <c r="P1399" s="1296"/>
      <c r="Q1399" s="842"/>
      <c r="R1399" s="1252"/>
      <c r="S1399" s="26"/>
      <c r="T1399" s="26"/>
      <c r="V1399" s="24"/>
      <c r="W1399" s="26"/>
      <c r="X1399" s="26"/>
      <c r="Y1399" s="26"/>
      <c r="Z1399" s="26"/>
      <c r="AA1399" s="26"/>
      <c r="AC1399" s="26"/>
      <c r="AD1399" s="896"/>
      <c r="AE1399" s="26"/>
      <c r="AF1399" s="75"/>
      <c r="AG1399" s="26"/>
      <c r="AH1399" s="957"/>
      <c r="AI1399" s="957"/>
      <c r="AJ1399" s="957"/>
      <c r="AK1399" s="957"/>
      <c r="AL1399" s="957"/>
      <c r="AM1399" s="957"/>
      <c r="AN1399" s="957"/>
      <c r="AO1399" s="957"/>
      <c r="AP1399" s="957"/>
      <c r="AQ1399" s="957"/>
      <c r="AR1399" s="957"/>
      <c r="AS1399" s="957"/>
      <c r="AT1399" s="957"/>
      <c r="AU1399" s="957"/>
      <c r="AV1399" s="957"/>
      <c r="AW1399" s="957"/>
      <c r="AX1399" s="957"/>
      <c r="AY1399" s="957"/>
      <c r="AZ1399" s="957"/>
      <c r="BA1399" s="957"/>
      <c r="BB1399" s="957"/>
      <c r="BC1399" s="957"/>
      <c r="BD1399" s="957"/>
      <c r="BE1399" s="957"/>
      <c r="BF1399" s="957"/>
      <c r="BG1399" s="957"/>
    </row>
    <row r="1400" spans="1:113" s="692" customFormat="1" ht="9" customHeight="1" thickBot="1">
      <c r="A1400" s="695"/>
      <c r="B1400" s="815"/>
      <c r="C1400" s="684"/>
      <c r="D1400" s="683"/>
      <c r="E1400" s="707"/>
      <c r="F1400" s="707"/>
      <c r="G1400" s="707"/>
      <c r="H1400" s="709"/>
      <c r="I1400" s="709"/>
      <c r="J1400" s="682"/>
      <c r="K1400" s="683"/>
      <c r="L1400" s="682"/>
      <c r="M1400" s="685"/>
      <c r="N1400" s="1189"/>
      <c r="O1400" s="686"/>
      <c r="P1400" s="686"/>
      <c r="Q1400" s="687"/>
      <c r="R1400" s="687"/>
      <c r="S1400" s="688"/>
      <c r="T1400" s="688"/>
      <c r="U1400" s="854"/>
      <c r="V1400" s="893"/>
      <c r="W1400" s="685"/>
      <c r="X1400" s="685"/>
      <c r="Y1400" s="710"/>
      <c r="Z1400" s="710"/>
      <c r="AA1400" s="710"/>
      <c r="AB1400" s="921"/>
      <c r="AC1400" s="690"/>
      <c r="AD1400" s="690"/>
      <c r="AE1400" s="690"/>
      <c r="AF1400" s="711"/>
      <c r="AG1400" s="690"/>
      <c r="AH1400" s="959"/>
      <c r="AI1400" s="958"/>
      <c r="AJ1400" s="958"/>
      <c r="AK1400" s="959"/>
      <c r="AL1400" s="959"/>
      <c r="AM1400" s="959"/>
      <c r="AN1400" s="959"/>
      <c r="AO1400" s="959"/>
      <c r="AP1400" s="959"/>
      <c r="AQ1400" s="959"/>
      <c r="AR1400" s="959"/>
      <c r="AS1400" s="959"/>
      <c r="AT1400" s="959"/>
      <c r="AU1400" s="959"/>
      <c r="AV1400" s="959"/>
      <c r="AW1400" s="959"/>
      <c r="AX1400" s="959"/>
      <c r="AY1400" s="959"/>
      <c r="AZ1400" s="959"/>
      <c r="BA1400" s="959"/>
      <c r="BB1400" s="959"/>
      <c r="BC1400" s="959"/>
      <c r="BD1400" s="959"/>
      <c r="BE1400" s="959"/>
      <c r="BF1400" s="959"/>
      <c r="BG1400" s="959"/>
      <c r="BH1400" s="1125"/>
      <c r="DI1400" s="693"/>
    </row>
  </sheetData>
  <sortState ref="D90:D103">
    <sortCondition ref="D90:D103"/>
  </sortState>
  <mergeCells count="1250">
    <mergeCell ref="V1375:V1377"/>
    <mergeCell ref="V5:V22"/>
    <mergeCell ref="V545:V554"/>
    <mergeCell ref="V557:V573"/>
    <mergeCell ref="V576:V591"/>
    <mergeCell ref="V672:V673"/>
    <mergeCell ref="V683:V686"/>
    <mergeCell ref="V696:V715"/>
    <mergeCell ref="V717:V722"/>
    <mergeCell ref="V739:V750"/>
    <mergeCell ref="V752:V753"/>
    <mergeCell ref="V763:V766"/>
    <mergeCell ref="V774:V782"/>
    <mergeCell ref="V785:V793"/>
    <mergeCell ref="V807:V814"/>
    <mergeCell ref="V818:V837"/>
    <mergeCell ref="V839:V848"/>
    <mergeCell ref="V850:V857"/>
    <mergeCell ref="V1161:V1163"/>
    <mergeCell ref="V1194:V1195"/>
    <mergeCell ref="V1234:V1238"/>
    <mergeCell ref="V1252:V1256"/>
    <mergeCell ref="V1270:V1274"/>
    <mergeCell ref="V288:V290"/>
    <mergeCell ref="V28:V35"/>
    <mergeCell ref="V56:V63"/>
    <mergeCell ref="V940:V946"/>
    <mergeCell ref="V1121:V1124"/>
    <mergeCell ref="V1132:V1135"/>
    <mergeCell ref="V658:V664"/>
    <mergeCell ref="V442:V444"/>
    <mergeCell ref="AD1290:AE1290"/>
    <mergeCell ref="AD1291:AE1291"/>
    <mergeCell ref="A1290:A1313"/>
    <mergeCell ref="N1351:N1352"/>
    <mergeCell ref="O1351:O1352"/>
    <mergeCell ref="P1351:P1352"/>
    <mergeCell ref="N1353:N1354"/>
    <mergeCell ref="O1353:O1354"/>
    <mergeCell ref="P1353:P1354"/>
    <mergeCell ref="R1347:R1348"/>
    <mergeCell ref="R1349:R1350"/>
    <mergeCell ref="C1347:C1348"/>
    <mergeCell ref="C1349:C1350"/>
    <mergeCell ref="C1351:C1352"/>
    <mergeCell ref="C1353:C1354"/>
    <mergeCell ref="B1347:B1348"/>
    <mergeCell ref="B1349:B1350"/>
    <mergeCell ref="B1351:B1352"/>
    <mergeCell ref="B1353:B1354"/>
    <mergeCell ref="A1345:A1354"/>
    <mergeCell ref="R1351:R1352"/>
    <mergeCell ref="R1353:R1354"/>
    <mergeCell ref="N1347:N1348"/>
    <mergeCell ref="N1349:N1350"/>
    <mergeCell ref="O1349:O1350"/>
    <mergeCell ref="P1349:P1350"/>
    <mergeCell ref="R1304:R1305"/>
    <mergeCell ref="R1312:R1313"/>
    <mergeCell ref="V1336:V1337"/>
    <mergeCell ref="V1290:V1294"/>
    <mergeCell ref="P1347:P1348"/>
    <mergeCell ref="R1306:R1307"/>
    <mergeCell ref="B504:B509"/>
    <mergeCell ref="C504:C509"/>
    <mergeCell ref="R504:R509"/>
    <mergeCell ref="B510:B511"/>
    <mergeCell ref="C510:C511"/>
    <mergeCell ref="R510:R511"/>
    <mergeCell ref="B512:B515"/>
    <mergeCell ref="C512:C515"/>
    <mergeCell ref="R512:R515"/>
    <mergeCell ref="C1294:C1295"/>
    <mergeCell ref="C1255:C1256"/>
    <mergeCell ref="C1257:C1258"/>
    <mergeCell ref="C1261:C1262"/>
    <mergeCell ref="C1263:C1264"/>
    <mergeCell ref="C1265:C1266"/>
    <mergeCell ref="J1259:J1260"/>
    <mergeCell ref="L1259:L1260"/>
    <mergeCell ref="C1267:C1268"/>
    <mergeCell ref="B1179:B1181"/>
    <mergeCell ref="B1189:B1192"/>
    <mergeCell ref="B1284:B1285"/>
    <mergeCell ref="C1278:C1279"/>
    <mergeCell ref="C1276:C1277"/>
    <mergeCell ref="R982:R987"/>
    <mergeCell ref="C1114:C1115"/>
    <mergeCell ref="B962:B967"/>
    <mergeCell ref="C962:C967"/>
    <mergeCell ref="B968:B969"/>
    <mergeCell ref="C968:C969"/>
    <mergeCell ref="B970:B971"/>
    <mergeCell ref="C970:C971"/>
    <mergeCell ref="B972:B973"/>
    <mergeCell ref="B722:B724"/>
    <mergeCell ref="B901:B907"/>
    <mergeCell ref="C928:C929"/>
    <mergeCell ref="B940:B941"/>
    <mergeCell ref="B932:B938"/>
    <mergeCell ref="B919:B921"/>
    <mergeCell ref="B875:B876"/>
    <mergeCell ref="B926:B927"/>
    <mergeCell ref="B776:B777"/>
    <mergeCell ref="C700:C701"/>
    <mergeCell ref="V899:V904"/>
    <mergeCell ref="V912:V915"/>
    <mergeCell ref="V923:V936"/>
    <mergeCell ref="R765:R768"/>
    <mergeCell ref="C924:C925"/>
    <mergeCell ref="V872:V874"/>
    <mergeCell ref="V888:V890"/>
    <mergeCell ref="B822:B825"/>
    <mergeCell ref="B700:B701"/>
    <mergeCell ref="R754:R756"/>
    <mergeCell ref="B1034:B1035"/>
    <mergeCell ref="C1034:C1035"/>
    <mergeCell ref="C1203:C1204"/>
    <mergeCell ref="C1205:C1206"/>
    <mergeCell ref="C1207:C1208"/>
    <mergeCell ref="C1209:C1210"/>
    <mergeCell ref="B1225:B1226"/>
    <mergeCell ref="C1225:C1226"/>
    <mergeCell ref="R1121:R1124"/>
    <mergeCell ref="R1108:R1111"/>
    <mergeCell ref="R1066:R1071"/>
    <mergeCell ref="R1089:R1090"/>
    <mergeCell ref="R1087:R1088"/>
    <mergeCell ref="R1076:R1077"/>
    <mergeCell ref="R1099:R1100"/>
    <mergeCell ref="C1132:C1136"/>
    <mergeCell ref="B1094:B1098"/>
    <mergeCell ref="C1094:C1098"/>
    <mergeCell ref="C1089:C1090"/>
    <mergeCell ref="B1074:B1075"/>
    <mergeCell ref="C1074:C1075"/>
    <mergeCell ref="B1076:B1077"/>
    <mergeCell ref="R1308:R1309"/>
    <mergeCell ref="R1310:R1311"/>
    <mergeCell ref="C1306:C1307"/>
    <mergeCell ref="C1308:C1309"/>
    <mergeCell ref="C1310:C1311"/>
    <mergeCell ref="C1312:C1313"/>
    <mergeCell ref="B1298:B1299"/>
    <mergeCell ref="B1259:B1260"/>
    <mergeCell ref="C1280:C1281"/>
    <mergeCell ref="C1282:C1283"/>
    <mergeCell ref="C1284:C1285"/>
    <mergeCell ref="B1304:B1305"/>
    <mergeCell ref="B1300:B1301"/>
    <mergeCell ref="B1296:B1297"/>
    <mergeCell ref="B1292:B1293"/>
    <mergeCell ref="B1294:B1295"/>
    <mergeCell ref="B1306:B1307"/>
    <mergeCell ref="B1308:B1309"/>
    <mergeCell ref="B1310:B1311"/>
    <mergeCell ref="B1312:B1313"/>
    <mergeCell ref="C1302:C1303"/>
    <mergeCell ref="C1298:C1299"/>
    <mergeCell ref="C1304:C1305"/>
    <mergeCell ref="C1300:C1301"/>
    <mergeCell ref="C1296:C1297"/>
    <mergeCell ref="C1292:C1293"/>
    <mergeCell ref="C1259:C1260"/>
    <mergeCell ref="B1272:B1273"/>
    <mergeCell ref="B1278:B1279"/>
    <mergeCell ref="B1274:B1275"/>
    <mergeCell ref="B1276:B1277"/>
    <mergeCell ref="B1280:B1281"/>
    <mergeCell ref="B2:B3"/>
    <mergeCell ref="V1172:V1175"/>
    <mergeCell ref="V1066:V1069"/>
    <mergeCell ref="V1082:V1084"/>
    <mergeCell ref="R1034:R1035"/>
    <mergeCell ref="A997:A1011"/>
    <mergeCell ref="B1004:B1005"/>
    <mergeCell ref="C1004:C1005"/>
    <mergeCell ref="B1006:B1007"/>
    <mergeCell ref="C1006:C1007"/>
    <mergeCell ref="B1010:B1011"/>
    <mergeCell ref="A1024:A1048"/>
    <mergeCell ref="V1108:V1115"/>
    <mergeCell ref="B1062:B1063"/>
    <mergeCell ref="B1058:B1059"/>
    <mergeCell ref="B1036:B1037"/>
    <mergeCell ref="A861:A870"/>
    <mergeCell ref="V495:V497"/>
    <mergeCell ref="R992:R993"/>
    <mergeCell ref="C992:C993"/>
    <mergeCell ref="R1137:R1138"/>
    <mergeCell ref="B1137:B1138"/>
    <mergeCell ref="R1132:R1136"/>
    <mergeCell ref="R1112:R1113"/>
    <mergeCell ref="R1125:R1126"/>
    <mergeCell ref="B1132:B1136"/>
    <mergeCell ref="B605:B608"/>
    <mergeCell ref="V1094:V1101"/>
    <mergeCell ref="R926:R927"/>
    <mergeCell ref="C1056:C1057"/>
    <mergeCell ref="B1099:B1100"/>
    <mergeCell ref="C1099:C1100"/>
    <mergeCell ref="B1282:B1283"/>
    <mergeCell ref="A1172:A1181"/>
    <mergeCell ref="V1183:V1184"/>
    <mergeCell ref="A1183:A1192"/>
    <mergeCell ref="L1225:L1226"/>
    <mergeCell ref="C1216:C1217"/>
    <mergeCell ref="C1199:C1200"/>
    <mergeCell ref="C1201:C1202"/>
    <mergeCell ref="A1223:A1232"/>
    <mergeCell ref="C1272:C1273"/>
    <mergeCell ref="C1274:C1275"/>
    <mergeCell ref="AD1235:AE1235"/>
    <mergeCell ref="R1199:R1200"/>
    <mergeCell ref="A1212:A1221"/>
    <mergeCell ref="A1194:A1210"/>
    <mergeCell ref="AD1270:AE1270"/>
    <mergeCell ref="C1253:C1254"/>
    <mergeCell ref="R1207:R1208"/>
    <mergeCell ref="R1209:R1210"/>
    <mergeCell ref="AD1271:AE1271"/>
    <mergeCell ref="R1201:R1202"/>
    <mergeCell ref="R1203:R1204"/>
    <mergeCell ref="R1229:R1230"/>
    <mergeCell ref="B1265:B1266"/>
    <mergeCell ref="B1267:B1268"/>
    <mergeCell ref="A495:A515"/>
    <mergeCell ref="B498:B503"/>
    <mergeCell ref="C498:C503"/>
    <mergeCell ref="R498:R503"/>
    <mergeCell ref="A899:A910"/>
    <mergeCell ref="C1076:C1077"/>
    <mergeCell ref="C1078:C1079"/>
    <mergeCell ref="B1078:B1079"/>
    <mergeCell ref="R1004:R1005"/>
    <mergeCell ref="R1015:R1016"/>
    <mergeCell ref="R1032:R1033"/>
    <mergeCell ref="A1252:A1268"/>
    <mergeCell ref="B1227:B1228"/>
    <mergeCell ref="R1244:R1245"/>
    <mergeCell ref="R1246:R1247"/>
    <mergeCell ref="R1248:R1249"/>
    <mergeCell ref="C1227:C1228"/>
    <mergeCell ref="R1205:R1206"/>
    <mergeCell ref="B1203:B1204"/>
    <mergeCell ref="B1205:B1206"/>
    <mergeCell ref="B1207:B1208"/>
    <mergeCell ref="B1209:B1210"/>
    <mergeCell ref="C1197:C1198"/>
    <mergeCell ref="B1197:B1198"/>
    <mergeCell ref="B992:B993"/>
    <mergeCell ref="C632:C633"/>
    <mergeCell ref="B640:B642"/>
    <mergeCell ref="C622:C623"/>
    <mergeCell ref="C673:C674"/>
    <mergeCell ref="C877:C880"/>
    <mergeCell ref="B990:B991"/>
    <mergeCell ref="C626:C628"/>
    <mergeCell ref="C184:C186"/>
    <mergeCell ref="C223:C225"/>
    <mergeCell ref="AD360:AE360"/>
    <mergeCell ref="AD396:AE396"/>
    <mergeCell ref="R282:R283"/>
    <mergeCell ref="B245:B246"/>
    <mergeCell ref="A1364:A1373"/>
    <mergeCell ref="C1137:C1138"/>
    <mergeCell ref="A1121:A1130"/>
    <mergeCell ref="B1121:B1124"/>
    <mergeCell ref="C1121:C1124"/>
    <mergeCell ref="B1125:B1126"/>
    <mergeCell ref="C1125:C1126"/>
    <mergeCell ref="B1127:B1128"/>
    <mergeCell ref="C1127:C1128"/>
    <mergeCell ref="A1132:A1141"/>
    <mergeCell ref="B595:B597"/>
    <mergeCell ref="C1038:C1039"/>
    <mergeCell ref="C1187:C1188"/>
    <mergeCell ref="R1187:R1188"/>
    <mergeCell ref="B1040:B1041"/>
    <mergeCell ref="R1060:R1061"/>
    <mergeCell ref="R997:R1001"/>
    <mergeCell ref="R1013:R1014"/>
    <mergeCell ref="R1050:R1055"/>
    <mergeCell ref="B1015:B1016"/>
    <mergeCell ref="R1024:R1029"/>
    <mergeCell ref="A1050:A1064"/>
    <mergeCell ref="A1270:A1288"/>
    <mergeCell ref="A1234:A1250"/>
    <mergeCell ref="B1199:B1200"/>
    <mergeCell ref="B1201:B1202"/>
    <mergeCell ref="AD621:AE621"/>
    <mergeCell ref="B618:B619"/>
    <mergeCell ref="AD610:AE610"/>
    <mergeCell ref="AA549:AA550"/>
    <mergeCell ref="AD595:AE595"/>
    <mergeCell ref="B559:B562"/>
    <mergeCell ref="AD96:AE96"/>
    <mergeCell ref="AD128:AE128"/>
    <mergeCell ref="AD163:AE163"/>
    <mergeCell ref="AD188:AE188"/>
    <mergeCell ref="AD227:AE227"/>
    <mergeCell ref="AD257:AE257"/>
    <mergeCell ref="AD288:AE288"/>
    <mergeCell ref="AD320:AE320"/>
    <mergeCell ref="C338:C340"/>
    <mergeCell ref="R338:R340"/>
    <mergeCell ref="B341:B342"/>
    <mergeCell ref="C341:C342"/>
    <mergeCell ref="R341:R342"/>
    <mergeCell ref="B343:B346"/>
    <mergeCell ref="C343:C346"/>
    <mergeCell ref="R343:R346"/>
    <mergeCell ref="R444:R460"/>
    <mergeCell ref="C387:C388"/>
    <mergeCell ref="B111:B115"/>
    <mergeCell ref="B159:B161"/>
    <mergeCell ref="C212:C213"/>
    <mergeCell ref="R212:R213"/>
    <mergeCell ref="B182:B183"/>
    <mergeCell ref="C182:C183"/>
    <mergeCell ref="R182:R183"/>
    <mergeCell ref="B184:B186"/>
    <mergeCell ref="B385:B386"/>
    <mergeCell ref="C385:C386"/>
    <mergeCell ref="R385:R386"/>
    <mergeCell ref="B389:B390"/>
    <mergeCell ref="C389:C390"/>
    <mergeCell ref="R389:R390"/>
    <mergeCell ref="R424:R425"/>
    <mergeCell ref="L527:L529"/>
    <mergeCell ref="B353:B354"/>
    <mergeCell ref="Z685:Z686"/>
    <mergeCell ref="AA683:AA684"/>
    <mergeCell ref="B444:B460"/>
    <mergeCell ref="R611:R612"/>
    <mergeCell ref="R622:R623"/>
    <mergeCell ref="AD470:AE470"/>
    <mergeCell ref="B463:B464"/>
    <mergeCell ref="V621:V625"/>
    <mergeCell ref="C517:C518"/>
    <mergeCell ref="B622:B623"/>
    <mergeCell ref="B547:B548"/>
    <mergeCell ref="C547:C548"/>
    <mergeCell ref="C613:C614"/>
    <mergeCell ref="C595:C597"/>
    <mergeCell ref="C599:C600"/>
    <mergeCell ref="AA545:AA546"/>
    <mergeCell ref="AA547:AA548"/>
    <mergeCell ref="AD442:AE442"/>
    <mergeCell ref="C643:C656"/>
    <mergeCell ref="R660:R666"/>
    <mergeCell ref="L667:L668"/>
    <mergeCell ref="L669:L670"/>
    <mergeCell ref="B626:B628"/>
    <mergeCell ref="B435:B436"/>
    <mergeCell ref="C461:C462"/>
    <mergeCell ref="R461:R462"/>
    <mergeCell ref="C901:C907"/>
    <mergeCell ref="B883:B886"/>
    <mergeCell ref="C1082:C1086"/>
    <mergeCell ref="B1167:B1168"/>
    <mergeCell ref="AA912:AA913"/>
    <mergeCell ref="AA914:AA915"/>
    <mergeCell ref="B914:B918"/>
    <mergeCell ref="AA845:AA846"/>
    <mergeCell ref="AA847:AA848"/>
    <mergeCell ref="C875:C876"/>
    <mergeCell ref="B864:B865"/>
    <mergeCell ref="C864:C865"/>
    <mergeCell ref="Z521:Z522"/>
    <mergeCell ref="Z523:Z524"/>
    <mergeCell ref="Z845:Z846"/>
    <mergeCell ref="C722:C724"/>
    <mergeCell ref="R722:R724"/>
    <mergeCell ref="C624:C625"/>
    <mergeCell ref="B624:B625"/>
    <mergeCell ref="C1112:C1113"/>
    <mergeCell ref="B1114:B1115"/>
    <mergeCell ref="B982:B987"/>
    <mergeCell ref="C982:C987"/>
    <mergeCell ref="B1056:B1057"/>
    <mergeCell ref="C1036:C1037"/>
    <mergeCell ref="R924:R925"/>
    <mergeCell ref="R881:R882"/>
    <mergeCell ref="B988:B989"/>
    <mergeCell ref="C988:C989"/>
    <mergeCell ref="B629:B630"/>
    <mergeCell ref="B538:B543"/>
    <mergeCell ref="C536:C537"/>
    <mergeCell ref="R536:R537"/>
    <mergeCell ref="J547:J548"/>
    <mergeCell ref="C309:C310"/>
    <mergeCell ref="B527:B529"/>
    <mergeCell ref="C527:C529"/>
    <mergeCell ref="J527:J529"/>
    <mergeCell ref="R643:R656"/>
    <mergeCell ref="B536:B537"/>
    <mergeCell ref="B430:B431"/>
    <mergeCell ref="C430:C431"/>
    <mergeCell ref="C435:C436"/>
    <mergeCell ref="R435:R436"/>
    <mergeCell ref="B437:B440"/>
    <mergeCell ref="R437:R440"/>
    <mergeCell ref="B391:B394"/>
    <mergeCell ref="C391:C394"/>
    <mergeCell ref="R391:R394"/>
    <mergeCell ref="B398:B423"/>
    <mergeCell ref="B424:B425"/>
    <mergeCell ref="C424:C425"/>
    <mergeCell ref="R387:R388"/>
    <mergeCell ref="R605:R608"/>
    <mergeCell ref="C362:C381"/>
    <mergeCell ref="R362:R381"/>
    <mergeCell ref="B382:B384"/>
    <mergeCell ref="C313:C314"/>
    <mergeCell ref="R313:R314"/>
    <mergeCell ref="B311:B312"/>
    <mergeCell ref="B488:B489"/>
    <mergeCell ref="O1394:O1395"/>
    <mergeCell ref="O1376:O1377"/>
    <mergeCell ref="O1378:O1379"/>
    <mergeCell ref="O1380:O1381"/>
    <mergeCell ref="B1214:B1215"/>
    <mergeCell ref="C1214:C1215"/>
    <mergeCell ref="L1214:L1215"/>
    <mergeCell ref="C1380:C1381"/>
    <mergeCell ref="B1320:B1321"/>
    <mergeCell ref="B1322:B1323"/>
    <mergeCell ref="B1324:B1325"/>
    <mergeCell ref="C1318:C1319"/>
    <mergeCell ref="C1320:C1321"/>
    <mergeCell ref="C1322:C1323"/>
    <mergeCell ref="C1324:C1325"/>
    <mergeCell ref="B1240:B1241"/>
    <mergeCell ref="B1242:B1243"/>
    <mergeCell ref="B1244:B1245"/>
    <mergeCell ref="B1246:B1247"/>
    <mergeCell ref="B1248:B1249"/>
    <mergeCell ref="B1318:B1319"/>
    <mergeCell ref="C1337:C1338"/>
    <mergeCell ref="C1339:C1342"/>
    <mergeCell ref="L1337:L1338"/>
    <mergeCell ref="O1386:O1387"/>
    <mergeCell ref="O1388:O1389"/>
    <mergeCell ref="O1347:O1348"/>
    <mergeCell ref="B1302:B1303"/>
    <mergeCell ref="B1218:B1221"/>
    <mergeCell ref="B1261:B1262"/>
    <mergeCell ref="B1263:B1264"/>
    <mergeCell ref="B1376:B1377"/>
    <mergeCell ref="B1394:B1395"/>
    <mergeCell ref="C1388:C1389"/>
    <mergeCell ref="C1390:C1391"/>
    <mergeCell ref="C1392:C1393"/>
    <mergeCell ref="C1394:C1395"/>
    <mergeCell ref="C1062:C1063"/>
    <mergeCell ref="B997:B1001"/>
    <mergeCell ref="C997:C1001"/>
    <mergeCell ref="B1002:B1003"/>
    <mergeCell ref="C1002:C1003"/>
    <mergeCell ref="C1015:C1016"/>
    <mergeCell ref="B1044:B1045"/>
    <mergeCell ref="C1044:C1045"/>
    <mergeCell ref="B1066:B1071"/>
    <mergeCell ref="C1066:C1071"/>
    <mergeCell ref="B1019:B1022"/>
    <mergeCell ref="C1058:C1059"/>
    <mergeCell ref="B1060:B1061"/>
    <mergeCell ref="C1060:C1061"/>
    <mergeCell ref="B1072:B1073"/>
    <mergeCell ref="C1072:C1073"/>
    <mergeCell ref="B1024:B1029"/>
    <mergeCell ref="C1024:C1029"/>
    <mergeCell ref="B1030:B1031"/>
    <mergeCell ref="C1030:C1031"/>
    <mergeCell ref="B1231:B1232"/>
    <mergeCell ref="B1216:B1217"/>
    <mergeCell ref="C1010:C1011"/>
    <mergeCell ref="B1050:B1055"/>
    <mergeCell ref="C1236:C1237"/>
    <mergeCell ref="C1376:C1377"/>
    <mergeCell ref="C1378:C1379"/>
    <mergeCell ref="Z19:Z20"/>
    <mergeCell ref="C1382:C1383"/>
    <mergeCell ref="B1390:B1391"/>
    <mergeCell ref="B1392:B1393"/>
    <mergeCell ref="B1386:B1387"/>
    <mergeCell ref="B1388:B1389"/>
    <mergeCell ref="O1390:O1391"/>
    <mergeCell ref="R1390:R1391"/>
    <mergeCell ref="R1392:R1393"/>
    <mergeCell ref="B1384:B1385"/>
    <mergeCell ref="B1335:B1336"/>
    <mergeCell ref="C1335:C1336"/>
    <mergeCell ref="B1087:B1088"/>
    <mergeCell ref="C1087:C1088"/>
    <mergeCell ref="B1089:B1090"/>
    <mergeCell ref="C1101:C1102"/>
    <mergeCell ref="B1380:B1381"/>
    <mergeCell ref="B1382:B1383"/>
    <mergeCell ref="O1392:O1393"/>
    <mergeCell ref="P1380:P1381"/>
    <mergeCell ref="P1382:P1383"/>
    <mergeCell ref="C1384:C1385"/>
    <mergeCell ref="C1386:C1387"/>
    <mergeCell ref="B22:B23"/>
    <mergeCell ref="C16:C21"/>
    <mergeCell ref="K16:K21"/>
    <mergeCell ref="R1376:R1377"/>
    <mergeCell ref="O1382:O1383"/>
    <mergeCell ref="O1384:O1385"/>
    <mergeCell ref="B1169:B1170"/>
    <mergeCell ref="R1282:R1283"/>
    <mergeCell ref="R290:R301"/>
    <mergeCell ref="B16:B21"/>
    <mergeCell ref="N2:N3"/>
    <mergeCell ref="O2:O3"/>
    <mergeCell ref="P2:P3"/>
    <mergeCell ref="Z9:Z10"/>
    <mergeCell ref="C165:C176"/>
    <mergeCell ref="R165:R176"/>
    <mergeCell ref="W2:W3"/>
    <mergeCell ref="B1:I1"/>
    <mergeCell ref="B247:B248"/>
    <mergeCell ref="C247:C248"/>
    <mergeCell ref="B190:B209"/>
    <mergeCell ref="C98:C110"/>
    <mergeCell ref="C111:C115"/>
    <mergeCell ref="R111:R115"/>
    <mergeCell ref="R216:R217"/>
    <mergeCell ref="B177:B178"/>
    <mergeCell ref="C177:C178"/>
    <mergeCell ref="R177:R178"/>
    <mergeCell ref="B179:B181"/>
    <mergeCell ref="R245:R246"/>
    <mergeCell ref="R223:R225"/>
    <mergeCell ref="R159:R161"/>
    <mergeCell ref="B229:B242"/>
    <mergeCell ref="B157:B158"/>
    <mergeCell ref="C157:C158"/>
    <mergeCell ref="R157:R158"/>
    <mergeCell ref="C130:C143"/>
    <mergeCell ref="C229:C242"/>
    <mergeCell ref="B218:B220"/>
    <mergeCell ref="C218:C220"/>
    <mergeCell ref="R124:R126"/>
    <mergeCell ref="AA13:AA14"/>
    <mergeCell ref="AA15:AA16"/>
    <mergeCell ref="AA17:AA18"/>
    <mergeCell ref="B611:B612"/>
    <mergeCell ref="C611:C612"/>
    <mergeCell ref="L520:L522"/>
    <mergeCell ref="V517:V526"/>
    <mergeCell ref="B517:B518"/>
    <mergeCell ref="R527:R529"/>
    <mergeCell ref="R315:R318"/>
    <mergeCell ref="B98:B110"/>
    <mergeCell ref="B130:B143"/>
    <mergeCell ref="B253:B255"/>
    <mergeCell ref="C153:C154"/>
    <mergeCell ref="R153:R154"/>
    <mergeCell ref="C149:C152"/>
    <mergeCell ref="R149:R152"/>
    <mergeCell ref="C159:C161"/>
    <mergeCell ref="R155:R156"/>
    <mergeCell ref="R118:R121"/>
    <mergeCell ref="R218:R220"/>
    <mergeCell ref="R130:R143"/>
    <mergeCell ref="B144:B146"/>
    <mergeCell ref="C144:C146"/>
    <mergeCell ref="R144:R146"/>
    <mergeCell ref="B147:B148"/>
    <mergeCell ref="C147:C148"/>
    <mergeCell ref="R147:R148"/>
    <mergeCell ref="B149:B152"/>
    <mergeCell ref="B165:B176"/>
    <mergeCell ref="R33:R36"/>
    <mergeCell ref="C520:C522"/>
    <mergeCell ref="AC2:AE3"/>
    <mergeCell ref="Q2:Q3"/>
    <mergeCell ref="R2:R3"/>
    <mergeCell ref="C640:C642"/>
    <mergeCell ref="V632:V642"/>
    <mergeCell ref="X2:X3"/>
    <mergeCell ref="Y2:Y3"/>
    <mergeCell ref="Z2:Z3"/>
    <mergeCell ref="AA19:AA20"/>
    <mergeCell ref="AA21:AA22"/>
    <mergeCell ref="AA517:AA518"/>
    <mergeCell ref="AA519:AA520"/>
    <mergeCell ref="AA521:AA522"/>
    <mergeCell ref="AA523:AA524"/>
    <mergeCell ref="Z525:Z526"/>
    <mergeCell ref="AA525:AA526"/>
    <mergeCell ref="I2:I3"/>
    <mergeCell ref="J2:J3"/>
    <mergeCell ref="AA2:AA3"/>
    <mergeCell ref="R520:R522"/>
    <mergeCell ref="AA5:AA6"/>
    <mergeCell ref="AA7:AA8"/>
    <mergeCell ref="Z7:Z8"/>
    <mergeCell ref="Z21:Z22"/>
    <mergeCell ref="Z13:Z14"/>
    <mergeCell ref="Z15:Z16"/>
    <mergeCell ref="Z17:Z18"/>
    <mergeCell ref="V257:V259"/>
    <mergeCell ref="V96:V98"/>
    <mergeCell ref="R122:R123"/>
    <mergeCell ref="C253:C255"/>
    <mergeCell ref="R253:R255"/>
    <mergeCell ref="AM1:AV1"/>
    <mergeCell ref="AW1:BF1"/>
    <mergeCell ref="AM2:AS2"/>
    <mergeCell ref="AT2:AZ2"/>
    <mergeCell ref="BA2:BG2"/>
    <mergeCell ref="AC1:AL1"/>
    <mergeCell ref="M12:M15"/>
    <mergeCell ref="Z5:Z6"/>
    <mergeCell ref="L12:L15"/>
    <mergeCell ref="K12:K15"/>
    <mergeCell ref="C22:C23"/>
    <mergeCell ref="L25:L26"/>
    <mergeCell ref="C12:C15"/>
    <mergeCell ref="B12:B15"/>
    <mergeCell ref="J12:J15"/>
    <mergeCell ref="J16:J21"/>
    <mergeCell ref="R12:R15"/>
    <mergeCell ref="M16:M21"/>
    <mergeCell ref="L22:L23"/>
    <mergeCell ref="Z11:Z12"/>
    <mergeCell ref="R16:R21"/>
    <mergeCell ref="AA9:AA10"/>
    <mergeCell ref="AA11:AA12"/>
    <mergeCell ref="AF2:AL2"/>
    <mergeCell ref="S2:T3"/>
    <mergeCell ref="V2:V3"/>
    <mergeCell ref="M2:M3"/>
    <mergeCell ref="V1:AA1"/>
    <mergeCell ref="J22:J23"/>
    <mergeCell ref="N1:T1"/>
    <mergeCell ref="J1:K1"/>
    <mergeCell ref="L1:M1"/>
    <mergeCell ref="C210:C211"/>
    <mergeCell ref="R210:R211"/>
    <mergeCell ref="C284:C286"/>
    <mergeCell ref="R284:R286"/>
    <mergeCell ref="R311:R312"/>
    <mergeCell ref="B284:B286"/>
    <mergeCell ref="R39:R47"/>
    <mergeCell ref="R48:R54"/>
    <mergeCell ref="Z553:Z554"/>
    <mergeCell ref="Z549:Z550"/>
    <mergeCell ref="Z545:Z546"/>
    <mergeCell ref="Z547:Z548"/>
    <mergeCell ref="V534:V539"/>
    <mergeCell ref="R549:R552"/>
    <mergeCell ref="R463:R464"/>
    <mergeCell ref="B465:B468"/>
    <mergeCell ref="B486:B487"/>
    <mergeCell ref="C486:C487"/>
    <mergeCell ref="R486:R487"/>
    <mergeCell ref="C465:C468"/>
    <mergeCell ref="C280:C281"/>
    <mergeCell ref="R280:R281"/>
    <mergeCell ref="B282:B283"/>
    <mergeCell ref="B259:B279"/>
    <mergeCell ref="C259:C279"/>
    <mergeCell ref="R259:R279"/>
    <mergeCell ref="B280:B281"/>
    <mergeCell ref="C311:C312"/>
    <mergeCell ref="B122:B123"/>
    <mergeCell ref="K517:K518"/>
    <mergeCell ref="L517:L518"/>
    <mergeCell ref="R488:R489"/>
    <mergeCell ref="AA551:AA552"/>
    <mergeCell ref="AA553:AA554"/>
    <mergeCell ref="R547:R548"/>
    <mergeCell ref="K547:K548"/>
    <mergeCell ref="C615:C617"/>
    <mergeCell ref="B290:B301"/>
    <mergeCell ref="B660:B666"/>
    <mergeCell ref="V360:V362"/>
    <mergeCell ref="V396:V398"/>
    <mergeCell ref="R428:R429"/>
    <mergeCell ref="C437:C440"/>
    <mergeCell ref="R243:R244"/>
    <mergeCell ref="L16:L21"/>
    <mergeCell ref="C523:C526"/>
    <mergeCell ref="C531:C532"/>
    <mergeCell ref="B531:B532"/>
    <mergeCell ref="Z519:Z520"/>
    <mergeCell ref="D531:D532"/>
    <mergeCell ref="J531:J532"/>
    <mergeCell ref="K531:K532"/>
    <mergeCell ref="J523:J526"/>
    <mergeCell ref="J520:J522"/>
    <mergeCell ref="R523:R526"/>
    <mergeCell ref="B351:B352"/>
    <mergeCell ref="C351:C352"/>
    <mergeCell ref="R351:R352"/>
    <mergeCell ref="B347:B348"/>
    <mergeCell ref="B223:B225"/>
    <mergeCell ref="C463:C464"/>
    <mergeCell ref="R221:R222"/>
    <mergeCell ref="R190:R209"/>
    <mergeCell ref="B210:B211"/>
    <mergeCell ref="C122:C123"/>
    <mergeCell ref="B214:B215"/>
    <mergeCell ref="C444:C460"/>
    <mergeCell ref="B432:B434"/>
    <mergeCell ref="B39:B47"/>
    <mergeCell ref="B48:B54"/>
    <mergeCell ref="B33:B36"/>
    <mergeCell ref="C39:C47"/>
    <mergeCell ref="C48:C54"/>
    <mergeCell ref="B60:B64"/>
    <mergeCell ref="C60:C64"/>
    <mergeCell ref="B221:B222"/>
    <mergeCell ref="C221:C222"/>
    <mergeCell ref="C33:C36"/>
    <mergeCell ref="C37:C38"/>
    <mergeCell ref="C353:C354"/>
    <mergeCell ref="R353:R354"/>
    <mergeCell ref="B313:B314"/>
    <mergeCell ref="B302:B303"/>
    <mergeCell ref="C302:C303"/>
    <mergeCell ref="B426:B427"/>
    <mergeCell ref="C426:C427"/>
    <mergeCell ref="R426:R427"/>
    <mergeCell ref="B428:B429"/>
    <mergeCell ref="C428:C429"/>
    <mergeCell ref="R229:R242"/>
    <mergeCell ref="B243:B244"/>
    <mergeCell ref="R247:R248"/>
    <mergeCell ref="B249:B250"/>
    <mergeCell ref="C249:C250"/>
    <mergeCell ref="R249:R250"/>
    <mergeCell ref="B251:B252"/>
    <mergeCell ref="A257:A286"/>
    <mergeCell ref="R355:R358"/>
    <mergeCell ref="L531:L532"/>
    <mergeCell ref="C2:C3"/>
    <mergeCell ref="D2:D3"/>
    <mergeCell ref="E2:E3"/>
    <mergeCell ref="F2:F3"/>
    <mergeCell ref="G2:G3"/>
    <mergeCell ref="A28:A54"/>
    <mergeCell ref="A5:A26"/>
    <mergeCell ref="C8:C11"/>
    <mergeCell ref="B8:B11"/>
    <mergeCell ref="J8:J11"/>
    <mergeCell ref="L8:L11"/>
    <mergeCell ref="J5:J6"/>
    <mergeCell ref="L5:L6"/>
    <mergeCell ref="B5:B6"/>
    <mergeCell ref="C5:C6"/>
    <mergeCell ref="B25:B26"/>
    <mergeCell ref="B155:B156"/>
    <mergeCell ref="C25:C26"/>
    <mergeCell ref="D25:D26"/>
    <mergeCell ref="J25:J26"/>
    <mergeCell ref="K25:K26"/>
    <mergeCell ref="H2:H3"/>
    <mergeCell ref="C30:C32"/>
    <mergeCell ref="K2:K3"/>
    <mergeCell ref="L2:L3"/>
    <mergeCell ref="A2:A3"/>
    <mergeCell ref="B30:B32"/>
    <mergeCell ref="B37:B38"/>
    <mergeCell ref="C243:C244"/>
    <mergeCell ref="C251:C252"/>
    <mergeCell ref="R251:R252"/>
    <mergeCell ref="C245:C246"/>
    <mergeCell ref="A227:A255"/>
    <mergeCell ref="R302:R303"/>
    <mergeCell ref="B304:B305"/>
    <mergeCell ref="C304:C305"/>
    <mergeCell ref="R304:R305"/>
    <mergeCell ref="R687:R688"/>
    <mergeCell ref="R689:R691"/>
    <mergeCell ref="A470:A493"/>
    <mergeCell ref="R347:R348"/>
    <mergeCell ref="R382:R384"/>
    <mergeCell ref="R472:R485"/>
    <mergeCell ref="C290:C301"/>
    <mergeCell ref="C282:C283"/>
    <mergeCell ref="B315:B318"/>
    <mergeCell ref="C315:C318"/>
    <mergeCell ref="B387:B388"/>
    <mergeCell ref="B338:B340"/>
    <mergeCell ref="A360:A394"/>
    <mergeCell ref="A396:A440"/>
    <mergeCell ref="C398:C423"/>
    <mergeCell ref="A288:A318"/>
    <mergeCell ref="J517:J518"/>
    <mergeCell ref="B306:B308"/>
    <mergeCell ref="C306:C308"/>
    <mergeCell ref="R306:R308"/>
    <mergeCell ref="B355:B358"/>
    <mergeCell ref="R465:R468"/>
    <mergeCell ref="A534:A543"/>
    <mergeCell ref="R490:R493"/>
    <mergeCell ref="R309:R310"/>
    <mergeCell ref="B523:B526"/>
    <mergeCell ref="L523:L526"/>
    <mergeCell ref="C490:C493"/>
    <mergeCell ref="A442:A468"/>
    <mergeCell ref="A320:A358"/>
    <mergeCell ref="A517:A532"/>
    <mergeCell ref="AD818:AE818"/>
    <mergeCell ref="AA719:AA720"/>
    <mergeCell ref="C578:C580"/>
    <mergeCell ref="R578:R580"/>
    <mergeCell ref="AA685:AA686"/>
    <mergeCell ref="B667:B668"/>
    <mergeCell ref="C638:C639"/>
    <mergeCell ref="C687:C688"/>
    <mergeCell ref="C689:C691"/>
    <mergeCell ref="Z721:Z722"/>
    <mergeCell ref="B632:B633"/>
    <mergeCell ref="A752:A761"/>
    <mergeCell ref="Z517:Z518"/>
    <mergeCell ref="B349:B350"/>
    <mergeCell ref="C349:C350"/>
    <mergeCell ref="R349:R350"/>
    <mergeCell ref="B520:B522"/>
    <mergeCell ref="Z551:Z552"/>
    <mergeCell ref="B787:B790"/>
    <mergeCell ref="A672:A681"/>
    <mergeCell ref="A658:A670"/>
    <mergeCell ref="C660:C666"/>
    <mergeCell ref="C667:C668"/>
    <mergeCell ref="A595:A608"/>
    <mergeCell ref="R559:R562"/>
    <mergeCell ref="C118:C121"/>
    <mergeCell ref="AA721:AA722"/>
    <mergeCell ref="R60:R64"/>
    <mergeCell ref="Z717:Z718"/>
    <mergeCell ref="C65:C68"/>
    <mergeCell ref="B599:B600"/>
    <mergeCell ref="B601:B604"/>
    <mergeCell ref="C601:C604"/>
    <mergeCell ref="B687:B688"/>
    <mergeCell ref="B689:B691"/>
    <mergeCell ref="C685:C686"/>
    <mergeCell ref="A610:A619"/>
    <mergeCell ref="A621:A630"/>
    <mergeCell ref="B309:B310"/>
    <mergeCell ref="A545:A554"/>
    <mergeCell ref="B549:B552"/>
    <mergeCell ref="C549:C552"/>
    <mergeCell ref="C559:C562"/>
    <mergeCell ref="A163:A186"/>
    <mergeCell ref="C179:C181"/>
    <mergeCell ref="R179:R181"/>
    <mergeCell ref="C488:C489"/>
    <mergeCell ref="B490:B493"/>
    <mergeCell ref="B461:B462"/>
    <mergeCell ref="C382:C384"/>
    <mergeCell ref="B472:B485"/>
    <mergeCell ref="C472:C485"/>
    <mergeCell ref="R599:R600"/>
    <mergeCell ref="Z683:Z684"/>
    <mergeCell ref="B708:B715"/>
    <mergeCell ref="B698:B699"/>
    <mergeCell ref="B702:B704"/>
    <mergeCell ref="AD5:AE5"/>
    <mergeCell ref="AD517:AE517"/>
    <mergeCell ref="C702:C704"/>
    <mergeCell ref="V723:V724"/>
    <mergeCell ref="AA743:AA744"/>
    <mergeCell ref="AA745:AA746"/>
    <mergeCell ref="AA747:AA748"/>
    <mergeCell ref="AA749:AA750"/>
    <mergeCell ref="Z719:Z720"/>
    <mergeCell ref="Z723:Z724"/>
    <mergeCell ref="Z745:Z746"/>
    <mergeCell ref="Z747:Z748"/>
    <mergeCell ref="R30:R32"/>
    <mergeCell ref="R37:R38"/>
    <mergeCell ref="C155:C156"/>
    <mergeCell ref="V320:V322"/>
    <mergeCell ref="AD545:AE545"/>
    <mergeCell ref="C719:C721"/>
    <mergeCell ref="C741:C744"/>
    <mergeCell ref="J741:J744"/>
    <mergeCell ref="AD28:AE28"/>
    <mergeCell ref="Z749:Z750"/>
    <mergeCell ref="V470:V472"/>
    <mergeCell ref="C355:C358"/>
    <mergeCell ref="R430:R431"/>
    <mergeCell ref="C432:C434"/>
    <mergeCell ref="R432:R434"/>
    <mergeCell ref="AD534:AE534"/>
    <mergeCell ref="R601:R604"/>
    <mergeCell ref="V610:V617"/>
    <mergeCell ref="J700:J701"/>
    <mergeCell ref="C190:C209"/>
    <mergeCell ref="AD1375:AE1375"/>
    <mergeCell ref="AD952:AE952"/>
    <mergeCell ref="V951:V955"/>
    <mergeCell ref="R698:R699"/>
    <mergeCell ref="R700:R701"/>
    <mergeCell ref="R702:R704"/>
    <mergeCell ref="AA739:AA740"/>
    <mergeCell ref="AA741:AA742"/>
    <mergeCell ref="C914:C918"/>
    <mergeCell ref="R914:R918"/>
    <mergeCell ref="Z912:Z913"/>
    <mergeCell ref="Z914:Z915"/>
    <mergeCell ref="Z739:Z740"/>
    <mergeCell ref="Z741:Z742"/>
    <mergeCell ref="N932:R938"/>
    <mergeCell ref="J932:M938"/>
    <mergeCell ref="R940:R941"/>
    <mergeCell ref="C1246:C1247"/>
    <mergeCell ref="C1248:C1249"/>
    <mergeCell ref="C1229:C1230"/>
    <mergeCell ref="C990:C991"/>
    <mergeCell ref="C787:C790"/>
    <mergeCell ref="AD861:AE861"/>
    <mergeCell ref="R1267:R1268"/>
    <mergeCell ref="Z847:Z848"/>
    <mergeCell ref="C926:C927"/>
    <mergeCell ref="R901:R907"/>
    <mergeCell ref="AD1234:AE1234"/>
    <mergeCell ref="AD1194:AE1194"/>
    <mergeCell ref="AD1252:AE1252"/>
    <mergeCell ref="AD1253:AE1253"/>
    <mergeCell ref="C1165:C1166"/>
    <mergeCell ref="B1367:B1369"/>
    <mergeCell ref="B1370:B1372"/>
    <mergeCell ref="C1370:C1372"/>
    <mergeCell ref="C1240:C1241"/>
    <mergeCell ref="C1242:C1243"/>
    <mergeCell ref="C1244:C1245"/>
    <mergeCell ref="B1238:B1239"/>
    <mergeCell ref="C1238:C1239"/>
    <mergeCell ref="B1229:B1230"/>
    <mergeCell ref="R1227:R1228"/>
    <mergeCell ref="B1101:B1102"/>
    <mergeCell ref="B1103:B1104"/>
    <mergeCell ref="C1103:C1104"/>
    <mergeCell ref="B1150:B1152"/>
    <mergeCell ref="R1302:R1303"/>
    <mergeCell ref="R1280:R1281"/>
    <mergeCell ref="V861:V867"/>
    <mergeCell ref="B866:B870"/>
    <mergeCell ref="B1187:B1188"/>
    <mergeCell ref="V1050:V1053"/>
    <mergeCell ref="R1284:R1285"/>
    <mergeCell ref="C972:C973"/>
    <mergeCell ref="B974:B975"/>
    <mergeCell ref="B1337:B1338"/>
    <mergeCell ref="B1339:B1342"/>
    <mergeCell ref="B1236:B1237"/>
    <mergeCell ref="B1286:B1288"/>
    <mergeCell ref="B1082:B1086"/>
    <mergeCell ref="B881:B882"/>
    <mergeCell ref="B1253:B1254"/>
    <mergeCell ref="B1255:B1256"/>
    <mergeCell ref="B1257:B1258"/>
    <mergeCell ref="AD56:AE56"/>
    <mergeCell ref="V128:V130"/>
    <mergeCell ref="V163:V165"/>
    <mergeCell ref="V188:V190"/>
    <mergeCell ref="V227:V229"/>
    <mergeCell ref="C669:C670"/>
    <mergeCell ref="C629:C630"/>
    <mergeCell ref="L595:L597"/>
    <mergeCell ref="R58:R59"/>
    <mergeCell ref="B362:B381"/>
    <mergeCell ref="B322:B337"/>
    <mergeCell ref="AA839:AA840"/>
    <mergeCell ref="AA841:AA842"/>
    <mergeCell ref="AA843:AA844"/>
    <mergeCell ref="Z839:Z840"/>
    <mergeCell ref="Z841:Z842"/>
    <mergeCell ref="Z843:Z844"/>
    <mergeCell ref="B578:B580"/>
    <mergeCell ref="C765:C768"/>
    <mergeCell ref="B757:B761"/>
    <mergeCell ref="C820:C821"/>
    <mergeCell ref="B643:B656"/>
    <mergeCell ref="R65:R68"/>
    <mergeCell ref="C347:C348"/>
    <mergeCell ref="R685:R686"/>
    <mergeCell ref="B615:B617"/>
    <mergeCell ref="R398:R423"/>
    <mergeCell ref="C754:C756"/>
    <mergeCell ref="B808:B809"/>
    <mergeCell ref="C808:C809"/>
    <mergeCell ref="B669:B670"/>
    <mergeCell ref="B820:B821"/>
    <mergeCell ref="A818:A837"/>
    <mergeCell ref="A774:A783"/>
    <mergeCell ref="B685:B686"/>
    <mergeCell ref="B673:B674"/>
    <mergeCell ref="A785:A805"/>
    <mergeCell ref="B924:B925"/>
    <mergeCell ref="A872:A886"/>
    <mergeCell ref="B841:B844"/>
    <mergeCell ref="A807:A816"/>
    <mergeCell ref="R808:R809"/>
    <mergeCell ref="B810:B816"/>
    <mergeCell ref="R1006:R1007"/>
    <mergeCell ref="R1040:R1041"/>
    <mergeCell ref="B769:B772"/>
    <mergeCell ref="C778:C782"/>
    <mergeCell ref="R962:R967"/>
    <mergeCell ref="R990:R991"/>
    <mergeCell ref="R988:R989"/>
    <mergeCell ref="R976:R977"/>
    <mergeCell ref="R942:R943"/>
    <mergeCell ref="R944:R948"/>
    <mergeCell ref="B719:B721"/>
    <mergeCell ref="B741:B744"/>
    <mergeCell ref="R822:R825"/>
    <mergeCell ref="B826:B837"/>
    <mergeCell ref="A683:A693"/>
    <mergeCell ref="C675:C678"/>
    <mergeCell ref="R675:R678"/>
    <mergeCell ref="A982:A995"/>
    <mergeCell ref="C932:I938"/>
    <mergeCell ref="B1032:B1033"/>
    <mergeCell ref="C1032:C1033"/>
    <mergeCell ref="AI719:AI720"/>
    <mergeCell ref="AD632:AE632"/>
    <mergeCell ref="AL721:AL722"/>
    <mergeCell ref="AI743:AI744"/>
    <mergeCell ref="AI749:AI750"/>
    <mergeCell ref="AI741:AI742"/>
    <mergeCell ref="AI747:AI748"/>
    <mergeCell ref="R875:R876"/>
    <mergeCell ref="C852:C853"/>
    <mergeCell ref="R841:R844"/>
    <mergeCell ref="C1147:C1149"/>
    <mergeCell ref="B890:B897"/>
    <mergeCell ref="V725:V726"/>
    <mergeCell ref="Z725:Z726"/>
    <mergeCell ref="AA725:AA726"/>
    <mergeCell ref="AD850:AE850"/>
    <mergeCell ref="AL723:AL724"/>
    <mergeCell ref="C841:C844"/>
    <mergeCell ref="B845:B848"/>
    <mergeCell ref="B675:B678"/>
    <mergeCell ref="R776:R777"/>
    <mergeCell ref="C974:C975"/>
    <mergeCell ref="B976:B977"/>
    <mergeCell ref="C976:C977"/>
    <mergeCell ref="Z743:Z744"/>
    <mergeCell ref="AA717:AA718"/>
    <mergeCell ref="J719:J721"/>
    <mergeCell ref="R787:R790"/>
    <mergeCell ref="AD951:AE951"/>
    <mergeCell ref="AA723:AA724"/>
    <mergeCell ref="B754:B756"/>
    <mergeCell ref="C698:C699"/>
    <mergeCell ref="A188:A225"/>
    <mergeCell ref="C214:C215"/>
    <mergeCell ref="R214:R215"/>
    <mergeCell ref="B216:B217"/>
    <mergeCell ref="C216:C217"/>
    <mergeCell ref="A56:A94"/>
    <mergeCell ref="B69:B78"/>
    <mergeCell ref="C69:C78"/>
    <mergeCell ref="R69:R78"/>
    <mergeCell ref="B79:B81"/>
    <mergeCell ref="C79:C81"/>
    <mergeCell ref="R79:R81"/>
    <mergeCell ref="B82:B90"/>
    <mergeCell ref="C82:C90"/>
    <mergeCell ref="R82:R90"/>
    <mergeCell ref="B91:B94"/>
    <mergeCell ref="C91:C94"/>
    <mergeCell ref="R91:R94"/>
    <mergeCell ref="A96:A126"/>
    <mergeCell ref="R98:R110"/>
    <mergeCell ref="B116:B117"/>
    <mergeCell ref="C116:C117"/>
    <mergeCell ref="R116:R117"/>
    <mergeCell ref="B118:B121"/>
    <mergeCell ref="B65:B68"/>
    <mergeCell ref="B58:B59"/>
    <mergeCell ref="C58:C59"/>
    <mergeCell ref="B153:B154"/>
    <mergeCell ref="R184:R186"/>
    <mergeCell ref="B212:B213"/>
    <mergeCell ref="B124:B126"/>
    <mergeCell ref="C124:C126"/>
    <mergeCell ref="A128:A161"/>
    <mergeCell ref="C322:C337"/>
    <mergeCell ref="R322:R337"/>
    <mergeCell ref="A1161:A1170"/>
    <mergeCell ref="B1165:B1166"/>
    <mergeCell ref="C776:C777"/>
    <mergeCell ref="B778:B782"/>
    <mergeCell ref="R928:R929"/>
    <mergeCell ref="B1116:B1117"/>
    <mergeCell ref="C1116:C1117"/>
    <mergeCell ref="B1108:B1111"/>
    <mergeCell ref="C1108:C1111"/>
    <mergeCell ref="B1112:B1113"/>
    <mergeCell ref="A696:A715"/>
    <mergeCell ref="A632:A656"/>
    <mergeCell ref="B854:B859"/>
    <mergeCell ref="A888:A897"/>
    <mergeCell ref="A557:A573"/>
    <mergeCell ref="R820:R821"/>
    <mergeCell ref="A763:A772"/>
    <mergeCell ref="B679:B681"/>
    <mergeCell ref="A940:A949"/>
    <mergeCell ref="B791:B805"/>
    <mergeCell ref="R877:R880"/>
    <mergeCell ref="A1082:A1092"/>
    <mergeCell ref="A951:A960"/>
    <mergeCell ref="B957:B960"/>
    <mergeCell ref="C944:C948"/>
    <mergeCell ref="B944:B948"/>
    <mergeCell ref="A923:A938"/>
    <mergeCell ref="C1167:C1168"/>
    <mergeCell ref="C1169:C1170"/>
    <mergeCell ref="B634:B635"/>
    <mergeCell ref="C634:C635"/>
    <mergeCell ref="B636:B637"/>
    <mergeCell ref="C636:C637"/>
    <mergeCell ref="B638:B639"/>
    <mergeCell ref="B765:B768"/>
    <mergeCell ref="A1334:A1343"/>
    <mergeCell ref="R1150:R1152"/>
    <mergeCell ref="R1365:R1366"/>
    <mergeCell ref="V1334:V1335"/>
    <mergeCell ref="C1175:C1176"/>
    <mergeCell ref="C1177:C1178"/>
    <mergeCell ref="V595:V596"/>
    <mergeCell ref="V1364:V1365"/>
    <mergeCell ref="C605:C608"/>
    <mergeCell ref="B613:B614"/>
    <mergeCell ref="R1156:R1157"/>
    <mergeCell ref="A1143:A1159"/>
    <mergeCell ref="B1147:B1149"/>
    <mergeCell ref="B1326:B1332"/>
    <mergeCell ref="C1365:C1366"/>
    <mergeCell ref="B1365:B1366"/>
    <mergeCell ref="A1013:A1022"/>
    <mergeCell ref="A1066:A1080"/>
    <mergeCell ref="R970:R971"/>
    <mergeCell ref="R972:R973"/>
    <mergeCell ref="R1002:R1003"/>
    <mergeCell ref="C1040:C1041"/>
    <mergeCell ref="B1042:B1043"/>
    <mergeCell ref="B1038:B1039"/>
    <mergeCell ref="C1042:C1043"/>
    <mergeCell ref="B1013:B1014"/>
    <mergeCell ref="AM745:AM746"/>
    <mergeCell ref="AM747:AM748"/>
    <mergeCell ref="AM749:AM750"/>
    <mergeCell ref="A1108:A1118"/>
    <mergeCell ref="C822:C825"/>
    <mergeCell ref="R852:R853"/>
    <mergeCell ref="B1177:B1178"/>
    <mergeCell ref="R1169:R1170"/>
    <mergeCell ref="A912:A921"/>
    <mergeCell ref="B928:B929"/>
    <mergeCell ref="C940:C941"/>
    <mergeCell ref="B942:B943"/>
    <mergeCell ref="C942:C943"/>
    <mergeCell ref="R1165:R1166"/>
    <mergeCell ref="R1167:R1168"/>
    <mergeCell ref="B877:B880"/>
    <mergeCell ref="C881:C882"/>
    <mergeCell ref="A962:A980"/>
    <mergeCell ref="C1013:C1014"/>
    <mergeCell ref="B1153:B1155"/>
    <mergeCell ref="B1156:B1157"/>
    <mergeCell ref="C1156:C1157"/>
    <mergeCell ref="A839:A848"/>
    <mergeCell ref="A850:A857"/>
    <mergeCell ref="B1158:B1159"/>
    <mergeCell ref="C1153:C1155"/>
    <mergeCell ref="B852:B853"/>
    <mergeCell ref="R1153:R1155"/>
    <mergeCell ref="C1050:C1055"/>
    <mergeCell ref="AD872:AE872"/>
    <mergeCell ref="A1094:A1106"/>
    <mergeCell ref="B908:B910"/>
    <mergeCell ref="R1367:R1369"/>
    <mergeCell ref="R1370:R1372"/>
    <mergeCell ref="R778:R782"/>
    <mergeCell ref="AD923:AE923"/>
    <mergeCell ref="P1384:P1385"/>
    <mergeCell ref="P1386:P1387"/>
    <mergeCell ref="P1388:P1389"/>
    <mergeCell ref="R1094:R1098"/>
    <mergeCell ref="R1056:R1057"/>
    <mergeCell ref="R1072:R1073"/>
    <mergeCell ref="R1074:R1075"/>
    <mergeCell ref="R1082:R1086"/>
    <mergeCell ref="R1378:R1379"/>
    <mergeCell ref="P1376:P1377"/>
    <mergeCell ref="AD940:AE940"/>
    <mergeCell ref="V947:AA948"/>
    <mergeCell ref="B1175:B1176"/>
    <mergeCell ref="R1380:R1381"/>
    <mergeCell ref="V1315:V1318"/>
    <mergeCell ref="R1382:R1383"/>
    <mergeCell ref="R1384:R1385"/>
    <mergeCell ref="R1386:R1387"/>
    <mergeCell ref="P1378:P1379"/>
    <mergeCell ref="C1150:C1152"/>
    <mergeCell ref="R1339:R1342"/>
    <mergeCell ref="R1261:R1262"/>
    <mergeCell ref="R1265:R1266"/>
    <mergeCell ref="R1197:R1198"/>
    <mergeCell ref="AD839:AE839"/>
    <mergeCell ref="B1378:B1379"/>
    <mergeCell ref="V1024:V1029"/>
    <mergeCell ref="C1367:C1369"/>
    <mergeCell ref="AS818:AS821"/>
    <mergeCell ref="B553:B555"/>
    <mergeCell ref="B565:B574"/>
    <mergeCell ref="A576:A593"/>
    <mergeCell ref="B584:B593"/>
    <mergeCell ref="B725:B737"/>
    <mergeCell ref="A717:A737"/>
    <mergeCell ref="A739:A750"/>
    <mergeCell ref="B745:B750"/>
    <mergeCell ref="P1394:P1395"/>
    <mergeCell ref="P1390:P1391"/>
    <mergeCell ref="P1392:P1393"/>
    <mergeCell ref="R1394:R1395"/>
    <mergeCell ref="AD1212:AE1212"/>
    <mergeCell ref="AD1223:AE1223"/>
    <mergeCell ref="V1223:V1226"/>
    <mergeCell ref="R1214:R1215"/>
    <mergeCell ref="R1216:R1217"/>
    <mergeCell ref="AD1161:AE1161"/>
    <mergeCell ref="R1324:R1325"/>
    <mergeCell ref="AD1183:AE1183"/>
    <mergeCell ref="R1225:R1226"/>
    <mergeCell ref="V1212:V1215"/>
    <mergeCell ref="R1175:R1176"/>
    <mergeCell ref="R1177:R1178"/>
    <mergeCell ref="AD1172:AE1172"/>
    <mergeCell ref="V1378:V1379"/>
    <mergeCell ref="R1388:R1389"/>
    <mergeCell ref="C1158:C1159"/>
    <mergeCell ref="A1375:A1399"/>
    <mergeCell ref="B1396:B1399"/>
    <mergeCell ref="A1315:A1332"/>
  </mergeCells>
  <pageMargins left="0.7" right="0.7" top="0.75" bottom="0.75" header="0.3" footer="0.3"/>
  <pageSetup orientation="portrait" r:id="rId1"/>
  <ignoredErrors>
    <ignoredError sqref="M1047" twoDigitTextYear="1"/>
  </ignoredErrors>
  <drawing r:id="rId2"/>
  <legacyDrawing r:id="rId3"/>
  <oleObjects>
    <mc:AlternateContent xmlns:mc="http://schemas.openxmlformats.org/markup-compatibility/2006">
      <mc:Choice Requires="x14">
        <oleObject progId="Document" dvAspect="DVASPECT_ICON" shapeId="1840" r:id="rId4">
          <objectPr defaultSize="0" autoPict="0" r:id="rId5">
            <anchor moveWithCells="1">
              <from>
                <xdr:col>28</xdr:col>
                <xdr:colOff>485775</xdr:colOff>
                <xdr:row>1024</xdr:row>
                <xdr:rowOff>180975</xdr:rowOff>
              </from>
              <to>
                <xdr:col>28</xdr:col>
                <xdr:colOff>1819275</xdr:colOff>
                <xdr:row>1030</xdr:row>
                <xdr:rowOff>38100</xdr:rowOff>
              </to>
            </anchor>
          </objectPr>
        </oleObject>
      </mc:Choice>
      <mc:Fallback>
        <oleObject progId="Document" dvAspect="DVASPECT_ICON" shapeId="1840" r:id="rId4"/>
      </mc:Fallback>
    </mc:AlternateContent>
    <mc:AlternateContent xmlns:mc="http://schemas.openxmlformats.org/markup-compatibility/2006">
      <mc:Choice Requires="x14">
        <oleObject progId="Document" dvAspect="DVASPECT_ICON" shapeId="1841" r:id="rId6">
          <objectPr defaultSize="0" autoPict="0" r:id="rId7">
            <anchor moveWithCells="1">
              <from>
                <xdr:col>28</xdr:col>
                <xdr:colOff>495300</xdr:colOff>
                <xdr:row>1031</xdr:row>
                <xdr:rowOff>9525</xdr:rowOff>
              </from>
              <to>
                <xdr:col>28</xdr:col>
                <xdr:colOff>1819275</xdr:colOff>
                <xdr:row>1036</xdr:row>
                <xdr:rowOff>57150</xdr:rowOff>
              </to>
            </anchor>
          </objectPr>
        </oleObject>
      </mc:Choice>
      <mc:Fallback>
        <oleObject progId="Document" dvAspect="DVASPECT_ICON" shapeId="1841" r:id="rId6"/>
      </mc:Fallback>
    </mc:AlternateContent>
    <mc:AlternateContent xmlns:mc="http://schemas.openxmlformats.org/markup-compatibility/2006">
      <mc:Choice Requires="x14">
        <oleObject progId="Document" dvAspect="DVASPECT_ICON" shapeId="1842" r:id="rId8">
          <objectPr defaultSize="0" autoPict="0" r:id="rId9">
            <anchor moveWithCells="1">
              <from>
                <xdr:col>28</xdr:col>
                <xdr:colOff>514350</xdr:colOff>
                <xdr:row>1037</xdr:row>
                <xdr:rowOff>38100</xdr:rowOff>
              </from>
              <to>
                <xdr:col>28</xdr:col>
                <xdr:colOff>1800225</xdr:colOff>
                <xdr:row>1042</xdr:row>
                <xdr:rowOff>57150</xdr:rowOff>
              </to>
            </anchor>
          </objectPr>
        </oleObject>
      </mc:Choice>
      <mc:Fallback>
        <oleObject progId="Document" dvAspect="DVASPECT_ICON" shapeId="1842" r:id="rId8"/>
      </mc:Fallback>
    </mc:AlternateContent>
    <mc:AlternateContent xmlns:mc="http://schemas.openxmlformats.org/markup-compatibility/2006">
      <mc:Choice Requires="x14">
        <oleObject progId="Document" dvAspect="DVASPECT_ICON" shapeId="6275" r:id="rId10">
          <objectPr defaultSize="0" autoPict="0" r:id="rId11">
            <anchor moveWithCells="1">
              <from>
                <xdr:col>28</xdr:col>
                <xdr:colOff>485775</xdr:colOff>
                <xdr:row>96</xdr:row>
                <xdr:rowOff>171450</xdr:rowOff>
              </from>
              <to>
                <xdr:col>28</xdr:col>
                <xdr:colOff>1714500</xdr:colOff>
                <xdr:row>101</xdr:row>
                <xdr:rowOff>152400</xdr:rowOff>
              </to>
            </anchor>
          </objectPr>
        </oleObject>
      </mc:Choice>
      <mc:Fallback>
        <oleObject progId="Document" dvAspect="DVASPECT_ICON" shapeId="6275" r:id="rId10"/>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BZ910"/>
  <sheetViews>
    <sheetView zoomScale="80" zoomScaleNormal="80" workbookViewId="0">
      <pane xSplit="1" ySplit="3" topLeftCell="B58" activePane="bottomRight" state="frozen"/>
      <selection pane="topRight" activeCell="B1" sqref="B1"/>
      <selection pane="bottomLeft" activeCell="A4" sqref="A4"/>
      <selection pane="bottomRight" activeCell="H41" sqref="H41"/>
    </sheetView>
  </sheetViews>
  <sheetFormatPr defaultRowHeight="15"/>
  <cols>
    <col min="1" max="1" width="51.5703125" style="2038" customWidth="1"/>
    <col min="2" max="2" width="69.85546875" style="2039" customWidth="1"/>
    <col min="3" max="4" width="17.7109375" style="2040" customWidth="1"/>
    <col min="5" max="5" width="20.140625" style="2039" bestFit="1" customWidth="1"/>
    <col min="6" max="6" width="28.28515625" style="2039" customWidth="1"/>
    <col min="7" max="7" width="24" style="1775" bestFit="1" customWidth="1"/>
    <col min="8" max="8" width="24" style="1775" customWidth="1"/>
    <col min="9" max="9" width="25.28515625" style="1775" bestFit="1" customWidth="1"/>
    <col min="10" max="10" width="25.28515625" style="1775" customWidth="1"/>
    <col min="11" max="11" width="25.28515625" style="2039" customWidth="1"/>
    <col min="12" max="12" width="18.42578125" style="1775" customWidth="1"/>
    <col min="13" max="13" width="29.85546875" style="1956" customWidth="1"/>
    <col min="14" max="14" width="28.42578125" style="2039" customWidth="1"/>
    <col min="15" max="15" width="22.42578125" style="2039" customWidth="1"/>
    <col min="16" max="17" width="22.42578125" style="1775" customWidth="1"/>
    <col min="18" max="20" width="20" style="1775" customWidth="1"/>
    <col min="21" max="21" width="64.7109375" style="1956" customWidth="1"/>
    <col min="22" max="22" width="18.5703125" style="1956" customWidth="1"/>
    <col min="23" max="23" width="18.5703125" style="2039" customWidth="1"/>
    <col min="24" max="24" width="12.28515625" style="2039" bestFit="1" customWidth="1"/>
    <col min="25" max="25" width="14.28515625" style="2039" bestFit="1" customWidth="1"/>
    <col min="26" max="26" width="10.42578125" style="2039" bestFit="1" customWidth="1"/>
    <col min="27" max="27" width="11" style="2039" customWidth="1"/>
    <col min="28" max="28" width="12.5703125" style="1956" bestFit="1" customWidth="1"/>
    <col min="29" max="29" width="6.85546875" style="2039" bestFit="1" customWidth="1"/>
    <col min="30" max="30" width="11.28515625" style="2039" bestFit="1" customWidth="1"/>
    <col min="31" max="31" width="14.28515625" style="2039" bestFit="1" customWidth="1"/>
    <col min="32" max="32" width="15" style="2039" bestFit="1" customWidth="1"/>
    <col min="33" max="33" width="11" style="2039" customWidth="1"/>
    <col min="34" max="34" width="12.5703125" style="1956" bestFit="1" customWidth="1"/>
    <col min="35" max="36" width="12.85546875" style="2039" bestFit="1" customWidth="1"/>
    <col min="37" max="37" width="6.85546875" style="2039" bestFit="1" customWidth="1"/>
    <col min="38" max="39" width="15" style="2039" bestFit="1" customWidth="1"/>
    <col min="40" max="40" width="14.7109375" style="2039" customWidth="1"/>
    <col min="41" max="41" width="10.5703125" style="1956" customWidth="1"/>
    <col min="42" max="42" width="9.140625" style="1957"/>
    <col min="43" max="43" width="0" style="1687" hidden="1" customWidth="1"/>
    <col min="44" max="44" width="14" style="1687" hidden="1" customWidth="1"/>
    <col min="45" max="61" width="0" style="1687" hidden="1" customWidth="1"/>
    <col min="63" max="63" width="15.42578125" style="2041" customWidth="1"/>
    <col min="64" max="64" width="16.5703125" style="2041" customWidth="1"/>
    <col min="65" max="65" width="14.140625" style="2041" customWidth="1"/>
    <col min="66" max="66" width="17.42578125" style="2041" customWidth="1"/>
    <col min="67" max="67" width="13.5703125" style="2041" customWidth="1"/>
    <col min="68" max="68" width="13.140625" style="2041" customWidth="1"/>
    <col min="69" max="69" width="16.5703125" style="2041" customWidth="1"/>
    <col min="70" max="72" width="9.140625" style="2041"/>
  </cols>
  <sheetData>
    <row r="1" spans="1:71" ht="24" thickBot="1">
      <c r="A1" s="1692"/>
      <c r="B1" s="2467" t="s">
        <v>1814</v>
      </c>
      <c r="C1" s="2467"/>
      <c r="D1" s="2467"/>
      <c r="E1" s="2467"/>
      <c r="F1" s="2467"/>
      <c r="G1" s="2467"/>
      <c r="H1" s="2467"/>
      <c r="I1" s="2467"/>
      <c r="J1" s="2467"/>
      <c r="K1" s="2467"/>
      <c r="L1" s="2468"/>
      <c r="M1" s="2469" t="s">
        <v>1815</v>
      </c>
      <c r="N1" s="2467"/>
      <c r="O1" s="2467"/>
      <c r="P1" s="2467"/>
      <c r="Q1" s="2467"/>
      <c r="R1" s="2467"/>
      <c r="S1" s="1693"/>
      <c r="T1" s="1694"/>
      <c r="U1" s="2469" t="s">
        <v>1816</v>
      </c>
      <c r="V1" s="2467"/>
      <c r="W1" s="2467"/>
      <c r="X1" s="2467"/>
      <c r="Y1" s="2467"/>
      <c r="Z1" s="2467"/>
      <c r="AA1" s="2467"/>
      <c r="AB1" s="2467"/>
      <c r="AC1" s="2467"/>
      <c r="AD1" s="2467"/>
      <c r="AE1" s="2467"/>
      <c r="AF1" s="2467"/>
      <c r="AG1" s="2467"/>
      <c r="AH1" s="2467"/>
      <c r="AI1" s="2467"/>
      <c r="AJ1" s="2467"/>
      <c r="AK1" s="2467"/>
      <c r="AL1" s="2467"/>
      <c r="AM1" s="2467"/>
      <c r="AN1" s="2467"/>
      <c r="AO1" s="2467"/>
      <c r="AP1" s="2467"/>
    </row>
    <row r="2" spans="1:71" ht="18.75">
      <c r="A2" s="2465" t="s">
        <v>0</v>
      </c>
      <c r="B2" s="1695"/>
      <c r="C2" s="1696"/>
      <c r="D2" s="2476" t="s">
        <v>1800</v>
      </c>
      <c r="E2" s="2477"/>
      <c r="F2" s="2477"/>
      <c r="G2" s="2477"/>
      <c r="H2" s="2477"/>
      <c r="I2" s="2477"/>
      <c r="J2" s="2477"/>
      <c r="K2" s="2477"/>
      <c r="L2" s="2478"/>
      <c r="M2" s="2470" t="s">
        <v>1801</v>
      </c>
      <c r="N2" s="2471"/>
      <c r="O2" s="2471"/>
      <c r="P2" s="2471"/>
      <c r="Q2" s="2471"/>
      <c r="R2" s="2471"/>
      <c r="S2" s="1697"/>
      <c r="T2" s="1698"/>
      <c r="U2" s="1699"/>
      <c r="V2" s="2448" t="s">
        <v>1438</v>
      </c>
      <c r="W2" s="2449"/>
      <c r="X2" s="2449"/>
      <c r="Y2" s="2449"/>
      <c r="Z2" s="2449"/>
      <c r="AA2" s="2449"/>
      <c r="AB2" s="2449"/>
      <c r="AC2" s="2449"/>
      <c r="AD2" s="2449"/>
      <c r="AE2" s="2449"/>
      <c r="AF2" s="2449"/>
      <c r="AG2" s="2450"/>
      <c r="AH2" s="2448" t="s">
        <v>1439</v>
      </c>
      <c r="AI2" s="2449"/>
      <c r="AJ2" s="2449"/>
      <c r="AK2" s="2449"/>
      <c r="AL2" s="2449"/>
      <c r="AM2" s="2449"/>
      <c r="AN2" s="2449"/>
      <c r="AO2" s="2479" t="s">
        <v>1440</v>
      </c>
      <c r="AP2" s="2479"/>
    </row>
    <row r="3" spans="1:71" ht="75.75" thickBot="1">
      <c r="A3" s="2466"/>
      <c r="B3" s="1700" t="s">
        <v>2080</v>
      </c>
      <c r="C3" s="1701" t="s">
        <v>1795</v>
      </c>
      <c r="D3" s="1702" t="s">
        <v>1803</v>
      </c>
      <c r="E3" s="1703" t="s">
        <v>1797</v>
      </c>
      <c r="F3" s="1704" t="s">
        <v>1806</v>
      </c>
      <c r="G3" s="1705" t="s">
        <v>1813</v>
      </c>
      <c r="H3" s="1705" t="s">
        <v>2015</v>
      </c>
      <c r="I3" s="1705" t="s">
        <v>1810</v>
      </c>
      <c r="J3" s="1705" t="s">
        <v>1954</v>
      </c>
      <c r="K3" s="1706" t="s">
        <v>2011</v>
      </c>
      <c r="L3" s="1707" t="s">
        <v>2016</v>
      </c>
      <c r="M3" s="1700" t="s">
        <v>1807</v>
      </c>
      <c r="N3" s="1704" t="s">
        <v>1806</v>
      </c>
      <c r="O3" s="1700" t="s">
        <v>1808</v>
      </c>
      <c r="P3" s="1705" t="s">
        <v>1813</v>
      </c>
      <c r="Q3" s="1705" t="s">
        <v>2015</v>
      </c>
      <c r="R3" s="1705" t="s">
        <v>1810</v>
      </c>
      <c r="S3" s="1705" t="s">
        <v>1954</v>
      </c>
      <c r="T3" s="1707" t="s">
        <v>2017</v>
      </c>
      <c r="U3" s="1708" t="s">
        <v>1441</v>
      </c>
      <c r="V3" s="1709" t="s">
        <v>1442</v>
      </c>
      <c r="W3" s="1710" t="s">
        <v>1443</v>
      </c>
      <c r="X3" s="1710" t="s">
        <v>1444</v>
      </c>
      <c r="Y3" s="1710" t="s">
        <v>1445</v>
      </c>
      <c r="Z3" s="1710" t="s">
        <v>1446</v>
      </c>
      <c r="AA3" s="1711" t="s">
        <v>1447</v>
      </c>
      <c r="AB3" s="1709" t="s">
        <v>1448</v>
      </c>
      <c r="AC3" s="1710" t="s">
        <v>1449</v>
      </c>
      <c r="AD3" s="1710" t="s">
        <v>1450</v>
      </c>
      <c r="AE3" s="1710" t="s">
        <v>1451</v>
      </c>
      <c r="AF3" s="1710" t="s">
        <v>1452</v>
      </c>
      <c r="AG3" s="1711" t="s">
        <v>1453</v>
      </c>
      <c r="AH3" s="1709" t="s">
        <v>1454</v>
      </c>
      <c r="AI3" s="1710" t="s">
        <v>1455</v>
      </c>
      <c r="AJ3" s="1710" t="s">
        <v>1724</v>
      </c>
      <c r="AK3" s="1710" t="s">
        <v>1456</v>
      </c>
      <c r="AL3" s="1710" t="s">
        <v>1457</v>
      </c>
      <c r="AM3" s="1710" t="s">
        <v>1458</v>
      </c>
      <c r="AN3" s="1711" t="s">
        <v>1725</v>
      </c>
      <c r="AO3" s="1712" t="s">
        <v>1459</v>
      </c>
      <c r="AP3" s="1713" t="s">
        <v>1460</v>
      </c>
    </row>
    <row r="4" spans="1:71" ht="24" thickBot="1">
      <c r="A4" s="1714" t="s">
        <v>1107</v>
      </c>
      <c r="B4" s="1715"/>
      <c r="C4" s="1716"/>
      <c r="D4" s="1716"/>
      <c r="E4" s="1715"/>
      <c r="F4" s="1715"/>
      <c r="G4" s="1717"/>
      <c r="H4" s="1717"/>
      <c r="I4" s="1717"/>
      <c r="J4" s="1717"/>
      <c r="K4" s="1715"/>
      <c r="L4" s="1717"/>
      <c r="M4" s="1718"/>
      <c r="N4" s="1715"/>
      <c r="O4" s="1715"/>
      <c r="P4" s="1717"/>
      <c r="Q4" s="1717"/>
      <c r="R4" s="1717"/>
      <c r="S4" s="1717"/>
      <c r="T4" s="1717"/>
      <c r="U4" s="1718"/>
      <c r="V4" s="1718"/>
      <c r="W4" s="1715"/>
      <c r="X4" s="1715"/>
      <c r="Y4" s="1715"/>
      <c r="Z4" s="1715"/>
      <c r="AA4" s="1715"/>
      <c r="AB4" s="1718"/>
      <c r="AC4" s="1715"/>
      <c r="AD4" s="1715"/>
      <c r="AE4" s="1715"/>
      <c r="AF4" s="1715"/>
      <c r="AG4" s="1715"/>
      <c r="AH4" s="1718"/>
      <c r="AI4" s="1715"/>
      <c r="AJ4" s="1715"/>
      <c r="AK4" s="1715"/>
      <c r="AL4" s="1715"/>
      <c r="AM4" s="1715"/>
      <c r="AN4" s="1715"/>
      <c r="AO4" s="1718"/>
      <c r="AP4" s="1719"/>
      <c r="BK4" s="2048" t="s">
        <v>2750</v>
      </c>
    </row>
    <row r="5" spans="1:71" ht="28.5">
      <c r="A5" s="2432" t="s">
        <v>271</v>
      </c>
      <c r="B5" s="1720" t="s">
        <v>1953</v>
      </c>
      <c r="C5" s="1721" t="s">
        <v>2201</v>
      </c>
      <c r="D5" s="1721" t="s">
        <v>159</v>
      </c>
      <c r="E5" s="1722">
        <v>6</v>
      </c>
      <c r="F5" s="1723"/>
      <c r="G5" s="1724"/>
      <c r="H5" s="2420">
        <f>E5*G6</f>
        <v>349.64717763170353</v>
      </c>
      <c r="I5" s="1724"/>
      <c r="J5" s="1724"/>
      <c r="K5" s="2428">
        <v>0.15</v>
      </c>
      <c r="L5" s="2461">
        <f>(E5*G6)*(1+K5)</f>
        <v>402.09425427645903</v>
      </c>
      <c r="M5" s="1725" t="s">
        <v>1440</v>
      </c>
      <c r="N5" s="1723"/>
      <c r="O5" s="1723" t="str">
        <f>AO6</f>
        <v>0.5-2.0</v>
      </c>
      <c r="P5" s="1724">
        <f>G6</f>
        <v>58.274529605283924</v>
      </c>
      <c r="Q5" s="1726"/>
      <c r="R5" s="1726"/>
      <c r="S5" s="1727"/>
      <c r="T5" s="2461" t="s">
        <v>2014</v>
      </c>
      <c r="U5" s="1721" t="s">
        <v>1957</v>
      </c>
      <c r="V5" s="1725">
        <v>6</v>
      </c>
      <c r="W5" s="1723"/>
      <c r="X5" s="1723"/>
      <c r="Y5" s="1723"/>
      <c r="Z5" s="1723"/>
      <c r="AA5" s="1728"/>
      <c r="AB5" s="1699"/>
      <c r="AC5" s="1695"/>
      <c r="AD5" s="1695"/>
      <c r="AE5" s="1695"/>
      <c r="AF5" s="1695"/>
      <c r="AG5" s="1729"/>
      <c r="AH5" s="1699"/>
      <c r="AI5" s="1695"/>
      <c r="AJ5" s="1695"/>
      <c r="AK5" s="1695"/>
      <c r="AL5" s="1695"/>
      <c r="AM5" s="1695"/>
      <c r="AN5" s="1729"/>
      <c r="AO5" s="1730"/>
      <c r="AP5" s="1731"/>
      <c r="BK5" s="2049" t="s">
        <v>1774</v>
      </c>
      <c r="BL5" s="2049" t="s">
        <v>1775</v>
      </c>
      <c r="BM5" s="2049" t="s">
        <v>2751</v>
      </c>
      <c r="BN5" s="2049" t="s">
        <v>2752</v>
      </c>
      <c r="BO5" s="2050" t="s">
        <v>2753</v>
      </c>
      <c r="BP5" s="2050" t="s">
        <v>2754</v>
      </c>
      <c r="BQ5" s="2050" t="s">
        <v>2755</v>
      </c>
    </row>
    <row r="6" spans="1:71">
      <c r="A6" s="2433"/>
      <c r="B6" s="1732" t="s">
        <v>1811</v>
      </c>
      <c r="C6" s="1733" t="s">
        <v>2201</v>
      </c>
      <c r="D6" s="1733" t="s">
        <v>1440</v>
      </c>
      <c r="E6" s="1734"/>
      <c r="F6" s="1735"/>
      <c r="G6" s="1736">
        <f>AP6*BQ45</f>
        <v>58.274529605283924</v>
      </c>
      <c r="H6" s="2421"/>
      <c r="I6" s="1736"/>
      <c r="J6" s="1736"/>
      <c r="K6" s="2429"/>
      <c r="L6" s="2462"/>
      <c r="M6" s="1725" t="s">
        <v>1992</v>
      </c>
      <c r="N6" s="1723"/>
      <c r="O6" s="1723">
        <v>4</v>
      </c>
      <c r="P6" s="1724"/>
      <c r="Q6" s="1726"/>
      <c r="R6" s="1737">
        <v>128.09</v>
      </c>
      <c r="S6" s="1738"/>
      <c r="T6" s="2462"/>
      <c r="U6" s="1739" t="s">
        <v>1959</v>
      </c>
      <c r="V6" s="1740"/>
      <c r="W6" s="1741"/>
      <c r="X6" s="1741"/>
      <c r="Y6" s="1741"/>
      <c r="Z6" s="1741"/>
      <c r="AA6" s="1742"/>
      <c r="AB6" s="1699"/>
      <c r="AC6" s="1695"/>
      <c r="AD6" s="1695"/>
      <c r="AE6" s="1695"/>
      <c r="AF6" s="1695"/>
      <c r="AG6" s="1729"/>
      <c r="AH6" s="1699"/>
      <c r="AI6" s="1695"/>
      <c r="AJ6" s="1695"/>
      <c r="AK6" s="1695"/>
      <c r="AL6" s="1695"/>
      <c r="AM6" s="1695"/>
      <c r="AN6" s="1729"/>
      <c r="AO6" s="1743" t="s">
        <v>1958</v>
      </c>
      <c r="AP6" s="1744">
        <v>52.4</v>
      </c>
      <c r="BK6" s="2042">
        <v>1</v>
      </c>
      <c r="BL6" s="2043" t="s">
        <v>1776</v>
      </c>
      <c r="BM6" s="1749">
        <v>0.94</v>
      </c>
      <c r="BN6" s="1749">
        <v>1.0169999999999999</v>
      </c>
      <c r="BO6" s="2058">
        <v>3.2678012053238359E-3</v>
      </c>
      <c r="BP6" s="2058">
        <f>BM6*BO6</f>
        <v>3.0717331330044058E-3</v>
      </c>
      <c r="BQ6" s="2058">
        <f t="shared" ref="BQ6:BQ21" si="0">BN6*BO6</f>
        <v>3.3233538258143408E-3</v>
      </c>
      <c r="BS6" s="2041" t="s">
        <v>1935</v>
      </c>
    </row>
    <row r="7" spans="1:71">
      <c r="A7" s="2433"/>
      <c r="B7" s="1695"/>
      <c r="C7" s="1696"/>
      <c r="D7" s="1696"/>
      <c r="E7" s="1695"/>
      <c r="F7" s="1695"/>
      <c r="G7" s="1745"/>
      <c r="H7" s="1745"/>
      <c r="I7" s="1745"/>
      <c r="J7" s="1745"/>
      <c r="K7" s="1695"/>
      <c r="L7" s="1745"/>
      <c r="M7" s="1699"/>
      <c r="N7" s="1695"/>
      <c r="O7" s="1695"/>
      <c r="P7" s="1745"/>
      <c r="Q7" s="1745"/>
      <c r="R7" s="1745"/>
      <c r="S7" s="1745"/>
      <c r="T7" s="1745"/>
      <c r="U7" s="1699"/>
      <c r="V7" s="1699"/>
      <c r="W7" s="1695"/>
      <c r="X7" s="1695"/>
      <c r="Y7" s="1695"/>
      <c r="Z7" s="1695"/>
      <c r="AA7" s="1695"/>
      <c r="AB7" s="1699"/>
      <c r="AC7" s="1695"/>
      <c r="AD7" s="1695"/>
      <c r="AE7" s="1695"/>
      <c r="AF7" s="1695"/>
      <c r="AG7" s="1695"/>
      <c r="AH7" s="1699"/>
      <c r="AI7" s="1695"/>
      <c r="AJ7" s="1695"/>
      <c r="AK7" s="1695"/>
      <c r="AL7" s="1695"/>
      <c r="AM7" s="1695"/>
      <c r="AN7" s="1695"/>
      <c r="AO7" s="1699"/>
      <c r="AP7" s="1729"/>
      <c r="BK7" s="2044">
        <v>2</v>
      </c>
      <c r="BL7" s="2043" t="s">
        <v>1777</v>
      </c>
      <c r="BM7" s="1749">
        <v>0.94</v>
      </c>
      <c r="BN7" s="1749">
        <v>1.653</v>
      </c>
      <c r="BO7" s="2058">
        <v>9.6951641438708762E-3</v>
      </c>
      <c r="BP7" s="2058">
        <f t="shared" ref="BP7:BP21" si="1">BM7*BO7</f>
        <v>9.1134542952386235E-3</v>
      </c>
      <c r="BQ7" s="2058">
        <f t="shared" si="0"/>
        <v>1.602610632981856E-2</v>
      </c>
      <c r="BS7" s="2041">
        <f>BQ22/BN8</f>
        <v>0.69219667076958991</v>
      </c>
    </row>
    <row r="8" spans="1:71">
      <c r="A8" s="2433"/>
      <c r="B8" s="1695"/>
      <c r="C8" s="1696"/>
      <c r="D8" s="1696"/>
      <c r="E8" s="1695"/>
      <c r="F8" s="1695"/>
      <c r="G8" s="1745"/>
      <c r="H8" s="1745"/>
      <c r="I8" s="1745"/>
      <c r="J8" s="1745"/>
      <c r="K8" s="1695"/>
      <c r="L8" s="1745"/>
      <c r="M8" s="1699"/>
      <c r="N8" s="1695"/>
      <c r="O8" s="1695"/>
      <c r="P8" s="1745"/>
      <c r="Q8" s="1745"/>
      <c r="R8" s="1745"/>
      <c r="S8" s="1745"/>
      <c r="T8" s="1745"/>
      <c r="U8" s="1699"/>
      <c r="V8" s="1699"/>
      <c r="W8" s="1695"/>
      <c r="X8" s="1695"/>
      <c r="Y8" s="1695"/>
      <c r="Z8" s="1695"/>
      <c r="AA8" s="1695"/>
      <c r="AB8" s="1699"/>
      <c r="AC8" s="1695"/>
      <c r="AD8" s="1695"/>
      <c r="AE8" s="1695"/>
      <c r="AF8" s="1695"/>
      <c r="AG8" s="1695"/>
      <c r="AH8" s="1699"/>
      <c r="AI8" s="1695"/>
      <c r="AJ8" s="1695"/>
      <c r="AK8" s="1695"/>
      <c r="AL8" s="1695"/>
      <c r="AM8" s="1695"/>
      <c r="AN8" s="1695"/>
      <c r="AO8" s="1699"/>
      <c r="AP8" s="1729"/>
      <c r="BK8" s="2044">
        <v>3</v>
      </c>
      <c r="BL8" s="2043" t="s">
        <v>1778</v>
      </c>
      <c r="BM8" s="1749">
        <v>1.0009999999999999</v>
      </c>
      <c r="BN8" s="1749">
        <v>1.673</v>
      </c>
      <c r="BO8" s="2058">
        <v>3.0273549494431465E-2</v>
      </c>
      <c r="BP8" s="2058">
        <f t="shared" si="1"/>
        <v>3.0303823043925891E-2</v>
      </c>
      <c r="BQ8" s="2058">
        <f t="shared" si="0"/>
        <v>5.0647648304183841E-2</v>
      </c>
    </row>
    <row r="9" spans="1:71">
      <c r="A9" s="2433"/>
      <c r="B9" s="1695"/>
      <c r="C9" s="1696"/>
      <c r="D9" s="1696"/>
      <c r="E9" s="1695"/>
      <c r="F9" s="1695"/>
      <c r="G9" s="1745"/>
      <c r="H9" s="1745"/>
      <c r="I9" s="1745"/>
      <c r="J9" s="1745"/>
      <c r="K9" s="1695"/>
      <c r="L9" s="1745"/>
      <c r="M9" s="1699"/>
      <c r="N9" s="1695"/>
      <c r="O9" s="1695"/>
      <c r="P9" s="1745"/>
      <c r="Q9" s="1745"/>
      <c r="R9" s="1745"/>
      <c r="S9" s="1745"/>
      <c r="T9" s="1745"/>
      <c r="U9" s="1699"/>
      <c r="V9" s="1699"/>
      <c r="W9" s="1695"/>
      <c r="X9" s="1695"/>
      <c r="Y9" s="1695"/>
      <c r="Z9" s="1695"/>
      <c r="AA9" s="1695"/>
      <c r="AB9" s="1699"/>
      <c r="AC9" s="1695"/>
      <c r="AD9" s="1695"/>
      <c r="AE9" s="1695"/>
      <c r="AF9" s="1695"/>
      <c r="AG9" s="1695"/>
      <c r="AH9" s="1699"/>
      <c r="AI9" s="1695"/>
      <c r="AJ9" s="1695"/>
      <c r="AK9" s="1695"/>
      <c r="AL9" s="1695"/>
      <c r="AM9" s="1695"/>
      <c r="AN9" s="1695"/>
      <c r="AO9" s="1699"/>
      <c r="AP9" s="1729"/>
      <c r="BK9" s="2044">
        <v>4</v>
      </c>
      <c r="BL9" s="2043" t="s">
        <v>1779</v>
      </c>
      <c r="BM9" s="1749">
        <v>1</v>
      </c>
      <c r="BN9" s="1749">
        <v>1.448</v>
      </c>
      <c r="BO9" s="2058">
        <v>1.528624830392613E-2</v>
      </c>
      <c r="BP9" s="2058">
        <f t="shared" si="1"/>
        <v>1.528624830392613E-2</v>
      </c>
      <c r="BQ9" s="2058">
        <f t="shared" si="0"/>
        <v>2.2134487544085035E-2</v>
      </c>
    </row>
    <row r="10" spans="1:71">
      <c r="A10" s="2433"/>
      <c r="B10" s="1695"/>
      <c r="C10" s="1696"/>
      <c r="D10" s="1696"/>
      <c r="E10" s="1695"/>
      <c r="F10" s="1695"/>
      <c r="G10" s="1745"/>
      <c r="H10" s="1745"/>
      <c r="I10" s="1745"/>
      <c r="J10" s="1745"/>
      <c r="K10" s="1695"/>
      <c r="L10" s="1745"/>
      <c r="M10" s="1699"/>
      <c r="N10" s="1695"/>
      <c r="O10" s="1695"/>
      <c r="P10" s="1745"/>
      <c r="Q10" s="1745"/>
      <c r="R10" s="1745"/>
      <c r="S10" s="1745"/>
      <c r="T10" s="1745"/>
      <c r="U10" s="1699"/>
      <c r="V10" s="1699"/>
      <c r="W10" s="1695"/>
      <c r="X10" s="1695"/>
      <c r="Y10" s="1695"/>
      <c r="Z10" s="1695"/>
      <c r="AA10" s="1695"/>
      <c r="AB10" s="1699"/>
      <c r="AC10" s="1695"/>
      <c r="AD10" s="1695"/>
      <c r="AE10" s="1695"/>
      <c r="AF10" s="1695"/>
      <c r="AG10" s="1695"/>
      <c r="AH10" s="1699"/>
      <c r="AI10" s="1695"/>
      <c r="AJ10" s="1695"/>
      <c r="AK10" s="1695"/>
      <c r="AL10" s="1695"/>
      <c r="AM10" s="1695"/>
      <c r="AN10" s="1695"/>
      <c r="AO10" s="1699"/>
      <c r="AP10" s="1729"/>
      <c r="BK10" s="2044">
        <v>5</v>
      </c>
      <c r="BL10" s="2043" t="s">
        <v>1780</v>
      </c>
      <c r="BM10" s="1749">
        <v>0.94</v>
      </c>
      <c r="BN10" s="1749">
        <v>1.0549999999999999</v>
      </c>
      <c r="BO10" s="2058">
        <v>4.3295788840252714E-4</v>
      </c>
      <c r="BP10" s="2058">
        <f t="shared" si="1"/>
        <v>4.0698041509837547E-4</v>
      </c>
      <c r="BQ10" s="2058">
        <f t="shared" si="0"/>
        <v>4.5677057226466611E-4</v>
      </c>
    </row>
    <row r="11" spans="1:71">
      <c r="A11" s="2433"/>
      <c r="B11" s="1695"/>
      <c r="C11" s="1696"/>
      <c r="D11" s="1696"/>
      <c r="E11" s="1695"/>
      <c r="F11" s="1695"/>
      <c r="G11" s="1745"/>
      <c r="H11" s="1745"/>
      <c r="I11" s="1745"/>
      <c r="J11" s="1745"/>
      <c r="K11" s="1695"/>
      <c r="L11" s="1745"/>
      <c r="M11" s="1699"/>
      <c r="N11" s="1695"/>
      <c r="O11" s="1695"/>
      <c r="P11" s="1745"/>
      <c r="Q11" s="1745"/>
      <c r="R11" s="1745"/>
      <c r="S11" s="1745"/>
      <c r="T11" s="1745"/>
      <c r="U11" s="1699"/>
      <c r="V11" s="1699"/>
      <c r="W11" s="1695"/>
      <c r="X11" s="1695"/>
      <c r="Y11" s="1695"/>
      <c r="Z11" s="1695"/>
      <c r="AA11" s="1695"/>
      <c r="AB11" s="1699"/>
      <c r="AC11" s="1695"/>
      <c r="AD11" s="1695"/>
      <c r="AE11" s="1695"/>
      <c r="AF11" s="1695"/>
      <c r="AG11" s="1695"/>
      <c r="AH11" s="1699"/>
      <c r="AI11" s="1695"/>
      <c r="AJ11" s="1695"/>
      <c r="AK11" s="1695"/>
      <c r="AL11" s="1695"/>
      <c r="AM11" s="1695"/>
      <c r="AN11" s="1695"/>
      <c r="AO11" s="1699"/>
      <c r="AP11" s="1729"/>
      <c r="BK11" s="2044">
        <v>6</v>
      </c>
      <c r="BL11" s="2043" t="s">
        <v>1781</v>
      </c>
      <c r="BM11" s="1749">
        <v>1</v>
      </c>
      <c r="BN11" s="1749">
        <v>1.167</v>
      </c>
      <c r="BO11" s="2058">
        <v>0.13910447299618456</v>
      </c>
      <c r="BP11" s="2058">
        <f t="shared" si="1"/>
        <v>0.13910447299618456</v>
      </c>
      <c r="BQ11" s="2058">
        <f t="shared" si="0"/>
        <v>0.16233491998654739</v>
      </c>
    </row>
    <row r="12" spans="1:71">
      <c r="A12" s="2433"/>
      <c r="B12" s="1695"/>
      <c r="C12" s="1696"/>
      <c r="D12" s="1696"/>
      <c r="E12" s="1695"/>
      <c r="F12" s="1695"/>
      <c r="G12" s="1745"/>
      <c r="H12" s="1745"/>
      <c r="I12" s="1745"/>
      <c r="J12" s="1745"/>
      <c r="K12" s="1695"/>
      <c r="L12" s="1745"/>
      <c r="M12" s="1699"/>
      <c r="N12" s="1695"/>
      <c r="O12" s="1695"/>
      <c r="P12" s="1745"/>
      <c r="Q12" s="1745"/>
      <c r="R12" s="1745"/>
      <c r="S12" s="1745"/>
      <c r="T12" s="1745"/>
      <c r="U12" s="1699"/>
      <c r="V12" s="1699"/>
      <c r="W12" s="1695"/>
      <c r="X12" s="1695"/>
      <c r="Y12" s="1695"/>
      <c r="Z12" s="1695"/>
      <c r="AA12" s="1695"/>
      <c r="AB12" s="1699"/>
      <c r="AC12" s="1695"/>
      <c r="AD12" s="1695"/>
      <c r="AE12" s="1695"/>
      <c r="AF12" s="1695"/>
      <c r="AG12" s="1695"/>
      <c r="AH12" s="1699"/>
      <c r="AI12" s="1695"/>
      <c r="AJ12" s="1695"/>
      <c r="AK12" s="1695"/>
      <c r="AL12" s="1695"/>
      <c r="AM12" s="1695"/>
      <c r="AN12" s="1695"/>
      <c r="AO12" s="1699"/>
      <c r="AP12" s="1729"/>
      <c r="BK12" s="2044">
        <v>7</v>
      </c>
      <c r="BL12" s="2043" t="s">
        <v>1782</v>
      </c>
      <c r="BM12" s="1749">
        <v>1</v>
      </c>
      <c r="BN12" s="1749">
        <v>1.1519999999999999</v>
      </c>
      <c r="BO12" s="2058">
        <v>4.6714352167431E-2</v>
      </c>
      <c r="BP12" s="2058">
        <f t="shared" si="1"/>
        <v>4.6714352167431E-2</v>
      </c>
      <c r="BQ12" s="2058">
        <f t="shared" si="0"/>
        <v>5.3814933696880507E-2</v>
      </c>
    </row>
    <row r="13" spans="1:71">
      <c r="A13" s="2433"/>
      <c r="B13" s="1695"/>
      <c r="C13" s="1696"/>
      <c r="D13" s="1696"/>
      <c r="E13" s="1695"/>
      <c r="F13" s="1695"/>
      <c r="G13" s="1745"/>
      <c r="H13" s="1745"/>
      <c r="I13" s="1745"/>
      <c r="J13" s="1745"/>
      <c r="K13" s="1695"/>
      <c r="L13" s="1745"/>
      <c r="M13" s="1699"/>
      <c r="N13" s="1695"/>
      <c r="O13" s="1695"/>
      <c r="P13" s="1745"/>
      <c r="Q13" s="1745"/>
      <c r="R13" s="1745"/>
      <c r="S13" s="1745"/>
      <c r="T13" s="1745"/>
      <c r="U13" s="1699"/>
      <c r="V13" s="1699"/>
      <c r="W13" s="1695"/>
      <c r="X13" s="1695"/>
      <c r="Y13" s="1695"/>
      <c r="Z13" s="1695"/>
      <c r="AA13" s="1695"/>
      <c r="AB13" s="1699"/>
      <c r="AC13" s="1695"/>
      <c r="AD13" s="1695"/>
      <c r="AE13" s="1695"/>
      <c r="AF13" s="1695"/>
      <c r="AG13" s="1695"/>
      <c r="AH13" s="1699"/>
      <c r="AI13" s="1695"/>
      <c r="AJ13" s="1695"/>
      <c r="AK13" s="1695"/>
      <c r="AL13" s="1695"/>
      <c r="AM13" s="1695"/>
      <c r="AN13" s="1695"/>
      <c r="AO13" s="1699"/>
      <c r="AP13" s="1729"/>
      <c r="BK13" s="2044">
        <v>8</v>
      </c>
      <c r="BL13" s="2043" t="s">
        <v>1783</v>
      </c>
      <c r="BM13" s="1749">
        <v>0.94</v>
      </c>
      <c r="BN13" s="1749">
        <v>1.0549999999999999</v>
      </c>
      <c r="BO13" s="2058">
        <v>0.16224194872283865</v>
      </c>
      <c r="BP13" s="2058">
        <f t="shared" si="1"/>
        <v>0.15250743179946832</v>
      </c>
      <c r="BQ13" s="2058">
        <f t="shared" si="0"/>
        <v>0.17116525590259477</v>
      </c>
    </row>
    <row r="14" spans="1:71" ht="15.75" thickBot="1">
      <c r="A14" s="2440"/>
      <c r="B14" s="1695"/>
      <c r="C14" s="1696"/>
      <c r="D14" s="1696"/>
      <c r="E14" s="1695"/>
      <c r="F14" s="1695"/>
      <c r="G14" s="1745"/>
      <c r="H14" s="1745"/>
      <c r="I14" s="1745"/>
      <c r="J14" s="1745"/>
      <c r="K14" s="1695"/>
      <c r="L14" s="1745"/>
      <c r="M14" s="1699"/>
      <c r="N14" s="1695"/>
      <c r="O14" s="1695"/>
      <c r="P14" s="1745"/>
      <c r="Q14" s="1745"/>
      <c r="R14" s="1745"/>
      <c r="S14" s="1745"/>
      <c r="T14" s="1745"/>
      <c r="U14" s="1699"/>
      <c r="V14" s="1699"/>
      <c r="W14" s="1695"/>
      <c r="X14" s="1695"/>
      <c r="Y14" s="1695"/>
      <c r="Z14" s="1695"/>
      <c r="AA14" s="1695"/>
      <c r="AB14" s="1699"/>
      <c r="AC14" s="1695"/>
      <c r="AD14" s="1695"/>
      <c r="AE14" s="1695"/>
      <c r="AF14" s="1695"/>
      <c r="AG14" s="1695"/>
      <c r="AH14" s="1699"/>
      <c r="AI14" s="1695"/>
      <c r="AJ14" s="1695"/>
      <c r="AK14" s="1695"/>
      <c r="AL14" s="1695"/>
      <c r="AM14" s="1695"/>
      <c r="AN14" s="1695"/>
      <c r="AO14" s="1699"/>
      <c r="AP14" s="1729"/>
      <c r="BH14" s="1687" t="s">
        <v>2050</v>
      </c>
      <c r="BK14" s="2044">
        <v>9</v>
      </c>
      <c r="BL14" s="2043" t="s">
        <v>1784</v>
      </c>
      <c r="BM14" s="1749">
        <v>1.0009999999999999</v>
      </c>
      <c r="BN14" s="1749">
        <v>1.167</v>
      </c>
      <c r="BO14" s="2058">
        <v>0.2181038248479171</v>
      </c>
      <c r="BP14" s="2058">
        <f t="shared" si="1"/>
        <v>0.21832192867276498</v>
      </c>
      <c r="BQ14" s="2058">
        <f t="shared" si="0"/>
        <v>0.25452716359751926</v>
      </c>
    </row>
    <row r="15" spans="1:71" ht="12" customHeight="1" thickBot="1">
      <c r="A15" s="1746"/>
      <c r="B15" s="1715"/>
      <c r="C15" s="1716"/>
      <c r="D15" s="1716"/>
      <c r="E15" s="1715"/>
      <c r="F15" s="1715"/>
      <c r="G15" s="1717"/>
      <c r="H15" s="1717"/>
      <c r="I15" s="1717"/>
      <c r="J15" s="1717"/>
      <c r="K15" s="1715"/>
      <c r="L15" s="1717"/>
      <c r="M15" s="1718"/>
      <c r="N15" s="1715"/>
      <c r="O15" s="1715"/>
      <c r="P15" s="1717"/>
      <c r="Q15" s="1717"/>
      <c r="R15" s="1717"/>
      <c r="S15" s="1717"/>
      <c r="T15" s="1717"/>
      <c r="U15" s="1718" t="s">
        <v>322</v>
      </c>
      <c r="V15" s="1718"/>
      <c r="W15" s="1715"/>
      <c r="X15" s="1715"/>
      <c r="Y15" s="1715"/>
      <c r="Z15" s="1715"/>
      <c r="AA15" s="1715"/>
      <c r="AB15" s="1718"/>
      <c r="AC15" s="1715"/>
      <c r="AD15" s="1715"/>
      <c r="AE15" s="1715"/>
      <c r="AF15" s="1715"/>
      <c r="AG15" s="1715"/>
      <c r="AH15" s="1718"/>
      <c r="AI15" s="1715"/>
      <c r="AJ15" s="1715"/>
      <c r="AK15" s="1715"/>
      <c r="AL15" s="1715"/>
      <c r="AM15" s="1715"/>
      <c r="AN15" s="1715"/>
      <c r="AO15" s="1718"/>
      <c r="AP15" s="1719"/>
      <c r="BK15" s="2044">
        <v>10</v>
      </c>
      <c r="BL15" s="2043" t="s">
        <v>1785</v>
      </c>
      <c r="BM15" s="1749">
        <v>1</v>
      </c>
      <c r="BN15" s="1749">
        <v>1.1659999999999999</v>
      </c>
      <c r="BO15" s="2058">
        <v>0.21277818510753721</v>
      </c>
      <c r="BP15" s="2058">
        <f t="shared" si="1"/>
        <v>0.21277818510753721</v>
      </c>
      <c r="BQ15" s="2058">
        <f t="shared" si="0"/>
        <v>0.24809936383538836</v>
      </c>
    </row>
    <row r="16" spans="1:71">
      <c r="A16" s="2472" t="s">
        <v>1132</v>
      </c>
      <c r="B16" s="1747" t="s">
        <v>1794</v>
      </c>
      <c r="C16" s="1733" t="s">
        <v>1796</v>
      </c>
      <c r="D16" s="1733" t="s">
        <v>1440</v>
      </c>
      <c r="E16" s="1748">
        <f>AT16</f>
        <v>5.8789455201364291E-2</v>
      </c>
      <c r="F16" s="1749" t="s">
        <v>1798</v>
      </c>
      <c r="G16" s="1736">
        <f>AP16*BQ22</f>
        <v>55.563000548877199</v>
      </c>
      <c r="H16" s="1736">
        <f>G16*E16</f>
        <v>3.2665185316215957</v>
      </c>
      <c r="I16" s="1738"/>
      <c r="J16" s="1737"/>
      <c r="K16" s="1750">
        <v>0.23</v>
      </c>
      <c r="L16" s="1751">
        <f>(E16*G16)*(1+K16)</f>
        <v>4.0178177938945625</v>
      </c>
      <c r="M16" s="1725" t="s">
        <v>1799</v>
      </c>
      <c r="N16" s="1722"/>
      <c r="O16" s="1734">
        <v>8.5999999999999993E-2</v>
      </c>
      <c r="P16" s="1752">
        <v>67.88</v>
      </c>
      <c r="Q16" s="1724"/>
      <c r="R16" s="1753"/>
      <c r="S16" s="1754"/>
      <c r="T16" s="1755">
        <f>O16*P16</f>
        <v>5.8376799999999989</v>
      </c>
      <c r="U16" s="1739" t="s">
        <v>1461</v>
      </c>
      <c r="V16" s="1699"/>
      <c r="W16" s="1756"/>
      <c r="X16" s="1756"/>
      <c r="Y16" s="1695"/>
      <c r="Z16" s="1695"/>
      <c r="AA16" s="1695"/>
      <c r="AB16" s="1699"/>
      <c r="AC16" s="1695"/>
      <c r="AD16" s="1695"/>
      <c r="AE16" s="1695"/>
      <c r="AF16" s="1695"/>
      <c r="AG16" s="1695"/>
      <c r="AH16" s="1699"/>
      <c r="AI16" s="1695"/>
      <c r="AJ16" s="1695"/>
      <c r="AK16" s="1695"/>
      <c r="AL16" s="1695"/>
      <c r="AM16" s="1695"/>
      <c r="AN16" s="1695"/>
      <c r="AO16" s="1757">
        <v>4</v>
      </c>
      <c r="AP16" s="1758">
        <v>47.98</v>
      </c>
      <c r="AQ16" s="1688">
        <v>45</v>
      </c>
      <c r="AR16" s="1687">
        <f>AO16/AQ16</f>
        <v>8.8888888888888892E-2</v>
      </c>
      <c r="AS16" s="1687" t="s">
        <v>1792</v>
      </c>
      <c r="AT16" s="1687">
        <f>AVERAGE(AR16:AR26)</f>
        <v>5.8789455201364291E-2</v>
      </c>
      <c r="BF16" s="1687">
        <v>919.79</v>
      </c>
      <c r="BG16" s="1687">
        <v>1152.0999999999999</v>
      </c>
      <c r="BH16" s="1687">
        <f>BG16/BF16</f>
        <v>1.2525685210754629</v>
      </c>
      <c r="BK16" s="2044">
        <v>11</v>
      </c>
      <c r="BL16" s="2043" t="s">
        <v>1786</v>
      </c>
      <c r="BM16" s="1749">
        <v>1</v>
      </c>
      <c r="BN16" s="1749">
        <v>1.07</v>
      </c>
      <c r="BO16" s="2058">
        <v>1.0238938634662145E-2</v>
      </c>
      <c r="BP16" s="2058">
        <f t="shared" si="1"/>
        <v>1.0238938634662145E-2</v>
      </c>
      <c r="BQ16" s="2058">
        <f t="shared" si="0"/>
        <v>1.0955664339088496E-2</v>
      </c>
    </row>
    <row r="17" spans="1:78">
      <c r="A17" s="2433"/>
      <c r="B17" s="1695"/>
      <c r="C17" s="1696"/>
      <c r="D17" s="1696"/>
      <c r="E17" s="1695"/>
      <c r="F17" s="1695"/>
      <c r="G17" s="1745"/>
      <c r="H17" s="1745"/>
      <c r="I17" s="1745"/>
      <c r="J17" s="1745"/>
      <c r="K17" s="1695"/>
      <c r="L17" s="1745"/>
      <c r="M17" s="1759"/>
      <c r="N17" s="1695"/>
      <c r="O17" s="1695"/>
      <c r="P17" s="1745"/>
      <c r="Q17" s="1745"/>
      <c r="R17" s="1745"/>
      <c r="S17" s="1745"/>
      <c r="T17" s="1745"/>
      <c r="U17" s="1739" t="s">
        <v>1462</v>
      </c>
      <c r="V17" s="1760"/>
      <c r="W17" s="1695"/>
      <c r="X17" s="1695"/>
      <c r="Y17" s="1695"/>
      <c r="Z17" s="1695"/>
      <c r="AA17" s="1695"/>
      <c r="AB17" s="1699"/>
      <c r="AC17" s="1695"/>
      <c r="AD17" s="1695"/>
      <c r="AE17" s="1695"/>
      <c r="AF17" s="1695"/>
      <c r="AG17" s="1695"/>
      <c r="AH17" s="1699"/>
      <c r="AI17" s="1695"/>
      <c r="AJ17" s="1695"/>
      <c r="AK17" s="1695"/>
      <c r="AL17" s="1695"/>
      <c r="AM17" s="1695"/>
      <c r="AN17" s="1695"/>
      <c r="AO17" s="1757">
        <v>4.444</v>
      </c>
      <c r="AP17" s="1758">
        <v>47.98</v>
      </c>
      <c r="AQ17" s="1687">
        <v>75</v>
      </c>
      <c r="AR17" s="1687">
        <f t="shared" ref="AR17:AR26" si="2">AO17/AQ17</f>
        <v>5.9253333333333331E-2</v>
      </c>
      <c r="AS17" s="1687" t="s">
        <v>1793</v>
      </c>
      <c r="AT17" s="1687">
        <f>STDEV(AR16:AR26)</f>
        <v>1.7608738202695266E-2</v>
      </c>
      <c r="BF17" s="1687">
        <v>936.89</v>
      </c>
      <c r="BG17" s="1687">
        <v>1181.17</v>
      </c>
      <c r="BH17" s="1687">
        <f t="shared" ref="BH17:BH24" si="3">BG17/BF17</f>
        <v>1.2607349848968397</v>
      </c>
      <c r="BK17" s="2044">
        <v>12</v>
      </c>
      <c r="BL17" s="2043" t="s">
        <v>1787</v>
      </c>
      <c r="BM17" s="1749">
        <v>1</v>
      </c>
      <c r="BN17" s="1749">
        <v>1.198</v>
      </c>
      <c r="BO17" s="2058">
        <v>3.6051475600374715E-2</v>
      </c>
      <c r="BP17" s="2058">
        <f t="shared" si="1"/>
        <v>3.6051475600374715E-2</v>
      </c>
      <c r="BQ17" s="2058">
        <f t="shared" si="0"/>
        <v>4.3189667769248909E-2</v>
      </c>
    </row>
    <row r="18" spans="1:78">
      <c r="A18" s="2433"/>
      <c r="B18" s="1695"/>
      <c r="C18" s="1696"/>
      <c r="D18" s="1696"/>
      <c r="E18" s="1695"/>
      <c r="F18" s="1695"/>
      <c r="G18" s="1745"/>
      <c r="H18" s="1745"/>
      <c r="I18" s="1745"/>
      <c r="J18" s="1745"/>
      <c r="K18" s="1695"/>
      <c r="L18" s="1745"/>
      <c r="M18" s="1699"/>
      <c r="N18" s="1695"/>
      <c r="O18" s="1695"/>
      <c r="P18" s="1745"/>
      <c r="Q18" s="1745"/>
      <c r="R18" s="1745"/>
      <c r="S18" s="1745"/>
      <c r="T18" s="1745"/>
      <c r="U18" s="1739" t="s">
        <v>1463</v>
      </c>
      <c r="V18" s="1699"/>
      <c r="W18" s="1695"/>
      <c r="X18" s="1695"/>
      <c r="Y18" s="1695"/>
      <c r="Z18" s="1695"/>
      <c r="AA18" s="1695"/>
      <c r="AB18" s="1699"/>
      <c r="AC18" s="1695"/>
      <c r="AD18" s="1695"/>
      <c r="AE18" s="1695"/>
      <c r="AF18" s="1695"/>
      <c r="AG18" s="1695"/>
      <c r="AH18" s="1699"/>
      <c r="AI18" s="1695"/>
      <c r="AJ18" s="1695"/>
      <c r="AK18" s="1695"/>
      <c r="AL18" s="1695"/>
      <c r="AM18" s="1695"/>
      <c r="AN18" s="1695"/>
      <c r="AO18" s="1757">
        <v>5</v>
      </c>
      <c r="AP18" s="1758">
        <v>47.98</v>
      </c>
      <c r="AQ18" s="1687">
        <v>100</v>
      </c>
      <c r="AR18" s="1687">
        <f t="shared" si="2"/>
        <v>0.05</v>
      </c>
      <c r="AS18" s="1687" t="s">
        <v>2078</v>
      </c>
      <c r="AT18" s="1687">
        <f>MIN(AR16:AR26)</f>
        <v>3.8093333333333333E-2</v>
      </c>
      <c r="BF18" s="1687">
        <v>996.96</v>
      </c>
      <c r="BG18" s="1687">
        <v>1252.67</v>
      </c>
      <c r="BH18" s="1687">
        <f t="shared" si="3"/>
        <v>1.2564897287754775</v>
      </c>
      <c r="BK18" s="2044">
        <v>13</v>
      </c>
      <c r="BL18" s="2043" t="s">
        <v>1788</v>
      </c>
      <c r="BM18" s="1749">
        <v>1.0009999999999999</v>
      </c>
      <c r="BN18" s="1749">
        <v>1.113</v>
      </c>
      <c r="BO18" s="2058">
        <v>2.1692994200168285E-2</v>
      </c>
      <c r="BP18" s="2058">
        <f t="shared" si="1"/>
        <v>2.1714687194368452E-2</v>
      </c>
      <c r="BQ18" s="2058">
        <f t="shared" si="0"/>
        <v>2.4144302544787302E-2</v>
      </c>
    </row>
    <row r="19" spans="1:78">
      <c r="A19" s="2433"/>
      <c r="B19" s="1695"/>
      <c r="C19" s="1696"/>
      <c r="D19" s="1696"/>
      <c r="E19" s="1695"/>
      <c r="F19" s="1695"/>
      <c r="G19" s="1745"/>
      <c r="H19" s="1745"/>
      <c r="I19" s="1745"/>
      <c r="J19" s="1745"/>
      <c r="K19" s="1695"/>
      <c r="L19" s="1745"/>
      <c r="M19" s="1699"/>
      <c r="N19" s="1695"/>
      <c r="O19" s="1695"/>
      <c r="P19" s="1745"/>
      <c r="Q19" s="1745"/>
      <c r="R19" s="1745"/>
      <c r="S19" s="1745"/>
      <c r="T19" s="1745"/>
      <c r="U19" s="1739" t="s">
        <v>1464</v>
      </c>
      <c r="V19" s="1699"/>
      <c r="W19" s="1695"/>
      <c r="X19" s="1695"/>
      <c r="Y19" s="1695"/>
      <c r="Z19" s="1695"/>
      <c r="AA19" s="1695"/>
      <c r="AB19" s="1699"/>
      <c r="AC19" s="1695"/>
      <c r="AD19" s="1695"/>
      <c r="AE19" s="1695"/>
      <c r="AF19" s="1695"/>
      <c r="AG19" s="1695"/>
      <c r="AH19" s="1699"/>
      <c r="AI19" s="1695"/>
      <c r="AJ19" s="1695"/>
      <c r="AK19" s="1695"/>
      <c r="AL19" s="1695"/>
      <c r="AM19" s="1695"/>
      <c r="AN19" s="1695"/>
      <c r="AO19" s="1743">
        <v>5.3330000000000002</v>
      </c>
      <c r="AP19" s="1758">
        <v>47.98</v>
      </c>
      <c r="AQ19" s="1687">
        <v>120</v>
      </c>
      <c r="AR19" s="1687">
        <f t="shared" si="2"/>
        <v>4.4441666666666671E-2</v>
      </c>
      <c r="AS19" s="1687" t="s">
        <v>2079</v>
      </c>
      <c r="AT19" s="1687">
        <f>MAX(AR16:AR26)</f>
        <v>8.8888888888888892E-2</v>
      </c>
      <c r="BF19" s="1687">
        <v>1098.1500000000001</v>
      </c>
      <c r="BG19" s="1687">
        <v>1380.68</v>
      </c>
      <c r="BH19" s="1687">
        <f t="shared" si="3"/>
        <v>1.2572781496152621</v>
      </c>
      <c r="BK19" s="2044">
        <v>14</v>
      </c>
      <c r="BL19" s="2043" t="s">
        <v>1789</v>
      </c>
      <c r="BM19" s="1749">
        <v>0.94</v>
      </c>
      <c r="BN19" s="1749">
        <v>0.99199999999999999</v>
      </c>
      <c r="BO19" s="2058">
        <v>3.4945886706775404E-2</v>
      </c>
      <c r="BP19" s="2058">
        <f t="shared" si="1"/>
        <v>3.2849133504368876E-2</v>
      </c>
      <c r="BQ19" s="2058">
        <f t="shared" si="0"/>
        <v>3.4666319613121201E-2</v>
      </c>
    </row>
    <row r="20" spans="1:78">
      <c r="A20" s="2433"/>
      <c r="B20" s="1695"/>
      <c r="C20" s="1696"/>
      <c r="D20" s="1696"/>
      <c r="E20" s="1695"/>
      <c r="F20" s="1695"/>
      <c r="G20" s="1745"/>
      <c r="H20" s="1745"/>
      <c r="I20" s="1745"/>
      <c r="J20" s="1745"/>
      <c r="K20" s="1695"/>
      <c r="L20" s="1745"/>
      <c r="M20" s="1699"/>
      <c r="N20" s="1695"/>
      <c r="O20" s="1695"/>
      <c r="P20" s="1745"/>
      <c r="Q20" s="1745"/>
      <c r="R20" s="1745"/>
      <c r="S20" s="1745"/>
      <c r="T20" s="1745"/>
      <c r="U20" s="1739" t="s">
        <v>1465</v>
      </c>
      <c r="V20" s="1699"/>
      <c r="W20" s="1695"/>
      <c r="X20" s="1695"/>
      <c r="Y20" s="1695"/>
      <c r="Z20" s="1695"/>
      <c r="AA20" s="1695"/>
      <c r="AB20" s="1699"/>
      <c r="AC20" s="1695"/>
      <c r="AD20" s="1695"/>
      <c r="AE20" s="1695"/>
      <c r="AF20" s="1695"/>
      <c r="AG20" s="1695"/>
      <c r="AH20" s="1699"/>
      <c r="AI20" s="1695"/>
      <c r="AJ20" s="1695"/>
      <c r="AK20" s="1695"/>
      <c r="AL20" s="1695"/>
      <c r="AM20" s="1695"/>
      <c r="AN20" s="1695"/>
      <c r="AO20" s="1743">
        <v>5.3330000000000002</v>
      </c>
      <c r="AP20" s="1758">
        <v>47.98</v>
      </c>
      <c r="AQ20" s="1687">
        <v>125</v>
      </c>
      <c r="AR20" s="1687">
        <f t="shared" si="2"/>
        <v>4.2664000000000001E-2</v>
      </c>
      <c r="BF20" s="1687">
        <v>1157.6099999999999</v>
      </c>
      <c r="BG20" s="1687">
        <v>1455.52</v>
      </c>
      <c r="BH20" s="1687">
        <f t="shared" si="3"/>
        <v>1.2573491935971528</v>
      </c>
      <c r="BK20" s="2044">
        <v>15</v>
      </c>
      <c r="BL20" s="2043" t="s">
        <v>1790</v>
      </c>
      <c r="BM20" s="1749">
        <v>0.94</v>
      </c>
      <c r="BN20" s="1749">
        <v>1.054</v>
      </c>
      <c r="BO20" s="2058">
        <v>4.7198852661595736E-2</v>
      </c>
      <c r="BP20" s="2058">
        <f t="shared" si="1"/>
        <v>4.436692150189999E-2</v>
      </c>
      <c r="BQ20" s="2058">
        <f t="shared" si="0"/>
        <v>4.9747590705321906E-2</v>
      </c>
    </row>
    <row r="21" spans="1:78">
      <c r="A21" s="2433"/>
      <c r="B21" s="1695"/>
      <c r="C21" s="1696"/>
      <c r="D21" s="1696"/>
      <c r="E21" s="1695"/>
      <c r="F21" s="1695"/>
      <c r="G21" s="1745"/>
      <c r="H21" s="1745"/>
      <c r="I21" s="1745"/>
      <c r="J21" s="1745"/>
      <c r="K21" s="1695"/>
      <c r="L21" s="1745"/>
      <c r="M21" s="1699"/>
      <c r="N21" s="1695"/>
      <c r="O21" s="1695"/>
      <c r="P21" s="1745"/>
      <c r="Q21" s="1745"/>
      <c r="R21" s="1745"/>
      <c r="S21" s="1745"/>
      <c r="T21" s="1745"/>
      <c r="U21" s="1739" t="s">
        <v>1466</v>
      </c>
      <c r="V21" s="1699"/>
      <c r="W21" s="1695"/>
      <c r="X21" s="1695"/>
      <c r="Y21" s="1695"/>
      <c r="Z21" s="1695"/>
      <c r="AA21" s="1695"/>
      <c r="AB21" s="1699"/>
      <c r="AC21" s="1695"/>
      <c r="AD21" s="1695"/>
      <c r="AE21" s="1695"/>
      <c r="AF21" s="1695"/>
      <c r="AG21" s="1695"/>
      <c r="AH21" s="1699"/>
      <c r="AI21" s="1695"/>
      <c r="AJ21" s="1695"/>
      <c r="AK21" s="1695"/>
      <c r="AL21" s="1695"/>
      <c r="AM21" s="1695"/>
      <c r="AN21" s="1695"/>
      <c r="AO21" s="1743">
        <v>5.7140000000000004</v>
      </c>
      <c r="AP21" s="1758">
        <v>47.98</v>
      </c>
      <c r="AQ21" s="1687">
        <v>150</v>
      </c>
      <c r="AR21" s="1687">
        <f t="shared" si="2"/>
        <v>3.8093333333333333E-2</v>
      </c>
      <c r="BF21" s="1687">
        <v>1206.73</v>
      </c>
      <c r="BG21" s="1687">
        <v>1529.75</v>
      </c>
      <c r="BH21" s="1687">
        <f t="shared" si="3"/>
        <v>1.2676820829845947</v>
      </c>
      <c r="BK21" s="2044">
        <v>16</v>
      </c>
      <c r="BL21" s="2043" t="s">
        <v>1791</v>
      </c>
      <c r="BM21" s="1749">
        <v>0.94</v>
      </c>
      <c r="BN21" s="1749">
        <v>1.07</v>
      </c>
      <c r="BO21" s="2058">
        <v>1.1973347318560363E-2</v>
      </c>
      <c r="BP21" s="2058">
        <f t="shared" si="1"/>
        <v>1.1254946479446741E-2</v>
      </c>
      <c r="BQ21" s="2058">
        <f t="shared" si="0"/>
        <v>1.2811481630859588E-2</v>
      </c>
    </row>
    <row r="22" spans="1:78">
      <c r="A22" s="2433"/>
      <c r="B22" s="1761"/>
      <c r="C22" s="1762"/>
      <c r="D22" s="1762"/>
      <c r="E22" s="1761"/>
      <c r="F22" s="1761"/>
      <c r="G22" s="1763"/>
      <c r="H22" s="1763"/>
      <c r="I22" s="1763"/>
      <c r="J22" s="1763"/>
      <c r="K22" s="1761"/>
      <c r="L22" s="1763"/>
      <c r="M22" s="1764"/>
      <c r="N22" s="1761"/>
      <c r="O22" s="1761"/>
      <c r="P22" s="1763"/>
      <c r="Q22" s="1763"/>
      <c r="R22" s="1763"/>
      <c r="S22" s="1763"/>
      <c r="T22" s="1763"/>
      <c r="U22" s="1765" t="s">
        <v>1467</v>
      </c>
      <c r="V22" s="1699"/>
      <c r="W22" s="1695"/>
      <c r="X22" s="1695"/>
      <c r="Y22" s="1695"/>
      <c r="Z22" s="1695"/>
      <c r="AA22" s="1695"/>
      <c r="AB22" s="1699"/>
      <c r="AC22" s="1695"/>
      <c r="AD22" s="1695"/>
      <c r="AE22" s="1695"/>
      <c r="AF22" s="1695"/>
      <c r="AG22" s="1695"/>
      <c r="AH22" s="1699"/>
      <c r="AI22" s="1695"/>
      <c r="AJ22" s="1695"/>
      <c r="AK22" s="1695"/>
      <c r="AL22" s="1695"/>
      <c r="AM22" s="1695"/>
      <c r="AN22" s="1695"/>
      <c r="AO22" s="1743">
        <v>4</v>
      </c>
      <c r="AP22" s="1758">
        <v>47.98</v>
      </c>
      <c r="AQ22" s="1687">
        <v>45</v>
      </c>
      <c r="AR22" s="1687">
        <f t="shared" si="2"/>
        <v>8.8888888888888892E-2</v>
      </c>
      <c r="BF22" s="1687">
        <v>3072.05</v>
      </c>
      <c r="BG22" s="1687">
        <v>3589.28</v>
      </c>
      <c r="BH22" s="1687">
        <f t="shared" si="3"/>
        <v>1.1683664002864538</v>
      </c>
      <c r="BK22" s="1749"/>
      <c r="BL22" s="2043" t="s">
        <v>1792</v>
      </c>
      <c r="BM22" s="1749">
        <f>AVERAGE(BM6:BM21)</f>
        <v>0.97393749999999979</v>
      </c>
      <c r="BN22" s="1749">
        <f>AVERAGE(BN6:BN21)</f>
        <v>1.1906249999999998</v>
      </c>
      <c r="BO22" s="2058">
        <f>SUM(BO6:BO21)</f>
        <v>1</v>
      </c>
      <c r="BP22" s="2058">
        <f>SUM(BP6:BP21)</f>
        <v>0.98408471284970045</v>
      </c>
      <c r="BQ22" s="2058">
        <f>SUM(BQ6:BQ21)</f>
        <v>1.158045030197524</v>
      </c>
    </row>
    <row r="23" spans="1:78">
      <c r="A23" s="2433"/>
      <c r="B23" s="1761"/>
      <c r="C23" s="1762"/>
      <c r="D23" s="1762"/>
      <c r="E23" s="1761"/>
      <c r="F23" s="1761"/>
      <c r="G23" s="1763"/>
      <c r="H23" s="1763"/>
      <c r="I23" s="1763"/>
      <c r="J23" s="1763"/>
      <c r="K23" s="1761"/>
      <c r="L23" s="1763"/>
      <c r="M23" s="1764"/>
      <c r="N23" s="1761"/>
      <c r="O23" s="1761"/>
      <c r="P23" s="1763"/>
      <c r="Q23" s="1763"/>
      <c r="R23" s="1763"/>
      <c r="S23" s="1763"/>
      <c r="T23" s="1763"/>
      <c r="U23" s="1765" t="s">
        <v>1468</v>
      </c>
      <c r="V23" s="1699"/>
      <c r="W23" s="1695"/>
      <c r="X23" s="1695"/>
      <c r="Y23" s="1695"/>
      <c r="Z23" s="1695"/>
      <c r="AA23" s="1695"/>
      <c r="AB23" s="1699"/>
      <c r="AC23" s="1695"/>
      <c r="AD23" s="1695"/>
      <c r="AE23" s="1695"/>
      <c r="AF23" s="1695"/>
      <c r="AG23" s="1695"/>
      <c r="AH23" s="1699"/>
      <c r="AI23" s="1695"/>
      <c r="AJ23" s="1695"/>
      <c r="AK23" s="1695"/>
      <c r="AL23" s="1695"/>
      <c r="AM23" s="1695"/>
      <c r="AN23" s="1695"/>
      <c r="AO23" s="1743">
        <v>4.2110000000000003</v>
      </c>
      <c r="AP23" s="1758">
        <v>47.98</v>
      </c>
      <c r="AQ23" s="1687">
        <v>60</v>
      </c>
      <c r="AR23" s="1687">
        <f t="shared" si="2"/>
        <v>7.0183333333333334E-2</v>
      </c>
      <c r="BF23" s="1687">
        <v>3415.55</v>
      </c>
      <c r="BG23" s="1687">
        <v>4012.83</v>
      </c>
      <c r="BH23" s="1687">
        <f t="shared" si="3"/>
        <v>1.1748708114359325</v>
      </c>
      <c r="BK23" s="2051" t="s">
        <v>2756</v>
      </c>
      <c r="BL23" s="2046"/>
      <c r="BM23" s="2047"/>
      <c r="BN23" s="2047"/>
      <c r="BU23" s="1359"/>
      <c r="BV23" s="1359"/>
      <c r="BW23" s="1359"/>
      <c r="BX23" s="1359"/>
      <c r="BY23" s="1359"/>
      <c r="BZ23" s="1359"/>
    </row>
    <row r="24" spans="1:78">
      <c r="A24" s="2433"/>
      <c r="B24" s="1761"/>
      <c r="C24" s="1762"/>
      <c r="D24" s="1762"/>
      <c r="E24" s="1761"/>
      <c r="F24" s="1761"/>
      <c r="G24" s="1763"/>
      <c r="H24" s="1763"/>
      <c r="I24" s="1763"/>
      <c r="J24" s="1763"/>
      <c r="K24" s="1761"/>
      <c r="L24" s="1763"/>
      <c r="M24" s="1764"/>
      <c r="N24" s="1761"/>
      <c r="O24" s="1761"/>
      <c r="P24" s="1763"/>
      <c r="Q24" s="1763"/>
      <c r="R24" s="1763"/>
      <c r="S24" s="1763"/>
      <c r="T24" s="1763"/>
      <c r="U24" s="1765" t="s">
        <v>1469</v>
      </c>
      <c r="V24" s="1699"/>
      <c r="W24" s="1695"/>
      <c r="X24" s="1695"/>
      <c r="Y24" s="1695"/>
      <c r="Z24" s="1695"/>
      <c r="AA24" s="1695"/>
      <c r="AB24" s="1699"/>
      <c r="AC24" s="1695"/>
      <c r="AD24" s="1695"/>
      <c r="AE24" s="1695"/>
      <c r="AF24" s="1695"/>
      <c r="AG24" s="1695"/>
      <c r="AH24" s="1699"/>
      <c r="AI24" s="1695"/>
      <c r="AJ24" s="1695"/>
      <c r="AK24" s="1695"/>
      <c r="AL24" s="1695"/>
      <c r="AM24" s="1695"/>
      <c r="AN24" s="1695"/>
      <c r="AO24" s="1743">
        <v>4.444</v>
      </c>
      <c r="AP24" s="1758">
        <v>47.98</v>
      </c>
      <c r="AQ24" s="1687">
        <v>70</v>
      </c>
      <c r="AR24" s="1687">
        <f t="shared" si="2"/>
        <v>6.3485714285714284E-2</v>
      </c>
      <c r="BF24" s="1687">
        <v>3822</v>
      </c>
      <c r="BG24" s="1687">
        <v>4484.95</v>
      </c>
      <c r="BH24" s="1687">
        <f t="shared" si="3"/>
        <v>1.1734563055991627</v>
      </c>
      <c r="BK24" s="2051" t="s">
        <v>2757</v>
      </c>
      <c r="BL24" s="2046"/>
      <c r="BM24" s="2047"/>
      <c r="BN24" s="2047"/>
      <c r="BU24" s="1359"/>
      <c r="BV24" s="1359"/>
      <c r="BW24" s="1359"/>
      <c r="BX24" s="1359"/>
      <c r="BY24" s="1359"/>
      <c r="BZ24" s="1359"/>
    </row>
    <row r="25" spans="1:78">
      <c r="A25" s="2433"/>
      <c r="B25" s="1761"/>
      <c r="C25" s="1762"/>
      <c r="D25" s="1762"/>
      <c r="E25" s="1761"/>
      <c r="F25" s="1761"/>
      <c r="G25" s="1763"/>
      <c r="H25" s="1763"/>
      <c r="I25" s="1763"/>
      <c r="J25" s="1763"/>
      <c r="K25" s="1761"/>
      <c r="L25" s="1763"/>
      <c r="M25" s="1764"/>
      <c r="N25" s="1761"/>
      <c r="O25" s="1761"/>
      <c r="P25" s="1763"/>
      <c r="Q25" s="1763"/>
      <c r="R25" s="1763"/>
      <c r="S25" s="1763"/>
      <c r="T25" s="1763"/>
      <c r="U25" s="1765" t="s">
        <v>1470</v>
      </c>
      <c r="V25" s="1699"/>
      <c r="W25" s="1695"/>
      <c r="X25" s="1695"/>
      <c r="Y25" s="1695"/>
      <c r="Z25" s="1695"/>
      <c r="AA25" s="1695"/>
      <c r="AB25" s="1699"/>
      <c r="AC25" s="1695"/>
      <c r="AD25" s="1695"/>
      <c r="AE25" s="1695"/>
      <c r="AF25" s="1695"/>
      <c r="AG25" s="1695"/>
      <c r="AH25" s="1699"/>
      <c r="AI25" s="1695"/>
      <c r="AJ25" s="1695"/>
      <c r="AK25" s="1695"/>
      <c r="AL25" s="1695"/>
      <c r="AM25" s="1695"/>
      <c r="AN25" s="1695"/>
      <c r="AO25" s="1743">
        <v>4.8479999999999999</v>
      </c>
      <c r="AP25" s="1758">
        <v>47.98</v>
      </c>
      <c r="AQ25" s="1687">
        <v>90</v>
      </c>
      <c r="AR25" s="1687">
        <f t="shared" si="2"/>
        <v>5.3866666666666667E-2</v>
      </c>
      <c r="BH25" s="1687">
        <f>AVERAGE(BH16:BH24)</f>
        <v>1.2298662420295932</v>
      </c>
      <c r="BK25" s="2053"/>
      <c r="BL25" s="2046"/>
      <c r="BM25" s="2047"/>
      <c r="BN25" s="2047"/>
      <c r="BU25" s="2052"/>
      <c r="BV25" s="2052"/>
      <c r="BW25" s="2052"/>
      <c r="BX25" s="2052"/>
      <c r="BY25" s="2052"/>
      <c r="BZ25" s="2052"/>
    </row>
    <row r="26" spans="1:78" ht="19.5" thickBot="1">
      <c r="A26" s="1766"/>
      <c r="B26" s="1761"/>
      <c r="C26" s="1762"/>
      <c r="D26" s="1762"/>
      <c r="E26" s="1761"/>
      <c r="F26" s="1761"/>
      <c r="G26" s="1763"/>
      <c r="H26" s="1763"/>
      <c r="I26" s="1763"/>
      <c r="J26" s="1763"/>
      <c r="K26" s="1761"/>
      <c r="L26" s="1763"/>
      <c r="M26" s="1764"/>
      <c r="N26" s="1761"/>
      <c r="O26" s="1761"/>
      <c r="P26" s="1763"/>
      <c r="Q26" s="1763"/>
      <c r="R26" s="1763"/>
      <c r="S26" s="1763"/>
      <c r="T26" s="1763"/>
      <c r="U26" s="1765" t="s">
        <v>1471</v>
      </c>
      <c r="V26" s="1699"/>
      <c r="W26" s="1695"/>
      <c r="X26" s="1695"/>
      <c r="Y26" s="1695"/>
      <c r="Z26" s="1695"/>
      <c r="AA26" s="1695"/>
      <c r="AB26" s="1699"/>
      <c r="AC26" s="1695"/>
      <c r="AD26" s="1695"/>
      <c r="AE26" s="1695"/>
      <c r="AF26" s="1695"/>
      <c r="AG26" s="1695"/>
      <c r="AH26" s="1699"/>
      <c r="AI26" s="1695"/>
      <c r="AJ26" s="1695"/>
      <c r="AK26" s="1695"/>
      <c r="AL26" s="1695"/>
      <c r="AM26" s="1695"/>
      <c r="AN26" s="1695"/>
      <c r="AO26" s="1743">
        <v>5.1609999999999996</v>
      </c>
      <c r="AP26" s="1758">
        <v>47.98</v>
      </c>
      <c r="AQ26" s="1687">
        <v>110</v>
      </c>
      <c r="AR26" s="1687">
        <f t="shared" si="2"/>
        <v>4.6918181818181817E-2</v>
      </c>
    </row>
    <row r="27" spans="1:78" ht="19.5" customHeight="1" thickBot="1">
      <c r="A27" s="1746"/>
      <c r="B27" s="1715"/>
      <c r="C27" s="1716"/>
      <c r="D27" s="1716"/>
      <c r="E27" s="1715"/>
      <c r="F27" s="1715"/>
      <c r="G27" s="1717"/>
      <c r="H27" s="1717"/>
      <c r="I27" s="1717"/>
      <c r="J27" s="1717"/>
      <c r="K27" s="1715"/>
      <c r="L27" s="1717"/>
      <c r="M27" s="1718"/>
      <c r="N27" s="1715"/>
      <c r="O27" s="1715"/>
      <c r="P27" s="1717"/>
      <c r="Q27" s="1717"/>
      <c r="R27" s="1717"/>
      <c r="S27" s="1717"/>
      <c r="T27" s="1717"/>
      <c r="U27" s="1718"/>
      <c r="V27" s="1767"/>
      <c r="W27" s="1768"/>
      <c r="X27" s="1768"/>
      <c r="Y27" s="1768"/>
      <c r="Z27" s="1768"/>
      <c r="AA27" s="1769"/>
      <c r="AB27" s="1718"/>
      <c r="AC27" s="1715"/>
      <c r="AD27" s="1715"/>
      <c r="AE27" s="1715"/>
      <c r="AF27" s="1715"/>
      <c r="AG27" s="1715"/>
      <c r="AH27" s="1718"/>
      <c r="AI27" s="1715"/>
      <c r="AJ27" s="1715"/>
      <c r="AK27" s="1715"/>
      <c r="AL27" s="1715"/>
      <c r="AM27" s="1715"/>
      <c r="AN27" s="1715"/>
      <c r="AO27" s="1718"/>
      <c r="AP27" s="1719"/>
      <c r="BK27" s="2054" t="s">
        <v>2758</v>
      </c>
    </row>
    <row r="28" spans="1:78" ht="28.5">
      <c r="A28" s="2433" t="s">
        <v>1307</v>
      </c>
      <c r="B28" s="1770" t="s">
        <v>2767</v>
      </c>
      <c r="C28" s="1771" t="s">
        <v>2772</v>
      </c>
      <c r="D28" s="1771" t="s">
        <v>1805</v>
      </c>
      <c r="E28" s="1772">
        <f>SUM(AH30:AH33)</f>
        <v>31.353832233535051</v>
      </c>
      <c r="F28" s="1773"/>
      <c r="G28" s="1774"/>
      <c r="H28" s="2456">
        <f>G29*E28</f>
        <v>2235.4108836558853</v>
      </c>
      <c r="I28" s="1775">
        <f>AL32</f>
        <v>58.734585925980568</v>
      </c>
      <c r="J28" s="1774">
        <f>AL29</f>
        <v>598.37801194433382</v>
      </c>
      <c r="K28" s="1776"/>
      <c r="L28" s="2464">
        <f>((E28*G29)+I28+I30)*(1+K29)</f>
        <v>5132.6979737168786</v>
      </c>
      <c r="M28" s="1734" t="s">
        <v>1440</v>
      </c>
      <c r="N28" s="1777" t="s">
        <v>1818</v>
      </c>
      <c r="O28" s="1770">
        <f>AO37+AO43</f>
        <v>30.476300000000002</v>
      </c>
      <c r="P28" s="1774">
        <f>AT40*BQ22</f>
        <v>60.333944582430924</v>
      </c>
      <c r="Q28" s="1778">
        <f>O28*P28</f>
        <v>1838.7553952775397</v>
      </c>
      <c r="R28" s="1779"/>
      <c r="S28" s="1779"/>
      <c r="T28" s="1780">
        <f>Q28</f>
        <v>1838.7553952775397</v>
      </c>
      <c r="U28" s="1781" t="s">
        <v>1472</v>
      </c>
      <c r="V28" s="1757">
        <v>27</v>
      </c>
      <c r="W28" s="1735">
        <v>108</v>
      </c>
      <c r="X28" s="1735">
        <v>2912</v>
      </c>
      <c r="Y28" s="1782">
        <v>1000</v>
      </c>
      <c r="Z28" s="1782">
        <v>500</v>
      </c>
      <c r="AA28" s="1744">
        <v>2003</v>
      </c>
      <c r="AB28" s="1757">
        <v>49</v>
      </c>
      <c r="AC28" s="1735">
        <v>98</v>
      </c>
      <c r="AD28" s="1735">
        <v>4784</v>
      </c>
      <c r="AE28" s="1782">
        <v>219</v>
      </c>
      <c r="AF28" s="1782" t="s">
        <v>40</v>
      </c>
      <c r="AG28" s="1744">
        <v>241</v>
      </c>
      <c r="AH28" s="1783"/>
      <c r="AI28" s="1784"/>
      <c r="AJ28" s="1784"/>
      <c r="AK28" s="1784"/>
      <c r="AL28" s="1784"/>
      <c r="AM28" s="1784"/>
      <c r="AN28" s="1784"/>
      <c r="AO28" s="1783"/>
      <c r="AP28" s="1785"/>
      <c r="BK28" s="2057" t="s">
        <v>1774</v>
      </c>
      <c r="BL28" s="2057" t="s">
        <v>1775</v>
      </c>
      <c r="BM28" s="2056" t="s">
        <v>2751</v>
      </c>
      <c r="BN28" s="2056" t="s">
        <v>2752</v>
      </c>
      <c r="BO28" s="2057" t="s">
        <v>2753</v>
      </c>
      <c r="BP28" s="2057" t="s">
        <v>2754</v>
      </c>
      <c r="BQ28" s="2057" t="s">
        <v>2755</v>
      </c>
    </row>
    <row r="29" spans="1:78">
      <c r="A29" s="2433"/>
      <c r="B29" s="1786" t="s">
        <v>2768</v>
      </c>
      <c r="C29" s="1787" t="s">
        <v>1839</v>
      </c>
      <c r="D29" s="1787" t="s">
        <v>1812</v>
      </c>
      <c r="E29" s="1788"/>
      <c r="F29" s="1789"/>
      <c r="G29" s="1738">
        <f>AVERAGE(W28,AC28)*BS7</f>
        <v>71.296257089267755</v>
      </c>
      <c r="H29" s="2458"/>
      <c r="I29" s="1738"/>
      <c r="J29" s="1738"/>
      <c r="K29" s="1790">
        <v>0.27500000000000002</v>
      </c>
      <c r="L29" s="2464"/>
      <c r="M29" s="1786" t="s">
        <v>1812</v>
      </c>
      <c r="N29" s="1782"/>
      <c r="O29" s="1791">
        <f>((V28+AB28)/2)</f>
        <v>38</v>
      </c>
      <c r="P29" s="1738"/>
      <c r="Q29" s="1775">
        <f>O29*G29</f>
        <v>2709.2577693921749</v>
      </c>
      <c r="R29" s="1736">
        <f>SUM(I28:I30)</f>
        <v>1790.2345859259806</v>
      </c>
      <c r="S29" s="1737">
        <f>Z28</f>
        <v>500</v>
      </c>
      <c r="T29" s="1751">
        <f>Q29+R29</f>
        <v>4499.4923553181552</v>
      </c>
      <c r="U29" s="1792" t="s">
        <v>1473</v>
      </c>
      <c r="V29" s="1699"/>
      <c r="W29" s="1695"/>
      <c r="X29" s="1695"/>
      <c r="Y29" s="1695"/>
      <c r="Z29" s="1695"/>
      <c r="AA29" s="1695"/>
      <c r="AB29" s="1699"/>
      <c r="AC29" s="1695"/>
      <c r="AD29" s="1695"/>
      <c r="AE29" s="1695"/>
      <c r="AF29" s="1695"/>
      <c r="AG29" s="1695"/>
      <c r="AH29" s="1743"/>
      <c r="AI29" s="1782"/>
      <c r="AJ29" s="1782"/>
      <c r="AK29" s="1782"/>
      <c r="AL29" s="1793">
        <v>598.37801194433382</v>
      </c>
      <c r="AM29" s="1793">
        <v>83.262110419695929</v>
      </c>
      <c r="AN29" s="1794">
        <v>37</v>
      </c>
      <c r="AO29" s="1699"/>
      <c r="AP29" s="1729"/>
      <c r="BK29" s="2042">
        <v>1</v>
      </c>
      <c r="BL29" s="2043" t="s">
        <v>1776</v>
      </c>
      <c r="BM29" s="1749">
        <v>1.002</v>
      </c>
      <c r="BN29" s="1749">
        <v>1.1459999999999999</v>
      </c>
      <c r="BO29" s="2058">
        <v>5.4358915030342549E-3</v>
      </c>
      <c r="BP29" s="2058">
        <f>BM29*BO29</f>
        <v>5.4467632860403237E-3</v>
      </c>
      <c r="BQ29" s="2058">
        <f t="shared" ref="BQ29:BQ44" si="4">BN29*BO29</f>
        <v>6.2295316624772553E-3</v>
      </c>
      <c r="BS29" s="2041" t="s">
        <v>1935</v>
      </c>
    </row>
    <row r="30" spans="1:78">
      <c r="A30" s="2433"/>
      <c r="B30" s="1786" t="s">
        <v>2769</v>
      </c>
      <c r="C30" s="2099" t="s">
        <v>1839</v>
      </c>
      <c r="D30" s="1787" t="s">
        <v>1812</v>
      </c>
      <c r="E30" s="1788"/>
      <c r="F30" s="1789"/>
      <c r="G30" s="1774"/>
      <c r="H30" s="1774"/>
      <c r="I30" s="1738">
        <f>(SUM(Y28,AA28,AE28,AG28)/2)</f>
        <v>1731.5</v>
      </c>
      <c r="J30" s="1774"/>
      <c r="K30" s="1774"/>
      <c r="L30" s="2464"/>
      <c r="M30" s="1734" t="s">
        <v>1799</v>
      </c>
      <c r="N30" s="1735"/>
      <c r="O30" s="1735">
        <f>6*3</f>
        <v>18</v>
      </c>
      <c r="P30" s="1736">
        <v>67.88</v>
      </c>
      <c r="Q30" s="1736">
        <f>O30*P30</f>
        <v>1221.8399999999999</v>
      </c>
      <c r="R30" s="1736"/>
      <c r="S30" s="1736"/>
      <c r="T30" s="1795">
        <f>Q30</f>
        <v>1221.8399999999999</v>
      </c>
      <c r="U30" s="1786" t="s">
        <v>1474</v>
      </c>
      <c r="V30" s="1699"/>
      <c r="W30" s="1695"/>
      <c r="X30" s="1695"/>
      <c r="Y30" s="1695"/>
      <c r="Z30" s="1695"/>
      <c r="AA30" s="1695"/>
      <c r="AB30" s="1699"/>
      <c r="AC30" s="1695"/>
      <c r="AD30" s="1695"/>
      <c r="AE30" s="1695"/>
      <c r="AF30" s="1695"/>
      <c r="AG30" s="1695"/>
      <c r="AH30" s="1796">
        <v>15.413378960220149</v>
      </c>
      <c r="AI30" s="1793">
        <v>1.7537874671635258</v>
      </c>
      <c r="AJ30" s="1797">
        <v>36</v>
      </c>
      <c r="AK30" s="1782"/>
      <c r="AL30" s="1791"/>
      <c r="AM30" s="1791"/>
      <c r="AN30" s="1798"/>
      <c r="AO30" s="1699"/>
      <c r="AP30" s="1729"/>
      <c r="BK30" s="2044">
        <v>2</v>
      </c>
      <c r="BL30" s="2043" t="s">
        <v>1777</v>
      </c>
      <c r="BM30" s="1749">
        <v>0.96499999999999997</v>
      </c>
      <c r="BN30" s="1749">
        <v>1.1870000000000001</v>
      </c>
      <c r="BO30" s="2058">
        <v>1.3086210704557167E-2</v>
      </c>
      <c r="BP30" s="2058">
        <f t="shared" ref="BP30:BP44" si="5">BM30*BO30</f>
        <v>1.2628193329897666E-2</v>
      </c>
      <c r="BQ30" s="2058">
        <f t="shared" si="4"/>
        <v>1.5533332106309358E-2</v>
      </c>
      <c r="BS30" s="2041">
        <f>BQ45/BN31</f>
        <v>0.70789900930126581</v>
      </c>
    </row>
    <row r="31" spans="1:78">
      <c r="A31" s="2433"/>
      <c r="B31" s="2078" t="s">
        <v>2770</v>
      </c>
      <c r="C31" s="2082" t="s">
        <v>1839</v>
      </c>
      <c r="D31" s="2082" t="s">
        <v>2771</v>
      </c>
      <c r="E31" s="2086">
        <f>V46</f>
        <v>8.0043472588676003</v>
      </c>
      <c r="F31" s="2083"/>
      <c r="G31" s="2079">
        <f>G29</f>
        <v>71.296257089267755</v>
      </c>
      <c r="H31" s="2079">
        <f>G31*E31</f>
        <v>570.68000000000006</v>
      </c>
      <c r="I31" s="2079"/>
      <c r="J31" s="2079"/>
      <c r="K31" s="2079"/>
      <c r="L31" s="2079">
        <f>H31*(1+K29)</f>
        <v>727.61700000000008</v>
      </c>
      <c r="M31" s="1699"/>
      <c r="N31" s="1695"/>
      <c r="O31" s="1695"/>
      <c r="P31" s="1745"/>
      <c r="Q31" s="1745"/>
      <c r="R31" s="1745"/>
      <c r="S31" s="1745"/>
      <c r="T31" s="1799"/>
      <c r="U31" s="1786" t="s">
        <v>1475</v>
      </c>
      <c r="V31" s="1699"/>
      <c r="W31" s="1695"/>
      <c r="X31" s="1695"/>
      <c r="Y31" s="1695"/>
      <c r="Z31" s="1695"/>
      <c r="AA31" s="1695"/>
      <c r="AB31" s="1699"/>
      <c r="AC31" s="1695"/>
      <c r="AD31" s="1695"/>
      <c r="AE31" s="1695"/>
      <c r="AF31" s="1695"/>
      <c r="AG31" s="1695"/>
      <c r="AH31" s="1796">
        <v>12.64460873851313</v>
      </c>
      <c r="AI31" s="1793">
        <v>2.2565962999331441</v>
      </c>
      <c r="AJ31" s="1797">
        <v>37</v>
      </c>
      <c r="AK31" s="1782"/>
      <c r="AL31" s="1791"/>
      <c r="AM31" s="1791"/>
      <c r="AN31" s="1798"/>
      <c r="AO31" s="1699"/>
      <c r="AP31" s="1729"/>
      <c r="BK31" s="2044">
        <v>3</v>
      </c>
      <c r="BL31" s="2043" t="s">
        <v>1778</v>
      </c>
      <c r="BM31" s="1749">
        <v>1.0609999999999999</v>
      </c>
      <c r="BN31" s="1749">
        <v>1.571</v>
      </c>
      <c r="BO31" s="2058">
        <v>4.8610132413415927E-2</v>
      </c>
      <c r="BP31" s="2058">
        <f t="shared" si="5"/>
        <v>5.1575350490634296E-2</v>
      </c>
      <c r="BQ31" s="2058">
        <f t="shared" si="4"/>
        <v>7.6366518021476412E-2</v>
      </c>
    </row>
    <row r="32" spans="1:78">
      <c r="A32" s="2433"/>
      <c r="B32" s="1695"/>
      <c r="C32" s="1696"/>
      <c r="D32" s="1696"/>
      <c r="E32" s="1695"/>
      <c r="F32" s="1695"/>
      <c r="G32" s="1745"/>
      <c r="H32" s="1745"/>
      <c r="I32" s="1745"/>
      <c r="J32" s="1745"/>
      <c r="K32" s="1695"/>
      <c r="L32" s="1745"/>
      <c r="M32" s="1699"/>
      <c r="N32" s="1695"/>
      <c r="O32" s="1695"/>
      <c r="P32" s="1745"/>
      <c r="Q32" s="1745"/>
      <c r="R32" s="1745"/>
      <c r="S32" s="1745"/>
      <c r="T32" s="1745"/>
      <c r="U32" s="1792" t="s">
        <v>1476</v>
      </c>
      <c r="V32" s="1699"/>
      <c r="W32" s="1695"/>
      <c r="X32" s="1695"/>
      <c r="Y32" s="1695"/>
      <c r="Z32" s="1695"/>
      <c r="AA32" s="1695"/>
      <c r="AB32" s="1699"/>
      <c r="AC32" s="1695"/>
      <c r="AD32" s="1695"/>
      <c r="AE32" s="1695"/>
      <c r="AF32" s="1695"/>
      <c r="AG32" s="1695"/>
      <c r="AH32" s="1800"/>
      <c r="AI32" s="1791"/>
      <c r="AJ32" s="1782"/>
      <c r="AK32" s="1782"/>
      <c r="AL32" s="1793">
        <v>58.734585925980568</v>
      </c>
      <c r="AM32" s="1793">
        <v>12.720092983023894</v>
      </c>
      <c r="AN32" s="1794">
        <v>33</v>
      </c>
      <c r="AO32" s="1699"/>
      <c r="AP32" s="1729"/>
      <c r="BK32" s="2044">
        <v>4</v>
      </c>
      <c r="BL32" s="2043" t="s">
        <v>1779</v>
      </c>
      <c r="BM32" s="1749">
        <v>1.0249999999999999</v>
      </c>
      <c r="BN32" s="1749">
        <v>1.532</v>
      </c>
      <c r="BO32" s="2058">
        <v>1.9216773067174304E-2</v>
      </c>
      <c r="BP32" s="2058">
        <f t="shared" si="5"/>
        <v>1.969719239385366E-2</v>
      </c>
      <c r="BQ32" s="2058">
        <f t="shared" si="4"/>
        <v>2.9440096338911034E-2</v>
      </c>
    </row>
    <row r="33" spans="1:78">
      <c r="A33" s="2433"/>
      <c r="B33" s="1695"/>
      <c r="C33" s="1696"/>
      <c r="D33" s="1696"/>
      <c r="E33" s="1695"/>
      <c r="F33" s="1695"/>
      <c r="G33" s="1745"/>
      <c r="H33" s="1745"/>
      <c r="I33" s="1745"/>
      <c r="J33" s="1745"/>
      <c r="K33" s="1695"/>
      <c r="L33" s="1745"/>
      <c r="M33" s="1699"/>
      <c r="N33" s="1695"/>
      <c r="O33" s="1695"/>
      <c r="P33" s="1745"/>
      <c r="Q33" s="1745"/>
      <c r="R33" s="1745"/>
      <c r="S33" s="1745"/>
      <c r="T33" s="1745"/>
      <c r="U33" s="1792" t="s">
        <v>1477</v>
      </c>
      <c r="V33" s="1699"/>
      <c r="W33" s="1695"/>
      <c r="X33" s="1695"/>
      <c r="Y33" s="1695"/>
      <c r="Z33" s="1695"/>
      <c r="AA33" s="1695"/>
      <c r="AB33" s="1699"/>
      <c r="AC33" s="1695"/>
      <c r="AD33" s="1695"/>
      <c r="AE33" s="1695"/>
      <c r="AF33" s="1695"/>
      <c r="AG33" s="1695"/>
      <c r="AH33" s="1796">
        <v>3.2958445348017729</v>
      </c>
      <c r="AI33" s="1793">
        <v>0.48883173265428237</v>
      </c>
      <c r="AJ33" s="1797">
        <v>36</v>
      </c>
      <c r="AK33" s="1782"/>
      <c r="AL33" s="1782"/>
      <c r="AM33" s="1782"/>
      <c r="AN33" s="1798"/>
      <c r="AO33" s="1699"/>
      <c r="AP33" s="1729"/>
      <c r="BK33" s="2044">
        <v>5</v>
      </c>
      <c r="BL33" s="2043" t="s">
        <v>1780</v>
      </c>
      <c r="BM33" s="1749">
        <v>0.90400000000000003</v>
      </c>
      <c r="BN33" s="1749">
        <v>0.96199999999999997</v>
      </c>
      <c r="BO33" s="2058">
        <v>5.1419316162009234E-3</v>
      </c>
      <c r="BP33" s="2058">
        <f t="shared" si="5"/>
        <v>4.6483061810456347E-3</v>
      </c>
      <c r="BQ33" s="2058">
        <f t="shared" si="4"/>
        <v>4.946538214785288E-3</v>
      </c>
    </row>
    <row r="34" spans="1:78">
      <c r="A34" s="2433"/>
      <c r="B34" s="1695"/>
      <c r="C34" s="1696"/>
      <c r="D34" s="1696"/>
      <c r="E34" s="1695"/>
      <c r="F34" s="1695"/>
      <c r="G34" s="1745"/>
      <c r="H34" s="1745"/>
      <c r="I34" s="1745"/>
      <c r="J34" s="1745"/>
      <c r="K34" s="1695"/>
      <c r="L34" s="1745"/>
      <c r="M34" s="1699"/>
      <c r="N34" s="1695"/>
      <c r="O34" s="1695"/>
      <c r="P34" s="1745"/>
      <c r="Q34" s="1745"/>
      <c r="R34" s="1745"/>
      <c r="S34" s="1745"/>
      <c r="T34" s="1745"/>
      <c r="U34" s="1792" t="s">
        <v>1478</v>
      </c>
      <c r="V34" s="1699"/>
      <c r="W34" s="1695"/>
      <c r="X34" s="1695"/>
      <c r="Y34" s="1695"/>
      <c r="Z34" s="1695"/>
      <c r="AA34" s="1695"/>
      <c r="AB34" s="1699"/>
      <c r="AC34" s="1695"/>
      <c r="AD34" s="1695"/>
      <c r="AE34" s="1695"/>
      <c r="AF34" s="1695"/>
      <c r="AG34" s="1695"/>
      <c r="AH34" s="1699"/>
      <c r="AI34" s="1695"/>
      <c r="AJ34" s="1695"/>
      <c r="AK34" s="1695"/>
      <c r="AL34" s="1695"/>
      <c r="AM34" s="1695"/>
      <c r="AN34" s="1695"/>
      <c r="AO34" s="1757">
        <v>6.6669999999999998</v>
      </c>
      <c r="AP34" s="1758">
        <v>50.98</v>
      </c>
      <c r="AQ34" s="1687" t="s">
        <v>1804</v>
      </c>
      <c r="AR34" s="1687" t="s">
        <v>1809</v>
      </c>
      <c r="AS34" s="1687" t="s">
        <v>1817</v>
      </c>
      <c r="BK34" s="2044">
        <v>6</v>
      </c>
      <c r="BL34" s="2043" t="s">
        <v>1781</v>
      </c>
      <c r="BM34" s="1749">
        <v>0.89400000000000002</v>
      </c>
      <c r="BN34" s="1749">
        <v>1.097</v>
      </c>
      <c r="BO34" s="2058">
        <v>0.13380906805776127</v>
      </c>
      <c r="BP34" s="2058">
        <f t="shared" si="5"/>
        <v>0.11962530684363858</v>
      </c>
      <c r="BQ34" s="2058">
        <f t="shared" si="4"/>
        <v>0.14678854765936411</v>
      </c>
    </row>
    <row r="35" spans="1:78">
      <c r="A35" s="2433"/>
      <c r="B35" s="1695"/>
      <c r="C35" s="1696"/>
      <c r="D35" s="1696"/>
      <c r="E35" s="1695"/>
      <c r="F35" s="1695"/>
      <c r="G35" s="1745"/>
      <c r="H35" s="1745"/>
      <c r="I35" s="1745"/>
      <c r="J35" s="1745"/>
      <c r="K35" s="1695"/>
      <c r="L35" s="1745"/>
      <c r="M35" s="1699"/>
      <c r="N35" s="1695"/>
      <c r="O35" s="1695"/>
      <c r="P35" s="1745"/>
      <c r="Q35" s="1745"/>
      <c r="R35" s="1745"/>
      <c r="S35" s="1745"/>
      <c r="T35" s="1745"/>
      <c r="U35" s="1792" t="s">
        <v>1479</v>
      </c>
      <c r="V35" s="1699"/>
      <c r="W35" s="1695"/>
      <c r="X35" s="1695"/>
      <c r="Y35" s="1695"/>
      <c r="Z35" s="1695"/>
      <c r="AA35" s="1695"/>
      <c r="AB35" s="1699"/>
      <c r="AC35" s="1695"/>
      <c r="AD35" s="1695"/>
      <c r="AE35" s="1695"/>
      <c r="AF35" s="1695"/>
      <c r="AG35" s="1695"/>
      <c r="AH35" s="1699"/>
      <c r="AI35" s="1695"/>
      <c r="AJ35" s="1695"/>
      <c r="AK35" s="1695"/>
      <c r="AL35" s="1695"/>
      <c r="AM35" s="1695"/>
      <c r="AN35" s="1695"/>
      <c r="AO35" s="1743">
        <v>8</v>
      </c>
      <c r="AP35" s="1758">
        <v>50.98</v>
      </c>
      <c r="AQ35" s="1687">
        <v>2</v>
      </c>
      <c r="AR35" s="1687">
        <f>AO35+AO41</f>
        <v>20</v>
      </c>
      <c r="AS35" s="1687">
        <f>AR35/AQ35</f>
        <v>10</v>
      </c>
      <c r="AT35" s="1687">
        <f>((AP35*AO35)+(AP41*AO41))/AR35</f>
        <v>52.113999999999997</v>
      </c>
      <c r="BK35" s="2044">
        <v>7</v>
      </c>
      <c r="BL35" s="2043" t="s">
        <v>1782</v>
      </c>
      <c r="BM35" s="1749">
        <v>0.99199999999999999</v>
      </c>
      <c r="BN35" s="1749">
        <v>0.99099999999999999</v>
      </c>
      <c r="BO35" s="2058">
        <v>3.3253226196611307E-2</v>
      </c>
      <c r="BP35" s="2058">
        <f t="shared" si="5"/>
        <v>3.2987200387038416E-2</v>
      </c>
      <c r="BQ35" s="2058">
        <f t="shared" si="4"/>
        <v>3.2953947160841802E-2</v>
      </c>
    </row>
    <row r="36" spans="1:78">
      <c r="A36" s="2433"/>
      <c r="B36" s="1695"/>
      <c r="C36" s="1696"/>
      <c r="D36" s="1696"/>
      <c r="E36" s="1695"/>
      <c r="F36" s="1695"/>
      <c r="G36" s="1745"/>
      <c r="H36" s="1745"/>
      <c r="I36" s="1745"/>
      <c r="J36" s="1745"/>
      <c r="K36" s="1695"/>
      <c r="L36" s="1745"/>
      <c r="M36" s="1699"/>
      <c r="N36" s="1695"/>
      <c r="O36" s="1695"/>
      <c r="P36" s="1745"/>
      <c r="Q36" s="1745"/>
      <c r="R36" s="1745"/>
      <c r="S36" s="1745"/>
      <c r="T36" s="1745"/>
      <c r="U36" s="1792" t="s">
        <v>1480</v>
      </c>
      <c r="V36" s="1699"/>
      <c r="W36" s="1695"/>
      <c r="X36" s="1695"/>
      <c r="Y36" s="1695"/>
      <c r="Z36" s="1695"/>
      <c r="AA36" s="1695"/>
      <c r="AB36" s="1699"/>
      <c r="AC36" s="1695"/>
      <c r="AD36" s="1695"/>
      <c r="AE36" s="1695"/>
      <c r="AF36" s="1695"/>
      <c r="AG36" s="1695"/>
      <c r="AH36" s="1699"/>
      <c r="AI36" s="1695"/>
      <c r="AJ36" s="1695"/>
      <c r="AK36" s="1695"/>
      <c r="AL36" s="1695"/>
      <c r="AM36" s="1695"/>
      <c r="AN36" s="1695"/>
      <c r="AO36" s="1743">
        <v>10</v>
      </c>
      <c r="AP36" s="1758">
        <v>50.98</v>
      </c>
      <c r="AQ36" s="1687">
        <v>2.5</v>
      </c>
      <c r="AR36" s="1687">
        <f>AO36+AO42</f>
        <v>25</v>
      </c>
      <c r="AS36" s="1687">
        <f t="shared" ref="AS36:AS39" si="6">AR36/AQ36</f>
        <v>10</v>
      </c>
      <c r="AT36" s="1687">
        <f>((AP36*AO36)+(AP42*AO42))/AR36</f>
        <v>52.113999999999997</v>
      </c>
      <c r="BK36" s="2044">
        <v>8</v>
      </c>
      <c r="BL36" s="2043" t="s">
        <v>1783</v>
      </c>
      <c r="BM36" s="1749">
        <v>0.96199999999999997</v>
      </c>
      <c r="BN36" s="1749">
        <v>1.03</v>
      </c>
      <c r="BO36" s="2058">
        <v>0.19238701738517686</v>
      </c>
      <c r="BP36" s="2058">
        <f t="shared" si="5"/>
        <v>0.18507631072454012</v>
      </c>
      <c r="BQ36" s="2058">
        <f t="shared" si="4"/>
        <v>0.19815862790673217</v>
      </c>
    </row>
    <row r="37" spans="1:78">
      <c r="A37" s="2433"/>
      <c r="B37" s="1695"/>
      <c r="C37" s="1696"/>
      <c r="D37" s="1696"/>
      <c r="E37" s="1695"/>
      <c r="F37" s="1695"/>
      <c r="G37" s="1745"/>
      <c r="H37" s="1745"/>
      <c r="I37" s="1745"/>
      <c r="J37" s="1745"/>
      <c r="K37" s="1695"/>
      <c r="L37" s="1745"/>
      <c r="M37" s="1699"/>
      <c r="N37" s="1695"/>
      <c r="O37" s="1695"/>
      <c r="P37" s="1745"/>
      <c r="Q37" s="1745"/>
      <c r="R37" s="1745"/>
      <c r="S37" s="1745"/>
      <c r="T37" s="1745"/>
      <c r="U37" s="1792" t="s">
        <v>1481</v>
      </c>
      <c r="V37" s="1699"/>
      <c r="W37" s="1695"/>
      <c r="X37" s="1695"/>
      <c r="Y37" s="1695"/>
      <c r="Z37" s="1695"/>
      <c r="AA37" s="1695"/>
      <c r="AB37" s="1699"/>
      <c r="AC37" s="1695"/>
      <c r="AD37" s="1695"/>
      <c r="AE37" s="1695"/>
      <c r="AF37" s="1695"/>
      <c r="AG37" s="1695"/>
      <c r="AH37" s="1699"/>
      <c r="AI37" s="1695"/>
      <c r="AJ37" s="1695"/>
      <c r="AK37" s="1695"/>
      <c r="AL37" s="1695"/>
      <c r="AM37" s="1695"/>
      <c r="AN37" s="1695"/>
      <c r="AO37" s="1743">
        <v>13.333299999999999</v>
      </c>
      <c r="AP37" s="1758">
        <v>50.98</v>
      </c>
      <c r="AQ37" s="1687">
        <v>3</v>
      </c>
      <c r="AR37" s="1687">
        <f>AO37+AO43</f>
        <v>30.476300000000002</v>
      </c>
      <c r="AS37" s="1687">
        <f t="shared" si="6"/>
        <v>10.158766666666667</v>
      </c>
      <c r="AT37" s="1687">
        <f>((AP37*AO37)+(AP43*AO43))/AR37</f>
        <v>52.043130038751421</v>
      </c>
      <c r="BK37" s="2044">
        <v>9</v>
      </c>
      <c r="BL37" s="2043" t="s">
        <v>1784</v>
      </c>
      <c r="BM37" s="1749">
        <v>0.998</v>
      </c>
      <c r="BN37" s="1749">
        <v>1.208</v>
      </c>
      <c r="BO37" s="2058">
        <v>0.16605157707638751</v>
      </c>
      <c r="BP37" s="2058">
        <f t="shared" si="5"/>
        <v>0.16571947392223474</v>
      </c>
      <c r="BQ37" s="2058">
        <f t="shared" si="4"/>
        <v>0.20059030510827611</v>
      </c>
    </row>
    <row r="38" spans="1:78">
      <c r="A38" s="2433"/>
      <c r="B38" s="1695"/>
      <c r="C38" s="1696"/>
      <c r="D38" s="1696"/>
      <c r="E38" s="1695"/>
      <c r="F38" s="1695"/>
      <c r="G38" s="1745"/>
      <c r="H38" s="1745"/>
      <c r="I38" s="1745"/>
      <c r="J38" s="1745"/>
      <c r="K38" s="1695"/>
      <c r="L38" s="1745"/>
      <c r="M38" s="1699"/>
      <c r="N38" s="1695"/>
      <c r="O38" s="1695"/>
      <c r="P38" s="1745"/>
      <c r="Q38" s="1745"/>
      <c r="R38" s="1745"/>
      <c r="S38" s="1745"/>
      <c r="T38" s="1745"/>
      <c r="U38" s="1792" t="s">
        <v>1482</v>
      </c>
      <c r="V38" s="1699"/>
      <c r="W38" s="1695"/>
      <c r="X38" s="1695"/>
      <c r="Y38" s="1695"/>
      <c r="Z38" s="1695"/>
      <c r="AA38" s="1695"/>
      <c r="AB38" s="1699"/>
      <c r="AC38" s="1695"/>
      <c r="AD38" s="1695"/>
      <c r="AE38" s="1695"/>
      <c r="AF38" s="1695"/>
      <c r="AG38" s="1695"/>
      <c r="AH38" s="1699"/>
      <c r="AI38" s="1695"/>
      <c r="AJ38" s="1695"/>
      <c r="AK38" s="1695"/>
      <c r="AL38" s="1695"/>
      <c r="AM38" s="1695"/>
      <c r="AN38" s="1695"/>
      <c r="AO38" s="1743">
        <v>16</v>
      </c>
      <c r="AP38" s="1758">
        <v>50.98</v>
      </c>
      <c r="AQ38" s="1687">
        <v>4</v>
      </c>
      <c r="AR38" s="1687">
        <f>AO39+AO44</f>
        <v>50</v>
      </c>
      <c r="AS38" s="1687">
        <f t="shared" si="6"/>
        <v>12.5</v>
      </c>
      <c r="AT38" s="1687">
        <f>((AP39*AO39)+(AP44*AO44))/AR38</f>
        <v>52.113999999999997</v>
      </c>
      <c r="BK38" s="2044">
        <v>10</v>
      </c>
      <c r="BL38" s="2043" t="s">
        <v>1785</v>
      </c>
      <c r="BM38" s="1749">
        <v>0.92500000000000004</v>
      </c>
      <c r="BN38" s="1749">
        <v>1.0649999999999999</v>
      </c>
      <c r="BO38" s="2058">
        <v>0.19968868648836255</v>
      </c>
      <c r="BP38" s="2058">
        <f t="shared" si="5"/>
        <v>0.18471203500173536</v>
      </c>
      <c r="BQ38" s="2058">
        <f t="shared" si="4"/>
        <v>0.2126684511101061</v>
      </c>
    </row>
    <row r="39" spans="1:78">
      <c r="A39" s="2433"/>
      <c r="B39" s="1695"/>
      <c r="C39" s="1696"/>
      <c r="D39" s="1696"/>
      <c r="E39" s="1695"/>
      <c r="F39" s="1695"/>
      <c r="G39" s="1745"/>
      <c r="H39" s="1745"/>
      <c r="I39" s="1745"/>
      <c r="J39" s="1745"/>
      <c r="K39" s="1695"/>
      <c r="L39" s="1745"/>
      <c r="M39" s="1699"/>
      <c r="N39" s="1695"/>
      <c r="O39" s="1695"/>
      <c r="P39" s="1745"/>
      <c r="Q39" s="1745"/>
      <c r="R39" s="1745"/>
      <c r="S39" s="1745"/>
      <c r="T39" s="1745"/>
      <c r="U39" s="1792" t="s">
        <v>1483</v>
      </c>
      <c r="V39" s="1699"/>
      <c r="W39" s="1695"/>
      <c r="X39" s="1695"/>
      <c r="Y39" s="1695"/>
      <c r="Z39" s="1695"/>
      <c r="AA39" s="1695"/>
      <c r="AB39" s="1699"/>
      <c r="AC39" s="1695"/>
      <c r="AD39" s="1695"/>
      <c r="AE39" s="1695"/>
      <c r="AF39" s="1695"/>
      <c r="AG39" s="1695"/>
      <c r="AH39" s="1699"/>
      <c r="AI39" s="1695"/>
      <c r="AJ39" s="1695"/>
      <c r="AK39" s="1695"/>
      <c r="AL39" s="1695"/>
      <c r="AM39" s="1695"/>
      <c r="AN39" s="1695"/>
      <c r="AO39" s="1743">
        <v>20</v>
      </c>
      <c r="AP39" s="1758">
        <v>50.98</v>
      </c>
      <c r="AQ39" s="1687">
        <v>5</v>
      </c>
      <c r="AR39" s="1687">
        <f>AO40+AO45</f>
        <v>80</v>
      </c>
      <c r="AS39" s="1687">
        <f t="shared" si="6"/>
        <v>16</v>
      </c>
      <c r="AT39" s="1687">
        <f>((AP40*AO40)+(AP45*AO45))/AR39</f>
        <v>52.113999999999997</v>
      </c>
      <c r="BK39" s="2044">
        <v>11</v>
      </c>
      <c r="BL39" s="2043" t="s">
        <v>1786</v>
      </c>
      <c r="BM39" s="1749">
        <v>0.997</v>
      </c>
      <c r="BN39" s="1749">
        <v>1.018</v>
      </c>
      <c r="BO39" s="2058">
        <v>1.0620418380118004E-2</v>
      </c>
      <c r="BP39" s="2058">
        <f t="shared" si="5"/>
        <v>1.058855712497765E-2</v>
      </c>
      <c r="BQ39" s="2058">
        <f t="shared" si="4"/>
        <v>1.0811585910960129E-2</v>
      </c>
    </row>
    <row r="40" spans="1:78">
      <c r="A40" s="2433"/>
      <c r="B40" s="1695"/>
      <c r="C40" s="1696"/>
      <c r="D40" s="1696"/>
      <c r="E40" s="1695"/>
      <c r="F40" s="1695"/>
      <c r="G40" s="1745"/>
      <c r="H40" s="1745"/>
      <c r="I40" s="1745"/>
      <c r="J40" s="1745"/>
      <c r="K40" s="1695"/>
      <c r="L40" s="1745"/>
      <c r="M40" s="1699"/>
      <c r="N40" s="1695"/>
      <c r="O40" s="1695"/>
      <c r="P40" s="1745"/>
      <c r="Q40" s="1745"/>
      <c r="R40" s="1745"/>
      <c r="S40" s="1745"/>
      <c r="T40" s="1745"/>
      <c r="U40" s="1792" t="s">
        <v>1484</v>
      </c>
      <c r="V40" s="1699"/>
      <c r="W40" s="1695"/>
      <c r="X40" s="1695"/>
      <c r="Y40" s="1695"/>
      <c r="Z40" s="1695"/>
      <c r="AA40" s="1695"/>
      <c r="AB40" s="1699"/>
      <c r="AC40" s="1695"/>
      <c r="AD40" s="1695"/>
      <c r="AE40" s="1695"/>
      <c r="AF40" s="1695"/>
      <c r="AG40" s="1695"/>
      <c r="AH40" s="1699"/>
      <c r="AI40" s="1695"/>
      <c r="AJ40" s="1695"/>
      <c r="AK40" s="1695"/>
      <c r="AL40" s="1695"/>
      <c r="AM40" s="1695"/>
      <c r="AN40" s="1695"/>
      <c r="AO40" s="1743">
        <v>32</v>
      </c>
      <c r="AP40" s="1758">
        <v>50.98</v>
      </c>
      <c r="AR40" s="1687" t="s">
        <v>1792</v>
      </c>
      <c r="AS40" s="1687">
        <f>AVERAGE(AS35:AS39)</f>
        <v>11.731753333333334</v>
      </c>
      <c r="AT40" s="1687">
        <f>AVERAGE(AT35:AT39)</f>
        <v>52.099826007750281</v>
      </c>
      <c r="BK40" s="2044">
        <v>12</v>
      </c>
      <c r="BL40" s="2043" t="s">
        <v>1787</v>
      </c>
      <c r="BM40" s="1749">
        <v>1.012</v>
      </c>
      <c r="BN40" s="1749">
        <v>1.133</v>
      </c>
      <c r="BO40" s="2058">
        <v>3.8485081141342643E-2</v>
      </c>
      <c r="BP40" s="2058">
        <f t="shared" si="5"/>
        <v>3.8946902115038755E-2</v>
      </c>
      <c r="BQ40" s="2058">
        <f t="shared" si="4"/>
        <v>4.3603596933141218E-2</v>
      </c>
    </row>
    <row r="41" spans="1:78">
      <c r="A41" s="2433"/>
      <c r="B41" s="1695"/>
      <c r="C41" s="1696"/>
      <c r="D41" s="1696"/>
      <c r="E41" s="1695"/>
      <c r="F41" s="1695"/>
      <c r="G41" s="1745"/>
      <c r="H41" s="1745"/>
      <c r="I41" s="1745"/>
      <c r="J41" s="1745"/>
      <c r="K41" s="1695"/>
      <c r="L41" s="1745"/>
      <c r="M41" s="1699"/>
      <c r="N41" s="1695"/>
      <c r="O41" s="1695"/>
      <c r="P41" s="1745"/>
      <c r="Q41" s="1745"/>
      <c r="R41" s="1745"/>
      <c r="S41" s="1745"/>
      <c r="T41" s="1745"/>
      <c r="U41" s="1792" t="s">
        <v>1485</v>
      </c>
      <c r="V41" s="1699"/>
      <c r="W41" s="1695"/>
      <c r="X41" s="1695"/>
      <c r="Y41" s="1695"/>
      <c r="Z41" s="1695"/>
      <c r="AA41" s="1695"/>
      <c r="AB41" s="1699"/>
      <c r="AC41" s="1695"/>
      <c r="AD41" s="1695"/>
      <c r="AE41" s="1695"/>
      <c r="AF41" s="1695"/>
      <c r="AG41" s="1695"/>
      <c r="AH41" s="1699"/>
      <c r="AI41" s="1695"/>
      <c r="AJ41" s="1695"/>
      <c r="AK41" s="1695"/>
      <c r="AL41" s="1695"/>
      <c r="AM41" s="1695"/>
      <c r="AN41" s="1695"/>
      <c r="AO41" s="1743">
        <v>12</v>
      </c>
      <c r="AP41" s="1758">
        <v>52.87</v>
      </c>
      <c r="AR41" s="1687" t="s">
        <v>1793</v>
      </c>
      <c r="AS41" s="1687">
        <f>STDEV(AS35:AS39)</f>
        <v>2.6115301461446365</v>
      </c>
      <c r="BK41" s="2044">
        <v>13</v>
      </c>
      <c r="BL41" s="2043" t="s">
        <v>1788</v>
      </c>
      <c r="BM41" s="1749">
        <v>0.91800000000000004</v>
      </c>
      <c r="BN41" s="1749">
        <v>1.0149999999999999</v>
      </c>
      <c r="BO41" s="2058">
        <v>5.5950189838138008E-2</v>
      </c>
      <c r="BP41" s="2058">
        <f t="shared" si="5"/>
        <v>5.1362274271410692E-2</v>
      </c>
      <c r="BQ41" s="2058">
        <f t="shared" si="4"/>
        <v>5.6789442685710075E-2</v>
      </c>
    </row>
    <row r="42" spans="1:78">
      <c r="A42" s="2433"/>
      <c r="B42" s="1695"/>
      <c r="C42" s="1696"/>
      <c r="D42" s="1696"/>
      <c r="E42" s="1695"/>
      <c r="F42" s="1695"/>
      <c r="G42" s="1745"/>
      <c r="H42" s="1745"/>
      <c r="I42" s="1745"/>
      <c r="J42" s="1745"/>
      <c r="K42" s="1695"/>
      <c r="L42" s="1745"/>
      <c r="M42" s="1699"/>
      <c r="N42" s="1695"/>
      <c r="O42" s="1695"/>
      <c r="P42" s="1745"/>
      <c r="Q42" s="1745"/>
      <c r="R42" s="1745"/>
      <c r="S42" s="1745"/>
      <c r="T42" s="1745"/>
      <c r="U42" s="1792" t="s">
        <v>1486</v>
      </c>
      <c r="V42" s="1699"/>
      <c r="W42" s="1695"/>
      <c r="X42" s="1695"/>
      <c r="Y42" s="1695"/>
      <c r="Z42" s="1695"/>
      <c r="AA42" s="1695"/>
      <c r="AB42" s="1699"/>
      <c r="AC42" s="1695"/>
      <c r="AD42" s="1695"/>
      <c r="AE42" s="1695"/>
      <c r="AF42" s="1695"/>
      <c r="AG42" s="1695"/>
      <c r="AH42" s="1699"/>
      <c r="AI42" s="1695"/>
      <c r="AJ42" s="1695"/>
      <c r="AK42" s="1695"/>
      <c r="AL42" s="1695"/>
      <c r="AM42" s="1695"/>
      <c r="AN42" s="1695"/>
      <c r="AO42" s="1743">
        <v>15</v>
      </c>
      <c r="AP42" s="1758">
        <v>52.87</v>
      </c>
      <c r="BK42" s="2044">
        <v>14</v>
      </c>
      <c r="BL42" s="2043" t="s">
        <v>1789</v>
      </c>
      <c r="BM42" s="1749">
        <v>0.90400000000000003</v>
      </c>
      <c r="BN42" s="1749">
        <v>0.96399999999999997</v>
      </c>
      <c r="BO42" s="2058">
        <v>4.8091101271547421E-2</v>
      </c>
      <c r="BP42" s="2058">
        <f t="shared" si="5"/>
        <v>4.3474355549478871E-2</v>
      </c>
      <c r="BQ42" s="2058">
        <f t="shared" si="4"/>
        <v>4.6359821625771715E-2</v>
      </c>
    </row>
    <row r="43" spans="1:78">
      <c r="A43" s="2433"/>
      <c r="B43" s="1695"/>
      <c r="C43" s="1696"/>
      <c r="D43" s="1696"/>
      <c r="E43" s="1695"/>
      <c r="F43" s="1695"/>
      <c r="G43" s="1745"/>
      <c r="H43" s="1745"/>
      <c r="I43" s="1745"/>
      <c r="J43" s="1745"/>
      <c r="K43" s="1695"/>
      <c r="L43" s="1745"/>
      <c r="M43" s="1699"/>
      <c r="N43" s="1695"/>
      <c r="O43" s="1695"/>
      <c r="P43" s="1745"/>
      <c r="Q43" s="1745"/>
      <c r="R43" s="1745"/>
      <c r="S43" s="1745"/>
      <c r="T43" s="1745"/>
      <c r="U43" s="1792" t="s">
        <v>1487</v>
      </c>
      <c r="V43" s="1699"/>
      <c r="W43" s="1695"/>
      <c r="X43" s="1695"/>
      <c r="Y43" s="1695"/>
      <c r="Z43" s="1695"/>
      <c r="AA43" s="1695"/>
      <c r="AB43" s="1699"/>
      <c r="AC43" s="1695"/>
      <c r="AD43" s="1695"/>
      <c r="AE43" s="1695"/>
      <c r="AF43" s="1695"/>
      <c r="AG43" s="1695"/>
      <c r="AH43" s="1699"/>
      <c r="AI43" s="1695"/>
      <c r="AJ43" s="1695"/>
      <c r="AK43" s="1695"/>
      <c r="AL43" s="1695"/>
      <c r="AM43" s="1695"/>
      <c r="AN43" s="1695"/>
      <c r="AO43" s="1743">
        <v>17.143000000000001</v>
      </c>
      <c r="AP43" s="1758">
        <v>52.87</v>
      </c>
      <c r="BK43" s="2044">
        <v>15</v>
      </c>
      <c r="BL43" s="2043" t="s">
        <v>1790</v>
      </c>
      <c r="BM43" s="1749">
        <v>0.96199999999999997</v>
      </c>
      <c r="BN43" s="1749">
        <v>1.024</v>
      </c>
      <c r="BO43" s="2058">
        <v>2.5532966628453634E-2</v>
      </c>
      <c r="BP43" s="2058">
        <f t="shared" si="5"/>
        <v>2.4562713896572396E-2</v>
      </c>
      <c r="BQ43" s="2058">
        <f t="shared" si="4"/>
        <v>2.6145757827536521E-2</v>
      </c>
    </row>
    <row r="44" spans="1:78">
      <c r="A44" s="2433"/>
      <c r="B44" s="1695"/>
      <c r="C44" s="1696"/>
      <c r="D44" s="1696"/>
      <c r="E44" s="1695"/>
      <c r="F44" s="1695"/>
      <c r="G44" s="1745"/>
      <c r="H44" s="1745"/>
      <c r="I44" s="1745"/>
      <c r="J44" s="1745"/>
      <c r="K44" s="1695"/>
      <c r="L44" s="1745"/>
      <c r="M44" s="1699"/>
      <c r="N44" s="1695"/>
      <c r="O44" s="1695"/>
      <c r="P44" s="1745"/>
      <c r="Q44" s="1745"/>
      <c r="R44" s="1745"/>
      <c r="S44" s="1745"/>
      <c r="T44" s="1745"/>
      <c r="U44" s="1792" t="s">
        <v>1488</v>
      </c>
      <c r="V44" s="1699"/>
      <c r="W44" s="1695"/>
      <c r="X44" s="1695"/>
      <c r="Y44" s="1695"/>
      <c r="Z44" s="1695"/>
      <c r="AA44" s="1695"/>
      <c r="AB44" s="1699"/>
      <c r="AC44" s="1695"/>
      <c r="AD44" s="1695"/>
      <c r="AE44" s="1695"/>
      <c r="AF44" s="1695"/>
      <c r="AG44" s="1695"/>
      <c r="AH44" s="1699"/>
      <c r="AI44" s="1695"/>
      <c r="AJ44" s="1695"/>
      <c r="AK44" s="1695"/>
      <c r="AL44" s="1695"/>
      <c r="AM44" s="1695"/>
      <c r="AN44" s="1695"/>
      <c r="AO44" s="1743">
        <v>30</v>
      </c>
      <c r="AP44" s="1758">
        <v>52.87</v>
      </c>
      <c r="BK44" s="2044">
        <v>16</v>
      </c>
      <c r="BL44" s="2043" t="s">
        <v>1791</v>
      </c>
      <c r="BM44" s="1749">
        <v>1.0009999999999999</v>
      </c>
      <c r="BN44" s="1749">
        <v>1.018</v>
      </c>
      <c r="BO44" s="2058">
        <v>4.6397282317182193E-3</v>
      </c>
      <c r="BP44" s="2058">
        <f t="shared" si="5"/>
        <v>4.6443679599499372E-3</v>
      </c>
      <c r="BQ44" s="2058">
        <f t="shared" si="4"/>
        <v>4.7232433398891474E-3</v>
      </c>
    </row>
    <row r="45" spans="1:78" ht="18.75">
      <c r="A45" s="1766"/>
      <c r="B45" s="1695"/>
      <c r="C45" s="1696"/>
      <c r="D45" s="1696"/>
      <c r="E45" s="1695"/>
      <c r="F45" s="1695"/>
      <c r="G45" s="1745"/>
      <c r="H45" s="1745"/>
      <c r="I45" s="1745"/>
      <c r="J45" s="1745"/>
      <c r="K45" s="1695"/>
      <c r="L45" s="1745"/>
      <c r="M45" s="1699"/>
      <c r="N45" s="1695"/>
      <c r="O45" s="1695"/>
      <c r="P45" s="1745"/>
      <c r="Q45" s="1745"/>
      <c r="R45" s="1745"/>
      <c r="S45" s="1745"/>
      <c r="T45" s="1745"/>
      <c r="U45" s="1792" t="s">
        <v>1489</v>
      </c>
      <c r="V45" s="1699"/>
      <c r="W45" s="1695"/>
      <c r="X45" s="1695"/>
      <c r="Y45" s="1695"/>
      <c r="Z45" s="1695"/>
      <c r="AA45" s="1695"/>
      <c r="AB45" s="1699"/>
      <c r="AC45" s="1695"/>
      <c r="AD45" s="1695"/>
      <c r="AE45" s="1695"/>
      <c r="AF45" s="1695"/>
      <c r="AG45" s="1695"/>
      <c r="AH45" s="1699"/>
      <c r="AI45" s="1695"/>
      <c r="AJ45" s="1695"/>
      <c r="AK45" s="1695"/>
      <c r="AL45" s="1695"/>
      <c r="AM45" s="1695"/>
      <c r="AN45" s="1695"/>
      <c r="AO45" s="1801">
        <v>48</v>
      </c>
      <c r="AP45" s="1802">
        <v>52.87</v>
      </c>
      <c r="BK45" s="1749"/>
      <c r="BL45" s="2043" t="s">
        <v>1792</v>
      </c>
      <c r="BM45" s="1749">
        <f>AVERAGE(BM29:BM44)</f>
        <v>0.9701249999999999</v>
      </c>
      <c r="BN45" s="1749">
        <f>AVERAGE(BN29:BN44)</f>
        <v>1.1225624999999999</v>
      </c>
      <c r="BO45" s="2058">
        <f>SUM(BO29:BO44)</f>
        <v>0.99999999999999989</v>
      </c>
      <c r="BP45" s="2058">
        <f>SUM(BP29:BP44)</f>
        <v>0.95569530347808707</v>
      </c>
      <c r="BQ45" s="2058">
        <f>SUM(BQ29:BQ44)</f>
        <v>1.1121093436122886</v>
      </c>
    </row>
    <row r="46" spans="1:78" ht="19.5" thickBot="1">
      <c r="A46" s="2077"/>
      <c r="B46" s="2072"/>
      <c r="C46" s="2073"/>
      <c r="D46" s="2073"/>
      <c r="E46" s="2072"/>
      <c r="F46" s="2072"/>
      <c r="G46" s="2076"/>
      <c r="H46" s="2076"/>
      <c r="I46" s="2076"/>
      <c r="J46" s="2076"/>
      <c r="K46" s="2072"/>
      <c r="L46" s="2076"/>
      <c r="M46" s="2074"/>
      <c r="N46" s="2072"/>
      <c r="O46" s="2072"/>
      <c r="P46" s="2076"/>
      <c r="Q46" s="2076"/>
      <c r="R46" s="2076"/>
      <c r="S46" s="2076"/>
      <c r="T46" s="2076"/>
      <c r="U46" s="2065" t="s">
        <v>1951</v>
      </c>
      <c r="V46" s="2084">
        <f>X46/W46</f>
        <v>8.0043472588676003</v>
      </c>
      <c r="W46" s="2075">
        <f>G29*(1+K29)</f>
        <v>90.902727788816378</v>
      </c>
      <c r="X46" s="2080">
        <f>561*1.297</f>
        <v>727.61699999999996</v>
      </c>
      <c r="Y46" s="2072"/>
      <c r="Z46" s="2072"/>
      <c r="AA46" s="2072"/>
      <c r="AB46" s="2074"/>
      <c r="AC46" s="2072"/>
      <c r="AD46" s="2072"/>
      <c r="AE46" s="2072"/>
      <c r="AF46" s="2072"/>
      <c r="AG46" s="2072"/>
      <c r="AH46" s="2074"/>
      <c r="AI46" s="2072"/>
      <c r="AJ46" s="2072"/>
      <c r="AK46" s="2072"/>
      <c r="AL46" s="2072"/>
      <c r="AM46" s="2072"/>
      <c r="AN46" s="2072"/>
      <c r="AO46" s="2065"/>
      <c r="AP46" s="2087"/>
      <c r="BL46" s="2046"/>
      <c r="BM46" s="2047"/>
      <c r="BN46" s="2047"/>
      <c r="BU46" s="2055"/>
      <c r="BV46" s="2055"/>
      <c r="BW46" s="2055"/>
      <c r="BX46" s="2055"/>
      <c r="BY46" s="2055"/>
      <c r="BZ46" s="2055"/>
    </row>
    <row r="47" spans="1:78" ht="9.75" customHeight="1" thickBot="1">
      <c r="A47" s="1746"/>
      <c r="B47" s="1715"/>
      <c r="C47" s="1716"/>
      <c r="D47" s="1716"/>
      <c r="E47" s="1715"/>
      <c r="F47" s="1715"/>
      <c r="G47" s="1717"/>
      <c r="H47" s="1717"/>
      <c r="I47" s="1717"/>
      <c r="J47" s="1717"/>
      <c r="K47" s="1715"/>
      <c r="L47" s="1717"/>
      <c r="M47" s="1718"/>
      <c r="N47" s="1715"/>
      <c r="O47" s="1715"/>
      <c r="P47" s="1717"/>
      <c r="Q47" s="1717"/>
      <c r="R47" s="1717"/>
      <c r="S47" s="1717"/>
      <c r="T47" s="1717"/>
      <c r="U47" s="1718"/>
      <c r="V47" s="1718"/>
      <c r="W47" s="1715"/>
      <c r="X47" s="1715"/>
      <c r="Y47" s="1715"/>
      <c r="Z47" s="1715"/>
      <c r="AA47" s="1715"/>
      <c r="AB47" s="1718"/>
      <c r="AC47" s="1715"/>
      <c r="AD47" s="1715"/>
      <c r="AE47" s="1715"/>
      <c r="AF47" s="1715"/>
      <c r="AG47" s="1715"/>
      <c r="AH47" s="1718"/>
      <c r="AI47" s="1715"/>
      <c r="AJ47" s="1715"/>
      <c r="AK47" s="1715"/>
      <c r="AL47" s="1715"/>
      <c r="AM47" s="1715"/>
      <c r="AN47" s="1715"/>
      <c r="AO47" s="1718"/>
      <c r="AP47" s="1719"/>
      <c r="BK47" s="2059" t="s">
        <v>2759</v>
      </c>
      <c r="BL47" s="2046"/>
      <c r="BM47" s="2047"/>
      <c r="BN47" s="2047"/>
      <c r="BU47" s="2055"/>
      <c r="BV47" s="2055"/>
      <c r="BW47" s="2055"/>
      <c r="BX47" s="2055"/>
      <c r="BY47" s="2055"/>
      <c r="BZ47" s="2055"/>
    </row>
    <row r="48" spans="1:78" ht="15" customHeight="1">
      <c r="A48" s="2432" t="s">
        <v>1308</v>
      </c>
      <c r="B48" s="2078" t="s">
        <v>2767</v>
      </c>
      <c r="C48" s="2097" t="s">
        <v>2772</v>
      </c>
      <c r="D48" s="1771" t="s">
        <v>1805</v>
      </c>
      <c r="E48" s="2098">
        <f>SUM(AH50:AH53)</f>
        <v>31.353832233535051</v>
      </c>
      <c r="F48" s="1773"/>
      <c r="G48" s="1774"/>
      <c r="H48" s="2456">
        <f>G49*E48</f>
        <v>2246.2623927998457</v>
      </c>
      <c r="I48" s="1775">
        <f>AL52</f>
        <v>58.734585925980568</v>
      </c>
      <c r="J48" s="1774">
        <f>AL49</f>
        <v>598.37801194433382</v>
      </c>
      <c r="K48" s="1776"/>
      <c r="L48" s="2464">
        <f>((E48*G49)+I48+I50)*(1+K49)</f>
        <v>5801.2461478754276</v>
      </c>
      <c r="M48" s="1734" t="s">
        <v>1440</v>
      </c>
      <c r="N48" s="1777" t="s">
        <v>1819</v>
      </c>
      <c r="O48" s="1770">
        <f>AO62+AO57</f>
        <v>10.878</v>
      </c>
      <c r="P48" s="1774">
        <f>AP54*BQ22</f>
        <v>59.037135639469774</v>
      </c>
      <c r="Q48" s="1778">
        <f>O48*P48</f>
        <v>642.2059614861522</v>
      </c>
      <c r="R48" s="1774"/>
      <c r="S48" s="1803"/>
      <c r="T48" s="1780">
        <f>Q48</f>
        <v>642.2059614861522</v>
      </c>
      <c r="U48" s="1804" t="s">
        <v>1472</v>
      </c>
      <c r="V48" s="1743">
        <v>44</v>
      </c>
      <c r="W48" s="1782">
        <v>109</v>
      </c>
      <c r="X48" s="1782">
        <v>4816</v>
      </c>
      <c r="Y48" s="1782">
        <v>1375</v>
      </c>
      <c r="Z48" s="1782">
        <v>500</v>
      </c>
      <c r="AA48" s="1798">
        <v>2655</v>
      </c>
      <c r="AB48" s="1743">
        <v>57</v>
      </c>
      <c r="AC48" s="1782">
        <v>98</v>
      </c>
      <c r="AD48" s="1782">
        <v>5574</v>
      </c>
      <c r="AE48" s="1782">
        <v>219</v>
      </c>
      <c r="AF48" s="1782" t="s">
        <v>40</v>
      </c>
      <c r="AG48" s="1744">
        <v>241</v>
      </c>
      <c r="AH48" s="1783"/>
      <c r="AI48" s="1784"/>
      <c r="AJ48" s="1784"/>
      <c r="AK48" s="1784"/>
      <c r="AL48" s="1784"/>
      <c r="AM48" s="1784"/>
      <c r="AN48" s="1784"/>
      <c r="AO48" s="1783"/>
      <c r="AP48" s="1785"/>
      <c r="BK48" s="2059" t="s">
        <v>2760</v>
      </c>
      <c r="BL48" s="2046"/>
      <c r="BM48" s="2047"/>
      <c r="BN48" s="2047"/>
      <c r="BU48" s="2055"/>
      <c r="BV48" s="2055"/>
      <c r="BW48" s="2055"/>
      <c r="BX48" s="2055"/>
      <c r="BY48" s="2055"/>
      <c r="BZ48" s="2055"/>
    </row>
    <row r="49" spans="1:71" ht="15" customHeight="1">
      <c r="A49" s="2433"/>
      <c r="B49" s="2081" t="s">
        <v>2768</v>
      </c>
      <c r="C49" s="2099" t="s">
        <v>1839</v>
      </c>
      <c r="D49" s="1787" t="s">
        <v>1812</v>
      </c>
      <c r="E49" s="1788"/>
      <c r="F49" s="1789"/>
      <c r="G49" s="1738">
        <f>AVERAGE(W48,AC48)*BS7</f>
        <v>71.64235542465255</v>
      </c>
      <c r="H49" s="2458"/>
      <c r="I49" s="1737"/>
      <c r="J49" s="1738"/>
      <c r="K49" s="1790">
        <v>0.27500000000000002</v>
      </c>
      <c r="L49" s="2464"/>
      <c r="M49" s="1786" t="s">
        <v>1812</v>
      </c>
      <c r="N49" s="1782"/>
      <c r="O49" s="1791">
        <f>((V48+AB48)/2)</f>
        <v>50.5</v>
      </c>
      <c r="P49" s="1738"/>
      <c r="Q49" s="1775">
        <f>O49*G49</f>
        <v>3617.9389489449536</v>
      </c>
      <c r="R49" s="1738">
        <f>SUM(I48:I50)</f>
        <v>2303.7345859259804</v>
      </c>
      <c r="S49" s="1737">
        <f>Z48</f>
        <v>500</v>
      </c>
      <c r="T49" s="1751">
        <f>Q49+R49</f>
        <v>5921.6735348709335</v>
      </c>
      <c r="U49" s="1787" t="s">
        <v>1473</v>
      </c>
      <c r="V49" s="1699"/>
      <c r="W49" s="1695"/>
      <c r="X49" s="1695"/>
      <c r="Y49" s="1695"/>
      <c r="Z49" s="1695"/>
      <c r="AA49" s="1695"/>
      <c r="AB49" s="1699"/>
      <c r="AC49" s="1695"/>
      <c r="AD49" s="1695"/>
      <c r="AE49" s="1695"/>
      <c r="AF49" s="1695"/>
      <c r="AG49" s="1695"/>
      <c r="AH49" s="1743"/>
      <c r="AI49" s="1782"/>
      <c r="AJ49" s="1782"/>
      <c r="AK49" s="1782"/>
      <c r="AL49" s="1793">
        <v>598.37801194433382</v>
      </c>
      <c r="AM49" s="1793">
        <v>83.262110419695929</v>
      </c>
      <c r="AN49" s="1794">
        <v>37</v>
      </c>
      <c r="AO49" s="1699"/>
      <c r="AP49" s="1729"/>
    </row>
    <row r="50" spans="1:71" ht="15.75" customHeight="1">
      <c r="A50" s="2433"/>
      <c r="B50" s="2081" t="s">
        <v>2769</v>
      </c>
      <c r="C50" s="2099" t="s">
        <v>1839</v>
      </c>
      <c r="D50" s="1787" t="s">
        <v>1812</v>
      </c>
      <c r="E50" s="1788"/>
      <c r="F50" s="1789"/>
      <c r="G50" s="1774"/>
      <c r="H50" s="1774"/>
      <c r="I50" s="1738">
        <f>(SUM(Y48,AA48,AE48,AG48)/2)</f>
        <v>2245</v>
      </c>
      <c r="J50" s="1774"/>
      <c r="K50" s="1774"/>
      <c r="L50" s="2464"/>
      <c r="M50" s="1722" t="s">
        <v>1799</v>
      </c>
      <c r="N50" s="1722"/>
      <c r="O50" s="1734">
        <f>6*3</f>
        <v>18</v>
      </c>
      <c r="P50" s="1752">
        <v>67.88</v>
      </c>
      <c r="Q50" s="1736">
        <f>O50*P50</f>
        <v>1221.8399999999999</v>
      </c>
      <c r="R50" s="1736"/>
      <c r="S50" s="1736"/>
      <c r="T50" s="1795">
        <f>Q50</f>
        <v>1221.8399999999999</v>
      </c>
      <c r="U50" s="1787" t="s">
        <v>1474</v>
      </c>
      <c r="V50" s="1699"/>
      <c r="W50" s="1695"/>
      <c r="X50" s="1695"/>
      <c r="Y50" s="1695"/>
      <c r="Z50" s="1695"/>
      <c r="AA50" s="1695"/>
      <c r="AB50" s="1699"/>
      <c r="AC50" s="1695"/>
      <c r="AD50" s="1695"/>
      <c r="AE50" s="1695"/>
      <c r="AF50" s="1695"/>
      <c r="AG50" s="1695"/>
      <c r="AH50" s="1796">
        <v>15.413378960220149</v>
      </c>
      <c r="AI50" s="1793">
        <v>1.7537874671635258</v>
      </c>
      <c r="AJ50" s="1797">
        <v>36</v>
      </c>
      <c r="AK50" s="1782"/>
      <c r="AL50" s="1791"/>
      <c r="AM50" s="1791"/>
      <c r="AN50" s="1798"/>
      <c r="AO50" s="1699"/>
      <c r="AP50" s="1729"/>
      <c r="BK50" s="2060" t="s">
        <v>2761</v>
      </c>
    </row>
    <row r="51" spans="1:71" ht="17.25" customHeight="1">
      <c r="A51" s="2433"/>
      <c r="B51" s="2078" t="s">
        <v>2770</v>
      </c>
      <c r="C51" s="2082" t="s">
        <v>1839</v>
      </c>
      <c r="D51" s="2082" t="s">
        <v>2771</v>
      </c>
      <c r="E51" s="2086">
        <f>V66</f>
        <v>7.2557253571689335</v>
      </c>
      <c r="F51" s="2083"/>
      <c r="G51" s="2079">
        <f>G49</f>
        <v>71.64235542465255</v>
      </c>
      <c r="H51" s="2079">
        <f>G51*E51</f>
        <v>519.81725490196084</v>
      </c>
      <c r="I51" s="2079"/>
      <c r="J51" s="2079"/>
      <c r="K51" s="2079"/>
      <c r="L51" s="2079">
        <f>H51*(1+K49)</f>
        <v>662.76700000000005</v>
      </c>
      <c r="M51" s="1699"/>
      <c r="N51" s="1695"/>
      <c r="O51" s="1806"/>
      <c r="P51" s="1745"/>
      <c r="Q51" s="1745"/>
      <c r="R51" s="1745"/>
      <c r="S51" s="1745"/>
      <c r="T51" s="1805"/>
      <c r="U51" s="1787" t="s">
        <v>1475</v>
      </c>
      <c r="V51" s="1699"/>
      <c r="W51" s="1695"/>
      <c r="X51" s="1695"/>
      <c r="Y51" s="1695"/>
      <c r="Z51" s="1695"/>
      <c r="AA51" s="1695"/>
      <c r="AB51" s="1699"/>
      <c r="AC51" s="1695"/>
      <c r="AD51" s="1695"/>
      <c r="AE51" s="1695"/>
      <c r="AF51" s="1695"/>
      <c r="AG51" s="1695"/>
      <c r="AH51" s="1796">
        <v>12.64460873851313</v>
      </c>
      <c r="AI51" s="1793">
        <v>2.2565962999331441</v>
      </c>
      <c r="AJ51" s="1797">
        <v>37</v>
      </c>
      <c r="AK51" s="1782"/>
      <c r="AL51" s="1791"/>
      <c r="AM51" s="1791"/>
      <c r="AN51" s="1798"/>
      <c r="AO51" s="1699"/>
      <c r="AP51" s="1729"/>
      <c r="BK51" s="2062" t="s">
        <v>1774</v>
      </c>
      <c r="BL51" s="2062" t="s">
        <v>1775</v>
      </c>
      <c r="BM51" s="2061" t="s">
        <v>2751</v>
      </c>
      <c r="BN51" s="2061" t="s">
        <v>2752</v>
      </c>
      <c r="BO51" s="2062" t="s">
        <v>2753</v>
      </c>
      <c r="BP51" s="2062" t="s">
        <v>2754</v>
      </c>
      <c r="BQ51" s="2062" t="s">
        <v>2755</v>
      </c>
    </row>
    <row r="52" spans="1:71" ht="15" customHeight="1">
      <c r="A52" s="2433"/>
      <c r="B52" s="1699"/>
      <c r="C52" s="1696"/>
      <c r="D52" s="1696"/>
      <c r="E52" s="1695"/>
      <c r="F52" s="1695"/>
      <c r="G52" s="1745"/>
      <c r="H52" s="1745"/>
      <c r="I52" s="1745"/>
      <c r="J52" s="1745"/>
      <c r="K52" s="1695"/>
      <c r="L52" s="1805"/>
      <c r="M52" s="1699"/>
      <c r="N52" s="1695"/>
      <c r="O52" s="1695"/>
      <c r="P52" s="1745"/>
      <c r="Q52" s="1745"/>
      <c r="R52" s="1745"/>
      <c r="S52" s="1745"/>
      <c r="T52" s="1805"/>
      <c r="U52" s="1787" t="s">
        <v>1476</v>
      </c>
      <c r="V52" s="1699"/>
      <c r="W52" s="1695"/>
      <c r="X52" s="1695"/>
      <c r="Y52" s="1695"/>
      <c r="Z52" s="1695"/>
      <c r="AA52" s="1695"/>
      <c r="AB52" s="1699"/>
      <c r="AC52" s="1695"/>
      <c r="AD52" s="1695"/>
      <c r="AE52" s="1695"/>
      <c r="AF52" s="1695"/>
      <c r="AG52" s="1695"/>
      <c r="AH52" s="1800"/>
      <c r="AI52" s="1791"/>
      <c r="AJ52" s="1782"/>
      <c r="AK52" s="1782"/>
      <c r="AL52" s="1793">
        <v>58.734585925980568</v>
      </c>
      <c r="AM52" s="1793">
        <v>12.720092983023894</v>
      </c>
      <c r="AN52" s="1794">
        <v>33</v>
      </c>
      <c r="AO52" s="1699"/>
      <c r="AP52" s="1729"/>
      <c r="BK52" s="2042">
        <v>1</v>
      </c>
      <c r="BL52" s="2043" t="s">
        <v>1776</v>
      </c>
      <c r="BM52" s="1749">
        <v>1.0409999999999999</v>
      </c>
      <c r="BN52" s="1749">
        <v>1.137</v>
      </c>
      <c r="BO52" s="2058">
        <v>1.0200478637843776E-3</v>
      </c>
      <c r="BP52" s="2058">
        <f>BM52*BO52</f>
        <v>1.061869826199537E-3</v>
      </c>
      <c r="BQ52" s="2058">
        <f t="shared" ref="BQ52:BQ67" si="7">BN52*BO52</f>
        <v>1.1597944211228374E-3</v>
      </c>
      <c r="BS52" s="2041" t="s">
        <v>1935</v>
      </c>
    </row>
    <row r="53" spans="1:71" ht="15" customHeight="1">
      <c r="A53" s="2433"/>
      <c r="B53" s="1699"/>
      <c r="C53" s="1696"/>
      <c r="D53" s="1696"/>
      <c r="E53" s="1695"/>
      <c r="F53" s="1695"/>
      <c r="G53" s="1745"/>
      <c r="H53" s="1745"/>
      <c r="I53" s="1745"/>
      <c r="J53" s="1745"/>
      <c r="K53" s="1695"/>
      <c r="L53" s="1805"/>
      <c r="M53" s="1699"/>
      <c r="N53" s="1695"/>
      <c r="O53" s="1695"/>
      <c r="P53" s="1745"/>
      <c r="Q53" s="1745"/>
      <c r="R53" s="1745"/>
      <c r="S53" s="1745"/>
      <c r="T53" s="1805"/>
      <c r="U53" s="1787" t="s">
        <v>1477</v>
      </c>
      <c r="V53" s="1699"/>
      <c r="W53" s="1695"/>
      <c r="X53" s="1695"/>
      <c r="Y53" s="1695"/>
      <c r="Z53" s="1695"/>
      <c r="AA53" s="1695"/>
      <c r="AB53" s="1699"/>
      <c r="AC53" s="1695"/>
      <c r="AD53" s="1695"/>
      <c r="AE53" s="1695"/>
      <c r="AF53" s="1695"/>
      <c r="AG53" s="1695"/>
      <c r="AH53" s="1796">
        <v>3.2958445348017729</v>
      </c>
      <c r="AI53" s="1793">
        <v>0.48883173265428237</v>
      </c>
      <c r="AJ53" s="1797">
        <v>36</v>
      </c>
      <c r="AK53" s="1782"/>
      <c r="AL53" s="1782"/>
      <c r="AM53" s="1782"/>
      <c r="AN53" s="1798"/>
      <c r="AO53" s="1699"/>
      <c r="AP53" s="1729"/>
      <c r="AQ53" s="1687" t="s">
        <v>1804</v>
      </c>
      <c r="AR53" s="1687" t="s">
        <v>1809</v>
      </c>
      <c r="AS53" s="1687" t="s">
        <v>1817</v>
      </c>
      <c r="BK53" s="2044">
        <v>2</v>
      </c>
      <c r="BL53" s="2043" t="s">
        <v>1777</v>
      </c>
      <c r="BM53" s="1749">
        <v>1.004</v>
      </c>
      <c r="BN53" s="1749">
        <v>1.335</v>
      </c>
      <c r="BO53" s="2058">
        <v>2.0812899682215859E-2</v>
      </c>
      <c r="BP53" s="2058">
        <f t="shared" ref="BP53:BP67" si="8">BM53*BO53</f>
        <v>2.0896151280944724E-2</v>
      </c>
      <c r="BQ53" s="2058">
        <f t="shared" si="7"/>
        <v>2.7785221075758173E-2</v>
      </c>
      <c r="BS53" s="2041">
        <f>BQ68/BN54</f>
        <v>0.8822559341737598</v>
      </c>
    </row>
    <row r="54" spans="1:71" ht="15" customHeight="1">
      <c r="A54" s="2433"/>
      <c r="B54" s="1699"/>
      <c r="C54" s="1696"/>
      <c r="D54" s="1696"/>
      <c r="E54" s="1695"/>
      <c r="F54" s="1695"/>
      <c r="G54" s="1745"/>
      <c r="H54" s="1745"/>
      <c r="I54" s="1745"/>
      <c r="J54" s="1745"/>
      <c r="K54" s="1695"/>
      <c r="L54" s="1805"/>
      <c r="M54" s="1699"/>
      <c r="N54" s="1695"/>
      <c r="O54" s="1695"/>
      <c r="P54" s="1745"/>
      <c r="Q54" s="1745"/>
      <c r="R54" s="1745"/>
      <c r="S54" s="1745"/>
      <c r="T54" s="1805"/>
      <c r="U54" s="1787" t="s">
        <v>1490</v>
      </c>
      <c r="V54" s="1699"/>
      <c r="W54" s="1695"/>
      <c r="X54" s="1695"/>
      <c r="Y54" s="1695"/>
      <c r="Z54" s="1695"/>
      <c r="AA54" s="1695"/>
      <c r="AB54" s="1699"/>
      <c r="AC54" s="1695"/>
      <c r="AD54" s="1695"/>
      <c r="AE54" s="1695"/>
      <c r="AF54" s="1695"/>
      <c r="AG54" s="1695"/>
      <c r="AH54" s="1699"/>
      <c r="AI54" s="1695"/>
      <c r="AJ54" s="1695"/>
      <c r="AK54" s="1695"/>
      <c r="AL54" s="1695"/>
      <c r="AM54" s="1695"/>
      <c r="AN54" s="1695"/>
      <c r="AO54" s="1743">
        <v>4.2110000000000003</v>
      </c>
      <c r="AP54" s="1744">
        <v>50.98</v>
      </c>
      <c r="AQ54" s="1687">
        <v>1.5</v>
      </c>
      <c r="AR54" s="1687">
        <f>AO55+AO59</f>
        <v>7.6440000000000001</v>
      </c>
      <c r="AS54" s="1687">
        <f>AR54/AQ54</f>
        <v>5.0960000000000001</v>
      </c>
      <c r="BK54" s="2044">
        <v>3</v>
      </c>
      <c r="BL54" s="2043" t="s">
        <v>1778</v>
      </c>
      <c r="BM54" s="1749">
        <v>1.095</v>
      </c>
      <c r="BN54" s="1749">
        <v>1.381</v>
      </c>
      <c r="BO54" s="2058">
        <v>9.6688767703715331E-2</v>
      </c>
      <c r="BP54" s="2058">
        <f t="shared" si="8"/>
        <v>0.10587420063556828</v>
      </c>
      <c r="BQ54" s="2058">
        <f t="shared" si="7"/>
        <v>0.13352718819883086</v>
      </c>
    </row>
    <row r="55" spans="1:71" ht="15" customHeight="1">
      <c r="A55" s="2433"/>
      <c r="B55" s="1699"/>
      <c r="C55" s="1696"/>
      <c r="D55" s="1696"/>
      <c r="E55" s="1695"/>
      <c r="F55" s="1695"/>
      <c r="G55" s="1745"/>
      <c r="H55" s="1745"/>
      <c r="I55" s="1745"/>
      <c r="J55" s="1745"/>
      <c r="K55" s="1695"/>
      <c r="L55" s="1805"/>
      <c r="M55" s="1699"/>
      <c r="N55" s="1695"/>
      <c r="O55" s="1695"/>
      <c r="P55" s="1745"/>
      <c r="Q55" s="1745"/>
      <c r="R55" s="1745"/>
      <c r="S55" s="1745"/>
      <c r="T55" s="1805"/>
      <c r="U55" s="1787" t="s">
        <v>1478</v>
      </c>
      <c r="V55" s="1783"/>
      <c r="W55" s="1784"/>
      <c r="X55" s="1784"/>
      <c r="Y55" s="1784"/>
      <c r="Z55" s="1784"/>
      <c r="AA55" s="1784"/>
      <c r="AB55" s="1783"/>
      <c r="AC55" s="1784"/>
      <c r="AD55" s="1784"/>
      <c r="AE55" s="1784"/>
      <c r="AF55" s="1784"/>
      <c r="AG55" s="1784"/>
      <c r="AH55" s="1783"/>
      <c r="AI55" s="1784"/>
      <c r="AJ55" s="1784"/>
      <c r="AK55" s="1784"/>
      <c r="AL55" s="1784"/>
      <c r="AM55" s="1784"/>
      <c r="AN55" s="1784"/>
      <c r="AO55" s="1807">
        <v>4.444</v>
      </c>
      <c r="AP55" s="1744">
        <v>50.98</v>
      </c>
      <c r="AQ55" s="1687">
        <v>2</v>
      </c>
      <c r="AR55" s="1687">
        <f>AO56+AO60</f>
        <v>8.3330000000000002</v>
      </c>
      <c r="AS55" s="1687">
        <f t="shared" ref="AS55:AS57" si="9">AR55/AQ55</f>
        <v>4.1665000000000001</v>
      </c>
      <c r="BK55" s="2044">
        <v>4</v>
      </c>
      <c r="BL55" s="2043" t="s">
        <v>1779</v>
      </c>
      <c r="BM55" s="1749">
        <v>0.996</v>
      </c>
      <c r="BN55" s="1749">
        <v>1.389</v>
      </c>
      <c r="BO55" s="2058">
        <v>6.24975479618659E-2</v>
      </c>
      <c r="BP55" s="2058">
        <f t="shared" si="8"/>
        <v>6.2247557770018433E-2</v>
      </c>
      <c r="BQ55" s="2058">
        <f t="shared" si="7"/>
        <v>8.6809094119031732E-2</v>
      </c>
    </row>
    <row r="56" spans="1:71" ht="15" customHeight="1">
      <c r="A56" s="2433"/>
      <c r="B56" s="1699"/>
      <c r="C56" s="1696"/>
      <c r="D56" s="1696"/>
      <c r="E56" s="1695"/>
      <c r="F56" s="1695"/>
      <c r="G56" s="1745"/>
      <c r="H56" s="1745"/>
      <c r="I56" s="1745"/>
      <c r="J56" s="1745"/>
      <c r="K56" s="1695"/>
      <c r="L56" s="1805"/>
      <c r="M56" s="1699"/>
      <c r="N56" s="1695"/>
      <c r="O56" s="1695"/>
      <c r="P56" s="1745"/>
      <c r="Q56" s="1745"/>
      <c r="R56" s="1745"/>
      <c r="S56" s="1745"/>
      <c r="T56" s="1805"/>
      <c r="U56" s="1787" t="s">
        <v>1479</v>
      </c>
      <c r="V56" s="1699"/>
      <c r="W56" s="1695"/>
      <c r="X56" s="1695"/>
      <c r="Y56" s="1695"/>
      <c r="Z56" s="1695"/>
      <c r="AA56" s="1695"/>
      <c r="AB56" s="1699"/>
      <c r="AC56" s="1695"/>
      <c r="AD56" s="1695"/>
      <c r="AE56" s="1695"/>
      <c r="AF56" s="1695"/>
      <c r="AG56" s="1695"/>
      <c r="AH56" s="1699"/>
      <c r="AI56" s="1695"/>
      <c r="AJ56" s="1695"/>
      <c r="AK56" s="1695"/>
      <c r="AL56" s="1695"/>
      <c r="AM56" s="1695"/>
      <c r="AN56" s="1695"/>
      <c r="AO56" s="1743">
        <v>5</v>
      </c>
      <c r="AP56" s="1744">
        <v>50.98</v>
      </c>
      <c r="AQ56" s="1687">
        <v>3</v>
      </c>
      <c r="AR56" s="1687">
        <f>AO57+AO62</f>
        <v>10.878</v>
      </c>
      <c r="AS56" s="1687">
        <f t="shared" si="9"/>
        <v>3.6259999999999999</v>
      </c>
      <c r="BK56" s="2044">
        <v>5</v>
      </c>
      <c r="BL56" s="2043" t="s">
        <v>1780</v>
      </c>
      <c r="BM56" s="1749">
        <v>1.0089999999999999</v>
      </c>
      <c r="BN56" s="1749">
        <v>1.141</v>
      </c>
      <c r="BO56" s="2058">
        <v>1.314292439876025E-3</v>
      </c>
      <c r="BP56" s="2058">
        <f t="shared" si="8"/>
        <v>1.3261210718349091E-3</v>
      </c>
      <c r="BQ56" s="2058">
        <f t="shared" si="7"/>
        <v>1.4996076738985446E-3</v>
      </c>
    </row>
    <row r="57" spans="1:71" ht="15" customHeight="1">
      <c r="A57" s="2433"/>
      <c r="B57" s="1699"/>
      <c r="C57" s="1696"/>
      <c r="D57" s="1696"/>
      <c r="E57" s="1695"/>
      <c r="F57" s="1695"/>
      <c r="G57" s="1745"/>
      <c r="H57" s="1745"/>
      <c r="I57" s="1745"/>
      <c r="J57" s="1745"/>
      <c r="K57" s="1695"/>
      <c r="L57" s="1805"/>
      <c r="M57" s="1699"/>
      <c r="N57" s="1695"/>
      <c r="O57" s="1695"/>
      <c r="P57" s="1745"/>
      <c r="Q57" s="1745"/>
      <c r="R57" s="1745"/>
      <c r="S57" s="1745"/>
      <c r="T57" s="1805"/>
      <c r="U57" s="1787" t="s">
        <v>1481</v>
      </c>
      <c r="V57" s="1699"/>
      <c r="W57" s="1695"/>
      <c r="X57" s="1695"/>
      <c r="Y57" s="1695"/>
      <c r="Z57" s="1695"/>
      <c r="AA57" s="1695"/>
      <c r="AB57" s="1699"/>
      <c r="AC57" s="1695"/>
      <c r="AD57" s="1695"/>
      <c r="AE57" s="1695"/>
      <c r="AF57" s="1695"/>
      <c r="AG57" s="1695"/>
      <c r="AH57" s="1699"/>
      <c r="AI57" s="1695"/>
      <c r="AJ57" s="1695"/>
      <c r="AK57" s="1695"/>
      <c r="AL57" s="1695"/>
      <c r="AM57" s="1695"/>
      <c r="AN57" s="1695"/>
      <c r="AO57" s="1743">
        <v>6.6669999999999998</v>
      </c>
      <c r="AP57" s="1744">
        <v>50.98</v>
      </c>
      <c r="AQ57" s="1687">
        <v>5</v>
      </c>
      <c r="AR57" s="1687">
        <f>AO58+AO65</f>
        <v>13.333</v>
      </c>
      <c r="AS57" s="1687">
        <f t="shared" si="9"/>
        <v>2.6665999999999999</v>
      </c>
      <c r="BK57" s="2044">
        <v>6</v>
      </c>
      <c r="BL57" s="2043" t="s">
        <v>1781</v>
      </c>
      <c r="BM57" s="1749">
        <v>1.002</v>
      </c>
      <c r="BN57" s="1749">
        <v>1.17</v>
      </c>
      <c r="BO57" s="2058">
        <v>7.2403782023618038E-2</v>
      </c>
      <c r="BP57" s="2058">
        <f t="shared" si="8"/>
        <v>7.2548589587665274E-2</v>
      </c>
      <c r="BQ57" s="2058">
        <f t="shared" si="7"/>
        <v>8.4712424967633093E-2</v>
      </c>
    </row>
    <row r="58" spans="1:71" ht="15" customHeight="1">
      <c r="A58" s="2433"/>
      <c r="B58" s="1699"/>
      <c r="C58" s="1696"/>
      <c r="D58" s="1696"/>
      <c r="E58" s="1695"/>
      <c r="F58" s="1695"/>
      <c r="G58" s="1745"/>
      <c r="H58" s="1745"/>
      <c r="I58" s="1745"/>
      <c r="J58" s="1745"/>
      <c r="K58" s="1695"/>
      <c r="L58" s="1805"/>
      <c r="M58" s="1699"/>
      <c r="N58" s="1695"/>
      <c r="O58" s="1695"/>
      <c r="P58" s="1745"/>
      <c r="Q58" s="1745"/>
      <c r="R58" s="1745"/>
      <c r="S58" s="1745"/>
      <c r="T58" s="1805"/>
      <c r="U58" s="1787" t="s">
        <v>1484</v>
      </c>
      <c r="V58" s="1699"/>
      <c r="W58" s="1695"/>
      <c r="X58" s="1695"/>
      <c r="Y58" s="1695"/>
      <c r="Z58" s="1695"/>
      <c r="AA58" s="1695"/>
      <c r="AB58" s="1699"/>
      <c r="AC58" s="1695"/>
      <c r="AD58" s="1695"/>
      <c r="AE58" s="1695"/>
      <c r="AF58" s="1695"/>
      <c r="AG58" s="1695"/>
      <c r="AH58" s="1699"/>
      <c r="AI58" s="1695"/>
      <c r="AJ58" s="1695"/>
      <c r="AK58" s="1695"/>
      <c r="AL58" s="1695"/>
      <c r="AM58" s="1695"/>
      <c r="AN58" s="1695"/>
      <c r="AO58" s="1743">
        <v>8</v>
      </c>
      <c r="AP58" s="1744">
        <v>50.98</v>
      </c>
      <c r="BK58" s="2044">
        <v>7</v>
      </c>
      <c r="BL58" s="2043" t="s">
        <v>1782</v>
      </c>
      <c r="BM58" s="1749">
        <v>1.012</v>
      </c>
      <c r="BN58" s="1749">
        <v>1.048</v>
      </c>
      <c r="BO58" s="2058">
        <v>5.4709874847973634E-2</v>
      </c>
      <c r="BP58" s="2058">
        <f t="shared" si="8"/>
        <v>5.5366393346149317E-2</v>
      </c>
      <c r="BQ58" s="2058">
        <f t="shared" si="7"/>
        <v>5.7335948840676373E-2</v>
      </c>
    </row>
    <row r="59" spans="1:71" ht="15" customHeight="1">
      <c r="A59" s="2433"/>
      <c r="B59" s="1699"/>
      <c r="C59" s="1696"/>
      <c r="D59" s="1696"/>
      <c r="E59" s="1695"/>
      <c r="F59" s="1695"/>
      <c r="G59" s="1745"/>
      <c r="H59" s="1745"/>
      <c r="I59" s="1745"/>
      <c r="J59" s="1745"/>
      <c r="K59" s="1695"/>
      <c r="L59" s="1805"/>
      <c r="M59" s="1699"/>
      <c r="N59" s="1695"/>
      <c r="O59" s="1695"/>
      <c r="P59" s="1745"/>
      <c r="Q59" s="1745"/>
      <c r="R59" s="1745"/>
      <c r="S59" s="1745"/>
      <c r="T59" s="1805"/>
      <c r="U59" s="1787" t="s">
        <v>1491</v>
      </c>
      <c r="V59" s="1699"/>
      <c r="W59" s="1695"/>
      <c r="X59" s="1695"/>
      <c r="Y59" s="1695"/>
      <c r="Z59" s="1695"/>
      <c r="AA59" s="1695"/>
      <c r="AB59" s="1699"/>
      <c r="AC59" s="1695"/>
      <c r="AD59" s="1695"/>
      <c r="AE59" s="1695"/>
      <c r="AF59" s="1695"/>
      <c r="AG59" s="1695"/>
      <c r="AH59" s="1699"/>
      <c r="AI59" s="1695"/>
      <c r="AJ59" s="1695"/>
      <c r="AK59" s="1695"/>
      <c r="AL59" s="1695"/>
      <c r="AM59" s="1695"/>
      <c r="AN59" s="1695"/>
      <c r="AO59" s="1743">
        <v>3.2</v>
      </c>
      <c r="AP59" s="1744">
        <v>50.98</v>
      </c>
      <c r="BK59" s="2044">
        <v>8</v>
      </c>
      <c r="BL59" s="2043" t="s">
        <v>1783</v>
      </c>
      <c r="BM59" s="1749">
        <v>1</v>
      </c>
      <c r="BN59" s="1749">
        <v>1.175</v>
      </c>
      <c r="BO59" s="2058">
        <v>0.11244066067715486</v>
      </c>
      <c r="BP59" s="2058">
        <f t="shared" si="8"/>
        <v>0.11244066067715486</v>
      </c>
      <c r="BQ59" s="2058">
        <f t="shared" si="7"/>
        <v>0.13211777629565696</v>
      </c>
    </row>
    <row r="60" spans="1:71" ht="15" customHeight="1">
      <c r="A60" s="2433"/>
      <c r="B60" s="1699"/>
      <c r="C60" s="1696"/>
      <c r="D60" s="1696"/>
      <c r="E60" s="1695"/>
      <c r="F60" s="1695"/>
      <c r="G60" s="1745"/>
      <c r="H60" s="1745"/>
      <c r="I60" s="1745"/>
      <c r="J60" s="1745"/>
      <c r="K60" s="1695"/>
      <c r="L60" s="1805"/>
      <c r="M60" s="1699"/>
      <c r="N60" s="1695"/>
      <c r="O60" s="1695"/>
      <c r="P60" s="1745"/>
      <c r="Q60" s="1745"/>
      <c r="R60" s="1745"/>
      <c r="S60" s="1745"/>
      <c r="T60" s="1805"/>
      <c r="U60" s="1787" t="s">
        <v>1485</v>
      </c>
      <c r="V60" s="1699"/>
      <c r="W60" s="1695"/>
      <c r="X60" s="1695"/>
      <c r="Y60" s="1695"/>
      <c r="Z60" s="1695"/>
      <c r="AA60" s="1695"/>
      <c r="AB60" s="1699"/>
      <c r="AC60" s="1695"/>
      <c r="AD60" s="1695"/>
      <c r="AE60" s="1695"/>
      <c r="AF60" s="1695"/>
      <c r="AG60" s="1695"/>
      <c r="AH60" s="1699"/>
      <c r="AI60" s="1695"/>
      <c r="AJ60" s="1695"/>
      <c r="AK60" s="1695"/>
      <c r="AL60" s="1695"/>
      <c r="AM60" s="1695"/>
      <c r="AN60" s="1695"/>
      <c r="AO60" s="1743">
        <v>3.3330000000000002</v>
      </c>
      <c r="AP60" s="1744">
        <v>50.98</v>
      </c>
      <c r="BK60" s="2044">
        <v>9</v>
      </c>
      <c r="BL60" s="2043" t="s">
        <v>1784</v>
      </c>
      <c r="BM60" s="1749">
        <v>1.022</v>
      </c>
      <c r="BN60" s="1749">
        <v>1.212</v>
      </c>
      <c r="BO60" s="2058">
        <v>0.17515398799482129</v>
      </c>
      <c r="BP60" s="2058">
        <f t="shared" si="8"/>
        <v>0.17900737573070735</v>
      </c>
      <c r="BQ60" s="2058">
        <f t="shared" si="7"/>
        <v>0.2122866334497234</v>
      </c>
    </row>
    <row r="61" spans="1:71" ht="15" customHeight="1">
      <c r="A61" s="2433"/>
      <c r="B61" s="1699"/>
      <c r="C61" s="1696"/>
      <c r="D61" s="1696"/>
      <c r="E61" s="1695"/>
      <c r="F61" s="1695"/>
      <c r="G61" s="1745"/>
      <c r="H61" s="1745"/>
      <c r="I61" s="1745"/>
      <c r="J61" s="1745"/>
      <c r="K61" s="1695"/>
      <c r="L61" s="1805"/>
      <c r="M61" s="1699"/>
      <c r="N61" s="1695"/>
      <c r="O61" s="1695"/>
      <c r="P61" s="1745"/>
      <c r="Q61" s="1745"/>
      <c r="R61" s="1745"/>
      <c r="S61" s="1745"/>
      <c r="T61" s="1805"/>
      <c r="U61" s="1787" t="s">
        <v>1486</v>
      </c>
      <c r="V61" s="1699"/>
      <c r="W61" s="1695"/>
      <c r="X61" s="1695"/>
      <c r="Y61" s="1695"/>
      <c r="Z61" s="1695"/>
      <c r="AA61" s="1695"/>
      <c r="AB61" s="1699"/>
      <c r="AC61" s="1695"/>
      <c r="AD61" s="1695"/>
      <c r="AE61" s="1695"/>
      <c r="AF61" s="1695"/>
      <c r="AG61" s="1695"/>
      <c r="AH61" s="1699"/>
      <c r="AI61" s="1695"/>
      <c r="AJ61" s="1695"/>
      <c r="AK61" s="1695"/>
      <c r="AL61" s="1695"/>
      <c r="AM61" s="1695"/>
      <c r="AN61" s="1695"/>
      <c r="AO61" s="1743">
        <v>3.6360000000000001</v>
      </c>
      <c r="AP61" s="1744">
        <v>50.98</v>
      </c>
      <c r="BK61" s="2044">
        <v>10</v>
      </c>
      <c r="BL61" s="2043" t="s">
        <v>1785</v>
      </c>
      <c r="BM61" s="1749">
        <v>1.002</v>
      </c>
      <c r="BN61" s="1749">
        <v>1.212</v>
      </c>
      <c r="BO61" s="2058">
        <v>0.15571422966769979</v>
      </c>
      <c r="BP61" s="2058">
        <f t="shared" si="8"/>
        <v>0.1560256581270352</v>
      </c>
      <c r="BQ61" s="2058">
        <f t="shared" si="7"/>
        <v>0.18872564635725214</v>
      </c>
    </row>
    <row r="62" spans="1:71" ht="15" customHeight="1">
      <c r="A62" s="2433"/>
      <c r="B62" s="1699"/>
      <c r="C62" s="1696"/>
      <c r="D62" s="1696"/>
      <c r="E62" s="1695"/>
      <c r="F62" s="1695"/>
      <c r="G62" s="1745"/>
      <c r="H62" s="1745"/>
      <c r="I62" s="1745"/>
      <c r="J62" s="1745"/>
      <c r="K62" s="1695"/>
      <c r="L62" s="1805"/>
      <c r="M62" s="1699"/>
      <c r="N62" s="1695"/>
      <c r="O62" s="1695"/>
      <c r="P62" s="1745"/>
      <c r="Q62" s="1745"/>
      <c r="R62" s="1745"/>
      <c r="S62" s="1745"/>
      <c r="T62" s="1805"/>
      <c r="U62" s="1787" t="s">
        <v>1487</v>
      </c>
      <c r="V62" s="1699"/>
      <c r="W62" s="1695"/>
      <c r="X62" s="1695"/>
      <c r="Y62" s="1695"/>
      <c r="Z62" s="1695"/>
      <c r="AA62" s="1695"/>
      <c r="AB62" s="1699"/>
      <c r="AC62" s="1695"/>
      <c r="AD62" s="1695"/>
      <c r="AE62" s="1695"/>
      <c r="AF62" s="1695"/>
      <c r="AG62" s="1695"/>
      <c r="AH62" s="1699"/>
      <c r="AI62" s="1695"/>
      <c r="AJ62" s="1695"/>
      <c r="AK62" s="1695"/>
      <c r="AL62" s="1695"/>
      <c r="AM62" s="1695"/>
      <c r="AN62" s="1695"/>
      <c r="AO62" s="1743">
        <v>4.2110000000000003</v>
      </c>
      <c r="AP62" s="1744">
        <v>50.98</v>
      </c>
      <c r="BK62" s="2044">
        <v>11</v>
      </c>
      <c r="BL62" s="2043" t="s">
        <v>1786</v>
      </c>
      <c r="BM62" s="1749">
        <v>1.036</v>
      </c>
      <c r="BN62" s="1749">
        <v>1.157</v>
      </c>
      <c r="BO62" s="2058">
        <v>3.7545607909294204E-2</v>
      </c>
      <c r="BP62" s="2058">
        <f t="shared" si="8"/>
        <v>3.8897249794028796E-2</v>
      </c>
      <c r="BQ62" s="2058">
        <f t="shared" si="7"/>
        <v>4.3440268351053392E-2</v>
      </c>
    </row>
    <row r="63" spans="1:71" ht="15" customHeight="1">
      <c r="A63" s="2433"/>
      <c r="B63" s="1699"/>
      <c r="C63" s="1696"/>
      <c r="D63" s="1696"/>
      <c r="E63" s="1695"/>
      <c r="F63" s="1695"/>
      <c r="G63" s="1745"/>
      <c r="H63" s="1745"/>
      <c r="I63" s="1745"/>
      <c r="J63" s="1745"/>
      <c r="K63" s="1695"/>
      <c r="L63" s="1805"/>
      <c r="M63" s="1699"/>
      <c r="N63" s="1695"/>
      <c r="O63" s="1695"/>
      <c r="P63" s="1745"/>
      <c r="Q63" s="1745"/>
      <c r="R63" s="1745"/>
      <c r="S63" s="1745"/>
      <c r="T63" s="1805"/>
      <c r="U63" s="1787" t="s">
        <v>1492</v>
      </c>
      <c r="V63" s="1699"/>
      <c r="W63" s="1695"/>
      <c r="X63" s="1695"/>
      <c r="Y63" s="1695"/>
      <c r="Z63" s="1695"/>
      <c r="AA63" s="1695"/>
      <c r="AB63" s="1699"/>
      <c r="AC63" s="1695"/>
      <c r="AD63" s="1695"/>
      <c r="AE63" s="1695"/>
      <c r="AF63" s="1695"/>
      <c r="AG63" s="1695"/>
      <c r="AH63" s="1699"/>
      <c r="AI63" s="1695"/>
      <c r="AJ63" s="1695"/>
      <c r="AK63" s="1695"/>
      <c r="AL63" s="1695"/>
      <c r="AM63" s="1695"/>
      <c r="AN63" s="1695"/>
      <c r="AO63" s="1743">
        <v>4.444</v>
      </c>
      <c r="AP63" s="1744">
        <v>50.98</v>
      </c>
      <c r="BK63" s="2044">
        <v>12</v>
      </c>
      <c r="BL63" s="2043" t="s">
        <v>1787</v>
      </c>
      <c r="BM63" s="1749">
        <v>1.163</v>
      </c>
      <c r="BN63" s="1749">
        <v>1.2250000000000001</v>
      </c>
      <c r="BO63" s="2058">
        <v>0.10265212444583938</v>
      </c>
      <c r="BP63" s="2058">
        <f t="shared" si="8"/>
        <v>0.1193844207305112</v>
      </c>
      <c r="BQ63" s="2058">
        <f t="shared" si="7"/>
        <v>0.12574885244615325</v>
      </c>
    </row>
    <row r="64" spans="1:71" ht="15" customHeight="1">
      <c r="A64" s="2433"/>
      <c r="B64" s="1699"/>
      <c r="C64" s="1696"/>
      <c r="D64" s="1696"/>
      <c r="E64" s="1695"/>
      <c r="F64" s="1695"/>
      <c r="G64" s="1745"/>
      <c r="H64" s="1745"/>
      <c r="I64" s="1745"/>
      <c r="J64" s="1745"/>
      <c r="K64" s="1695"/>
      <c r="L64" s="1805"/>
      <c r="M64" s="1699"/>
      <c r="N64" s="1695"/>
      <c r="O64" s="1695"/>
      <c r="P64" s="1745"/>
      <c r="Q64" s="1745"/>
      <c r="R64" s="1745"/>
      <c r="S64" s="1745"/>
      <c r="T64" s="1805"/>
      <c r="U64" s="1787" t="s">
        <v>1488</v>
      </c>
      <c r="V64" s="1699"/>
      <c r="W64" s="1695"/>
      <c r="X64" s="1695"/>
      <c r="Y64" s="1695"/>
      <c r="Z64" s="1695"/>
      <c r="AA64" s="1695"/>
      <c r="AB64" s="1699"/>
      <c r="AC64" s="1695"/>
      <c r="AD64" s="1695"/>
      <c r="AE64" s="1695"/>
      <c r="AF64" s="1695"/>
      <c r="AG64" s="1695"/>
      <c r="AH64" s="1699"/>
      <c r="AI64" s="1695"/>
      <c r="AJ64" s="1695"/>
      <c r="AK64" s="1695"/>
      <c r="AL64" s="1695"/>
      <c r="AM64" s="1695"/>
      <c r="AN64" s="1695"/>
      <c r="AO64" s="1743">
        <v>4.7060000000000004</v>
      </c>
      <c r="AP64" s="1744">
        <v>50.98</v>
      </c>
      <c r="BK64" s="2044">
        <v>13</v>
      </c>
      <c r="BL64" s="2043" t="s">
        <v>1788</v>
      </c>
      <c r="BM64" s="1749">
        <v>0.93899999999999995</v>
      </c>
      <c r="BN64" s="1749">
        <v>1.1479999999999999</v>
      </c>
      <c r="BO64" s="2058">
        <v>4.1939660245596137E-2</v>
      </c>
      <c r="BP64" s="2058">
        <f t="shared" si="8"/>
        <v>3.938134097061477E-2</v>
      </c>
      <c r="BQ64" s="2058">
        <f t="shared" si="7"/>
        <v>4.8146729961944364E-2</v>
      </c>
    </row>
    <row r="65" spans="1:69" ht="19.5" customHeight="1">
      <c r="A65" s="2433"/>
      <c r="B65" s="1699"/>
      <c r="C65" s="1696"/>
      <c r="D65" s="1696"/>
      <c r="E65" s="1695"/>
      <c r="F65" s="1695"/>
      <c r="G65" s="1745"/>
      <c r="H65" s="1745"/>
      <c r="I65" s="1745"/>
      <c r="J65" s="1745"/>
      <c r="K65" s="1695"/>
      <c r="L65" s="1805"/>
      <c r="M65" s="1699"/>
      <c r="N65" s="1695"/>
      <c r="O65" s="1695"/>
      <c r="P65" s="1745"/>
      <c r="Q65" s="1745"/>
      <c r="R65" s="1745"/>
      <c r="S65" s="1745"/>
      <c r="T65" s="1805"/>
      <c r="U65" s="2082" t="s">
        <v>1489</v>
      </c>
      <c r="V65" s="1699"/>
      <c r="W65" s="1695"/>
      <c r="X65" s="1695"/>
      <c r="Y65" s="1695"/>
      <c r="Z65" s="1695"/>
      <c r="AA65" s="1695"/>
      <c r="AB65" s="1699"/>
      <c r="AC65" s="1695"/>
      <c r="AD65" s="1695"/>
      <c r="AE65" s="1695"/>
      <c r="AF65" s="1695"/>
      <c r="AG65" s="1695"/>
      <c r="AH65" s="1699"/>
      <c r="AI65" s="1695"/>
      <c r="AJ65" s="1695"/>
      <c r="AK65" s="1695"/>
      <c r="AL65" s="1695"/>
      <c r="AM65" s="1695"/>
      <c r="AN65" s="1695"/>
      <c r="AO65" s="1801">
        <v>5.3330000000000002</v>
      </c>
      <c r="AP65" s="1809">
        <v>50.98</v>
      </c>
      <c r="AQ65" s="1687" t="s">
        <v>261</v>
      </c>
      <c r="AR65" s="1687" t="s">
        <v>1974</v>
      </c>
      <c r="AS65" s="1687" t="s">
        <v>1987</v>
      </c>
      <c r="BK65" s="2044">
        <v>14</v>
      </c>
      <c r="BL65" s="2043" t="s">
        <v>1789</v>
      </c>
      <c r="BM65" s="1749">
        <v>1</v>
      </c>
      <c r="BN65" s="1749">
        <v>1.087</v>
      </c>
      <c r="BO65" s="2058">
        <v>1.3280238534269686E-2</v>
      </c>
      <c r="BP65" s="2058">
        <f t="shared" si="8"/>
        <v>1.3280238534269686E-2</v>
      </c>
      <c r="BQ65" s="2058">
        <f t="shared" si="7"/>
        <v>1.4435619286751147E-2</v>
      </c>
    </row>
    <row r="66" spans="1:69" ht="15.75" thickBot="1">
      <c r="A66" s="2435"/>
      <c r="B66" s="2072"/>
      <c r="C66" s="2073"/>
      <c r="D66" s="2073"/>
      <c r="E66" s="2072"/>
      <c r="F66" s="2072"/>
      <c r="G66" s="2076"/>
      <c r="H66" s="2076"/>
      <c r="I66" s="2076"/>
      <c r="J66" s="2076"/>
      <c r="K66" s="2072"/>
      <c r="L66" s="2076"/>
      <c r="M66" s="2074"/>
      <c r="N66" s="2072"/>
      <c r="O66" s="2072"/>
      <c r="P66" s="2076"/>
      <c r="Q66" s="2076"/>
      <c r="R66" s="2076"/>
      <c r="S66" s="2076"/>
      <c r="T66" s="2076"/>
      <c r="U66" s="2065" t="s">
        <v>1951</v>
      </c>
      <c r="V66" s="2084">
        <f>X66/W66</f>
        <v>7.2557253571689335</v>
      </c>
      <c r="W66" s="2075">
        <f>G49*(1+K49)</f>
        <v>91.344003166431989</v>
      </c>
      <c r="X66" s="2080">
        <f>511*1.297</f>
        <v>662.76699999999994</v>
      </c>
      <c r="Y66" s="2072"/>
      <c r="Z66" s="2072"/>
      <c r="AA66" s="2072"/>
      <c r="AB66" s="2074"/>
      <c r="AC66" s="2072"/>
      <c r="AD66" s="2072"/>
      <c r="AE66" s="2072"/>
      <c r="AF66" s="2072"/>
      <c r="AG66" s="2072"/>
      <c r="AH66" s="2074"/>
      <c r="AI66" s="2072"/>
      <c r="AJ66" s="2072"/>
      <c r="AK66" s="2072"/>
      <c r="AL66" s="2072"/>
      <c r="AM66" s="2072"/>
      <c r="AN66" s="2072"/>
      <c r="AO66" s="2065"/>
      <c r="AP66" s="2064"/>
      <c r="AQ66" s="1687">
        <v>150</v>
      </c>
      <c r="AR66" s="1687">
        <f>1/8</f>
        <v>0.125</v>
      </c>
      <c r="AS66" s="1687">
        <f t="shared" ref="AS66:AS74" si="10">AO68/AR66</f>
        <v>25</v>
      </c>
      <c r="BI66" s="1687" t="s">
        <v>2051</v>
      </c>
      <c r="BK66" s="2044">
        <v>15</v>
      </c>
      <c r="BL66" s="2043" t="s">
        <v>1790</v>
      </c>
      <c r="BM66" s="1749">
        <v>0.997</v>
      </c>
      <c r="BN66" s="1749">
        <v>1.1739999999999999</v>
      </c>
      <c r="BO66" s="2058">
        <v>4.1272705873121741E-2</v>
      </c>
      <c r="BP66" s="2058">
        <f t="shared" si="8"/>
        <v>4.1148887755502378E-2</v>
      </c>
      <c r="BQ66" s="2058">
        <f t="shared" si="7"/>
        <v>4.8454156695044923E-2</v>
      </c>
    </row>
    <row r="67" spans="1:69" ht="19.5" thickBot="1">
      <c r="A67" s="1746"/>
      <c r="B67" s="1715"/>
      <c r="C67" s="1716"/>
      <c r="D67" s="1716"/>
      <c r="E67" s="1715"/>
      <c r="F67" s="1715"/>
      <c r="G67" s="1717"/>
      <c r="H67" s="1717"/>
      <c r="I67" s="1717"/>
      <c r="J67" s="1717"/>
      <c r="K67" s="1715"/>
      <c r="L67" s="1717"/>
      <c r="M67" s="1718"/>
      <c r="N67" s="1715"/>
      <c r="O67" s="1715"/>
      <c r="P67" s="1717"/>
      <c r="Q67" s="1717"/>
      <c r="R67" s="1717"/>
      <c r="S67" s="1717"/>
      <c r="T67" s="1717"/>
      <c r="U67" s="1718"/>
      <c r="V67" s="1718"/>
      <c r="W67" s="1715"/>
      <c r="X67" s="1715"/>
      <c r="Y67" s="1715"/>
      <c r="Z67" s="1715"/>
      <c r="AA67" s="1715"/>
      <c r="AB67" s="1718"/>
      <c r="AC67" s="1715"/>
      <c r="AD67" s="1715"/>
      <c r="AE67" s="1715"/>
      <c r="AF67" s="1715"/>
      <c r="AG67" s="1715"/>
      <c r="AH67" s="1718"/>
      <c r="AI67" s="1715"/>
      <c r="AJ67" s="1715"/>
      <c r="AK67" s="1715"/>
      <c r="AL67" s="1715"/>
      <c r="AM67" s="1715"/>
      <c r="AN67" s="1715"/>
      <c r="AO67" s="1718"/>
      <c r="AP67" s="1719"/>
      <c r="AQ67" s="1687">
        <v>485</v>
      </c>
      <c r="AR67" s="1687">
        <f>1/6</f>
        <v>0.16666666666666666</v>
      </c>
      <c r="AS67" s="1687">
        <f t="shared" si="10"/>
        <v>20.688000000000002</v>
      </c>
      <c r="BG67" s="1687">
        <v>1146.74</v>
      </c>
      <c r="BH67" s="1687">
        <v>1371.69</v>
      </c>
      <c r="BI67" s="1687">
        <f>BH67/BG67</f>
        <v>1.1961647801594084</v>
      </c>
      <c r="BK67" s="2044">
        <v>16</v>
      </c>
      <c r="BL67" s="2043" t="s">
        <v>1791</v>
      </c>
      <c r="BM67" s="1749">
        <v>1.0409999999999999</v>
      </c>
      <c r="BN67" s="1749">
        <v>1.157</v>
      </c>
      <c r="BO67" s="2058">
        <v>1.0553572129153753E-2</v>
      </c>
      <c r="BP67" s="2058">
        <f t="shared" si="8"/>
        <v>1.0986268586449056E-2</v>
      </c>
      <c r="BQ67" s="2058">
        <f t="shared" si="7"/>
        <v>1.2210482953430891E-2</v>
      </c>
    </row>
    <row r="68" spans="1:69">
      <c r="A68" s="2432" t="s">
        <v>1095</v>
      </c>
      <c r="B68" s="2067" t="s">
        <v>1794</v>
      </c>
      <c r="C68" s="2066" t="s">
        <v>1839</v>
      </c>
      <c r="D68" s="2066" t="s">
        <v>2765</v>
      </c>
      <c r="E68" s="2068">
        <f>V77</f>
        <v>2.59375</v>
      </c>
      <c r="F68" s="2085"/>
      <c r="G68" s="1736">
        <f>$AP$68*$BQ$22</f>
        <v>56.582080175451026</v>
      </c>
      <c r="H68" s="1736">
        <f>G68*E68</f>
        <v>146.75977045507611</v>
      </c>
      <c r="I68" s="1738"/>
      <c r="J68" s="1737"/>
      <c r="K68" s="1921">
        <v>0.18</v>
      </c>
      <c r="L68" s="1751">
        <f>(E68*G68)*(1+K68)</f>
        <v>173.17652913698979</v>
      </c>
      <c r="M68" s="1733" t="s">
        <v>1440</v>
      </c>
      <c r="N68" s="1749" t="s">
        <v>2000</v>
      </c>
      <c r="O68" s="1748">
        <f>$AT$75</f>
        <v>12.905333333333335</v>
      </c>
      <c r="P68" s="1736">
        <f>$AP$68*$BQ$22</f>
        <v>56.582080175451026</v>
      </c>
      <c r="Q68" s="1736">
        <f>P68*O68</f>
        <v>730.21060535758738</v>
      </c>
      <c r="R68" s="1738"/>
      <c r="S68" s="1737"/>
      <c r="T68" s="1737">
        <f>Q68</f>
        <v>730.21060535758738</v>
      </c>
      <c r="U68" s="1787" t="s">
        <v>1978</v>
      </c>
      <c r="V68" s="1699"/>
      <c r="W68" s="1695"/>
      <c r="X68" s="1695"/>
      <c r="Y68" s="1695"/>
      <c r="Z68" s="1695"/>
      <c r="AA68" s="1695"/>
      <c r="AB68" s="1699"/>
      <c r="AC68" s="1695"/>
      <c r="AD68" s="1695"/>
      <c r="AE68" s="1695"/>
      <c r="AF68" s="1695"/>
      <c r="AG68" s="1695"/>
      <c r="AH68" s="1699"/>
      <c r="AI68" s="1695"/>
      <c r="AJ68" s="1695"/>
      <c r="AK68" s="1695"/>
      <c r="AL68" s="1695"/>
      <c r="AM68" s="1695"/>
      <c r="AN68" s="1695"/>
      <c r="AO68" s="1810">
        <v>3.125</v>
      </c>
      <c r="AP68" s="1811">
        <v>48.86</v>
      </c>
      <c r="AQ68" s="1687">
        <v>1950</v>
      </c>
      <c r="AR68" s="1687">
        <f>1/2</f>
        <v>0.5</v>
      </c>
      <c r="AS68" s="1687">
        <f t="shared" si="10"/>
        <v>8.3339999999999996</v>
      </c>
      <c r="BG68" s="1687">
        <v>1394.37</v>
      </c>
      <c r="BH68" s="1687">
        <v>1650.71</v>
      </c>
      <c r="BI68" s="1687">
        <f t="shared" ref="BI68:BI77" si="11">BH68/BG68</f>
        <v>1.1838392965998983</v>
      </c>
      <c r="BK68" s="1749"/>
      <c r="BL68" s="2043" t="s">
        <v>1792</v>
      </c>
      <c r="BM68" s="1749">
        <f>AVERAGE(BM52:BM67)</f>
        <v>1.0224374999999999</v>
      </c>
      <c r="BN68" s="1749">
        <f>AVERAGE(BN52:BN67)</f>
        <v>1.19675</v>
      </c>
      <c r="BO68" s="2058">
        <f>SUM(BO52:BO67)</f>
        <v>0.99999999999999989</v>
      </c>
      <c r="BP68" s="2058">
        <f>SUM(BP52:BP67)</f>
        <v>1.0298729844246537</v>
      </c>
      <c r="BQ68" s="2058">
        <f>SUM(BQ52:BQ67)</f>
        <v>1.2183954450939622</v>
      </c>
    </row>
    <row r="69" spans="1:69">
      <c r="A69" s="2433"/>
      <c r="B69" s="1695"/>
      <c r="C69" s="1696"/>
      <c r="D69" s="1696"/>
      <c r="E69" s="1695"/>
      <c r="F69" s="1695"/>
      <c r="G69" s="1745"/>
      <c r="H69" s="1745"/>
      <c r="I69" s="1745"/>
      <c r="J69" s="1745"/>
      <c r="K69" s="1695"/>
      <c r="L69" s="1745"/>
      <c r="M69" s="1733" t="s">
        <v>1440</v>
      </c>
      <c r="N69" s="1749" t="s">
        <v>2001</v>
      </c>
      <c r="O69" s="1748">
        <f>$AT$77</f>
        <v>8.9728333333333339</v>
      </c>
      <c r="P69" s="1736">
        <f>$AP$68*$BQ$22</f>
        <v>56.582080175451026</v>
      </c>
      <c r="Q69" s="1736">
        <f>P69*O69</f>
        <v>507.70157506762615</v>
      </c>
      <c r="R69" s="1738"/>
      <c r="S69" s="1737"/>
      <c r="T69" s="1737">
        <f>Q69</f>
        <v>507.70157506762615</v>
      </c>
      <c r="U69" s="1787" t="s">
        <v>1979</v>
      </c>
      <c r="V69" s="1699"/>
      <c r="W69" s="1695"/>
      <c r="X69" s="1695"/>
      <c r="Y69" s="1695"/>
      <c r="Z69" s="1695"/>
      <c r="AA69" s="1695"/>
      <c r="AB69" s="1699"/>
      <c r="AC69" s="1695"/>
      <c r="AD69" s="1695"/>
      <c r="AE69" s="1695"/>
      <c r="AF69" s="1695"/>
      <c r="AG69" s="1695"/>
      <c r="AH69" s="1699"/>
      <c r="AI69" s="1695"/>
      <c r="AJ69" s="1695"/>
      <c r="AK69" s="1695"/>
      <c r="AL69" s="1695"/>
      <c r="AM69" s="1695"/>
      <c r="AN69" s="1695"/>
      <c r="AO69" s="1812">
        <v>3.448</v>
      </c>
      <c r="AP69" s="1813">
        <v>48.86</v>
      </c>
      <c r="AQ69" s="1687">
        <v>2410</v>
      </c>
      <c r="AR69" s="1687">
        <f>3/4</f>
        <v>0.75</v>
      </c>
      <c r="AS69" s="1687">
        <f t="shared" si="10"/>
        <v>6.06</v>
      </c>
      <c r="BG69" s="1687">
        <v>1644.72</v>
      </c>
      <c r="BH69" s="1687">
        <v>1958.43</v>
      </c>
      <c r="BI69" s="1687">
        <f t="shared" si="11"/>
        <v>1.1907376331533635</v>
      </c>
      <c r="BK69" s="2063" t="s">
        <v>2762</v>
      </c>
    </row>
    <row r="70" spans="1:69">
      <c r="A70" s="2433"/>
      <c r="B70" s="1695"/>
      <c r="C70" s="1696"/>
      <c r="D70" s="1696"/>
      <c r="E70" s="1695"/>
      <c r="F70" s="1695"/>
      <c r="G70" s="1745"/>
      <c r="H70" s="1745"/>
      <c r="I70" s="1745"/>
      <c r="J70" s="1745"/>
      <c r="K70" s="1695"/>
      <c r="L70" s="1745"/>
      <c r="M70" s="1759" t="s">
        <v>2005</v>
      </c>
      <c r="N70" s="1695"/>
      <c r="O70" s="1695"/>
      <c r="P70" s="1745"/>
      <c r="Q70" s="1745"/>
      <c r="R70" s="1745"/>
      <c r="S70" s="1745"/>
      <c r="T70" s="1745"/>
      <c r="U70" s="1787" t="s">
        <v>1980</v>
      </c>
      <c r="V70" s="1699"/>
      <c r="W70" s="1695"/>
      <c r="X70" s="1695"/>
      <c r="Y70" s="1695"/>
      <c r="Z70" s="1695"/>
      <c r="AA70" s="1695"/>
      <c r="AB70" s="1699"/>
      <c r="AC70" s="1695"/>
      <c r="AD70" s="1695"/>
      <c r="AE70" s="1695"/>
      <c r="AF70" s="1695"/>
      <c r="AG70" s="1695"/>
      <c r="AH70" s="1699"/>
      <c r="AI70" s="1695"/>
      <c r="AJ70" s="1695"/>
      <c r="AK70" s="1695"/>
      <c r="AL70" s="1695"/>
      <c r="AM70" s="1695"/>
      <c r="AN70" s="1695"/>
      <c r="AO70" s="1812">
        <v>4.1669999999999998</v>
      </c>
      <c r="AP70" s="1813">
        <v>48.86</v>
      </c>
      <c r="AQ70" s="1687">
        <v>3328</v>
      </c>
      <c r="AR70" s="1687">
        <v>1.5</v>
      </c>
      <c r="AS70" s="1687">
        <f t="shared" si="10"/>
        <v>4.4446666666666665</v>
      </c>
      <c r="BG70" s="1687">
        <v>2787.09</v>
      </c>
      <c r="BH70" s="1687">
        <v>3221.05</v>
      </c>
      <c r="BI70" s="1687">
        <f t="shared" si="11"/>
        <v>1.1557036191870373</v>
      </c>
      <c r="BK70" s="2063" t="s">
        <v>2763</v>
      </c>
    </row>
    <row r="71" spans="1:69">
      <c r="A71" s="2433"/>
      <c r="B71" s="1695"/>
      <c r="C71" s="1696"/>
      <c r="D71" s="1696"/>
      <c r="E71" s="1695"/>
      <c r="F71" s="1695"/>
      <c r="G71" s="1745"/>
      <c r="H71" s="1745"/>
      <c r="I71" s="1745"/>
      <c r="J71" s="1745"/>
      <c r="K71" s="1695"/>
      <c r="L71" s="1745"/>
      <c r="M71" s="1699"/>
      <c r="N71" s="1695"/>
      <c r="O71" s="1695"/>
      <c r="P71" s="1745"/>
      <c r="Q71" s="1745"/>
      <c r="R71" s="1745"/>
      <c r="S71" s="1745"/>
      <c r="T71" s="1745"/>
      <c r="U71" s="1787" t="s">
        <v>1981</v>
      </c>
      <c r="V71" s="1699"/>
      <c r="W71" s="1695"/>
      <c r="X71" s="1695"/>
      <c r="Y71" s="1695"/>
      <c r="Z71" s="1695"/>
      <c r="AA71" s="1695"/>
      <c r="AB71" s="1699"/>
      <c r="AC71" s="1695"/>
      <c r="AD71" s="1695"/>
      <c r="AE71" s="1695"/>
      <c r="AF71" s="1695"/>
      <c r="AG71" s="1695"/>
      <c r="AH71" s="1699"/>
      <c r="AI71" s="1695"/>
      <c r="AJ71" s="1695"/>
      <c r="AK71" s="1695"/>
      <c r="AL71" s="1695"/>
      <c r="AM71" s="1695"/>
      <c r="AN71" s="1695"/>
      <c r="AO71" s="1812">
        <v>4.5449999999999999</v>
      </c>
      <c r="AP71" s="1813">
        <v>48.86</v>
      </c>
      <c r="AQ71" s="1687">
        <v>800</v>
      </c>
      <c r="AR71" s="1687">
        <v>0.25</v>
      </c>
      <c r="AS71" s="1687">
        <f t="shared" si="10"/>
        <v>13.332000000000001</v>
      </c>
      <c r="BG71" s="1687">
        <v>3258.5</v>
      </c>
      <c r="BH71" s="1687">
        <v>3815.35</v>
      </c>
      <c r="BI71" s="1687">
        <f t="shared" si="11"/>
        <v>1.170891514500537</v>
      </c>
    </row>
    <row r="72" spans="1:69">
      <c r="A72" s="2433"/>
      <c r="B72" s="1695"/>
      <c r="C72" s="1696"/>
      <c r="D72" s="1696"/>
      <c r="E72" s="1695"/>
      <c r="F72" s="1695"/>
      <c r="G72" s="1745"/>
      <c r="H72" s="1745"/>
      <c r="I72" s="1745"/>
      <c r="J72" s="1745"/>
      <c r="K72" s="1695"/>
      <c r="L72" s="1745"/>
      <c r="M72" s="1699"/>
      <c r="N72" s="1695"/>
      <c r="O72" s="1695"/>
      <c r="P72" s="1745"/>
      <c r="Q72" s="1745"/>
      <c r="R72" s="1745"/>
      <c r="S72" s="1745"/>
      <c r="T72" s="1745"/>
      <c r="U72" s="1787" t="s">
        <v>1982</v>
      </c>
      <c r="V72" s="1699"/>
      <c r="W72" s="1695"/>
      <c r="X72" s="1695"/>
      <c r="Y72" s="1695"/>
      <c r="Z72" s="1695"/>
      <c r="AA72" s="1695"/>
      <c r="AB72" s="1699"/>
      <c r="AC72" s="1695"/>
      <c r="AD72" s="1695"/>
      <c r="AE72" s="1695"/>
      <c r="AF72" s="1695"/>
      <c r="AG72" s="1695"/>
      <c r="AH72" s="1699"/>
      <c r="AI72" s="1695"/>
      <c r="AJ72" s="1695"/>
      <c r="AK72" s="1695"/>
      <c r="AL72" s="1695"/>
      <c r="AM72" s="1695"/>
      <c r="AN72" s="1695"/>
      <c r="AO72" s="1812">
        <v>6.6669999999999998</v>
      </c>
      <c r="AP72" s="1813">
        <v>48.86</v>
      </c>
      <c r="AQ72" s="1687">
        <v>1300</v>
      </c>
      <c r="AR72" s="1687">
        <f>1/3</f>
        <v>0.33333333333333331</v>
      </c>
      <c r="AS72" s="1687">
        <f t="shared" si="10"/>
        <v>12</v>
      </c>
      <c r="BG72" s="1687">
        <v>1277.47</v>
      </c>
      <c r="BH72" s="1687">
        <v>1527.09</v>
      </c>
      <c r="BI72" s="1687">
        <f t="shared" si="11"/>
        <v>1.195401848967099</v>
      </c>
    </row>
    <row r="73" spans="1:69">
      <c r="A73" s="2433"/>
      <c r="B73" s="1695"/>
      <c r="C73" s="1696"/>
      <c r="D73" s="1696"/>
      <c r="E73" s="1695"/>
      <c r="F73" s="1695"/>
      <c r="G73" s="1745"/>
      <c r="H73" s="1745"/>
      <c r="I73" s="1745"/>
      <c r="J73" s="1745"/>
      <c r="K73" s="1695"/>
      <c r="L73" s="1745"/>
      <c r="M73" s="1699"/>
      <c r="N73" s="1695"/>
      <c r="O73" s="1695"/>
      <c r="P73" s="1745"/>
      <c r="Q73" s="1745"/>
      <c r="R73" s="1745"/>
      <c r="S73" s="1745"/>
      <c r="T73" s="1745"/>
      <c r="U73" s="1787" t="s">
        <v>1983</v>
      </c>
      <c r="V73" s="1699"/>
      <c r="W73" s="1695"/>
      <c r="X73" s="1695"/>
      <c r="Y73" s="1695"/>
      <c r="Z73" s="1695"/>
      <c r="AA73" s="1695"/>
      <c r="AB73" s="1699"/>
      <c r="AC73" s="1695"/>
      <c r="AD73" s="1695"/>
      <c r="AE73" s="1695"/>
      <c r="AF73" s="1695"/>
      <c r="AG73" s="1695"/>
      <c r="AH73" s="1699"/>
      <c r="AI73" s="1695"/>
      <c r="AJ73" s="1695"/>
      <c r="AK73" s="1695"/>
      <c r="AL73" s="1695"/>
      <c r="AM73" s="1695"/>
      <c r="AN73" s="1695"/>
      <c r="AO73" s="1812">
        <v>3.3330000000000002</v>
      </c>
      <c r="AP73" s="1813">
        <v>48.86</v>
      </c>
      <c r="AQ73" s="1687">
        <v>2000</v>
      </c>
      <c r="AR73" s="1687">
        <v>0.75</v>
      </c>
      <c r="AS73" s="1687">
        <f t="shared" si="10"/>
        <v>5.7973333333333334</v>
      </c>
      <c r="BG73" s="1687">
        <v>1380.05</v>
      </c>
      <c r="BH73" s="1687">
        <v>1665.34</v>
      </c>
      <c r="BI73" s="1687">
        <f t="shared" si="11"/>
        <v>1.206724394043694</v>
      </c>
    </row>
    <row r="74" spans="1:69">
      <c r="A74" s="2433"/>
      <c r="B74" s="1695"/>
      <c r="C74" s="1696"/>
      <c r="D74" s="1696"/>
      <c r="E74" s="1695"/>
      <c r="F74" s="1695"/>
      <c r="G74" s="1745"/>
      <c r="H74" s="1745"/>
      <c r="I74" s="1745"/>
      <c r="J74" s="1745"/>
      <c r="K74" s="1695"/>
      <c r="L74" s="1745"/>
      <c r="M74" s="1699"/>
      <c r="N74" s="1695"/>
      <c r="O74" s="1695"/>
      <c r="P74" s="1745"/>
      <c r="Q74" s="1745"/>
      <c r="R74" s="1745"/>
      <c r="S74" s="1745"/>
      <c r="T74" s="1745"/>
      <c r="U74" s="1787" t="s">
        <v>1984</v>
      </c>
      <c r="V74" s="1699"/>
      <c r="W74" s="1695"/>
      <c r="X74" s="1695"/>
      <c r="Y74" s="1695"/>
      <c r="Z74" s="1695"/>
      <c r="AA74" s="1695"/>
      <c r="AB74" s="1699"/>
      <c r="AC74" s="1695"/>
      <c r="AD74" s="1695"/>
      <c r="AE74" s="1695"/>
      <c r="AF74" s="1695"/>
      <c r="AG74" s="1695"/>
      <c r="AH74" s="1699"/>
      <c r="AI74" s="1695"/>
      <c r="AJ74" s="1695"/>
      <c r="AK74" s="1695"/>
      <c r="AL74" s="1695"/>
      <c r="AM74" s="1695"/>
      <c r="AN74" s="1695"/>
      <c r="AO74" s="1812">
        <v>4</v>
      </c>
      <c r="AP74" s="1813">
        <v>48.86</v>
      </c>
      <c r="AQ74" s="1687">
        <v>2900</v>
      </c>
      <c r="AR74" s="1687">
        <v>1</v>
      </c>
      <c r="AS74" s="1687">
        <f t="shared" si="10"/>
        <v>4.7619999999999996</v>
      </c>
      <c r="BG74" s="1687">
        <v>1603.91</v>
      </c>
      <c r="BH74" s="1687">
        <v>1929.38</v>
      </c>
      <c r="BI74" s="1687">
        <f t="shared" si="11"/>
        <v>1.2029228572675523</v>
      </c>
    </row>
    <row r="75" spans="1:69">
      <c r="A75" s="2433"/>
      <c r="B75" s="1695"/>
      <c r="C75" s="1696"/>
      <c r="D75" s="1696"/>
      <c r="E75" s="1695"/>
      <c r="F75" s="1695"/>
      <c r="G75" s="1745"/>
      <c r="H75" s="1745"/>
      <c r="I75" s="1745"/>
      <c r="J75" s="1745"/>
      <c r="K75" s="1695"/>
      <c r="L75" s="1745"/>
      <c r="M75" s="1699"/>
      <c r="N75" s="1695"/>
      <c r="O75" s="1695"/>
      <c r="P75" s="1745"/>
      <c r="Q75" s="1745"/>
      <c r="R75" s="1745"/>
      <c r="S75" s="1745"/>
      <c r="T75" s="1745"/>
      <c r="U75" s="1787" t="s">
        <v>1985</v>
      </c>
      <c r="V75" s="1699"/>
      <c r="W75" s="1695"/>
      <c r="X75" s="1695"/>
      <c r="Y75" s="1695"/>
      <c r="Z75" s="1695"/>
      <c r="AA75" s="1695"/>
      <c r="AB75" s="1699"/>
      <c r="AC75" s="1695"/>
      <c r="AD75" s="1695"/>
      <c r="AE75" s="1695"/>
      <c r="AF75" s="1695"/>
      <c r="AG75" s="1695"/>
      <c r="AH75" s="1699"/>
      <c r="AI75" s="1695"/>
      <c r="AJ75" s="1695"/>
      <c r="AK75" s="1695"/>
      <c r="AL75" s="1695"/>
      <c r="AM75" s="1695"/>
      <c r="AN75" s="1695"/>
      <c r="AO75" s="1812">
        <v>4.3479999999999999</v>
      </c>
      <c r="AP75" s="1813">
        <v>48.86</v>
      </c>
      <c r="AS75" s="1687" t="s">
        <v>1988</v>
      </c>
      <c r="AT75" s="1687">
        <f>AVERAGE(AS66:AS70)</f>
        <v>12.905333333333335</v>
      </c>
      <c r="BG75" s="1687">
        <v>2073.19</v>
      </c>
      <c r="BH75" s="1687">
        <v>2440.9</v>
      </c>
      <c r="BI75" s="1687">
        <f t="shared" si="11"/>
        <v>1.1773643515548502</v>
      </c>
    </row>
    <row r="76" spans="1:69">
      <c r="A76" s="2433"/>
      <c r="B76" s="1695"/>
      <c r="C76" s="1696"/>
      <c r="D76" s="1696"/>
      <c r="E76" s="1695"/>
      <c r="F76" s="1695"/>
      <c r="G76" s="1745"/>
      <c r="H76" s="1745"/>
      <c r="I76" s="1745"/>
      <c r="J76" s="1745"/>
      <c r="K76" s="1695"/>
      <c r="L76" s="1745"/>
      <c r="M76" s="1699"/>
      <c r="N76" s="1695"/>
      <c r="O76" s="1695"/>
      <c r="P76" s="1745"/>
      <c r="Q76" s="1745"/>
      <c r="R76" s="1745"/>
      <c r="S76" s="1745"/>
      <c r="T76" s="1745"/>
      <c r="U76" s="1787" t="s">
        <v>1986</v>
      </c>
      <c r="V76" s="1699"/>
      <c r="W76" s="1695"/>
      <c r="X76" s="1695"/>
      <c r="Y76" s="1695"/>
      <c r="Z76" s="1695"/>
      <c r="AA76" s="1695"/>
      <c r="AB76" s="1699"/>
      <c r="AC76" s="1695"/>
      <c r="AD76" s="1695"/>
      <c r="AE76" s="1695"/>
      <c r="AF76" s="1695"/>
      <c r="AG76" s="1695"/>
      <c r="AH76" s="1699"/>
      <c r="AI76" s="1695"/>
      <c r="AJ76" s="1695"/>
      <c r="AK76" s="1695"/>
      <c r="AL76" s="1695"/>
      <c r="AM76" s="1695"/>
      <c r="AN76" s="1695"/>
      <c r="AO76" s="1812">
        <v>4.7619999999999996</v>
      </c>
      <c r="AP76" s="1813">
        <v>48.86</v>
      </c>
      <c r="AS76" s="1687" t="s">
        <v>1989</v>
      </c>
      <c r="AT76" s="1687">
        <f>STDEV(AS66:AS70)</f>
        <v>9.3030830851330624</v>
      </c>
      <c r="BG76" s="1687">
        <v>2471.42</v>
      </c>
      <c r="BH76" s="1687">
        <v>2900.1</v>
      </c>
      <c r="BI76" s="1687">
        <f t="shared" si="11"/>
        <v>1.1734549368379312</v>
      </c>
    </row>
    <row r="77" spans="1:69">
      <c r="A77" s="2433"/>
      <c r="B77" s="1695"/>
      <c r="C77" s="1696"/>
      <c r="D77" s="1696"/>
      <c r="E77" s="1695"/>
      <c r="F77" s="1695"/>
      <c r="G77" s="1745"/>
      <c r="H77" s="1745"/>
      <c r="I77" s="1745"/>
      <c r="J77" s="1745"/>
      <c r="K77" s="1695"/>
      <c r="L77" s="1745"/>
      <c r="M77" s="1699"/>
      <c r="N77" s="1695"/>
      <c r="O77" s="1695"/>
      <c r="P77" s="1745"/>
      <c r="Q77" s="1745"/>
      <c r="R77" s="1745"/>
      <c r="S77" s="1745"/>
      <c r="T77" s="1745"/>
      <c r="U77" s="2070" t="s">
        <v>2766</v>
      </c>
      <c r="V77" s="2069">
        <f>(3+2+3.5+2+1.5+5.5+1.25+2)/8</f>
        <v>2.59375</v>
      </c>
      <c r="W77" s="1695"/>
      <c r="X77" s="1695"/>
      <c r="Y77" s="1695"/>
      <c r="Z77" s="1695"/>
      <c r="AA77" s="1695"/>
      <c r="AB77" s="1699"/>
      <c r="AC77" s="1695"/>
      <c r="AD77" s="1695"/>
      <c r="AE77" s="1695"/>
      <c r="AF77" s="1695"/>
      <c r="AG77" s="1695"/>
      <c r="AH77" s="1699"/>
      <c r="AI77" s="1695"/>
      <c r="AJ77" s="1695"/>
      <c r="AK77" s="1695"/>
      <c r="AL77" s="1695"/>
      <c r="AM77" s="1695"/>
      <c r="AN77" s="1695"/>
      <c r="AO77" s="1699"/>
      <c r="AP77" s="1729"/>
      <c r="AS77" s="1687" t="s">
        <v>1990</v>
      </c>
      <c r="AT77" s="1687">
        <f>AVERAGE(AS71:AS74)</f>
        <v>8.9728333333333339</v>
      </c>
      <c r="BG77" s="1687">
        <v>2909.97</v>
      </c>
      <c r="BH77" s="1687">
        <v>3399.38</v>
      </c>
      <c r="BI77" s="1687">
        <f t="shared" si="11"/>
        <v>1.1681838644384652</v>
      </c>
    </row>
    <row r="78" spans="1:69">
      <c r="A78" s="2433"/>
      <c r="B78" s="1695"/>
      <c r="C78" s="1696"/>
      <c r="D78" s="1696"/>
      <c r="E78" s="1695"/>
      <c r="F78" s="1695"/>
      <c r="G78" s="1745"/>
      <c r="H78" s="1745"/>
      <c r="I78" s="1745"/>
      <c r="J78" s="1745"/>
      <c r="K78" s="1695"/>
      <c r="L78" s="1745"/>
      <c r="M78" s="1699"/>
      <c r="N78" s="1695"/>
      <c r="O78" s="1695"/>
      <c r="P78" s="1745"/>
      <c r="Q78" s="1745"/>
      <c r="R78" s="1745"/>
      <c r="S78" s="1745"/>
      <c r="T78" s="1745"/>
      <c r="U78" s="1699"/>
      <c r="V78" s="1699"/>
      <c r="W78" s="1695"/>
      <c r="X78" s="1695"/>
      <c r="Y78" s="1695"/>
      <c r="Z78" s="1695"/>
      <c r="AA78" s="1695"/>
      <c r="AB78" s="1699"/>
      <c r="AC78" s="1695"/>
      <c r="AD78" s="1695"/>
      <c r="AE78" s="1695"/>
      <c r="AF78" s="1695"/>
      <c r="AG78" s="1695"/>
      <c r="AH78" s="1699"/>
      <c r="AI78" s="1695"/>
      <c r="AJ78" s="1695"/>
      <c r="AK78" s="1695"/>
      <c r="AL78" s="1695"/>
      <c r="AM78" s="1695"/>
      <c r="AN78" s="1695"/>
      <c r="AO78" s="1699"/>
      <c r="AP78" s="1729"/>
      <c r="AS78" s="1687" t="s">
        <v>1991</v>
      </c>
      <c r="AT78" s="1687">
        <f>STDEV(AS71:AS74)</f>
        <v>4.3197603971619651</v>
      </c>
      <c r="BI78" s="1687">
        <f>AVERAGE(BI67:BI77)</f>
        <v>1.1837626451554397</v>
      </c>
    </row>
    <row r="79" spans="1:69">
      <c r="A79" s="2433"/>
      <c r="B79" s="1695"/>
      <c r="C79" s="1696"/>
      <c r="D79" s="1696"/>
      <c r="E79" s="1695"/>
      <c r="F79" s="1695"/>
      <c r="G79" s="1745"/>
      <c r="H79" s="1745"/>
      <c r="I79" s="1745"/>
      <c r="J79" s="1745"/>
      <c r="K79" s="1695"/>
      <c r="L79" s="1745"/>
      <c r="M79" s="1699"/>
      <c r="N79" s="1695"/>
      <c r="O79" s="1695"/>
      <c r="P79" s="1745"/>
      <c r="Q79" s="1745"/>
      <c r="R79" s="1745"/>
      <c r="S79" s="1745"/>
      <c r="T79" s="1745"/>
      <c r="U79" s="1699"/>
      <c r="V79" s="1699"/>
      <c r="W79" s="1695"/>
      <c r="X79" s="1695"/>
      <c r="Y79" s="1695"/>
      <c r="Z79" s="1695"/>
      <c r="AA79" s="1695"/>
      <c r="AB79" s="1699"/>
      <c r="AC79" s="1695"/>
      <c r="AD79" s="1695"/>
      <c r="AE79" s="1695"/>
      <c r="AF79" s="1695"/>
      <c r="AG79" s="1695"/>
      <c r="AH79" s="1699"/>
      <c r="AI79" s="1695"/>
      <c r="AJ79" s="1695"/>
      <c r="AK79" s="1695"/>
      <c r="AL79" s="1695"/>
      <c r="AM79" s="1695"/>
      <c r="AN79" s="1695"/>
      <c r="AO79" s="1699"/>
      <c r="AP79" s="1729"/>
    </row>
    <row r="80" spans="1:69">
      <c r="A80" s="2433"/>
      <c r="B80" s="1695"/>
      <c r="C80" s="1696"/>
      <c r="D80" s="1696"/>
      <c r="E80" s="1695"/>
      <c r="F80" s="1695"/>
      <c r="G80" s="1745"/>
      <c r="H80" s="1745"/>
      <c r="I80" s="1745"/>
      <c r="J80" s="1745"/>
      <c r="K80" s="1695"/>
      <c r="L80" s="1745"/>
      <c r="M80" s="1699"/>
      <c r="N80" s="1695"/>
      <c r="O80" s="1695"/>
      <c r="P80" s="1745"/>
      <c r="Q80" s="1745"/>
      <c r="R80" s="1745"/>
      <c r="S80" s="1745"/>
      <c r="T80" s="1745"/>
      <c r="U80" s="1699"/>
      <c r="V80" s="1699"/>
      <c r="W80" s="1695"/>
      <c r="X80" s="1695"/>
      <c r="Y80" s="1695"/>
      <c r="Z80" s="1695"/>
      <c r="AA80" s="1695"/>
      <c r="AB80" s="1699"/>
      <c r="AC80" s="1695"/>
      <c r="AD80" s="1695"/>
      <c r="AE80" s="1695"/>
      <c r="AF80" s="1695"/>
      <c r="AG80" s="1695"/>
      <c r="AH80" s="1699"/>
      <c r="AI80" s="1695"/>
      <c r="AJ80" s="1695"/>
      <c r="AK80" s="1695"/>
      <c r="AL80" s="1695"/>
      <c r="AM80" s="1695"/>
      <c r="AN80" s="1695"/>
      <c r="AO80" s="1699"/>
      <c r="AP80" s="1729"/>
      <c r="AQ80" s="1687" t="s">
        <v>1974</v>
      </c>
      <c r="AR80" s="1687" t="s">
        <v>1975</v>
      </c>
    </row>
    <row r="81" spans="1:61" ht="15" customHeight="1" thickBot="1">
      <c r="A81" s="2433"/>
      <c r="B81" s="1695"/>
      <c r="C81" s="1696"/>
      <c r="D81" s="1696"/>
      <c r="E81" s="1695"/>
      <c r="F81" s="1695"/>
      <c r="G81" s="1745"/>
      <c r="H81" s="1745"/>
      <c r="I81" s="1745"/>
      <c r="J81" s="1745"/>
      <c r="K81" s="1695"/>
      <c r="L81" s="1745"/>
      <c r="M81" s="1699"/>
      <c r="N81" s="1695"/>
      <c r="O81" s="1695"/>
      <c r="P81" s="1745"/>
      <c r="Q81" s="1745"/>
      <c r="R81" s="1745"/>
      <c r="S81" s="1745"/>
      <c r="T81" s="1745"/>
      <c r="U81" s="1699"/>
      <c r="V81" s="1699"/>
      <c r="W81" s="1695"/>
      <c r="X81" s="1695"/>
      <c r="Y81" s="1695"/>
      <c r="Z81" s="1695"/>
      <c r="AA81" s="1695"/>
      <c r="AB81" s="1699"/>
      <c r="AC81" s="1695"/>
      <c r="AD81" s="1695"/>
      <c r="AE81" s="1695"/>
      <c r="AF81" s="1695"/>
      <c r="AG81" s="1695"/>
      <c r="AH81" s="1699"/>
      <c r="AI81" s="1695"/>
      <c r="AJ81" s="1695"/>
      <c r="AK81" s="1695"/>
      <c r="AL81" s="1695"/>
      <c r="AM81" s="1695"/>
      <c r="AN81" s="1695"/>
      <c r="AO81" s="1699"/>
      <c r="AP81" s="1729"/>
      <c r="AQ81" s="1687">
        <v>15</v>
      </c>
      <c r="AR81" s="1687">
        <f t="shared" ref="AR81:AR90" si="12">AO83/AQ81</f>
        <v>1.1985333333333335</v>
      </c>
      <c r="AS81" s="1687" t="s">
        <v>1792</v>
      </c>
      <c r="AT81" s="1687">
        <f>AVERAGE(AR81:AR90)</f>
        <v>0.60704533333333344</v>
      </c>
      <c r="BG81" s="1687">
        <v>4282.01</v>
      </c>
      <c r="BH81" s="1687">
        <v>5289.58</v>
      </c>
      <c r="BI81" s="1687">
        <f t="shared" ref="BI81:BI90" si="13">BH81/BG81</f>
        <v>1.2353030469335662</v>
      </c>
    </row>
    <row r="82" spans="1:61" ht="15" customHeight="1" thickBot="1">
      <c r="A82" s="1714" t="s">
        <v>1108</v>
      </c>
      <c r="B82" s="1715"/>
      <c r="C82" s="1716"/>
      <c r="D82" s="1716"/>
      <c r="E82" s="1715"/>
      <c r="F82" s="1715"/>
      <c r="G82" s="1717"/>
      <c r="H82" s="1717"/>
      <c r="I82" s="1717"/>
      <c r="J82" s="1717"/>
      <c r="K82" s="1715"/>
      <c r="L82" s="1717"/>
      <c r="M82" s="1718"/>
      <c r="N82" s="1715"/>
      <c r="O82" s="1715"/>
      <c r="P82" s="1717"/>
      <c r="Q82" s="1717"/>
      <c r="R82" s="1717"/>
      <c r="S82" s="1717"/>
      <c r="T82" s="1717"/>
      <c r="U82" s="1718"/>
      <c r="V82" s="1718"/>
      <c r="W82" s="1715"/>
      <c r="X82" s="1715"/>
      <c r="Y82" s="1715"/>
      <c r="Z82" s="1715"/>
      <c r="AA82" s="1715"/>
      <c r="AB82" s="1718"/>
      <c r="AC82" s="1715"/>
      <c r="AD82" s="1715"/>
      <c r="AE82" s="1715"/>
      <c r="AF82" s="1715"/>
      <c r="AG82" s="1715"/>
      <c r="AH82" s="1718"/>
      <c r="AI82" s="1715"/>
      <c r="AJ82" s="1715"/>
      <c r="AK82" s="1715"/>
      <c r="AL82" s="1715"/>
      <c r="AM82" s="1715"/>
      <c r="AN82" s="1715"/>
      <c r="AO82" s="1718"/>
      <c r="AP82" s="1719"/>
      <c r="AQ82" s="1687">
        <v>20</v>
      </c>
      <c r="AR82" s="1687">
        <f t="shared" si="12"/>
        <v>0.89890000000000003</v>
      </c>
      <c r="AS82" s="1687" t="s">
        <v>1793</v>
      </c>
      <c r="AT82" s="1687">
        <f>STDEV(AR81:AR90)</f>
        <v>0.29495348097519131</v>
      </c>
      <c r="BG82" s="1687">
        <v>4784.66</v>
      </c>
      <c r="BH82" s="1687">
        <v>5845.08</v>
      </c>
      <c r="BI82" s="1687">
        <f t="shared" si="13"/>
        <v>1.2216291230724858</v>
      </c>
    </row>
    <row r="83" spans="1:61" ht="15" customHeight="1">
      <c r="A83" s="2432" t="s">
        <v>1133</v>
      </c>
      <c r="B83" s="1747" t="s">
        <v>1976</v>
      </c>
      <c r="C83" s="1733" t="s">
        <v>1974</v>
      </c>
      <c r="D83" s="1733" t="s">
        <v>1440</v>
      </c>
      <c r="E83" s="1748">
        <f>AVERAGE(AR86:AR90)</f>
        <v>0.39523633333333325</v>
      </c>
      <c r="F83" s="1749" t="s">
        <v>2002</v>
      </c>
      <c r="G83" s="1736">
        <f>AP88*BQ45</f>
        <v>65.314181750349704</v>
      </c>
      <c r="H83" s="1736">
        <f>G83*E83</f>
        <v>25.814537709675125</v>
      </c>
      <c r="I83" s="1738"/>
      <c r="J83" s="1737"/>
      <c r="K83" s="2428">
        <v>0.2</v>
      </c>
      <c r="L83" s="1751">
        <f>E83*G83*(1+K83)</f>
        <v>30.977445251610149</v>
      </c>
      <c r="M83" s="1759"/>
      <c r="N83" s="1695"/>
      <c r="O83" s="1695"/>
      <c r="P83" s="1745"/>
      <c r="Q83" s="1745"/>
      <c r="R83" s="1745"/>
      <c r="S83" s="1745"/>
      <c r="T83" s="1745"/>
      <c r="U83" s="1787" t="s">
        <v>1964</v>
      </c>
      <c r="V83" s="1699"/>
      <c r="W83" s="1695"/>
      <c r="X83" s="1695"/>
      <c r="Y83" s="1695"/>
      <c r="Z83" s="1695"/>
      <c r="AA83" s="1695"/>
      <c r="AB83" s="1699"/>
      <c r="AC83" s="1695"/>
      <c r="AD83" s="1695"/>
      <c r="AE83" s="1695"/>
      <c r="AF83" s="1695"/>
      <c r="AG83" s="1695"/>
      <c r="AH83" s="1699"/>
      <c r="AI83" s="1695"/>
      <c r="AJ83" s="1695"/>
      <c r="AK83" s="1695"/>
      <c r="AL83" s="1695"/>
      <c r="AM83" s="1695"/>
      <c r="AN83" s="1695"/>
      <c r="AO83" s="1743">
        <v>17.978000000000002</v>
      </c>
      <c r="AP83" s="1744">
        <v>52.4</v>
      </c>
      <c r="AQ83" s="1687">
        <v>30</v>
      </c>
      <c r="AR83" s="1687">
        <f t="shared" si="12"/>
        <v>0.79603333333333337</v>
      </c>
      <c r="BG83" s="1687">
        <v>6076.2</v>
      </c>
      <c r="BH83" s="1687">
        <v>7494.65</v>
      </c>
      <c r="BI83" s="1687">
        <f t="shared" si="13"/>
        <v>1.2334435996181823</v>
      </c>
    </row>
    <row r="84" spans="1:61" ht="15" customHeight="1">
      <c r="A84" s="2433"/>
      <c r="B84" s="1747" t="s">
        <v>1977</v>
      </c>
      <c r="C84" s="1733" t="s">
        <v>1974</v>
      </c>
      <c r="D84" s="1733" t="s">
        <v>1440</v>
      </c>
      <c r="E84" s="1748">
        <f>AVERAGE(AR81:AR85)</f>
        <v>0.81885433333333335</v>
      </c>
      <c r="F84" s="1749" t="s">
        <v>2003</v>
      </c>
      <c r="G84" s="1736">
        <f>AP94*BQ45</f>
        <v>58.274529605283924</v>
      </c>
      <c r="H84" s="1736">
        <f>G84*E84</f>
        <v>47.718351090248362</v>
      </c>
      <c r="I84" s="1738"/>
      <c r="J84" s="1737"/>
      <c r="K84" s="2429"/>
      <c r="L84" s="1751">
        <f>E84*G84*(1+K83)</f>
        <v>57.262021308298031</v>
      </c>
      <c r="M84" s="1699"/>
      <c r="N84" s="1695"/>
      <c r="O84" s="1695"/>
      <c r="P84" s="1745"/>
      <c r="Q84" s="1745"/>
      <c r="R84" s="1745"/>
      <c r="S84" s="1745"/>
      <c r="T84" s="1745"/>
      <c r="U84" s="1787" t="s">
        <v>1965</v>
      </c>
      <c r="V84" s="1699"/>
      <c r="W84" s="1695"/>
      <c r="X84" s="1695"/>
      <c r="Y84" s="1695"/>
      <c r="Z84" s="1695"/>
      <c r="AA84" s="1695"/>
      <c r="AB84" s="1699"/>
      <c r="AC84" s="1695"/>
      <c r="AD84" s="1695"/>
      <c r="AE84" s="1695"/>
      <c r="AF84" s="1695"/>
      <c r="AG84" s="1695"/>
      <c r="AH84" s="1699"/>
      <c r="AI84" s="1695"/>
      <c r="AJ84" s="1695"/>
      <c r="AK84" s="1695"/>
      <c r="AL84" s="1695"/>
      <c r="AM84" s="1695"/>
      <c r="AN84" s="1695"/>
      <c r="AO84" s="1743">
        <v>17.978000000000002</v>
      </c>
      <c r="AP84" s="1744">
        <v>52.4</v>
      </c>
      <c r="AQ84" s="1687">
        <v>40</v>
      </c>
      <c r="AR84" s="1687">
        <f t="shared" si="12"/>
        <v>0.59702500000000003</v>
      </c>
      <c r="BG84" s="1687">
        <v>6997.73</v>
      </c>
      <c r="BH84" s="1687">
        <v>8527.8799999999992</v>
      </c>
      <c r="BI84" s="1687">
        <f t="shared" si="13"/>
        <v>1.2186637666786229</v>
      </c>
    </row>
    <row r="85" spans="1:61" ht="15" customHeight="1">
      <c r="A85" s="2433"/>
      <c r="B85" s="1695"/>
      <c r="C85" s="1696"/>
      <c r="D85" s="1696"/>
      <c r="E85" s="1695"/>
      <c r="F85" s="1695"/>
      <c r="G85" s="1745"/>
      <c r="H85" s="1745"/>
      <c r="I85" s="1745"/>
      <c r="J85" s="1745"/>
      <c r="K85" s="1695"/>
      <c r="L85" s="1745"/>
      <c r="M85" s="1699"/>
      <c r="N85" s="1695"/>
      <c r="O85" s="1695"/>
      <c r="P85" s="1745"/>
      <c r="Q85" s="1745"/>
      <c r="R85" s="1745"/>
      <c r="S85" s="1745"/>
      <c r="T85" s="1745"/>
      <c r="U85" s="1787" t="s">
        <v>1966</v>
      </c>
      <c r="V85" s="1699"/>
      <c r="W85" s="1695"/>
      <c r="X85" s="1695"/>
      <c r="Y85" s="1695"/>
      <c r="Z85" s="1695"/>
      <c r="AA85" s="1695"/>
      <c r="AB85" s="1699"/>
      <c r="AC85" s="1695"/>
      <c r="AD85" s="1695"/>
      <c r="AE85" s="1695"/>
      <c r="AF85" s="1695"/>
      <c r="AG85" s="1695"/>
      <c r="AH85" s="1699"/>
      <c r="AI85" s="1695"/>
      <c r="AJ85" s="1695"/>
      <c r="AK85" s="1695"/>
      <c r="AL85" s="1695"/>
      <c r="AM85" s="1695"/>
      <c r="AN85" s="1695"/>
      <c r="AO85" s="1743">
        <v>23.881</v>
      </c>
      <c r="AP85" s="1744">
        <v>52.4</v>
      </c>
      <c r="AQ85" s="1687">
        <v>50</v>
      </c>
      <c r="AR85" s="1687">
        <f t="shared" si="12"/>
        <v>0.60377999999999998</v>
      </c>
      <c r="BG85" s="1687">
        <v>8030.95</v>
      </c>
      <c r="BH85" s="1687">
        <v>9644.8799999999992</v>
      </c>
      <c r="BI85" s="1687">
        <f t="shared" si="13"/>
        <v>1.2009637714093599</v>
      </c>
    </row>
    <row r="86" spans="1:61" ht="15" customHeight="1">
      <c r="A86" s="2433"/>
      <c r="B86" s="1695"/>
      <c r="C86" s="1696"/>
      <c r="D86" s="1696"/>
      <c r="E86" s="1695"/>
      <c r="F86" s="1695"/>
      <c r="G86" s="1745"/>
      <c r="H86" s="1745"/>
      <c r="I86" s="1745"/>
      <c r="J86" s="1745"/>
      <c r="K86" s="1695"/>
      <c r="L86" s="1745"/>
      <c r="M86" s="1699"/>
      <c r="N86" s="1695"/>
      <c r="O86" s="1695"/>
      <c r="P86" s="1745"/>
      <c r="Q86" s="1745"/>
      <c r="R86" s="1745"/>
      <c r="S86" s="1745"/>
      <c r="T86" s="1745"/>
      <c r="U86" s="1787" t="s">
        <v>1967</v>
      </c>
      <c r="V86" s="1699"/>
      <c r="W86" s="1695"/>
      <c r="X86" s="1695"/>
      <c r="Y86" s="1695"/>
      <c r="Z86" s="1695"/>
      <c r="AA86" s="1695"/>
      <c r="AB86" s="1699"/>
      <c r="AC86" s="1695"/>
      <c r="AD86" s="1695"/>
      <c r="AE86" s="1695"/>
      <c r="AF86" s="1695"/>
      <c r="AG86" s="1695"/>
      <c r="AH86" s="1699"/>
      <c r="AI86" s="1695"/>
      <c r="AJ86" s="1695"/>
      <c r="AK86" s="1695"/>
      <c r="AL86" s="1695"/>
      <c r="AM86" s="1695"/>
      <c r="AN86" s="1695"/>
      <c r="AO86" s="1743">
        <v>23.881</v>
      </c>
      <c r="AP86" s="1744">
        <v>52.4</v>
      </c>
      <c r="AQ86" s="1687">
        <v>60</v>
      </c>
      <c r="AR86" s="1687">
        <f t="shared" si="12"/>
        <v>0.59523333333333328</v>
      </c>
      <c r="BG86" s="1687">
        <v>10017.35</v>
      </c>
      <c r="BH86" s="1687">
        <v>12058.6</v>
      </c>
      <c r="BI86" s="1687">
        <f t="shared" si="13"/>
        <v>1.2037714565229327</v>
      </c>
    </row>
    <row r="87" spans="1:61" ht="15" customHeight="1">
      <c r="A87" s="2433"/>
      <c r="B87" s="1695"/>
      <c r="C87" s="1696"/>
      <c r="D87" s="1696"/>
      <c r="E87" s="1695"/>
      <c r="F87" s="1695"/>
      <c r="G87" s="1745"/>
      <c r="H87" s="1745"/>
      <c r="I87" s="1745"/>
      <c r="J87" s="1745"/>
      <c r="K87" s="1695"/>
      <c r="L87" s="1745"/>
      <c r="M87" s="1699"/>
      <c r="N87" s="1695"/>
      <c r="O87" s="1695"/>
      <c r="P87" s="1745"/>
      <c r="Q87" s="1745"/>
      <c r="R87" s="1745"/>
      <c r="S87" s="1745"/>
      <c r="T87" s="1745"/>
      <c r="U87" s="1787" t="s">
        <v>1968</v>
      </c>
      <c r="V87" s="1699"/>
      <c r="W87" s="1695"/>
      <c r="X87" s="1695"/>
      <c r="Y87" s="1695"/>
      <c r="Z87" s="1695"/>
      <c r="AA87" s="1695"/>
      <c r="AB87" s="1699"/>
      <c r="AC87" s="1695"/>
      <c r="AD87" s="1695"/>
      <c r="AE87" s="1695"/>
      <c r="AF87" s="1695"/>
      <c r="AG87" s="1695"/>
      <c r="AH87" s="1699"/>
      <c r="AI87" s="1695"/>
      <c r="AJ87" s="1695"/>
      <c r="AK87" s="1695"/>
      <c r="AL87" s="1695"/>
      <c r="AM87" s="1695"/>
      <c r="AN87" s="1695"/>
      <c r="AO87" s="1743">
        <v>30.189</v>
      </c>
      <c r="AP87" s="1744">
        <v>52.4</v>
      </c>
      <c r="AQ87" s="1687">
        <v>75</v>
      </c>
      <c r="AR87" s="1687">
        <f t="shared" si="12"/>
        <v>0.47618666666666665</v>
      </c>
      <c r="BG87" s="1687">
        <v>12190.07</v>
      </c>
      <c r="BH87" s="1687">
        <v>14630.87</v>
      </c>
      <c r="BI87" s="1687">
        <f t="shared" si="13"/>
        <v>1.2002285466777469</v>
      </c>
    </row>
    <row r="88" spans="1:61" ht="15" customHeight="1">
      <c r="A88" s="2433"/>
      <c r="B88" s="1695"/>
      <c r="C88" s="1696"/>
      <c r="D88" s="1696"/>
      <c r="E88" s="1695"/>
      <c r="F88" s="1695"/>
      <c r="G88" s="1745"/>
      <c r="H88" s="1745"/>
      <c r="I88" s="1745"/>
      <c r="J88" s="1745"/>
      <c r="K88" s="1695"/>
      <c r="L88" s="1745"/>
      <c r="M88" s="1699"/>
      <c r="N88" s="1695"/>
      <c r="O88" s="1695"/>
      <c r="P88" s="1745"/>
      <c r="Q88" s="1745"/>
      <c r="R88" s="1745"/>
      <c r="S88" s="1745"/>
      <c r="T88" s="1745"/>
      <c r="U88" s="1787" t="s">
        <v>1969</v>
      </c>
      <c r="V88" s="1699"/>
      <c r="W88" s="1695"/>
      <c r="X88" s="1695"/>
      <c r="Y88" s="1695"/>
      <c r="Z88" s="1695"/>
      <c r="AA88" s="1695"/>
      <c r="AB88" s="1699"/>
      <c r="AC88" s="1695"/>
      <c r="AD88" s="1695"/>
      <c r="AE88" s="1695"/>
      <c r="AF88" s="1695"/>
      <c r="AG88" s="1695"/>
      <c r="AH88" s="1699"/>
      <c r="AI88" s="1695"/>
      <c r="AJ88" s="1695"/>
      <c r="AK88" s="1695"/>
      <c r="AL88" s="1695"/>
      <c r="AM88" s="1695"/>
      <c r="AN88" s="1695"/>
      <c r="AO88" s="1743">
        <v>35.713999999999999</v>
      </c>
      <c r="AP88" s="1744">
        <v>58.73</v>
      </c>
      <c r="AQ88" s="1687">
        <v>100</v>
      </c>
      <c r="AR88" s="1687">
        <f t="shared" si="12"/>
        <v>0.4</v>
      </c>
      <c r="BG88" s="1687">
        <v>13586.32</v>
      </c>
      <c r="BH88" s="1687">
        <v>16138.62</v>
      </c>
      <c r="BI88" s="1687">
        <f t="shared" si="13"/>
        <v>1.1878580807753683</v>
      </c>
    </row>
    <row r="89" spans="1:61" ht="15" customHeight="1">
      <c r="A89" s="2433"/>
      <c r="B89" s="1695"/>
      <c r="C89" s="1696"/>
      <c r="D89" s="1696"/>
      <c r="E89" s="1695"/>
      <c r="F89" s="1695"/>
      <c r="G89" s="1745"/>
      <c r="H89" s="1745"/>
      <c r="I89" s="1745"/>
      <c r="J89" s="1745"/>
      <c r="K89" s="1695"/>
      <c r="L89" s="1745"/>
      <c r="M89" s="1699"/>
      <c r="N89" s="1695"/>
      <c r="O89" s="1695"/>
      <c r="P89" s="1745"/>
      <c r="Q89" s="1745"/>
      <c r="R89" s="1745"/>
      <c r="S89" s="1745"/>
      <c r="T89" s="1745"/>
      <c r="U89" s="1787" t="s">
        <v>1970</v>
      </c>
      <c r="V89" s="1699"/>
      <c r="W89" s="1695"/>
      <c r="X89" s="1695"/>
      <c r="Y89" s="1695"/>
      <c r="Z89" s="1695"/>
      <c r="AA89" s="1695"/>
      <c r="AB89" s="1699"/>
      <c r="AC89" s="1695"/>
      <c r="AD89" s="1695"/>
      <c r="AE89" s="1695"/>
      <c r="AF89" s="1695"/>
      <c r="AG89" s="1695"/>
      <c r="AH89" s="1699"/>
      <c r="AI89" s="1695"/>
      <c r="AJ89" s="1695"/>
      <c r="AK89" s="1695"/>
      <c r="AL89" s="1695"/>
      <c r="AM89" s="1695"/>
      <c r="AN89" s="1695"/>
      <c r="AO89" s="1743">
        <v>35.713999999999999</v>
      </c>
      <c r="AP89" s="1744">
        <v>58.73</v>
      </c>
      <c r="AQ89" s="1687">
        <v>150</v>
      </c>
      <c r="AR89" s="1687">
        <f t="shared" si="12"/>
        <v>0.26666666666666666</v>
      </c>
      <c r="BG89" s="1687">
        <v>15551.8</v>
      </c>
      <c r="BH89" s="1687">
        <v>18494.099999999999</v>
      </c>
      <c r="BI89" s="1687">
        <f t="shared" si="13"/>
        <v>1.1891935338674622</v>
      </c>
    </row>
    <row r="90" spans="1:61" ht="15.75" customHeight="1">
      <c r="A90" s="2433"/>
      <c r="B90" s="1695"/>
      <c r="C90" s="1696"/>
      <c r="D90" s="1696"/>
      <c r="E90" s="1695"/>
      <c r="F90" s="1695"/>
      <c r="G90" s="1745"/>
      <c r="H90" s="1745"/>
      <c r="I90" s="1745"/>
      <c r="J90" s="1745"/>
      <c r="K90" s="1695"/>
      <c r="L90" s="1745"/>
      <c r="M90" s="1699"/>
      <c r="N90" s="1695"/>
      <c r="O90" s="1695"/>
      <c r="P90" s="1745"/>
      <c r="Q90" s="1745"/>
      <c r="R90" s="1745"/>
      <c r="S90" s="1745"/>
      <c r="T90" s="1745"/>
      <c r="U90" s="1787" t="s">
        <v>1971</v>
      </c>
      <c r="V90" s="1699"/>
      <c r="W90" s="1695"/>
      <c r="X90" s="1695"/>
      <c r="Y90" s="1695"/>
      <c r="Z90" s="1695"/>
      <c r="AA90" s="1695"/>
      <c r="AB90" s="1699"/>
      <c r="AC90" s="1695"/>
      <c r="AD90" s="1695"/>
      <c r="AE90" s="1695"/>
      <c r="AF90" s="1695"/>
      <c r="AG90" s="1695"/>
      <c r="AH90" s="1699"/>
      <c r="AI90" s="1695"/>
      <c r="AJ90" s="1695"/>
      <c r="AK90" s="1695"/>
      <c r="AL90" s="1695"/>
      <c r="AM90" s="1695"/>
      <c r="AN90" s="1695"/>
      <c r="AO90" s="1743">
        <v>40</v>
      </c>
      <c r="AP90" s="1744">
        <v>58.73</v>
      </c>
      <c r="AQ90" s="1687">
        <v>200</v>
      </c>
      <c r="AR90" s="1687">
        <f t="shared" si="12"/>
        <v>0.238095</v>
      </c>
      <c r="BG90" s="1687">
        <v>17003.900000000001</v>
      </c>
      <c r="BH90" s="1687">
        <v>20057.900000000001</v>
      </c>
      <c r="BI90" s="1687">
        <f t="shared" si="13"/>
        <v>1.1796058551273532</v>
      </c>
    </row>
    <row r="91" spans="1:61" ht="9" customHeight="1">
      <c r="A91" s="2433"/>
      <c r="B91" s="1695"/>
      <c r="C91" s="1696"/>
      <c r="D91" s="1696"/>
      <c r="E91" s="1695"/>
      <c r="F91" s="1695"/>
      <c r="G91" s="1745"/>
      <c r="H91" s="1745"/>
      <c r="I91" s="1745"/>
      <c r="J91" s="1745"/>
      <c r="K91" s="1695"/>
      <c r="L91" s="1745"/>
      <c r="M91" s="1699"/>
      <c r="N91" s="1695"/>
      <c r="O91" s="1695"/>
      <c r="P91" s="1745"/>
      <c r="Q91" s="1745"/>
      <c r="R91" s="1745"/>
      <c r="S91" s="1745"/>
      <c r="T91" s="1745"/>
      <c r="U91" s="1787" t="s">
        <v>1972</v>
      </c>
      <c r="V91" s="1699"/>
      <c r="W91" s="1695"/>
      <c r="X91" s="1695"/>
      <c r="Y91" s="1695"/>
      <c r="Z91" s="1695"/>
      <c r="AA91" s="1695"/>
      <c r="AB91" s="1699"/>
      <c r="AC91" s="1695"/>
      <c r="AD91" s="1695"/>
      <c r="AE91" s="1695"/>
      <c r="AF91" s="1695"/>
      <c r="AG91" s="1695"/>
      <c r="AH91" s="1699"/>
      <c r="AI91" s="1695"/>
      <c r="AJ91" s="1695"/>
      <c r="AK91" s="1695"/>
      <c r="AL91" s="1695"/>
      <c r="AM91" s="1695"/>
      <c r="AN91" s="1695"/>
      <c r="AO91" s="1743">
        <v>40</v>
      </c>
      <c r="AP91" s="1744">
        <v>58.73</v>
      </c>
      <c r="BI91" s="1687">
        <f>AVERAGE(BI80:BI90)</f>
        <v>1.207066078068308</v>
      </c>
    </row>
    <row r="92" spans="1:61" ht="15" customHeight="1" thickBot="1">
      <c r="A92" s="2434"/>
      <c r="B92" s="1695"/>
      <c r="C92" s="1696"/>
      <c r="D92" s="1696"/>
      <c r="E92" s="1695"/>
      <c r="F92" s="1695"/>
      <c r="G92" s="1745"/>
      <c r="H92" s="1745"/>
      <c r="I92" s="1745"/>
      <c r="J92" s="1745"/>
      <c r="K92" s="1695"/>
      <c r="L92" s="1745"/>
      <c r="M92" s="1699"/>
      <c r="N92" s="1695"/>
      <c r="O92" s="1695"/>
      <c r="P92" s="1745"/>
      <c r="Q92" s="1745"/>
      <c r="R92" s="1745"/>
      <c r="S92" s="1745"/>
      <c r="T92" s="1745"/>
      <c r="U92" s="1787" t="s">
        <v>1973</v>
      </c>
      <c r="V92" s="1699"/>
      <c r="W92" s="1695"/>
      <c r="X92" s="1695"/>
      <c r="Y92" s="1695"/>
      <c r="Z92" s="1695"/>
      <c r="AA92" s="1695"/>
      <c r="AB92" s="1699"/>
      <c r="AC92" s="1695"/>
      <c r="AD92" s="1695"/>
      <c r="AE92" s="1695"/>
      <c r="AF92" s="1695"/>
      <c r="AG92" s="1695"/>
      <c r="AH92" s="1699"/>
      <c r="AI92" s="1695"/>
      <c r="AJ92" s="1695"/>
      <c r="AK92" s="1695"/>
      <c r="AL92" s="1695"/>
      <c r="AM92" s="1695"/>
      <c r="AN92" s="1695"/>
      <c r="AO92" s="1743">
        <v>47.619</v>
      </c>
      <c r="AP92" s="1744">
        <v>58.73</v>
      </c>
      <c r="AQ92" s="1687">
        <v>3</v>
      </c>
      <c r="AR92" s="1687">
        <f>AO94/AQ92</f>
        <v>3.3333333333333335</v>
      </c>
      <c r="AS92" s="1687" t="s">
        <v>1792</v>
      </c>
      <c r="AT92" s="1687">
        <f>AVERAGE(AR92:AR95)</f>
        <v>2.0298333333333334</v>
      </c>
    </row>
    <row r="93" spans="1:61" ht="15" customHeight="1" thickBot="1">
      <c r="A93" s="1746"/>
      <c r="B93" s="1715"/>
      <c r="C93" s="1716"/>
      <c r="D93" s="1716"/>
      <c r="E93" s="1715"/>
      <c r="F93" s="1715"/>
      <c r="G93" s="1717"/>
      <c r="H93" s="1717"/>
      <c r="I93" s="1717"/>
      <c r="J93" s="1717"/>
      <c r="K93" s="1715"/>
      <c r="L93" s="1717"/>
      <c r="M93" s="1718"/>
      <c r="N93" s="1715"/>
      <c r="O93" s="1715"/>
      <c r="P93" s="1717"/>
      <c r="Q93" s="1717"/>
      <c r="R93" s="1717"/>
      <c r="S93" s="1717"/>
      <c r="T93" s="1717"/>
      <c r="U93" s="1718"/>
      <c r="V93" s="1718"/>
      <c r="W93" s="1715"/>
      <c r="X93" s="1715"/>
      <c r="Y93" s="1715"/>
      <c r="Z93" s="1715"/>
      <c r="AA93" s="1715"/>
      <c r="AB93" s="1718"/>
      <c r="AC93" s="1715"/>
      <c r="AD93" s="1715"/>
      <c r="AE93" s="1715"/>
      <c r="AF93" s="1715"/>
      <c r="AG93" s="1715"/>
      <c r="AH93" s="1718"/>
      <c r="AI93" s="1715"/>
      <c r="AJ93" s="1715"/>
      <c r="AK93" s="1715"/>
      <c r="AL93" s="1715"/>
      <c r="AM93" s="1715"/>
      <c r="AN93" s="1715"/>
      <c r="AO93" s="1718"/>
      <c r="AP93" s="1719"/>
      <c r="AQ93" s="1687">
        <v>5</v>
      </c>
      <c r="AR93" s="1687">
        <f>AO95/AQ93</f>
        <v>2</v>
      </c>
      <c r="AS93" s="1687" t="s">
        <v>1793</v>
      </c>
      <c r="AT93" s="1687">
        <f>STDEV(AR92:AR95)</f>
        <v>0.92921430371159397</v>
      </c>
    </row>
    <row r="94" spans="1:61" ht="15" customHeight="1">
      <c r="A94" s="2473" t="s">
        <v>1134</v>
      </c>
      <c r="B94" s="1747" t="s">
        <v>2066</v>
      </c>
      <c r="C94" s="1733" t="s">
        <v>1974</v>
      </c>
      <c r="D94" s="1733" t="s">
        <v>1440</v>
      </c>
      <c r="E94" s="1748">
        <f>AT92</f>
        <v>2.0298333333333334</v>
      </c>
      <c r="F94" s="1749" t="s">
        <v>2004</v>
      </c>
      <c r="G94" s="1736">
        <f>AP94*BQ45</f>
        <v>58.274529605283924</v>
      </c>
      <c r="H94" s="1736">
        <f>G94*E94</f>
        <v>118.28758267712549</v>
      </c>
      <c r="I94" s="1738"/>
      <c r="J94" s="1737"/>
      <c r="K94" s="1750">
        <v>0.2</v>
      </c>
      <c r="L94" s="1751">
        <f>E94*G94*(1+K94)</f>
        <v>141.94509921255059</v>
      </c>
      <c r="M94" s="1759"/>
      <c r="N94" s="1695"/>
      <c r="O94" s="1695"/>
      <c r="P94" s="1745"/>
      <c r="Q94" s="1745"/>
      <c r="R94" s="1745"/>
      <c r="S94" s="1745"/>
      <c r="T94" s="1745"/>
      <c r="U94" s="1787" t="s">
        <v>1960</v>
      </c>
      <c r="V94" s="1699"/>
      <c r="W94" s="1695"/>
      <c r="X94" s="1695"/>
      <c r="Y94" s="1695"/>
      <c r="Z94" s="1695"/>
      <c r="AA94" s="1695"/>
      <c r="AB94" s="1699"/>
      <c r="AC94" s="1695"/>
      <c r="AD94" s="1695"/>
      <c r="AE94" s="1695"/>
      <c r="AF94" s="1695"/>
      <c r="AG94" s="1695"/>
      <c r="AH94" s="1699"/>
      <c r="AI94" s="1695"/>
      <c r="AJ94" s="1695"/>
      <c r="AK94" s="1695"/>
      <c r="AL94" s="1695"/>
      <c r="AM94" s="1695"/>
      <c r="AN94" s="1695"/>
      <c r="AO94" s="1743">
        <v>10</v>
      </c>
      <c r="AP94" s="1744">
        <v>52.4</v>
      </c>
      <c r="AQ94" s="1687">
        <v>7.5</v>
      </c>
      <c r="AR94" s="1687">
        <f>AO96/AQ94</f>
        <v>1.5919999999999999</v>
      </c>
    </row>
    <row r="95" spans="1:61" ht="15" customHeight="1">
      <c r="A95" s="2438"/>
      <c r="B95" s="1695"/>
      <c r="C95" s="1696"/>
      <c r="D95" s="1696"/>
      <c r="E95" s="1695"/>
      <c r="F95" s="1695"/>
      <c r="G95" s="1745"/>
      <c r="H95" s="1745"/>
      <c r="I95" s="1745"/>
      <c r="J95" s="1745"/>
      <c r="K95" s="1695"/>
      <c r="L95" s="1745"/>
      <c r="M95" s="1699"/>
      <c r="N95" s="1695"/>
      <c r="O95" s="1695"/>
      <c r="P95" s="1745"/>
      <c r="Q95" s="1745"/>
      <c r="R95" s="1745"/>
      <c r="S95" s="1745"/>
      <c r="T95" s="1745"/>
      <c r="U95" s="1787" t="s">
        <v>1961</v>
      </c>
      <c r="V95" s="1699"/>
      <c r="W95" s="1695"/>
      <c r="X95" s="1695"/>
      <c r="Y95" s="1695"/>
      <c r="Z95" s="1695"/>
      <c r="AA95" s="1695"/>
      <c r="AB95" s="1699"/>
      <c r="AC95" s="1695"/>
      <c r="AD95" s="1695"/>
      <c r="AE95" s="1695"/>
      <c r="AF95" s="1695"/>
      <c r="AG95" s="1695"/>
      <c r="AH95" s="1699"/>
      <c r="AI95" s="1695"/>
      <c r="AJ95" s="1695"/>
      <c r="AK95" s="1695"/>
      <c r="AL95" s="1695"/>
      <c r="AM95" s="1695"/>
      <c r="AN95" s="1695"/>
      <c r="AO95" s="1743">
        <v>10</v>
      </c>
      <c r="AP95" s="1744">
        <v>52.4</v>
      </c>
      <c r="AQ95" s="1687">
        <v>10</v>
      </c>
      <c r="AR95" s="1687">
        <f>AO97/AQ95</f>
        <v>1.194</v>
      </c>
    </row>
    <row r="96" spans="1:61" ht="15" customHeight="1">
      <c r="A96" s="2438"/>
      <c r="B96" s="1695"/>
      <c r="C96" s="1696"/>
      <c r="D96" s="1696"/>
      <c r="E96" s="1695"/>
      <c r="F96" s="1695"/>
      <c r="G96" s="1745"/>
      <c r="H96" s="1745"/>
      <c r="I96" s="1745"/>
      <c r="J96" s="1745"/>
      <c r="K96" s="1695"/>
      <c r="L96" s="1745"/>
      <c r="M96" s="1699"/>
      <c r="N96" s="1695"/>
      <c r="O96" s="1695"/>
      <c r="P96" s="1745"/>
      <c r="Q96" s="1745"/>
      <c r="R96" s="1745"/>
      <c r="S96" s="1745"/>
      <c r="T96" s="1745"/>
      <c r="U96" s="1787" t="s">
        <v>1962</v>
      </c>
      <c r="V96" s="1699"/>
      <c r="W96" s="1695"/>
      <c r="X96" s="1695"/>
      <c r="Y96" s="1695"/>
      <c r="Z96" s="1695"/>
      <c r="AA96" s="1695"/>
      <c r="AB96" s="1699"/>
      <c r="AC96" s="1695"/>
      <c r="AD96" s="1695"/>
      <c r="AE96" s="1695"/>
      <c r="AF96" s="1695"/>
      <c r="AG96" s="1695"/>
      <c r="AH96" s="1699"/>
      <c r="AI96" s="1695"/>
      <c r="AJ96" s="1695"/>
      <c r="AK96" s="1695"/>
      <c r="AL96" s="1695"/>
      <c r="AM96" s="1695"/>
      <c r="AN96" s="1695"/>
      <c r="AO96" s="1743">
        <v>11.94</v>
      </c>
      <c r="AP96" s="1744">
        <v>52.4</v>
      </c>
    </row>
    <row r="97" spans="1:45" ht="15" customHeight="1">
      <c r="A97" s="2438"/>
      <c r="B97" s="1695"/>
      <c r="C97" s="1696"/>
      <c r="D97" s="1696"/>
      <c r="E97" s="1695"/>
      <c r="F97" s="1695"/>
      <c r="G97" s="1745"/>
      <c r="H97" s="1745"/>
      <c r="I97" s="1745"/>
      <c r="J97" s="1745"/>
      <c r="K97" s="1695"/>
      <c r="L97" s="1745"/>
      <c r="M97" s="1699"/>
      <c r="N97" s="1695"/>
      <c r="O97" s="1695"/>
      <c r="P97" s="1745"/>
      <c r="Q97" s="1745"/>
      <c r="R97" s="1745"/>
      <c r="S97" s="1745"/>
      <c r="T97" s="1745"/>
      <c r="U97" s="1787" t="s">
        <v>1963</v>
      </c>
      <c r="V97" s="1699"/>
      <c r="W97" s="1695"/>
      <c r="X97" s="1695"/>
      <c r="Y97" s="1695"/>
      <c r="Z97" s="1695"/>
      <c r="AA97" s="1695"/>
      <c r="AB97" s="1699"/>
      <c r="AC97" s="1695"/>
      <c r="AD97" s="1695"/>
      <c r="AE97" s="1695"/>
      <c r="AF97" s="1695"/>
      <c r="AG97" s="1695"/>
      <c r="AH97" s="1699"/>
      <c r="AI97" s="1695"/>
      <c r="AJ97" s="1695"/>
      <c r="AK97" s="1695"/>
      <c r="AL97" s="1695"/>
      <c r="AM97" s="1695"/>
      <c r="AN97" s="1695"/>
      <c r="AO97" s="1743">
        <v>11.94</v>
      </c>
      <c r="AP97" s="1744">
        <v>52.4</v>
      </c>
    </row>
    <row r="98" spans="1:45" ht="15" customHeight="1">
      <c r="A98" s="2438"/>
      <c r="B98" s="1695"/>
      <c r="C98" s="1696"/>
      <c r="D98" s="1696"/>
      <c r="E98" s="1695"/>
      <c r="F98" s="1695"/>
      <c r="G98" s="1745"/>
      <c r="H98" s="1745"/>
      <c r="I98" s="1745"/>
      <c r="J98" s="1745"/>
      <c r="K98" s="1695"/>
      <c r="L98" s="1745"/>
      <c r="M98" s="1699"/>
      <c r="N98" s="1695"/>
      <c r="O98" s="1695"/>
      <c r="P98" s="1745"/>
      <c r="Q98" s="1745"/>
      <c r="R98" s="1745"/>
      <c r="S98" s="1745"/>
      <c r="T98" s="1745"/>
      <c r="U98" s="1699"/>
      <c r="V98" s="1699"/>
      <c r="W98" s="1695"/>
      <c r="X98" s="1695"/>
      <c r="Y98" s="1695"/>
      <c r="Z98" s="1695"/>
      <c r="AA98" s="1695"/>
      <c r="AB98" s="1699"/>
      <c r="AC98" s="1695"/>
      <c r="AD98" s="1695"/>
      <c r="AE98" s="1695"/>
      <c r="AF98" s="1695"/>
      <c r="AG98" s="1695"/>
      <c r="AH98" s="1699"/>
      <c r="AI98" s="1695"/>
      <c r="AJ98" s="1695"/>
      <c r="AK98" s="1695"/>
      <c r="AL98" s="1695"/>
      <c r="AM98" s="1695"/>
      <c r="AN98" s="1695"/>
      <c r="AO98" s="1699"/>
      <c r="AP98" s="1729"/>
    </row>
    <row r="99" spans="1:45" ht="15" customHeight="1">
      <c r="A99" s="2438"/>
      <c r="B99" s="1695"/>
      <c r="C99" s="1696"/>
      <c r="D99" s="1696"/>
      <c r="E99" s="1695"/>
      <c r="F99" s="1695"/>
      <c r="G99" s="1745"/>
      <c r="H99" s="1745"/>
      <c r="I99" s="1745"/>
      <c r="J99" s="1745"/>
      <c r="K99" s="1695"/>
      <c r="L99" s="1745"/>
      <c r="M99" s="1699"/>
      <c r="N99" s="1695"/>
      <c r="O99" s="1695"/>
      <c r="P99" s="1745"/>
      <c r="Q99" s="1745"/>
      <c r="R99" s="1745"/>
      <c r="S99" s="1745"/>
      <c r="T99" s="1745"/>
      <c r="U99" s="1699"/>
      <c r="V99" s="1699"/>
      <c r="W99" s="1695"/>
      <c r="X99" s="1695"/>
      <c r="Y99" s="1695"/>
      <c r="Z99" s="1695"/>
      <c r="AA99" s="1695"/>
      <c r="AB99" s="1699"/>
      <c r="AC99" s="1695"/>
      <c r="AD99" s="1695"/>
      <c r="AE99" s="1695"/>
      <c r="AF99" s="1695"/>
      <c r="AG99" s="1695"/>
      <c r="AH99" s="1699"/>
      <c r="AI99" s="1695"/>
      <c r="AJ99" s="1695"/>
      <c r="AK99" s="1695"/>
      <c r="AL99" s="1695"/>
      <c r="AM99" s="1695"/>
      <c r="AN99" s="1695"/>
      <c r="AO99" s="1699"/>
      <c r="AP99" s="1729"/>
    </row>
    <row r="100" spans="1:45" ht="15" customHeight="1">
      <c r="A100" s="2438"/>
      <c r="B100" s="1695"/>
      <c r="C100" s="1696"/>
      <c r="D100" s="1696"/>
      <c r="E100" s="1695"/>
      <c r="F100" s="1695"/>
      <c r="G100" s="1745"/>
      <c r="H100" s="1745"/>
      <c r="I100" s="1745"/>
      <c r="J100" s="1745"/>
      <c r="K100" s="1695"/>
      <c r="L100" s="1745"/>
      <c r="M100" s="1699"/>
      <c r="N100" s="1695"/>
      <c r="O100" s="1695"/>
      <c r="P100" s="1745"/>
      <c r="Q100" s="1745"/>
      <c r="R100" s="1745"/>
      <c r="S100" s="1745"/>
      <c r="T100" s="1745"/>
      <c r="U100" s="1699"/>
      <c r="V100" s="1699"/>
      <c r="W100" s="1695"/>
      <c r="X100" s="1695"/>
      <c r="Y100" s="1695"/>
      <c r="Z100" s="1695"/>
      <c r="AA100" s="1695"/>
      <c r="AB100" s="1699"/>
      <c r="AC100" s="1695"/>
      <c r="AD100" s="1695"/>
      <c r="AE100" s="1695"/>
      <c r="AF100" s="1695"/>
      <c r="AG100" s="1695"/>
      <c r="AH100" s="1699"/>
      <c r="AI100" s="1695"/>
      <c r="AJ100" s="1695"/>
      <c r="AK100" s="1695"/>
      <c r="AL100" s="1695"/>
      <c r="AM100" s="1695"/>
      <c r="AN100" s="1695"/>
      <c r="AO100" s="1699"/>
      <c r="AP100" s="1729"/>
    </row>
    <row r="101" spans="1:45" ht="15.75" customHeight="1">
      <c r="A101" s="2438"/>
      <c r="B101" s="1695"/>
      <c r="C101" s="1696"/>
      <c r="D101" s="1696"/>
      <c r="E101" s="1695"/>
      <c r="F101" s="1695"/>
      <c r="G101" s="1745"/>
      <c r="H101" s="1745"/>
      <c r="I101" s="1745"/>
      <c r="J101" s="1745"/>
      <c r="K101" s="1695"/>
      <c r="L101" s="1745"/>
      <c r="M101" s="1699"/>
      <c r="N101" s="1695"/>
      <c r="O101" s="1695"/>
      <c r="P101" s="1745"/>
      <c r="Q101" s="1745"/>
      <c r="R101" s="1745"/>
      <c r="S101" s="1745"/>
      <c r="T101" s="1745"/>
      <c r="U101" s="1699"/>
      <c r="V101" s="1699"/>
      <c r="W101" s="1695"/>
      <c r="X101" s="1695"/>
      <c r="Y101" s="1695"/>
      <c r="Z101" s="1695"/>
      <c r="AA101" s="1695"/>
      <c r="AB101" s="1699"/>
      <c r="AC101" s="1695"/>
      <c r="AD101" s="1695"/>
      <c r="AE101" s="1695"/>
      <c r="AF101" s="1695"/>
      <c r="AG101" s="1695"/>
      <c r="AH101" s="1699"/>
      <c r="AI101" s="1695"/>
      <c r="AJ101" s="1695"/>
      <c r="AK101" s="1695"/>
      <c r="AL101" s="1695"/>
      <c r="AM101" s="1695"/>
      <c r="AN101" s="1695"/>
      <c r="AO101" s="1699"/>
      <c r="AP101" s="1729"/>
    </row>
    <row r="102" spans="1:45" ht="9" customHeight="1">
      <c r="A102" s="2438"/>
      <c r="B102" s="1695"/>
      <c r="C102" s="1696"/>
      <c r="D102" s="1696"/>
      <c r="E102" s="1695"/>
      <c r="F102" s="1695"/>
      <c r="G102" s="1745"/>
      <c r="H102" s="1745"/>
      <c r="I102" s="1745"/>
      <c r="J102" s="1745"/>
      <c r="K102" s="1695"/>
      <c r="L102" s="1745"/>
      <c r="M102" s="1699"/>
      <c r="N102" s="1695"/>
      <c r="O102" s="1695"/>
      <c r="P102" s="1745"/>
      <c r="Q102" s="1745"/>
      <c r="R102" s="1745"/>
      <c r="S102" s="1745"/>
      <c r="T102" s="1745"/>
      <c r="U102" s="1699"/>
      <c r="V102" s="1699"/>
      <c r="W102" s="1695"/>
      <c r="X102" s="1695"/>
      <c r="Y102" s="1695"/>
      <c r="Z102" s="1695"/>
      <c r="AA102" s="1695"/>
      <c r="AB102" s="1699"/>
      <c r="AC102" s="1695"/>
      <c r="AD102" s="1695"/>
      <c r="AE102" s="1695"/>
      <c r="AF102" s="1695"/>
      <c r="AG102" s="1695"/>
      <c r="AH102" s="1699"/>
      <c r="AI102" s="1695"/>
      <c r="AJ102" s="1695"/>
      <c r="AK102" s="1695"/>
      <c r="AL102" s="1695"/>
      <c r="AM102" s="1695"/>
      <c r="AN102" s="1695"/>
      <c r="AO102" s="1699"/>
      <c r="AP102" s="1729"/>
      <c r="AQ102" s="1687" t="s">
        <v>1820</v>
      </c>
      <c r="AR102" s="1687" t="s">
        <v>1821</v>
      </c>
      <c r="AS102" s="1687" t="s">
        <v>1822</v>
      </c>
    </row>
    <row r="103" spans="1:45" ht="15.75" thickBot="1">
      <c r="A103" s="2474"/>
      <c r="B103" s="1695"/>
      <c r="C103" s="1696"/>
      <c r="D103" s="1696"/>
      <c r="E103" s="1695"/>
      <c r="F103" s="1695"/>
      <c r="G103" s="1745"/>
      <c r="H103" s="1745"/>
      <c r="I103" s="1745"/>
      <c r="J103" s="1745"/>
      <c r="K103" s="1695"/>
      <c r="L103" s="1745"/>
      <c r="M103" s="1699"/>
      <c r="N103" s="1695"/>
      <c r="O103" s="1695"/>
      <c r="P103" s="1745"/>
      <c r="Q103" s="1745"/>
      <c r="R103" s="1745"/>
      <c r="S103" s="1745"/>
      <c r="T103" s="1745"/>
      <c r="U103" s="1699"/>
      <c r="V103" s="1699"/>
      <c r="W103" s="1695"/>
      <c r="X103" s="1695"/>
      <c r="Y103" s="1695"/>
      <c r="Z103" s="1695"/>
      <c r="AA103" s="1695"/>
      <c r="AB103" s="1699"/>
      <c r="AC103" s="1695"/>
      <c r="AD103" s="1695"/>
      <c r="AE103" s="1695"/>
      <c r="AF103" s="1695"/>
      <c r="AG103" s="1695"/>
      <c r="AH103" s="1699"/>
      <c r="AI103" s="1695"/>
      <c r="AJ103" s="1695"/>
      <c r="AK103" s="1695"/>
      <c r="AL103" s="1695"/>
      <c r="AM103" s="1695"/>
      <c r="AN103" s="1695"/>
      <c r="AO103" s="1699"/>
      <c r="AP103" s="1729"/>
      <c r="AQ103" s="1687">
        <v>1</v>
      </c>
      <c r="AR103" s="1687">
        <f>AVERAGE(V105,AB105)</f>
        <v>7.5</v>
      </c>
      <c r="AS103" s="1687">
        <f>SUM(Y105,AA105)/1</f>
        <v>935</v>
      </c>
    </row>
    <row r="104" spans="1:45" ht="19.5" thickBot="1">
      <c r="A104" s="1746"/>
      <c r="B104" s="1814"/>
      <c r="C104" s="1815"/>
      <c r="D104" s="1815"/>
      <c r="E104" s="1814"/>
      <c r="F104" s="1816"/>
      <c r="G104" s="1817"/>
      <c r="H104" s="1817"/>
      <c r="I104" s="1817"/>
      <c r="J104" s="1817"/>
      <c r="K104" s="1818"/>
      <c r="L104" s="1817"/>
      <c r="M104" s="1819"/>
      <c r="N104" s="1816"/>
      <c r="O104" s="1816"/>
      <c r="P104" s="1820"/>
      <c r="Q104" s="1817"/>
      <c r="R104" s="1817"/>
      <c r="S104" s="1817"/>
      <c r="T104" s="1817"/>
      <c r="U104" s="1819"/>
      <c r="V104" s="1819"/>
      <c r="W104" s="1821"/>
      <c r="X104" s="1821"/>
      <c r="Y104" s="1821"/>
      <c r="Z104" s="1821"/>
      <c r="AA104" s="1821"/>
      <c r="AB104" s="1819"/>
      <c r="AC104" s="1821"/>
      <c r="AD104" s="1821"/>
      <c r="AE104" s="1821"/>
      <c r="AF104" s="1821"/>
      <c r="AG104" s="1821"/>
      <c r="AH104" s="1819"/>
      <c r="AI104" s="1821"/>
      <c r="AJ104" s="1821"/>
      <c r="AK104" s="1821"/>
      <c r="AL104" s="1821"/>
      <c r="AM104" s="1821"/>
      <c r="AN104" s="1816"/>
      <c r="AO104" s="1819"/>
      <c r="AP104" s="1822"/>
      <c r="AQ104" s="1687">
        <v>4</v>
      </c>
      <c r="AR104" s="1687">
        <f>AVERAGE(V106,AB106)/4</f>
        <v>5.5</v>
      </c>
      <c r="AS104" s="1687">
        <f>SUM(Y106,AA106)/4</f>
        <v>756.08749999999998</v>
      </c>
    </row>
    <row r="105" spans="1:45">
      <c r="A105" s="2472" t="s">
        <v>174</v>
      </c>
      <c r="B105" s="1823" t="s">
        <v>1493</v>
      </c>
      <c r="C105" s="1824" t="s">
        <v>1823</v>
      </c>
      <c r="D105" s="1825" t="s">
        <v>1812</v>
      </c>
      <c r="E105" s="1826">
        <f>AR103</f>
        <v>7.5</v>
      </c>
      <c r="F105" s="1827"/>
      <c r="G105" s="1828">
        <f>AVERAGE(W105,AC105)*BS7</f>
        <v>68.181372070804599</v>
      </c>
      <c r="H105" s="1736">
        <f>G105*E105</f>
        <v>511.36029053103448</v>
      </c>
      <c r="I105" s="1828">
        <f>AS103</f>
        <v>935</v>
      </c>
      <c r="J105" s="1829"/>
      <c r="K105" s="2430">
        <f>AVERAGE(0.2,0.35)</f>
        <v>0.27500000000000002</v>
      </c>
      <c r="L105" s="1830">
        <f>((E105*G105)+I105)*(1+K105)</f>
        <v>1844.1093704270688</v>
      </c>
      <c r="M105" s="1831" t="s">
        <v>2012</v>
      </c>
      <c r="N105" s="1832"/>
      <c r="O105" s="1833">
        <f>Q105/P105</f>
        <v>14.685714285714285</v>
      </c>
      <c r="P105" s="1834">
        <v>105</v>
      </c>
      <c r="Q105" s="1835">
        <v>1542</v>
      </c>
      <c r="R105" s="1835"/>
      <c r="S105" s="1835"/>
      <c r="T105" s="1836">
        <f>Q105</f>
        <v>1542</v>
      </c>
      <c r="U105" s="1824" t="s">
        <v>1493</v>
      </c>
      <c r="V105" s="1837">
        <v>5</v>
      </c>
      <c r="W105" s="1832">
        <v>112</v>
      </c>
      <c r="X105" s="1832">
        <v>560</v>
      </c>
      <c r="Y105" s="1832">
        <v>175</v>
      </c>
      <c r="Z105" s="1832"/>
      <c r="AA105" s="1838">
        <v>760</v>
      </c>
      <c r="AB105" s="1839">
        <v>10</v>
      </c>
      <c r="AC105" s="1840">
        <v>85</v>
      </c>
      <c r="AD105" s="1840">
        <v>850</v>
      </c>
      <c r="AE105" s="1832" t="s">
        <v>40</v>
      </c>
      <c r="AF105" s="1832" t="s">
        <v>40</v>
      </c>
      <c r="AG105" s="1838" t="s">
        <v>40</v>
      </c>
      <c r="AH105" s="1699"/>
      <c r="AI105" s="1695"/>
      <c r="AJ105" s="1695"/>
      <c r="AK105" s="1695"/>
      <c r="AL105" s="1695"/>
      <c r="AM105" s="1695"/>
      <c r="AN105" s="1695"/>
      <c r="AO105" s="1699"/>
      <c r="AP105" s="1729"/>
      <c r="AQ105" s="1687">
        <v>20</v>
      </c>
      <c r="AR105" s="1687">
        <f>AVERAGE(V107,AB107)/20</f>
        <v>4</v>
      </c>
      <c r="AS105" s="1687">
        <f>SUM(Y107,AA107)/20</f>
        <v>674.98450000000003</v>
      </c>
    </row>
    <row r="106" spans="1:45">
      <c r="A106" s="2433"/>
      <c r="B106" s="1739" t="s">
        <v>1494</v>
      </c>
      <c r="C106" s="1733" t="s">
        <v>1823</v>
      </c>
      <c r="D106" s="1787" t="s">
        <v>1812</v>
      </c>
      <c r="E106" s="1748">
        <f t="shared" ref="E106:E107" si="14">AR104</f>
        <v>5.5</v>
      </c>
      <c r="F106" s="1841"/>
      <c r="G106" s="1736">
        <f>AVERAGE(W106,AC106)*BS7</f>
        <v>67.143077064650214</v>
      </c>
      <c r="H106" s="1736">
        <f>G106*E106</f>
        <v>369.28692385557616</v>
      </c>
      <c r="I106" s="1736">
        <f t="shared" ref="I106:I107" si="15">AS104</f>
        <v>756.08749999999998</v>
      </c>
      <c r="J106" s="1842"/>
      <c r="K106" s="2428"/>
      <c r="L106" s="1795">
        <f>((E106*G106)+I106)*(1+K105)</f>
        <v>1434.8523904158596</v>
      </c>
      <c r="M106" s="1740"/>
      <c r="N106" s="1741"/>
      <c r="O106" s="1741"/>
      <c r="P106" s="1843"/>
      <c r="Q106" s="1843"/>
      <c r="R106" s="1843"/>
      <c r="S106" s="1843"/>
      <c r="T106" s="1799"/>
      <c r="U106" s="1733" t="s">
        <v>1494</v>
      </c>
      <c r="V106" s="1743">
        <v>20</v>
      </c>
      <c r="W106" s="1782">
        <v>112</v>
      </c>
      <c r="X106" s="1782">
        <v>2240</v>
      </c>
      <c r="Y106" s="1782">
        <v>700</v>
      </c>
      <c r="Z106" s="1782"/>
      <c r="AA106" s="1744">
        <v>2324.35</v>
      </c>
      <c r="AB106" s="1757">
        <v>24</v>
      </c>
      <c r="AC106" s="1735">
        <v>82</v>
      </c>
      <c r="AD106" s="1735">
        <v>2695</v>
      </c>
      <c r="AE106" s="1782" t="s">
        <v>40</v>
      </c>
      <c r="AF106" s="1782" t="s">
        <v>40</v>
      </c>
      <c r="AG106" s="1744" t="s">
        <v>40</v>
      </c>
      <c r="AH106" s="1699"/>
      <c r="AI106" s="1695"/>
      <c r="AJ106" s="1695"/>
      <c r="AK106" s="1695"/>
      <c r="AL106" s="1695"/>
      <c r="AM106" s="1695"/>
      <c r="AN106" s="1695"/>
      <c r="AO106" s="1699"/>
      <c r="AP106" s="1729"/>
    </row>
    <row r="107" spans="1:45">
      <c r="A107" s="2433"/>
      <c r="B107" s="1739" t="s">
        <v>1495</v>
      </c>
      <c r="C107" s="1733" t="s">
        <v>1823</v>
      </c>
      <c r="D107" s="1787" t="s">
        <v>1812</v>
      </c>
      <c r="E107" s="1748">
        <f t="shared" si="14"/>
        <v>4</v>
      </c>
      <c r="F107" s="1841"/>
      <c r="G107" s="1736">
        <f>AVERAGE(W107,AC107)*BS7</f>
        <v>67.143077064650214</v>
      </c>
      <c r="H107" s="1736">
        <f>G107*E107</f>
        <v>268.57230825860086</v>
      </c>
      <c r="I107" s="1736">
        <f t="shared" si="15"/>
        <v>674.98450000000003</v>
      </c>
      <c r="J107" s="1842"/>
      <c r="K107" s="2429"/>
      <c r="L107" s="1795">
        <f>((E107*G107)+I107)*(1+K105)</f>
        <v>1203.0349305297161</v>
      </c>
      <c r="M107" s="1699"/>
      <c r="N107" s="1695"/>
      <c r="O107" s="1695"/>
      <c r="P107" s="1745"/>
      <c r="Q107" s="1745"/>
      <c r="R107" s="1745"/>
      <c r="S107" s="1745"/>
      <c r="T107" s="1805"/>
      <c r="U107" s="1733" t="s">
        <v>1495</v>
      </c>
      <c r="V107" s="1743">
        <v>80</v>
      </c>
      <c r="W107" s="1782">
        <v>112</v>
      </c>
      <c r="X107" s="1782">
        <v>8960</v>
      </c>
      <c r="Y107" s="1782">
        <v>3500</v>
      </c>
      <c r="Z107" s="1782"/>
      <c r="AA107" s="1744">
        <v>9999.69</v>
      </c>
      <c r="AB107" s="1757">
        <v>80</v>
      </c>
      <c r="AC107" s="1735">
        <v>82</v>
      </c>
      <c r="AD107" s="1735">
        <v>10220</v>
      </c>
      <c r="AE107" s="1782" t="s">
        <v>40</v>
      </c>
      <c r="AF107" s="1782" t="s">
        <v>40</v>
      </c>
      <c r="AG107" s="1744" t="s">
        <v>40</v>
      </c>
      <c r="AH107" s="1699"/>
      <c r="AI107" s="1695"/>
      <c r="AJ107" s="1695"/>
      <c r="AK107" s="1695"/>
      <c r="AL107" s="1695"/>
      <c r="AM107" s="1695"/>
      <c r="AN107" s="1695"/>
      <c r="AO107" s="1699"/>
      <c r="AP107" s="1729"/>
    </row>
    <row r="108" spans="1:45">
      <c r="A108" s="2433"/>
      <c r="B108" s="1695"/>
      <c r="C108" s="1696"/>
      <c r="D108" s="1696"/>
      <c r="E108" s="1695"/>
      <c r="F108" s="1695"/>
      <c r="G108" s="1745"/>
      <c r="H108" s="1745"/>
      <c r="I108" s="1745"/>
      <c r="J108" s="1745"/>
      <c r="K108" s="1695"/>
      <c r="L108" s="1745"/>
      <c r="M108" s="1699"/>
      <c r="N108" s="1695"/>
      <c r="O108" s="1695"/>
      <c r="P108" s="1745"/>
      <c r="Q108" s="1745"/>
      <c r="R108" s="1745"/>
      <c r="S108" s="1745"/>
      <c r="T108" s="1805"/>
      <c r="U108" s="1699"/>
      <c r="V108" s="1699"/>
      <c r="W108" s="1695"/>
      <c r="X108" s="1695"/>
      <c r="Y108" s="1695"/>
      <c r="Z108" s="1695"/>
      <c r="AA108" s="1695"/>
      <c r="AB108" s="1699"/>
      <c r="AC108" s="1695"/>
      <c r="AD108" s="1695"/>
      <c r="AE108" s="1695"/>
      <c r="AF108" s="1695"/>
      <c r="AG108" s="1695"/>
      <c r="AH108" s="1699"/>
      <c r="AI108" s="1695"/>
      <c r="AJ108" s="1695"/>
      <c r="AK108" s="1695"/>
      <c r="AL108" s="1695"/>
      <c r="AM108" s="1695"/>
      <c r="AN108" s="1695"/>
      <c r="AO108" s="1699"/>
      <c r="AP108" s="1729"/>
    </row>
    <row r="109" spans="1:45">
      <c r="A109" s="2433"/>
      <c r="B109" s="1695"/>
      <c r="C109" s="1696"/>
      <c r="D109" s="1696"/>
      <c r="E109" s="1695"/>
      <c r="F109" s="1695"/>
      <c r="G109" s="1745"/>
      <c r="H109" s="1745"/>
      <c r="I109" s="1745"/>
      <c r="J109" s="1745"/>
      <c r="K109" s="1695"/>
      <c r="L109" s="1745"/>
      <c r="M109" s="1699"/>
      <c r="N109" s="1695"/>
      <c r="O109" s="1695"/>
      <c r="P109" s="1745"/>
      <c r="Q109" s="1745"/>
      <c r="R109" s="1745"/>
      <c r="S109" s="1745"/>
      <c r="T109" s="1745"/>
      <c r="U109" s="1699"/>
      <c r="V109" s="1699"/>
      <c r="W109" s="1695"/>
      <c r="X109" s="1695"/>
      <c r="Y109" s="1695"/>
      <c r="Z109" s="1695"/>
      <c r="AA109" s="1695"/>
      <c r="AB109" s="1699"/>
      <c r="AC109" s="1695"/>
      <c r="AD109" s="1695"/>
      <c r="AE109" s="1695"/>
      <c r="AF109" s="1695"/>
      <c r="AG109" s="1695"/>
      <c r="AH109" s="1699"/>
      <c r="AI109" s="1695"/>
      <c r="AJ109" s="1695"/>
      <c r="AK109" s="1695"/>
      <c r="AL109" s="1695"/>
      <c r="AM109" s="1695"/>
      <c r="AN109" s="1695"/>
      <c r="AO109" s="1699"/>
      <c r="AP109" s="1729"/>
    </row>
    <row r="110" spans="1:45">
      <c r="A110" s="2433"/>
      <c r="B110" s="1695"/>
      <c r="C110" s="1696"/>
      <c r="D110" s="1696"/>
      <c r="E110" s="1695"/>
      <c r="F110" s="1695"/>
      <c r="G110" s="1745"/>
      <c r="H110" s="1745"/>
      <c r="I110" s="1745"/>
      <c r="J110" s="1745"/>
      <c r="K110" s="1695"/>
      <c r="L110" s="1745"/>
      <c r="M110" s="1699"/>
      <c r="N110" s="1695"/>
      <c r="O110" s="1695"/>
      <c r="P110" s="1745"/>
      <c r="Q110" s="1745"/>
      <c r="R110" s="1745"/>
      <c r="S110" s="1745"/>
      <c r="T110" s="1745"/>
      <c r="U110" s="1699"/>
      <c r="V110" s="1699"/>
      <c r="W110" s="1695"/>
      <c r="X110" s="1695"/>
      <c r="Y110" s="1695"/>
      <c r="Z110" s="1695"/>
      <c r="AA110" s="1695"/>
      <c r="AB110" s="1699"/>
      <c r="AC110" s="1695"/>
      <c r="AD110" s="1695"/>
      <c r="AE110" s="1695"/>
      <c r="AF110" s="1695"/>
      <c r="AG110" s="1695"/>
      <c r="AH110" s="1699"/>
      <c r="AI110" s="1695"/>
      <c r="AJ110" s="1695"/>
      <c r="AK110" s="1695"/>
      <c r="AL110" s="1695"/>
      <c r="AM110" s="1695"/>
      <c r="AN110" s="1695"/>
      <c r="AO110" s="1699"/>
      <c r="AP110" s="1729"/>
    </row>
    <row r="111" spans="1:45">
      <c r="A111" s="2433"/>
      <c r="B111" s="1695"/>
      <c r="C111" s="1696"/>
      <c r="D111" s="1696"/>
      <c r="E111" s="1695"/>
      <c r="F111" s="1695"/>
      <c r="G111" s="1745"/>
      <c r="H111" s="1745"/>
      <c r="I111" s="1745"/>
      <c r="J111" s="1745"/>
      <c r="K111" s="1695"/>
      <c r="L111" s="1745"/>
      <c r="M111" s="1699"/>
      <c r="N111" s="1695"/>
      <c r="O111" s="1695"/>
      <c r="P111" s="1745"/>
      <c r="Q111" s="1745"/>
      <c r="R111" s="1745"/>
      <c r="S111" s="1745"/>
      <c r="T111" s="1745"/>
      <c r="U111" s="1699"/>
      <c r="V111" s="1699"/>
      <c r="W111" s="1695"/>
      <c r="X111" s="1695"/>
      <c r="Y111" s="1695"/>
      <c r="Z111" s="1695"/>
      <c r="AA111" s="1695"/>
      <c r="AB111" s="1699"/>
      <c r="AC111" s="1695"/>
      <c r="AD111" s="1695"/>
      <c r="AE111" s="1695"/>
      <c r="AF111" s="1695"/>
      <c r="AG111" s="1695"/>
      <c r="AH111" s="1699"/>
      <c r="AI111" s="1695"/>
      <c r="AJ111" s="1695"/>
      <c r="AK111" s="1695"/>
      <c r="AL111" s="1695"/>
      <c r="AM111" s="1695"/>
      <c r="AN111" s="1695"/>
      <c r="AO111" s="1699"/>
      <c r="AP111" s="1729"/>
    </row>
    <row r="112" spans="1:45">
      <c r="A112" s="2433"/>
      <c r="B112" s="1695"/>
      <c r="C112" s="1696"/>
      <c r="D112" s="1696"/>
      <c r="E112" s="1695"/>
      <c r="F112" s="1695"/>
      <c r="G112" s="1745"/>
      <c r="H112" s="1745"/>
      <c r="I112" s="1745"/>
      <c r="J112" s="1745"/>
      <c r="K112" s="1695"/>
      <c r="L112" s="1745"/>
      <c r="M112" s="1699"/>
      <c r="N112" s="1695"/>
      <c r="O112" s="1695"/>
      <c r="P112" s="1745"/>
      <c r="Q112" s="1745"/>
      <c r="R112" s="1745"/>
      <c r="S112" s="1745"/>
      <c r="T112" s="1745"/>
      <c r="U112" s="1699"/>
      <c r="V112" s="1699"/>
      <c r="W112" s="1695"/>
      <c r="X112" s="1695"/>
      <c r="Y112" s="1695"/>
      <c r="Z112" s="1695"/>
      <c r="AA112" s="1695"/>
      <c r="AB112" s="1699"/>
      <c r="AC112" s="1695"/>
      <c r="AD112" s="1695"/>
      <c r="AE112" s="1695"/>
      <c r="AF112" s="1695"/>
      <c r="AG112" s="1695"/>
      <c r="AH112" s="1699"/>
      <c r="AI112" s="1695"/>
      <c r="AJ112" s="1695"/>
      <c r="AK112" s="1695"/>
      <c r="AL112" s="1695"/>
      <c r="AM112" s="1695"/>
      <c r="AN112" s="1695"/>
      <c r="AO112" s="1699"/>
      <c r="AP112" s="1729"/>
    </row>
    <row r="113" spans="1:58">
      <c r="A113" s="2433"/>
      <c r="B113" s="1695"/>
      <c r="C113" s="1696"/>
      <c r="D113" s="1696"/>
      <c r="E113" s="1695"/>
      <c r="F113" s="1695"/>
      <c r="G113" s="1745"/>
      <c r="H113" s="1745"/>
      <c r="I113" s="1745"/>
      <c r="J113" s="1745"/>
      <c r="K113" s="1695"/>
      <c r="L113" s="1745"/>
      <c r="M113" s="1699"/>
      <c r="N113" s="1695"/>
      <c r="O113" s="1695"/>
      <c r="P113" s="1745"/>
      <c r="Q113" s="1745"/>
      <c r="R113" s="1745"/>
      <c r="S113" s="1745"/>
      <c r="T113" s="1745"/>
      <c r="U113" s="1699"/>
      <c r="V113" s="1699"/>
      <c r="W113" s="1695"/>
      <c r="X113" s="1695"/>
      <c r="Y113" s="1695"/>
      <c r="Z113" s="1695"/>
      <c r="AA113" s="1695"/>
      <c r="AB113" s="1699"/>
      <c r="AC113" s="1695"/>
      <c r="AD113" s="1695"/>
      <c r="AE113" s="1695"/>
      <c r="AF113" s="1695"/>
      <c r="AG113" s="1695"/>
      <c r="AH113" s="1699"/>
      <c r="AI113" s="1695"/>
      <c r="AJ113" s="1695"/>
      <c r="AK113" s="1695"/>
      <c r="AL113" s="1695"/>
      <c r="AM113" s="1695"/>
      <c r="AN113" s="1695"/>
      <c r="AO113" s="1699"/>
      <c r="AP113" s="1729"/>
    </row>
    <row r="114" spans="1:58">
      <c r="A114" s="2433"/>
      <c r="B114" s="1695"/>
      <c r="C114" s="1696"/>
      <c r="D114" s="1696"/>
      <c r="E114" s="1695"/>
      <c r="F114" s="1695"/>
      <c r="G114" s="1745"/>
      <c r="H114" s="1745"/>
      <c r="I114" s="1745"/>
      <c r="J114" s="1745"/>
      <c r="K114" s="1695"/>
      <c r="L114" s="1745"/>
      <c r="M114" s="1699"/>
      <c r="N114" s="1695"/>
      <c r="O114" s="1695"/>
      <c r="P114" s="1745"/>
      <c r="Q114" s="1745"/>
      <c r="R114" s="1745"/>
      <c r="S114" s="1745"/>
      <c r="T114" s="1745"/>
      <c r="U114" s="1699"/>
      <c r="V114" s="1699"/>
      <c r="W114" s="1695"/>
      <c r="X114" s="1695"/>
      <c r="Y114" s="1695"/>
      <c r="Z114" s="1695"/>
      <c r="AA114" s="1695"/>
      <c r="AB114" s="1699"/>
      <c r="AC114" s="1695"/>
      <c r="AD114" s="1695"/>
      <c r="AE114" s="1695"/>
      <c r="AF114" s="1695"/>
      <c r="AG114" s="1695"/>
      <c r="AH114" s="1699"/>
      <c r="AI114" s="1695"/>
      <c r="AJ114" s="1695"/>
      <c r="AK114" s="1695"/>
      <c r="AL114" s="1695"/>
      <c r="AM114" s="1695"/>
      <c r="AN114" s="1695"/>
      <c r="AO114" s="1699"/>
      <c r="AP114" s="1729"/>
    </row>
    <row r="115" spans="1:58">
      <c r="A115" s="2433"/>
      <c r="B115" s="1695"/>
      <c r="C115" s="1696"/>
      <c r="D115" s="1696"/>
      <c r="E115" s="1695"/>
      <c r="F115" s="1695"/>
      <c r="G115" s="1745"/>
      <c r="H115" s="1745"/>
      <c r="I115" s="1745"/>
      <c r="J115" s="1745"/>
      <c r="K115" s="1695"/>
      <c r="L115" s="1745"/>
      <c r="M115" s="1699"/>
      <c r="N115" s="1695"/>
      <c r="O115" s="1695"/>
      <c r="P115" s="1745"/>
      <c r="Q115" s="1745"/>
      <c r="R115" s="1745"/>
      <c r="S115" s="1745"/>
      <c r="T115" s="1745"/>
      <c r="U115" s="1699"/>
      <c r="V115" s="1699"/>
      <c r="W115" s="1695"/>
      <c r="X115" s="1695"/>
      <c r="Y115" s="1695"/>
      <c r="Z115" s="1695"/>
      <c r="AA115" s="1695"/>
      <c r="AB115" s="1699"/>
      <c r="AC115" s="1695"/>
      <c r="AD115" s="1695"/>
      <c r="AE115" s="1695"/>
      <c r="AF115" s="1695"/>
      <c r="AG115" s="1695"/>
      <c r="AH115" s="1699"/>
      <c r="AI115" s="1695"/>
      <c r="AJ115" s="1695"/>
      <c r="AK115" s="1695"/>
      <c r="AL115" s="1695"/>
      <c r="AM115" s="1695"/>
      <c r="AN115" s="1695"/>
      <c r="AO115" s="1699"/>
      <c r="AP115" s="1729"/>
    </row>
    <row r="116" spans="1:58">
      <c r="A116" s="2433"/>
      <c r="B116" s="1695"/>
      <c r="C116" s="1696"/>
      <c r="D116" s="1696"/>
      <c r="E116" s="1695"/>
      <c r="F116" s="1695"/>
      <c r="G116" s="1745"/>
      <c r="H116" s="1745"/>
      <c r="I116" s="1745"/>
      <c r="J116" s="1745"/>
      <c r="K116" s="1695"/>
      <c r="L116" s="1745"/>
      <c r="M116" s="1699"/>
      <c r="N116" s="1695"/>
      <c r="O116" s="1695"/>
      <c r="P116" s="1745"/>
      <c r="Q116" s="1745"/>
      <c r="R116" s="1745"/>
      <c r="S116" s="1745"/>
      <c r="T116" s="1745"/>
      <c r="U116" s="1699"/>
      <c r="V116" s="1699"/>
      <c r="W116" s="1695"/>
      <c r="X116" s="1695"/>
      <c r="Y116" s="1695"/>
      <c r="Z116" s="1695"/>
      <c r="AA116" s="1695"/>
      <c r="AB116" s="1699"/>
      <c r="AC116" s="1695"/>
      <c r="AD116" s="1695"/>
      <c r="AE116" s="1695"/>
      <c r="AF116" s="1695"/>
      <c r="AG116" s="1695"/>
      <c r="AH116" s="1699"/>
      <c r="AI116" s="1695"/>
      <c r="AJ116" s="1695"/>
      <c r="AK116" s="1695"/>
      <c r="AL116" s="1695"/>
      <c r="AM116" s="1695"/>
      <c r="AN116" s="1695"/>
      <c r="AO116" s="1699"/>
      <c r="AP116" s="1729"/>
    </row>
    <row r="117" spans="1:58">
      <c r="A117" s="2433"/>
      <c r="B117" s="1695"/>
      <c r="C117" s="1696"/>
      <c r="D117" s="1696"/>
      <c r="E117" s="1695"/>
      <c r="F117" s="1695"/>
      <c r="G117" s="1745"/>
      <c r="H117" s="1745"/>
      <c r="I117" s="1745"/>
      <c r="J117" s="1745"/>
      <c r="K117" s="1695"/>
      <c r="L117" s="1745"/>
      <c r="M117" s="1699"/>
      <c r="N117" s="1695"/>
      <c r="O117" s="1695"/>
      <c r="P117" s="1745"/>
      <c r="Q117" s="1745"/>
      <c r="R117" s="1745"/>
      <c r="S117" s="1745"/>
      <c r="T117" s="1745"/>
      <c r="U117" s="1699"/>
      <c r="V117" s="1699"/>
      <c r="W117" s="1695"/>
      <c r="X117" s="1695"/>
      <c r="Y117" s="1695"/>
      <c r="Z117" s="1695"/>
      <c r="AA117" s="1695"/>
      <c r="AB117" s="1699"/>
      <c r="AC117" s="1695"/>
      <c r="AD117" s="1695"/>
      <c r="AE117" s="1695"/>
      <c r="AF117" s="1695"/>
      <c r="AG117" s="1695"/>
      <c r="AH117" s="1699"/>
      <c r="AI117" s="1695"/>
      <c r="AJ117" s="1695"/>
      <c r="AK117" s="1695"/>
      <c r="AL117" s="1695"/>
      <c r="AM117" s="1695"/>
      <c r="AN117" s="1695"/>
      <c r="AO117" s="1699"/>
      <c r="AP117" s="1729"/>
    </row>
    <row r="118" spans="1:58">
      <c r="A118" s="2433"/>
      <c r="B118" s="1695"/>
      <c r="C118" s="1696"/>
      <c r="D118" s="1696"/>
      <c r="E118" s="1695"/>
      <c r="F118" s="1695"/>
      <c r="G118" s="1745"/>
      <c r="H118" s="1745"/>
      <c r="I118" s="1745"/>
      <c r="J118" s="1745"/>
      <c r="K118" s="1695"/>
      <c r="L118" s="1745"/>
      <c r="M118" s="1699"/>
      <c r="N118" s="1695"/>
      <c r="O118" s="1695"/>
      <c r="P118" s="1745"/>
      <c r="Q118" s="1745"/>
      <c r="R118" s="1745"/>
      <c r="S118" s="1745"/>
      <c r="T118" s="1745"/>
      <c r="U118" s="1699"/>
      <c r="V118" s="1699"/>
      <c r="W118" s="1695"/>
      <c r="X118" s="1695"/>
      <c r="Y118" s="1695"/>
      <c r="Z118" s="1695"/>
      <c r="AA118" s="1695"/>
      <c r="AB118" s="1699"/>
      <c r="AC118" s="1695"/>
      <c r="AD118" s="1695"/>
      <c r="AE118" s="1695"/>
      <c r="AF118" s="1695"/>
      <c r="AG118" s="1695"/>
      <c r="AH118" s="1699"/>
      <c r="AI118" s="1695"/>
      <c r="AJ118" s="1695"/>
      <c r="AK118" s="1695"/>
      <c r="AL118" s="1695"/>
      <c r="AM118" s="1695"/>
      <c r="AN118" s="1695"/>
      <c r="AO118" s="1699"/>
      <c r="AP118" s="1729"/>
    </row>
    <row r="119" spans="1:58">
      <c r="A119" s="2433"/>
      <c r="B119" s="1695"/>
      <c r="C119" s="1696"/>
      <c r="D119" s="1696"/>
      <c r="E119" s="1695"/>
      <c r="F119" s="1695"/>
      <c r="G119" s="1745"/>
      <c r="H119" s="1745"/>
      <c r="I119" s="1745"/>
      <c r="J119" s="1745"/>
      <c r="K119" s="1695"/>
      <c r="L119" s="1745"/>
      <c r="M119" s="1699"/>
      <c r="N119" s="1695"/>
      <c r="O119" s="1695"/>
      <c r="P119" s="1745"/>
      <c r="Q119" s="1745"/>
      <c r="R119" s="1745"/>
      <c r="S119" s="1745"/>
      <c r="T119" s="1745"/>
      <c r="U119" s="1699"/>
      <c r="V119" s="1699"/>
      <c r="W119" s="1695"/>
      <c r="X119" s="1695"/>
      <c r="Y119" s="1695"/>
      <c r="Z119" s="1695"/>
      <c r="AA119" s="1695"/>
      <c r="AB119" s="1699"/>
      <c r="AC119" s="1695"/>
      <c r="AD119" s="1695"/>
      <c r="AE119" s="1695"/>
      <c r="AF119" s="1695"/>
      <c r="AG119" s="1695"/>
      <c r="AH119" s="1699"/>
      <c r="AI119" s="1695"/>
      <c r="AJ119" s="1695"/>
      <c r="AK119" s="1695"/>
      <c r="AL119" s="1695"/>
      <c r="AM119" s="1695"/>
      <c r="AN119" s="1695"/>
      <c r="AO119" s="1699"/>
      <c r="AP119" s="1729"/>
    </row>
    <row r="120" spans="1:58">
      <c r="A120" s="2433"/>
      <c r="B120" s="1695"/>
      <c r="C120" s="1696"/>
      <c r="D120" s="1696"/>
      <c r="E120" s="1695"/>
      <c r="F120" s="1695"/>
      <c r="G120" s="1745"/>
      <c r="H120" s="1745"/>
      <c r="I120" s="1745"/>
      <c r="J120" s="1745"/>
      <c r="K120" s="1695"/>
      <c r="L120" s="1745"/>
      <c r="M120" s="1699"/>
      <c r="N120" s="1695"/>
      <c r="O120" s="1695"/>
      <c r="P120" s="1745"/>
      <c r="Q120" s="1745"/>
      <c r="R120" s="1745"/>
      <c r="S120" s="1745"/>
      <c r="T120" s="1745"/>
      <c r="U120" s="1699"/>
      <c r="V120" s="1699"/>
      <c r="W120" s="1695"/>
      <c r="X120" s="1695"/>
      <c r="Y120" s="1695"/>
      <c r="Z120" s="1695"/>
      <c r="AA120" s="1695"/>
      <c r="AB120" s="1699"/>
      <c r="AC120" s="1695"/>
      <c r="AD120" s="1695"/>
      <c r="AE120" s="1695"/>
      <c r="AF120" s="1695"/>
      <c r="AG120" s="1695"/>
      <c r="AH120" s="1699"/>
      <c r="AI120" s="1695"/>
      <c r="AJ120" s="1695"/>
      <c r="AK120" s="1695"/>
      <c r="AL120" s="1695"/>
      <c r="AM120" s="1695"/>
      <c r="AN120" s="1695"/>
      <c r="AO120" s="1699"/>
      <c r="AP120" s="1729"/>
    </row>
    <row r="121" spans="1:58">
      <c r="A121" s="2433"/>
      <c r="B121" s="1695"/>
      <c r="C121" s="1696"/>
      <c r="D121" s="1696"/>
      <c r="E121" s="1695"/>
      <c r="F121" s="1695"/>
      <c r="G121" s="1745"/>
      <c r="H121" s="1745"/>
      <c r="I121" s="1745"/>
      <c r="J121" s="1745"/>
      <c r="K121" s="1695"/>
      <c r="L121" s="1745"/>
      <c r="M121" s="1699"/>
      <c r="N121" s="1695"/>
      <c r="O121" s="1695"/>
      <c r="P121" s="1745"/>
      <c r="Q121" s="1745"/>
      <c r="R121" s="1745"/>
      <c r="S121" s="1745"/>
      <c r="T121" s="1745"/>
      <c r="U121" s="1699"/>
      <c r="V121" s="1699"/>
      <c r="W121" s="1695"/>
      <c r="X121" s="1695"/>
      <c r="Y121" s="1695"/>
      <c r="Z121" s="1695"/>
      <c r="AA121" s="1695"/>
      <c r="AB121" s="1699"/>
      <c r="AC121" s="1695"/>
      <c r="AD121" s="1695"/>
      <c r="AE121" s="1695"/>
      <c r="AF121" s="1695"/>
      <c r="AG121" s="1695"/>
      <c r="AH121" s="1699"/>
      <c r="AI121" s="1695"/>
      <c r="AJ121" s="1695"/>
      <c r="AK121" s="1695"/>
      <c r="AL121" s="1695"/>
      <c r="AM121" s="1695"/>
      <c r="AN121" s="1695"/>
      <c r="AO121" s="1699"/>
      <c r="AP121" s="1729"/>
    </row>
    <row r="122" spans="1:58">
      <c r="A122" s="2433"/>
      <c r="B122" s="1695"/>
      <c r="C122" s="1696"/>
      <c r="D122" s="1696"/>
      <c r="E122" s="1695"/>
      <c r="F122" s="1695"/>
      <c r="G122" s="1745"/>
      <c r="H122" s="1745"/>
      <c r="I122" s="1745"/>
      <c r="J122" s="1745"/>
      <c r="K122" s="1695"/>
      <c r="L122" s="1745"/>
      <c r="M122" s="1699"/>
      <c r="N122" s="1695"/>
      <c r="O122" s="1695"/>
      <c r="P122" s="1745"/>
      <c r="Q122" s="1745"/>
      <c r="R122" s="1745"/>
      <c r="S122" s="1745"/>
      <c r="T122" s="1745"/>
      <c r="U122" s="1699"/>
      <c r="V122" s="1699"/>
      <c r="W122" s="1695"/>
      <c r="X122" s="1695"/>
      <c r="Y122" s="1695"/>
      <c r="Z122" s="1695"/>
      <c r="AA122" s="1695"/>
      <c r="AB122" s="1699"/>
      <c r="AC122" s="1695"/>
      <c r="AD122" s="1695"/>
      <c r="AE122" s="1695"/>
      <c r="AF122" s="1695"/>
      <c r="AG122" s="1695"/>
      <c r="AH122" s="1699"/>
      <c r="AI122" s="1695"/>
      <c r="AJ122" s="1695"/>
      <c r="AK122" s="1695"/>
      <c r="AL122" s="1695"/>
      <c r="AM122" s="1695"/>
      <c r="AN122" s="1695"/>
      <c r="AO122" s="1699"/>
      <c r="AP122" s="1729"/>
    </row>
    <row r="123" spans="1:58">
      <c r="A123" s="2433"/>
      <c r="B123" s="1695"/>
      <c r="C123" s="1696"/>
      <c r="D123" s="1696"/>
      <c r="E123" s="1695"/>
      <c r="F123" s="1695"/>
      <c r="G123" s="1745"/>
      <c r="H123" s="1745"/>
      <c r="I123" s="1745"/>
      <c r="J123" s="1745"/>
      <c r="K123" s="1695"/>
      <c r="L123" s="1745"/>
      <c r="M123" s="1699"/>
      <c r="N123" s="1695"/>
      <c r="O123" s="1695"/>
      <c r="P123" s="1745"/>
      <c r="Q123" s="1745"/>
      <c r="R123" s="1745"/>
      <c r="S123" s="1745"/>
      <c r="T123" s="1745"/>
      <c r="U123" s="1699"/>
      <c r="V123" s="1699"/>
      <c r="W123" s="1695"/>
      <c r="X123" s="1695"/>
      <c r="Y123" s="1695"/>
      <c r="Z123" s="1695"/>
      <c r="AA123" s="1695"/>
      <c r="AB123" s="1699"/>
      <c r="AC123" s="1695"/>
      <c r="AD123" s="1695"/>
      <c r="AE123" s="1695"/>
      <c r="AF123" s="1695"/>
      <c r="AG123" s="1695"/>
      <c r="AH123" s="1699"/>
      <c r="AI123" s="1695"/>
      <c r="AJ123" s="1695"/>
      <c r="AK123" s="1695"/>
      <c r="AL123" s="1695"/>
      <c r="AM123" s="1695"/>
      <c r="AN123" s="1695"/>
      <c r="AO123" s="1699"/>
      <c r="AP123" s="1729"/>
    </row>
    <row r="124" spans="1:58">
      <c r="A124" s="2433"/>
      <c r="B124" s="1695"/>
      <c r="C124" s="1696"/>
      <c r="D124" s="1696"/>
      <c r="E124" s="1695"/>
      <c r="F124" s="1695"/>
      <c r="G124" s="1745"/>
      <c r="H124" s="1745"/>
      <c r="I124" s="1745"/>
      <c r="J124" s="1745"/>
      <c r="K124" s="1695"/>
      <c r="L124" s="1745"/>
      <c r="M124" s="1699"/>
      <c r="N124" s="1695"/>
      <c r="O124" s="1695"/>
      <c r="P124" s="1745"/>
      <c r="Q124" s="1745"/>
      <c r="R124" s="1745"/>
      <c r="S124" s="1745"/>
      <c r="T124" s="1745"/>
      <c r="U124" s="1699"/>
      <c r="V124" s="1699"/>
      <c r="W124" s="1695"/>
      <c r="X124" s="1695"/>
      <c r="Y124" s="1695"/>
      <c r="Z124" s="1695"/>
      <c r="AA124" s="1695"/>
      <c r="AB124" s="1699"/>
      <c r="AC124" s="1695"/>
      <c r="AD124" s="1695"/>
      <c r="AE124" s="1695"/>
      <c r="AF124" s="1695"/>
      <c r="AG124" s="1695"/>
      <c r="AH124" s="1699"/>
      <c r="AI124" s="1695"/>
      <c r="AJ124" s="1695"/>
      <c r="AK124" s="1695"/>
      <c r="AL124" s="1695"/>
      <c r="AM124" s="1695"/>
      <c r="AN124" s="1695"/>
      <c r="AO124" s="1699"/>
      <c r="AP124" s="1729"/>
    </row>
    <row r="125" spans="1:58">
      <c r="A125" s="2433"/>
      <c r="B125" s="1695"/>
      <c r="C125" s="1696"/>
      <c r="D125" s="1696"/>
      <c r="E125" s="1695"/>
      <c r="F125" s="1695"/>
      <c r="G125" s="1745"/>
      <c r="H125" s="1745"/>
      <c r="I125" s="1745"/>
      <c r="J125" s="1745"/>
      <c r="K125" s="1695"/>
      <c r="L125" s="1745"/>
      <c r="M125" s="1699"/>
      <c r="N125" s="1695"/>
      <c r="O125" s="1695"/>
      <c r="P125" s="1745"/>
      <c r="Q125" s="1745"/>
      <c r="R125" s="1745"/>
      <c r="S125" s="1745"/>
      <c r="T125" s="1745"/>
      <c r="U125" s="1699"/>
      <c r="V125" s="1699"/>
      <c r="W125" s="1695"/>
      <c r="X125" s="1695"/>
      <c r="Y125" s="1695"/>
      <c r="Z125" s="1695"/>
      <c r="AA125" s="1695"/>
      <c r="AB125" s="1699"/>
      <c r="AC125" s="1695"/>
      <c r="AD125" s="1695"/>
      <c r="AE125" s="1695"/>
      <c r="AF125" s="1695"/>
      <c r="AG125" s="1695"/>
      <c r="AH125" s="1699"/>
      <c r="AI125" s="1695"/>
      <c r="AJ125" s="1695"/>
      <c r="AK125" s="1695"/>
      <c r="AL125" s="1695"/>
      <c r="AM125" s="1695"/>
      <c r="AN125" s="1695"/>
      <c r="AO125" s="1699"/>
      <c r="AP125" s="1729"/>
    </row>
    <row r="126" spans="1:58">
      <c r="A126" s="2433"/>
      <c r="B126" s="1695"/>
      <c r="C126" s="1696"/>
      <c r="D126" s="1696"/>
      <c r="E126" s="1695"/>
      <c r="F126" s="1695"/>
      <c r="G126" s="1745"/>
      <c r="H126" s="1745"/>
      <c r="I126" s="1745"/>
      <c r="J126" s="1745"/>
      <c r="K126" s="1695"/>
      <c r="L126" s="1745"/>
      <c r="M126" s="1699"/>
      <c r="N126" s="1695"/>
      <c r="O126" s="1695"/>
      <c r="P126" s="1745"/>
      <c r="Q126" s="1745"/>
      <c r="R126" s="1745"/>
      <c r="S126" s="1745"/>
      <c r="T126" s="1745"/>
      <c r="U126" s="1699"/>
      <c r="V126" s="1699"/>
      <c r="W126" s="1695"/>
      <c r="X126" s="1695"/>
      <c r="Y126" s="1695"/>
      <c r="Z126" s="1695"/>
      <c r="AA126" s="1695"/>
      <c r="AB126" s="1699"/>
      <c r="AC126" s="1695"/>
      <c r="AD126" s="1695"/>
      <c r="AE126" s="1695"/>
      <c r="AF126" s="1695"/>
      <c r="AG126" s="1695"/>
      <c r="AH126" s="1699"/>
      <c r="AI126" s="1695"/>
      <c r="AJ126" s="1695"/>
      <c r="AK126" s="1695"/>
      <c r="AL126" s="1695"/>
      <c r="AM126" s="1695"/>
      <c r="AN126" s="1695"/>
      <c r="AO126" s="1699"/>
      <c r="AP126" s="1729"/>
    </row>
    <row r="127" spans="1:58">
      <c r="A127" s="2433"/>
      <c r="B127" s="1695"/>
      <c r="C127" s="1696"/>
      <c r="D127" s="1696"/>
      <c r="E127" s="1695"/>
      <c r="F127" s="1695"/>
      <c r="G127" s="1745"/>
      <c r="H127" s="1745"/>
      <c r="I127" s="1745"/>
      <c r="J127" s="1745"/>
      <c r="K127" s="1695"/>
      <c r="L127" s="1745"/>
      <c r="M127" s="1699"/>
      <c r="N127" s="1695"/>
      <c r="O127" s="1695"/>
      <c r="P127" s="1745"/>
      <c r="Q127" s="1745"/>
      <c r="R127" s="1745"/>
      <c r="S127" s="1745"/>
      <c r="T127" s="1745"/>
      <c r="U127" s="1699"/>
      <c r="V127" s="1699"/>
      <c r="W127" s="1695"/>
      <c r="X127" s="1695"/>
      <c r="Y127" s="1695"/>
      <c r="Z127" s="1695"/>
      <c r="AA127" s="1695"/>
      <c r="AB127" s="1699"/>
      <c r="AC127" s="1695"/>
      <c r="AD127" s="1695"/>
      <c r="AE127" s="1695"/>
      <c r="AF127" s="1695"/>
      <c r="AG127" s="1695"/>
      <c r="AH127" s="1699"/>
      <c r="AI127" s="1695"/>
      <c r="AJ127" s="1695"/>
      <c r="AK127" s="1695"/>
      <c r="AL127" s="1695"/>
      <c r="AM127" s="1695"/>
      <c r="AN127" s="1695"/>
      <c r="AO127" s="1699"/>
      <c r="AP127" s="1729"/>
    </row>
    <row r="128" spans="1:58" ht="7.5" customHeight="1">
      <c r="A128" s="2433"/>
      <c r="B128" s="1695"/>
      <c r="C128" s="1696"/>
      <c r="D128" s="1696"/>
      <c r="E128" s="1695"/>
      <c r="F128" s="1695"/>
      <c r="G128" s="1745"/>
      <c r="H128" s="1745"/>
      <c r="I128" s="1745"/>
      <c r="J128" s="1745"/>
      <c r="K128" s="1695"/>
      <c r="L128" s="1745"/>
      <c r="M128" s="1699"/>
      <c r="N128" s="1695"/>
      <c r="O128" s="1695"/>
      <c r="P128" s="1745"/>
      <c r="Q128" s="1745"/>
      <c r="R128" s="1745"/>
      <c r="S128" s="1745"/>
      <c r="T128" s="1745"/>
      <c r="U128" s="1699"/>
      <c r="V128" s="1699"/>
      <c r="W128" s="1695"/>
      <c r="X128" s="1695"/>
      <c r="Y128" s="1695"/>
      <c r="Z128" s="1695"/>
      <c r="AA128" s="1695"/>
      <c r="AB128" s="1699"/>
      <c r="AC128" s="1695"/>
      <c r="AD128" s="1695"/>
      <c r="AE128" s="1695"/>
      <c r="AF128" s="1695"/>
      <c r="AG128" s="1695"/>
      <c r="AH128" s="1699"/>
      <c r="AI128" s="1695"/>
      <c r="AJ128" s="1695"/>
      <c r="AK128" s="1695"/>
      <c r="AL128" s="1695"/>
      <c r="AM128" s="1695"/>
      <c r="AN128" s="1695"/>
      <c r="AO128" s="1699"/>
      <c r="AP128" s="1729"/>
      <c r="BF128" s="1687" t="s">
        <v>2052</v>
      </c>
    </row>
    <row r="129" spans="1:58" ht="15.75" thickBot="1">
      <c r="A129" s="2475"/>
      <c r="B129" s="1695"/>
      <c r="C129" s="1696"/>
      <c r="D129" s="1696"/>
      <c r="E129" s="1695"/>
      <c r="F129" s="1695"/>
      <c r="G129" s="1745"/>
      <c r="H129" s="1745"/>
      <c r="I129" s="1745"/>
      <c r="J129" s="1745"/>
      <c r="K129" s="1695"/>
      <c r="L129" s="1745"/>
      <c r="M129" s="1699"/>
      <c r="N129" s="1695"/>
      <c r="O129" s="1695"/>
      <c r="P129" s="1745"/>
      <c r="Q129" s="1745"/>
      <c r="R129" s="1745"/>
      <c r="S129" s="1745"/>
      <c r="T129" s="1745"/>
      <c r="U129" s="1699"/>
      <c r="V129" s="1699"/>
      <c r="W129" s="1695"/>
      <c r="X129" s="1695"/>
      <c r="Y129" s="1695"/>
      <c r="Z129" s="1695"/>
      <c r="AA129" s="1695"/>
      <c r="AB129" s="1699"/>
      <c r="AC129" s="1695"/>
      <c r="AD129" s="1695"/>
      <c r="AE129" s="1695"/>
      <c r="AF129" s="1695"/>
      <c r="AG129" s="1695"/>
      <c r="AH129" s="1699"/>
      <c r="AI129" s="1695"/>
      <c r="AJ129" s="1695"/>
      <c r="AK129" s="1695"/>
      <c r="AL129" s="1695"/>
      <c r="AM129" s="1695"/>
      <c r="AN129" s="1695"/>
      <c r="AO129" s="1699"/>
      <c r="AP129" s="1729"/>
      <c r="AQ129" s="1687" t="s">
        <v>1836</v>
      </c>
      <c r="AR129" s="1687" t="s">
        <v>1821</v>
      </c>
      <c r="BD129" s="1687">
        <v>757.82</v>
      </c>
      <c r="BE129" s="1687">
        <v>941.05</v>
      </c>
      <c r="BF129" s="1687">
        <f>BE129/BD129</f>
        <v>1.2417856483069858</v>
      </c>
    </row>
    <row r="130" spans="1:58" ht="19.5" thickBot="1">
      <c r="A130" s="1746"/>
      <c r="B130" s="1715"/>
      <c r="C130" s="1716"/>
      <c r="D130" s="1716"/>
      <c r="E130" s="1715"/>
      <c r="F130" s="1715"/>
      <c r="G130" s="1717"/>
      <c r="H130" s="1717"/>
      <c r="I130" s="1717"/>
      <c r="J130" s="1717"/>
      <c r="K130" s="1715"/>
      <c r="L130" s="1717"/>
      <c r="M130" s="1718"/>
      <c r="N130" s="1715"/>
      <c r="O130" s="1715"/>
      <c r="P130" s="1717"/>
      <c r="Q130" s="1717"/>
      <c r="R130" s="1717"/>
      <c r="S130" s="1717"/>
      <c r="T130" s="1717"/>
      <c r="U130" s="1718"/>
      <c r="V130" s="1718"/>
      <c r="W130" s="1715"/>
      <c r="X130" s="1715"/>
      <c r="Y130" s="1715"/>
      <c r="Z130" s="1715"/>
      <c r="AA130" s="1715"/>
      <c r="AB130" s="1718"/>
      <c r="AC130" s="1715"/>
      <c r="AD130" s="1715"/>
      <c r="AE130" s="1715"/>
      <c r="AF130" s="1715"/>
      <c r="AG130" s="1715"/>
      <c r="AH130" s="1718"/>
      <c r="AI130" s="1715"/>
      <c r="AJ130" s="1715"/>
      <c r="AK130" s="1715"/>
      <c r="AL130" s="1715"/>
      <c r="AM130" s="1715"/>
      <c r="AN130" s="1715"/>
      <c r="AO130" s="1718"/>
      <c r="AP130" s="1719"/>
      <c r="AQ130" s="1687">
        <v>1.5</v>
      </c>
      <c r="AR130" s="1687">
        <f t="shared" ref="AR130:AR141" si="16">AO132/AQ130</f>
        <v>2.1333333333333333</v>
      </c>
      <c r="AS130" s="1687" t="s">
        <v>1837</v>
      </c>
      <c r="AT130" s="1687">
        <f>AVERAGE(AR130:AR141)</f>
        <v>1.3545541997354495</v>
      </c>
      <c r="BD130" s="1687">
        <v>878.61</v>
      </c>
      <c r="BE130" s="1687">
        <v>1087.8</v>
      </c>
      <c r="BF130" s="1687">
        <f t="shared" ref="BF130:BF140" si="17">BE130/BD130</f>
        <v>1.2380919862054836</v>
      </c>
    </row>
    <row r="131" spans="1:58">
      <c r="A131" s="2472" t="s">
        <v>1135</v>
      </c>
      <c r="B131" s="1844" t="s">
        <v>1794</v>
      </c>
      <c r="C131" s="1721" t="s">
        <v>1836</v>
      </c>
      <c r="D131" s="1721" t="s">
        <v>1440</v>
      </c>
      <c r="E131" s="1845">
        <f>AT130</f>
        <v>1.3545541997354495</v>
      </c>
      <c r="F131" s="1723" t="s">
        <v>2006</v>
      </c>
      <c r="G131" s="1754">
        <f>AP132*BQ22</f>
        <v>55.563000548877199</v>
      </c>
      <c r="H131" s="1736">
        <f>G131*E131</f>
        <v>75.263095743384696</v>
      </c>
      <c r="I131" s="1754"/>
      <c r="J131" s="1846"/>
      <c r="K131" s="1750">
        <v>0.22</v>
      </c>
      <c r="L131" s="1755">
        <f>G131*E131*(1+K131)</f>
        <v>91.820976806929323</v>
      </c>
      <c r="M131" s="1847" t="s">
        <v>2007</v>
      </c>
      <c r="N131" s="1848"/>
      <c r="O131" s="1848" t="s">
        <v>2008</v>
      </c>
      <c r="P131" s="1754">
        <v>55.26</v>
      </c>
      <c r="Q131" s="1846" t="str">
        <f>T131</f>
        <v>$63 - $474</v>
      </c>
      <c r="R131" s="1846"/>
      <c r="S131" s="1846"/>
      <c r="T131" s="1849" t="s">
        <v>2018</v>
      </c>
      <c r="U131" s="1733"/>
      <c r="V131" s="1699"/>
      <c r="W131" s="1695"/>
      <c r="X131" s="1695"/>
      <c r="Y131" s="1695"/>
      <c r="Z131" s="1695"/>
      <c r="AA131" s="1695"/>
      <c r="AB131" s="1699"/>
      <c r="AC131" s="1695"/>
      <c r="AD131" s="1695"/>
      <c r="AE131" s="1695"/>
      <c r="AF131" s="1695"/>
      <c r="AG131" s="1695"/>
      <c r="AH131" s="1699"/>
      <c r="AI131" s="1695"/>
      <c r="AJ131" s="1695"/>
      <c r="AK131" s="1695"/>
      <c r="AL131" s="1695"/>
      <c r="AM131" s="1695"/>
      <c r="AN131" s="1695"/>
      <c r="AO131" s="1699"/>
      <c r="AP131" s="1729"/>
      <c r="AQ131" s="1687">
        <v>2</v>
      </c>
      <c r="AR131" s="1687">
        <f t="shared" si="16"/>
        <v>1.778</v>
      </c>
      <c r="AS131" s="1687" t="s">
        <v>1838</v>
      </c>
      <c r="AT131" s="1687">
        <f>STDEV(AR130:AR141)</f>
        <v>0.35307032832540997</v>
      </c>
      <c r="BD131" s="1687">
        <v>919.31</v>
      </c>
      <c r="BE131" s="1687">
        <v>1148.67</v>
      </c>
      <c r="BF131" s="1687">
        <f t="shared" si="17"/>
        <v>1.2494914664259065</v>
      </c>
    </row>
    <row r="132" spans="1:58">
      <c r="A132" s="2433"/>
      <c r="B132" s="1699"/>
      <c r="C132" s="1696"/>
      <c r="D132" s="1696"/>
      <c r="E132" s="1741"/>
      <c r="F132" s="1850"/>
      <c r="G132" s="1851"/>
      <c r="H132" s="1843"/>
      <c r="I132" s="1851"/>
      <c r="J132" s="1843"/>
      <c r="K132" s="1741"/>
      <c r="L132" s="1799"/>
      <c r="M132" s="1740"/>
      <c r="N132" s="1850"/>
      <c r="O132" s="1850"/>
      <c r="P132" s="1851"/>
      <c r="Q132" s="1843"/>
      <c r="R132" s="1843"/>
      <c r="S132" s="1843"/>
      <c r="T132" s="1799"/>
      <c r="U132" s="1733" t="s">
        <v>1824</v>
      </c>
      <c r="V132" s="1699"/>
      <c r="W132" s="1695"/>
      <c r="X132" s="1695"/>
      <c r="Y132" s="1695"/>
      <c r="Z132" s="1695"/>
      <c r="AA132" s="1695"/>
      <c r="AB132" s="1699"/>
      <c r="AC132" s="1695"/>
      <c r="AD132" s="1695"/>
      <c r="AE132" s="1695"/>
      <c r="AF132" s="1695"/>
      <c r="AG132" s="1695"/>
      <c r="AH132" s="1699"/>
      <c r="AI132" s="1695"/>
      <c r="AJ132" s="1695"/>
      <c r="AK132" s="1695"/>
      <c r="AL132" s="1695"/>
      <c r="AM132" s="1695"/>
      <c r="AN132" s="1695"/>
      <c r="AO132" s="1757">
        <v>3.2</v>
      </c>
      <c r="AP132" s="1758">
        <v>47.98</v>
      </c>
      <c r="AQ132" s="1687">
        <v>2.5</v>
      </c>
      <c r="AR132" s="1687">
        <f t="shared" si="16"/>
        <v>1.6</v>
      </c>
      <c r="BD132" s="1687">
        <v>1095.6400000000001</v>
      </c>
      <c r="BE132" s="1687">
        <v>1354.33</v>
      </c>
      <c r="BF132" s="1687">
        <f t="shared" si="17"/>
        <v>1.2361085758095722</v>
      </c>
    </row>
    <row r="133" spans="1:58">
      <c r="A133" s="2433"/>
      <c r="B133" s="1699"/>
      <c r="C133" s="1696"/>
      <c r="D133" s="1696"/>
      <c r="E133" s="1695"/>
      <c r="F133" s="1695"/>
      <c r="G133" s="1745"/>
      <c r="H133" s="1745"/>
      <c r="I133" s="1745"/>
      <c r="J133" s="1745"/>
      <c r="K133" s="1695"/>
      <c r="L133" s="1805"/>
      <c r="M133" s="1699"/>
      <c r="N133" s="1695"/>
      <c r="O133" s="1695"/>
      <c r="P133" s="1745"/>
      <c r="Q133" s="1745"/>
      <c r="R133" s="1745"/>
      <c r="S133" s="1745"/>
      <c r="T133" s="1805"/>
      <c r="U133" s="1733" t="s">
        <v>1825</v>
      </c>
      <c r="V133" s="1699"/>
      <c r="W133" s="1695"/>
      <c r="X133" s="1695"/>
      <c r="Y133" s="1695"/>
      <c r="Z133" s="1695"/>
      <c r="AA133" s="1695"/>
      <c r="AB133" s="1699"/>
      <c r="AC133" s="1695"/>
      <c r="AD133" s="1695"/>
      <c r="AE133" s="1695"/>
      <c r="AF133" s="1695"/>
      <c r="AG133" s="1695"/>
      <c r="AH133" s="1699"/>
      <c r="AI133" s="1695"/>
      <c r="AJ133" s="1695"/>
      <c r="AK133" s="1695"/>
      <c r="AL133" s="1695"/>
      <c r="AM133" s="1695"/>
      <c r="AN133" s="1695"/>
      <c r="AO133" s="1757">
        <v>3.556</v>
      </c>
      <c r="AP133" s="1758">
        <v>47.98</v>
      </c>
      <c r="AQ133" s="1687">
        <v>3</v>
      </c>
      <c r="AR133" s="1687">
        <f t="shared" si="16"/>
        <v>1.4813333333333334</v>
      </c>
      <c r="BD133" s="1687">
        <v>1184.4000000000001</v>
      </c>
      <c r="BE133" s="1687">
        <v>1470.35</v>
      </c>
      <c r="BF133" s="1687">
        <f t="shared" si="17"/>
        <v>1.2414302600472811</v>
      </c>
    </row>
    <row r="134" spans="1:58">
      <c r="A134" s="2433"/>
      <c r="B134" s="1699"/>
      <c r="C134" s="1696"/>
      <c r="D134" s="1696"/>
      <c r="E134" s="1695"/>
      <c r="F134" s="1695"/>
      <c r="G134" s="1745"/>
      <c r="H134" s="1745"/>
      <c r="I134" s="1745"/>
      <c r="J134" s="1745"/>
      <c r="K134" s="1695"/>
      <c r="L134" s="1805"/>
      <c r="M134" s="1699"/>
      <c r="N134" s="1695"/>
      <c r="O134" s="1695"/>
      <c r="P134" s="1745"/>
      <c r="Q134" s="1745"/>
      <c r="R134" s="1745"/>
      <c r="S134" s="1745"/>
      <c r="T134" s="1805"/>
      <c r="U134" s="1733" t="s">
        <v>1826</v>
      </c>
      <c r="V134" s="1699"/>
      <c r="W134" s="1695"/>
      <c r="X134" s="1695"/>
      <c r="Y134" s="1695"/>
      <c r="Z134" s="1695"/>
      <c r="AA134" s="1695"/>
      <c r="AB134" s="1699"/>
      <c r="AC134" s="1695"/>
      <c r="AD134" s="1695"/>
      <c r="AE134" s="1695"/>
      <c r="AF134" s="1695"/>
      <c r="AG134" s="1695"/>
      <c r="AH134" s="1699"/>
      <c r="AI134" s="1695"/>
      <c r="AJ134" s="1695"/>
      <c r="AK134" s="1695"/>
      <c r="AL134" s="1695"/>
      <c r="AM134" s="1695"/>
      <c r="AN134" s="1695"/>
      <c r="AO134" s="1757">
        <v>4</v>
      </c>
      <c r="AP134" s="1758">
        <v>47.98</v>
      </c>
      <c r="AQ134" s="1687">
        <v>3.5</v>
      </c>
      <c r="AR134" s="1687">
        <f t="shared" si="16"/>
        <v>1.4285714285714286</v>
      </c>
      <c r="BD134" s="1687">
        <v>1813.46</v>
      </c>
      <c r="BE134" s="1687">
        <v>2174.1999999999998</v>
      </c>
      <c r="BF134" s="1687">
        <f t="shared" si="17"/>
        <v>1.1989236046011491</v>
      </c>
    </row>
    <row r="135" spans="1:58">
      <c r="A135" s="2433"/>
      <c r="B135" s="1699"/>
      <c r="C135" s="1696"/>
      <c r="D135" s="1696"/>
      <c r="E135" s="1695"/>
      <c r="F135" s="1695"/>
      <c r="G135" s="1745"/>
      <c r="H135" s="1745"/>
      <c r="I135" s="1745"/>
      <c r="J135" s="1745"/>
      <c r="K135" s="1695"/>
      <c r="L135" s="1805"/>
      <c r="M135" s="1699"/>
      <c r="N135" s="1695"/>
      <c r="O135" s="1695"/>
      <c r="P135" s="1745"/>
      <c r="Q135" s="1745"/>
      <c r="R135" s="1745"/>
      <c r="S135" s="1745"/>
      <c r="T135" s="1805"/>
      <c r="U135" s="1733" t="s">
        <v>1827</v>
      </c>
      <c r="V135" s="1699"/>
      <c r="W135" s="1695"/>
      <c r="X135" s="1695"/>
      <c r="Y135" s="1695"/>
      <c r="Z135" s="1695"/>
      <c r="AA135" s="1695"/>
      <c r="AB135" s="1699"/>
      <c r="AC135" s="1695"/>
      <c r="AD135" s="1695"/>
      <c r="AE135" s="1695"/>
      <c r="AF135" s="1695"/>
      <c r="AG135" s="1695"/>
      <c r="AH135" s="1699"/>
      <c r="AI135" s="1695"/>
      <c r="AJ135" s="1695"/>
      <c r="AK135" s="1695"/>
      <c r="AL135" s="1695"/>
      <c r="AM135" s="1695"/>
      <c r="AN135" s="1695"/>
      <c r="AO135" s="1743">
        <v>4.444</v>
      </c>
      <c r="AP135" s="1758">
        <v>47.98</v>
      </c>
      <c r="AQ135" s="1687">
        <v>4.5</v>
      </c>
      <c r="AR135" s="1687">
        <f t="shared" si="16"/>
        <v>1.1851111111111112</v>
      </c>
      <c r="BD135" s="1687">
        <v>2087.8200000000002</v>
      </c>
      <c r="BE135" s="1687">
        <v>2495.85</v>
      </c>
      <c r="BF135" s="1687">
        <f t="shared" si="17"/>
        <v>1.1954335143834238</v>
      </c>
    </row>
    <row r="136" spans="1:58">
      <c r="A136" s="2433"/>
      <c r="B136" s="1699"/>
      <c r="C136" s="1696"/>
      <c r="D136" s="1696"/>
      <c r="E136" s="1695"/>
      <c r="F136" s="1695"/>
      <c r="G136" s="1745"/>
      <c r="H136" s="1745"/>
      <c r="I136" s="1745"/>
      <c r="J136" s="1745"/>
      <c r="K136" s="1695"/>
      <c r="L136" s="1805"/>
      <c r="M136" s="1699"/>
      <c r="N136" s="1695"/>
      <c r="O136" s="1695"/>
      <c r="P136" s="1745"/>
      <c r="Q136" s="1745"/>
      <c r="R136" s="1745"/>
      <c r="S136" s="1745"/>
      <c r="T136" s="1805"/>
      <c r="U136" s="1733" t="s">
        <v>1828</v>
      </c>
      <c r="V136" s="1699"/>
      <c r="W136" s="1695"/>
      <c r="X136" s="1695"/>
      <c r="Y136" s="1695"/>
      <c r="Z136" s="1695"/>
      <c r="AA136" s="1695"/>
      <c r="AB136" s="1699"/>
      <c r="AC136" s="1695"/>
      <c r="AD136" s="1695"/>
      <c r="AE136" s="1695"/>
      <c r="AF136" s="1695"/>
      <c r="AG136" s="1695"/>
      <c r="AH136" s="1699"/>
      <c r="AI136" s="1695"/>
      <c r="AJ136" s="1695"/>
      <c r="AK136" s="1695"/>
      <c r="AL136" s="1695"/>
      <c r="AM136" s="1695"/>
      <c r="AN136" s="1695"/>
      <c r="AO136" s="1743">
        <v>5</v>
      </c>
      <c r="AP136" s="1758">
        <v>47.98</v>
      </c>
      <c r="AQ136" s="1687">
        <v>5</v>
      </c>
      <c r="AR136" s="1687">
        <f t="shared" si="16"/>
        <v>1.1428</v>
      </c>
      <c r="BD136" s="1687">
        <v>2557.1</v>
      </c>
      <c r="BE136" s="1687">
        <v>3034.5</v>
      </c>
      <c r="BF136" s="1687">
        <f t="shared" si="17"/>
        <v>1.1866958664111689</v>
      </c>
    </row>
    <row r="137" spans="1:58">
      <c r="A137" s="2433"/>
      <c r="B137" s="1699"/>
      <c r="C137" s="1696"/>
      <c r="D137" s="1696"/>
      <c r="E137" s="1695"/>
      <c r="F137" s="1695"/>
      <c r="G137" s="1745"/>
      <c r="H137" s="1745"/>
      <c r="I137" s="1745"/>
      <c r="J137" s="1745"/>
      <c r="K137" s="1695"/>
      <c r="L137" s="1805"/>
      <c r="M137" s="1699"/>
      <c r="N137" s="1695"/>
      <c r="O137" s="1695"/>
      <c r="P137" s="1745"/>
      <c r="Q137" s="1745"/>
      <c r="R137" s="1745"/>
      <c r="S137" s="1745"/>
      <c r="T137" s="1805"/>
      <c r="U137" s="1733" t="s">
        <v>1829</v>
      </c>
      <c r="V137" s="1699"/>
      <c r="W137" s="1695"/>
      <c r="X137" s="1695"/>
      <c r="Y137" s="1695"/>
      <c r="Z137" s="1695"/>
      <c r="AA137" s="1695"/>
      <c r="AB137" s="1699"/>
      <c r="AC137" s="1695"/>
      <c r="AD137" s="1695"/>
      <c r="AE137" s="1695"/>
      <c r="AF137" s="1695"/>
      <c r="AG137" s="1695"/>
      <c r="AH137" s="1699"/>
      <c r="AI137" s="1695"/>
      <c r="AJ137" s="1695"/>
      <c r="AK137" s="1695"/>
      <c r="AL137" s="1695"/>
      <c r="AM137" s="1695"/>
      <c r="AN137" s="1695"/>
      <c r="AO137" s="1743">
        <v>5.3330000000000002</v>
      </c>
      <c r="AP137" s="1758">
        <v>47.98</v>
      </c>
      <c r="AQ137" s="1687">
        <v>7</v>
      </c>
      <c r="AR137" s="1687">
        <f t="shared" si="16"/>
        <v>0.87914285714285711</v>
      </c>
      <c r="BD137" s="1687">
        <v>2649.5</v>
      </c>
      <c r="BE137" s="1687">
        <v>3168.9</v>
      </c>
      <c r="BF137" s="1687">
        <f t="shared" si="17"/>
        <v>1.1960369881109643</v>
      </c>
    </row>
    <row r="138" spans="1:58">
      <c r="A138" s="2433"/>
      <c r="B138" s="1699"/>
      <c r="C138" s="1696"/>
      <c r="D138" s="1696"/>
      <c r="E138" s="1695"/>
      <c r="F138" s="1695"/>
      <c r="G138" s="1745"/>
      <c r="H138" s="1745"/>
      <c r="I138" s="1745"/>
      <c r="J138" s="1745"/>
      <c r="K138" s="1695"/>
      <c r="L138" s="1805"/>
      <c r="M138" s="1699"/>
      <c r="N138" s="1695"/>
      <c r="O138" s="1695"/>
      <c r="P138" s="1745"/>
      <c r="Q138" s="1745"/>
      <c r="R138" s="1745"/>
      <c r="S138" s="1745"/>
      <c r="T138" s="1805"/>
      <c r="U138" s="1733" t="s">
        <v>1830</v>
      </c>
      <c r="V138" s="1699"/>
      <c r="W138" s="1695"/>
      <c r="X138" s="1695"/>
      <c r="Y138" s="1695"/>
      <c r="Z138" s="1695"/>
      <c r="AA138" s="1695"/>
      <c r="AB138" s="1699"/>
      <c r="AC138" s="1695"/>
      <c r="AD138" s="1695"/>
      <c r="AE138" s="1695"/>
      <c r="AF138" s="1695"/>
      <c r="AG138" s="1695"/>
      <c r="AH138" s="1699"/>
      <c r="AI138" s="1695"/>
      <c r="AJ138" s="1695"/>
      <c r="AK138" s="1695"/>
      <c r="AL138" s="1695"/>
      <c r="AM138" s="1695"/>
      <c r="AN138" s="1695"/>
      <c r="AO138" s="1743">
        <v>5.7140000000000004</v>
      </c>
      <c r="AP138" s="1758">
        <v>47.98</v>
      </c>
      <c r="AQ138" s="1687">
        <v>7</v>
      </c>
      <c r="AR138" s="1687">
        <f t="shared" si="16"/>
        <v>1.0389999999999999</v>
      </c>
      <c r="BD138" s="1687">
        <v>3046.75</v>
      </c>
      <c r="BE138" s="1687">
        <v>3668.88</v>
      </c>
      <c r="BF138" s="1687">
        <f t="shared" si="17"/>
        <v>1.204194633625995</v>
      </c>
    </row>
    <row r="139" spans="1:58">
      <c r="A139" s="2433"/>
      <c r="B139" s="1699"/>
      <c r="C139" s="1696"/>
      <c r="D139" s="1696"/>
      <c r="E139" s="1695"/>
      <c r="F139" s="1695"/>
      <c r="G139" s="1745"/>
      <c r="H139" s="1745"/>
      <c r="I139" s="1745"/>
      <c r="J139" s="1745"/>
      <c r="K139" s="1695"/>
      <c r="L139" s="1805"/>
      <c r="M139" s="1699"/>
      <c r="N139" s="1695"/>
      <c r="O139" s="1695"/>
      <c r="P139" s="1745"/>
      <c r="Q139" s="1745"/>
      <c r="R139" s="1745"/>
      <c r="S139" s="1745"/>
      <c r="T139" s="1805"/>
      <c r="U139" s="1733" t="s">
        <v>1831</v>
      </c>
      <c r="V139" s="1699"/>
      <c r="W139" s="1695"/>
      <c r="X139" s="1695"/>
      <c r="Y139" s="1695"/>
      <c r="Z139" s="1695"/>
      <c r="AA139" s="1695"/>
      <c r="AB139" s="1699"/>
      <c r="AC139" s="1695"/>
      <c r="AD139" s="1695"/>
      <c r="AE139" s="1695"/>
      <c r="AF139" s="1695"/>
      <c r="AG139" s="1695"/>
      <c r="AH139" s="1699"/>
      <c r="AI139" s="1695"/>
      <c r="AJ139" s="1695"/>
      <c r="AK139" s="1695"/>
      <c r="AL139" s="1695"/>
      <c r="AM139" s="1695"/>
      <c r="AN139" s="1695"/>
      <c r="AO139" s="1743">
        <v>6.1539999999999999</v>
      </c>
      <c r="AP139" s="1758">
        <v>47.98</v>
      </c>
      <c r="AQ139" s="1687">
        <v>8</v>
      </c>
      <c r="AR139" s="1687">
        <f t="shared" si="16"/>
        <v>1.1111249999999999</v>
      </c>
      <c r="BD139" s="1687">
        <v>3690.75</v>
      </c>
      <c r="BE139" s="1687">
        <v>4440.8</v>
      </c>
      <c r="BF139" s="1687">
        <f t="shared" si="17"/>
        <v>1.2032242769084875</v>
      </c>
    </row>
    <row r="140" spans="1:58">
      <c r="A140" s="2433"/>
      <c r="B140" s="1699"/>
      <c r="C140" s="1696"/>
      <c r="D140" s="1696"/>
      <c r="E140" s="1695"/>
      <c r="F140" s="1695"/>
      <c r="G140" s="1745"/>
      <c r="H140" s="1745"/>
      <c r="I140" s="1745"/>
      <c r="J140" s="1745"/>
      <c r="K140" s="1695"/>
      <c r="L140" s="1805"/>
      <c r="M140" s="1699"/>
      <c r="N140" s="1695"/>
      <c r="O140" s="1695"/>
      <c r="P140" s="1745"/>
      <c r="Q140" s="1745"/>
      <c r="R140" s="1745"/>
      <c r="S140" s="1745"/>
      <c r="T140" s="1805"/>
      <c r="U140" s="1733" t="s">
        <v>1832</v>
      </c>
      <c r="V140" s="1699"/>
      <c r="W140" s="1695"/>
      <c r="X140" s="1695"/>
      <c r="Y140" s="1695"/>
      <c r="Z140" s="1695"/>
      <c r="AA140" s="1695"/>
      <c r="AB140" s="1699"/>
      <c r="AC140" s="1695"/>
      <c r="AD140" s="1695"/>
      <c r="AE140" s="1695"/>
      <c r="AF140" s="1695"/>
      <c r="AG140" s="1695"/>
      <c r="AH140" s="1699"/>
      <c r="AI140" s="1695"/>
      <c r="AJ140" s="1695"/>
      <c r="AK140" s="1695"/>
      <c r="AL140" s="1695"/>
      <c r="AM140" s="1695"/>
      <c r="AN140" s="1695"/>
      <c r="AO140" s="1743">
        <v>7.2729999999999997</v>
      </c>
      <c r="AP140" s="1758">
        <v>47.98</v>
      </c>
      <c r="AQ140" s="1687">
        <v>10</v>
      </c>
      <c r="AR140" s="1687">
        <f t="shared" si="16"/>
        <v>1.1429</v>
      </c>
      <c r="BD140" s="1687">
        <v>4087.48</v>
      </c>
      <c r="BE140" s="1687">
        <v>5039.13</v>
      </c>
      <c r="BF140" s="1687">
        <f t="shared" si="17"/>
        <v>1.2328207110493508</v>
      </c>
    </row>
    <row r="141" spans="1:58">
      <c r="A141" s="2433"/>
      <c r="B141" s="1699"/>
      <c r="C141" s="1696"/>
      <c r="D141" s="1696"/>
      <c r="E141" s="1695"/>
      <c r="F141" s="1695"/>
      <c r="G141" s="1745"/>
      <c r="H141" s="1745"/>
      <c r="I141" s="1745"/>
      <c r="J141" s="1745"/>
      <c r="K141" s="1695"/>
      <c r="L141" s="1805"/>
      <c r="M141" s="1699"/>
      <c r="N141" s="1695"/>
      <c r="O141" s="1695"/>
      <c r="P141" s="1745"/>
      <c r="Q141" s="1745"/>
      <c r="R141" s="1745"/>
      <c r="S141" s="1745"/>
      <c r="T141" s="1805"/>
      <c r="U141" s="1733" t="s">
        <v>1833</v>
      </c>
      <c r="V141" s="1699"/>
      <c r="W141" s="1695"/>
      <c r="X141" s="1695"/>
      <c r="Y141" s="1695"/>
      <c r="Z141" s="1695"/>
      <c r="AA141" s="1695"/>
      <c r="AB141" s="1699"/>
      <c r="AC141" s="1695"/>
      <c r="AD141" s="1695"/>
      <c r="AE141" s="1695"/>
      <c r="AF141" s="1695"/>
      <c r="AG141" s="1695"/>
      <c r="AH141" s="1699"/>
      <c r="AI141" s="1695"/>
      <c r="AJ141" s="1695"/>
      <c r="AK141" s="1695"/>
      <c r="AL141" s="1695"/>
      <c r="AM141" s="1695"/>
      <c r="AN141" s="1695"/>
      <c r="AO141" s="1743">
        <v>8.8889999999999993</v>
      </c>
      <c r="AP141" s="1758">
        <v>47.98</v>
      </c>
      <c r="AQ141" s="1687">
        <v>12</v>
      </c>
      <c r="AR141" s="1687">
        <f t="shared" si="16"/>
        <v>1.3333333333333333</v>
      </c>
      <c r="BF141" s="1687">
        <f>AVERAGE(BF129:BF140)</f>
        <v>1.2186864609904808</v>
      </c>
    </row>
    <row r="142" spans="1:58" ht="9.75" customHeight="1">
      <c r="A142" s="2433"/>
      <c r="B142" s="1699"/>
      <c r="C142" s="1696"/>
      <c r="D142" s="1696"/>
      <c r="E142" s="1695"/>
      <c r="F142" s="1695"/>
      <c r="G142" s="1745"/>
      <c r="H142" s="1745"/>
      <c r="I142" s="1745"/>
      <c r="J142" s="1745"/>
      <c r="K142" s="1695"/>
      <c r="L142" s="1805"/>
      <c r="M142" s="1699"/>
      <c r="N142" s="1695"/>
      <c r="O142" s="1695"/>
      <c r="P142" s="1745"/>
      <c r="Q142" s="1745"/>
      <c r="R142" s="1745"/>
      <c r="S142" s="1745"/>
      <c r="T142" s="1805"/>
      <c r="U142" s="1733" t="s">
        <v>1834</v>
      </c>
      <c r="V142" s="1699"/>
      <c r="W142" s="1695"/>
      <c r="X142" s="1695"/>
      <c r="Y142" s="1695"/>
      <c r="Z142" s="1695"/>
      <c r="AA142" s="1695"/>
      <c r="AB142" s="1699"/>
      <c r="AC142" s="1695"/>
      <c r="AD142" s="1695"/>
      <c r="AE142" s="1695"/>
      <c r="AF142" s="1695"/>
      <c r="AG142" s="1695"/>
      <c r="AH142" s="1699"/>
      <c r="AI142" s="1695"/>
      <c r="AJ142" s="1695"/>
      <c r="AK142" s="1695"/>
      <c r="AL142" s="1695"/>
      <c r="AM142" s="1695"/>
      <c r="AN142" s="1695"/>
      <c r="AO142" s="1743">
        <v>11.429</v>
      </c>
      <c r="AP142" s="1758">
        <v>47.98</v>
      </c>
    </row>
    <row r="143" spans="1:58" ht="15.75" thickBot="1">
      <c r="A143" s="2433"/>
      <c r="B143" s="1699"/>
      <c r="C143" s="1696"/>
      <c r="D143" s="1696"/>
      <c r="E143" s="1695"/>
      <c r="F143" s="1695"/>
      <c r="G143" s="1745"/>
      <c r="H143" s="1745"/>
      <c r="I143" s="1745"/>
      <c r="J143" s="1745"/>
      <c r="K143" s="1695"/>
      <c r="L143" s="1805"/>
      <c r="M143" s="1699"/>
      <c r="N143" s="1695"/>
      <c r="O143" s="1695"/>
      <c r="P143" s="1745"/>
      <c r="Q143" s="1745"/>
      <c r="R143" s="1745"/>
      <c r="S143" s="1745"/>
      <c r="T143" s="1805"/>
      <c r="U143" s="1733" t="s">
        <v>1835</v>
      </c>
      <c r="V143" s="1699"/>
      <c r="W143" s="1695"/>
      <c r="X143" s="1695"/>
      <c r="Y143" s="1695"/>
      <c r="Z143" s="1695"/>
      <c r="AA143" s="1695"/>
      <c r="AB143" s="1699"/>
      <c r="AC143" s="1695"/>
      <c r="AD143" s="1695"/>
      <c r="AE143" s="1695"/>
      <c r="AF143" s="1695"/>
      <c r="AG143" s="1695"/>
      <c r="AH143" s="1699"/>
      <c r="AI143" s="1695"/>
      <c r="AJ143" s="1695"/>
      <c r="AK143" s="1695"/>
      <c r="AL143" s="1695"/>
      <c r="AM143" s="1695"/>
      <c r="AN143" s="1695"/>
      <c r="AO143" s="1743">
        <v>16</v>
      </c>
      <c r="AP143" s="1758">
        <v>47.98</v>
      </c>
    </row>
    <row r="144" spans="1:58" ht="19.5" thickBot="1">
      <c r="A144" s="1746"/>
      <c r="B144" s="1715"/>
      <c r="C144" s="1716"/>
      <c r="D144" s="1716"/>
      <c r="E144" s="1715"/>
      <c r="F144" s="1715"/>
      <c r="G144" s="1717"/>
      <c r="H144" s="1717"/>
      <c r="I144" s="1717"/>
      <c r="J144" s="1717"/>
      <c r="K144" s="1715"/>
      <c r="L144" s="1717"/>
      <c r="M144" s="1718"/>
      <c r="N144" s="1715"/>
      <c r="O144" s="1715"/>
      <c r="P144" s="1717"/>
      <c r="Q144" s="1717"/>
      <c r="R144" s="1717"/>
      <c r="S144" s="1717"/>
      <c r="T144" s="1717"/>
      <c r="U144" s="1718"/>
      <c r="V144" s="1718"/>
      <c r="W144" s="1715"/>
      <c r="X144" s="1715"/>
      <c r="Y144" s="1715"/>
      <c r="Z144" s="1715"/>
      <c r="AA144" s="1715"/>
      <c r="AB144" s="1718"/>
      <c r="AC144" s="1715"/>
      <c r="AD144" s="1715"/>
      <c r="AE144" s="1715"/>
      <c r="AF144" s="1715"/>
      <c r="AG144" s="1715"/>
      <c r="AH144" s="1718"/>
      <c r="AI144" s="1715"/>
      <c r="AJ144" s="1715"/>
      <c r="AK144" s="1715"/>
      <c r="AL144" s="1715"/>
      <c r="AM144" s="1715"/>
      <c r="AN144" s="1715"/>
      <c r="AO144" s="1718"/>
      <c r="AP144" s="1719"/>
    </row>
    <row r="145" spans="1:58">
      <c r="A145" s="2432" t="s">
        <v>622</v>
      </c>
      <c r="B145" s="1770" t="s">
        <v>1802</v>
      </c>
      <c r="C145" s="1852" t="s">
        <v>1804</v>
      </c>
      <c r="D145" s="1825" t="s">
        <v>1812</v>
      </c>
      <c r="E145" s="1853">
        <f>AB145/15.8</f>
        <v>3.9240506329113924</v>
      </c>
      <c r="F145" s="1854"/>
      <c r="G145" s="1754">
        <f>AC145*BS7</f>
        <v>66.450880393880624</v>
      </c>
      <c r="H145" s="1736">
        <f>G145*E145</f>
        <v>260.7566192671265</v>
      </c>
      <c r="I145" s="1754">
        <f>(AE145+AG145)/15.8</f>
        <v>77.848101265822777</v>
      </c>
      <c r="J145" s="1846"/>
      <c r="K145" s="1750">
        <v>0.2</v>
      </c>
      <c r="L145" s="1755">
        <f>((E145*G145)+I145)*(1+K145)</f>
        <v>406.32566463953913</v>
      </c>
      <c r="M145" s="1847" t="s">
        <v>1799</v>
      </c>
      <c r="N145" s="1848"/>
      <c r="O145" s="1855" t="s">
        <v>1937</v>
      </c>
      <c r="P145" s="1754">
        <v>67.88</v>
      </c>
      <c r="Q145" s="1846" t="str">
        <f>T145</f>
        <v>$41 - $45</v>
      </c>
      <c r="R145" s="1846"/>
      <c r="S145" s="1846"/>
      <c r="T145" s="1849" t="s">
        <v>2019</v>
      </c>
      <c r="U145" s="1787" t="s">
        <v>2010</v>
      </c>
      <c r="V145" s="1699"/>
      <c r="W145" s="1856"/>
      <c r="X145" s="1856"/>
      <c r="Y145" s="1856"/>
      <c r="Z145" s="1856"/>
      <c r="AA145" s="1856"/>
      <c r="AB145" s="1757">
        <v>62</v>
      </c>
      <c r="AC145" s="1857">
        <v>96</v>
      </c>
      <c r="AD145" s="1857">
        <v>5962</v>
      </c>
      <c r="AE145" s="1857">
        <v>600</v>
      </c>
      <c r="AF145" s="1857" t="s">
        <v>40</v>
      </c>
      <c r="AG145" s="1858">
        <v>630</v>
      </c>
      <c r="AH145" s="1783"/>
      <c r="AI145" s="1784"/>
      <c r="AJ145" s="1784"/>
      <c r="AK145" s="1784"/>
      <c r="AL145" s="1784"/>
      <c r="AM145" s="1784"/>
      <c r="AN145" s="1784"/>
      <c r="AO145" s="1699"/>
      <c r="AP145" s="1729"/>
    </row>
    <row r="146" spans="1:58">
      <c r="A146" s="2433"/>
      <c r="B146" s="1695"/>
      <c r="C146" s="1696"/>
      <c r="D146" s="1696"/>
      <c r="E146" s="1695"/>
      <c r="F146" s="1695"/>
      <c r="G146" s="1745"/>
      <c r="H146" s="1745"/>
      <c r="I146" s="1745"/>
      <c r="J146" s="1745"/>
      <c r="K146" s="1695"/>
      <c r="L146" s="1745"/>
      <c r="M146" s="1699"/>
      <c r="N146" s="1695"/>
      <c r="O146" s="1806"/>
      <c r="P146" s="1745"/>
      <c r="Q146" s="1745"/>
      <c r="R146" s="1745"/>
      <c r="S146" s="1745"/>
      <c r="T146" s="1745"/>
      <c r="U146" s="1699"/>
      <c r="V146" s="1699"/>
      <c r="W146" s="1695"/>
      <c r="X146" s="1695"/>
      <c r="Y146" s="1695"/>
      <c r="Z146" s="1695"/>
      <c r="AA146" s="1695"/>
      <c r="AB146" s="1699"/>
      <c r="AC146" s="1695"/>
      <c r="AD146" s="1695"/>
      <c r="AE146" s="1695"/>
      <c r="AF146" s="1695"/>
      <c r="AG146" s="1695"/>
      <c r="AH146" s="1699"/>
      <c r="AI146" s="1695"/>
      <c r="AJ146" s="1695"/>
      <c r="AK146" s="1695"/>
      <c r="AL146" s="1695"/>
      <c r="AM146" s="1695"/>
      <c r="AN146" s="1695"/>
      <c r="AO146" s="1699"/>
      <c r="AP146" s="1729"/>
    </row>
    <row r="147" spans="1:58">
      <c r="A147" s="2433"/>
      <c r="B147" s="1695"/>
      <c r="C147" s="1696"/>
      <c r="D147" s="1696"/>
      <c r="E147" s="1695"/>
      <c r="F147" s="1695"/>
      <c r="G147" s="1745"/>
      <c r="H147" s="1745"/>
      <c r="I147" s="1745"/>
      <c r="J147" s="1745"/>
      <c r="K147" s="1695"/>
      <c r="L147" s="1745"/>
      <c r="M147" s="1699"/>
      <c r="N147" s="1695"/>
      <c r="O147" s="1695"/>
      <c r="P147" s="1745"/>
      <c r="Q147" s="1745"/>
      <c r="R147" s="1745"/>
      <c r="S147" s="1745"/>
      <c r="T147" s="1745"/>
      <c r="U147" s="1699"/>
      <c r="V147" s="1699"/>
      <c r="W147" s="1695"/>
      <c r="X147" s="1695"/>
      <c r="Y147" s="1695"/>
      <c r="Z147" s="1695"/>
      <c r="AA147" s="1695"/>
      <c r="AB147" s="1699"/>
      <c r="AC147" s="1695"/>
      <c r="AD147" s="1695"/>
      <c r="AE147" s="1695"/>
      <c r="AF147" s="1695"/>
      <c r="AG147" s="1695"/>
      <c r="AH147" s="1699"/>
      <c r="AI147" s="1695"/>
      <c r="AJ147" s="1695"/>
      <c r="AK147" s="1695"/>
      <c r="AL147" s="1695"/>
      <c r="AM147" s="1695"/>
      <c r="AN147" s="1695"/>
      <c r="AO147" s="1699"/>
      <c r="AP147" s="1729"/>
    </row>
    <row r="148" spans="1:58">
      <c r="A148" s="2433"/>
      <c r="B148" s="1695"/>
      <c r="C148" s="1696"/>
      <c r="D148" s="1696"/>
      <c r="E148" s="1695"/>
      <c r="F148" s="1695"/>
      <c r="G148" s="1745"/>
      <c r="H148" s="1745"/>
      <c r="I148" s="1745"/>
      <c r="J148" s="1745"/>
      <c r="K148" s="1695"/>
      <c r="L148" s="1745"/>
      <c r="M148" s="1699"/>
      <c r="N148" s="1695"/>
      <c r="O148" s="1695"/>
      <c r="P148" s="1745"/>
      <c r="Q148" s="1745"/>
      <c r="R148" s="1745"/>
      <c r="S148" s="1745"/>
      <c r="T148" s="1745"/>
      <c r="U148" s="1699"/>
      <c r="V148" s="1699"/>
      <c r="W148" s="1695"/>
      <c r="X148" s="1695"/>
      <c r="Y148" s="1695"/>
      <c r="Z148" s="1695"/>
      <c r="AA148" s="1695"/>
      <c r="AB148" s="1699"/>
      <c r="AC148" s="1695"/>
      <c r="AD148" s="1695"/>
      <c r="AE148" s="1695"/>
      <c r="AF148" s="1695"/>
      <c r="AG148" s="1695"/>
      <c r="AH148" s="1699"/>
      <c r="AI148" s="1695"/>
      <c r="AJ148" s="1695"/>
      <c r="AK148" s="1695"/>
      <c r="AL148" s="1695"/>
      <c r="AM148" s="1695"/>
      <c r="AN148" s="1695"/>
      <c r="AO148" s="1699"/>
      <c r="AP148" s="1729"/>
    </row>
    <row r="149" spans="1:58">
      <c r="A149" s="2433"/>
      <c r="B149" s="1695"/>
      <c r="C149" s="1696"/>
      <c r="D149" s="1696"/>
      <c r="E149" s="1695"/>
      <c r="F149" s="1695"/>
      <c r="G149" s="1745"/>
      <c r="H149" s="1745"/>
      <c r="I149" s="1745"/>
      <c r="J149" s="1745"/>
      <c r="K149" s="1695"/>
      <c r="L149" s="1745"/>
      <c r="M149" s="1699"/>
      <c r="N149" s="1695"/>
      <c r="O149" s="1695"/>
      <c r="P149" s="1745"/>
      <c r="Q149" s="1745"/>
      <c r="R149" s="1745"/>
      <c r="S149" s="1745"/>
      <c r="T149" s="1745"/>
      <c r="U149" s="1699"/>
      <c r="V149" s="1699"/>
      <c r="W149" s="1695"/>
      <c r="X149" s="1695"/>
      <c r="Y149" s="1695"/>
      <c r="Z149" s="1695"/>
      <c r="AA149" s="1695"/>
      <c r="AB149" s="1699"/>
      <c r="AC149" s="1695"/>
      <c r="AD149" s="1695"/>
      <c r="AE149" s="1695"/>
      <c r="AF149" s="1695"/>
      <c r="AG149" s="1695"/>
      <c r="AH149" s="1699"/>
      <c r="AI149" s="1695"/>
      <c r="AJ149" s="1695"/>
      <c r="AK149" s="1695"/>
      <c r="AL149" s="1695"/>
      <c r="AM149" s="1695"/>
      <c r="AN149" s="1695"/>
      <c r="AO149" s="1699"/>
      <c r="AP149" s="1729"/>
    </row>
    <row r="150" spans="1:58">
      <c r="A150" s="2433"/>
      <c r="B150" s="1695"/>
      <c r="C150" s="1696"/>
      <c r="D150" s="1696"/>
      <c r="E150" s="1695"/>
      <c r="F150" s="1695"/>
      <c r="G150" s="1745"/>
      <c r="H150" s="1745"/>
      <c r="I150" s="1745"/>
      <c r="J150" s="1745"/>
      <c r="K150" s="1695"/>
      <c r="L150" s="1745"/>
      <c r="M150" s="1699"/>
      <c r="N150" s="1695"/>
      <c r="O150" s="1695"/>
      <c r="P150" s="1745"/>
      <c r="Q150" s="1745"/>
      <c r="R150" s="1745"/>
      <c r="S150" s="1745"/>
      <c r="T150" s="1745"/>
      <c r="U150" s="1699"/>
      <c r="V150" s="1699"/>
      <c r="W150" s="1695"/>
      <c r="X150" s="1695"/>
      <c r="Y150" s="1695"/>
      <c r="Z150" s="1695"/>
      <c r="AA150" s="1695"/>
      <c r="AB150" s="1699"/>
      <c r="AC150" s="1695"/>
      <c r="AD150" s="1695"/>
      <c r="AE150" s="1695"/>
      <c r="AF150" s="1695"/>
      <c r="AG150" s="1695"/>
      <c r="AH150" s="1699"/>
      <c r="AI150" s="1695"/>
      <c r="AJ150" s="1695"/>
      <c r="AK150" s="1695"/>
      <c r="AL150" s="1695"/>
      <c r="AM150" s="1695"/>
      <c r="AN150" s="1695"/>
      <c r="AO150" s="1699"/>
      <c r="AP150" s="1729"/>
    </row>
    <row r="151" spans="1:58">
      <c r="A151" s="2433"/>
      <c r="B151" s="1695"/>
      <c r="C151" s="1696"/>
      <c r="D151" s="1696"/>
      <c r="E151" s="1695"/>
      <c r="F151" s="1695"/>
      <c r="G151" s="1745"/>
      <c r="H151" s="1745"/>
      <c r="I151" s="1745"/>
      <c r="J151" s="1745"/>
      <c r="K151" s="1695"/>
      <c r="L151" s="1745"/>
      <c r="M151" s="1699"/>
      <c r="N151" s="1695"/>
      <c r="O151" s="1695"/>
      <c r="P151" s="1745"/>
      <c r="Q151" s="1745"/>
      <c r="R151" s="1745"/>
      <c r="S151" s="1745"/>
      <c r="T151" s="1745"/>
      <c r="U151" s="1699"/>
      <c r="V151" s="1699"/>
      <c r="W151" s="1695"/>
      <c r="X151" s="1695"/>
      <c r="Y151" s="1695"/>
      <c r="Z151" s="1695"/>
      <c r="AA151" s="1695"/>
      <c r="AB151" s="1699"/>
      <c r="AC151" s="1695"/>
      <c r="AD151" s="1695"/>
      <c r="AE151" s="1695"/>
      <c r="AF151" s="1695"/>
      <c r="AG151" s="1695"/>
      <c r="AH151" s="1699"/>
      <c r="AI151" s="1695"/>
      <c r="AJ151" s="1695"/>
      <c r="AK151" s="1695"/>
      <c r="AL151" s="1695"/>
      <c r="AM151" s="1695"/>
      <c r="AN151" s="1695"/>
      <c r="AO151" s="1699"/>
      <c r="AP151" s="1729"/>
    </row>
    <row r="152" spans="1:58">
      <c r="A152" s="2433"/>
      <c r="B152" s="1695"/>
      <c r="C152" s="1696"/>
      <c r="D152" s="1696"/>
      <c r="E152" s="1695"/>
      <c r="F152" s="1695"/>
      <c r="G152" s="1745"/>
      <c r="H152" s="1745"/>
      <c r="I152" s="1745"/>
      <c r="J152" s="1745"/>
      <c r="K152" s="1695"/>
      <c r="L152" s="1745"/>
      <c r="M152" s="1699"/>
      <c r="N152" s="1695"/>
      <c r="O152" s="1695"/>
      <c r="P152" s="1745"/>
      <c r="Q152" s="1745"/>
      <c r="R152" s="1745"/>
      <c r="S152" s="1745"/>
      <c r="T152" s="1745"/>
      <c r="U152" s="1699"/>
      <c r="V152" s="1699"/>
      <c r="W152" s="1695"/>
      <c r="X152" s="1695"/>
      <c r="Y152" s="1695"/>
      <c r="Z152" s="1695"/>
      <c r="AA152" s="1695"/>
      <c r="AB152" s="1699"/>
      <c r="AC152" s="1695"/>
      <c r="AD152" s="1695"/>
      <c r="AE152" s="1695"/>
      <c r="AF152" s="1695"/>
      <c r="AG152" s="1695"/>
      <c r="AH152" s="1699"/>
      <c r="AI152" s="1695"/>
      <c r="AJ152" s="1695"/>
      <c r="AK152" s="1695"/>
      <c r="AL152" s="1695"/>
      <c r="AM152" s="1695"/>
      <c r="AN152" s="1695"/>
      <c r="AO152" s="1699"/>
      <c r="AP152" s="1729"/>
    </row>
    <row r="153" spans="1:58" ht="9" customHeight="1">
      <c r="A153" s="2433"/>
      <c r="B153" s="1695"/>
      <c r="C153" s="1696"/>
      <c r="D153" s="1696"/>
      <c r="E153" s="1695"/>
      <c r="F153" s="1695"/>
      <c r="G153" s="1745"/>
      <c r="H153" s="1745"/>
      <c r="I153" s="1745"/>
      <c r="J153" s="1745"/>
      <c r="K153" s="1695"/>
      <c r="L153" s="1745"/>
      <c r="M153" s="1699"/>
      <c r="N153" s="1695"/>
      <c r="O153" s="1695"/>
      <c r="P153" s="1745"/>
      <c r="Q153" s="1745"/>
      <c r="R153" s="1745"/>
      <c r="S153" s="1745"/>
      <c r="T153" s="1745"/>
      <c r="U153" s="1699"/>
      <c r="V153" s="1699"/>
      <c r="W153" s="1695"/>
      <c r="X153" s="1695"/>
      <c r="Y153" s="1695"/>
      <c r="Z153" s="1695"/>
      <c r="AA153" s="1695"/>
      <c r="AB153" s="1699"/>
      <c r="AC153" s="1695"/>
      <c r="AD153" s="1695"/>
      <c r="AE153" s="1695"/>
      <c r="AF153" s="1695"/>
      <c r="AG153" s="1695"/>
      <c r="AH153" s="1699"/>
      <c r="AI153" s="1695"/>
      <c r="AJ153" s="1695"/>
      <c r="AK153" s="1695"/>
      <c r="AL153" s="1695"/>
      <c r="AM153" s="1695"/>
      <c r="AN153" s="1695"/>
      <c r="AO153" s="1699"/>
      <c r="AP153" s="1729"/>
    </row>
    <row r="154" spans="1:58" ht="15.75" thickBot="1">
      <c r="A154" s="2433"/>
      <c r="B154" s="1695"/>
      <c r="C154" s="1696"/>
      <c r="D154" s="1696"/>
      <c r="E154" s="1695"/>
      <c r="F154" s="1695"/>
      <c r="G154" s="1745"/>
      <c r="H154" s="1745"/>
      <c r="I154" s="1745"/>
      <c r="J154" s="1745"/>
      <c r="K154" s="1695"/>
      <c r="L154" s="1745"/>
      <c r="M154" s="1699"/>
      <c r="N154" s="1695"/>
      <c r="O154" s="1695"/>
      <c r="P154" s="1745"/>
      <c r="Q154" s="1745"/>
      <c r="R154" s="1745"/>
      <c r="S154" s="1745"/>
      <c r="T154" s="1745"/>
      <c r="U154" s="1699"/>
      <c r="V154" s="1699"/>
      <c r="W154" s="1695"/>
      <c r="X154" s="1695"/>
      <c r="Y154" s="1695"/>
      <c r="Z154" s="1695"/>
      <c r="AA154" s="1695"/>
      <c r="AB154" s="1699"/>
      <c r="AC154" s="1695"/>
      <c r="AD154" s="1695"/>
      <c r="AE154" s="1695"/>
      <c r="AF154" s="1695"/>
      <c r="AG154" s="1695"/>
      <c r="AH154" s="1699"/>
      <c r="AI154" s="1695"/>
      <c r="AJ154" s="1695"/>
      <c r="AK154" s="1695"/>
      <c r="AL154" s="1695"/>
      <c r="AM154" s="1695"/>
      <c r="AN154" s="1695"/>
      <c r="AO154" s="1699"/>
      <c r="AP154" s="1729"/>
      <c r="BF154" s="1687" t="s">
        <v>2053</v>
      </c>
    </row>
    <row r="155" spans="1:58" ht="19.5" thickBot="1">
      <c r="A155" s="1746"/>
      <c r="B155" s="1715"/>
      <c r="C155" s="1716"/>
      <c r="D155" s="1716"/>
      <c r="E155" s="1715"/>
      <c r="F155" s="1715"/>
      <c r="G155" s="1717"/>
      <c r="H155" s="1717"/>
      <c r="I155" s="1717"/>
      <c r="J155" s="1717"/>
      <c r="K155" s="1715"/>
      <c r="L155" s="1717"/>
      <c r="M155" s="1718"/>
      <c r="N155" s="1715"/>
      <c r="O155" s="1715"/>
      <c r="P155" s="1717"/>
      <c r="Q155" s="1717"/>
      <c r="R155" s="1717"/>
      <c r="S155" s="1717"/>
      <c r="T155" s="1717"/>
      <c r="U155" s="1718"/>
      <c r="V155" s="1718"/>
      <c r="W155" s="1715"/>
      <c r="X155" s="1715"/>
      <c r="Y155" s="1715"/>
      <c r="Z155" s="1715"/>
      <c r="AA155" s="1715"/>
      <c r="AB155" s="1718"/>
      <c r="AC155" s="1715"/>
      <c r="AD155" s="1715"/>
      <c r="AE155" s="1715"/>
      <c r="AF155" s="1715"/>
      <c r="AG155" s="1715"/>
      <c r="AH155" s="1718"/>
      <c r="AI155" s="1715"/>
      <c r="AJ155" s="1715"/>
      <c r="AK155" s="1715"/>
      <c r="AL155" s="1715"/>
      <c r="AM155" s="1715"/>
      <c r="AN155" s="1715"/>
      <c r="AO155" s="1718"/>
      <c r="AP155" s="1719"/>
      <c r="BD155" s="1687">
        <v>1902.25</v>
      </c>
      <c r="BE155" s="1687">
        <v>2315.08</v>
      </c>
      <c r="BF155" s="1687">
        <f>BE155/BD155</f>
        <v>1.2170219476935209</v>
      </c>
    </row>
    <row r="156" spans="1:58">
      <c r="A156" s="2472" t="s">
        <v>1136</v>
      </c>
      <c r="B156" s="1770" t="s">
        <v>1802</v>
      </c>
      <c r="C156" s="1771" t="s">
        <v>1804</v>
      </c>
      <c r="D156" s="1771" t="s">
        <v>1805</v>
      </c>
      <c r="E156" s="1772">
        <f>SUM(AH157:AH160)/5</f>
        <v>6.2707664467070101</v>
      </c>
      <c r="F156" s="1772" t="s">
        <v>2666</v>
      </c>
      <c r="G156" s="1774"/>
      <c r="H156" s="2456">
        <f>E156*G157</f>
        <v>443.28414853079084</v>
      </c>
      <c r="I156" s="1736">
        <f>AL159/5</f>
        <v>11.746917185196114</v>
      </c>
      <c r="J156" s="1774">
        <f>AL156</f>
        <v>598.37801194433382</v>
      </c>
      <c r="K156" s="2428">
        <f>K169</f>
        <v>0.27500000000000002</v>
      </c>
      <c r="L156" s="2451">
        <f>((E156*G157)+I156+I158)*(1+K156)</f>
        <v>898.87362664502621</v>
      </c>
      <c r="M156" s="1792" t="s">
        <v>1440</v>
      </c>
      <c r="N156" s="1782" t="s">
        <v>1850</v>
      </c>
      <c r="O156" s="1859">
        <f>AR165</f>
        <v>5.3334000000000001</v>
      </c>
      <c r="P156" s="1774">
        <f>AP161*BQ22</f>
        <v>59.037135639469774</v>
      </c>
      <c r="Q156" s="1774">
        <f>O156*P156</f>
        <v>314.86865921954808</v>
      </c>
      <c r="R156" s="1774"/>
      <c r="S156" s="1774"/>
      <c r="T156" s="1780">
        <f>O156*P156</f>
        <v>314.86865921954808</v>
      </c>
      <c r="U156" s="1787" t="s">
        <v>1473</v>
      </c>
      <c r="V156" s="1699"/>
      <c r="W156" s="1695"/>
      <c r="X156" s="1695"/>
      <c r="Y156" s="1695"/>
      <c r="Z156" s="1695"/>
      <c r="AA156" s="1695"/>
      <c r="AB156" s="1699"/>
      <c r="AC156" s="1695"/>
      <c r="AD156" s="1695"/>
      <c r="AE156" s="1695"/>
      <c r="AF156" s="1695"/>
      <c r="AG156" s="1695"/>
      <c r="AH156" s="1743"/>
      <c r="AI156" s="1782"/>
      <c r="AJ156" s="1782"/>
      <c r="AK156" s="1782"/>
      <c r="AL156" s="1793">
        <v>598.37801194433382</v>
      </c>
      <c r="AM156" s="1793">
        <v>83.262110419695929</v>
      </c>
      <c r="AN156" s="1794">
        <v>37</v>
      </c>
      <c r="AO156" s="1699"/>
      <c r="AP156" s="1729"/>
      <c r="BD156" s="1687">
        <v>2174.1999999999998</v>
      </c>
      <c r="BE156" s="1687">
        <v>2664.55</v>
      </c>
      <c r="BF156" s="1687">
        <f t="shared" ref="BF156:BF163" si="18">BE156/BD156</f>
        <v>1.2255312298776564</v>
      </c>
    </row>
    <row r="157" spans="1:58">
      <c r="A157" s="2433"/>
      <c r="B157" s="1786" t="s">
        <v>1840</v>
      </c>
      <c r="C157" s="1771" t="s">
        <v>1804</v>
      </c>
      <c r="D157" s="1787" t="s">
        <v>1812</v>
      </c>
      <c r="E157" s="1860"/>
      <c r="F157" s="1841"/>
      <c r="G157" s="1738">
        <f>G170</f>
        <v>70.690585002344363</v>
      </c>
      <c r="H157" s="2458"/>
      <c r="I157" s="1737"/>
      <c r="J157" s="1846"/>
      <c r="K157" s="2429"/>
      <c r="L157" s="2452"/>
      <c r="M157" s="1847" t="s">
        <v>1799</v>
      </c>
      <c r="N157" s="1848"/>
      <c r="O157" s="1855">
        <v>5.27</v>
      </c>
      <c r="P157" s="1754">
        <v>67.88</v>
      </c>
      <c r="Q157" s="1774">
        <f>O157*P157</f>
        <v>357.72759999999994</v>
      </c>
      <c r="R157" s="1738"/>
      <c r="S157" s="1738"/>
      <c r="T157" s="1751">
        <f>O157*P157</f>
        <v>357.72759999999994</v>
      </c>
      <c r="U157" s="1787" t="s">
        <v>1474</v>
      </c>
      <c r="V157" s="1699"/>
      <c r="W157" s="1695"/>
      <c r="X157" s="1695"/>
      <c r="Y157" s="1695"/>
      <c r="Z157" s="1695"/>
      <c r="AA157" s="1695"/>
      <c r="AB157" s="1699"/>
      <c r="AC157" s="1695"/>
      <c r="AD157" s="1695"/>
      <c r="AE157" s="1695"/>
      <c r="AF157" s="1695"/>
      <c r="AG157" s="1695"/>
      <c r="AH157" s="1796">
        <v>15.413378960220149</v>
      </c>
      <c r="AI157" s="1793">
        <v>1.7537874671635258</v>
      </c>
      <c r="AJ157" s="1797">
        <v>36</v>
      </c>
      <c r="AK157" s="1782"/>
      <c r="AL157" s="1791"/>
      <c r="AM157" s="1791"/>
      <c r="AN157" s="1798"/>
      <c r="AO157" s="1699"/>
      <c r="AP157" s="1729"/>
      <c r="BD157" s="1687">
        <v>2406.7800000000002</v>
      </c>
      <c r="BE157" s="1687">
        <v>2972.73</v>
      </c>
      <c r="BF157" s="1687">
        <f t="shared" si="18"/>
        <v>1.2351482063171539</v>
      </c>
    </row>
    <row r="158" spans="1:58">
      <c r="A158" s="2433"/>
      <c r="B158" s="1786" t="s">
        <v>2055</v>
      </c>
      <c r="C158" s="1787" t="s">
        <v>1804</v>
      </c>
      <c r="D158" s="1787" t="s">
        <v>1812</v>
      </c>
      <c r="E158" s="1788"/>
      <c r="F158" s="1789"/>
      <c r="G158" s="1774"/>
      <c r="H158" s="1774"/>
      <c r="I158" s="1738">
        <f>AVERAGE(R171:R173)</f>
        <v>249.96785714285716</v>
      </c>
      <c r="J158" s="1774"/>
      <c r="K158" s="1774"/>
      <c r="L158" s="2463"/>
      <c r="M158" s="1699"/>
      <c r="N158" s="1695"/>
      <c r="O158" s="1695"/>
      <c r="P158" s="1745"/>
      <c r="Q158" s="1745"/>
      <c r="R158" s="1745"/>
      <c r="S158" s="1745"/>
      <c r="T158" s="1799"/>
      <c r="U158" s="1787" t="s">
        <v>1475</v>
      </c>
      <c r="V158" s="1699"/>
      <c r="W158" s="1695"/>
      <c r="X158" s="1695"/>
      <c r="Y158" s="1695"/>
      <c r="Z158" s="1695"/>
      <c r="AA158" s="1695"/>
      <c r="AB158" s="1699"/>
      <c r="AC158" s="1695"/>
      <c r="AD158" s="1695"/>
      <c r="AE158" s="1695"/>
      <c r="AF158" s="1695"/>
      <c r="AG158" s="1695"/>
      <c r="AH158" s="1796">
        <v>12.64460873851313</v>
      </c>
      <c r="AI158" s="1793">
        <v>2.2565962999331441</v>
      </c>
      <c r="AJ158" s="1797">
        <v>37</v>
      </c>
      <c r="AK158" s="1782"/>
      <c r="AL158" s="1791"/>
      <c r="AM158" s="1791"/>
      <c r="AN158" s="1798"/>
      <c r="AO158" s="1699"/>
      <c r="AP158" s="1729"/>
      <c r="AQ158" s="1687" t="s">
        <v>1804</v>
      </c>
      <c r="AR158" s="1687" t="s">
        <v>1817</v>
      </c>
      <c r="BD158" s="1687">
        <v>2650.38</v>
      </c>
      <c r="BE158" s="1687">
        <v>3350.73</v>
      </c>
      <c r="BF158" s="1687">
        <f t="shared" si="18"/>
        <v>1.2642451271138477</v>
      </c>
    </row>
    <row r="159" spans="1:58">
      <c r="A159" s="2433"/>
      <c r="B159" s="1699"/>
      <c r="C159" s="1696"/>
      <c r="D159" s="1696"/>
      <c r="E159" s="1695"/>
      <c r="F159" s="1695"/>
      <c r="G159" s="1745"/>
      <c r="H159" s="1745"/>
      <c r="I159" s="1745"/>
      <c r="J159" s="1745"/>
      <c r="K159" s="1695"/>
      <c r="L159" s="1805"/>
      <c r="M159" s="1699"/>
      <c r="N159" s="1695"/>
      <c r="O159" s="1695"/>
      <c r="P159" s="1745"/>
      <c r="Q159" s="1745"/>
      <c r="R159" s="1745"/>
      <c r="S159" s="1745"/>
      <c r="T159" s="1805"/>
      <c r="U159" s="1787" t="s">
        <v>1476</v>
      </c>
      <c r="V159" s="1699"/>
      <c r="W159" s="1695"/>
      <c r="X159" s="1695"/>
      <c r="Y159" s="1695"/>
      <c r="Z159" s="1695"/>
      <c r="AA159" s="1695"/>
      <c r="AB159" s="1699"/>
      <c r="AC159" s="1695"/>
      <c r="AD159" s="1695"/>
      <c r="AE159" s="1695"/>
      <c r="AF159" s="1695"/>
      <c r="AG159" s="1695"/>
      <c r="AH159" s="1800"/>
      <c r="AI159" s="1791"/>
      <c r="AJ159" s="1782"/>
      <c r="AK159" s="1782"/>
      <c r="AL159" s="1793">
        <v>58.734585925980568</v>
      </c>
      <c r="AM159" s="1793">
        <v>12.720092983023894</v>
      </c>
      <c r="AN159" s="1794">
        <v>33</v>
      </c>
      <c r="AO159" s="1699"/>
      <c r="AP159" s="1729"/>
      <c r="AQ159" s="1687">
        <v>1.5</v>
      </c>
      <c r="AR159" s="1687">
        <f t="shared" ref="AR159:AR165" si="19">AO161/AQ159</f>
        <v>4.2666666666666666</v>
      </c>
      <c r="AS159" s="1687" t="s">
        <v>1837</v>
      </c>
      <c r="AT159" s="1687">
        <f>AVERAGE(AR159:AR165)</f>
        <v>4.2681782312925174</v>
      </c>
      <c r="BD159" s="1687">
        <v>3087.7</v>
      </c>
      <c r="BE159" s="1687">
        <v>3924.38</v>
      </c>
      <c r="BF159" s="1687">
        <f t="shared" si="18"/>
        <v>1.2709719208472328</v>
      </c>
    </row>
    <row r="160" spans="1:58">
      <c r="A160" s="2433"/>
      <c r="B160" s="1699"/>
      <c r="C160" s="1696"/>
      <c r="D160" s="1696"/>
      <c r="E160" s="1695"/>
      <c r="F160" s="1695"/>
      <c r="G160" s="1745"/>
      <c r="H160" s="1745"/>
      <c r="I160" s="1745"/>
      <c r="J160" s="1745"/>
      <c r="K160" s="1695"/>
      <c r="L160" s="1805"/>
      <c r="M160" s="1699"/>
      <c r="N160" s="1695"/>
      <c r="O160" s="1695"/>
      <c r="P160" s="1745"/>
      <c r="Q160" s="1745"/>
      <c r="R160" s="1745"/>
      <c r="S160" s="1745"/>
      <c r="T160" s="1805"/>
      <c r="U160" s="1787" t="s">
        <v>1477</v>
      </c>
      <c r="V160" s="1699"/>
      <c r="W160" s="1695"/>
      <c r="X160" s="1695"/>
      <c r="Y160" s="1695"/>
      <c r="Z160" s="1695"/>
      <c r="AA160" s="1695"/>
      <c r="AB160" s="1699"/>
      <c r="AC160" s="1695"/>
      <c r="AD160" s="1695"/>
      <c r="AE160" s="1695"/>
      <c r="AF160" s="1695"/>
      <c r="AG160" s="1695"/>
      <c r="AH160" s="1796">
        <v>3.2958445348017729</v>
      </c>
      <c r="AI160" s="1793">
        <v>0.48883173265428237</v>
      </c>
      <c r="AJ160" s="1797">
        <v>36</v>
      </c>
      <c r="AK160" s="1782"/>
      <c r="AL160" s="1782"/>
      <c r="AM160" s="1782"/>
      <c r="AN160" s="1798"/>
      <c r="AO160" s="1699"/>
      <c r="AP160" s="1729"/>
      <c r="AQ160" s="1687">
        <v>2</v>
      </c>
      <c r="AR160" s="1687">
        <f t="shared" si="19"/>
        <v>3.8094999999999999</v>
      </c>
      <c r="AS160" s="1687" t="s">
        <v>1838</v>
      </c>
      <c r="AT160" s="1687">
        <f>STDEV(AR159:AR165)</f>
        <v>0.52751092376632147</v>
      </c>
      <c r="BD160" s="1687">
        <v>3609.03</v>
      </c>
      <c r="BE160" s="1687">
        <v>4615.63</v>
      </c>
      <c r="BF160" s="1687">
        <f t="shared" si="18"/>
        <v>1.278911508078348</v>
      </c>
    </row>
    <row r="161" spans="1:76">
      <c r="A161" s="2433"/>
      <c r="B161" s="1699"/>
      <c r="C161" s="1696"/>
      <c r="D161" s="1696"/>
      <c r="E161" s="1695"/>
      <c r="F161" s="1695"/>
      <c r="G161" s="1745"/>
      <c r="H161" s="1745"/>
      <c r="I161" s="1745"/>
      <c r="J161" s="1745"/>
      <c r="K161" s="1695"/>
      <c r="L161" s="1805"/>
      <c r="M161" s="1699"/>
      <c r="N161" s="1695"/>
      <c r="O161" s="1695"/>
      <c r="P161" s="1745"/>
      <c r="Q161" s="1745"/>
      <c r="R161" s="1745"/>
      <c r="S161" s="1745"/>
      <c r="T161" s="1805"/>
      <c r="U161" s="1787" t="s">
        <v>1496</v>
      </c>
      <c r="V161" s="1699"/>
      <c r="W161" s="1695"/>
      <c r="X161" s="1695"/>
      <c r="Y161" s="1695"/>
      <c r="Z161" s="1695"/>
      <c r="AA161" s="1695"/>
      <c r="AB161" s="1699"/>
      <c r="AC161" s="1695"/>
      <c r="AD161" s="1695"/>
      <c r="AE161" s="1695"/>
      <c r="AF161" s="1695"/>
      <c r="AG161" s="1695"/>
      <c r="AH161" s="1699"/>
      <c r="AI161" s="1695"/>
      <c r="AJ161" s="1695"/>
      <c r="AK161" s="1695"/>
      <c r="AL161" s="1695"/>
      <c r="AM161" s="1695"/>
      <c r="AN161" s="1695"/>
      <c r="AO161" s="1757">
        <v>6.4</v>
      </c>
      <c r="AP161" s="1758">
        <v>50.98</v>
      </c>
      <c r="AQ161" s="1687">
        <v>2.5</v>
      </c>
      <c r="AR161" s="1687">
        <f t="shared" si="19"/>
        <v>3.7648000000000001</v>
      </c>
      <c r="BD161" s="1687">
        <v>4844.88</v>
      </c>
      <c r="BE161" s="1687">
        <v>6292.13</v>
      </c>
      <c r="BF161" s="1687">
        <f t="shared" si="18"/>
        <v>1.2987174088935123</v>
      </c>
      <c r="BQ161" s="2045"/>
      <c r="BR161" s="2045"/>
      <c r="BS161" s="2045"/>
      <c r="BT161" s="2045"/>
      <c r="BU161" s="1342"/>
      <c r="BV161" s="1342"/>
      <c r="BW161" s="1342"/>
      <c r="BX161" s="1342"/>
    </row>
    <row r="162" spans="1:76">
      <c r="A162" s="2433"/>
      <c r="B162" s="1699"/>
      <c r="C162" s="1696"/>
      <c r="D162" s="1696"/>
      <c r="E162" s="1695"/>
      <c r="F162" s="1695"/>
      <c r="G162" s="1745"/>
      <c r="H162" s="1745"/>
      <c r="I162" s="1745"/>
      <c r="J162" s="1745"/>
      <c r="K162" s="1695"/>
      <c r="L162" s="1805"/>
      <c r="M162" s="1699"/>
      <c r="N162" s="1695"/>
      <c r="O162" s="1695"/>
      <c r="P162" s="1745"/>
      <c r="Q162" s="1745"/>
      <c r="R162" s="1745"/>
      <c r="S162" s="1745"/>
      <c r="T162" s="1805"/>
      <c r="U162" s="1787" t="s">
        <v>1497</v>
      </c>
      <c r="V162" s="1699"/>
      <c r="W162" s="1695"/>
      <c r="X162" s="1695"/>
      <c r="Y162" s="1695"/>
      <c r="Z162" s="1695"/>
      <c r="AA162" s="1695"/>
      <c r="AB162" s="1699"/>
      <c r="AC162" s="1695"/>
      <c r="AD162" s="1695"/>
      <c r="AE162" s="1695"/>
      <c r="AF162" s="1695"/>
      <c r="AG162" s="1695"/>
      <c r="AH162" s="1699"/>
      <c r="AI162" s="1695"/>
      <c r="AJ162" s="1695"/>
      <c r="AK162" s="1695"/>
      <c r="AL162" s="1695"/>
      <c r="AM162" s="1695"/>
      <c r="AN162" s="1695"/>
      <c r="AO162" s="1757">
        <v>7.6189999999999998</v>
      </c>
      <c r="AP162" s="1758">
        <v>50.98</v>
      </c>
      <c r="AQ162" s="1687">
        <v>3</v>
      </c>
      <c r="AR162" s="1687">
        <f t="shared" si="19"/>
        <v>4.1026666666666669</v>
      </c>
      <c r="BD162" s="1687">
        <v>6655.25</v>
      </c>
      <c r="BE162" s="1687">
        <v>8322.1299999999992</v>
      </c>
      <c r="BF162" s="1687">
        <f t="shared" si="18"/>
        <v>1.2504609143157657</v>
      </c>
      <c r="BQ162" s="2045"/>
      <c r="BR162" s="2045"/>
      <c r="BS162" s="2045"/>
      <c r="BT162" s="2045"/>
      <c r="BU162" s="1342"/>
      <c r="BV162" s="1342"/>
      <c r="BW162" s="1342"/>
      <c r="BX162" s="1342"/>
    </row>
    <row r="163" spans="1:76">
      <c r="A163" s="2433"/>
      <c r="B163" s="1699"/>
      <c r="C163" s="1696"/>
      <c r="D163" s="1696"/>
      <c r="E163" s="1695"/>
      <c r="F163" s="1695"/>
      <c r="G163" s="1745"/>
      <c r="H163" s="1745"/>
      <c r="I163" s="1745"/>
      <c r="J163" s="1745"/>
      <c r="K163" s="1695"/>
      <c r="L163" s="1805"/>
      <c r="M163" s="1699"/>
      <c r="N163" s="1695"/>
      <c r="O163" s="1695"/>
      <c r="P163" s="1745"/>
      <c r="Q163" s="1745"/>
      <c r="R163" s="1745"/>
      <c r="S163" s="1745"/>
      <c r="T163" s="1805"/>
      <c r="U163" s="1787" t="s">
        <v>1498</v>
      </c>
      <c r="V163" s="1699"/>
      <c r="W163" s="1695"/>
      <c r="X163" s="1695"/>
      <c r="Y163" s="1695"/>
      <c r="Z163" s="1695"/>
      <c r="AA163" s="1695"/>
      <c r="AB163" s="1699"/>
      <c r="AC163" s="1695"/>
      <c r="AD163" s="1695"/>
      <c r="AE163" s="1695"/>
      <c r="AF163" s="1695"/>
      <c r="AG163" s="1695"/>
      <c r="AH163" s="1699"/>
      <c r="AI163" s="1695"/>
      <c r="AJ163" s="1695"/>
      <c r="AK163" s="1695"/>
      <c r="AL163" s="1695"/>
      <c r="AM163" s="1695"/>
      <c r="AN163" s="1695"/>
      <c r="AO163" s="1757">
        <v>9.4120000000000008</v>
      </c>
      <c r="AP163" s="1758">
        <v>50.98</v>
      </c>
      <c r="AQ163" s="1687">
        <v>3.5</v>
      </c>
      <c r="AR163" s="1687">
        <f t="shared" si="19"/>
        <v>4.1557142857142857</v>
      </c>
      <c r="BD163" s="1687">
        <v>7730.63</v>
      </c>
      <c r="BE163" s="1687">
        <v>9548</v>
      </c>
      <c r="BF163" s="1687">
        <f t="shared" si="18"/>
        <v>1.2350869204709061</v>
      </c>
      <c r="BQ163" s="2045"/>
      <c r="BR163" s="2045"/>
      <c r="BS163" s="2045"/>
      <c r="BT163" s="2045"/>
      <c r="BU163" s="1342"/>
      <c r="BV163" s="1342"/>
      <c r="BW163" s="1342"/>
      <c r="BX163" s="1342"/>
    </row>
    <row r="164" spans="1:76">
      <c r="A164" s="2433"/>
      <c r="B164" s="1699"/>
      <c r="C164" s="1696"/>
      <c r="D164" s="1696"/>
      <c r="E164" s="1695"/>
      <c r="F164" s="1695"/>
      <c r="G164" s="1745"/>
      <c r="H164" s="1745"/>
      <c r="I164" s="1745"/>
      <c r="J164" s="1745"/>
      <c r="K164" s="1695"/>
      <c r="L164" s="1805"/>
      <c r="M164" s="1699"/>
      <c r="N164" s="1695"/>
      <c r="O164" s="1695"/>
      <c r="P164" s="1745"/>
      <c r="Q164" s="1745"/>
      <c r="R164" s="1745"/>
      <c r="S164" s="1745"/>
      <c r="T164" s="1805"/>
      <c r="U164" s="1787" t="s">
        <v>1499</v>
      </c>
      <c r="V164" s="1699"/>
      <c r="W164" s="1695"/>
      <c r="X164" s="1695"/>
      <c r="Y164" s="1695"/>
      <c r="Z164" s="1695"/>
      <c r="AA164" s="1695"/>
      <c r="AB164" s="1699"/>
      <c r="AC164" s="1695"/>
      <c r="AD164" s="1695"/>
      <c r="AE164" s="1695"/>
      <c r="AF164" s="1695"/>
      <c r="AG164" s="1695"/>
      <c r="AH164" s="1699"/>
      <c r="AI164" s="1695"/>
      <c r="AJ164" s="1695"/>
      <c r="AK164" s="1695"/>
      <c r="AL164" s="1695"/>
      <c r="AM164" s="1695"/>
      <c r="AN164" s="1695"/>
      <c r="AO164" s="1743">
        <v>12.308</v>
      </c>
      <c r="AP164" s="1758">
        <v>50.98</v>
      </c>
      <c r="AQ164" s="1687">
        <v>4</v>
      </c>
      <c r="AR164" s="1687">
        <f t="shared" si="19"/>
        <v>4.4444999999999997</v>
      </c>
      <c r="BF164" s="1687">
        <f>AVERAGE(BF155:BF163)</f>
        <v>1.2528994648453269</v>
      </c>
      <c r="BQ164" s="2045"/>
      <c r="BR164" s="2045"/>
      <c r="BS164" s="2045"/>
      <c r="BT164" s="2045"/>
      <c r="BU164" s="1342"/>
      <c r="BV164" s="1342"/>
      <c r="BW164" s="1342"/>
      <c r="BX164" s="1342"/>
    </row>
    <row r="165" spans="1:76">
      <c r="A165" s="2433"/>
      <c r="B165" s="1699"/>
      <c r="C165" s="1696"/>
      <c r="D165" s="1696"/>
      <c r="E165" s="1695"/>
      <c r="F165" s="1695"/>
      <c r="G165" s="1745"/>
      <c r="H165" s="1745"/>
      <c r="I165" s="1745"/>
      <c r="J165" s="1745"/>
      <c r="K165" s="1695"/>
      <c r="L165" s="1805"/>
      <c r="M165" s="1699"/>
      <c r="N165" s="1695"/>
      <c r="O165" s="1695"/>
      <c r="P165" s="1745"/>
      <c r="Q165" s="1745"/>
      <c r="R165" s="1745"/>
      <c r="S165" s="1745"/>
      <c r="T165" s="1805"/>
      <c r="U165" s="1787" t="s">
        <v>1500</v>
      </c>
      <c r="V165" s="1699"/>
      <c r="W165" s="1695"/>
      <c r="X165" s="1695"/>
      <c r="Y165" s="1695"/>
      <c r="Z165" s="1695"/>
      <c r="AA165" s="1695"/>
      <c r="AB165" s="1699"/>
      <c r="AC165" s="1695"/>
      <c r="AD165" s="1695"/>
      <c r="AE165" s="1695"/>
      <c r="AF165" s="1695"/>
      <c r="AG165" s="1695"/>
      <c r="AH165" s="1699"/>
      <c r="AI165" s="1695"/>
      <c r="AJ165" s="1695"/>
      <c r="AK165" s="1695"/>
      <c r="AL165" s="1695"/>
      <c r="AM165" s="1695"/>
      <c r="AN165" s="1695"/>
      <c r="AO165" s="1743">
        <v>14.545</v>
      </c>
      <c r="AP165" s="1758">
        <v>50.98</v>
      </c>
      <c r="AQ165" s="1687">
        <v>5</v>
      </c>
      <c r="AR165" s="1687">
        <f t="shared" si="19"/>
        <v>5.3334000000000001</v>
      </c>
      <c r="BQ165" s="2045"/>
      <c r="BR165" s="2045"/>
      <c r="BS165" s="2045"/>
      <c r="BT165" s="2045"/>
      <c r="BU165" s="1342"/>
      <c r="BV165" s="1342"/>
      <c r="BW165" s="1342"/>
      <c r="BX165" s="1342"/>
    </row>
    <row r="166" spans="1:76" ht="11.25" customHeight="1">
      <c r="A166" s="2433"/>
      <c r="B166" s="1699"/>
      <c r="C166" s="1696"/>
      <c r="D166" s="1696"/>
      <c r="E166" s="1695"/>
      <c r="F166" s="1695"/>
      <c r="G166" s="1745"/>
      <c r="H166" s="1745"/>
      <c r="I166" s="1745"/>
      <c r="J166" s="1745"/>
      <c r="K166" s="1695"/>
      <c r="L166" s="1805"/>
      <c r="M166" s="1699"/>
      <c r="N166" s="1695"/>
      <c r="O166" s="1695"/>
      <c r="P166" s="1745"/>
      <c r="Q166" s="1745"/>
      <c r="R166" s="1745"/>
      <c r="S166" s="1745"/>
      <c r="T166" s="1805"/>
      <c r="U166" s="1787" t="s">
        <v>1501</v>
      </c>
      <c r="V166" s="1699"/>
      <c r="W166" s="1695"/>
      <c r="X166" s="1695"/>
      <c r="Y166" s="1695"/>
      <c r="Z166" s="1695"/>
      <c r="AA166" s="1695"/>
      <c r="AB166" s="1699"/>
      <c r="AC166" s="1695"/>
      <c r="AD166" s="1695"/>
      <c r="AE166" s="1695"/>
      <c r="AF166" s="1695"/>
      <c r="AG166" s="1695"/>
      <c r="AH166" s="1699"/>
      <c r="AI166" s="1695"/>
      <c r="AJ166" s="1695"/>
      <c r="AK166" s="1695"/>
      <c r="AL166" s="1695"/>
      <c r="AM166" s="1695"/>
      <c r="AN166" s="1695"/>
      <c r="AO166" s="1743">
        <v>17.777999999999999</v>
      </c>
      <c r="AP166" s="1758">
        <v>50.98</v>
      </c>
      <c r="BQ166" s="2045"/>
      <c r="BR166" s="2045"/>
      <c r="BS166" s="2045"/>
      <c r="BT166" s="2045"/>
      <c r="BU166" s="1342"/>
      <c r="BV166" s="1342"/>
      <c r="BW166" s="1342"/>
      <c r="BX166" s="1342"/>
    </row>
    <row r="167" spans="1:76" ht="19.5" thickBot="1">
      <c r="A167" s="1766"/>
      <c r="B167" s="1699"/>
      <c r="C167" s="1696"/>
      <c r="D167" s="1696"/>
      <c r="E167" s="1695"/>
      <c r="F167" s="1695"/>
      <c r="G167" s="1745"/>
      <c r="H167" s="1745"/>
      <c r="I167" s="1745"/>
      <c r="J167" s="1745"/>
      <c r="K167" s="1695"/>
      <c r="L167" s="1805"/>
      <c r="M167" s="1699"/>
      <c r="N167" s="1695"/>
      <c r="O167" s="1695"/>
      <c r="P167" s="1745"/>
      <c r="Q167" s="1745"/>
      <c r="R167" s="1745"/>
      <c r="S167" s="1745"/>
      <c r="T167" s="1805"/>
      <c r="U167" s="1787" t="s">
        <v>1502</v>
      </c>
      <c r="V167" s="1699"/>
      <c r="W167" s="1695"/>
      <c r="X167" s="1695"/>
      <c r="Y167" s="1695"/>
      <c r="Z167" s="1695"/>
      <c r="AA167" s="1695"/>
      <c r="AB167" s="1699"/>
      <c r="AC167" s="1695"/>
      <c r="AD167" s="1695"/>
      <c r="AE167" s="1695"/>
      <c r="AF167" s="1695"/>
      <c r="AG167" s="1695"/>
      <c r="AH167" s="1699"/>
      <c r="AI167" s="1695"/>
      <c r="AJ167" s="1695"/>
      <c r="AK167" s="1695"/>
      <c r="AL167" s="1695"/>
      <c r="AM167" s="1695"/>
      <c r="AN167" s="1695"/>
      <c r="AO167" s="1801">
        <v>26.667000000000002</v>
      </c>
      <c r="AP167" s="1802">
        <v>50.98</v>
      </c>
      <c r="AQ167" s="1687">
        <f>V169/20</f>
        <v>1.35</v>
      </c>
      <c r="AR167" s="1687">
        <f>AB169/20</f>
        <v>2.5</v>
      </c>
      <c r="BG167" s="1687" t="s">
        <v>2669</v>
      </c>
      <c r="BQ167" s="2045"/>
      <c r="BR167" s="2045"/>
      <c r="BS167" s="2045"/>
      <c r="BT167" s="2045"/>
      <c r="BU167" s="1342"/>
      <c r="BV167" s="1342"/>
      <c r="BW167" s="1342"/>
      <c r="BX167" s="1342"/>
    </row>
    <row r="168" spans="1:76" ht="19.5" thickBot="1">
      <c r="A168" s="1746"/>
      <c r="B168" s="1715"/>
      <c r="C168" s="1716"/>
      <c r="D168" s="1716"/>
      <c r="E168" s="1715"/>
      <c r="F168" s="1715"/>
      <c r="G168" s="1717"/>
      <c r="H168" s="1717"/>
      <c r="I168" s="1717"/>
      <c r="J168" s="1717"/>
      <c r="K168" s="1715"/>
      <c r="L168" s="1717"/>
      <c r="M168" s="1718"/>
      <c r="N168" s="1715"/>
      <c r="O168" s="1715"/>
      <c r="P168" s="1717"/>
      <c r="Q168" s="1717"/>
      <c r="R168" s="1717"/>
      <c r="S168" s="1717"/>
      <c r="T168" s="1717"/>
      <c r="U168" s="1718"/>
      <c r="V168" s="1718"/>
      <c r="W168" s="1715"/>
      <c r="X168" s="1715"/>
      <c r="Y168" s="1715"/>
      <c r="Z168" s="1715"/>
      <c r="AA168" s="1715"/>
      <c r="AB168" s="1718"/>
      <c r="AC168" s="1715"/>
      <c r="AD168" s="1715"/>
      <c r="AE168" s="1715"/>
      <c r="AF168" s="1715"/>
      <c r="AG168" s="1715"/>
      <c r="AH168" s="1718"/>
      <c r="AI168" s="1715"/>
      <c r="AJ168" s="1715"/>
      <c r="AK168" s="1715"/>
      <c r="AL168" s="1715"/>
      <c r="AM168" s="1715"/>
      <c r="AN168" s="1715"/>
      <c r="AO168" s="1718"/>
      <c r="AP168" s="1719"/>
      <c r="AQ168" s="1687">
        <f>V170/20</f>
        <v>1.35</v>
      </c>
      <c r="AR168" s="1687">
        <f>AB170/20</f>
        <v>2.65</v>
      </c>
      <c r="BG168" s="1687" t="s">
        <v>1804</v>
      </c>
      <c r="BH168" s="1687" t="s">
        <v>2667</v>
      </c>
      <c r="BI168" s="1687" t="s">
        <v>2668</v>
      </c>
      <c r="BQ168" s="2045"/>
      <c r="BR168" s="2045"/>
      <c r="BS168" s="2045"/>
      <c r="BT168" s="2045"/>
      <c r="BU168" s="1342"/>
      <c r="BV168" s="1342"/>
      <c r="BW168" s="1342"/>
      <c r="BX168" s="1342"/>
    </row>
    <row r="169" spans="1:76">
      <c r="A169" s="2432" t="s">
        <v>1137</v>
      </c>
      <c r="B169" s="1770" t="s">
        <v>1802</v>
      </c>
      <c r="C169" s="1771" t="s">
        <v>1804</v>
      </c>
      <c r="D169" s="1771" t="s">
        <v>1805</v>
      </c>
      <c r="E169" s="1772">
        <f>SUM(AH174:AH177)/40</f>
        <v>1.523187883055235</v>
      </c>
      <c r="F169" s="1772" t="s">
        <v>2666</v>
      </c>
      <c r="G169" s="1774"/>
      <c r="H169" s="2456">
        <f>E169*G170</f>
        <v>107.67504252165706</v>
      </c>
      <c r="I169" s="1736">
        <f>AL176/40</f>
        <v>1.4683646481495143</v>
      </c>
      <c r="J169" s="1774">
        <f>AL173</f>
        <v>598.37801194433382</v>
      </c>
      <c r="K169" s="2428">
        <v>0.27500000000000002</v>
      </c>
      <c r="L169" s="2451">
        <f>((E169*G170)+I169+I171)*(1+K169)</f>
        <v>457.86686199864619</v>
      </c>
      <c r="M169" s="1757" t="s">
        <v>1848</v>
      </c>
      <c r="N169" s="2459" t="s">
        <v>1842</v>
      </c>
      <c r="O169" s="1859">
        <f>AT179</f>
        <v>3.2484888888888892</v>
      </c>
      <c r="P169" s="1774">
        <f>AP178*BQ22</f>
        <v>59.037135639469774</v>
      </c>
      <c r="Q169" s="1774">
        <f>O169*P169</f>
        <v>191.7814791566438</v>
      </c>
      <c r="R169" s="1774"/>
      <c r="S169" s="1774"/>
      <c r="T169" s="1780">
        <f>O169*P169</f>
        <v>191.7814791566438</v>
      </c>
      <c r="U169" s="1733" t="s">
        <v>1503</v>
      </c>
      <c r="V169" s="1757">
        <v>27</v>
      </c>
      <c r="W169" s="1857">
        <v>108</v>
      </c>
      <c r="X169" s="1857">
        <v>2912</v>
      </c>
      <c r="Y169" s="1857">
        <v>1000</v>
      </c>
      <c r="Z169" s="1857">
        <v>1500</v>
      </c>
      <c r="AA169" s="1858">
        <v>6587</v>
      </c>
      <c r="AB169" s="1757">
        <v>50</v>
      </c>
      <c r="AC169" s="1857">
        <v>96</v>
      </c>
      <c r="AD169" s="1857">
        <v>5091</v>
      </c>
      <c r="AE169" s="1857">
        <v>714</v>
      </c>
      <c r="AF169" s="1857">
        <v>600</v>
      </c>
      <c r="AG169" s="1858">
        <v>799</v>
      </c>
      <c r="AH169" s="1699"/>
      <c r="AI169" s="1695"/>
      <c r="AJ169" s="1695"/>
      <c r="AK169" s="1695"/>
      <c r="AL169" s="1695"/>
      <c r="AM169" s="1695"/>
      <c r="AN169" s="1695"/>
      <c r="AO169" s="1699"/>
      <c r="AP169" s="1729"/>
      <c r="AQ169" s="1687">
        <f>V171/20</f>
        <v>1.35</v>
      </c>
      <c r="AR169" s="1687">
        <f>AB171/20</f>
        <v>2.35</v>
      </c>
      <c r="BG169" s="1687">
        <v>5</v>
      </c>
      <c r="BH169" s="1687">
        <v>6.27</v>
      </c>
      <c r="BI169" s="1689">
        <f>SUM(AH157:AH160)</f>
        <v>31.353832233535051</v>
      </c>
      <c r="BQ169" s="2045"/>
      <c r="BR169" s="2045"/>
      <c r="BS169" s="2045"/>
      <c r="BT169" s="2045"/>
      <c r="BU169" s="1342"/>
      <c r="BV169" s="1342"/>
      <c r="BW169" s="1342"/>
      <c r="BX169" s="1342"/>
    </row>
    <row r="170" spans="1:76">
      <c r="A170" s="2433"/>
      <c r="B170" s="1786" t="s">
        <v>1811</v>
      </c>
      <c r="C170" s="1771" t="s">
        <v>1804</v>
      </c>
      <c r="D170" s="1787" t="s">
        <v>1812</v>
      </c>
      <c r="E170" s="1788"/>
      <c r="F170" s="1789"/>
      <c r="G170" s="1738">
        <f>AVERAGE(W169:W172,AC169:AC172)*BS7</f>
        <v>70.690585002344363</v>
      </c>
      <c r="H170" s="2458"/>
      <c r="I170" s="1737"/>
      <c r="J170" s="1846"/>
      <c r="K170" s="2429"/>
      <c r="L170" s="2452"/>
      <c r="M170" s="1757" t="s">
        <v>1849</v>
      </c>
      <c r="N170" s="2460"/>
      <c r="O170" s="1861">
        <f>AT180</f>
        <v>2.7161883333333332</v>
      </c>
      <c r="P170" s="1738">
        <f>AP181*BQ22</f>
        <v>61.225840746543092</v>
      </c>
      <c r="Q170" s="1774">
        <f t="shared" ref="Q170:Q173" si="20">O170*P170</f>
        <v>166.30091433428495</v>
      </c>
      <c r="R170" s="1736"/>
      <c r="S170" s="1736"/>
      <c r="T170" s="1780">
        <f>O170*P170</f>
        <v>166.30091433428495</v>
      </c>
      <c r="U170" s="1733" t="s">
        <v>1504</v>
      </c>
      <c r="V170" s="1757">
        <v>27</v>
      </c>
      <c r="W170" s="1857">
        <v>108</v>
      </c>
      <c r="X170" s="1857">
        <v>2912</v>
      </c>
      <c r="Y170" s="1857">
        <v>1100</v>
      </c>
      <c r="Z170" s="1857">
        <v>1500</v>
      </c>
      <c r="AA170" s="1858">
        <v>6387</v>
      </c>
      <c r="AB170" s="1757">
        <v>53</v>
      </c>
      <c r="AC170" s="1857">
        <v>96</v>
      </c>
      <c r="AD170" s="1857">
        <v>5381</v>
      </c>
      <c r="AE170" s="1857">
        <v>814</v>
      </c>
      <c r="AF170" s="1857">
        <v>600</v>
      </c>
      <c r="AG170" s="1858">
        <v>799</v>
      </c>
      <c r="AH170" s="1862"/>
      <c r="AI170" s="1863"/>
      <c r="AJ170" s="1863"/>
      <c r="AK170" s="1863"/>
      <c r="AL170" s="1863"/>
      <c r="AM170" s="1863"/>
      <c r="AN170" s="1863"/>
      <c r="AO170" s="1862"/>
      <c r="AP170" s="1864"/>
      <c r="AQ170" s="1687">
        <f>V172/70</f>
        <v>1</v>
      </c>
      <c r="AR170" s="1687">
        <f>AB172/70</f>
        <v>1.2285714285714286</v>
      </c>
      <c r="BG170" s="1687">
        <v>40</v>
      </c>
      <c r="BH170" s="1687">
        <v>1.52</v>
      </c>
      <c r="BI170" s="1689">
        <f>SUM(AH174:AH177)</f>
        <v>60.927515322209402</v>
      </c>
      <c r="BQ170" s="2045"/>
      <c r="BR170" s="2045"/>
      <c r="BS170" s="2045"/>
      <c r="BT170" s="2045"/>
      <c r="BU170" s="1342"/>
      <c r="BV170" s="1342"/>
      <c r="BW170" s="1342"/>
      <c r="BX170" s="1342"/>
    </row>
    <row r="171" spans="1:76">
      <c r="A171" s="2433"/>
      <c r="B171" s="1786" t="s">
        <v>2055</v>
      </c>
      <c r="C171" s="1787" t="s">
        <v>1804</v>
      </c>
      <c r="D171" s="1787" t="s">
        <v>1812</v>
      </c>
      <c r="E171" s="1788"/>
      <c r="F171" s="1789"/>
      <c r="G171" s="1774"/>
      <c r="H171" s="1774"/>
      <c r="I171" s="1738">
        <f>AVERAGE(R171:R173)</f>
        <v>249.96785714285716</v>
      </c>
      <c r="J171" s="1774"/>
      <c r="K171" s="1774"/>
      <c r="L171" s="2463"/>
      <c r="M171" s="1792" t="s">
        <v>1843</v>
      </c>
      <c r="N171" s="1782"/>
      <c r="O171" s="1791">
        <f>AVERAGE(V169:V170,AB169:AB170)/20</f>
        <v>1.9624999999999999</v>
      </c>
      <c r="P171" s="1738">
        <f>G170</f>
        <v>70.690585002344363</v>
      </c>
      <c r="Q171" s="1774">
        <f t="shared" si="20"/>
        <v>138.7302730671008</v>
      </c>
      <c r="R171" s="1738">
        <f>((SUM(Y169,AE169,Y170,AE170,AA169:AA170,AG169:AG170)/4)/20)</f>
        <v>227.5</v>
      </c>
      <c r="S171" s="1738">
        <f>AVERAGE(Z169:Z170,AF169:AF170)</f>
        <v>1050</v>
      </c>
      <c r="T171" s="1751">
        <f>O171*P171+R171</f>
        <v>366.23027306710082</v>
      </c>
      <c r="U171" s="1733" t="s">
        <v>1505</v>
      </c>
      <c r="V171" s="1757">
        <v>27</v>
      </c>
      <c r="W171" s="1857">
        <v>108</v>
      </c>
      <c r="X171" s="1857">
        <v>2912</v>
      </c>
      <c r="Y171" s="1857">
        <v>1910</v>
      </c>
      <c r="Z171" s="1857">
        <v>2500</v>
      </c>
      <c r="AA171" s="1858">
        <v>7196</v>
      </c>
      <c r="AB171" s="1757">
        <v>47</v>
      </c>
      <c r="AC171" s="1857">
        <v>97</v>
      </c>
      <c r="AD171" s="1857">
        <v>4541</v>
      </c>
      <c r="AE171" s="1857">
        <v>714</v>
      </c>
      <c r="AF171" s="1857">
        <v>1400</v>
      </c>
      <c r="AG171" s="1858">
        <v>799</v>
      </c>
      <c r="AH171" s="1699"/>
      <c r="AI171" s="1695"/>
      <c r="AJ171" s="1695"/>
      <c r="AK171" s="1695"/>
      <c r="AL171" s="1695"/>
      <c r="AM171" s="1695"/>
      <c r="AN171" s="1695"/>
      <c r="AO171" s="1699"/>
      <c r="AP171" s="1729"/>
      <c r="BG171" s="1687" t="s">
        <v>2670</v>
      </c>
      <c r="BQ171" s="2045"/>
      <c r="BR171" s="2045"/>
      <c r="BS171" s="2045"/>
      <c r="BT171" s="2045"/>
      <c r="BU171" s="1342"/>
      <c r="BV171" s="1342"/>
      <c r="BW171" s="1342"/>
      <c r="BX171" s="1342"/>
    </row>
    <row r="172" spans="1:76">
      <c r="A172" s="2433"/>
      <c r="B172" s="1699"/>
      <c r="C172" s="1696"/>
      <c r="D172" s="1696"/>
      <c r="E172" s="1695"/>
      <c r="F172" s="1695"/>
      <c r="G172" s="1745"/>
      <c r="H172" s="1745"/>
      <c r="I172" s="1745"/>
      <c r="J172" s="1745"/>
      <c r="K172" s="1695"/>
      <c r="L172" s="1805"/>
      <c r="M172" s="1792" t="s">
        <v>1844</v>
      </c>
      <c r="N172" s="1735"/>
      <c r="O172" s="1735">
        <f>AVERAGE(V171,AB171)/20</f>
        <v>1.85</v>
      </c>
      <c r="P172" s="1736">
        <f>G170</f>
        <v>70.690585002344363</v>
      </c>
      <c r="Q172" s="1774">
        <f t="shared" si="20"/>
        <v>130.77758225433709</v>
      </c>
      <c r="R172" s="1738">
        <f>((SUM(Y171,AE171,AA171,AG171)/2)/20)</f>
        <v>265.47500000000002</v>
      </c>
      <c r="S172" s="1738">
        <f>AVERAGE(Z171,AF171)</f>
        <v>1950</v>
      </c>
      <c r="T172" s="1751">
        <f t="shared" ref="T172:T173" si="21">O172*P172+R172</f>
        <v>396.25258225433709</v>
      </c>
      <c r="U172" s="1733" t="s">
        <v>1506</v>
      </c>
      <c r="V172" s="1757">
        <v>70</v>
      </c>
      <c r="W172" s="1857">
        <v>109</v>
      </c>
      <c r="X172" s="1857">
        <v>7616</v>
      </c>
      <c r="Y172" s="1857">
        <v>6175</v>
      </c>
      <c r="Z172" s="1857">
        <v>4500</v>
      </c>
      <c r="AA172" s="1865">
        <v>27781</v>
      </c>
      <c r="AB172" s="1757">
        <v>86</v>
      </c>
      <c r="AC172" s="1857">
        <v>95</v>
      </c>
      <c r="AD172" s="1857">
        <v>8213</v>
      </c>
      <c r="AE172" s="1857">
        <v>964</v>
      </c>
      <c r="AF172" s="1857">
        <v>2000</v>
      </c>
      <c r="AG172" s="1858">
        <v>1050</v>
      </c>
      <c r="AH172" s="1699"/>
      <c r="AI172" s="1695"/>
      <c r="AJ172" s="1695"/>
      <c r="AK172" s="1695"/>
      <c r="AL172" s="1695"/>
      <c r="AM172" s="1695"/>
      <c r="AN172" s="1695"/>
      <c r="AO172" s="1699"/>
      <c r="AP172" s="1729"/>
      <c r="BG172" s="1687">
        <v>20</v>
      </c>
      <c r="BI172" s="1690">
        <v>50</v>
      </c>
      <c r="BQ172" s="2045"/>
      <c r="BR172" s="2045"/>
      <c r="BS172" s="2045"/>
      <c r="BT172" s="2045"/>
      <c r="BU172" s="1342"/>
      <c r="BV172" s="1342"/>
      <c r="BW172" s="1342"/>
      <c r="BX172" s="1342"/>
    </row>
    <row r="173" spans="1:76">
      <c r="A173" s="2433"/>
      <c r="B173" s="1699"/>
      <c r="C173" s="1696"/>
      <c r="D173" s="1696"/>
      <c r="E173" s="1695"/>
      <c r="F173" s="1695"/>
      <c r="G173" s="1745"/>
      <c r="H173" s="1745"/>
      <c r="I173" s="1745"/>
      <c r="J173" s="1745"/>
      <c r="K173" s="1695"/>
      <c r="L173" s="1805"/>
      <c r="M173" s="1792" t="s">
        <v>1845</v>
      </c>
      <c r="N173" s="1735"/>
      <c r="O173" s="1861">
        <f>AVERAGE(V172,AB172)/70</f>
        <v>1.1142857142857143</v>
      </c>
      <c r="P173" s="1736">
        <f>G170</f>
        <v>70.690585002344363</v>
      </c>
      <c r="Q173" s="1774">
        <f t="shared" si="20"/>
        <v>78.769509002612295</v>
      </c>
      <c r="R173" s="1738">
        <f>((SUM(Y172,AE172,AA172,AG172)/2)/70)</f>
        <v>256.92857142857144</v>
      </c>
      <c r="S173" s="1738">
        <f>AVERAGE(Z172,AF172)</f>
        <v>3250</v>
      </c>
      <c r="T173" s="1751">
        <f t="shared" si="21"/>
        <v>335.69808043118371</v>
      </c>
      <c r="U173" s="1787" t="s">
        <v>1473</v>
      </c>
      <c r="V173" s="1699"/>
      <c r="W173" s="1695"/>
      <c r="X173" s="1695"/>
      <c r="Y173" s="1695"/>
      <c r="Z173" s="1695"/>
      <c r="AA173" s="1695"/>
      <c r="AB173" s="1699"/>
      <c r="AC173" s="1695"/>
      <c r="AD173" s="1695"/>
      <c r="AE173" s="1695"/>
      <c r="AF173" s="1695"/>
      <c r="AG173" s="1695"/>
      <c r="AH173" s="1743"/>
      <c r="AI173" s="1782"/>
      <c r="AJ173" s="1782"/>
      <c r="AK173" s="1782"/>
      <c r="AL173" s="1793">
        <v>598.37801194433382</v>
      </c>
      <c r="AM173" s="1793">
        <v>83.262110419695929</v>
      </c>
      <c r="AN173" s="1794">
        <v>37</v>
      </c>
      <c r="AO173" s="1699"/>
      <c r="AP173" s="1729"/>
      <c r="BG173" s="1687">
        <v>20</v>
      </c>
      <c r="BI173" s="1690">
        <v>53</v>
      </c>
      <c r="BQ173" s="2045"/>
      <c r="BR173" s="2045"/>
      <c r="BS173" s="2045"/>
      <c r="BT173" s="2045"/>
      <c r="BU173" s="1342"/>
      <c r="BV173" s="1342"/>
      <c r="BW173" s="1342"/>
      <c r="BX173" s="1342"/>
    </row>
    <row r="174" spans="1:76">
      <c r="A174" s="2433"/>
      <c r="B174" s="1699"/>
      <c r="C174" s="1696"/>
      <c r="D174" s="1696"/>
      <c r="E174" s="1695"/>
      <c r="F174" s="1695"/>
      <c r="G174" s="1745"/>
      <c r="H174" s="1745"/>
      <c r="I174" s="1745"/>
      <c r="J174" s="1745"/>
      <c r="K174" s="1695"/>
      <c r="L174" s="1805"/>
      <c r="M174" s="1847" t="s">
        <v>1939</v>
      </c>
      <c r="N174" s="1848"/>
      <c r="O174" s="1855" t="s">
        <v>1938</v>
      </c>
      <c r="P174" s="1754">
        <v>67.88</v>
      </c>
      <c r="Q174" s="1866" t="s">
        <v>2020</v>
      </c>
      <c r="R174" s="1774"/>
      <c r="S174" s="1774"/>
      <c r="T174" s="1866" t="s">
        <v>2020</v>
      </c>
      <c r="U174" s="1787" t="s">
        <v>1507</v>
      </c>
      <c r="V174" s="1699"/>
      <c r="W174" s="1695"/>
      <c r="X174" s="1695"/>
      <c r="Y174" s="1695"/>
      <c r="Z174" s="1695"/>
      <c r="AA174" s="1695"/>
      <c r="AB174" s="1699"/>
      <c r="AC174" s="1695"/>
      <c r="AD174" s="1695"/>
      <c r="AE174" s="1695"/>
      <c r="AF174" s="1695"/>
      <c r="AG174" s="1695"/>
      <c r="AH174" s="1796">
        <v>38.601385291863409</v>
      </c>
      <c r="AI174" s="1793">
        <v>4.7597333263615154</v>
      </c>
      <c r="AJ174" s="1797">
        <v>26</v>
      </c>
      <c r="AK174" s="1782"/>
      <c r="AL174" s="1791"/>
      <c r="AM174" s="1791"/>
      <c r="AN174" s="1798"/>
      <c r="AO174" s="1699"/>
      <c r="AP174" s="1729"/>
      <c r="BG174" s="1687">
        <v>20</v>
      </c>
      <c r="BI174" s="1690">
        <v>47</v>
      </c>
      <c r="BQ174" s="2045"/>
      <c r="BR174" s="2045"/>
      <c r="BS174" s="2045"/>
      <c r="BT174" s="2045"/>
      <c r="BU174" s="1342"/>
      <c r="BV174" s="1342"/>
      <c r="BW174" s="1342"/>
      <c r="BX174" s="1342"/>
    </row>
    <row r="175" spans="1:76">
      <c r="A175" s="2433"/>
      <c r="B175" s="1699"/>
      <c r="C175" s="1696"/>
      <c r="D175" s="1696"/>
      <c r="E175" s="1695"/>
      <c r="F175" s="1695"/>
      <c r="G175" s="1745"/>
      <c r="H175" s="1745"/>
      <c r="I175" s="1745"/>
      <c r="J175" s="1745"/>
      <c r="K175" s="1695"/>
      <c r="L175" s="1805"/>
      <c r="M175" s="1699"/>
      <c r="N175" s="1695"/>
      <c r="O175" s="1695"/>
      <c r="P175" s="1745"/>
      <c r="Q175" s="1745"/>
      <c r="R175" s="1745"/>
      <c r="S175" s="1745"/>
      <c r="T175" s="1805"/>
      <c r="U175" s="1787" t="s">
        <v>1475</v>
      </c>
      <c r="V175" s="1699"/>
      <c r="W175" s="1695"/>
      <c r="X175" s="1695"/>
      <c r="Y175" s="1695"/>
      <c r="Z175" s="1695"/>
      <c r="AA175" s="1695"/>
      <c r="AB175" s="1699"/>
      <c r="AC175" s="1695"/>
      <c r="AD175" s="1695"/>
      <c r="AE175" s="1695"/>
      <c r="AF175" s="1695"/>
      <c r="AG175" s="1695"/>
      <c r="AH175" s="1796">
        <v>12.64460873851313</v>
      </c>
      <c r="AI175" s="1793">
        <v>2.2565962999331441</v>
      </c>
      <c r="AJ175" s="1797">
        <v>37</v>
      </c>
      <c r="AK175" s="1782"/>
      <c r="AL175" s="1791"/>
      <c r="AM175" s="1791"/>
      <c r="AN175" s="1798"/>
      <c r="AO175" s="1699"/>
      <c r="AP175" s="1729"/>
      <c r="AQ175" s="1687" t="s">
        <v>1804</v>
      </c>
      <c r="AR175" s="1687" t="s">
        <v>1841</v>
      </c>
      <c r="BG175" s="1687">
        <v>70</v>
      </c>
      <c r="BI175" s="1690">
        <v>70</v>
      </c>
      <c r="BQ175" s="2045"/>
      <c r="BR175" s="2045"/>
      <c r="BS175" s="2045"/>
      <c r="BT175" s="2045"/>
      <c r="BU175" s="1342"/>
      <c r="BV175" s="1342"/>
      <c r="BW175" s="1342"/>
      <c r="BX175" s="1342"/>
    </row>
    <row r="176" spans="1:76">
      <c r="A176" s="2433"/>
      <c r="B176" s="1699"/>
      <c r="C176" s="1696"/>
      <c r="D176" s="1696"/>
      <c r="E176" s="1695"/>
      <c r="F176" s="1695"/>
      <c r="G176" s="1745"/>
      <c r="H176" s="1745"/>
      <c r="I176" s="1745"/>
      <c r="J176" s="1745"/>
      <c r="K176" s="1695"/>
      <c r="L176" s="1805"/>
      <c r="M176" s="1699"/>
      <c r="N176" s="1695"/>
      <c r="O176" s="1695"/>
      <c r="P176" s="1745"/>
      <c r="Q176" s="1745"/>
      <c r="R176" s="1745"/>
      <c r="S176" s="1745"/>
      <c r="T176" s="1805"/>
      <c r="U176" s="1787" t="s">
        <v>1476</v>
      </c>
      <c r="V176" s="1699"/>
      <c r="W176" s="1695"/>
      <c r="X176" s="1695"/>
      <c r="Y176" s="1695"/>
      <c r="Z176" s="1695"/>
      <c r="AA176" s="1695"/>
      <c r="AB176" s="1699"/>
      <c r="AC176" s="1695"/>
      <c r="AD176" s="1695"/>
      <c r="AE176" s="1695"/>
      <c r="AF176" s="1695"/>
      <c r="AG176" s="1695"/>
      <c r="AH176" s="1800"/>
      <c r="AI176" s="1791"/>
      <c r="AJ176" s="1782"/>
      <c r="AK176" s="1782"/>
      <c r="AL176" s="1793">
        <v>58.734585925980568</v>
      </c>
      <c r="AM176" s="1793">
        <v>12.720092983023894</v>
      </c>
      <c r="AN176" s="1794">
        <v>33</v>
      </c>
      <c r="AO176" s="1699"/>
      <c r="AP176" s="1729"/>
      <c r="AQ176" s="1687">
        <v>7.5</v>
      </c>
      <c r="AR176" s="1687">
        <f t="shared" ref="AR176:AR186" si="22">AO178/AQ176</f>
        <v>3.8788</v>
      </c>
      <c r="AS176" s="1687" t="s">
        <v>1837</v>
      </c>
      <c r="AT176" s="1687">
        <f>AVERAGE(AR176:AR186)</f>
        <v>2.8613612121212122</v>
      </c>
      <c r="BG176" s="1687">
        <v>70</v>
      </c>
      <c r="BI176" s="1688">
        <v>86</v>
      </c>
      <c r="BQ176" s="2045"/>
      <c r="BR176" s="2045"/>
      <c r="BS176" s="2045"/>
      <c r="BT176" s="2045"/>
      <c r="BU176" s="1342"/>
      <c r="BV176" s="1342"/>
      <c r="BW176" s="1342"/>
      <c r="BX176" s="1342"/>
    </row>
    <row r="177" spans="1:76">
      <c r="A177" s="2433"/>
      <c r="B177" s="1699"/>
      <c r="C177" s="1696"/>
      <c r="D177" s="1696"/>
      <c r="E177" s="1695"/>
      <c r="F177" s="1695"/>
      <c r="G177" s="1745"/>
      <c r="H177" s="1745"/>
      <c r="I177" s="1745"/>
      <c r="J177" s="1745"/>
      <c r="K177" s="1695"/>
      <c r="L177" s="1805"/>
      <c r="M177" s="1699"/>
      <c r="N177" s="1695"/>
      <c r="O177" s="1695"/>
      <c r="P177" s="1745"/>
      <c r="Q177" s="1745"/>
      <c r="R177" s="1745"/>
      <c r="S177" s="1745"/>
      <c r="T177" s="1805"/>
      <c r="U177" s="1787" t="s">
        <v>1508</v>
      </c>
      <c r="V177" s="1699"/>
      <c r="W177" s="1695"/>
      <c r="X177" s="1695"/>
      <c r="Y177" s="1695"/>
      <c r="Z177" s="1695"/>
      <c r="AA177" s="1695"/>
      <c r="AB177" s="1699"/>
      <c r="AC177" s="1695"/>
      <c r="AD177" s="1695"/>
      <c r="AE177" s="1695"/>
      <c r="AF177" s="1695"/>
      <c r="AG177" s="1695"/>
      <c r="AH177" s="1796">
        <v>9.6815212918328672</v>
      </c>
      <c r="AI177" s="1793">
        <v>2.1566801181888837</v>
      </c>
      <c r="AJ177" s="1797">
        <v>26</v>
      </c>
      <c r="AK177" s="1782"/>
      <c r="AL177" s="1735"/>
      <c r="AM177" s="1735"/>
      <c r="AN177" s="1747"/>
      <c r="AO177" s="1699"/>
      <c r="AP177" s="1729"/>
      <c r="AQ177" s="1691">
        <v>10</v>
      </c>
      <c r="AR177" s="1687">
        <f t="shared" si="22"/>
        <v>3.2</v>
      </c>
      <c r="AS177" s="1687" t="s">
        <v>1838</v>
      </c>
      <c r="AT177" s="1687">
        <f>STDEV(AR176:AR186)</f>
        <v>0.40254379628466558</v>
      </c>
      <c r="BQ177" s="2045"/>
      <c r="BR177" s="2045"/>
      <c r="BS177" s="2045"/>
      <c r="BT177" s="2045"/>
      <c r="BU177" s="1342"/>
      <c r="BV177" s="1342"/>
      <c r="BW177" s="1342"/>
      <c r="BX177" s="1342"/>
    </row>
    <row r="178" spans="1:76">
      <c r="A178" s="2433"/>
      <c r="B178" s="1699"/>
      <c r="C178" s="1696"/>
      <c r="D178" s="1696"/>
      <c r="E178" s="1695"/>
      <c r="F178" s="1695"/>
      <c r="G178" s="1745"/>
      <c r="H178" s="1745"/>
      <c r="I178" s="1745"/>
      <c r="J178" s="1745"/>
      <c r="K178" s="1695"/>
      <c r="L178" s="1805"/>
      <c r="M178" s="1699"/>
      <c r="N178" s="1695"/>
      <c r="O178" s="1695"/>
      <c r="P178" s="1745"/>
      <c r="Q178" s="1745"/>
      <c r="R178" s="1745"/>
      <c r="S178" s="1745"/>
      <c r="T178" s="1805"/>
      <c r="U178" s="1787" t="s">
        <v>1509</v>
      </c>
      <c r="V178" s="1699"/>
      <c r="W178" s="1695"/>
      <c r="X178" s="1695"/>
      <c r="Y178" s="1695"/>
      <c r="Z178" s="1695"/>
      <c r="AA178" s="1695"/>
      <c r="AB178" s="1699"/>
      <c r="AC178" s="1695"/>
      <c r="AD178" s="1695"/>
      <c r="AE178" s="1695"/>
      <c r="AF178" s="1695"/>
      <c r="AG178" s="1695"/>
      <c r="AH178" s="1699"/>
      <c r="AI178" s="1695"/>
      <c r="AJ178" s="1695"/>
      <c r="AK178" s="1695"/>
      <c r="AL178" s="1695"/>
      <c r="AM178" s="1695"/>
      <c r="AN178" s="1695"/>
      <c r="AO178" s="1757">
        <v>29.091000000000001</v>
      </c>
      <c r="AP178" s="1758">
        <v>50.98</v>
      </c>
      <c r="AQ178" s="1691">
        <v>15</v>
      </c>
      <c r="AR178" s="1687">
        <f t="shared" si="22"/>
        <v>2.6666666666666665</v>
      </c>
      <c r="BQ178" s="2045"/>
      <c r="BR178" s="2045"/>
      <c r="BS178" s="2045"/>
      <c r="BT178" s="2045"/>
      <c r="BU178" s="1342"/>
      <c r="BV178" s="1342"/>
      <c r="BW178" s="1342"/>
      <c r="BX178" s="1342"/>
    </row>
    <row r="179" spans="1:76">
      <c r="A179" s="2433"/>
      <c r="B179" s="1699"/>
      <c r="C179" s="1696"/>
      <c r="D179" s="1696"/>
      <c r="E179" s="1695"/>
      <c r="F179" s="1695"/>
      <c r="G179" s="1745"/>
      <c r="H179" s="1745"/>
      <c r="I179" s="1745"/>
      <c r="J179" s="1745"/>
      <c r="K179" s="1695"/>
      <c r="L179" s="1805"/>
      <c r="M179" s="1699"/>
      <c r="N179" s="1695"/>
      <c r="O179" s="1695"/>
      <c r="P179" s="1745"/>
      <c r="Q179" s="1745"/>
      <c r="R179" s="1745"/>
      <c r="S179" s="1745"/>
      <c r="T179" s="1805"/>
      <c r="U179" s="1787" t="s">
        <v>1510</v>
      </c>
      <c r="V179" s="1699"/>
      <c r="W179" s="1695"/>
      <c r="X179" s="1695"/>
      <c r="Y179" s="1695"/>
      <c r="Z179" s="1695"/>
      <c r="AA179" s="1695"/>
      <c r="AB179" s="1699"/>
      <c r="AC179" s="1695"/>
      <c r="AD179" s="1695"/>
      <c r="AE179" s="1695"/>
      <c r="AF179" s="1695"/>
      <c r="AG179" s="1695"/>
      <c r="AH179" s="1699"/>
      <c r="AI179" s="1695"/>
      <c r="AJ179" s="1695"/>
      <c r="AK179" s="1695"/>
      <c r="AL179" s="1695"/>
      <c r="AM179" s="1695"/>
      <c r="AN179" s="1695"/>
      <c r="AO179" s="1757">
        <v>32</v>
      </c>
      <c r="AP179" s="1758">
        <v>50.98</v>
      </c>
      <c r="AQ179" s="1691">
        <v>20</v>
      </c>
      <c r="AR179" s="1687">
        <f t="shared" si="22"/>
        <v>3</v>
      </c>
      <c r="AS179" s="1687" t="s">
        <v>1846</v>
      </c>
      <c r="AT179" s="1687">
        <f>AVERAGE(AR176:AR178)</f>
        <v>3.2484888888888892</v>
      </c>
      <c r="BQ179" s="2045"/>
      <c r="BR179" s="2045"/>
      <c r="BS179" s="2045"/>
      <c r="BT179" s="2045"/>
      <c r="BU179" s="1342"/>
      <c r="BV179" s="1342"/>
      <c r="BW179" s="1342"/>
      <c r="BX179" s="1342"/>
    </row>
    <row r="180" spans="1:76">
      <c r="A180" s="2433"/>
      <c r="B180" s="1699"/>
      <c r="C180" s="1696"/>
      <c r="D180" s="1696"/>
      <c r="E180" s="1695"/>
      <c r="F180" s="1695"/>
      <c r="G180" s="1745"/>
      <c r="H180" s="1745"/>
      <c r="I180" s="1745"/>
      <c r="J180" s="1745"/>
      <c r="K180" s="1695"/>
      <c r="L180" s="1805"/>
      <c r="M180" s="1699"/>
      <c r="N180" s="1695"/>
      <c r="O180" s="1695"/>
      <c r="P180" s="1745"/>
      <c r="Q180" s="1745"/>
      <c r="R180" s="1745"/>
      <c r="S180" s="1745"/>
      <c r="T180" s="1805"/>
      <c r="U180" s="1787" t="s">
        <v>1511</v>
      </c>
      <c r="V180" s="1699"/>
      <c r="W180" s="1695"/>
      <c r="X180" s="1695"/>
      <c r="Y180" s="1695"/>
      <c r="Z180" s="1695"/>
      <c r="AA180" s="1695"/>
      <c r="AB180" s="1699"/>
      <c r="AC180" s="1695"/>
      <c r="AD180" s="1695"/>
      <c r="AE180" s="1695"/>
      <c r="AF180" s="1695"/>
      <c r="AG180" s="1695"/>
      <c r="AH180" s="1699"/>
      <c r="AI180" s="1695"/>
      <c r="AJ180" s="1695"/>
      <c r="AK180" s="1695"/>
      <c r="AL180" s="1695"/>
      <c r="AM180" s="1695"/>
      <c r="AN180" s="1695"/>
      <c r="AO180" s="1757">
        <v>40</v>
      </c>
      <c r="AP180" s="1758">
        <v>50.98</v>
      </c>
      <c r="AQ180" s="1691">
        <v>25</v>
      </c>
      <c r="AR180" s="1687">
        <f t="shared" si="22"/>
        <v>2.7428399999999997</v>
      </c>
      <c r="AS180" s="1687" t="s">
        <v>1847</v>
      </c>
      <c r="AT180" s="1687">
        <f>AVERAGE(AR179:AR186)</f>
        <v>2.7161883333333332</v>
      </c>
      <c r="BQ180" s="2045"/>
      <c r="BR180" s="2045"/>
      <c r="BS180" s="2045"/>
      <c r="BT180" s="2045"/>
      <c r="BU180" s="1342"/>
      <c r="BV180" s="1342"/>
      <c r="BW180" s="1342"/>
      <c r="BX180" s="1342"/>
    </row>
    <row r="181" spans="1:76">
      <c r="A181" s="2433"/>
      <c r="B181" s="1699"/>
      <c r="C181" s="1696"/>
      <c r="D181" s="1696"/>
      <c r="E181" s="1695"/>
      <c r="F181" s="1695"/>
      <c r="G181" s="1745"/>
      <c r="H181" s="1745"/>
      <c r="I181" s="1745"/>
      <c r="J181" s="1745"/>
      <c r="K181" s="1695"/>
      <c r="L181" s="1805"/>
      <c r="M181" s="1699"/>
      <c r="N181" s="1695"/>
      <c r="O181" s="1695"/>
      <c r="P181" s="1745"/>
      <c r="Q181" s="1745"/>
      <c r="R181" s="1745"/>
      <c r="S181" s="1745"/>
      <c r="T181" s="1805"/>
      <c r="U181" s="1787" t="s">
        <v>1512</v>
      </c>
      <c r="V181" s="1699"/>
      <c r="W181" s="1695"/>
      <c r="X181" s="1695"/>
      <c r="Y181" s="1695"/>
      <c r="Z181" s="1695"/>
      <c r="AA181" s="1695"/>
      <c r="AB181" s="1699"/>
      <c r="AC181" s="1695"/>
      <c r="AD181" s="1695"/>
      <c r="AE181" s="1695"/>
      <c r="AF181" s="1695"/>
      <c r="AG181" s="1695"/>
      <c r="AH181" s="1699"/>
      <c r="AI181" s="1695"/>
      <c r="AJ181" s="1695"/>
      <c r="AK181" s="1695"/>
      <c r="AL181" s="1695"/>
      <c r="AM181" s="1695"/>
      <c r="AN181" s="1695"/>
      <c r="AO181" s="1743">
        <v>60</v>
      </c>
      <c r="AP181" s="1744">
        <v>52.87</v>
      </c>
      <c r="AQ181" s="1691">
        <v>30</v>
      </c>
      <c r="AR181" s="1687">
        <f t="shared" si="22"/>
        <v>2.6666666666666665</v>
      </c>
      <c r="BQ181" s="2045"/>
      <c r="BR181" s="2045"/>
      <c r="BS181" s="2045"/>
      <c r="BT181" s="2045"/>
      <c r="BU181" s="1342"/>
      <c r="BV181" s="1342"/>
      <c r="BW181" s="1342"/>
      <c r="BX181" s="1342"/>
    </row>
    <row r="182" spans="1:76">
      <c r="A182" s="2433"/>
      <c r="B182" s="1699"/>
      <c r="C182" s="1696"/>
      <c r="D182" s="1696"/>
      <c r="E182" s="1695"/>
      <c r="F182" s="1695"/>
      <c r="G182" s="1745"/>
      <c r="H182" s="1745"/>
      <c r="I182" s="1745"/>
      <c r="J182" s="1745"/>
      <c r="K182" s="1695"/>
      <c r="L182" s="1805"/>
      <c r="M182" s="1699"/>
      <c r="N182" s="1695"/>
      <c r="O182" s="1695"/>
      <c r="P182" s="1745"/>
      <c r="Q182" s="1745"/>
      <c r="R182" s="1745"/>
      <c r="S182" s="1745"/>
      <c r="T182" s="1805"/>
      <c r="U182" s="1787" t="s">
        <v>1513</v>
      </c>
      <c r="V182" s="1699"/>
      <c r="W182" s="1695"/>
      <c r="X182" s="1695"/>
      <c r="Y182" s="1695"/>
      <c r="Z182" s="1695"/>
      <c r="AA182" s="1695"/>
      <c r="AB182" s="1699"/>
      <c r="AC182" s="1695"/>
      <c r="AD182" s="1695"/>
      <c r="AE182" s="1695"/>
      <c r="AF182" s="1695"/>
      <c r="AG182" s="1695"/>
      <c r="AH182" s="1699"/>
      <c r="AI182" s="1695"/>
      <c r="AJ182" s="1695"/>
      <c r="AK182" s="1695"/>
      <c r="AL182" s="1695"/>
      <c r="AM182" s="1695"/>
      <c r="AN182" s="1695"/>
      <c r="AO182" s="1743">
        <v>68.570999999999998</v>
      </c>
      <c r="AP182" s="1744">
        <v>52.87</v>
      </c>
      <c r="AQ182" s="1691">
        <v>40</v>
      </c>
      <c r="AR182" s="1687">
        <f t="shared" si="22"/>
        <v>3</v>
      </c>
      <c r="BQ182" s="2045"/>
      <c r="BR182" s="2045"/>
      <c r="BS182" s="2045"/>
      <c r="BT182" s="2045"/>
      <c r="BU182" s="1342"/>
      <c r="BV182" s="1342"/>
      <c r="BW182" s="1342"/>
      <c r="BX182" s="1342"/>
    </row>
    <row r="183" spans="1:76">
      <c r="A183" s="2433"/>
      <c r="B183" s="1699"/>
      <c r="C183" s="1696"/>
      <c r="D183" s="1696"/>
      <c r="E183" s="1695"/>
      <c r="F183" s="1695"/>
      <c r="G183" s="1745"/>
      <c r="H183" s="1745"/>
      <c r="I183" s="1745"/>
      <c r="J183" s="1745"/>
      <c r="K183" s="1695"/>
      <c r="L183" s="1805"/>
      <c r="M183" s="1699"/>
      <c r="N183" s="1695"/>
      <c r="O183" s="1695"/>
      <c r="P183" s="1745"/>
      <c r="Q183" s="1745"/>
      <c r="R183" s="1745"/>
      <c r="S183" s="1745"/>
      <c r="T183" s="1805"/>
      <c r="U183" s="1787" t="s">
        <v>1514</v>
      </c>
      <c r="V183" s="1699"/>
      <c r="W183" s="1695"/>
      <c r="X183" s="1695"/>
      <c r="Y183" s="1695"/>
      <c r="Z183" s="1695"/>
      <c r="AA183" s="1695"/>
      <c r="AB183" s="1699"/>
      <c r="AC183" s="1695"/>
      <c r="AD183" s="1695"/>
      <c r="AE183" s="1695"/>
      <c r="AF183" s="1695"/>
      <c r="AG183" s="1695"/>
      <c r="AH183" s="1699"/>
      <c r="AI183" s="1695"/>
      <c r="AJ183" s="1695"/>
      <c r="AK183" s="1695"/>
      <c r="AL183" s="1695"/>
      <c r="AM183" s="1695"/>
      <c r="AN183" s="1695"/>
      <c r="AO183" s="1743">
        <v>80</v>
      </c>
      <c r="AP183" s="1744">
        <v>52.87</v>
      </c>
      <c r="AQ183" s="1691">
        <v>50</v>
      </c>
      <c r="AR183" s="1687">
        <f t="shared" si="22"/>
        <v>2.66</v>
      </c>
      <c r="BQ183" s="2045"/>
      <c r="BR183" s="2045"/>
      <c r="BS183" s="2045"/>
      <c r="BT183" s="2045"/>
      <c r="BU183" s="1342"/>
      <c r="BV183" s="1342"/>
      <c r="BW183" s="1342"/>
      <c r="BX183" s="1342"/>
    </row>
    <row r="184" spans="1:76">
      <c r="A184" s="2433"/>
      <c r="B184" s="1699"/>
      <c r="C184" s="1696"/>
      <c r="D184" s="1696"/>
      <c r="E184" s="1695"/>
      <c r="F184" s="1695"/>
      <c r="G184" s="1745"/>
      <c r="H184" s="1745"/>
      <c r="I184" s="1745"/>
      <c r="J184" s="1745"/>
      <c r="K184" s="1695"/>
      <c r="L184" s="1805"/>
      <c r="M184" s="1699"/>
      <c r="N184" s="1695"/>
      <c r="O184" s="1695"/>
      <c r="P184" s="1745"/>
      <c r="Q184" s="1745"/>
      <c r="R184" s="1745"/>
      <c r="S184" s="1745"/>
      <c r="T184" s="1805"/>
      <c r="U184" s="1787" t="s">
        <v>1515</v>
      </c>
      <c r="V184" s="1699"/>
      <c r="W184" s="1695"/>
      <c r="X184" s="1695"/>
      <c r="Y184" s="1695"/>
      <c r="Z184" s="1695"/>
      <c r="AA184" s="1695"/>
      <c r="AB184" s="1699"/>
      <c r="AC184" s="1695"/>
      <c r="AD184" s="1695"/>
      <c r="AE184" s="1695"/>
      <c r="AF184" s="1695"/>
      <c r="AG184" s="1695"/>
      <c r="AH184" s="1699"/>
      <c r="AI184" s="1695"/>
      <c r="AJ184" s="1695"/>
      <c r="AK184" s="1695"/>
      <c r="AL184" s="1695"/>
      <c r="AM184" s="1695"/>
      <c r="AN184" s="1695"/>
      <c r="AO184" s="1743">
        <v>120</v>
      </c>
      <c r="AP184" s="1744">
        <v>52.87</v>
      </c>
      <c r="AQ184" s="1691">
        <v>60</v>
      </c>
      <c r="AR184" s="1687">
        <f t="shared" si="22"/>
        <v>2.5</v>
      </c>
      <c r="BQ184" s="2045"/>
      <c r="BR184" s="2045"/>
      <c r="BS184" s="2045"/>
      <c r="BT184" s="2045"/>
      <c r="BU184" s="1342"/>
      <c r="BV184" s="1342"/>
      <c r="BW184" s="1342"/>
      <c r="BX184" s="1342"/>
    </row>
    <row r="185" spans="1:76">
      <c r="A185" s="2433"/>
      <c r="B185" s="1699"/>
      <c r="C185" s="1696"/>
      <c r="D185" s="1696"/>
      <c r="E185" s="1695"/>
      <c r="F185" s="1695"/>
      <c r="G185" s="1745"/>
      <c r="H185" s="1745"/>
      <c r="I185" s="1745"/>
      <c r="J185" s="1745"/>
      <c r="K185" s="1695"/>
      <c r="L185" s="1805"/>
      <c r="M185" s="1699"/>
      <c r="N185" s="1695"/>
      <c r="O185" s="1695"/>
      <c r="P185" s="1745"/>
      <c r="Q185" s="1745"/>
      <c r="R185" s="1745"/>
      <c r="S185" s="1745"/>
      <c r="T185" s="1805"/>
      <c r="U185" s="1787" t="s">
        <v>1516</v>
      </c>
      <c r="V185" s="1699"/>
      <c r="W185" s="1695"/>
      <c r="X185" s="1695"/>
      <c r="Y185" s="1695"/>
      <c r="Z185" s="1695"/>
      <c r="AA185" s="1695"/>
      <c r="AB185" s="1699"/>
      <c r="AC185" s="1695"/>
      <c r="AD185" s="1695"/>
      <c r="AE185" s="1695"/>
      <c r="AF185" s="1695"/>
      <c r="AG185" s="1695"/>
      <c r="AH185" s="1699"/>
      <c r="AI185" s="1695"/>
      <c r="AJ185" s="1695"/>
      <c r="AK185" s="1695"/>
      <c r="AL185" s="1695"/>
      <c r="AM185" s="1695"/>
      <c r="AN185" s="1695"/>
      <c r="AO185" s="1743">
        <v>133</v>
      </c>
      <c r="AP185" s="1744">
        <v>52.87</v>
      </c>
      <c r="AQ185" s="1691">
        <v>80</v>
      </c>
      <c r="AR185" s="1687">
        <f t="shared" si="22"/>
        <v>2.5</v>
      </c>
      <c r="BQ185" s="2045"/>
      <c r="BR185" s="2045"/>
      <c r="BS185" s="2045"/>
      <c r="BT185" s="2045"/>
      <c r="BU185" s="1342"/>
      <c r="BV185" s="1342"/>
      <c r="BW185" s="1342"/>
      <c r="BX185" s="1342"/>
    </row>
    <row r="186" spans="1:76">
      <c r="A186" s="2433"/>
      <c r="B186" s="1699"/>
      <c r="C186" s="1696"/>
      <c r="D186" s="1696"/>
      <c r="E186" s="1695"/>
      <c r="F186" s="1695"/>
      <c r="G186" s="1745"/>
      <c r="H186" s="1745"/>
      <c r="I186" s="1745"/>
      <c r="J186" s="1745"/>
      <c r="K186" s="1695"/>
      <c r="L186" s="1805"/>
      <c r="M186" s="1699"/>
      <c r="N186" s="1695"/>
      <c r="O186" s="1695"/>
      <c r="P186" s="1745"/>
      <c r="Q186" s="1745"/>
      <c r="R186" s="1745"/>
      <c r="S186" s="1745"/>
      <c r="T186" s="1805"/>
      <c r="U186" s="1787" t="s">
        <v>1517</v>
      </c>
      <c r="V186" s="1699"/>
      <c r="W186" s="1695"/>
      <c r="X186" s="1695"/>
      <c r="Y186" s="1695"/>
      <c r="Z186" s="1695"/>
      <c r="AA186" s="1695"/>
      <c r="AB186" s="1699"/>
      <c r="AC186" s="1695"/>
      <c r="AD186" s="1695"/>
      <c r="AE186" s="1695"/>
      <c r="AF186" s="1695"/>
      <c r="AG186" s="1695"/>
      <c r="AH186" s="1699"/>
      <c r="AI186" s="1695"/>
      <c r="AJ186" s="1695"/>
      <c r="AK186" s="1695"/>
      <c r="AL186" s="1695"/>
      <c r="AM186" s="1695"/>
      <c r="AN186" s="1695"/>
      <c r="AO186" s="1743">
        <v>150</v>
      </c>
      <c r="AP186" s="1744">
        <v>52.87</v>
      </c>
      <c r="AQ186" s="1687">
        <v>100</v>
      </c>
      <c r="AR186" s="1687">
        <f t="shared" si="22"/>
        <v>2.66</v>
      </c>
      <c r="BQ186" s="2045"/>
      <c r="BR186" s="2045"/>
      <c r="BS186" s="2045"/>
      <c r="BT186" s="2045"/>
      <c r="BU186" s="1342"/>
      <c r="BV186" s="1342"/>
      <c r="BW186" s="1342"/>
      <c r="BX186" s="1342"/>
    </row>
    <row r="187" spans="1:76" ht="9" customHeight="1">
      <c r="A187" s="2433"/>
      <c r="B187" s="1699"/>
      <c r="C187" s="1696"/>
      <c r="D187" s="1696"/>
      <c r="E187" s="1695"/>
      <c r="F187" s="1695"/>
      <c r="G187" s="1745"/>
      <c r="H187" s="1745"/>
      <c r="I187" s="1745"/>
      <c r="J187" s="1745"/>
      <c r="K187" s="1695"/>
      <c r="L187" s="1805"/>
      <c r="M187" s="1699"/>
      <c r="N187" s="1695"/>
      <c r="O187" s="1695"/>
      <c r="P187" s="1745"/>
      <c r="Q187" s="1745"/>
      <c r="R187" s="1745"/>
      <c r="S187" s="1745"/>
      <c r="T187" s="1805"/>
      <c r="U187" s="1787" t="s">
        <v>1518</v>
      </c>
      <c r="V187" s="1699"/>
      <c r="W187" s="1695"/>
      <c r="X187" s="1695"/>
      <c r="Y187" s="1695"/>
      <c r="Z187" s="1695"/>
      <c r="AA187" s="1695"/>
      <c r="AB187" s="1699"/>
      <c r="AC187" s="1695"/>
      <c r="AD187" s="1695"/>
      <c r="AE187" s="1695"/>
      <c r="AF187" s="1695"/>
      <c r="AG187" s="1695"/>
      <c r="AH187" s="1699"/>
      <c r="AI187" s="1695"/>
      <c r="AJ187" s="1695"/>
      <c r="AK187" s="1695"/>
      <c r="AL187" s="1695"/>
      <c r="AM187" s="1695"/>
      <c r="AN187" s="1695"/>
      <c r="AO187" s="1743">
        <v>200</v>
      </c>
      <c r="AP187" s="1744">
        <v>52.87</v>
      </c>
      <c r="BQ187" s="2045"/>
      <c r="BR187" s="2045"/>
      <c r="BS187" s="2045"/>
      <c r="BT187" s="2045"/>
      <c r="BU187" s="1342"/>
      <c r="BV187" s="1342"/>
      <c r="BW187" s="1342"/>
      <c r="BX187" s="1342"/>
    </row>
    <row r="188" spans="1:76" ht="15.75" thickBot="1">
      <c r="A188" s="2440"/>
      <c r="B188" s="1699"/>
      <c r="C188" s="1696"/>
      <c r="D188" s="1696"/>
      <c r="E188" s="1695"/>
      <c r="F188" s="1695"/>
      <c r="G188" s="1745"/>
      <c r="H188" s="1745"/>
      <c r="I188" s="1745"/>
      <c r="J188" s="1745"/>
      <c r="K188" s="1695"/>
      <c r="L188" s="1805"/>
      <c r="M188" s="1699"/>
      <c r="N188" s="1695"/>
      <c r="O188" s="1695"/>
      <c r="P188" s="1745"/>
      <c r="Q188" s="1745"/>
      <c r="R188" s="1745"/>
      <c r="S188" s="1745"/>
      <c r="T188" s="1805"/>
      <c r="U188" s="1787" t="s">
        <v>1519</v>
      </c>
      <c r="V188" s="1699"/>
      <c r="W188" s="1695"/>
      <c r="X188" s="1695"/>
      <c r="Y188" s="1695"/>
      <c r="Z188" s="1695"/>
      <c r="AA188" s="1695"/>
      <c r="AB188" s="1699"/>
      <c r="AC188" s="1695"/>
      <c r="AD188" s="1695"/>
      <c r="AE188" s="1695"/>
      <c r="AF188" s="1695"/>
      <c r="AG188" s="1695"/>
      <c r="AH188" s="1699"/>
      <c r="AI188" s="1695"/>
      <c r="AJ188" s="1695"/>
      <c r="AK188" s="1695"/>
      <c r="AL188" s="1695"/>
      <c r="AM188" s="1695"/>
      <c r="AN188" s="1695"/>
      <c r="AO188" s="1743">
        <v>266</v>
      </c>
      <c r="AP188" s="1744">
        <v>52.87</v>
      </c>
      <c r="BQ188" s="2045"/>
      <c r="BR188" s="2045"/>
      <c r="BS188" s="2045"/>
      <c r="BT188" s="2045"/>
      <c r="BU188" s="1342"/>
      <c r="BV188" s="1342"/>
      <c r="BW188" s="1342"/>
      <c r="BX188" s="1342"/>
    </row>
    <row r="189" spans="1:76" ht="19.5" thickBot="1">
      <c r="A189" s="1746"/>
      <c r="B189" s="1715"/>
      <c r="C189" s="1716"/>
      <c r="D189" s="1716"/>
      <c r="E189" s="1715"/>
      <c r="F189" s="1715"/>
      <c r="G189" s="1717"/>
      <c r="H189" s="1717"/>
      <c r="I189" s="1717"/>
      <c r="J189" s="1717"/>
      <c r="K189" s="1715"/>
      <c r="L189" s="1717"/>
      <c r="M189" s="1718"/>
      <c r="N189" s="1715"/>
      <c r="O189" s="1715"/>
      <c r="P189" s="1717"/>
      <c r="Q189" s="1717"/>
      <c r="R189" s="1717"/>
      <c r="S189" s="1717"/>
      <c r="T189" s="1717"/>
      <c r="U189" s="1718"/>
      <c r="V189" s="1718"/>
      <c r="W189" s="1715"/>
      <c r="X189" s="1715"/>
      <c r="Y189" s="1715"/>
      <c r="Z189" s="1715"/>
      <c r="AA189" s="1715"/>
      <c r="AB189" s="1718"/>
      <c r="AC189" s="1715"/>
      <c r="AD189" s="1715"/>
      <c r="AE189" s="1715"/>
      <c r="AF189" s="1715"/>
      <c r="AG189" s="1715"/>
      <c r="AH189" s="1718"/>
      <c r="AI189" s="1715"/>
      <c r="AJ189" s="1715"/>
      <c r="AK189" s="1715"/>
      <c r="AL189" s="1715"/>
      <c r="AM189" s="1715"/>
      <c r="AN189" s="1715"/>
      <c r="AO189" s="1718"/>
      <c r="AP189" s="1719"/>
      <c r="BQ189" s="2045"/>
      <c r="BR189" s="2045"/>
      <c r="BS189" s="2045"/>
      <c r="BT189" s="2045"/>
      <c r="BU189" s="1342"/>
      <c r="BV189" s="1342"/>
      <c r="BW189" s="1342"/>
      <c r="BX189" s="1342"/>
    </row>
    <row r="190" spans="1:76">
      <c r="A190" s="2423" t="s">
        <v>507</v>
      </c>
      <c r="B190" s="1739" t="s">
        <v>1861</v>
      </c>
      <c r="C190" s="1733" t="s">
        <v>1804</v>
      </c>
      <c r="D190" s="1787" t="s">
        <v>1812</v>
      </c>
      <c r="E190" s="1748">
        <f>AVERAGE(V190,AB190)/100</f>
        <v>0.79500000000000004</v>
      </c>
      <c r="F190" s="1841"/>
      <c r="G190" s="2446">
        <f>AVERAGE(W190,AC190)*BS7</f>
        <v>71.296257089267755</v>
      </c>
      <c r="H190" s="1867">
        <f t="shared" ref="H190:H195" si="23">E190*$G$190</f>
        <v>56.680524385967871</v>
      </c>
      <c r="I190" s="1736">
        <f>(SUM(Y190,AE190,AA190,AG190)/2)/100</f>
        <v>181.935</v>
      </c>
      <c r="J190" s="1868">
        <f>AVERAGE(Z190,AF190)</f>
        <v>1400</v>
      </c>
      <c r="K190" s="2428">
        <v>0.25</v>
      </c>
      <c r="L190" s="1869">
        <f>(($G$190*E190)+I190)*(1+K190)</f>
        <v>298.26940548245989</v>
      </c>
      <c r="M190" s="1757" t="s">
        <v>1851</v>
      </c>
      <c r="N190" s="1735" t="s">
        <v>1852</v>
      </c>
      <c r="O190" s="1791">
        <f>AT194</f>
        <v>1.2922277760819427</v>
      </c>
      <c r="P190" s="1738">
        <f>AP196*BQ22</f>
        <v>62.46494892885444</v>
      </c>
      <c r="Q190" s="1774">
        <f t="shared" ref="Q190:Q192" si="24">O190*P190</f>
        <v>80.718942037405697</v>
      </c>
      <c r="R190" s="1737"/>
      <c r="S190" s="1737"/>
      <c r="T190" s="1751">
        <f>Q190</f>
        <v>80.718942037405697</v>
      </c>
      <c r="U190" s="1733" t="s">
        <v>1520</v>
      </c>
      <c r="V190" s="1757">
        <v>79</v>
      </c>
      <c r="W190" s="1857">
        <v>108</v>
      </c>
      <c r="X190" s="1857">
        <v>8568</v>
      </c>
      <c r="Y190" s="1857">
        <v>5471</v>
      </c>
      <c r="Z190" s="1857">
        <v>2000</v>
      </c>
      <c r="AA190" s="1858">
        <v>22724</v>
      </c>
      <c r="AB190" s="1757">
        <v>80</v>
      </c>
      <c r="AC190" s="1857">
        <v>98</v>
      </c>
      <c r="AD190" s="1857">
        <v>7811</v>
      </c>
      <c r="AE190" s="1857">
        <v>6492</v>
      </c>
      <c r="AF190" s="1857">
        <v>800</v>
      </c>
      <c r="AG190" s="1858">
        <v>1700</v>
      </c>
      <c r="AH190" s="1699"/>
      <c r="AI190" s="1695"/>
      <c r="AJ190" s="1695"/>
      <c r="AK190" s="1695"/>
      <c r="AL190" s="1695"/>
      <c r="AM190" s="1695"/>
      <c r="AN190" s="1695"/>
      <c r="AO190" s="1699"/>
      <c r="AP190" s="1729"/>
      <c r="BQ190" s="2045"/>
      <c r="BR190" s="2045"/>
      <c r="BS190" s="2045"/>
      <c r="BT190" s="2045"/>
      <c r="BU190" s="1342"/>
      <c r="BV190" s="1342"/>
      <c r="BW190" s="1342"/>
      <c r="BX190" s="1342"/>
    </row>
    <row r="191" spans="1:76">
      <c r="A191" s="2424"/>
      <c r="B191" s="1739" t="s">
        <v>1862</v>
      </c>
      <c r="C191" s="1733" t="s">
        <v>1804</v>
      </c>
      <c r="D191" s="1787" t="s">
        <v>1812</v>
      </c>
      <c r="E191" s="1748">
        <f>AVERAGE(V191,AB191)/200</f>
        <v>0.4375</v>
      </c>
      <c r="F191" s="1841"/>
      <c r="G191" s="2446"/>
      <c r="H191" s="1867">
        <f t="shared" si="23"/>
        <v>31.192112476554641</v>
      </c>
      <c r="I191" s="1736">
        <f>(SUM(Y191,AE191,AA191,AG191)/2)/200</f>
        <v>137.57735</v>
      </c>
      <c r="J191" s="1868">
        <f t="shared" ref="J191:J195" si="25">AVERAGE(Z191,AF191)</f>
        <v>1650</v>
      </c>
      <c r="K191" s="2428"/>
      <c r="L191" s="1869">
        <f>(($G$190*E191)+I191)*(1+K190)</f>
        <v>210.96182809569328</v>
      </c>
      <c r="M191" s="1757" t="s">
        <v>1853</v>
      </c>
      <c r="N191" s="1735" t="s">
        <v>1854</v>
      </c>
      <c r="O191" s="1791">
        <f>AT200</f>
        <v>4.208585643738977</v>
      </c>
      <c r="P191" s="1738">
        <f>AP196*BQ22</f>
        <v>62.46494892885444</v>
      </c>
      <c r="Q191" s="1774">
        <f t="shared" si="24"/>
        <v>262.88908729886521</v>
      </c>
      <c r="R191" s="1737"/>
      <c r="S191" s="1737"/>
      <c r="T191" s="1751">
        <f>Q191</f>
        <v>262.88908729886521</v>
      </c>
      <c r="U191" s="1733" t="s">
        <v>1521</v>
      </c>
      <c r="V191" s="1757">
        <v>79</v>
      </c>
      <c r="W191" s="1857">
        <v>108</v>
      </c>
      <c r="X191" s="1857">
        <v>8568</v>
      </c>
      <c r="Y191" s="1857">
        <v>6152</v>
      </c>
      <c r="Z191" s="1857">
        <v>2500</v>
      </c>
      <c r="AA191" s="1858">
        <v>37617</v>
      </c>
      <c r="AB191" s="1757">
        <v>96</v>
      </c>
      <c r="AC191" s="1857">
        <v>97</v>
      </c>
      <c r="AD191" s="1857">
        <v>9354</v>
      </c>
      <c r="AE191" s="1857">
        <v>8561.94</v>
      </c>
      <c r="AF191" s="1857">
        <v>800</v>
      </c>
      <c r="AG191" s="1858">
        <v>2700</v>
      </c>
      <c r="AH191" s="1699"/>
      <c r="AI191" s="1695"/>
      <c r="AJ191" s="1695"/>
      <c r="AK191" s="1695"/>
      <c r="AL191" s="1695"/>
      <c r="AM191" s="1695"/>
      <c r="AN191" s="1695"/>
      <c r="AO191" s="1699"/>
      <c r="AP191" s="1729"/>
    </row>
    <row r="192" spans="1:76">
      <c r="A192" s="2424"/>
      <c r="B192" s="1739" t="s">
        <v>1863</v>
      </c>
      <c r="C192" s="1733" t="s">
        <v>1804</v>
      </c>
      <c r="D192" s="1787" t="s">
        <v>1812</v>
      </c>
      <c r="E192" s="1748">
        <f>AVERAGE(V192,AB192)/300</f>
        <v>0.38166666666666665</v>
      </c>
      <c r="F192" s="1841"/>
      <c r="G192" s="2446"/>
      <c r="H192" s="1867">
        <f t="shared" si="23"/>
        <v>27.211404789070524</v>
      </c>
      <c r="I192" s="1736">
        <f>(SUM(Y192,AE192,AA192,AG192)/2)/300</f>
        <v>133.78184999999999</v>
      </c>
      <c r="J192" s="1868">
        <f t="shared" si="25"/>
        <v>2350</v>
      </c>
      <c r="K192" s="2428"/>
      <c r="L192" s="1869">
        <f>(($G$190*E192)+I192)*(1+K190)</f>
        <v>201.24156848633814</v>
      </c>
      <c r="M192" s="1743" t="s">
        <v>1940</v>
      </c>
      <c r="N192" s="1782"/>
      <c r="O192" s="1870">
        <v>1.8</v>
      </c>
      <c r="P192" s="1738">
        <v>67.88</v>
      </c>
      <c r="Q192" s="1774">
        <f t="shared" si="24"/>
        <v>122.184</v>
      </c>
      <c r="R192" s="1737"/>
      <c r="S192" s="1737"/>
      <c r="T192" s="1751">
        <f>Q192</f>
        <v>122.184</v>
      </c>
      <c r="U192" s="1733" t="s">
        <v>1522</v>
      </c>
      <c r="V192" s="1757">
        <v>114</v>
      </c>
      <c r="W192" s="1857">
        <v>108</v>
      </c>
      <c r="X192" s="1857">
        <v>12278</v>
      </c>
      <c r="Y192" s="1857">
        <v>6500</v>
      </c>
      <c r="Z192" s="1857">
        <v>3500</v>
      </c>
      <c r="AA192" s="1858">
        <v>57892</v>
      </c>
      <c r="AB192" s="1757">
        <v>115</v>
      </c>
      <c r="AC192" s="1857">
        <v>98</v>
      </c>
      <c r="AD192" s="1857">
        <v>11225</v>
      </c>
      <c r="AE192" s="1857">
        <v>12077.11</v>
      </c>
      <c r="AF192" s="1857">
        <v>1200</v>
      </c>
      <c r="AG192" s="1858">
        <v>3800</v>
      </c>
      <c r="AH192" s="1699"/>
      <c r="AI192" s="1695"/>
      <c r="AJ192" s="1695"/>
      <c r="AK192" s="1695"/>
      <c r="AL192" s="1695"/>
      <c r="AM192" s="1695"/>
      <c r="AN192" s="1695"/>
      <c r="AO192" s="1699"/>
      <c r="AP192" s="1729"/>
    </row>
    <row r="193" spans="1:46">
      <c r="A193" s="2424"/>
      <c r="B193" s="1739" t="s">
        <v>1864</v>
      </c>
      <c r="C193" s="1733" t="s">
        <v>1804</v>
      </c>
      <c r="D193" s="1787" t="s">
        <v>1812</v>
      </c>
      <c r="E193" s="1748">
        <f>AVERAGE(V193,AB193)/100</f>
        <v>0.82499999999999996</v>
      </c>
      <c r="F193" s="1841"/>
      <c r="G193" s="2446"/>
      <c r="H193" s="1867">
        <f t="shared" si="23"/>
        <v>58.819412098645891</v>
      </c>
      <c r="I193" s="1736">
        <f>(SUM(Y193,AE193,AA193,AG193)/2)/100</f>
        <v>182.05360000000002</v>
      </c>
      <c r="J193" s="1868">
        <f t="shared" si="25"/>
        <v>3500</v>
      </c>
      <c r="K193" s="2428"/>
      <c r="L193" s="1869">
        <f>(($G$190*E193)+I193)*(1+K190)</f>
        <v>301.09126512330738</v>
      </c>
      <c r="M193" s="1699"/>
      <c r="N193" s="1695"/>
      <c r="O193" s="1695"/>
      <c r="P193" s="1745"/>
      <c r="Q193" s="1745"/>
      <c r="R193" s="1745"/>
      <c r="S193" s="1745"/>
      <c r="T193" s="1745"/>
      <c r="U193" s="1733" t="s">
        <v>1523</v>
      </c>
      <c r="V193" s="1743">
        <v>75</v>
      </c>
      <c r="W193" s="1857">
        <v>108</v>
      </c>
      <c r="X193" s="1857">
        <v>8120</v>
      </c>
      <c r="Y193" s="1857">
        <v>5471</v>
      </c>
      <c r="Z193" s="1857">
        <v>4000</v>
      </c>
      <c r="AA193" s="1858">
        <v>23186</v>
      </c>
      <c r="AB193" s="1757">
        <v>90</v>
      </c>
      <c r="AC193" s="1857">
        <v>98</v>
      </c>
      <c r="AD193" s="1857">
        <v>8816</v>
      </c>
      <c r="AE193" s="1857">
        <v>5953.72</v>
      </c>
      <c r="AF193" s="1857">
        <v>3000</v>
      </c>
      <c r="AG193" s="1858">
        <v>1800</v>
      </c>
      <c r="AH193" s="1699"/>
      <c r="AI193" s="1695"/>
      <c r="AJ193" s="1695"/>
      <c r="AK193" s="1695"/>
      <c r="AL193" s="1695"/>
      <c r="AM193" s="1695"/>
      <c r="AN193" s="1695"/>
      <c r="AO193" s="1699"/>
      <c r="AP193" s="1729"/>
      <c r="AQ193" s="1687" t="s">
        <v>1804</v>
      </c>
      <c r="AR193" s="1687" t="s">
        <v>1841</v>
      </c>
    </row>
    <row r="194" spans="1:46">
      <c r="A194" s="2424"/>
      <c r="B194" s="1739" t="s">
        <v>1865</v>
      </c>
      <c r="C194" s="1733" t="s">
        <v>1804</v>
      </c>
      <c r="D194" s="1787" t="s">
        <v>1812</v>
      </c>
      <c r="E194" s="1748">
        <f>AVERAGE(V194,AB194)/200</f>
        <v>0.45250000000000001</v>
      </c>
      <c r="F194" s="1841"/>
      <c r="G194" s="2446"/>
      <c r="H194" s="1867">
        <f t="shared" si="23"/>
        <v>32.261556332893662</v>
      </c>
      <c r="I194" s="1736">
        <f>(SUM(Y194,AE194,AA194,AG194)/2)/200</f>
        <v>142.78042500000001</v>
      </c>
      <c r="J194" s="1868">
        <f t="shared" si="25"/>
        <v>4250</v>
      </c>
      <c r="K194" s="2428"/>
      <c r="L194" s="1869">
        <f>(($G$190*E194)+I194)*(1+K190)</f>
        <v>218.80247666611709</v>
      </c>
      <c r="M194" s="1699"/>
      <c r="N194" s="1695"/>
      <c r="O194" s="1806"/>
      <c r="P194" s="1745"/>
      <c r="Q194" s="1745"/>
      <c r="R194" s="1745"/>
      <c r="S194" s="1745"/>
      <c r="T194" s="1805"/>
      <c r="U194" s="1733" t="s">
        <v>1524</v>
      </c>
      <c r="V194" s="1743">
        <v>75</v>
      </c>
      <c r="W194" s="1857">
        <v>108</v>
      </c>
      <c r="X194" s="1857">
        <v>8120</v>
      </c>
      <c r="Y194" s="1857">
        <v>7152</v>
      </c>
      <c r="Z194" s="1857">
        <v>5000</v>
      </c>
      <c r="AA194" s="1858">
        <v>38553</v>
      </c>
      <c r="AB194" s="1757">
        <v>106</v>
      </c>
      <c r="AC194" s="1857">
        <v>98</v>
      </c>
      <c r="AD194" s="1857">
        <v>10359</v>
      </c>
      <c r="AE194" s="1857">
        <v>8607.17</v>
      </c>
      <c r="AF194" s="1857">
        <v>3500</v>
      </c>
      <c r="AG194" s="1858">
        <v>2800</v>
      </c>
      <c r="AH194" s="1699"/>
      <c r="AI194" s="1695"/>
      <c r="AJ194" s="1695"/>
      <c r="AK194" s="1695"/>
      <c r="AL194" s="1695"/>
      <c r="AM194" s="1695"/>
      <c r="AN194" s="1695"/>
      <c r="AO194" s="1699"/>
      <c r="AP194" s="1729"/>
      <c r="AQ194" s="1687">
        <v>130</v>
      </c>
      <c r="AR194" s="1687">
        <f t="shared" ref="AR194:AR208" si="26">AO196/AQ194</f>
        <v>1.7538461538461538</v>
      </c>
      <c r="AS194" s="1687" t="s">
        <v>1837</v>
      </c>
      <c r="AT194" s="1687">
        <f>AVERAGE(AR194:AR199)</f>
        <v>1.2922277760819427</v>
      </c>
    </row>
    <row r="195" spans="1:46">
      <c r="A195" s="2424"/>
      <c r="B195" s="1739" t="s">
        <v>1866</v>
      </c>
      <c r="C195" s="1733" t="s">
        <v>1804</v>
      </c>
      <c r="D195" s="1787" t="s">
        <v>1812</v>
      </c>
      <c r="E195" s="1748">
        <f>AVERAGE(V195,AB195)/300</f>
        <v>0.39500000000000002</v>
      </c>
      <c r="F195" s="1841"/>
      <c r="G195" s="2446"/>
      <c r="H195" s="1867">
        <f t="shared" si="23"/>
        <v>28.162021550260764</v>
      </c>
      <c r="I195" s="1736">
        <f>(SUM(Y195,AE195,AA195,AG195)/2)/300</f>
        <v>138.12328333333335</v>
      </c>
      <c r="J195" s="1868">
        <f t="shared" si="25"/>
        <v>5000</v>
      </c>
      <c r="K195" s="2429"/>
      <c r="L195" s="1869">
        <f>(($G$190*E195)+I195)*(1+K190)</f>
        <v>207.85663110449264</v>
      </c>
      <c r="M195" s="1699"/>
      <c r="N195" s="1695"/>
      <c r="O195" s="1695"/>
      <c r="P195" s="1745"/>
      <c r="Q195" s="1745"/>
      <c r="R195" s="1745"/>
      <c r="S195" s="1745"/>
      <c r="T195" s="1805"/>
      <c r="U195" s="1733" t="s">
        <v>1525</v>
      </c>
      <c r="V195" s="1743">
        <v>114</v>
      </c>
      <c r="W195" s="1857">
        <v>108</v>
      </c>
      <c r="X195" s="1857">
        <v>12278</v>
      </c>
      <c r="Y195" s="1857">
        <v>7500</v>
      </c>
      <c r="Z195" s="1857">
        <v>6000</v>
      </c>
      <c r="AA195" s="1858">
        <v>58962</v>
      </c>
      <c r="AB195" s="1757">
        <v>123</v>
      </c>
      <c r="AC195" s="1857">
        <v>98</v>
      </c>
      <c r="AD195" s="1857">
        <v>11999</v>
      </c>
      <c r="AE195" s="1857">
        <v>12511.97</v>
      </c>
      <c r="AF195" s="1857">
        <v>4000</v>
      </c>
      <c r="AG195" s="1858">
        <v>3900</v>
      </c>
      <c r="AH195" s="1699"/>
      <c r="AI195" s="1695"/>
      <c r="AJ195" s="1695"/>
      <c r="AK195" s="1695"/>
      <c r="AL195" s="1695"/>
      <c r="AM195" s="1695"/>
      <c r="AN195" s="1695"/>
      <c r="AO195" s="1699"/>
      <c r="AP195" s="1729"/>
      <c r="AQ195" s="1687">
        <v>160</v>
      </c>
      <c r="AR195" s="1687">
        <f t="shared" si="26"/>
        <v>1.5375000000000001</v>
      </c>
      <c r="AS195" s="1687" t="s">
        <v>1838</v>
      </c>
      <c r="AT195" s="1687">
        <f>STDEV(AR194:AR199)</f>
        <v>0.33712969913944607</v>
      </c>
    </row>
    <row r="196" spans="1:46">
      <c r="A196" s="2424"/>
      <c r="B196" s="1699"/>
      <c r="C196" s="1696"/>
      <c r="D196" s="1696"/>
      <c r="E196" s="1741"/>
      <c r="F196" s="1850"/>
      <c r="G196" s="1851"/>
      <c r="H196" s="1843"/>
      <c r="I196" s="1851"/>
      <c r="J196" s="1745"/>
      <c r="K196" s="1695"/>
      <c r="L196" s="1745"/>
      <c r="M196" s="1699"/>
      <c r="N196" s="1695"/>
      <c r="O196" s="1695"/>
      <c r="P196" s="1745"/>
      <c r="Q196" s="1745"/>
      <c r="R196" s="1745"/>
      <c r="S196" s="1745"/>
      <c r="T196" s="1805"/>
      <c r="U196" s="1787" t="s">
        <v>1526</v>
      </c>
      <c r="V196" s="1699"/>
      <c r="W196" s="1695"/>
      <c r="X196" s="1695"/>
      <c r="Y196" s="1695"/>
      <c r="Z196" s="1695"/>
      <c r="AA196" s="1695"/>
      <c r="AB196" s="1699"/>
      <c r="AC196" s="1695"/>
      <c r="AD196" s="1695"/>
      <c r="AE196" s="1695"/>
      <c r="AF196" s="1695"/>
      <c r="AG196" s="1695"/>
      <c r="AH196" s="1699"/>
      <c r="AI196" s="1695"/>
      <c r="AJ196" s="1695"/>
      <c r="AK196" s="1695"/>
      <c r="AL196" s="1695"/>
      <c r="AM196" s="1695"/>
      <c r="AN196" s="1695"/>
      <c r="AO196" s="1757">
        <v>228</v>
      </c>
      <c r="AP196" s="1758">
        <v>53.94</v>
      </c>
      <c r="AQ196" s="1687">
        <v>180</v>
      </c>
      <c r="AR196" s="1687">
        <f t="shared" si="26"/>
        <v>1.3888888888888888</v>
      </c>
    </row>
    <row r="197" spans="1:46">
      <c r="A197" s="2424"/>
      <c r="B197" s="1699"/>
      <c r="C197" s="1696"/>
      <c r="D197" s="1696"/>
      <c r="E197" s="1695"/>
      <c r="F197" s="1695"/>
      <c r="G197" s="1745"/>
      <c r="H197" s="1745"/>
      <c r="I197" s="1745"/>
      <c r="J197" s="1745"/>
      <c r="K197" s="1695"/>
      <c r="L197" s="1745"/>
      <c r="M197" s="1699"/>
      <c r="N197" s="1695"/>
      <c r="O197" s="1695"/>
      <c r="P197" s="1745"/>
      <c r="Q197" s="1745"/>
      <c r="R197" s="1745"/>
      <c r="S197" s="1745"/>
      <c r="T197" s="1805"/>
      <c r="U197" s="1787" t="s">
        <v>1527</v>
      </c>
      <c r="V197" s="1699"/>
      <c r="W197" s="1695"/>
      <c r="X197" s="1695"/>
      <c r="Y197" s="1695"/>
      <c r="Z197" s="1695"/>
      <c r="AA197" s="1695"/>
      <c r="AB197" s="1699"/>
      <c r="AC197" s="1695"/>
      <c r="AD197" s="1695"/>
      <c r="AE197" s="1695"/>
      <c r="AF197" s="1695"/>
      <c r="AG197" s="1695"/>
      <c r="AH197" s="1699"/>
      <c r="AI197" s="1695"/>
      <c r="AJ197" s="1695"/>
      <c r="AK197" s="1695"/>
      <c r="AL197" s="1695"/>
      <c r="AM197" s="1695"/>
      <c r="AN197" s="1695"/>
      <c r="AO197" s="1757">
        <v>246</v>
      </c>
      <c r="AP197" s="1758">
        <v>53.94</v>
      </c>
      <c r="AQ197" s="1687">
        <v>210</v>
      </c>
      <c r="AR197" s="1687">
        <f t="shared" si="26"/>
        <v>1.2285714285714286</v>
      </c>
    </row>
    <row r="198" spans="1:46">
      <c r="A198" s="2424"/>
      <c r="B198" s="1699"/>
      <c r="C198" s="1696"/>
      <c r="D198" s="1696"/>
      <c r="E198" s="1695"/>
      <c r="F198" s="1695"/>
      <c r="G198" s="1745"/>
      <c r="H198" s="1745"/>
      <c r="I198" s="1745"/>
      <c r="J198" s="1745"/>
      <c r="K198" s="1695"/>
      <c r="L198" s="1745"/>
      <c r="M198" s="1699"/>
      <c r="N198" s="1695"/>
      <c r="O198" s="1695"/>
      <c r="P198" s="1745"/>
      <c r="Q198" s="1745"/>
      <c r="R198" s="1745"/>
      <c r="S198" s="1745"/>
      <c r="T198" s="1805"/>
      <c r="U198" s="1787" t="s">
        <v>1528</v>
      </c>
      <c r="V198" s="1699"/>
      <c r="W198" s="1695"/>
      <c r="X198" s="1695"/>
      <c r="Y198" s="1695"/>
      <c r="Z198" s="1695"/>
      <c r="AA198" s="1695"/>
      <c r="AB198" s="1699"/>
      <c r="AC198" s="1695"/>
      <c r="AD198" s="1695"/>
      <c r="AE198" s="1695"/>
      <c r="AF198" s="1695"/>
      <c r="AG198" s="1695"/>
      <c r="AH198" s="1699"/>
      <c r="AI198" s="1695"/>
      <c r="AJ198" s="1695"/>
      <c r="AK198" s="1695"/>
      <c r="AL198" s="1695"/>
      <c r="AM198" s="1695"/>
      <c r="AN198" s="1695"/>
      <c r="AO198" s="1757">
        <v>250</v>
      </c>
      <c r="AP198" s="1758">
        <v>53.94</v>
      </c>
      <c r="AQ198" s="1687">
        <v>270</v>
      </c>
      <c r="AR198" s="1687">
        <f t="shared" si="26"/>
        <v>0.98518518518518516</v>
      </c>
    </row>
    <row r="199" spans="1:46">
      <c r="A199" s="2424"/>
      <c r="B199" s="1699"/>
      <c r="C199" s="1696"/>
      <c r="D199" s="1696"/>
      <c r="E199" s="1695"/>
      <c r="F199" s="1695"/>
      <c r="G199" s="1745"/>
      <c r="H199" s="1745"/>
      <c r="I199" s="1745"/>
      <c r="J199" s="1745"/>
      <c r="K199" s="1695"/>
      <c r="L199" s="1745"/>
      <c r="M199" s="1699"/>
      <c r="N199" s="1695"/>
      <c r="O199" s="1695"/>
      <c r="P199" s="1745"/>
      <c r="Q199" s="1745"/>
      <c r="R199" s="1745"/>
      <c r="S199" s="1745"/>
      <c r="T199" s="1805"/>
      <c r="U199" s="1787" t="s">
        <v>1529</v>
      </c>
      <c r="V199" s="1699"/>
      <c r="W199" s="1695"/>
      <c r="X199" s="1695"/>
      <c r="Y199" s="1695"/>
      <c r="Z199" s="1695"/>
      <c r="AA199" s="1695"/>
      <c r="AB199" s="1699"/>
      <c r="AC199" s="1695"/>
      <c r="AD199" s="1695"/>
      <c r="AE199" s="1695"/>
      <c r="AF199" s="1695"/>
      <c r="AG199" s="1695"/>
      <c r="AH199" s="1699"/>
      <c r="AI199" s="1695"/>
      <c r="AJ199" s="1695"/>
      <c r="AK199" s="1695"/>
      <c r="AL199" s="1695"/>
      <c r="AM199" s="1695"/>
      <c r="AN199" s="1695"/>
      <c r="AO199" s="1743">
        <v>258</v>
      </c>
      <c r="AP199" s="1758">
        <v>53.94</v>
      </c>
      <c r="AQ199" s="1687">
        <v>320</v>
      </c>
      <c r="AR199" s="1687">
        <f t="shared" si="26"/>
        <v>0.859375</v>
      </c>
    </row>
    <row r="200" spans="1:46">
      <c r="A200" s="2424"/>
      <c r="B200" s="1699"/>
      <c r="C200" s="1696"/>
      <c r="D200" s="1696"/>
      <c r="E200" s="1695"/>
      <c r="F200" s="1695"/>
      <c r="G200" s="1745"/>
      <c r="H200" s="1745"/>
      <c r="I200" s="1745"/>
      <c r="J200" s="1745"/>
      <c r="K200" s="1695"/>
      <c r="L200" s="1745"/>
      <c r="M200" s="1699"/>
      <c r="N200" s="1695"/>
      <c r="O200" s="1695"/>
      <c r="P200" s="1745"/>
      <c r="Q200" s="1745"/>
      <c r="R200" s="1745"/>
      <c r="S200" s="1745"/>
      <c r="T200" s="1805"/>
      <c r="U200" s="1787" t="s">
        <v>1530</v>
      </c>
      <c r="V200" s="1699"/>
      <c r="W200" s="1695"/>
      <c r="X200" s="1695"/>
      <c r="Y200" s="1695"/>
      <c r="Z200" s="1695"/>
      <c r="AA200" s="1695"/>
      <c r="AB200" s="1699"/>
      <c r="AC200" s="1695"/>
      <c r="AD200" s="1695"/>
      <c r="AE200" s="1695"/>
      <c r="AF200" s="1695"/>
      <c r="AG200" s="1695"/>
      <c r="AH200" s="1699"/>
      <c r="AI200" s="1695"/>
      <c r="AJ200" s="1695"/>
      <c r="AK200" s="1695"/>
      <c r="AL200" s="1695"/>
      <c r="AM200" s="1695"/>
      <c r="AN200" s="1695"/>
      <c r="AO200" s="1743">
        <v>266</v>
      </c>
      <c r="AP200" s="1758">
        <v>53.94</v>
      </c>
      <c r="AQ200" s="1687">
        <v>10</v>
      </c>
      <c r="AR200" s="1687">
        <f t="shared" si="26"/>
        <v>9.4117999999999995</v>
      </c>
      <c r="AS200" s="1687" t="s">
        <v>1837</v>
      </c>
      <c r="AT200" s="1687">
        <f>AVERAGE(AR200:AR208)</f>
        <v>4.208585643738977</v>
      </c>
    </row>
    <row r="201" spans="1:46">
      <c r="A201" s="2424"/>
      <c r="B201" s="1699"/>
      <c r="C201" s="1696"/>
      <c r="D201" s="1696"/>
      <c r="E201" s="1695"/>
      <c r="F201" s="1695"/>
      <c r="G201" s="1745"/>
      <c r="H201" s="1745"/>
      <c r="I201" s="1745"/>
      <c r="J201" s="1745"/>
      <c r="K201" s="1695"/>
      <c r="L201" s="1745"/>
      <c r="M201" s="1699"/>
      <c r="N201" s="1695"/>
      <c r="O201" s="1695"/>
      <c r="P201" s="1745"/>
      <c r="Q201" s="1745"/>
      <c r="R201" s="1745"/>
      <c r="S201" s="1745"/>
      <c r="T201" s="1805"/>
      <c r="U201" s="1787" t="s">
        <v>1531</v>
      </c>
      <c r="V201" s="1699"/>
      <c r="W201" s="1695"/>
      <c r="X201" s="1695"/>
      <c r="Y201" s="1695"/>
      <c r="Z201" s="1695"/>
      <c r="AA201" s="1695"/>
      <c r="AB201" s="1699"/>
      <c r="AC201" s="1695"/>
      <c r="AD201" s="1695"/>
      <c r="AE201" s="1695"/>
      <c r="AF201" s="1695"/>
      <c r="AG201" s="1695"/>
      <c r="AH201" s="1699"/>
      <c r="AI201" s="1695"/>
      <c r="AJ201" s="1695"/>
      <c r="AK201" s="1695"/>
      <c r="AL201" s="1695"/>
      <c r="AM201" s="1695"/>
      <c r="AN201" s="1695"/>
      <c r="AO201" s="1743">
        <v>275</v>
      </c>
      <c r="AP201" s="1758">
        <v>53.94</v>
      </c>
      <c r="AQ201" s="1687">
        <v>15</v>
      </c>
      <c r="AR201" s="1687">
        <f t="shared" si="26"/>
        <v>6.2745333333333333</v>
      </c>
      <c r="AS201" s="1687" t="s">
        <v>1838</v>
      </c>
      <c r="AT201" s="1687">
        <f>STDEV(AR200:AR208)</f>
        <v>2.3261882417033752</v>
      </c>
    </row>
    <row r="202" spans="1:46">
      <c r="A202" s="2424"/>
      <c r="B202" s="1699"/>
      <c r="C202" s="1696"/>
      <c r="D202" s="1696"/>
      <c r="E202" s="1695"/>
      <c r="F202" s="1695"/>
      <c r="G202" s="1745"/>
      <c r="H202" s="1745"/>
      <c r="I202" s="1745"/>
      <c r="J202" s="1745"/>
      <c r="K202" s="1695"/>
      <c r="L202" s="1745"/>
      <c r="M202" s="1699"/>
      <c r="N202" s="1695"/>
      <c r="O202" s="1695"/>
      <c r="P202" s="1745"/>
      <c r="Q202" s="1745"/>
      <c r="R202" s="1745"/>
      <c r="S202" s="1745"/>
      <c r="T202" s="1805"/>
      <c r="U202" s="1787" t="s">
        <v>1532</v>
      </c>
      <c r="V202" s="1699"/>
      <c r="W202" s="1695"/>
      <c r="X202" s="1695"/>
      <c r="Y202" s="1695"/>
      <c r="Z202" s="1695"/>
      <c r="AA202" s="1695"/>
      <c r="AB202" s="1699"/>
      <c r="AC202" s="1695"/>
      <c r="AD202" s="1695"/>
      <c r="AE202" s="1695"/>
      <c r="AF202" s="1695"/>
      <c r="AG202" s="1695"/>
      <c r="AH202" s="1699"/>
      <c r="AI202" s="1695"/>
      <c r="AJ202" s="1695"/>
      <c r="AK202" s="1695"/>
      <c r="AL202" s="1695"/>
      <c r="AM202" s="1695"/>
      <c r="AN202" s="1695"/>
      <c r="AO202" s="1743">
        <v>94.117999999999995</v>
      </c>
      <c r="AP202" s="1758">
        <v>53.94</v>
      </c>
      <c r="AQ202" s="1687">
        <v>20</v>
      </c>
      <c r="AR202" s="1687">
        <f t="shared" si="26"/>
        <v>4.7058999999999997</v>
      </c>
    </row>
    <row r="203" spans="1:46">
      <c r="A203" s="2424"/>
      <c r="B203" s="1699"/>
      <c r="C203" s="1696"/>
      <c r="D203" s="1696"/>
      <c r="E203" s="1695"/>
      <c r="F203" s="1695"/>
      <c r="G203" s="1745"/>
      <c r="H203" s="1745"/>
      <c r="I203" s="1745"/>
      <c r="J203" s="1745"/>
      <c r="K203" s="1695"/>
      <c r="L203" s="1745"/>
      <c r="M203" s="1699"/>
      <c r="N203" s="1695"/>
      <c r="O203" s="1695"/>
      <c r="P203" s="1745"/>
      <c r="Q203" s="1745"/>
      <c r="R203" s="1745"/>
      <c r="S203" s="1745"/>
      <c r="T203" s="1805"/>
      <c r="U203" s="1787" t="s">
        <v>1533</v>
      </c>
      <c r="V203" s="1699"/>
      <c r="W203" s="1695"/>
      <c r="X203" s="1695"/>
      <c r="Y203" s="1695"/>
      <c r="Z203" s="1695"/>
      <c r="AA203" s="1695"/>
      <c r="AB203" s="1699"/>
      <c r="AC203" s="1695"/>
      <c r="AD203" s="1695"/>
      <c r="AE203" s="1695"/>
      <c r="AF203" s="1695"/>
      <c r="AG203" s="1695"/>
      <c r="AH203" s="1699"/>
      <c r="AI203" s="1695"/>
      <c r="AJ203" s="1695"/>
      <c r="AK203" s="1695"/>
      <c r="AL203" s="1695"/>
      <c r="AM203" s="1695"/>
      <c r="AN203" s="1695"/>
      <c r="AO203" s="1743">
        <v>94.117999999999995</v>
      </c>
      <c r="AP203" s="1758">
        <v>53.94</v>
      </c>
      <c r="AQ203" s="1687">
        <v>25</v>
      </c>
      <c r="AR203" s="1687">
        <f t="shared" si="26"/>
        <v>3.7647199999999996</v>
      </c>
    </row>
    <row r="204" spans="1:46">
      <c r="A204" s="2424"/>
      <c r="B204" s="1699"/>
      <c r="C204" s="1696"/>
      <c r="D204" s="1696"/>
      <c r="E204" s="1695"/>
      <c r="F204" s="1695"/>
      <c r="G204" s="1745"/>
      <c r="H204" s="1745"/>
      <c r="I204" s="1745"/>
      <c r="J204" s="1745"/>
      <c r="K204" s="1695"/>
      <c r="L204" s="1745"/>
      <c r="M204" s="1699"/>
      <c r="N204" s="1695"/>
      <c r="O204" s="1695"/>
      <c r="P204" s="1745"/>
      <c r="Q204" s="1745"/>
      <c r="R204" s="1745"/>
      <c r="S204" s="1745"/>
      <c r="T204" s="1805"/>
      <c r="U204" s="1787" t="s">
        <v>1534</v>
      </c>
      <c r="V204" s="1699"/>
      <c r="W204" s="1695"/>
      <c r="X204" s="1695"/>
      <c r="Y204" s="1695"/>
      <c r="Z204" s="1695"/>
      <c r="AA204" s="1695"/>
      <c r="AB204" s="1699"/>
      <c r="AC204" s="1695"/>
      <c r="AD204" s="1695"/>
      <c r="AE204" s="1695"/>
      <c r="AF204" s="1695"/>
      <c r="AG204" s="1695"/>
      <c r="AH204" s="1699"/>
      <c r="AI204" s="1695"/>
      <c r="AJ204" s="1695"/>
      <c r="AK204" s="1695"/>
      <c r="AL204" s="1695"/>
      <c r="AM204" s="1695"/>
      <c r="AN204" s="1695"/>
      <c r="AO204" s="1743">
        <v>94.117999999999995</v>
      </c>
      <c r="AP204" s="1758">
        <v>53.94</v>
      </c>
      <c r="AQ204" s="1687">
        <v>30</v>
      </c>
      <c r="AR204" s="1687">
        <f t="shared" si="26"/>
        <v>3.3666666666666667</v>
      </c>
    </row>
    <row r="205" spans="1:46">
      <c r="A205" s="2424"/>
      <c r="B205" s="1699"/>
      <c r="C205" s="1696"/>
      <c r="D205" s="1696"/>
      <c r="E205" s="1695"/>
      <c r="F205" s="1695"/>
      <c r="G205" s="1745"/>
      <c r="H205" s="1745"/>
      <c r="I205" s="1745"/>
      <c r="J205" s="1745"/>
      <c r="K205" s="1695"/>
      <c r="L205" s="1745"/>
      <c r="M205" s="1699"/>
      <c r="N205" s="1695"/>
      <c r="O205" s="1695"/>
      <c r="P205" s="1745"/>
      <c r="Q205" s="1745"/>
      <c r="R205" s="1745"/>
      <c r="S205" s="1745"/>
      <c r="T205" s="1805"/>
      <c r="U205" s="1787" t="s">
        <v>1535</v>
      </c>
      <c r="V205" s="1699"/>
      <c r="W205" s="1695"/>
      <c r="X205" s="1695"/>
      <c r="Y205" s="1695"/>
      <c r="Z205" s="1695"/>
      <c r="AA205" s="1695"/>
      <c r="AB205" s="1699"/>
      <c r="AC205" s="1695"/>
      <c r="AD205" s="1695"/>
      <c r="AE205" s="1695"/>
      <c r="AF205" s="1695"/>
      <c r="AG205" s="1695"/>
      <c r="AH205" s="1699"/>
      <c r="AI205" s="1695"/>
      <c r="AJ205" s="1695"/>
      <c r="AK205" s="1695"/>
      <c r="AL205" s="1695"/>
      <c r="AM205" s="1695"/>
      <c r="AN205" s="1695"/>
      <c r="AO205" s="1743">
        <v>94.117999999999995</v>
      </c>
      <c r="AP205" s="1758">
        <v>53.94</v>
      </c>
      <c r="AQ205" s="1687">
        <v>35</v>
      </c>
      <c r="AR205" s="1687">
        <f t="shared" si="26"/>
        <v>2.9714285714285715</v>
      </c>
    </row>
    <row r="206" spans="1:46">
      <c r="A206" s="2424"/>
      <c r="B206" s="1699"/>
      <c r="C206" s="1696"/>
      <c r="D206" s="1696"/>
      <c r="E206" s="1695"/>
      <c r="F206" s="1695"/>
      <c r="G206" s="1745"/>
      <c r="H206" s="1745"/>
      <c r="I206" s="1745"/>
      <c r="J206" s="1745"/>
      <c r="K206" s="1695"/>
      <c r="L206" s="1745"/>
      <c r="M206" s="1699"/>
      <c r="N206" s="1695"/>
      <c r="O206" s="1695"/>
      <c r="P206" s="1745"/>
      <c r="Q206" s="1745"/>
      <c r="R206" s="1745"/>
      <c r="S206" s="1745"/>
      <c r="T206" s="1805"/>
      <c r="U206" s="1787" t="s">
        <v>1536</v>
      </c>
      <c r="V206" s="1699"/>
      <c r="W206" s="1695"/>
      <c r="X206" s="1695"/>
      <c r="Y206" s="1695"/>
      <c r="Z206" s="1695"/>
      <c r="AA206" s="1695"/>
      <c r="AB206" s="1699"/>
      <c r="AC206" s="1695"/>
      <c r="AD206" s="1695"/>
      <c r="AE206" s="1695"/>
      <c r="AF206" s="1695"/>
      <c r="AG206" s="1695"/>
      <c r="AH206" s="1699"/>
      <c r="AI206" s="1695"/>
      <c r="AJ206" s="1695"/>
      <c r="AK206" s="1695"/>
      <c r="AL206" s="1695"/>
      <c r="AM206" s="1695"/>
      <c r="AN206" s="1695"/>
      <c r="AO206" s="1743">
        <v>101</v>
      </c>
      <c r="AP206" s="1758">
        <v>53.94</v>
      </c>
      <c r="AQ206" s="1687">
        <v>40</v>
      </c>
      <c r="AR206" s="1687">
        <f t="shared" si="26"/>
        <v>2.7</v>
      </c>
    </row>
    <row r="207" spans="1:46">
      <c r="A207" s="2424"/>
      <c r="B207" s="1699"/>
      <c r="C207" s="1696"/>
      <c r="D207" s="1696"/>
      <c r="E207" s="1695"/>
      <c r="F207" s="1695"/>
      <c r="G207" s="1745"/>
      <c r="H207" s="1745"/>
      <c r="I207" s="1745"/>
      <c r="J207" s="1745"/>
      <c r="K207" s="1695"/>
      <c r="L207" s="1745"/>
      <c r="M207" s="1699"/>
      <c r="N207" s="1695"/>
      <c r="O207" s="1695"/>
      <c r="P207" s="1745"/>
      <c r="Q207" s="1745"/>
      <c r="R207" s="1745"/>
      <c r="S207" s="1745"/>
      <c r="T207" s="1805"/>
      <c r="U207" s="1787" t="s">
        <v>1537</v>
      </c>
      <c r="V207" s="1699"/>
      <c r="W207" s="1695"/>
      <c r="X207" s="1695"/>
      <c r="Y207" s="1695"/>
      <c r="Z207" s="1695"/>
      <c r="AA207" s="1695"/>
      <c r="AB207" s="1699"/>
      <c r="AC207" s="1695"/>
      <c r="AD207" s="1695"/>
      <c r="AE207" s="1695"/>
      <c r="AF207" s="1695"/>
      <c r="AG207" s="1695"/>
      <c r="AH207" s="1699"/>
      <c r="AI207" s="1695"/>
      <c r="AJ207" s="1695"/>
      <c r="AK207" s="1695"/>
      <c r="AL207" s="1695"/>
      <c r="AM207" s="1695"/>
      <c r="AN207" s="1695"/>
      <c r="AO207" s="1743">
        <v>104</v>
      </c>
      <c r="AP207" s="1758">
        <v>53.94</v>
      </c>
      <c r="AQ207" s="1687">
        <v>45</v>
      </c>
      <c r="AR207" s="1687">
        <f t="shared" si="26"/>
        <v>2.4222222222222221</v>
      </c>
    </row>
    <row r="208" spans="1:46">
      <c r="A208" s="2424"/>
      <c r="B208" s="1699"/>
      <c r="C208" s="1696"/>
      <c r="D208" s="1696"/>
      <c r="E208" s="1695"/>
      <c r="F208" s="1695"/>
      <c r="G208" s="1745"/>
      <c r="H208" s="1745"/>
      <c r="I208" s="1745"/>
      <c r="J208" s="1745"/>
      <c r="K208" s="1695"/>
      <c r="L208" s="1745"/>
      <c r="M208" s="1699"/>
      <c r="N208" s="1695"/>
      <c r="O208" s="1695"/>
      <c r="P208" s="1745"/>
      <c r="Q208" s="1745"/>
      <c r="R208" s="1745"/>
      <c r="S208" s="1745"/>
      <c r="T208" s="1805"/>
      <c r="U208" s="1787" t="s">
        <v>1538</v>
      </c>
      <c r="V208" s="1699"/>
      <c r="W208" s="1695"/>
      <c r="X208" s="1695"/>
      <c r="Y208" s="1695"/>
      <c r="Z208" s="1695"/>
      <c r="AA208" s="1695"/>
      <c r="AB208" s="1699"/>
      <c r="AC208" s="1695"/>
      <c r="AD208" s="1695"/>
      <c r="AE208" s="1695"/>
      <c r="AF208" s="1695"/>
      <c r="AG208" s="1695"/>
      <c r="AH208" s="1699"/>
      <c r="AI208" s="1695"/>
      <c r="AJ208" s="1695"/>
      <c r="AK208" s="1695"/>
      <c r="AL208" s="1695"/>
      <c r="AM208" s="1695"/>
      <c r="AN208" s="1695"/>
      <c r="AO208" s="1743">
        <v>108</v>
      </c>
      <c r="AP208" s="1758">
        <v>53.94</v>
      </c>
      <c r="AQ208" s="1687">
        <v>50</v>
      </c>
      <c r="AR208" s="1687">
        <f t="shared" si="26"/>
        <v>2.2599999999999998</v>
      </c>
    </row>
    <row r="209" spans="1:46" ht="9" customHeight="1">
      <c r="A209" s="2424"/>
      <c r="B209" s="1699"/>
      <c r="C209" s="1696"/>
      <c r="D209" s="1696"/>
      <c r="E209" s="1695"/>
      <c r="F209" s="1695"/>
      <c r="G209" s="1745"/>
      <c r="H209" s="1745"/>
      <c r="I209" s="1745"/>
      <c r="J209" s="1745"/>
      <c r="K209" s="1695"/>
      <c r="L209" s="1745"/>
      <c r="M209" s="1699"/>
      <c r="N209" s="1695"/>
      <c r="O209" s="1695"/>
      <c r="P209" s="1745"/>
      <c r="Q209" s="1745"/>
      <c r="R209" s="1745"/>
      <c r="S209" s="1745"/>
      <c r="T209" s="1805"/>
      <c r="U209" s="1787" t="s">
        <v>1539</v>
      </c>
      <c r="V209" s="1699"/>
      <c r="W209" s="1695"/>
      <c r="X209" s="1695"/>
      <c r="Y209" s="1695"/>
      <c r="Z209" s="1695"/>
      <c r="AA209" s="1695"/>
      <c r="AB209" s="1699"/>
      <c r="AC209" s="1695"/>
      <c r="AD209" s="1695"/>
      <c r="AE209" s="1695"/>
      <c r="AF209" s="1695"/>
      <c r="AG209" s="1695"/>
      <c r="AH209" s="1699"/>
      <c r="AI209" s="1695"/>
      <c r="AJ209" s="1695"/>
      <c r="AK209" s="1695"/>
      <c r="AL209" s="1695"/>
      <c r="AM209" s="1695"/>
      <c r="AN209" s="1695"/>
      <c r="AO209" s="1743">
        <v>109</v>
      </c>
      <c r="AP209" s="1758">
        <v>53.94</v>
      </c>
    </row>
    <row r="210" spans="1:46" ht="15.75" thickBot="1">
      <c r="A210" s="2436"/>
      <c r="B210" s="1699"/>
      <c r="C210" s="1696"/>
      <c r="D210" s="1696"/>
      <c r="E210" s="1695"/>
      <c r="F210" s="1695"/>
      <c r="G210" s="1745"/>
      <c r="H210" s="1745"/>
      <c r="I210" s="1745"/>
      <c r="J210" s="1745"/>
      <c r="K210" s="1695"/>
      <c r="L210" s="1745"/>
      <c r="M210" s="1699"/>
      <c r="N210" s="1695"/>
      <c r="O210" s="1695"/>
      <c r="P210" s="1745"/>
      <c r="Q210" s="1745"/>
      <c r="R210" s="1745"/>
      <c r="S210" s="1745"/>
      <c r="T210" s="1805"/>
      <c r="U210" s="1787" t="s">
        <v>1540</v>
      </c>
      <c r="V210" s="1699"/>
      <c r="W210" s="1695"/>
      <c r="X210" s="1695"/>
      <c r="Y210" s="1695"/>
      <c r="Z210" s="1695"/>
      <c r="AA210" s="1695"/>
      <c r="AB210" s="1699"/>
      <c r="AC210" s="1695"/>
      <c r="AD210" s="1695"/>
      <c r="AE210" s="1695"/>
      <c r="AF210" s="1695"/>
      <c r="AG210" s="1695"/>
      <c r="AH210" s="1699"/>
      <c r="AI210" s="1695"/>
      <c r="AJ210" s="1695"/>
      <c r="AK210" s="1695"/>
      <c r="AL210" s="1695"/>
      <c r="AM210" s="1695"/>
      <c r="AN210" s="1695"/>
      <c r="AO210" s="1743">
        <v>113</v>
      </c>
      <c r="AP210" s="1758">
        <v>53.94</v>
      </c>
    </row>
    <row r="211" spans="1:46" ht="19.5" thickBot="1">
      <c r="A211" s="1746"/>
      <c r="B211" s="1715"/>
      <c r="C211" s="1716"/>
      <c r="D211" s="1716"/>
      <c r="E211" s="1715"/>
      <c r="F211" s="1715"/>
      <c r="G211" s="1717"/>
      <c r="H211" s="1717"/>
      <c r="I211" s="1717"/>
      <c r="J211" s="1717"/>
      <c r="K211" s="1715"/>
      <c r="L211" s="1717"/>
      <c r="M211" s="1718"/>
      <c r="N211" s="1715"/>
      <c r="O211" s="1715"/>
      <c r="P211" s="1717"/>
      <c r="Q211" s="1717"/>
      <c r="R211" s="1717"/>
      <c r="S211" s="1717"/>
      <c r="T211" s="1717"/>
      <c r="U211" s="1718"/>
      <c r="V211" s="1718"/>
      <c r="W211" s="1715"/>
      <c r="X211" s="1715"/>
      <c r="Y211" s="1715"/>
      <c r="Z211" s="1715"/>
      <c r="AA211" s="1715"/>
      <c r="AB211" s="1718"/>
      <c r="AC211" s="1715"/>
      <c r="AD211" s="1715"/>
      <c r="AE211" s="1715"/>
      <c r="AF211" s="1715"/>
      <c r="AG211" s="1715"/>
      <c r="AH211" s="1718"/>
      <c r="AI211" s="1715"/>
      <c r="AJ211" s="1715"/>
      <c r="AK211" s="1715"/>
      <c r="AL211" s="1715"/>
      <c r="AM211" s="1715"/>
      <c r="AN211" s="1715"/>
      <c r="AO211" s="1718"/>
      <c r="AP211" s="1719"/>
    </row>
    <row r="212" spans="1:46">
      <c r="A212" s="2423" t="s">
        <v>1138</v>
      </c>
      <c r="B212" s="1739" t="s">
        <v>1861</v>
      </c>
      <c r="C212" s="1733" t="s">
        <v>1804</v>
      </c>
      <c r="D212" s="1787" t="s">
        <v>1812</v>
      </c>
      <c r="E212" s="1748">
        <f>AVERAGE(V212,AB212)/100</f>
        <v>1.145</v>
      </c>
      <c r="F212" s="1841"/>
      <c r="G212" s="2446">
        <f>AVERAGE(W212:W220,AC212:AC220)*BS7</f>
        <v>71.49199492561317</v>
      </c>
      <c r="H212" s="1867">
        <f t="shared" ref="H212:H220" si="27">E212*$G$212</f>
        <v>81.858334189827076</v>
      </c>
      <c r="I212" s="1736">
        <f t="shared" ref="I212:I218" si="28">(SUM(Y212,AE212,AA212,AG212)/2)/100</f>
        <v>203.90310000000002</v>
      </c>
      <c r="J212" s="1868">
        <f>AVERAGE(Z212,AF212)</f>
        <v>1400</v>
      </c>
      <c r="K212" s="2428">
        <v>0.25</v>
      </c>
      <c r="L212" s="1795">
        <f t="shared" ref="L212:L220" si="29">(($G$212*E212)+I212)*(1+$K$212)</f>
        <v>357.20179273728388</v>
      </c>
      <c r="M212" s="1757" t="s">
        <v>1856</v>
      </c>
      <c r="N212" s="1735" t="s">
        <v>1855</v>
      </c>
      <c r="O212" s="1861">
        <f>AT219</f>
        <v>1.5221258503401363</v>
      </c>
      <c r="P212" s="1738">
        <f>AP221*BQ22</f>
        <v>62.46494892885444</v>
      </c>
      <c r="Q212" s="1774">
        <f t="shared" ref="Q212:Q214" si="30">O212*P212</f>
        <v>95.079513504785751</v>
      </c>
      <c r="R212" s="1737"/>
      <c r="S212" s="1737"/>
      <c r="T212" s="1751">
        <f>Q212</f>
        <v>95.079513504785751</v>
      </c>
      <c r="U212" s="1733" t="s">
        <v>1520</v>
      </c>
      <c r="V212" s="1757">
        <v>106</v>
      </c>
      <c r="W212" s="1857">
        <v>109.09</v>
      </c>
      <c r="X212" s="1857">
        <v>11564</v>
      </c>
      <c r="Y212" s="1857">
        <v>8700</v>
      </c>
      <c r="Z212" s="1857">
        <v>2000</v>
      </c>
      <c r="AA212" s="1858">
        <v>20339</v>
      </c>
      <c r="AB212" s="1757">
        <v>123</v>
      </c>
      <c r="AC212" s="1857">
        <v>98</v>
      </c>
      <c r="AD212" s="1857">
        <v>12036</v>
      </c>
      <c r="AE212" s="1857">
        <v>9441.6200000000008</v>
      </c>
      <c r="AF212" s="1857">
        <v>800</v>
      </c>
      <c r="AG212" s="1858">
        <v>2300</v>
      </c>
      <c r="AH212" s="1699"/>
      <c r="AI212" s="1695"/>
      <c r="AJ212" s="1695"/>
      <c r="AK212" s="1695"/>
      <c r="AL212" s="1695"/>
      <c r="AM212" s="1695"/>
      <c r="AN212" s="1695"/>
      <c r="AO212" s="1699"/>
      <c r="AP212" s="1729"/>
    </row>
    <row r="213" spans="1:46">
      <c r="A213" s="2424"/>
      <c r="B213" s="1739" t="s">
        <v>1862</v>
      </c>
      <c r="C213" s="1733" t="s">
        <v>1804</v>
      </c>
      <c r="D213" s="1787" t="s">
        <v>1812</v>
      </c>
      <c r="E213" s="1748">
        <f>AVERAGE(V213,AB213)/200</f>
        <v>0.78749999999999998</v>
      </c>
      <c r="F213" s="1841"/>
      <c r="G213" s="2446"/>
      <c r="H213" s="1867">
        <f t="shared" si="27"/>
        <v>56.299946003920368</v>
      </c>
      <c r="I213" s="1736">
        <f>(SUM(Y213,AE213,AA213,AG213)/2)/200</f>
        <v>179.94897499999999</v>
      </c>
      <c r="J213" s="1868">
        <f t="shared" ref="J213:J220" si="31">AVERAGE(Z213,AF213)</f>
        <v>2150</v>
      </c>
      <c r="K213" s="2428"/>
      <c r="L213" s="1795">
        <f t="shared" si="29"/>
        <v>295.31115125490044</v>
      </c>
      <c r="M213" s="1757" t="s">
        <v>1857</v>
      </c>
      <c r="N213" s="1735" t="s">
        <v>1859</v>
      </c>
      <c r="O213" s="1861">
        <f>AT226</f>
        <v>6.4316072916666673</v>
      </c>
      <c r="P213" s="1738">
        <f>AVERAGE(AP228:AP235)*BQ22</f>
        <v>60.441265238584265</v>
      </c>
      <c r="Q213" s="1774">
        <f t="shared" si="30"/>
        <v>388.73448222603764</v>
      </c>
      <c r="R213" s="1737"/>
      <c r="S213" s="1737"/>
      <c r="T213" s="1751">
        <f>Q213</f>
        <v>388.73448222603764</v>
      </c>
      <c r="U213" s="1733" t="s">
        <v>1521</v>
      </c>
      <c r="V213" s="1757">
        <v>156</v>
      </c>
      <c r="W213" s="1857">
        <v>109</v>
      </c>
      <c r="X213" s="1857">
        <v>16940</v>
      </c>
      <c r="Y213" s="1857">
        <v>15261</v>
      </c>
      <c r="Z213" s="1857">
        <v>3500</v>
      </c>
      <c r="AA213" s="1858">
        <v>38418</v>
      </c>
      <c r="AB213" s="1757">
        <v>159</v>
      </c>
      <c r="AC213" s="1857">
        <v>98</v>
      </c>
      <c r="AD213" s="1857">
        <v>15546</v>
      </c>
      <c r="AE213" s="1857">
        <v>14700.59</v>
      </c>
      <c r="AF213" s="1857">
        <v>800</v>
      </c>
      <c r="AG213" s="1858">
        <v>3600</v>
      </c>
      <c r="AH213" s="1699"/>
      <c r="AI213" s="1695"/>
      <c r="AJ213" s="1695"/>
      <c r="AK213" s="1695"/>
      <c r="AL213" s="1695"/>
      <c r="AM213" s="1695"/>
      <c r="AN213" s="1695"/>
      <c r="AO213" s="1699"/>
      <c r="AP213" s="1729"/>
    </row>
    <row r="214" spans="1:46">
      <c r="A214" s="2424"/>
      <c r="B214" s="1739" t="s">
        <v>1863</v>
      </c>
      <c r="C214" s="1733" t="s">
        <v>1804</v>
      </c>
      <c r="D214" s="1787" t="s">
        <v>1812</v>
      </c>
      <c r="E214" s="1748">
        <f>AVERAGE(V214,AB214)/300</f>
        <v>0.60499999999999998</v>
      </c>
      <c r="F214" s="1841"/>
      <c r="G214" s="2446"/>
      <c r="H214" s="1867">
        <f t="shared" si="27"/>
        <v>43.252656929995965</v>
      </c>
      <c r="I214" s="1736">
        <f>(SUM(Y214,AE214,AA214,AG214)/2)/300</f>
        <v>155.01626666666667</v>
      </c>
      <c r="J214" s="1868">
        <f t="shared" si="31"/>
        <v>2750</v>
      </c>
      <c r="K214" s="2428"/>
      <c r="L214" s="1795">
        <f t="shared" si="29"/>
        <v>247.83615449582828</v>
      </c>
      <c r="M214" s="1757" t="s">
        <v>1858</v>
      </c>
      <c r="N214" s="1735" t="s">
        <v>1860</v>
      </c>
      <c r="O214" s="1861">
        <f>AT234</f>
        <v>0.36342865079365083</v>
      </c>
      <c r="P214" s="1738">
        <f>AP236*BQ22</f>
        <v>62.46494892885444</v>
      </c>
      <c r="Q214" s="1774">
        <f t="shared" si="30"/>
        <v>22.701552111107873</v>
      </c>
      <c r="R214" s="1737"/>
      <c r="S214" s="1737"/>
      <c r="T214" s="1751">
        <f>Q214</f>
        <v>22.701552111107873</v>
      </c>
      <c r="U214" s="1733" t="s">
        <v>1522</v>
      </c>
      <c r="V214" s="1757">
        <v>174</v>
      </c>
      <c r="W214" s="1857">
        <v>108</v>
      </c>
      <c r="X214" s="1857">
        <v>18872</v>
      </c>
      <c r="Y214" s="1857">
        <v>15461</v>
      </c>
      <c r="Z214" s="1857">
        <v>4000</v>
      </c>
      <c r="AA214" s="1858">
        <v>51141</v>
      </c>
      <c r="AB214" s="1757">
        <v>189</v>
      </c>
      <c r="AC214" s="1857">
        <v>98</v>
      </c>
      <c r="AD214" s="1857">
        <v>18439</v>
      </c>
      <c r="AE214" s="1857">
        <v>21807.759999999998</v>
      </c>
      <c r="AF214" s="1857">
        <v>1500</v>
      </c>
      <c r="AG214" s="1858">
        <v>4600</v>
      </c>
      <c r="AH214" s="1699"/>
      <c r="AI214" s="1695"/>
      <c r="AJ214" s="1695"/>
      <c r="AK214" s="1695"/>
      <c r="AL214" s="1695"/>
      <c r="AM214" s="1695"/>
      <c r="AN214" s="1695"/>
      <c r="AO214" s="1699"/>
      <c r="AP214" s="1729"/>
    </row>
    <row r="215" spans="1:46">
      <c r="A215" s="2424"/>
      <c r="B215" s="1739" t="s">
        <v>1867</v>
      </c>
      <c r="C215" s="1733" t="s">
        <v>1804</v>
      </c>
      <c r="D215" s="1787" t="s">
        <v>1812</v>
      </c>
      <c r="E215" s="1748">
        <f>AVERAGE(V215,AB215)/100</f>
        <v>1.585</v>
      </c>
      <c r="F215" s="1841"/>
      <c r="G215" s="2446"/>
      <c r="H215" s="1867">
        <f t="shared" si="27"/>
        <v>113.31481195709688</v>
      </c>
      <c r="I215" s="1736">
        <f t="shared" si="28"/>
        <v>215.63955000000001</v>
      </c>
      <c r="J215" s="1868">
        <f t="shared" si="31"/>
        <v>5000</v>
      </c>
      <c r="K215" s="2428"/>
      <c r="L215" s="1795">
        <f t="shared" si="29"/>
        <v>411.19295244637112</v>
      </c>
      <c r="M215" s="1743" t="s">
        <v>1940</v>
      </c>
      <c r="N215" s="1782"/>
      <c r="O215" s="1870" t="s">
        <v>1943</v>
      </c>
      <c r="P215" s="1738">
        <v>67.88</v>
      </c>
      <c r="Q215" s="1871" t="s">
        <v>2021</v>
      </c>
      <c r="R215" s="1737"/>
      <c r="S215" s="1737"/>
      <c r="T215" s="1872" t="str">
        <f>Q215</f>
        <v>$71.95 - $201.60</v>
      </c>
      <c r="U215" s="1733" t="s">
        <v>1541</v>
      </c>
      <c r="V215" s="1757">
        <v>134</v>
      </c>
      <c r="W215" s="1857">
        <v>108</v>
      </c>
      <c r="X215" s="1857">
        <v>14476</v>
      </c>
      <c r="Y215" s="1857">
        <v>8350</v>
      </c>
      <c r="Z215" s="1857">
        <v>6500</v>
      </c>
      <c r="AA215" s="1858">
        <v>22444</v>
      </c>
      <c r="AB215" s="1757">
        <v>183</v>
      </c>
      <c r="AC215" s="1857">
        <v>101</v>
      </c>
      <c r="AD215" s="1857">
        <v>18531</v>
      </c>
      <c r="AE215" s="1857">
        <v>9833.91</v>
      </c>
      <c r="AF215" s="1857">
        <v>3500</v>
      </c>
      <c r="AG215" s="1858">
        <v>2500</v>
      </c>
      <c r="AH215" s="1699"/>
      <c r="AI215" s="1695"/>
      <c r="AJ215" s="1695"/>
      <c r="AK215" s="1695"/>
      <c r="AL215" s="1695"/>
      <c r="AM215" s="1695"/>
      <c r="AN215" s="1695"/>
      <c r="AO215" s="1699"/>
      <c r="AP215" s="1729"/>
    </row>
    <row r="216" spans="1:46">
      <c r="A216" s="2424"/>
      <c r="B216" s="1739" t="s">
        <v>1868</v>
      </c>
      <c r="C216" s="1733" t="s">
        <v>1804</v>
      </c>
      <c r="D216" s="1787" t="s">
        <v>1812</v>
      </c>
      <c r="E216" s="1748">
        <f>AVERAGE(V216,AB216)/200</f>
        <v>1.0575000000000001</v>
      </c>
      <c r="F216" s="1841"/>
      <c r="G216" s="2446"/>
      <c r="H216" s="1867">
        <f t="shared" si="27"/>
        <v>75.602784633835938</v>
      </c>
      <c r="I216" s="1736">
        <f>(SUM(Y216,AE216,AA216,AG216)/2)/200</f>
        <v>185.50247499999998</v>
      </c>
      <c r="J216" s="1868">
        <f>AVERAGE(Z216,AF216)</f>
        <v>5500</v>
      </c>
      <c r="K216" s="2428"/>
      <c r="L216" s="1795">
        <f t="shared" si="29"/>
        <v>326.38157454229486</v>
      </c>
      <c r="M216" s="1743" t="s">
        <v>1941</v>
      </c>
      <c r="N216" s="1782"/>
      <c r="O216" s="1870" t="s">
        <v>1944</v>
      </c>
      <c r="P216" s="1738">
        <v>67.88</v>
      </c>
      <c r="Q216" s="1871" t="s">
        <v>2022</v>
      </c>
      <c r="R216" s="1737"/>
      <c r="S216" s="1737"/>
      <c r="T216" s="1872" t="str">
        <f>Q216</f>
        <v>$83.49 - 95.71</v>
      </c>
      <c r="U216" s="1733" t="s">
        <v>1542</v>
      </c>
      <c r="V216" s="1757">
        <v>182</v>
      </c>
      <c r="W216" s="1857">
        <v>108</v>
      </c>
      <c r="X216" s="1857">
        <v>19712</v>
      </c>
      <c r="Y216" s="1857">
        <v>15061</v>
      </c>
      <c r="Z216" s="1857">
        <v>6500</v>
      </c>
      <c r="AA216" s="1858">
        <v>40081</v>
      </c>
      <c r="AB216" s="1757">
        <v>241</v>
      </c>
      <c r="AC216" s="1857">
        <v>98</v>
      </c>
      <c r="AD216" s="1857">
        <v>23511</v>
      </c>
      <c r="AE216" s="1857">
        <v>15058.99</v>
      </c>
      <c r="AF216" s="1857">
        <v>4500</v>
      </c>
      <c r="AG216" s="1858">
        <v>4000</v>
      </c>
      <c r="AH216" s="1699"/>
      <c r="AI216" s="1695"/>
      <c r="AJ216" s="1695"/>
      <c r="AK216" s="1695"/>
      <c r="AL216" s="1695"/>
      <c r="AM216" s="1695"/>
      <c r="AN216" s="1695"/>
      <c r="AO216" s="1699"/>
      <c r="AP216" s="1729"/>
    </row>
    <row r="217" spans="1:46">
      <c r="A217" s="2424"/>
      <c r="B217" s="1739" t="s">
        <v>1869</v>
      </c>
      <c r="C217" s="1733" t="s">
        <v>1804</v>
      </c>
      <c r="D217" s="1787" t="s">
        <v>1812</v>
      </c>
      <c r="E217" s="1748">
        <f>AVERAGE(V217,AB217)/300</f>
        <v>0.74</v>
      </c>
      <c r="F217" s="1841"/>
      <c r="G217" s="2446"/>
      <c r="H217" s="1867">
        <f t="shared" si="27"/>
        <v>52.904076244953743</v>
      </c>
      <c r="I217" s="1736">
        <f>(SUM(Y217,AE217,AA217,AG217)/2)/300</f>
        <v>159.11658333333332</v>
      </c>
      <c r="J217" s="1868">
        <f t="shared" si="31"/>
        <v>6250</v>
      </c>
      <c r="K217" s="2428"/>
      <c r="L217" s="1795">
        <f t="shared" si="29"/>
        <v>265.0258244728588</v>
      </c>
      <c r="M217" s="1699"/>
      <c r="N217" s="1695"/>
      <c r="O217" s="1695"/>
      <c r="P217" s="1745"/>
      <c r="Q217" s="1745"/>
      <c r="R217" s="1745"/>
      <c r="S217" s="1745"/>
      <c r="T217" s="1805"/>
      <c r="U217" s="1733" t="s">
        <v>1543</v>
      </c>
      <c r="V217" s="1757">
        <v>212</v>
      </c>
      <c r="W217" s="1857">
        <v>108</v>
      </c>
      <c r="X217" s="1857">
        <v>22960</v>
      </c>
      <c r="Y217" s="1857">
        <v>15161</v>
      </c>
      <c r="Z217" s="1857">
        <v>7500</v>
      </c>
      <c r="AA217" s="1858">
        <v>53313</v>
      </c>
      <c r="AB217" s="1757">
        <v>232</v>
      </c>
      <c r="AC217" s="1857">
        <v>98</v>
      </c>
      <c r="AD217" s="1857">
        <v>22621</v>
      </c>
      <c r="AE217" s="1857">
        <v>21995.95</v>
      </c>
      <c r="AF217" s="1857">
        <v>5000</v>
      </c>
      <c r="AG217" s="1858">
        <v>5000</v>
      </c>
      <c r="AH217" s="1699"/>
      <c r="AI217" s="1695"/>
      <c r="AJ217" s="1695"/>
      <c r="AK217" s="1695"/>
      <c r="AL217" s="1695"/>
      <c r="AM217" s="1695"/>
      <c r="AN217" s="1695"/>
      <c r="AO217" s="1699"/>
      <c r="AP217" s="1729"/>
    </row>
    <row r="218" spans="1:46">
      <c r="A218" s="2424"/>
      <c r="B218" s="1739" t="s">
        <v>1864</v>
      </c>
      <c r="C218" s="1733" t="s">
        <v>1804</v>
      </c>
      <c r="D218" s="1787" t="s">
        <v>1812</v>
      </c>
      <c r="E218" s="1748">
        <f>AVERAGE(V218,AB218)/100</f>
        <v>1.33</v>
      </c>
      <c r="F218" s="1841"/>
      <c r="G218" s="2446"/>
      <c r="H218" s="1867">
        <f t="shared" si="27"/>
        <v>95.084353251065522</v>
      </c>
      <c r="I218" s="1736">
        <f t="shared" si="28"/>
        <v>214.77689999999998</v>
      </c>
      <c r="J218" s="1868">
        <f t="shared" si="31"/>
        <v>3250</v>
      </c>
      <c r="K218" s="2428"/>
      <c r="L218" s="1795">
        <f t="shared" si="29"/>
        <v>387.32656656383188</v>
      </c>
      <c r="M218" s="1699"/>
      <c r="N218" s="1695"/>
      <c r="O218" s="1695"/>
      <c r="P218" s="1745"/>
      <c r="Q218" s="1745"/>
      <c r="R218" s="1745"/>
      <c r="S218" s="1745"/>
      <c r="T218" s="1805"/>
      <c r="U218" s="1733" t="s">
        <v>1523</v>
      </c>
      <c r="V218" s="1757">
        <v>132</v>
      </c>
      <c r="W218" s="1857">
        <v>108</v>
      </c>
      <c r="X218" s="1857">
        <v>14252</v>
      </c>
      <c r="Y218" s="1857">
        <v>9300</v>
      </c>
      <c r="Z218" s="1857">
        <v>3500</v>
      </c>
      <c r="AA218" s="1858">
        <v>21766</v>
      </c>
      <c r="AB218" s="1757">
        <v>134</v>
      </c>
      <c r="AC218" s="1857">
        <v>98</v>
      </c>
      <c r="AD218" s="1857">
        <v>13097</v>
      </c>
      <c r="AE218" s="1857">
        <v>9489.3799999999992</v>
      </c>
      <c r="AF218" s="1857">
        <v>3000</v>
      </c>
      <c r="AG218" s="1858">
        <v>2400</v>
      </c>
      <c r="AH218" s="1699"/>
      <c r="AI218" s="1695"/>
      <c r="AJ218" s="1695"/>
      <c r="AK218" s="1695"/>
      <c r="AL218" s="1695"/>
      <c r="AM218" s="1695"/>
      <c r="AN218" s="1695"/>
      <c r="AO218" s="1699"/>
      <c r="AP218" s="1729"/>
    </row>
    <row r="219" spans="1:46">
      <c r="A219" s="2424"/>
      <c r="B219" s="1739" t="s">
        <v>1865</v>
      </c>
      <c r="C219" s="1733" t="s">
        <v>1804</v>
      </c>
      <c r="D219" s="1787" t="s">
        <v>1812</v>
      </c>
      <c r="E219" s="1748">
        <f>AVERAGE(V219,AB219)/200</f>
        <v>0.85499999999999998</v>
      </c>
      <c r="F219" s="1841"/>
      <c r="G219" s="2446"/>
      <c r="H219" s="1867">
        <f t="shared" si="27"/>
        <v>61.125655661399257</v>
      </c>
      <c r="I219" s="1736">
        <f>(SUM(Y219,AE219,AA219,AG219)/2)/200</f>
        <v>183.02309999999997</v>
      </c>
      <c r="J219" s="1868">
        <f t="shared" si="31"/>
        <v>4000</v>
      </c>
      <c r="K219" s="2428"/>
      <c r="L219" s="1795">
        <f t="shared" si="29"/>
        <v>305.18594457674902</v>
      </c>
      <c r="M219" s="1699"/>
      <c r="N219" s="1695"/>
      <c r="O219" s="1695"/>
      <c r="P219" s="1745"/>
      <c r="Q219" s="1745"/>
      <c r="R219" s="1745"/>
      <c r="S219" s="1745"/>
      <c r="T219" s="1805"/>
      <c r="U219" s="1733" t="s">
        <v>1524</v>
      </c>
      <c r="V219" s="1757">
        <v>172</v>
      </c>
      <c r="W219" s="1857">
        <v>108</v>
      </c>
      <c r="X219" s="1857">
        <v>18592</v>
      </c>
      <c r="Y219" s="1857">
        <v>15561</v>
      </c>
      <c r="Z219" s="1857">
        <v>4500</v>
      </c>
      <c r="AA219" s="1858">
        <v>39300</v>
      </c>
      <c r="AB219" s="1757">
        <v>170</v>
      </c>
      <c r="AC219" s="1857">
        <v>98</v>
      </c>
      <c r="AD219" s="1857">
        <v>16605</v>
      </c>
      <c r="AE219" s="1857">
        <v>14748.24</v>
      </c>
      <c r="AF219" s="1857">
        <v>3500</v>
      </c>
      <c r="AG219" s="1858">
        <v>3600</v>
      </c>
      <c r="AH219" s="1699"/>
      <c r="AI219" s="1695"/>
      <c r="AJ219" s="1695"/>
      <c r="AK219" s="1695"/>
      <c r="AL219" s="1695"/>
      <c r="AM219" s="1695"/>
      <c r="AN219" s="1695"/>
      <c r="AO219" s="1699"/>
      <c r="AP219" s="1729"/>
      <c r="AQ219" s="1687">
        <v>80</v>
      </c>
      <c r="AR219" s="1687">
        <f t="shared" ref="AR219:AR243" si="32">AO221/AQ219</f>
        <v>2.7875000000000001</v>
      </c>
      <c r="AS219" s="1687" t="s">
        <v>1837</v>
      </c>
      <c r="AT219" s="1687">
        <f>AVERAGE(AR219:AR225)</f>
        <v>1.5221258503401363</v>
      </c>
    </row>
    <row r="220" spans="1:46">
      <c r="A220" s="2424"/>
      <c r="B220" s="1739" t="s">
        <v>1866</v>
      </c>
      <c r="C220" s="1733" t="s">
        <v>1804</v>
      </c>
      <c r="D220" s="1787" t="s">
        <v>1812</v>
      </c>
      <c r="E220" s="1748">
        <f>AVERAGE(V220,AB220)/300</f>
        <v>0.67333333333333334</v>
      </c>
      <c r="F220" s="1841"/>
      <c r="G220" s="2446"/>
      <c r="H220" s="1867">
        <f t="shared" si="27"/>
        <v>48.137943249912865</v>
      </c>
      <c r="I220" s="1736">
        <f>(SUM(Y220,AE220,AA220,AG220)/2)/300</f>
        <v>157.44235</v>
      </c>
      <c r="J220" s="1868">
        <f t="shared" si="31"/>
        <v>4750</v>
      </c>
      <c r="K220" s="2429"/>
      <c r="L220" s="1795">
        <f t="shared" si="29"/>
        <v>256.97536656239106</v>
      </c>
      <c r="M220" s="1699"/>
      <c r="N220" s="1695"/>
      <c r="O220" s="1695"/>
      <c r="P220" s="1745"/>
      <c r="Q220" s="1745"/>
      <c r="R220" s="1745"/>
      <c r="S220" s="1745"/>
      <c r="T220" s="1805"/>
      <c r="U220" s="1733" t="s">
        <v>1525</v>
      </c>
      <c r="V220" s="1757">
        <v>204</v>
      </c>
      <c r="W220" s="1857">
        <v>108</v>
      </c>
      <c r="X220" s="1857">
        <v>22064</v>
      </c>
      <c r="Y220" s="1857">
        <v>15161</v>
      </c>
      <c r="Z220" s="1857">
        <v>5500</v>
      </c>
      <c r="AA220" s="1858">
        <v>52450</v>
      </c>
      <c r="AB220" s="1757">
        <v>200</v>
      </c>
      <c r="AC220" s="1857">
        <v>98</v>
      </c>
      <c r="AD220" s="1857">
        <v>19498</v>
      </c>
      <c r="AE220" s="1857">
        <v>21854.41</v>
      </c>
      <c r="AF220" s="1857">
        <v>4000</v>
      </c>
      <c r="AG220" s="1858">
        <v>5000</v>
      </c>
      <c r="AH220" s="1699"/>
      <c r="AI220" s="1695"/>
      <c r="AJ220" s="1695"/>
      <c r="AK220" s="1695"/>
      <c r="AL220" s="1695"/>
      <c r="AM220" s="1695"/>
      <c r="AN220" s="1695"/>
      <c r="AO220" s="1699"/>
      <c r="AP220" s="1729"/>
      <c r="AQ220" s="1687">
        <v>100</v>
      </c>
      <c r="AR220" s="1687">
        <f t="shared" si="32"/>
        <v>2.2999999999999998</v>
      </c>
      <c r="AS220" s="1687" t="s">
        <v>1838</v>
      </c>
      <c r="AT220" s="1687">
        <f>STDEV(AR219:AR225)</f>
        <v>0.7596310767556298</v>
      </c>
    </row>
    <row r="221" spans="1:46">
      <c r="A221" s="2424"/>
      <c r="B221" s="1699"/>
      <c r="C221" s="1696"/>
      <c r="D221" s="1873"/>
      <c r="E221" s="1741"/>
      <c r="F221" s="1850"/>
      <c r="G221" s="1851"/>
      <c r="H221" s="1843"/>
      <c r="I221" s="1851"/>
      <c r="J221" s="1843"/>
      <c r="K221" s="1741"/>
      <c r="L221" s="1799"/>
      <c r="M221" s="1699"/>
      <c r="N221" s="1695"/>
      <c r="O221" s="1695"/>
      <c r="P221" s="1745"/>
      <c r="Q221" s="1745"/>
      <c r="R221" s="1745"/>
      <c r="S221" s="1745"/>
      <c r="T221" s="1805"/>
      <c r="U221" s="1787" t="s">
        <v>1571</v>
      </c>
      <c r="V221" s="1699"/>
      <c r="W221" s="1695"/>
      <c r="X221" s="1695"/>
      <c r="Y221" s="1695"/>
      <c r="Z221" s="1695"/>
      <c r="AA221" s="1695"/>
      <c r="AB221" s="1699"/>
      <c r="AC221" s="1695"/>
      <c r="AD221" s="1695"/>
      <c r="AE221" s="1695"/>
      <c r="AF221" s="1695"/>
      <c r="AG221" s="1695"/>
      <c r="AH221" s="1699"/>
      <c r="AI221" s="1695"/>
      <c r="AJ221" s="1695"/>
      <c r="AK221" s="1695"/>
      <c r="AL221" s="1695"/>
      <c r="AM221" s="1695"/>
      <c r="AN221" s="1695"/>
      <c r="AO221" s="1757">
        <v>223</v>
      </c>
      <c r="AP221" s="1758">
        <v>53.94</v>
      </c>
      <c r="AQ221" s="1687">
        <v>150</v>
      </c>
      <c r="AR221" s="1687">
        <f t="shared" si="32"/>
        <v>1.6</v>
      </c>
    </row>
    <row r="222" spans="1:46">
      <c r="A222" s="2424"/>
      <c r="B222" s="1699"/>
      <c r="C222" s="1696"/>
      <c r="D222" s="1696"/>
      <c r="E222" s="1695"/>
      <c r="F222" s="1695"/>
      <c r="G222" s="1745"/>
      <c r="H222" s="1745"/>
      <c r="I222" s="1745"/>
      <c r="J222" s="1745"/>
      <c r="K222" s="1695"/>
      <c r="L222" s="1805"/>
      <c r="M222" s="1699"/>
      <c r="N222" s="1695"/>
      <c r="O222" s="1695"/>
      <c r="P222" s="1745"/>
      <c r="Q222" s="1745"/>
      <c r="R222" s="1745"/>
      <c r="S222" s="1745"/>
      <c r="T222" s="1805"/>
      <c r="U222" s="1787" t="s">
        <v>1572</v>
      </c>
      <c r="V222" s="1699"/>
      <c r="W222" s="1695"/>
      <c r="X222" s="1695"/>
      <c r="Y222" s="1695"/>
      <c r="Z222" s="1695"/>
      <c r="AA222" s="1695"/>
      <c r="AB222" s="1699"/>
      <c r="AC222" s="1695"/>
      <c r="AD222" s="1695"/>
      <c r="AE222" s="1695"/>
      <c r="AF222" s="1695"/>
      <c r="AG222" s="1695"/>
      <c r="AH222" s="1699"/>
      <c r="AI222" s="1695"/>
      <c r="AJ222" s="1695"/>
      <c r="AK222" s="1695"/>
      <c r="AL222" s="1695"/>
      <c r="AM222" s="1695"/>
      <c r="AN222" s="1695"/>
      <c r="AO222" s="1757">
        <v>230</v>
      </c>
      <c r="AP222" s="1758">
        <v>53.94</v>
      </c>
      <c r="AQ222" s="1687">
        <v>200</v>
      </c>
      <c r="AR222" s="1687">
        <f t="shared" si="32"/>
        <v>1.2549999999999999</v>
      </c>
    </row>
    <row r="223" spans="1:46">
      <c r="A223" s="2424"/>
      <c r="B223" s="1699"/>
      <c r="C223" s="1696"/>
      <c r="D223" s="1696"/>
      <c r="E223" s="1695"/>
      <c r="F223" s="1695"/>
      <c r="G223" s="1745"/>
      <c r="H223" s="1745"/>
      <c r="I223" s="1745"/>
      <c r="J223" s="1745"/>
      <c r="K223" s="1695"/>
      <c r="L223" s="1805"/>
      <c r="M223" s="1699"/>
      <c r="N223" s="1695"/>
      <c r="O223" s="1695"/>
      <c r="P223" s="1745"/>
      <c r="Q223" s="1745"/>
      <c r="R223" s="1745"/>
      <c r="S223" s="1745"/>
      <c r="T223" s="1805"/>
      <c r="U223" s="1787" t="s">
        <v>1573</v>
      </c>
      <c r="V223" s="1699"/>
      <c r="W223" s="1695"/>
      <c r="X223" s="1695"/>
      <c r="Y223" s="1695"/>
      <c r="Z223" s="1695"/>
      <c r="AA223" s="1695"/>
      <c r="AB223" s="1699"/>
      <c r="AC223" s="1695"/>
      <c r="AD223" s="1695"/>
      <c r="AE223" s="1695"/>
      <c r="AF223" s="1695"/>
      <c r="AG223" s="1695"/>
      <c r="AH223" s="1699"/>
      <c r="AI223" s="1695"/>
      <c r="AJ223" s="1695"/>
      <c r="AK223" s="1695"/>
      <c r="AL223" s="1695"/>
      <c r="AM223" s="1695"/>
      <c r="AN223" s="1695"/>
      <c r="AO223" s="1757">
        <v>240</v>
      </c>
      <c r="AP223" s="1758">
        <v>53.94</v>
      </c>
      <c r="AQ223" s="1687">
        <v>250</v>
      </c>
      <c r="AR223" s="1687">
        <f t="shared" si="32"/>
        <v>1.04</v>
      </c>
    </row>
    <row r="224" spans="1:46">
      <c r="A224" s="2424"/>
      <c r="B224" s="1699"/>
      <c r="C224" s="1696"/>
      <c r="D224" s="1696"/>
      <c r="E224" s="1695"/>
      <c r="F224" s="1695"/>
      <c r="G224" s="1745"/>
      <c r="H224" s="1745"/>
      <c r="I224" s="1745"/>
      <c r="J224" s="1745"/>
      <c r="K224" s="1695"/>
      <c r="L224" s="1805"/>
      <c r="M224" s="1699"/>
      <c r="N224" s="1695"/>
      <c r="O224" s="1695"/>
      <c r="P224" s="1745"/>
      <c r="Q224" s="1745"/>
      <c r="R224" s="1745"/>
      <c r="S224" s="1745"/>
      <c r="T224" s="1805"/>
      <c r="U224" s="1787" t="s">
        <v>1574</v>
      </c>
      <c r="V224" s="1699"/>
      <c r="W224" s="1695"/>
      <c r="X224" s="1695"/>
      <c r="Y224" s="1695"/>
      <c r="Z224" s="1695"/>
      <c r="AA224" s="1695"/>
      <c r="AB224" s="1699"/>
      <c r="AC224" s="1695"/>
      <c r="AD224" s="1695"/>
      <c r="AE224" s="1695"/>
      <c r="AF224" s="1695"/>
      <c r="AG224" s="1695"/>
      <c r="AH224" s="1699"/>
      <c r="AI224" s="1695"/>
      <c r="AJ224" s="1695"/>
      <c r="AK224" s="1695"/>
      <c r="AL224" s="1695"/>
      <c r="AM224" s="1695"/>
      <c r="AN224" s="1695"/>
      <c r="AO224" s="1743">
        <v>251</v>
      </c>
      <c r="AP224" s="1758">
        <v>53.94</v>
      </c>
      <c r="AQ224" s="1687">
        <v>300</v>
      </c>
      <c r="AR224" s="1687">
        <f t="shared" si="32"/>
        <v>0.88666666666666671</v>
      </c>
    </row>
    <row r="225" spans="1:46">
      <c r="A225" s="2424"/>
      <c r="B225" s="1699"/>
      <c r="C225" s="1696"/>
      <c r="D225" s="1696"/>
      <c r="E225" s="1695"/>
      <c r="F225" s="1695"/>
      <c r="G225" s="1745"/>
      <c r="H225" s="1745"/>
      <c r="I225" s="1745"/>
      <c r="J225" s="1745"/>
      <c r="K225" s="1695"/>
      <c r="L225" s="1805"/>
      <c r="M225" s="1699"/>
      <c r="N225" s="1695"/>
      <c r="O225" s="1695"/>
      <c r="P225" s="1745"/>
      <c r="Q225" s="1745"/>
      <c r="R225" s="1745"/>
      <c r="S225" s="1745"/>
      <c r="T225" s="1805"/>
      <c r="U225" s="1787" t="s">
        <v>1575</v>
      </c>
      <c r="V225" s="1699"/>
      <c r="W225" s="1695"/>
      <c r="X225" s="1695"/>
      <c r="Y225" s="1695"/>
      <c r="Z225" s="1695"/>
      <c r="AA225" s="1695"/>
      <c r="AB225" s="1699"/>
      <c r="AC225" s="1695"/>
      <c r="AD225" s="1695"/>
      <c r="AE225" s="1695"/>
      <c r="AF225" s="1695"/>
      <c r="AG225" s="1695"/>
      <c r="AH225" s="1699"/>
      <c r="AI225" s="1695"/>
      <c r="AJ225" s="1695"/>
      <c r="AK225" s="1695"/>
      <c r="AL225" s="1695"/>
      <c r="AM225" s="1695"/>
      <c r="AN225" s="1695"/>
      <c r="AO225" s="1743">
        <v>260</v>
      </c>
      <c r="AP225" s="1758">
        <v>53.94</v>
      </c>
      <c r="AQ225" s="1687">
        <v>350</v>
      </c>
      <c r="AR225" s="1687">
        <f t="shared" si="32"/>
        <v>0.7857142857142857</v>
      </c>
    </row>
    <row r="226" spans="1:46">
      <c r="A226" s="2424"/>
      <c r="B226" s="1699"/>
      <c r="C226" s="1696"/>
      <c r="D226" s="1696"/>
      <c r="E226" s="1695"/>
      <c r="F226" s="1695"/>
      <c r="G226" s="1745"/>
      <c r="H226" s="1745"/>
      <c r="I226" s="1745"/>
      <c r="J226" s="1745"/>
      <c r="K226" s="1695"/>
      <c r="L226" s="1805"/>
      <c r="M226" s="1699"/>
      <c r="N226" s="1695"/>
      <c r="O226" s="1695"/>
      <c r="P226" s="1745"/>
      <c r="Q226" s="1745"/>
      <c r="R226" s="1745"/>
      <c r="S226" s="1745"/>
      <c r="T226" s="1805"/>
      <c r="U226" s="1787" t="s">
        <v>1576</v>
      </c>
      <c r="V226" s="1699"/>
      <c r="W226" s="1695"/>
      <c r="X226" s="1695"/>
      <c r="Y226" s="1695"/>
      <c r="Z226" s="1695"/>
      <c r="AA226" s="1695"/>
      <c r="AB226" s="1699"/>
      <c r="AC226" s="1695"/>
      <c r="AD226" s="1695"/>
      <c r="AE226" s="1695"/>
      <c r="AF226" s="1695"/>
      <c r="AG226" s="1695"/>
      <c r="AH226" s="1699"/>
      <c r="AI226" s="1695"/>
      <c r="AJ226" s="1695"/>
      <c r="AK226" s="1695"/>
      <c r="AL226" s="1695"/>
      <c r="AM226" s="1695"/>
      <c r="AN226" s="1695"/>
      <c r="AO226" s="1743">
        <v>266</v>
      </c>
      <c r="AP226" s="1758">
        <v>53.94</v>
      </c>
      <c r="AQ226" s="1687">
        <v>2</v>
      </c>
      <c r="AR226" s="1687">
        <f t="shared" si="32"/>
        <v>14.035</v>
      </c>
      <c r="AS226" s="1687" t="s">
        <v>1837</v>
      </c>
      <c r="AT226" s="1687">
        <f>AVERAGE(AR226:AR233)</f>
        <v>6.4316072916666673</v>
      </c>
    </row>
    <row r="227" spans="1:46">
      <c r="A227" s="2424"/>
      <c r="B227" s="1699"/>
      <c r="C227" s="1696"/>
      <c r="D227" s="1696"/>
      <c r="E227" s="1695"/>
      <c r="F227" s="1695"/>
      <c r="G227" s="1745"/>
      <c r="H227" s="1745"/>
      <c r="I227" s="1745"/>
      <c r="J227" s="1745"/>
      <c r="K227" s="1695"/>
      <c r="L227" s="1805"/>
      <c r="M227" s="1699"/>
      <c r="N227" s="1695"/>
      <c r="O227" s="1695"/>
      <c r="P227" s="1745"/>
      <c r="Q227" s="1745"/>
      <c r="R227" s="1745"/>
      <c r="S227" s="1745"/>
      <c r="T227" s="1805"/>
      <c r="U227" s="1787" t="s">
        <v>1581</v>
      </c>
      <c r="V227" s="1699"/>
      <c r="W227" s="1695"/>
      <c r="X227" s="1695"/>
      <c r="Y227" s="1695"/>
      <c r="Z227" s="1695"/>
      <c r="AA227" s="1695"/>
      <c r="AB227" s="1699"/>
      <c r="AC227" s="1695"/>
      <c r="AD227" s="1695"/>
      <c r="AE227" s="1695"/>
      <c r="AF227" s="1695"/>
      <c r="AG227" s="1695"/>
      <c r="AH227" s="1699"/>
      <c r="AI227" s="1695"/>
      <c r="AJ227" s="1695"/>
      <c r="AK227" s="1695"/>
      <c r="AL227" s="1695"/>
      <c r="AM227" s="1695"/>
      <c r="AN227" s="1695"/>
      <c r="AO227" s="1743">
        <v>275</v>
      </c>
      <c r="AP227" s="1758">
        <v>53.94</v>
      </c>
      <c r="AQ227" s="1687">
        <v>5</v>
      </c>
      <c r="AR227" s="1687">
        <f t="shared" si="32"/>
        <v>5.6139999999999999</v>
      </c>
      <c r="AS227" s="1687" t="s">
        <v>1838</v>
      </c>
      <c r="AT227" s="1687">
        <f>STDEV(AR226:AR233)</f>
        <v>3.3054466552679638</v>
      </c>
    </row>
    <row r="228" spans="1:46">
      <c r="A228" s="2424"/>
      <c r="B228" s="1699"/>
      <c r="C228" s="1696"/>
      <c r="D228" s="1696"/>
      <c r="E228" s="1695"/>
      <c r="F228" s="1695"/>
      <c r="G228" s="1745"/>
      <c r="H228" s="1745"/>
      <c r="I228" s="1745"/>
      <c r="J228" s="1745"/>
      <c r="K228" s="1695"/>
      <c r="L228" s="1805"/>
      <c r="M228" s="1699"/>
      <c r="N228" s="1695"/>
      <c r="O228" s="1695"/>
      <c r="P228" s="1745"/>
      <c r="Q228" s="1745"/>
      <c r="R228" s="1745"/>
      <c r="S228" s="1745"/>
      <c r="T228" s="1805"/>
      <c r="U228" s="1787" t="s">
        <v>1577</v>
      </c>
      <c r="V228" s="1699"/>
      <c r="W228" s="1695"/>
      <c r="X228" s="1695"/>
      <c r="Y228" s="1695"/>
      <c r="Z228" s="1695"/>
      <c r="AA228" s="1695"/>
      <c r="AB228" s="1699"/>
      <c r="AC228" s="1695"/>
      <c r="AD228" s="1695"/>
      <c r="AE228" s="1695"/>
      <c r="AF228" s="1695"/>
      <c r="AG228" s="1695"/>
      <c r="AH228" s="1699"/>
      <c r="AI228" s="1695"/>
      <c r="AJ228" s="1695"/>
      <c r="AK228" s="1695"/>
      <c r="AL228" s="1695"/>
      <c r="AM228" s="1695"/>
      <c r="AN228" s="1695"/>
      <c r="AO228" s="1743">
        <v>28.07</v>
      </c>
      <c r="AP228" s="1758">
        <v>50.98</v>
      </c>
      <c r="AQ228" s="1687">
        <v>6</v>
      </c>
      <c r="AR228" s="1687">
        <f t="shared" si="32"/>
        <v>6.3341666666666674</v>
      </c>
    </row>
    <row r="229" spans="1:46">
      <c r="A229" s="2424"/>
      <c r="B229" s="1699"/>
      <c r="C229" s="1696"/>
      <c r="D229" s="1696"/>
      <c r="E229" s="1695"/>
      <c r="F229" s="1695"/>
      <c r="G229" s="1745"/>
      <c r="H229" s="1745"/>
      <c r="I229" s="1745"/>
      <c r="J229" s="1745"/>
      <c r="K229" s="1695"/>
      <c r="L229" s="1805"/>
      <c r="M229" s="1699"/>
      <c r="N229" s="1695"/>
      <c r="O229" s="1695"/>
      <c r="P229" s="1745"/>
      <c r="Q229" s="1745"/>
      <c r="R229" s="1745"/>
      <c r="S229" s="1745"/>
      <c r="T229" s="1805"/>
      <c r="U229" s="1787" t="s">
        <v>1578</v>
      </c>
      <c r="V229" s="1699"/>
      <c r="W229" s="1695"/>
      <c r="X229" s="1695"/>
      <c r="Y229" s="1695"/>
      <c r="Z229" s="1695"/>
      <c r="AA229" s="1695"/>
      <c r="AB229" s="1699"/>
      <c r="AC229" s="1695"/>
      <c r="AD229" s="1695"/>
      <c r="AE229" s="1695"/>
      <c r="AF229" s="1695"/>
      <c r="AG229" s="1695"/>
      <c r="AH229" s="1699"/>
      <c r="AI229" s="1695"/>
      <c r="AJ229" s="1695"/>
      <c r="AK229" s="1695"/>
      <c r="AL229" s="1695"/>
      <c r="AM229" s="1695"/>
      <c r="AN229" s="1695"/>
      <c r="AO229" s="1743">
        <v>28.07</v>
      </c>
      <c r="AP229" s="1758">
        <v>50.98</v>
      </c>
      <c r="AQ229" s="1687">
        <v>8</v>
      </c>
      <c r="AR229" s="1687">
        <f t="shared" si="32"/>
        <v>6.5146249999999997</v>
      </c>
    </row>
    <row r="230" spans="1:46">
      <c r="A230" s="2424"/>
      <c r="B230" s="1699"/>
      <c r="C230" s="1696"/>
      <c r="D230" s="1696"/>
      <c r="E230" s="1695"/>
      <c r="F230" s="1695"/>
      <c r="G230" s="1745"/>
      <c r="H230" s="1745"/>
      <c r="I230" s="1745"/>
      <c r="J230" s="1745"/>
      <c r="K230" s="1695"/>
      <c r="L230" s="1805"/>
      <c r="M230" s="1699"/>
      <c r="N230" s="1695"/>
      <c r="O230" s="1695"/>
      <c r="P230" s="1745"/>
      <c r="Q230" s="1745"/>
      <c r="R230" s="1745"/>
      <c r="S230" s="1745"/>
      <c r="T230" s="1805"/>
      <c r="U230" s="1787" t="s">
        <v>1579</v>
      </c>
      <c r="V230" s="1699"/>
      <c r="W230" s="1695"/>
      <c r="X230" s="1695"/>
      <c r="Y230" s="1695"/>
      <c r="Z230" s="1695"/>
      <c r="AA230" s="1695"/>
      <c r="AB230" s="1699"/>
      <c r="AC230" s="1695"/>
      <c r="AD230" s="1695"/>
      <c r="AE230" s="1695"/>
      <c r="AF230" s="1695"/>
      <c r="AG230" s="1695"/>
      <c r="AH230" s="1699"/>
      <c r="AI230" s="1695"/>
      <c r="AJ230" s="1695"/>
      <c r="AK230" s="1695"/>
      <c r="AL230" s="1695"/>
      <c r="AM230" s="1695"/>
      <c r="AN230" s="1695"/>
      <c r="AO230" s="1743">
        <v>38.005000000000003</v>
      </c>
      <c r="AP230" s="1758">
        <v>50.98</v>
      </c>
      <c r="AQ230" s="1687">
        <v>10</v>
      </c>
      <c r="AR230" s="1687">
        <f t="shared" si="32"/>
        <v>6.7039</v>
      </c>
    </row>
    <row r="231" spans="1:46">
      <c r="A231" s="2424"/>
      <c r="B231" s="1699"/>
      <c r="C231" s="1696"/>
      <c r="D231" s="1696"/>
      <c r="E231" s="1695"/>
      <c r="F231" s="1695"/>
      <c r="G231" s="1745"/>
      <c r="H231" s="1745"/>
      <c r="I231" s="1745"/>
      <c r="J231" s="1745"/>
      <c r="K231" s="1695"/>
      <c r="L231" s="1805"/>
      <c r="M231" s="1699"/>
      <c r="N231" s="1695"/>
      <c r="O231" s="1695"/>
      <c r="P231" s="1745"/>
      <c r="Q231" s="1745"/>
      <c r="R231" s="1745"/>
      <c r="S231" s="1745"/>
      <c r="T231" s="1805"/>
      <c r="U231" s="1787" t="s">
        <v>1580</v>
      </c>
      <c r="V231" s="1699"/>
      <c r="W231" s="1695"/>
      <c r="X231" s="1695"/>
      <c r="Y231" s="1695"/>
      <c r="Z231" s="1695"/>
      <c r="AA231" s="1695"/>
      <c r="AB231" s="1699"/>
      <c r="AC231" s="1695"/>
      <c r="AD231" s="1695"/>
      <c r="AE231" s="1695"/>
      <c r="AF231" s="1695"/>
      <c r="AG231" s="1695"/>
      <c r="AH231" s="1699"/>
      <c r="AI231" s="1695"/>
      <c r="AJ231" s="1695"/>
      <c r="AK231" s="1695"/>
      <c r="AL231" s="1695"/>
      <c r="AM231" s="1695"/>
      <c r="AN231" s="1695"/>
      <c r="AO231" s="1743">
        <v>52.116999999999997</v>
      </c>
      <c r="AP231" s="1758">
        <v>50.98</v>
      </c>
      <c r="AQ231" s="1687">
        <v>15</v>
      </c>
      <c r="AR231" s="1687">
        <f t="shared" si="32"/>
        <v>4.8484666666666669</v>
      </c>
    </row>
    <row r="232" spans="1:46">
      <c r="A232" s="2424"/>
      <c r="B232" s="1699"/>
      <c r="C232" s="1696"/>
      <c r="D232" s="1696"/>
      <c r="E232" s="1695"/>
      <c r="F232" s="1695"/>
      <c r="G232" s="1745"/>
      <c r="H232" s="1745"/>
      <c r="I232" s="1745"/>
      <c r="J232" s="1745"/>
      <c r="K232" s="1695"/>
      <c r="L232" s="1805"/>
      <c r="M232" s="1699"/>
      <c r="N232" s="1695"/>
      <c r="O232" s="1695"/>
      <c r="P232" s="1745"/>
      <c r="Q232" s="1745"/>
      <c r="R232" s="1745"/>
      <c r="S232" s="1745"/>
      <c r="T232" s="1805"/>
      <c r="U232" s="1787" t="s">
        <v>1532</v>
      </c>
      <c r="V232" s="1699"/>
      <c r="W232" s="1695"/>
      <c r="X232" s="1695"/>
      <c r="Y232" s="1695"/>
      <c r="Z232" s="1695"/>
      <c r="AA232" s="1695"/>
      <c r="AB232" s="1699"/>
      <c r="AC232" s="1695"/>
      <c r="AD232" s="1695"/>
      <c r="AE232" s="1695"/>
      <c r="AF232" s="1695"/>
      <c r="AG232" s="1695"/>
      <c r="AH232" s="1699"/>
      <c r="AI232" s="1695"/>
      <c r="AJ232" s="1695"/>
      <c r="AK232" s="1695"/>
      <c r="AL232" s="1695"/>
      <c r="AM232" s="1695"/>
      <c r="AN232" s="1695"/>
      <c r="AO232" s="1743">
        <v>67.039000000000001</v>
      </c>
      <c r="AP232" s="1758">
        <v>52.87</v>
      </c>
      <c r="AQ232" s="1687">
        <v>20</v>
      </c>
      <c r="AR232" s="1687">
        <f t="shared" si="32"/>
        <v>4.1994999999999996</v>
      </c>
    </row>
    <row r="233" spans="1:46">
      <c r="A233" s="2424"/>
      <c r="B233" s="1699"/>
      <c r="C233" s="1696"/>
      <c r="D233" s="1696"/>
      <c r="E233" s="1695"/>
      <c r="F233" s="1695"/>
      <c r="G233" s="1745"/>
      <c r="H233" s="1745"/>
      <c r="I233" s="1745"/>
      <c r="J233" s="1745"/>
      <c r="K233" s="1695"/>
      <c r="L233" s="1805"/>
      <c r="M233" s="1699"/>
      <c r="N233" s="1695"/>
      <c r="O233" s="1695"/>
      <c r="P233" s="1745"/>
      <c r="Q233" s="1745"/>
      <c r="R233" s="1745"/>
      <c r="S233" s="1745"/>
      <c r="T233" s="1805"/>
      <c r="U233" s="1787" t="s">
        <v>1533</v>
      </c>
      <c r="V233" s="1699"/>
      <c r="W233" s="1695"/>
      <c r="X233" s="1695"/>
      <c r="Y233" s="1695"/>
      <c r="Z233" s="1695"/>
      <c r="AA233" s="1695"/>
      <c r="AB233" s="1699"/>
      <c r="AC233" s="1695"/>
      <c r="AD233" s="1695"/>
      <c r="AE233" s="1695"/>
      <c r="AF233" s="1695"/>
      <c r="AG233" s="1695"/>
      <c r="AH233" s="1699"/>
      <c r="AI233" s="1695"/>
      <c r="AJ233" s="1695"/>
      <c r="AK233" s="1695"/>
      <c r="AL233" s="1695"/>
      <c r="AM233" s="1695"/>
      <c r="AN233" s="1695"/>
      <c r="AO233" s="1743">
        <v>72.727000000000004</v>
      </c>
      <c r="AP233" s="1758">
        <v>52.87</v>
      </c>
      <c r="AQ233" s="1687">
        <v>30</v>
      </c>
      <c r="AR233" s="1687">
        <f t="shared" si="32"/>
        <v>3.2032000000000003</v>
      </c>
    </row>
    <row r="234" spans="1:46">
      <c r="A234" s="2424"/>
      <c r="B234" s="1699"/>
      <c r="C234" s="1696"/>
      <c r="D234" s="1696"/>
      <c r="E234" s="1695"/>
      <c r="F234" s="1695"/>
      <c r="G234" s="1745"/>
      <c r="H234" s="1745"/>
      <c r="I234" s="1745"/>
      <c r="J234" s="1745"/>
      <c r="K234" s="1695"/>
      <c r="L234" s="1805"/>
      <c r="M234" s="1699"/>
      <c r="N234" s="1695"/>
      <c r="O234" s="1695"/>
      <c r="P234" s="1745"/>
      <c r="Q234" s="1745"/>
      <c r="R234" s="1745"/>
      <c r="S234" s="1745"/>
      <c r="T234" s="1805"/>
      <c r="U234" s="1787" t="s">
        <v>1534</v>
      </c>
      <c r="V234" s="1699"/>
      <c r="W234" s="1695"/>
      <c r="X234" s="1695"/>
      <c r="Y234" s="1695"/>
      <c r="Z234" s="1695"/>
      <c r="AA234" s="1695"/>
      <c r="AB234" s="1699"/>
      <c r="AC234" s="1695"/>
      <c r="AD234" s="1695"/>
      <c r="AE234" s="1695"/>
      <c r="AF234" s="1695"/>
      <c r="AG234" s="1695"/>
      <c r="AH234" s="1699"/>
      <c r="AI234" s="1695"/>
      <c r="AJ234" s="1695"/>
      <c r="AK234" s="1695"/>
      <c r="AL234" s="1695"/>
      <c r="AM234" s="1695"/>
      <c r="AN234" s="1695"/>
      <c r="AO234" s="1743">
        <v>83.99</v>
      </c>
      <c r="AP234" s="1758">
        <v>53.94</v>
      </c>
      <c r="AQ234" s="1687">
        <v>400</v>
      </c>
      <c r="AR234" s="1687">
        <f t="shared" si="32"/>
        <v>0.70750000000000002</v>
      </c>
      <c r="AS234" s="1687" t="s">
        <v>1837</v>
      </c>
      <c r="AT234" s="1687">
        <f>AVERAGE(AR234:AR243)</f>
        <v>0.36342865079365083</v>
      </c>
    </row>
    <row r="235" spans="1:46">
      <c r="A235" s="2424"/>
      <c r="B235" s="1699"/>
      <c r="C235" s="1696"/>
      <c r="D235" s="1696"/>
      <c r="E235" s="1695"/>
      <c r="F235" s="1695"/>
      <c r="G235" s="1745"/>
      <c r="H235" s="1745"/>
      <c r="I235" s="1745"/>
      <c r="J235" s="1745"/>
      <c r="K235" s="1695"/>
      <c r="L235" s="1805"/>
      <c r="M235" s="1699"/>
      <c r="N235" s="1695"/>
      <c r="O235" s="1695"/>
      <c r="P235" s="1745"/>
      <c r="Q235" s="1745"/>
      <c r="R235" s="1745"/>
      <c r="S235" s="1745"/>
      <c r="T235" s="1805"/>
      <c r="U235" s="1787" t="s">
        <v>1536</v>
      </c>
      <c r="V235" s="1699"/>
      <c r="W235" s="1695"/>
      <c r="X235" s="1695"/>
      <c r="Y235" s="1695"/>
      <c r="Z235" s="1695"/>
      <c r="AA235" s="1695"/>
      <c r="AB235" s="1699"/>
      <c r="AC235" s="1695"/>
      <c r="AD235" s="1695"/>
      <c r="AE235" s="1695"/>
      <c r="AF235" s="1695"/>
      <c r="AG235" s="1695"/>
      <c r="AH235" s="1699"/>
      <c r="AI235" s="1695"/>
      <c r="AJ235" s="1695"/>
      <c r="AK235" s="1695"/>
      <c r="AL235" s="1695"/>
      <c r="AM235" s="1695"/>
      <c r="AN235" s="1695"/>
      <c r="AO235" s="1743">
        <v>96.096000000000004</v>
      </c>
      <c r="AP235" s="1758">
        <v>53.94</v>
      </c>
      <c r="AQ235" s="1687">
        <v>600</v>
      </c>
      <c r="AR235" s="1687">
        <f t="shared" si="32"/>
        <v>0.51666666666666672</v>
      </c>
      <c r="AS235" s="1687" t="s">
        <v>1838</v>
      </c>
      <c r="AT235" s="1687">
        <f>STDEV(AR234:AR243)</f>
        <v>0.15214482090204656</v>
      </c>
    </row>
    <row r="236" spans="1:46">
      <c r="A236" s="2424"/>
      <c r="B236" s="1699"/>
      <c r="C236" s="1696"/>
      <c r="D236" s="1696"/>
      <c r="E236" s="1695"/>
      <c r="F236" s="1695"/>
      <c r="G236" s="1745"/>
      <c r="H236" s="1745"/>
      <c r="I236" s="1745"/>
      <c r="J236" s="1745"/>
      <c r="K236" s="1695"/>
      <c r="L236" s="1805"/>
      <c r="M236" s="1699"/>
      <c r="N236" s="1695"/>
      <c r="O236" s="1695"/>
      <c r="P236" s="1745"/>
      <c r="Q236" s="1745"/>
      <c r="R236" s="1745"/>
      <c r="S236" s="1745"/>
      <c r="T236" s="1805"/>
      <c r="U236" s="1787" t="s">
        <v>1582</v>
      </c>
      <c r="V236" s="1699"/>
      <c r="W236" s="1695"/>
      <c r="X236" s="1695"/>
      <c r="Y236" s="1695"/>
      <c r="Z236" s="1695"/>
      <c r="AA236" s="1695"/>
      <c r="AB236" s="1699"/>
      <c r="AC236" s="1695"/>
      <c r="AD236" s="1695"/>
      <c r="AE236" s="1695"/>
      <c r="AF236" s="1695"/>
      <c r="AG236" s="1695"/>
      <c r="AH236" s="1699"/>
      <c r="AI236" s="1695"/>
      <c r="AJ236" s="1695"/>
      <c r="AK236" s="1695"/>
      <c r="AL236" s="1695"/>
      <c r="AM236" s="1695"/>
      <c r="AN236" s="1695"/>
      <c r="AO236" s="1743">
        <v>283</v>
      </c>
      <c r="AP236" s="1758">
        <v>53.94</v>
      </c>
      <c r="AQ236" s="1687">
        <v>800</v>
      </c>
      <c r="AR236" s="1687">
        <f t="shared" si="32"/>
        <v>0.42499999999999999</v>
      </c>
    </row>
    <row r="237" spans="1:46">
      <c r="A237" s="2424"/>
      <c r="B237" s="1699"/>
      <c r="C237" s="1696"/>
      <c r="D237" s="1696"/>
      <c r="E237" s="1695"/>
      <c r="F237" s="1695"/>
      <c r="G237" s="1745"/>
      <c r="H237" s="1745"/>
      <c r="I237" s="1745"/>
      <c r="J237" s="1745"/>
      <c r="K237" s="1695"/>
      <c r="L237" s="1805"/>
      <c r="M237" s="1699"/>
      <c r="N237" s="1695"/>
      <c r="O237" s="1695"/>
      <c r="P237" s="1745"/>
      <c r="Q237" s="1745"/>
      <c r="R237" s="1745"/>
      <c r="S237" s="1745"/>
      <c r="T237" s="1805"/>
      <c r="U237" s="1787" t="s">
        <v>1583</v>
      </c>
      <c r="V237" s="1699"/>
      <c r="W237" s="1695"/>
      <c r="X237" s="1695"/>
      <c r="Y237" s="1695"/>
      <c r="Z237" s="1695"/>
      <c r="AA237" s="1695"/>
      <c r="AB237" s="1699"/>
      <c r="AC237" s="1695"/>
      <c r="AD237" s="1695"/>
      <c r="AE237" s="1695"/>
      <c r="AF237" s="1695"/>
      <c r="AG237" s="1695"/>
      <c r="AH237" s="1699"/>
      <c r="AI237" s="1695"/>
      <c r="AJ237" s="1695"/>
      <c r="AK237" s="1695"/>
      <c r="AL237" s="1695"/>
      <c r="AM237" s="1695"/>
      <c r="AN237" s="1695"/>
      <c r="AO237" s="1743">
        <v>310</v>
      </c>
      <c r="AP237" s="1758">
        <v>53.94</v>
      </c>
      <c r="AQ237" s="1687">
        <v>1000</v>
      </c>
      <c r="AR237" s="1687">
        <f t="shared" si="32"/>
        <v>0.372</v>
      </c>
    </row>
    <row r="238" spans="1:46">
      <c r="A238" s="2424"/>
      <c r="B238" s="1699"/>
      <c r="C238" s="1696"/>
      <c r="D238" s="1696"/>
      <c r="E238" s="1695"/>
      <c r="F238" s="1695"/>
      <c r="G238" s="1745"/>
      <c r="H238" s="1745"/>
      <c r="I238" s="1745"/>
      <c r="J238" s="1745"/>
      <c r="K238" s="1695"/>
      <c r="L238" s="1805"/>
      <c r="M238" s="1699"/>
      <c r="N238" s="1695"/>
      <c r="O238" s="1695"/>
      <c r="P238" s="1745"/>
      <c r="Q238" s="1745"/>
      <c r="R238" s="1745"/>
      <c r="S238" s="1745"/>
      <c r="T238" s="1805"/>
      <c r="U238" s="1787" t="s">
        <v>1584</v>
      </c>
      <c r="V238" s="1699"/>
      <c r="W238" s="1695"/>
      <c r="X238" s="1695"/>
      <c r="Y238" s="1695"/>
      <c r="Z238" s="1695"/>
      <c r="AA238" s="1695"/>
      <c r="AB238" s="1699"/>
      <c r="AC238" s="1695"/>
      <c r="AD238" s="1695"/>
      <c r="AE238" s="1695"/>
      <c r="AF238" s="1695"/>
      <c r="AG238" s="1695"/>
      <c r="AH238" s="1699"/>
      <c r="AI238" s="1695"/>
      <c r="AJ238" s="1695"/>
      <c r="AK238" s="1695"/>
      <c r="AL238" s="1695"/>
      <c r="AM238" s="1695"/>
      <c r="AN238" s="1695"/>
      <c r="AO238" s="1743">
        <v>340</v>
      </c>
      <c r="AP238" s="1758">
        <v>53.94</v>
      </c>
      <c r="AQ238" s="1687">
        <v>1200</v>
      </c>
      <c r="AR238" s="1687">
        <f t="shared" si="32"/>
        <v>0.32916666666666666</v>
      </c>
    </row>
    <row r="239" spans="1:46">
      <c r="A239" s="2424"/>
      <c r="B239" s="1699"/>
      <c r="C239" s="1696"/>
      <c r="D239" s="1696"/>
      <c r="E239" s="1695"/>
      <c r="F239" s="1695"/>
      <c r="G239" s="1745"/>
      <c r="H239" s="1745"/>
      <c r="I239" s="1745"/>
      <c r="J239" s="1745"/>
      <c r="K239" s="1695"/>
      <c r="L239" s="1805"/>
      <c r="M239" s="1699"/>
      <c r="N239" s="1695"/>
      <c r="O239" s="1695"/>
      <c r="P239" s="1745"/>
      <c r="Q239" s="1745"/>
      <c r="R239" s="1745"/>
      <c r="S239" s="1745"/>
      <c r="T239" s="1805"/>
      <c r="U239" s="1787" t="s">
        <v>1585</v>
      </c>
      <c r="V239" s="1699"/>
      <c r="W239" s="1695"/>
      <c r="X239" s="1695"/>
      <c r="Y239" s="1695"/>
      <c r="Z239" s="1695"/>
      <c r="AA239" s="1695"/>
      <c r="AB239" s="1699"/>
      <c r="AC239" s="1695"/>
      <c r="AD239" s="1695"/>
      <c r="AE239" s="1695"/>
      <c r="AF239" s="1695"/>
      <c r="AG239" s="1695"/>
      <c r="AH239" s="1699"/>
      <c r="AI239" s="1695"/>
      <c r="AJ239" s="1695"/>
      <c r="AK239" s="1695"/>
      <c r="AL239" s="1695"/>
      <c r="AM239" s="1695"/>
      <c r="AN239" s="1695"/>
      <c r="AO239" s="1743">
        <v>372</v>
      </c>
      <c r="AP239" s="1758">
        <v>53.94</v>
      </c>
      <c r="AQ239" s="1687">
        <v>1400</v>
      </c>
      <c r="AR239" s="1687">
        <f t="shared" si="32"/>
        <v>0.30071428571428571</v>
      </c>
    </row>
    <row r="240" spans="1:46">
      <c r="A240" s="2424"/>
      <c r="B240" s="1699"/>
      <c r="C240" s="1696"/>
      <c r="D240" s="1696"/>
      <c r="E240" s="1695"/>
      <c r="F240" s="1695"/>
      <c r="G240" s="1745"/>
      <c r="H240" s="1745"/>
      <c r="I240" s="1745"/>
      <c r="J240" s="1745"/>
      <c r="K240" s="1695"/>
      <c r="L240" s="1805"/>
      <c r="M240" s="1699"/>
      <c r="N240" s="1695"/>
      <c r="O240" s="1695"/>
      <c r="P240" s="1745"/>
      <c r="Q240" s="1745"/>
      <c r="R240" s="1745"/>
      <c r="S240" s="1745"/>
      <c r="T240" s="1805"/>
      <c r="U240" s="1787" t="s">
        <v>1586</v>
      </c>
      <c r="V240" s="1699"/>
      <c r="W240" s="1695"/>
      <c r="X240" s="1695"/>
      <c r="Y240" s="1695"/>
      <c r="Z240" s="1695"/>
      <c r="AA240" s="1695"/>
      <c r="AB240" s="1699"/>
      <c r="AC240" s="1695"/>
      <c r="AD240" s="1695"/>
      <c r="AE240" s="1695"/>
      <c r="AF240" s="1695"/>
      <c r="AG240" s="1695"/>
      <c r="AH240" s="1699"/>
      <c r="AI240" s="1695"/>
      <c r="AJ240" s="1695"/>
      <c r="AK240" s="1695"/>
      <c r="AL240" s="1695"/>
      <c r="AM240" s="1695"/>
      <c r="AN240" s="1695"/>
      <c r="AO240" s="1743">
        <v>395</v>
      </c>
      <c r="AP240" s="1758">
        <v>53.94</v>
      </c>
      <c r="AQ240" s="1687">
        <v>1600</v>
      </c>
      <c r="AR240" s="1687">
        <f t="shared" si="32"/>
        <v>0.27374999999999999</v>
      </c>
    </row>
    <row r="241" spans="1:46">
      <c r="A241" s="2424"/>
      <c r="B241" s="1699"/>
      <c r="C241" s="1696"/>
      <c r="D241" s="1696"/>
      <c r="E241" s="1695"/>
      <c r="F241" s="1695"/>
      <c r="G241" s="1745"/>
      <c r="H241" s="1745"/>
      <c r="I241" s="1745"/>
      <c r="J241" s="1745"/>
      <c r="K241" s="1695"/>
      <c r="L241" s="1805"/>
      <c r="M241" s="1699"/>
      <c r="N241" s="1695"/>
      <c r="O241" s="1695"/>
      <c r="P241" s="1745"/>
      <c r="Q241" s="1745"/>
      <c r="R241" s="1745"/>
      <c r="S241" s="1745"/>
      <c r="T241" s="1805"/>
      <c r="U241" s="1787" t="s">
        <v>1587</v>
      </c>
      <c r="V241" s="1699"/>
      <c r="W241" s="1695"/>
      <c r="X241" s="1695"/>
      <c r="Y241" s="1695"/>
      <c r="Z241" s="1695"/>
      <c r="AA241" s="1695"/>
      <c r="AB241" s="1699"/>
      <c r="AC241" s="1695"/>
      <c r="AD241" s="1695"/>
      <c r="AE241" s="1695"/>
      <c r="AF241" s="1695"/>
      <c r="AG241" s="1695"/>
      <c r="AH241" s="1699"/>
      <c r="AI241" s="1695"/>
      <c r="AJ241" s="1695"/>
      <c r="AK241" s="1695"/>
      <c r="AL241" s="1695"/>
      <c r="AM241" s="1695"/>
      <c r="AN241" s="1695"/>
      <c r="AO241" s="1743">
        <v>421</v>
      </c>
      <c r="AP241" s="1758">
        <v>53.94</v>
      </c>
      <c r="AQ241" s="1687">
        <v>1800</v>
      </c>
      <c r="AR241" s="1687">
        <f t="shared" si="32"/>
        <v>0.25388888888888889</v>
      </c>
    </row>
    <row r="242" spans="1:46">
      <c r="A242" s="2424"/>
      <c r="B242" s="1699"/>
      <c r="C242" s="1696"/>
      <c r="D242" s="1696"/>
      <c r="E242" s="1695"/>
      <c r="F242" s="1695"/>
      <c r="G242" s="1745"/>
      <c r="H242" s="1745"/>
      <c r="I242" s="1745"/>
      <c r="J242" s="1745"/>
      <c r="K242" s="1695"/>
      <c r="L242" s="1805"/>
      <c r="M242" s="1699"/>
      <c r="N242" s="1695"/>
      <c r="O242" s="1695"/>
      <c r="P242" s="1745"/>
      <c r="Q242" s="1745"/>
      <c r="R242" s="1745"/>
      <c r="S242" s="1745"/>
      <c r="T242" s="1805"/>
      <c r="U242" s="1787" t="s">
        <v>1588</v>
      </c>
      <c r="V242" s="1699"/>
      <c r="W242" s="1695"/>
      <c r="X242" s="1695"/>
      <c r="Y242" s="1695"/>
      <c r="Z242" s="1695"/>
      <c r="AA242" s="1695"/>
      <c r="AB242" s="1699"/>
      <c r="AC242" s="1695"/>
      <c r="AD242" s="1695"/>
      <c r="AE242" s="1695"/>
      <c r="AF242" s="1695"/>
      <c r="AG242" s="1695"/>
      <c r="AH242" s="1699"/>
      <c r="AI242" s="1695"/>
      <c r="AJ242" s="1695"/>
      <c r="AK242" s="1695"/>
      <c r="AL242" s="1695"/>
      <c r="AM242" s="1695"/>
      <c r="AN242" s="1695"/>
      <c r="AO242" s="1743">
        <v>438</v>
      </c>
      <c r="AP242" s="1758">
        <v>53.94</v>
      </c>
      <c r="AQ242" s="1687">
        <v>2000</v>
      </c>
      <c r="AR242" s="1687">
        <f t="shared" si="32"/>
        <v>0.246</v>
      </c>
    </row>
    <row r="243" spans="1:46">
      <c r="A243" s="2424"/>
      <c r="B243" s="1699"/>
      <c r="C243" s="1696"/>
      <c r="D243" s="1696"/>
      <c r="E243" s="1695"/>
      <c r="F243" s="1695"/>
      <c r="G243" s="1745"/>
      <c r="H243" s="1745"/>
      <c r="I243" s="1745"/>
      <c r="J243" s="1745"/>
      <c r="K243" s="1695"/>
      <c r="L243" s="1805"/>
      <c r="M243" s="1699"/>
      <c r="N243" s="1695"/>
      <c r="O243" s="1695"/>
      <c r="P243" s="1745"/>
      <c r="Q243" s="1745"/>
      <c r="R243" s="1745"/>
      <c r="S243" s="1745"/>
      <c r="T243" s="1805"/>
      <c r="U243" s="1787" t="s">
        <v>1589</v>
      </c>
      <c r="V243" s="1699"/>
      <c r="W243" s="1695"/>
      <c r="X243" s="1695"/>
      <c r="Y243" s="1695"/>
      <c r="Z243" s="1695"/>
      <c r="AA243" s="1695"/>
      <c r="AB243" s="1699"/>
      <c r="AC243" s="1695"/>
      <c r="AD243" s="1695"/>
      <c r="AE243" s="1695"/>
      <c r="AF243" s="1695"/>
      <c r="AG243" s="1695"/>
      <c r="AH243" s="1699"/>
      <c r="AI243" s="1695"/>
      <c r="AJ243" s="1695"/>
      <c r="AK243" s="1695"/>
      <c r="AL243" s="1695"/>
      <c r="AM243" s="1695"/>
      <c r="AN243" s="1695"/>
      <c r="AO243" s="1743">
        <v>457</v>
      </c>
      <c r="AP243" s="1758">
        <v>53.94</v>
      </c>
      <c r="AQ243" s="1687">
        <v>2500</v>
      </c>
      <c r="AR243" s="1687">
        <f t="shared" si="32"/>
        <v>0.20960000000000001</v>
      </c>
    </row>
    <row r="244" spans="1:46" ht="7.5" customHeight="1">
      <c r="A244" s="2424"/>
      <c r="B244" s="1699"/>
      <c r="C244" s="1696"/>
      <c r="D244" s="1696"/>
      <c r="E244" s="1695"/>
      <c r="F244" s="1695"/>
      <c r="G244" s="1745"/>
      <c r="H244" s="1745"/>
      <c r="I244" s="1745"/>
      <c r="J244" s="1745"/>
      <c r="K244" s="1695"/>
      <c r="L244" s="1805"/>
      <c r="M244" s="1699"/>
      <c r="N244" s="1695"/>
      <c r="O244" s="1695"/>
      <c r="P244" s="1745"/>
      <c r="Q244" s="1745"/>
      <c r="R244" s="1745"/>
      <c r="S244" s="1745"/>
      <c r="T244" s="1805"/>
      <c r="U244" s="1787" t="s">
        <v>1590</v>
      </c>
      <c r="V244" s="1699"/>
      <c r="W244" s="1695"/>
      <c r="X244" s="1695"/>
      <c r="Y244" s="1695"/>
      <c r="Z244" s="1695"/>
      <c r="AA244" s="1695"/>
      <c r="AB244" s="1699"/>
      <c r="AC244" s="1695"/>
      <c r="AD244" s="1695"/>
      <c r="AE244" s="1695"/>
      <c r="AF244" s="1695"/>
      <c r="AG244" s="1695"/>
      <c r="AH244" s="1699"/>
      <c r="AI244" s="1695"/>
      <c r="AJ244" s="1695"/>
      <c r="AK244" s="1695"/>
      <c r="AL244" s="1695"/>
      <c r="AM244" s="1695"/>
      <c r="AN244" s="1695"/>
      <c r="AO244" s="1743">
        <v>492</v>
      </c>
      <c r="AP244" s="1758">
        <v>53.94</v>
      </c>
    </row>
    <row r="245" spans="1:46" ht="15.75" thickBot="1">
      <c r="A245" s="2436"/>
      <c r="B245" s="1699"/>
      <c r="C245" s="1696"/>
      <c r="D245" s="1696"/>
      <c r="E245" s="1695"/>
      <c r="F245" s="1695"/>
      <c r="G245" s="1745"/>
      <c r="H245" s="1745"/>
      <c r="I245" s="1745"/>
      <c r="J245" s="1745"/>
      <c r="K245" s="1695"/>
      <c r="L245" s="1805"/>
      <c r="M245" s="1699"/>
      <c r="N245" s="1695"/>
      <c r="O245" s="1695"/>
      <c r="P245" s="1745"/>
      <c r="Q245" s="1745"/>
      <c r="R245" s="1745"/>
      <c r="S245" s="1745"/>
      <c r="T245" s="1805"/>
      <c r="U245" s="1787" t="s">
        <v>1591</v>
      </c>
      <c r="V245" s="1699"/>
      <c r="W245" s="1695"/>
      <c r="X245" s="1695"/>
      <c r="Y245" s="1695"/>
      <c r="Z245" s="1695"/>
      <c r="AA245" s="1695"/>
      <c r="AB245" s="1699"/>
      <c r="AC245" s="1695"/>
      <c r="AD245" s="1695"/>
      <c r="AE245" s="1695"/>
      <c r="AF245" s="1695"/>
      <c r="AG245" s="1695"/>
      <c r="AH245" s="1699"/>
      <c r="AI245" s="1695"/>
      <c r="AJ245" s="1695"/>
      <c r="AK245" s="1695"/>
      <c r="AL245" s="1695"/>
      <c r="AM245" s="1695"/>
      <c r="AN245" s="1695"/>
      <c r="AO245" s="1743">
        <v>524</v>
      </c>
      <c r="AP245" s="1758">
        <v>53.94</v>
      </c>
    </row>
    <row r="246" spans="1:46" ht="19.5" thickBot="1">
      <c r="A246" s="1746"/>
      <c r="B246" s="1715"/>
      <c r="C246" s="1716"/>
      <c r="D246" s="1716"/>
      <c r="E246" s="1715"/>
      <c r="F246" s="1715"/>
      <c r="G246" s="1717"/>
      <c r="H246" s="1717"/>
      <c r="I246" s="1717"/>
      <c r="J246" s="1717"/>
      <c r="K246" s="1715"/>
      <c r="L246" s="1717"/>
      <c r="M246" s="1718"/>
      <c r="N246" s="1715"/>
      <c r="O246" s="1715"/>
      <c r="P246" s="1717"/>
      <c r="Q246" s="1717"/>
      <c r="R246" s="1717"/>
      <c r="S246" s="1717"/>
      <c r="T246" s="1717"/>
      <c r="U246" s="1718"/>
      <c r="V246" s="1718"/>
      <c r="W246" s="1715"/>
      <c r="X246" s="1715"/>
      <c r="Y246" s="1715"/>
      <c r="Z246" s="1715"/>
      <c r="AA246" s="1715"/>
      <c r="AB246" s="1718"/>
      <c r="AC246" s="1715"/>
      <c r="AD246" s="1715"/>
      <c r="AE246" s="1715"/>
      <c r="AF246" s="1715"/>
      <c r="AG246" s="1715"/>
      <c r="AH246" s="1718"/>
      <c r="AI246" s="1715"/>
      <c r="AJ246" s="1715"/>
      <c r="AK246" s="1715"/>
      <c r="AL246" s="1715"/>
      <c r="AM246" s="1715"/>
      <c r="AN246" s="1715"/>
      <c r="AO246" s="1718"/>
      <c r="AP246" s="1719"/>
    </row>
    <row r="247" spans="1:46">
      <c r="A247" s="2432" t="s">
        <v>1357</v>
      </c>
      <c r="B247" s="1739" t="s">
        <v>1870</v>
      </c>
      <c r="C247" s="1733" t="s">
        <v>1804</v>
      </c>
      <c r="D247" s="1787" t="s">
        <v>1812</v>
      </c>
      <c r="E247" s="1748">
        <f>AVERAGE(V247,AB247)/300</f>
        <v>0.60499999999999998</v>
      </c>
      <c r="F247" s="1789"/>
      <c r="G247" s="2419">
        <f>AVERAGE(W247:W249,AC247:AC249)*BS7</f>
        <v>71.296257089267755</v>
      </c>
      <c r="H247" s="1867">
        <f>E247*$G$247</f>
        <v>43.134235539006987</v>
      </c>
      <c r="I247" s="1736">
        <f>(SUM(Y247,AE247,AA247,AG247)/2)/300</f>
        <v>155.01626666666667</v>
      </c>
      <c r="J247" s="1868">
        <f>AVERAGE(Z247,AF247)</f>
        <v>2750</v>
      </c>
      <c r="K247" s="2430">
        <v>0.25</v>
      </c>
      <c r="L247" s="1795">
        <f>(($G$247*E247)+I247)*(1+$K$247)</f>
        <v>247.68812775709208</v>
      </c>
      <c r="M247" s="1757" t="s">
        <v>1858</v>
      </c>
      <c r="N247" s="1735" t="s">
        <v>1860</v>
      </c>
      <c r="O247" s="1861">
        <f>AT248</f>
        <v>0.36342865079365083</v>
      </c>
      <c r="P247" s="1738">
        <f>AP250*BQ22</f>
        <v>62.46494892885444</v>
      </c>
      <c r="Q247" s="1738">
        <f>P247*O247</f>
        <v>22.701552111107873</v>
      </c>
      <c r="R247" s="1737"/>
      <c r="S247" s="1737"/>
      <c r="T247" s="1872">
        <f>Q247</f>
        <v>22.701552111107873</v>
      </c>
      <c r="U247" s="1733" t="s">
        <v>1522</v>
      </c>
      <c r="V247" s="1757">
        <v>174</v>
      </c>
      <c r="W247" s="1857">
        <v>108</v>
      </c>
      <c r="X247" s="1857">
        <v>18872</v>
      </c>
      <c r="Y247" s="1857">
        <v>15461</v>
      </c>
      <c r="Z247" s="1857">
        <v>4000</v>
      </c>
      <c r="AA247" s="1858">
        <v>51141</v>
      </c>
      <c r="AB247" s="1757">
        <v>189</v>
      </c>
      <c r="AC247" s="1857">
        <v>98</v>
      </c>
      <c r="AD247" s="1857">
        <v>18439</v>
      </c>
      <c r="AE247" s="1857">
        <v>21807.759999999998</v>
      </c>
      <c r="AF247" s="1857">
        <v>1500</v>
      </c>
      <c r="AG247" s="1858">
        <v>4600</v>
      </c>
      <c r="AH247" s="1783"/>
      <c r="AI247" s="1784"/>
      <c r="AJ247" s="1784"/>
      <c r="AK247" s="1784"/>
      <c r="AL247" s="1784"/>
      <c r="AM247" s="1784"/>
      <c r="AN247" s="1784"/>
      <c r="AO247" s="1783"/>
      <c r="AP247" s="1785"/>
    </row>
    <row r="248" spans="1:46">
      <c r="A248" s="2433"/>
      <c r="B248" s="1739" t="s">
        <v>1869</v>
      </c>
      <c r="C248" s="1733" t="s">
        <v>1804</v>
      </c>
      <c r="D248" s="1787" t="s">
        <v>1812</v>
      </c>
      <c r="E248" s="1748">
        <f>AVERAGE(V248,AB248)/300</f>
        <v>0.74</v>
      </c>
      <c r="F248" s="1789"/>
      <c r="G248" s="2420"/>
      <c r="H248" s="1867">
        <f>E248*$G$247</f>
        <v>52.759230246058138</v>
      </c>
      <c r="I248" s="1736">
        <f>(SUM(Y248,AE248,AA248,AG248)/2)/300</f>
        <v>159.11658333333332</v>
      </c>
      <c r="J248" s="1868">
        <f>AVERAGE(Z248,AF248)</f>
        <v>6250</v>
      </c>
      <c r="K248" s="2428"/>
      <c r="L248" s="1795">
        <f>(($G$247*E248)+I248)*(1+$K$247)</f>
        <v>264.84476697423935</v>
      </c>
      <c r="M248" s="1743" t="s">
        <v>1941</v>
      </c>
      <c r="N248" s="1782"/>
      <c r="O248" s="1870" t="s">
        <v>1944</v>
      </c>
      <c r="P248" s="1738">
        <v>67.88</v>
      </c>
      <c r="Q248" s="1871" t="s">
        <v>2022</v>
      </c>
      <c r="R248" s="1737"/>
      <c r="S248" s="1737"/>
      <c r="T248" s="1872" t="str">
        <f>Q248</f>
        <v>$83.49 - 95.71</v>
      </c>
      <c r="U248" s="1733" t="s">
        <v>1543</v>
      </c>
      <c r="V248" s="1757">
        <v>212</v>
      </c>
      <c r="W248" s="1857">
        <v>108</v>
      </c>
      <c r="X248" s="1857">
        <v>22960</v>
      </c>
      <c r="Y248" s="1857">
        <v>15161</v>
      </c>
      <c r="Z248" s="1857">
        <v>7500</v>
      </c>
      <c r="AA248" s="1858">
        <v>53313</v>
      </c>
      <c r="AB248" s="1757">
        <v>232</v>
      </c>
      <c r="AC248" s="1857">
        <v>98</v>
      </c>
      <c r="AD248" s="1857">
        <v>22621</v>
      </c>
      <c r="AE248" s="1857">
        <v>21995.95</v>
      </c>
      <c r="AF248" s="1857">
        <v>5000</v>
      </c>
      <c r="AG248" s="1858">
        <v>5000</v>
      </c>
      <c r="AH248" s="1699"/>
      <c r="AI248" s="1695"/>
      <c r="AJ248" s="1695"/>
      <c r="AK248" s="1695"/>
      <c r="AL248" s="1695"/>
      <c r="AM248" s="1695"/>
      <c r="AN248" s="1695"/>
      <c r="AO248" s="1699"/>
      <c r="AP248" s="1729"/>
      <c r="AQ248" s="1687">
        <v>400</v>
      </c>
      <c r="AR248" s="1687">
        <f t="shared" ref="AR248:AR257" si="33">AO250/AQ248</f>
        <v>0.70750000000000002</v>
      </c>
      <c r="AS248" s="1687" t="s">
        <v>1837</v>
      </c>
      <c r="AT248" s="1687">
        <f>AVERAGE(AR248:AR257)</f>
        <v>0.36342865079365083</v>
      </c>
    </row>
    <row r="249" spans="1:46">
      <c r="A249" s="2433"/>
      <c r="B249" s="1739" t="s">
        <v>1871</v>
      </c>
      <c r="C249" s="1733" t="s">
        <v>1804</v>
      </c>
      <c r="D249" s="1787" t="s">
        <v>1812</v>
      </c>
      <c r="E249" s="1748">
        <f>AVERAGE(V249,AB249)/300</f>
        <v>0.67333333333333334</v>
      </c>
      <c r="F249" s="1789"/>
      <c r="G249" s="2421"/>
      <c r="H249" s="1867">
        <f>E249*$G$247</f>
        <v>48.006146440106953</v>
      </c>
      <c r="I249" s="1736">
        <f>(SUM(Y249,AE249,AA249,AG249)/2)/300</f>
        <v>157.44235</v>
      </c>
      <c r="J249" s="1868">
        <f>AVERAGE(Z249,AF249)</f>
        <v>4750</v>
      </c>
      <c r="K249" s="2429"/>
      <c r="L249" s="1795">
        <f>(($G$247*E249)+I249)*(1+$K$247)</f>
        <v>256.81062055013371</v>
      </c>
      <c r="M249" s="1699"/>
      <c r="N249" s="1695"/>
      <c r="O249" s="1695"/>
      <c r="P249" s="1745"/>
      <c r="Q249" s="1745"/>
      <c r="R249" s="1745"/>
      <c r="S249" s="1745"/>
      <c r="T249" s="1805"/>
      <c r="U249" s="1733" t="s">
        <v>1525</v>
      </c>
      <c r="V249" s="1757">
        <v>204</v>
      </c>
      <c r="W249" s="1857">
        <v>108</v>
      </c>
      <c r="X249" s="1857">
        <v>22064</v>
      </c>
      <c r="Y249" s="1857">
        <v>15161</v>
      </c>
      <c r="Z249" s="1857">
        <v>5500</v>
      </c>
      <c r="AA249" s="1858">
        <v>52450</v>
      </c>
      <c r="AB249" s="1757">
        <v>200</v>
      </c>
      <c r="AC249" s="1857">
        <v>98</v>
      </c>
      <c r="AD249" s="1857">
        <v>19498</v>
      </c>
      <c r="AE249" s="1857">
        <v>21854.41</v>
      </c>
      <c r="AF249" s="1857">
        <v>4000</v>
      </c>
      <c r="AG249" s="1858">
        <v>5000</v>
      </c>
      <c r="AH249" s="1699"/>
      <c r="AI249" s="1695"/>
      <c r="AJ249" s="1695"/>
      <c r="AK249" s="1695"/>
      <c r="AL249" s="1695"/>
      <c r="AM249" s="1695"/>
      <c r="AN249" s="1695"/>
      <c r="AO249" s="1699"/>
      <c r="AP249" s="1729"/>
      <c r="AQ249" s="1687">
        <v>600</v>
      </c>
      <c r="AR249" s="1687">
        <f t="shared" si="33"/>
        <v>0.51666666666666672</v>
      </c>
      <c r="AS249" s="1687" t="s">
        <v>1838</v>
      </c>
      <c r="AT249" s="1687">
        <f>STDEV(AR248:AR257)</f>
        <v>0.15214482090204656</v>
      </c>
    </row>
    <row r="250" spans="1:46">
      <c r="A250" s="2433"/>
      <c r="B250" s="1699"/>
      <c r="C250" s="1696"/>
      <c r="D250" s="1873"/>
      <c r="E250" s="1741"/>
      <c r="F250" s="1850"/>
      <c r="G250" s="1851"/>
      <c r="H250" s="1843"/>
      <c r="I250" s="1851"/>
      <c r="J250" s="1843"/>
      <c r="K250" s="1741"/>
      <c r="L250" s="1799"/>
      <c r="M250" s="1699"/>
      <c r="N250" s="1695"/>
      <c r="O250" s="1695"/>
      <c r="P250" s="1745"/>
      <c r="Q250" s="1745"/>
      <c r="R250" s="1745"/>
      <c r="S250" s="1745"/>
      <c r="T250" s="1805"/>
      <c r="U250" s="1787" t="s">
        <v>1582</v>
      </c>
      <c r="V250" s="1699"/>
      <c r="W250" s="1695"/>
      <c r="X250" s="1695"/>
      <c r="Y250" s="1695"/>
      <c r="Z250" s="1695"/>
      <c r="AA250" s="1695"/>
      <c r="AB250" s="1699"/>
      <c r="AC250" s="1695"/>
      <c r="AD250" s="1695"/>
      <c r="AE250" s="1695"/>
      <c r="AF250" s="1695"/>
      <c r="AG250" s="1695"/>
      <c r="AH250" s="1699"/>
      <c r="AI250" s="1695"/>
      <c r="AJ250" s="1695"/>
      <c r="AK250" s="1695"/>
      <c r="AL250" s="1695"/>
      <c r="AM250" s="1695"/>
      <c r="AN250" s="1695"/>
      <c r="AO250" s="1743">
        <v>283</v>
      </c>
      <c r="AP250" s="1758">
        <v>53.94</v>
      </c>
      <c r="AQ250" s="1687">
        <v>800</v>
      </c>
      <c r="AR250" s="1687">
        <f t="shared" si="33"/>
        <v>0.42499999999999999</v>
      </c>
    </row>
    <row r="251" spans="1:46">
      <c r="A251" s="2433"/>
      <c r="B251" s="1699"/>
      <c r="C251" s="1696"/>
      <c r="D251" s="1696"/>
      <c r="E251" s="1695"/>
      <c r="F251" s="1695"/>
      <c r="G251" s="1745"/>
      <c r="H251" s="1745"/>
      <c r="I251" s="1745"/>
      <c r="J251" s="1745"/>
      <c r="K251" s="1695"/>
      <c r="L251" s="1805"/>
      <c r="M251" s="1699"/>
      <c r="N251" s="1695"/>
      <c r="O251" s="1695"/>
      <c r="P251" s="1745"/>
      <c r="Q251" s="1745"/>
      <c r="R251" s="1745"/>
      <c r="S251" s="1745"/>
      <c r="T251" s="1805"/>
      <c r="U251" s="1787" t="s">
        <v>1583</v>
      </c>
      <c r="V251" s="1699"/>
      <c r="W251" s="1695"/>
      <c r="X251" s="1695"/>
      <c r="Y251" s="1695"/>
      <c r="Z251" s="1695"/>
      <c r="AA251" s="1695"/>
      <c r="AB251" s="1699"/>
      <c r="AC251" s="1695"/>
      <c r="AD251" s="1695"/>
      <c r="AE251" s="1695"/>
      <c r="AF251" s="1695"/>
      <c r="AG251" s="1695"/>
      <c r="AH251" s="1699"/>
      <c r="AI251" s="1695"/>
      <c r="AJ251" s="1695"/>
      <c r="AK251" s="1695"/>
      <c r="AL251" s="1695"/>
      <c r="AM251" s="1695"/>
      <c r="AN251" s="1695"/>
      <c r="AO251" s="1743">
        <v>310</v>
      </c>
      <c r="AP251" s="1758">
        <v>53.94</v>
      </c>
      <c r="AQ251" s="1687">
        <v>1000</v>
      </c>
      <c r="AR251" s="1687">
        <f t="shared" si="33"/>
        <v>0.372</v>
      </c>
    </row>
    <row r="252" spans="1:46">
      <c r="A252" s="2433"/>
      <c r="B252" s="1699"/>
      <c r="C252" s="1696"/>
      <c r="D252" s="1696"/>
      <c r="E252" s="1695"/>
      <c r="F252" s="1695"/>
      <c r="G252" s="1745"/>
      <c r="H252" s="1745"/>
      <c r="I252" s="1745"/>
      <c r="J252" s="1745"/>
      <c r="K252" s="1695"/>
      <c r="L252" s="1805"/>
      <c r="M252" s="1699"/>
      <c r="N252" s="1695"/>
      <c r="O252" s="1695"/>
      <c r="P252" s="1745"/>
      <c r="Q252" s="1745"/>
      <c r="R252" s="1745"/>
      <c r="S252" s="1745"/>
      <c r="T252" s="1805"/>
      <c r="U252" s="1787" t="s">
        <v>1584</v>
      </c>
      <c r="V252" s="1699"/>
      <c r="W252" s="1695"/>
      <c r="X252" s="1695"/>
      <c r="Y252" s="1695"/>
      <c r="Z252" s="1695"/>
      <c r="AA252" s="1695"/>
      <c r="AB252" s="1699"/>
      <c r="AC252" s="1695"/>
      <c r="AD252" s="1695"/>
      <c r="AE252" s="1695"/>
      <c r="AF252" s="1695"/>
      <c r="AG252" s="1695"/>
      <c r="AH252" s="1699"/>
      <c r="AI252" s="1695"/>
      <c r="AJ252" s="1695"/>
      <c r="AK252" s="1695"/>
      <c r="AL252" s="1695"/>
      <c r="AM252" s="1695"/>
      <c r="AN252" s="1695"/>
      <c r="AO252" s="1743">
        <v>340</v>
      </c>
      <c r="AP252" s="1758">
        <v>53.94</v>
      </c>
      <c r="AQ252" s="1687">
        <v>1200</v>
      </c>
      <c r="AR252" s="1687">
        <f t="shared" si="33"/>
        <v>0.32916666666666666</v>
      </c>
    </row>
    <row r="253" spans="1:46">
      <c r="A253" s="2433"/>
      <c r="B253" s="1699"/>
      <c r="C253" s="1696"/>
      <c r="D253" s="1696"/>
      <c r="E253" s="1695"/>
      <c r="F253" s="1695"/>
      <c r="G253" s="1745"/>
      <c r="H253" s="1745"/>
      <c r="I253" s="1745"/>
      <c r="J253" s="1745"/>
      <c r="K253" s="1695"/>
      <c r="L253" s="1805"/>
      <c r="M253" s="1699"/>
      <c r="N253" s="1695"/>
      <c r="O253" s="1695"/>
      <c r="P253" s="1745"/>
      <c r="Q253" s="1745"/>
      <c r="R253" s="1745"/>
      <c r="S253" s="1745"/>
      <c r="T253" s="1805"/>
      <c r="U253" s="1787" t="s">
        <v>1585</v>
      </c>
      <c r="V253" s="1699"/>
      <c r="W253" s="1695"/>
      <c r="X253" s="1695"/>
      <c r="Y253" s="1695"/>
      <c r="Z253" s="1695"/>
      <c r="AA253" s="1695"/>
      <c r="AB253" s="1699"/>
      <c r="AC253" s="1695"/>
      <c r="AD253" s="1695"/>
      <c r="AE253" s="1695"/>
      <c r="AF253" s="1695"/>
      <c r="AG253" s="1695"/>
      <c r="AH253" s="1699"/>
      <c r="AI253" s="1695"/>
      <c r="AJ253" s="1695"/>
      <c r="AK253" s="1695"/>
      <c r="AL253" s="1695"/>
      <c r="AM253" s="1695"/>
      <c r="AN253" s="1695"/>
      <c r="AO253" s="1743">
        <v>372</v>
      </c>
      <c r="AP253" s="1758">
        <v>53.94</v>
      </c>
      <c r="AQ253" s="1687">
        <v>1400</v>
      </c>
      <c r="AR253" s="1687">
        <f t="shared" si="33"/>
        <v>0.30071428571428571</v>
      </c>
    </row>
    <row r="254" spans="1:46">
      <c r="A254" s="2433"/>
      <c r="B254" s="1699"/>
      <c r="C254" s="1696"/>
      <c r="D254" s="1696"/>
      <c r="E254" s="1695"/>
      <c r="F254" s="1695"/>
      <c r="G254" s="1745"/>
      <c r="H254" s="1745"/>
      <c r="I254" s="1745"/>
      <c r="J254" s="1745"/>
      <c r="K254" s="1695"/>
      <c r="L254" s="1805"/>
      <c r="M254" s="1699"/>
      <c r="N254" s="1695"/>
      <c r="O254" s="1695"/>
      <c r="P254" s="1745"/>
      <c r="Q254" s="1745"/>
      <c r="R254" s="1745"/>
      <c r="S254" s="1745"/>
      <c r="T254" s="1805"/>
      <c r="U254" s="1787" t="s">
        <v>1586</v>
      </c>
      <c r="V254" s="1699"/>
      <c r="W254" s="1695"/>
      <c r="X254" s="1695"/>
      <c r="Y254" s="1695"/>
      <c r="Z254" s="1695"/>
      <c r="AA254" s="1695"/>
      <c r="AB254" s="1699"/>
      <c r="AC254" s="1695"/>
      <c r="AD254" s="1695"/>
      <c r="AE254" s="1695"/>
      <c r="AF254" s="1695"/>
      <c r="AG254" s="1695"/>
      <c r="AH254" s="1699"/>
      <c r="AI254" s="1695"/>
      <c r="AJ254" s="1695"/>
      <c r="AK254" s="1695"/>
      <c r="AL254" s="1695"/>
      <c r="AM254" s="1695"/>
      <c r="AN254" s="1695"/>
      <c r="AO254" s="1743">
        <v>395</v>
      </c>
      <c r="AP254" s="1758">
        <v>53.94</v>
      </c>
      <c r="AQ254" s="1687">
        <v>1600</v>
      </c>
      <c r="AR254" s="1687">
        <f t="shared" si="33"/>
        <v>0.27374999999999999</v>
      </c>
    </row>
    <row r="255" spans="1:46">
      <c r="A255" s="2433"/>
      <c r="B255" s="1699"/>
      <c r="C255" s="1696"/>
      <c r="D255" s="1696"/>
      <c r="E255" s="1695"/>
      <c r="F255" s="1695"/>
      <c r="G255" s="1745"/>
      <c r="H255" s="1745"/>
      <c r="I255" s="1745"/>
      <c r="J255" s="1745"/>
      <c r="K255" s="1695"/>
      <c r="L255" s="1805"/>
      <c r="M255" s="1699"/>
      <c r="N255" s="1695"/>
      <c r="O255" s="1695"/>
      <c r="P255" s="1745"/>
      <c r="Q255" s="1745"/>
      <c r="R255" s="1745"/>
      <c r="S255" s="1745"/>
      <c r="T255" s="1805"/>
      <c r="U255" s="1787" t="s">
        <v>1587</v>
      </c>
      <c r="V255" s="1699"/>
      <c r="W255" s="1695"/>
      <c r="X255" s="1695"/>
      <c r="Y255" s="1695"/>
      <c r="Z255" s="1695"/>
      <c r="AA255" s="1695"/>
      <c r="AB255" s="1699"/>
      <c r="AC255" s="1695"/>
      <c r="AD255" s="1695"/>
      <c r="AE255" s="1695"/>
      <c r="AF255" s="1695"/>
      <c r="AG255" s="1695"/>
      <c r="AH255" s="1699"/>
      <c r="AI255" s="1695"/>
      <c r="AJ255" s="1695"/>
      <c r="AK255" s="1695"/>
      <c r="AL255" s="1695"/>
      <c r="AM255" s="1695"/>
      <c r="AN255" s="1695"/>
      <c r="AO255" s="1743">
        <v>421</v>
      </c>
      <c r="AP255" s="1758">
        <v>53.94</v>
      </c>
      <c r="AQ255" s="1687">
        <v>1800</v>
      </c>
      <c r="AR255" s="1687">
        <f t="shared" si="33"/>
        <v>0.25388888888888889</v>
      </c>
    </row>
    <row r="256" spans="1:46">
      <c r="A256" s="2433"/>
      <c r="B256" s="1699"/>
      <c r="C256" s="1696"/>
      <c r="D256" s="1696"/>
      <c r="E256" s="1695"/>
      <c r="F256" s="1695"/>
      <c r="G256" s="1745"/>
      <c r="H256" s="1745"/>
      <c r="I256" s="1745"/>
      <c r="J256" s="1745"/>
      <c r="K256" s="1695"/>
      <c r="L256" s="1805"/>
      <c r="M256" s="1699"/>
      <c r="N256" s="1695"/>
      <c r="O256" s="1695"/>
      <c r="P256" s="1745"/>
      <c r="Q256" s="1745"/>
      <c r="R256" s="1745"/>
      <c r="S256" s="1745"/>
      <c r="T256" s="1805"/>
      <c r="U256" s="1787" t="s">
        <v>1588</v>
      </c>
      <c r="V256" s="1699"/>
      <c r="W256" s="1695"/>
      <c r="X256" s="1695"/>
      <c r="Y256" s="1695"/>
      <c r="Z256" s="1695"/>
      <c r="AA256" s="1695"/>
      <c r="AB256" s="1699"/>
      <c r="AC256" s="1695"/>
      <c r="AD256" s="1695"/>
      <c r="AE256" s="1695"/>
      <c r="AF256" s="1695"/>
      <c r="AG256" s="1695"/>
      <c r="AH256" s="1699"/>
      <c r="AI256" s="1695"/>
      <c r="AJ256" s="1695"/>
      <c r="AK256" s="1695"/>
      <c r="AL256" s="1695"/>
      <c r="AM256" s="1695"/>
      <c r="AN256" s="1695"/>
      <c r="AO256" s="1743">
        <v>438</v>
      </c>
      <c r="AP256" s="1758">
        <v>53.94</v>
      </c>
      <c r="AQ256" s="1687">
        <v>2000</v>
      </c>
      <c r="AR256" s="1687">
        <f t="shared" si="33"/>
        <v>0.246</v>
      </c>
    </row>
    <row r="257" spans="1:78" ht="18.75">
      <c r="A257" s="1766"/>
      <c r="B257" s="1699"/>
      <c r="C257" s="1696"/>
      <c r="D257" s="1696"/>
      <c r="E257" s="1695"/>
      <c r="F257" s="1695"/>
      <c r="G257" s="1745"/>
      <c r="H257" s="1745"/>
      <c r="I257" s="1745"/>
      <c r="J257" s="1745"/>
      <c r="K257" s="1695"/>
      <c r="L257" s="1805"/>
      <c r="M257" s="1699"/>
      <c r="N257" s="1695"/>
      <c r="O257" s="1695"/>
      <c r="P257" s="1745"/>
      <c r="Q257" s="1745"/>
      <c r="R257" s="1745"/>
      <c r="S257" s="1745"/>
      <c r="T257" s="1805"/>
      <c r="U257" s="1787" t="s">
        <v>1589</v>
      </c>
      <c r="V257" s="1699"/>
      <c r="W257" s="1695"/>
      <c r="X257" s="1695"/>
      <c r="Y257" s="1695"/>
      <c r="Z257" s="1695"/>
      <c r="AA257" s="1695"/>
      <c r="AB257" s="1699"/>
      <c r="AC257" s="1695"/>
      <c r="AD257" s="1695"/>
      <c r="AE257" s="1695"/>
      <c r="AF257" s="1695"/>
      <c r="AG257" s="1695"/>
      <c r="AH257" s="1699"/>
      <c r="AI257" s="1695"/>
      <c r="AJ257" s="1695"/>
      <c r="AK257" s="1695"/>
      <c r="AL257" s="1695"/>
      <c r="AM257" s="1695"/>
      <c r="AN257" s="1695"/>
      <c r="AO257" s="1743">
        <v>457</v>
      </c>
      <c r="AP257" s="1758">
        <v>53.94</v>
      </c>
      <c r="AQ257" s="1687">
        <v>2500</v>
      </c>
      <c r="AR257" s="1687">
        <f t="shared" si="33"/>
        <v>0.20960000000000001</v>
      </c>
    </row>
    <row r="258" spans="1:78" ht="9" customHeight="1">
      <c r="A258" s="1766"/>
      <c r="B258" s="1699"/>
      <c r="C258" s="1696"/>
      <c r="D258" s="1696"/>
      <c r="E258" s="1695"/>
      <c r="F258" s="1695"/>
      <c r="G258" s="1745"/>
      <c r="H258" s="1745"/>
      <c r="I258" s="1745"/>
      <c r="J258" s="1745"/>
      <c r="K258" s="1695"/>
      <c r="L258" s="1805"/>
      <c r="M258" s="1699"/>
      <c r="N258" s="1695"/>
      <c r="O258" s="1695"/>
      <c r="P258" s="1745"/>
      <c r="Q258" s="1745"/>
      <c r="R258" s="1745"/>
      <c r="S258" s="1745"/>
      <c r="T258" s="1805"/>
      <c r="U258" s="1787" t="s">
        <v>1590</v>
      </c>
      <c r="V258" s="1699"/>
      <c r="W258" s="1695"/>
      <c r="X258" s="1695"/>
      <c r="Y258" s="1695"/>
      <c r="Z258" s="1695"/>
      <c r="AA258" s="1695"/>
      <c r="AB258" s="1699"/>
      <c r="AC258" s="1695"/>
      <c r="AD258" s="1695"/>
      <c r="AE258" s="1695"/>
      <c r="AF258" s="1695"/>
      <c r="AG258" s="1695"/>
      <c r="AH258" s="1699"/>
      <c r="AI258" s="1695"/>
      <c r="AJ258" s="1695"/>
      <c r="AK258" s="1695"/>
      <c r="AL258" s="1695"/>
      <c r="AM258" s="1695"/>
      <c r="AN258" s="1695"/>
      <c r="AO258" s="1743">
        <v>492</v>
      </c>
      <c r="AP258" s="1758">
        <v>53.94</v>
      </c>
      <c r="AQ258" s="1687" t="s">
        <v>1974</v>
      </c>
      <c r="AR258" s="1687" t="s">
        <v>1993</v>
      </c>
    </row>
    <row r="259" spans="1:78" ht="19.5" thickBot="1">
      <c r="A259" s="1766"/>
      <c r="B259" s="1699"/>
      <c r="C259" s="1696"/>
      <c r="D259" s="1696"/>
      <c r="E259" s="1695"/>
      <c r="F259" s="1695"/>
      <c r="G259" s="1745"/>
      <c r="H259" s="1745"/>
      <c r="I259" s="1745"/>
      <c r="J259" s="1745"/>
      <c r="K259" s="1695"/>
      <c r="L259" s="1805"/>
      <c r="M259" s="1699"/>
      <c r="N259" s="1695"/>
      <c r="O259" s="1695"/>
      <c r="P259" s="1745"/>
      <c r="Q259" s="1745"/>
      <c r="R259" s="1745"/>
      <c r="S259" s="1745"/>
      <c r="T259" s="1805"/>
      <c r="U259" s="1808" t="s">
        <v>1591</v>
      </c>
      <c r="V259" s="1699"/>
      <c r="W259" s="1695"/>
      <c r="X259" s="1695"/>
      <c r="Y259" s="1695"/>
      <c r="Z259" s="1695"/>
      <c r="AA259" s="1695"/>
      <c r="AB259" s="1699"/>
      <c r="AC259" s="1695"/>
      <c r="AD259" s="1695"/>
      <c r="AE259" s="1695"/>
      <c r="AF259" s="1695"/>
      <c r="AG259" s="1695"/>
      <c r="AH259" s="1699"/>
      <c r="AI259" s="1695"/>
      <c r="AJ259" s="1695"/>
      <c r="AK259" s="1695"/>
      <c r="AL259" s="1695"/>
      <c r="AM259" s="1695"/>
      <c r="AN259" s="1695"/>
      <c r="AO259" s="1743">
        <v>524</v>
      </c>
      <c r="AP259" s="1758">
        <v>53.94</v>
      </c>
    </row>
    <row r="260" spans="1:78" ht="19.5" thickBot="1">
      <c r="A260" s="1746"/>
      <c r="B260" s="1715"/>
      <c r="C260" s="1716"/>
      <c r="D260" s="1716"/>
      <c r="E260" s="1715"/>
      <c r="F260" s="1715"/>
      <c r="G260" s="1717"/>
      <c r="H260" s="1717"/>
      <c r="I260" s="1717"/>
      <c r="J260" s="1717"/>
      <c r="K260" s="1715"/>
      <c r="L260" s="1717"/>
      <c r="M260" s="1718"/>
      <c r="N260" s="1715"/>
      <c r="O260" s="1715"/>
      <c r="P260" s="1717"/>
      <c r="Q260" s="1717"/>
      <c r="R260" s="1717"/>
      <c r="S260" s="1717"/>
      <c r="T260" s="1717"/>
      <c r="U260" s="1718"/>
      <c r="V260" s="1718"/>
      <c r="W260" s="1715"/>
      <c r="X260" s="1715"/>
      <c r="Y260" s="1715"/>
      <c r="Z260" s="1715"/>
      <c r="AA260" s="1715"/>
      <c r="AB260" s="1718"/>
      <c r="AC260" s="1715"/>
      <c r="AD260" s="1715"/>
      <c r="AE260" s="1715"/>
      <c r="AF260" s="1715"/>
      <c r="AG260" s="1715"/>
      <c r="AH260" s="1718"/>
      <c r="AI260" s="1715"/>
      <c r="AJ260" s="1715"/>
      <c r="AK260" s="1715"/>
      <c r="AL260" s="1715"/>
      <c r="AM260" s="1715"/>
      <c r="AN260" s="1715"/>
      <c r="AO260" s="1718"/>
      <c r="AP260" s="1719"/>
    </row>
    <row r="261" spans="1:78">
      <c r="A261" s="2432" t="s">
        <v>655</v>
      </c>
      <c r="B261" s="1770" t="s">
        <v>1802</v>
      </c>
      <c r="C261" s="1771" t="s">
        <v>1804</v>
      </c>
      <c r="D261" s="1771" t="s">
        <v>1805</v>
      </c>
      <c r="E261" s="1772">
        <f>SUM(AH262:AH265)/5</f>
        <v>6.2707664467070101</v>
      </c>
      <c r="F261" s="1874"/>
      <c r="G261" s="1774"/>
      <c r="H261" s="1875">
        <f>E261*G262</f>
        <v>443.82672398798883</v>
      </c>
      <c r="I261" s="1736">
        <f>AL264/5</f>
        <v>11.746917185196114</v>
      </c>
      <c r="J261" s="1774">
        <f>AL261</f>
        <v>598.37801194433382</v>
      </c>
      <c r="K261" s="2428">
        <v>0.27500000000000002</v>
      </c>
      <c r="L261" s="2451">
        <f>((E261*G262)+I261+I262)*(1+K261)</f>
        <v>997.73889249581089</v>
      </c>
      <c r="M261" s="1792" t="s">
        <v>1440</v>
      </c>
      <c r="N261" s="1782" t="s">
        <v>1850</v>
      </c>
      <c r="O261" s="1859">
        <f>AT264</f>
        <v>4.2681782312925174</v>
      </c>
      <c r="P261" s="1774">
        <f>AP266*BQ22</f>
        <v>59.037135639469774</v>
      </c>
      <c r="Q261" s="1774">
        <f>O261*P261</f>
        <v>251.98101717424854</v>
      </c>
      <c r="R261" s="1737"/>
      <c r="S261" s="1737"/>
      <c r="T261" s="1751">
        <f>Q261</f>
        <v>251.98101717424854</v>
      </c>
      <c r="U261" s="1787" t="s">
        <v>1473</v>
      </c>
      <c r="V261" s="1699"/>
      <c r="W261" s="1695"/>
      <c r="X261" s="1695"/>
      <c r="Y261" s="1695"/>
      <c r="Z261" s="1695"/>
      <c r="AA261" s="1695"/>
      <c r="AB261" s="1699"/>
      <c r="AC261" s="1695"/>
      <c r="AD261" s="1695"/>
      <c r="AE261" s="1695"/>
      <c r="AF261" s="1695"/>
      <c r="AG261" s="1695"/>
      <c r="AH261" s="1800"/>
      <c r="AI261" s="1791"/>
      <c r="AJ261" s="1782"/>
      <c r="AK261" s="1782"/>
      <c r="AL261" s="1793">
        <v>598.37801194433382</v>
      </c>
      <c r="AM261" s="1793">
        <v>83.262110419695929</v>
      </c>
      <c r="AN261" s="1794">
        <v>37</v>
      </c>
      <c r="AO261" s="1699"/>
      <c r="AP261" s="1729"/>
    </row>
    <row r="262" spans="1:78">
      <c r="A262" s="2433"/>
      <c r="B262" s="1786" t="s">
        <v>2055</v>
      </c>
      <c r="C262" s="1787" t="s">
        <v>1804</v>
      </c>
      <c r="D262" s="1787" t="s">
        <v>1812</v>
      </c>
      <c r="E262" s="1788"/>
      <c r="F262" s="1789"/>
      <c r="G262" s="1738">
        <f>AVERAGE(G274:G275)</f>
        <v>70.777109586190562</v>
      </c>
      <c r="H262" s="1774"/>
      <c r="I262" s="1738">
        <f>AVERAGE(I274:I275)</f>
        <v>326.9666666666667</v>
      </c>
      <c r="J262" s="1774"/>
      <c r="K262" s="2428"/>
      <c r="L262" s="2452"/>
      <c r="M262" s="1740"/>
      <c r="N262" s="1850"/>
      <c r="O262" s="1876"/>
      <c r="P262" s="1851"/>
      <c r="Q262" s="1843"/>
      <c r="R262" s="1843"/>
      <c r="S262" s="1843"/>
      <c r="T262" s="1799"/>
      <c r="U262" s="1787" t="s">
        <v>1474</v>
      </c>
      <c r="V262" s="1699"/>
      <c r="W262" s="1695"/>
      <c r="X262" s="1695"/>
      <c r="Y262" s="1695"/>
      <c r="Z262" s="1695"/>
      <c r="AA262" s="1695"/>
      <c r="AB262" s="1699"/>
      <c r="AC262" s="1695"/>
      <c r="AD262" s="1695"/>
      <c r="AE262" s="1695"/>
      <c r="AF262" s="1695"/>
      <c r="AG262" s="1695"/>
      <c r="AH262" s="1796">
        <v>15.413378960220149</v>
      </c>
      <c r="AI262" s="1793">
        <v>1.7537874671635258</v>
      </c>
      <c r="AJ262" s="1797">
        <v>36</v>
      </c>
      <c r="AK262" s="1782"/>
      <c r="AL262" s="1791"/>
      <c r="AM262" s="1791"/>
      <c r="AN262" s="1798"/>
      <c r="AO262" s="1699"/>
      <c r="AP262" s="1729"/>
    </row>
    <row r="263" spans="1:78">
      <c r="A263" s="2433"/>
      <c r="B263" s="1695"/>
      <c r="C263" s="1696"/>
      <c r="D263" s="1696"/>
      <c r="E263" s="1695"/>
      <c r="F263" s="1695"/>
      <c r="G263" s="1745"/>
      <c r="H263" s="1745"/>
      <c r="I263" s="1745"/>
      <c r="J263" s="1745"/>
      <c r="K263" s="1877"/>
      <c r="L263" s="1878"/>
      <c r="M263" s="1699"/>
      <c r="N263" s="1695"/>
      <c r="O263" s="1695"/>
      <c r="P263" s="1745"/>
      <c r="Q263" s="1745"/>
      <c r="R263" s="1745"/>
      <c r="S263" s="1745"/>
      <c r="T263" s="1805"/>
      <c r="U263" s="1787" t="s">
        <v>1475</v>
      </c>
      <c r="V263" s="1699"/>
      <c r="W263" s="1695"/>
      <c r="X263" s="1695"/>
      <c r="Y263" s="1695"/>
      <c r="Z263" s="1695"/>
      <c r="AA263" s="1695"/>
      <c r="AB263" s="1699"/>
      <c r="AC263" s="1695"/>
      <c r="AD263" s="1695"/>
      <c r="AE263" s="1695"/>
      <c r="AF263" s="1695"/>
      <c r="AG263" s="1695"/>
      <c r="AH263" s="1796">
        <v>12.64460873851313</v>
      </c>
      <c r="AI263" s="1793">
        <v>2.2565962999331441</v>
      </c>
      <c r="AJ263" s="1797">
        <v>37</v>
      </c>
      <c r="AK263" s="1782"/>
      <c r="AL263" s="1791"/>
      <c r="AM263" s="1791"/>
      <c r="AN263" s="1798"/>
      <c r="AO263" s="1699"/>
      <c r="AP263" s="1729"/>
      <c r="AQ263" s="1687" t="s">
        <v>1804</v>
      </c>
      <c r="AR263" s="1687" t="s">
        <v>1817</v>
      </c>
    </row>
    <row r="264" spans="1:78">
      <c r="A264" s="2433"/>
      <c r="B264" s="1699"/>
      <c r="C264" s="1696"/>
      <c r="D264" s="1696"/>
      <c r="E264" s="1695"/>
      <c r="F264" s="1695"/>
      <c r="G264" s="1745"/>
      <c r="H264" s="1745"/>
      <c r="I264" s="1745"/>
      <c r="J264" s="1745"/>
      <c r="K264" s="1695"/>
      <c r="L264" s="1745"/>
      <c r="M264" s="1699"/>
      <c r="N264" s="1695"/>
      <c r="O264" s="1695"/>
      <c r="P264" s="1745"/>
      <c r="Q264" s="1745"/>
      <c r="R264" s="1745"/>
      <c r="S264" s="1745"/>
      <c r="T264" s="1805"/>
      <c r="U264" s="1787" t="s">
        <v>1476</v>
      </c>
      <c r="V264" s="1699"/>
      <c r="W264" s="1695"/>
      <c r="X264" s="1695"/>
      <c r="Y264" s="1695"/>
      <c r="Z264" s="1695"/>
      <c r="AA264" s="1695"/>
      <c r="AB264" s="1699"/>
      <c r="AC264" s="1695"/>
      <c r="AD264" s="1695"/>
      <c r="AE264" s="1695"/>
      <c r="AF264" s="1695"/>
      <c r="AG264" s="1695"/>
      <c r="AH264" s="1800"/>
      <c r="AI264" s="1791"/>
      <c r="AJ264" s="1782"/>
      <c r="AK264" s="1782"/>
      <c r="AL264" s="1793">
        <v>58.734585925980568</v>
      </c>
      <c r="AM264" s="1793">
        <v>12.720092983023894</v>
      </c>
      <c r="AN264" s="1794">
        <v>33</v>
      </c>
      <c r="AO264" s="1699"/>
      <c r="AP264" s="1729"/>
      <c r="AQ264" s="1687">
        <v>1.5</v>
      </c>
      <c r="AR264" s="1687">
        <f t="shared" ref="AR264:AR270" si="34">AO266/AQ264</f>
        <v>4.2666666666666666</v>
      </c>
      <c r="AS264" s="1687" t="s">
        <v>1837</v>
      </c>
      <c r="AT264" s="1687">
        <f>AVERAGE(AR264:AR270)</f>
        <v>4.2681782312925174</v>
      </c>
    </row>
    <row r="265" spans="1:78" s="1299" customFormat="1">
      <c r="A265" s="2433"/>
      <c r="B265" s="1699"/>
      <c r="C265" s="1696"/>
      <c r="D265" s="1696"/>
      <c r="E265" s="1695"/>
      <c r="F265" s="1695"/>
      <c r="G265" s="1745"/>
      <c r="H265" s="1745"/>
      <c r="I265" s="1745"/>
      <c r="J265" s="1745"/>
      <c r="K265" s="1695"/>
      <c r="L265" s="1745"/>
      <c r="M265" s="1699"/>
      <c r="N265" s="1695"/>
      <c r="O265" s="1695"/>
      <c r="P265" s="1745"/>
      <c r="Q265" s="1745"/>
      <c r="R265" s="1745"/>
      <c r="S265" s="1745"/>
      <c r="T265" s="1805"/>
      <c r="U265" s="1787" t="s">
        <v>1477</v>
      </c>
      <c r="V265" s="1699"/>
      <c r="W265" s="1695"/>
      <c r="X265" s="1695"/>
      <c r="Y265" s="1695"/>
      <c r="Z265" s="1695"/>
      <c r="AA265" s="1695"/>
      <c r="AB265" s="1699"/>
      <c r="AC265" s="1695"/>
      <c r="AD265" s="1695"/>
      <c r="AE265" s="1695"/>
      <c r="AF265" s="1695"/>
      <c r="AG265" s="1695"/>
      <c r="AH265" s="1796">
        <v>3.2958445348017729</v>
      </c>
      <c r="AI265" s="1793">
        <v>0.48883173265428237</v>
      </c>
      <c r="AJ265" s="1797">
        <v>36</v>
      </c>
      <c r="AK265" s="1782"/>
      <c r="AL265" s="1861"/>
      <c r="AM265" s="1861"/>
      <c r="AN265" s="1747"/>
      <c r="AO265" s="1699"/>
      <c r="AP265" s="1729"/>
      <c r="AQ265" s="1687">
        <v>2</v>
      </c>
      <c r="AR265" s="1687">
        <f t="shared" si="34"/>
        <v>3.8094999999999999</v>
      </c>
      <c r="AS265" s="1687" t="s">
        <v>1838</v>
      </c>
      <c r="AT265" s="1687">
        <f>STDEV(AR264:AR270)</f>
        <v>0.52751092376632147</v>
      </c>
      <c r="AU265" s="1687"/>
      <c r="AV265" s="1687"/>
      <c r="AW265" s="1687"/>
      <c r="AX265" s="1687"/>
      <c r="AY265" s="1687"/>
      <c r="AZ265" s="1687"/>
      <c r="BA265" s="1687"/>
      <c r="BB265" s="1687"/>
      <c r="BC265" s="1687"/>
      <c r="BD265" s="1687"/>
      <c r="BE265" s="1687"/>
      <c r="BF265" s="1687"/>
      <c r="BG265" s="1687"/>
      <c r="BH265" s="1687"/>
      <c r="BI265" s="1687"/>
      <c r="BK265" s="2041"/>
      <c r="BL265" s="2041"/>
      <c r="BM265" s="2041"/>
      <c r="BN265" s="2041"/>
      <c r="BO265" s="2041"/>
      <c r="BP265" s="2041"/>
      <c r="BQ265" s="2041"/>
      <c r="BR265" s="2041"/>
      <c r="BS265" s="2041"/>
      <c r="BT265" s="2041"/>
      <c r="BU265"/>
      <c r="BV265"/>
      <c r="BW265"/>
      <c r="BX265"/>
      <c r="BY265"/>
      <c r="BZ265"/>
    </row>
    <row r="266" spans="1:78" s="1299" customFormat="1">
      <c r="A266" s="2433"/>
      <c r="B266" s="1695"/>
      <c r="C266" s="1696"/>
      <c r="D266" s="1696"/>
      <c r="E266" s="1695"/>
      <c r="F266" s="1695"/>
      <c r="G266" s="1745"/>
      <c r="H266" s="1745"/>
      <c r="I266" s="1745"/>
      <c r="J266" s="1745"/>
      <c r="K266" s="1695"/>
      <c r="L266" s="1745"/>
      <c r="M266" s="1699"/>
      <c r="N266" s="1695"/>
      <c r="O266" s="1695"/>
      <c r="P266" s="1745"/>
      <c r="Q266" s="1745"/>
      <c r="R266" s="1745"/>
      <c r="S266" s="1745"/>
      <c r="T266" s="1745"/>
      <c r="U266" s="1787" t="s">
        <v>1496</v>
      </c>
      <c r="V266" s="1699"/>
      <c r="W266" s="1695"/>
      <c r="X266" s="1695"/>
      <c r="Y266" s="1695"/>
      <c r="Z266" s="1695"/>
      <c r="AA266" s="1695"/>
      <c r="AB266" s="1699"/>
      <c r="AC266" s="1695"/>
      <c r="AD266" s="1695"/>
      <c r="AE266" s="1695"/>
      <c r="AF266" s="1695"/>
      <c r="AG266" s="1695"/>
      <c r="AH266" s="1699"/>
      <c r="AI266" s="1695"/>
      <c r="AJ266" s="1695"/>
      <c r="AK266" s="1695"/>
      <c r="AL266" s="1879"/>
      <c r="AM266" s="1879"/>
      <c r="AN266" s="1695"/>
      <c r="AO266" s="1757">
        <v>6.4</v>
      </c>
      <c r="AP266" s="1758">
        <v>50.98</v>
      </c>
      <c r="AQ266" s="1687">
        <v>2.5</v>
      </c>
      <c r="AR266" s="1687">
        <f t="shared" si="34"/>
        <v>3.7648000000000001</v>
      </c>
      <c r="AS266" s="1687"/>
      <c r="AT266" s="1687"/>
      <c r="AU266" s="1687"/>
      <c r="AV266" s="1687"/>
      <c r="AW266" s="1687"/>
      <c r="AX266" s="1687"/>
      <c r="AY266" s="1687"/>
      <c r="AZ266" s="1687"/>
      <c r="BA266" s="1687"/>
      <c r="BB266" s="1687"/>
      <c r="BC266" s="1687"/>
      <c r="BD266" s="1687"/>
      <c r="BE266" s="1687"/>
      <c r="BF266" s="1687"/>
      <c r="BG266" s="1687"/>
      <c r="BH266" s="1687"/>
      <c r="BI266" s="1687"/>
      <c r="BK266" s="2041"/>
      <c r="BL266" s="2041"/>
      <c r="BM266" s="2041"/>
      <c r="BN266" s="2041"/>
      <c r="BO266" s="2041"/>
      <c r="BP266" s="2041"/>
      <c r="BQ266" s="2041"/>
      <c r="BR266" s="2041"/>
      <c r="BS266" s="2041"/>
      <c r="BT266" s="2041"/>
      <c r="BU266"/>
      <c r="BV266"/>
      <c r="BW266"/>
      <c r="BX266"/>
      <c r="BY266"/>
      <c r="BZ266"/>
    </row>
    <row r="267" spans="1:78">
      <c r="A267" s="2433"/>
      <c r="B267" s="1695"/>
      <c r="C267" s="1696"/>
      <c r="D267" s="1696"/>
      <c r="E267" s="1695"/>
      <c r="F267" s="1695"/>
      <c r="G267" s="1745"/>
      <c r="H267" s="1745"/>
      <c r="I267" s="1745"/>
      <c r="J267" s="1745"/>
      <c r="K267" s="1695"/>
      <c r="L267" s="1745"/>
      <c r="M267" s="1699"/>
      <c r="N267" s="1695"/>
      <c r="O267" s="1695"/>
      <c r="P267" s="1745"/>
      <c r="Q267" s="1745"/>
      <c r="R267" s="1745"/>
      <c r="S267" s="1745"/>
      <c r="T267" s="1745"/>
      <c r="U267" s="1787" t="s">
        <v>1497</v>
      </c>
      <c r="V267" s="1699"/>
      <c r="W267" s="1695"/>
      <c r="X267" s="1695"/>
      <c r="Y267" s="1695"/>
      <c r="Z267" s="1695"/>
      <c r="AA267" s="1695"/>
      <c r="AB267" s="1699"/>
      <c r="AC267" s="1695"/>
      <c r="AD267" s="1695"/>
      <c r="AE267" s="1695"/>
      <c r="AF267" s="1695"/>
      <c r="AG267" s="1695"/>
      <c r="AH267" s="1699"/>
      <c r="AI267" s="1695"/>
      <c r="AJ267" s="1695"/>
      <c r="AK267" s="1695"/>
      <c r="AL267" s="1695"/>
      <c r="AM267" s="1695"/>
      <c r="AN267" s="1695"/>
      <c r="AO267" s="1757">
        <v>7.6189999999999998</v>
      </c>
      <c r="AP267" s="1758">
        <v>50.98</v>
      </c>
      <c r="AQ267" s="1687">
        <v>3</v>
      </c>
      <c r="AR267" s="1687">
        <f t="shared" si="34"/>
        <v>4.1026666666666669</v>
      </c>
    </row>
    <row r="268" spans="1:78">
      <c r="A268" s="2433"/>
      <c r="B268" s="1695"/>
      <c r="C268" s="1696"/>
      <c r="D268" s="1696"/>
      <c r="E268" s="1695"/>
      <c r="F268" s="1695"/>
      <c r="G268" s="1745"/>
      <c r="H268" s="1745"/>
      <c r="I268" s="1745"/>
      <c r="J268" s="1745"/>
      <c r="K268" s="1695"/>
      <c r="L268" s="1745"/>
      <c r="M268" s="1699"/>
      <c r="N268" s="1695"/>
      <c r="O268" s="1695"/>
      <c r="P268" s="1745"/>
      <c r="Q268" s="1745"/>
      <c r="R268" s="1745"/>
      <c r="S268" s="1745"/>
      <c r="T268" s="1745"/>
      <c r="U268" s="1787" t="s">
        <v>1498</v>
      </c>
      <c r="V268" s="1699"/>
      <c r="W268" s="1695"/>
      <c r="X268" s="1695"/>
      <c r="Y268" s="1695"/>
      <c r="Z268" s="1695"/>
      <c r="AA268" s="1695"/>
      <c r="AB268" s="1699"/>
      <c r="AC268" s="1695"/>
      <c r="AD268" s="1695"/>
      <c r="AE268" s="1695"/>
      <c r="AF268" s="1695"/>
      <c r="AG268" s="1695"/>
      <c r="AH268" s="1699"/>
      <c r="AI268" s="1695"/>
      <c r="AJ268" s="1695"/>
      <c r="AK268" s="1695"/>
      <c r="AL268" s="1695"/>
      <c r="AM268" s="1695"/>
      <c r="AN268" s="1695"/>
      <c r="AO268" s="1757">
        <v>9.4120000000000008</v>
      </c>
      <c r="AP268" s="1758">
        <v>50.98</v>
      </c>
      <c r="AQ268" s="1687">
        <v>3.5</v>
      </c>
      <c r="AR268" s="1687">
        <f t="shared" si="34"/>
        <v>4.1557142857142857</v>
      </c>
    </row>
    <row r="269" spans="1:78">
      <c r="A269" s="2433"/>
      <c r="B269" s="1695"/>
      <c r="C269" s="1696"/>
      <c r="D269" s="1696"/>
      <c r="E269" s="1695"/>
      <c r="F269" s="1695"/>
      <c r="G269" s="1745"/>
      <c r="H269" s="1745"/>
      <c r="I269" s="1745"/>
      <c r="J269" s="1745"/>
      <c r="K269" s="1695"/>
      <c r="L269" s="1745"/>
      <c r="M269" s="1699"/>
      <c r="N269" s="1695"/>
      <c r="O269" s="1695"/>
      <c r="P269" s="1745"/>
      <c r="Q269" s="1745"/>
      <c r="R269" s="1745"/>
      <c r="S269" s="1745"/>
      <c r="T269" s="1745"/>
      <c r="U269" s="1787" t="s">
        <v>1499</v>
      </c>
      <c r="V269" s="1699"/>
      <c r="W269" s="1695"/>
      <c r="X269" s="1695"/>
      <c r="Y269" s="1695"/>
      <c r="Z269" s="1695"/>
      <c r="AA269" s="1695"/>
      <c r="AB269" s="1699"/>
      <c r="AC269" s="1695"/>
      <c r="AD269" s="1695"/>
      <c r="AE269" s="1695"/>
      <c r="AF269" s="1695"/>
      <c r="AG269" s="1695"/>
      <c r="AH269" s="1699"/>
      <c r="AI269" s="1695"/>
      <c r="AJ269" s="1695"/>
      <c r="AK269" s="1695"/>
      <c r="AL269" s="1695"/>
      <c r="AM269" s="1695"/>
      <c r="AN269" s="1695"/>
      <c r="AO269" s="1743">
        <v>12.308</v>
      </c>
      <c r="AP269" s="1758">
        <v>50.98</v>
      </c>
      <c r="AQ269" s="1687">
        <v>4</v>
      </c>
      <c r="AR269" s="1687">
        <f t="shared" si="34"/>
        <v>4.4444999999999997</v>
      </c>
    </row>
    <row r="270" spans="1:78">
      <c r="A270" s="2433"/>
      <c r="B270" s="1695"/>
      <c r="C270" s="1696"/>
      <c r="D270" s="1696"/>
      <c r="E270" s="1695"/>
      <c r="F270" s="1695"/>
      <c r="G270" s="1745"/>
      <c r="H270" s="1745"/>
      <c r="I270" s="1745"/>
      <c r="J270" s="1745"/>
      <c r="K270" s="1695"/>
      <c r="L270" s="1745"/>
      <c r="M270" s="1699"/>
      <c r="N270" s="1695"/>
      <c r="O270" s="1695"/>
      <c r="P270" s="1745"/>
      <c r="Q270" s="1745"/>
      <c r="R270" s="1745"/>
      <c r="S270" s="1745"/>
      <c r="T270" s="1745"/>
      <c r="U270" s="1787" t="s">
        <v>1500</v>
      </c>
      <c r="V270" s="1699"/>
      <c r="W270" s="1695"/>
      <c r="X270" s="1695"/>
      <c r="Y270" s="1695"/>
      <c r="Z270" s="1695"/>
      <c r="AA270" s="1695"/>
      <c r="AB270" s="1699"/>
      <c r="AC270" s="1695"/>
      <c r="AD270" s="1695"/>
      <c r="AE270" s="1695"/>
      <c r="AF270" s="1695"/>
      <c r="AG270" s="1695"/>
      <c r="AH270" s="1699"/>
      <c r="AI270" s="1695"/>
      <c r="AJ270" s="1695"/>
      <c r="AK270" s="1695"/>
      <c r="AL270" s="1695"/>
      <c r="AM270" s="1695"/>
      <c r="AN270" s="1695"/>
      <c r="AO270" s="1743">
        <v>14.545</v>
      </c>
      <c r="AP270" s="1758">
        <v>50.98</v>
      </c>
      <c r="AQ270" s="1687">
        <v>5</v>
      </c>
      <c r="AR270" s="1687">
        <f t="shared" si="34"/>
        <v>5.3334000000000001</v>
      </c>
    </row>
    <row r="271" spans="1:78" ht="9" customHeight="1">
      <c r="A271" s="2433"/>
      <c r="B271" s="1695"/>
      <c r="C271" s="1696"/>
      <c r="D271" s="1696"/>
      <c r="E271" s="1695"/>
      <c r="F271" s="1695"/>
      <c r="G271" s="1745"/>
      <c r="H271" s="1745"/>
      <c r="I271" s="1745"/>
      <c r="J271" s="1745"/>
      <c r="K271" s="1695"/>
      <c r="L271" s="1745"/>
      <c r="M271" s="1699"/>
      <c r="N271" s="1695"/>
      <c r="O271" s="1695"/>
      <c r="P271" s="1745"/>
      <c r="Q271" s="1745"/>
      <c r="R271" s="1745"/>
      <c r="S271" s="1745"/>
      <c r="T271" s="1745"/>
      <c r="U271" s="1787" t="s">
        <v>1501</v>
      </c>
      <c r="V271" s="1699"/>
      <c r="W271" s="1695"/>
      <c r="X271" s="1695"/>
      <c r="Y271" s="1695"/>
      <c r="Z271" s="1695"/>
      <c r="AA271" s="1695"/>
      <c r="AB271" s="1699"/>
      <c r="AC271" s="1695"/>
      <c r="AD271" s="1695"/>
      <c r="AE271" s="1695"/>
      <c r="AF271" s="1695"/>
      <c r="AG271" s="1695"/>
      <c r="AH271" s="1699"/>
      <c r="AI271" s="1695"/>
      <c r="AJ271" s="1695"/>
      <c r="AK271" s="1695"/>
      <c r="AL271" s="1695"/>
      <c r="AM271" s="1695"/>
      <c r="AN271" s="1695"/>
      <c r="AO271" s="1743">
        <v>17.777999999999999</v>
      </c>
      <c r="AP271" s="1758">
        <v>50.98</v>
      </c>
      <c r="BU271" s="1299"/>
      <c r="BV271" s="1299"/>
      <c r="BW271" s="1299"/>
      <c r="BX271" s="1299"/>
      <c r="BY271" s="1299"/>
      <c r="BZ271" s="1299"/>
    </row>
    <row r="272" spans="1:78" ht="15" customHeight="1" thickBot="1">
      <c r="A272" s="2433"/>
      <c r="B272" s="1695"/>
      <c r="C272" s="1696"/>
      <c r="D272" s="1696"/>
      <c r="E272" s="1695"/>
      <c r="F272" s="1695"/>
      <c r="G272" s="1745"/>
      <c r="H272" s="1745"/>
      <c r="I272" s="1745"/>
      <c r="J272" s="1745"/>
      <c r="K272" s="1695"/>
      <c r="L272" s="1745"/>
      <c r="M272" s="1699"/>
      <c r="N272" s="1695"/>
      <c r="O272" s="1695"/>
      <c r="P272" s="1745"/>
      <c r="Q272" s="1745"/>
      <c r="R272" s="1745"/>
      <c r="S272" s="1745"/>
      <c r="T272" s="1745"/>
      <c r="U272" s="1787" t="s">
        <v>1502</v>
      </c>
      <c r="V272" s="1699"/>
      <c r="W272" s="1695"/>
      <c r="X272" s="1695"/>
      <c r="Y272" s="1695"/>
      <c r="Z272" s="1695"/>
      <c r="AA272" s="1695"/>
      <c r="AB272" s="1699"/>
      <c r="AC272" s="1695"/>
      <c r="AD272" s="1695"/>
      <c r="AE272" s="1695"/>
      <c r="AF272" s="1695"/>
      <c r="AG272" s="1695"/>
      <c r="AH272" s="1699"/>
      <c r="AI272" s="1695"/>
      <c r="AJ272" s="1695"/>
      <c r="AK272" s="1695"/>
      <c r="AL272" s="1695"/>
      <c r="AM272" s="1695"/>
      <c r="AN272" s="1695"/>
      <c r="AO272" s="1801">
        <v>26.667000000000002</v>
      </c>
      <c r="AP272" s="1802">
        <v>50.98</v>
      </c>
      <c r="BU272" s="1299"/>
      <c r="BV272" s="1299"/>
      <c r="BW272" s="1299"/>
      <c r="BX272" s="1299"/>
      <c r="BY272" s="1299"/>
      <c r="BZ272" s="1299"/>
    </row>
    <row r="273" spans="1:78" ht="15" customHeight="1" thickBot="1">
      <c r="A273" s="1746"/>
      <c r="B273" s="1715"/>
      <c r="C273" s="1716"/>
      <c r="D273" s="1716"/>
      <c r="E273" s="1715"/>
      <c r="F273" s="1715"/>
      <c r="G273" s="1717"/>
      <c r="H273" s="1717"/>
      <c r="I273" s="1717"/>
      <c r="J273" s="1717"/>
      <c r="K273" s="1715"/>
      <c r="L273" s="1717"/>
      <c r="M273" s="1718"/>
      <c r="N273" s="1715"/>
      <c r="O273" s="1715"/>
      <c r="P273" s="1717"/>
      <c r="Q273" s="1717"/>
      <c r="R273" s="1717"/>
      <c r="S273" s="1717"/>
      <c r="T273" s="1717"/>
      <c r="U273" s="1718"/>
      <c r="V273" s="1718"/>
      <c r="W273" s="1715"/>
      <c r="X273" s="1715"/>
      <c r="Y273" s="1715"/>
      <c r="Z273" s="1715"/>
      <c r="AA273" s="1715"/>
      <c r="AB273" s="1718"/>
      <c r="AC273" s="1715"/>
      <c r="AD273" s="1715"/>
      <c r="AE273" s="1715"/>
      <c r="AF273" s="1715"/>
      <c r="AG273" s="1715"/>
      <c r="AH273" s="1718"/>
      <c r="AI273" s="1715"/>
      <c r="AJ273" s="1715"/>
      <c r="AK273" s="1715"/>
      <c r="AL273" s="1715"/>
      <c r="AM273" s="1715"/>
      <c r="AN273" s="1715"/>
      <c r="AO273" s="1718"/>
      <c r="AP273" s="1719"/>
      <c r="AQ273" s="1687" t="s">
        <v>1804</v>
      </c>
      <c r="AR273" s="1687" t="s">
        <v>1817</v>
      </c>
    </row>
    <row r="274" spans="1:78" s="1299" customFormat="1" ht="15" customHeight="1">
      <c r="A274" s="2432" t="s">
        <v>1139</v>
      </c>
      <c r="B274" s="1792" t="s">
        <v>1955</v>
      </c>
      <c r="C274" s="1771" t="s">
        <v>1804</v>
      </c>
      <c r="D274" s="1787" t="s">
        <v>1812</v>
      </c>
      <c r="E274" s="1860">
        <f>AVERAGE(V274,AB274)/7.5</f>
        <v>4.4666666666666668</v>
      </c>
      <c r="F274" s="1841"/>
      <c r="G274" s="1738">
        <f>AVERAGE(W274,AC274)*BS7</f>
        <v>70.95015875388296</v>
      </c>
      <c r="H274" s="1880">
        <f>G274*E274</f>
        <v>316.91070910067725</v>
      </c>
      <c r="I274" s="1736">
        <f>(SUM(Y274,AE274,AA274,AG274)/2)/7.5</f>
        <v>321.39999999999998</v>
      </c>
      <c r="J274" s="1736"/>
      <c r="K274" s="2447">
        <v>0.27500000000000002</v>
      </c>
      <c r="L274" s="1780">
        <f>((E274*G274)+I274)*(1+$K$274)</f>
        <v>813.84615410336346</v>
      </c>
      <c r="M274" s="1734" t="s">
        <v>1872</v>
      </c>
      <c r="N274" s="1881" t="s">
        <v>1873</v>
      </c>
      <c r="O274" s="1859">
        <f>AT274</f>
        <v>3.1863666666666668</v>
      </c>
      <c r="P274" s="1774">
        <f>AVERAGE(AP276:AP279)*BQ22</f>
        <v>59.584311916238107</v>
      </c>
      <c r="Q274" s="1774">
        <f>O274*P274</f>
        <v>189.85746534617059</v>
      </c>
      <c r="R274" s="1774"/>
      <c r="S274" s="1774"/>
      <c r="T274" s="1751">
        <f>Q274</f>
        <v>189.85746534617059</v>
      </c>
      <c r="U274" s="1882" t="s">
        <v>1544</v>
      </c>
      <c r="V274" s="1757">
        <v>27</v>
      </c>
      <c r="W274" s="1857">
        <v>108</v>
      </c>
      <c r="X274" s="1857">
        <v>2912</v>
      </c>
      <c r="Y274" s="1857">
        <v>810</v>
      </c>
      <c r="Z274" s="1857">
        <v>500</v>
      </c>
      <c r="AA274" s="1858">
        <v>2648</v>
      </c>
      <c r="AB274" s="1757">
        <v>40</v>
      </c>
      <c r="AC274" s="1857">
        <v>97</v>
      </c>
      <c r="AD274" s="1857">
        <v>3896</v>
      </c>
      <c r="AE274" s="1857">
        <v>846</v>
      </c>
      <c r="AF274" s="1857">
        <v>600</v>
      </c>
      <c r="AG274" s="1858">
        <v>517</v>
      </c>
      <c r="AH274" s="1783"/>
      <c r="AI274" s="1784"/>
      <c r="AJ274" s="1784"/>
      <c r="AK274" s="1784"/>
      <c r="AL274" s="1784"/>
      <c r="AM274" s="1784"/>
      <c r="AN274" s="1784"/>
      <c r="AO274" s="1699"/>
      <c r="AP274" s="1729"/>
      <c r="AQ274" s="1687">
        <v>7.5</v>
      </c>
      <c r="AR274" s="1687">
        <f>AO276/AQ274</f>
        <v>3.8788</v>
      </c>
      <c r="AS274" s="1687" t="s">
        <v>1837</v>
      </c>
      <c r="AT274" s="1687">
        <f>AVERAGE(AR274:AR277)</f>
        <v>3.1863666666666668</v>
      </c>
      <c r="AU274" s="1687"/>
      <c r="AV274" s="1687"/>
      <c r="AW274" s="1687"/>
      <c r="AX274" s="1687"/>
      <c r="AY274" s="1687"/>
      <c r="AZ274" s="1687"/>
      <c r="BA274" s="1687"/>
      <c r="BB274" s="1687"/>
      <c r="BC274" s="1687"/>
      <c r="BD274" s="1687"/>
      <c r="BE274" s="1687"/>
      <c r="BF274" s="1687"/>
      <c r="BG274" s="1687"/>
      <c r="BH274" s="1687"/>
      <c r="BI274" s="1687"/>
      <c r="BK274" s="2041"/>
      <c r="BL274" s="2041"/>
      <c r="BM274" s="2041"/>
      <c r="BN274" s="2041"/>
      <c r="BO274" s="2041"/>
      <c r="BP274" s="2041"/>
      <c r="BQ274" s="2041"/>
      <c r="BR274" s="2041"/>
      <c r="BS274" s="2041"/>
      <c r="BT274" s="2041"/>
      <c r="BU274"/>
      <c r="BV274"/>
      <c r="BW274"/>
      <c r="BX274"/>
      <c r="BY274"/>
      <c r="BZ274"/>
    </row>
    <row r="275" spans="1:78" s="1299" customFormat="1" ht="15" customHeight="1">
      <c r="A275" s="2433"/>
      <c r="B275" s="1792" t="s">
        <v>1956</v>
      </c>
      <c r="C275" s="1771" t="s">
        <v>1804</v>
      </c>
      <c r="D275" s="1787" t="s">
        <v>1812</v>
      </c>
      <c r="E275" s="1860">
        <f>AVERAGE(V275,AB275)/7.5</f>
        <v>4.1333333333333337</v>
      </c>
      <c r="F275" s="1841"/>
      <c r="G275" s="1738">
        <f>AVERAGE(W275,AC275)*BS7</f>
        <v>70.604060418498165</v>
      </c>
      <c r="H275" s="1880">
        <f>G275*E275</f>
        <v>291.83011639645912</v>
      </c>
      <c r="I275" s="1736">
        <f>(SUM(Y275,AE275,AA275,AG275)/2)/7.5</f>
        <v>332.53333333333336</v>
      </c>
      <c r="J275" s="1736"/>
      <c r="K275" s="2447"/>
      <c r="L275" s="1780">
        <f>((E275*G275)+I275)*(1+$K$274)</f>
        <v>796.06339840548537</v>
      </c>
      <c r="M275" s="1788" t="s">
        <v>2056</v>
      </c>
      <c r="N275" s="1782"/>
      <c r="O275" s="1791"/>
      <c r="P275" s="1738"/>
      <c r="Q275" s="1738"/>
      <c r="R275" s="1738"/>
      <c r="S275" s="1774">
        <f>AVERAGE(Z274,AF274)</f>
        <v>550</v>
      </c>
      <c r="T275" s="1751"/>
      <c r="U275" s="1883" t="s">
        <v>1545</v>
      </c>
      <c r="V275" s="1757">
        <v>26</v>
      </c>
      <c r="W275" s="1857">
        <v>108</v>
      </c>
      <c r="X275" s="1857">
        <v>2800</v>
      </c>
      <c r="Y275" s="1857">
        <v>980</v>
      </c>
      <c r="Z275" s="1857">
        <v>1500</v>
      </c>
      <c r="AA275" s="1858">
        <v>2961</v>
      </c>
      <c r="AB275" s="1757">
        <v>36</v>
      </c>
      <c r="AC275" s="1857">
        <v>96</v>
      </c>
      <c r="AD275" s="1857">
        <v>3447</v>
      </c>
      <c r="AE275" s="1857">
        <v>438</v>
      </c>
      <c r="AF275" s="1857">
        <v>1000</v>
      </c>
      <c r="AG275" s="1858">
        <v>609</v>
      </c>
      <c r="AH275" s="1699"/>
      <c r="AI275" s="1695"/>
      <c r="AJ275" s="1695"/>
      <c r="AK275" s="1695"/>
      <c r="AL275" s="1695"/>
      <c r="AM275" s="1695"/>
      <c r="AN275" s="1695"/>
      <c r="AO275" s="1699"/>
      <c r="AP275" s="1729"/>
      <c r="AQ275" s="1691">
        <v>10</v>
      </c>
      <c r="AR275" s="1687">
        <f>AO277/AQ275</f>
        <v>3.2</v>
      </c>
      <c r="AS275" s="1687" t="s">
        <v>1838</v>
      </c>
      <c r="AT275" s="1687">
        <f>STDEV(AR274:AR277)</f>
        <v>0.51136106400250558</v>
      </c>
      <c r="AU275" s="1687"/>
      <c r="AV275" s="1687"/>
      <c r="AW275" s="1687"/>
      <c r="AX275" s="1687"/>
      <c r="AY275" s="1687"/>
      <c r="AZ275" s="1687"/>
      <c r="BA275" s="1687"/>
      <c r="BB275" s="1687"/>
      <c r="BC275" s="1687"/>
      <c r="BD275" s="1687"/>
      <c r="BE275" s="1687"/>
      <c r="BF275" s="1687"/>
      <c r="BG275" s="1687"/>
      <c r="BH275" s="1687"/>
      <c r="BI275" s="1687"/>
      <c r="BK275" s="2041"/>
      <c r="BL275" s="2041"/>
      <c r="BM275" s="2041"/>
      <c r="BN275" s="2041"/>
      <c r="BO275" s="2041"/>
      <c r="BP275" s="2041"/>
      <c r="BQ275" s="2041"/>
      <c r="BR275" s="2041"/>
      <c r="BS275" s="2041"/>
      <c r="BT275" s="2041"/>
      <c r="BU275"/>
      <c r="BV275"/>
      <c r="BW275"/>
      <c r="BX275"/>
      <c r="BY275"/>
      <c r="BZ275"/>
    </row>
    <row r="276" spans="1:78" s="1299" customFormat="1" ht="15" customHeight="1">
      <c r="A276" s="2433"/>
      <c r="B276" s="1792" t="s">
        <v>2058</v>
      </c>
      <c r="C276" s="1771" t="s">
        <v>1804</v>
      </c>
      <c r="D276" s="1771" t="s">
        <v>1805</v>
      </c>
      <c r="E276" s="1788"/>
      <c r="F276" s="1789"/>
      <c r="G276" s="1782"/>
      <c r="H276" s="1782"/>
      <c r="I276" s="1782"/>
      <c r="J276" s="1774">
        <f>AL261</f>
        <v>598.37801194433382</v>
      </c>
      <c r="K276" s="2447"/>
      <c r="L276" s="1751"/>
      <c r="M276" s="1788" t="s">
        <v>2057</v>
      </c>
      <c r="N276" s="1782"/>
      <c r="O276" s="1782"/>
      <c r="P276" s="1738"/>
      <c r="Q276" s="1738"/>
      <c r="R276" s="1738"/>
      <c r="S276" s="1774">
        <f>AVERAGE(Z275,AF275)</f>
        <v>1250</v>
      </c>
      <c r="T276" s="1751"/>
      <c r="U276" s="1884" t="s">
        <v>1509</v>
      </c>
      <c r="V276" s="1699"/>
      <c r="W276" s="1695"/>
      <c r="X276" s="1695"/>
      <c r="Y276" s="1695"/>
      <c r="Z276" s="1695"/>
      <c r="AA276" s="1695"/>
      <c r="AB276" s="1699"/>
      <c r="AC276" s="1695"/>
      <c r="AD276" s="1695"/>
      <c r="AE276" s="1695"/>
      <c r="AF276" s="1695"/>
      <c r="AG276" s="1695"/>
      <c r="AH276" s="1885"/>
      <c r="AI276" s="1886"/>
      <c r="AJ276" s="1886"/>
      <c r="AK276" s="1695"/>
      <c r="AL276" s="1695"/>
      <c r="AM276" s="1695"/>
      <c r="AN276" s="1695"/>
      <c r="AO276" s="1757">
        <v>29.091000000000001</v>
      </c>
      <c r="AP276" s="1758">
        <v>50.98</v>
      </c>
      <c r="AQ276" s="1691">
        <v>15</v>
      </c>
      <c r="AR276" s="1687">
        <f>AO278/AQ276</f>
        <v>2.6666666666666665</v>
      </c>
      <c r="AS276" s="1687"/>
      <c r="AT276" s="1687"/>
      <c r="AU276" s="1687"/>
      <c r="AV276" s="1687"/>
      <c r="AW276" s="1687"/>
      <c r="AX276" s="1687"/>
      <c r="AY276" s="1687"/>
      <c r="AZ276" s="1687"/>
      <c r="BA276" s="1687"/>
      <c r="BB276" s="1687"/>
      <c r="BC276" s="1687"/>
      <c r="BD276" s="1687"/>
      <c r="BE276" s="1687"/>
      <c r="BF276" s="1687"/>
      <c r="BG276" s="1687"/>
      <c r="BH276" s="1687"/>
      <c r="BI276" s="1687"/>
      <c r="BK276" s="2041"/>
      <c r="BL276" s="2041"/>
      <c r="BM276" s="2041"/>
      <c r="BN276" s="2041"/>
      <c r="BO276" s="2041"/>
      <c r="BP276" s="2041"/>
      <c r="BQ276" s="2041"/>
      <c r="BR276" s="2041"/>
      <c r="BS276" s="2041"/>
      <c r="BT276" s="2041"/>
      <c r="BU276"/>
      <c r="BV276"/>
      <c r="BW276"/>
      <c r="BX276"/>
      <c r="BY276"/>
      <c r="BZ276"/>
    </row>
    <row r="277" spans="1:78" s="1299" customFormat="1" ht="15.75" customHeight="1">
      <c r="A277" s="2433"/>
      <c r="B277" s="1695"/>
      <c r="C277" s="1696"/>
      <c r="D277" s="1696"/>
      <c r="E277" s="1695"/>
      <c r="F277" s="1695"/>
      <c r="G277" s="1745"/>
      <c r="H277" s="1745"/>
      <c r="I277" s="1745"/>
      <c r="J277" s="1745"/>
      <c r="K277" s="1695"/>
      <c r="L277" s="1805"/>
      <c r="M277" s="1699"/>
      <c r="N277" s="1695"/>
      <c r="O277" s="1695"/>
      <c r="P277" s="1745"/>
      <c r="Q277" s="1745"/>
      <c r="R277" s="1745"/>
      <c r="S277" s="1745"/>
      <c r="T277" s="1805"/>
      <c r="U277" s="1787" t="s">
        <v>1510</v>
      </c>
      <c r="V277" s="1699"/>
      <c r="W277" s="1695"/>
      <c r="X277" s="1695"/>
      <c r="Y277" s="1695"/>
      <c r="Z277" s="1695"/>
      <c r="AA277" s="1695"/>
      <c r="AB277" s="1699"/>
      <c r="AC277" s="1695"/>
      <c r="AD277" s="1695"/>
      <c r="AE277" s="1695"/>
      <c r="AF277" s="1695"/>
      <c r="AG277" s="1695"/>
      <c r="AH277" s="1885"/>
      <c r="AI277" s="1886"/>
      <c r="AJ277" s="1886"/>
      <c r="AK277" s="1695"/>
      <c r="AL277" s="1695"/>
      <c r="AM277" s="1695"/>
      <c r="AN277" s="1695"/>
      <c r="AO277" s="1757">
        <v>32</v>
      </c>
      <c r="AP277" s="1758">
        <v>50.98</v>
      </c>
      <c r="AQ277" s="1691">
        <v>20</v>
      </c>
      <c r="AR277" s="1687">
        <f>AO279/AQ277</f>
        <v>3</v>
      </c>
      <c r="AS277" s="1687"/>
      <c r="AT277" s="1687"/>
      <c r="AU277" s="1687"/>
      <c r="AV277" s="1687"/>
      <c r="AW277" s="1687"/>
      <c r="AX277" s="1687"/>
      <c r="AY277" s="1687"/>
      <c r="AZ277" s="1687"/>
      <c r="BA277" s="1687"/>
      <c r="BB277" s="1687"/>
      <c r="BC277" s="1687"/>
      <c r="BD277" s="1687"/>
      <c r="BE277" s="1687"/>
      <c r="BF277" s="1687"/>
      <c r="BG277" s="1687"/>
      <c r="BH277" s="1687"/>
      <c r="BI277" s="1687"/>
      <c r="BK277" s="2041"/>
      <c r="BL277" s="2041"/>
      <c r="BM277" s="2041"/>
      <c r="BN277" s="2041"/>
      <c r="BO277" s="2041"/>
      <c r="BP277" s="2041"/>
      <c r="BQ277" s="2041"/>
      <c r="BR277" s="2041"/>
      <c r="BS277" s="2041"/>
      <c r="BT277" s="2041"/>
      <c r="BU277"/>
      <c r="BV277"/>
      <c r="BW277"/>
      <c r="BX277"/>
      <c r="BY277"/>
      <c r="BZ277"/>
    </row>
    <row r="278" spans="1:78" ht="9" customHeight="1">
      <c r="A278" s="2433"/>
      <c r="B278" s="1695"/>
      <c r="C278" s="1696"/>
      <c r="D278" s="1696"/>
      <c r="E278" s="1695"/>
      <c r="F278" s="1695"/>
      <c r="G278" s="1745"/>
      <c r="H278" s="1745"/>
      <c r="I278" s="1745"/>
      <c r="J278" s="1745"/>
      <c r="K278" s="1695"/>
      <c r="L278" s="1805"/>
      <c r="M278" s="1699"/>
      <c r="N278" s="1695"/>
      <c r="O278" s="1695"/>
      <c r="P278" s="1745"/>
      <c r="Q278" s="1745"/>
      <c r="R278" s="1745"/>
      <c r="S278" s="1745"/>
      <c r="T278" s="1745"/>
      <c r="U278" s="1787" t="s">
        <v>1511</v>
      </c>
      <c r="V278" s="1699"/>
      <c r="W278" s="1695"/>
      <c r="X278" s="1695"/>
      <c r="Y278" s="1695"/>
      <c r="Z278" s="1695"/>
      <c r="AA278" s="1695"/>
      <c r="AB278" s="1699"/>
      <c r="AC278" s="1695"/>
      <c r="AD278" s="1695"/>
      <c r="AE278" s="1695"/>
      <c r="AF278" s="1695"/>
      <c r="AG278" s="1695"/>
      <c r="AH278" s="1885"/>
      <c r="AI278" s="1886"/>
      <c r="AJ278" s="1886"/>
      <c r="AK278" s="1695"/>
      <c r="AL278" s="1695"/>
      <c r="AM278" s="1695"/>
      <c r="AN278" s="1695"/>
      <c r="AO278" s="1757">
        <v>40</v>
      </c>
      <c r="AP278" s="1758">
        <v>50.98</v>
      </c>
    </row>
    <row r="279" spans="1:78" ht="15.75" thickBot="1">
      <c r="A279" s="2434"/>
      <c r="B279" s="1695"/>
      <c r="C279" s="1696"/>
      <c r="D279" s="1696"/>
      <c r="E279" s="1695"/>
      <c r="F279" s="1695"/>
      <c r="G279" s="1745"/>
      <c r="H279" s="1745"/>
      <c r="I279" s="1745"/>
      <c r="J279" s="1745"/>
      <c r="K279" s="1695"/>
      <c r="L279" s="1745"/>
      <c r="M279" s="1699"/>
      <c r="N279" s="1695"/>
      <c r="O279" s="1695"/>
      <c r="P279" s="1745"/>
      <c r="Q279" s="1745"/>
      <c r="R279" s="1745"/>
      <c r="S279" s="1745"/>
      <c r="T279" s="1745"/>
      <c r="U279" s="1787" t="s">
        <v>1512</v>
      </c>
      <c r="V279" s="1699"/>
      <c r="W279" s="1695"/>
      <c r="X279" s="1695"/>
      <c r="Y279" s="1695"/>
      <c r="Z279" s="1695"/>
      <c r="AA279" s="1695"/>
      <c r="AB279" s="1699"/>
      <c r="AC279" s="1695"/>
      <c r="AD279" s="1695"/>
      <c r="AE279" s="1695"/>
      <c r="AF279" s="1695"/>
      <c r="AG279" s="1695"/>
      <c r="AH279" s="1885"/>
      <c r="AI279" s="1886"/>
      <c r="AJ279" s="1886"/>
      <c r="AK279" s="1695"/>
      <c r="AL279" s="1695"/>
      <c r="AM279" s="1695"/>
      <c r="AN279" s="1695"/>
      <c r="AO279" s="1743">
        <v>60</v>
      </c>
      <c r="AP279" s="1744">
        <v>52.87</v>
      </c>
    </row>
    <row r="280" spans="1:78" ht="19.5" thickBot="1">
      <c r="A280" s="1746"/>
      <c r="B280" s="1715"/>
      <c r="C280" s="1716"/>
      <c r="D280" s="1716"/>
      <c r="E280" s="1715"/>
      <c r="F280" s="1715"/>
      <c r="G280" s="1717"/>
      <c r="H280" s="1717"/>
      <c r="I280" s="1717"/>
      <c r="J280" s="1717"/>
      <c r="K280" s="1715"/>
      <c r="L280" s="1717"/>
      <c r="M280" s="1718"/>
      <c r="N280" s="1715"/>
      <c r="O280" s="1715"/>
      <c r="P280" s="1717"/>
      <c r="Q280" s="1717"/>
      <c r="R280" s="1717"/>
      <c r="S280" s="1717"/>
      <c r="T280" s="1717"/>
      <c r="U280" s="1718"/>
      <c r="V280" s="1718"/>
      <c r="W280" s="1715"/>
      <c r="X280" s="1715"/>
      <c r="Y280" s="1715"/>
      <c r="Z280" s="1715"/>
      <c r="AA280" s="1715"/>
      <c r="AB280" s="1718"/>
      <c r="AC280" s="1715"/>
      <c r="AD280" s="1715"/>
      <c r="AE280" s="1715"/>
      <c r="AF280" s="1715"/>
      <c r="AG280" s="1715"/>
      <c r="AH280" s="1718"/>
      <c r="AI280" s="1715"/>
      <c r="AJ280" s="1715"/>
      <c r="AK280" s="1715"/>
      <c r="AL280" s="1715"/>
      <c r="AM280" s="1715"/>
      <c r="AN280" s="1715"/>
      <c r="AO280" s="1718"/>
      <c r="AP280" s="1719"/>
      <c r="BU280" s="1299"/>
      <c r="BV280" s="1299"/>
      <c r="BW280" s="1299"/>
      <c r="BX280" s="1299"/>
      <c r="BY280" s="1299"/>
      <c r="BZ280" s="1299"/>
    </row>
    <row r="281" spans="1:78">
      <c r="A281" s="2423" t="s">
        <v>1140</v>
      </c>
      <c r="B281" s="1739" t="s">
        <v>1881</v>
      </c>
      <c r="C281" s="1733" t="s">
        <v>1796</v>
      </c>
      <c r="D281" s="1787" t="s">
        <v>1812</v>
      </c>
      <c r="E281" s="1748">
        <f>AVERAGE(V281,AB281)/200</f>
        <v>0.57999999999999996</v>
      </c>
      <c r="F281" s="1841"/>
      <c r="G281" s="2419">
        <f>AVERAGE(W281:W289,AC281:AC289)*BS7</f>
        <v>71.334712459866068</v>
      </c>
      <c r="H281" s="1867">
        <f t="shared" ref="H281:H289" si="35">E281*$G$281</f>
        <v>41.374133226722314</v>
      </c>
      <c r="I281" s="1736">
        <f>(SUM(Y281,AE281,AA281,AG281)/2)/200</f>
        <v>35.341025000000002</v>
      </c>
      <c r="J281" s="1774">
        <f t="shared" ref="J281:J289" si="36">AVERAGE(Z281,AF281)</f>
        <v>0</v>
      </c>
      <c r="K281" s="2428">
        <v>0.27500000000000002</v>
      </c>
      <c r="L281" s="1795">
        <f t="shared" ref="L281:L289" si="37">((E281*$G$281)+I281)*(1+$K$281)</f>
        <v>97.811826739070938</v>
      </c>
      <c r="M281" s="1757" t="s">
        <v>1876</v>
      </c>
      <c r="N281" s="2453" t="s">
        <v>1880</v>
      </c>
      <c r="O281" s="1861">
        <f>AR289</f>
        <v>0.17515270935960589</v>
      </c>
      <c r="P281" s="2456">
        <f>AP291*BQ22</f>
        <v>62.46494892885444</v>
      </c>
      <c r="Q281" s="1887">
        <f>O281*$P$281</f>
        <v>10.940905044898267</v>
      </c>
      <c r="R281" s="1880"/>
      <c r="S281" s="1737"/>
      <c r="T281" s="1751">
        <f>Q281</f>
        <v>10.940905044898267</v>
      </c>
      <c r="U281" s="1733" t="s">
        <v>1546</v>
      </c>
      <c r="V281" s="1757">
        <v>93</v>
      </c>
      <c r="W281" s="1857">
        <v>108</v>
      </c>
      <c r="X281" s="1857">
        <v>10080</v>
      </c>
      <c r="Y281" s="1857">
        <v>3600</v>
      </c>
      <c r="Z281" s="1857">
        <v>0</v>
      </c>
      <c r="AA281" s="1858">
        <v>6409</v>
      </c>
      <c r="AB281" s="1757">
        <v>139</v>
      </c>
      <c r="AC281" s="1857">
        <v>97</v>
      </c>
      <c r="AD281" s="1857">
        <v>13542</v>
      </c>
      <c r="AE281" s="1857">
        <v>2927.41</v>
      </c>
      <c r="AF281" s="1857">
        <v>0</v>
      </c>
      <c r="AG281" s="1858">
        <v>1200</v>
      </c>
      <c r="AH281" s="1699"/>
      <c r="AI281" s="1695"/>
      <c r="AJ281" s="1695"/>
      <c r="AK281" s="1695"/>
      <c r="AL281" s="1695"/>
      <c r="AM281" s="1695"/>
      <c r="AN281" s="1695"/>
      <c r="AO281" s="1699"/>
      <c r="AP281" s="1729"/>
      <c r="BU281" s="1299"/>
      <c r="BV281" s="1299"/>
      <c r="BW281" s="1299"/>
      <c r="BX281" s="1299"/>
      <c r="BY281" s="1299"/>
      <c r="BZ281" s="1299"/>
    </row>
    <row r="282" spans="1:78">
      <c r="A282" s="2424"/>
      <c r="B282" s="1739" t="s">
        <v>1882</v>
      </c>
      <c r="C282" s="1733" t="s">
        <v>1796</v>
      </c>
      <c r="D282" s="1787" t="s">
        <v>1812</v>
      </c>
      <c r="E282" s="1748">
        <f>AVERAGE(V282,AB282)/1000</f>
        <v>0.13800000000000001</v>
      </c>
      <c r="F282" s="1841"/>
      <c r="G282" s="2420"/>
      <c r="H282" s="1867">
        <f t="shared" si="35"/>
        <v>9.8441903194615179</v>
      </c>
      <c r="I282" s="1736">
        <f>(SUM(Y282,AE282,AA282,AG282)/2)/1000</f>
        <v>12.967499999999999</v>
      </c>
      <c r="J282" s="1774">
        <f t="shared" si="36"/>
        <v>250</v>
      </c>
      <c r="K282" s="2428"/>
      <c r="L282" s="1795">
        <f t="shared" si="37"/>
        <v>29.084905157313436</v>
      </c>
      <c r="M282" s="1757" t="s">
        <v>1877</v>
      </c>
      <c r="N282" s="2454"/>
      <c r="O282" s="1861">
        <f>AR292</f>
        <v>9.4406950672645734E-2</v>
      </c>
      <c r="P282" s="2457"/>
      <c r="Q282" s="1887">
        <f>O282*$P$281</f>
        <v>5.8971253522956957</v>
      </c>
      <c r="R282" s="1880"/>
      <c r="S282" s="1737"/>
      <c r="T282" s="1751">
        <f t="shared" ref="T282:T285" si="38">Q282</f>
        <v>5.8971253522956957</v>
      </c>
      <c r="U282" s="1733" t="s">
        <v>1547</v>
      </c>
      <c r="V282" s="1757">
        <v>86</v>
      </c>
      <c r="W282" s="1857">
        <v>108</v>
      </c>
      <c r="X282" s="1857">
        <v>9296</v>
      </c>
      <c r="Y282" s="1857">
        <v>4062</v>
      </c>
      <c r="Z282" s="1857">
        <v>0</v>
      </c>
      <c r="AA282" s="1858">
        <v>16890</v>
      </c>
      <c r="AB282" s="1757">
        <v>190</v>
      </c>
      <c r="AC282" s="1857">
        <v>98</v>
      </c>
      <c r="AD282" s="1857">
        <v>18573</v>
      </c>
      <c r="AE282" s="1857">
        <v>3333</v>
      </c>
      <c r="AF282" s="1857">
        <v>500</v>
      </c>
      <c r="AG282" s="1858">
        <v>1650</v>
      </c>
      <c r="AH282" s="1699"/>
      <c r="AI282" s="1695"/>
      <c r="AJ282" s="1695"/>
      <c r="AK282" s="1695"/>
      <c r="AL282" s="1695"/>
      <c r="AM282" s="1695"/>
      <c r="AN282" s="1695"/>
      <c r="AO282" s="1699"/>
      <c r="AP282" s="1729"/>
      <c r="BU282" s="1299"/>
      <c r="BV282" s="1299"/>
      <c r="BW282" s="1299"/>
      <c r="BX282" s="1299"/>
      <c r="BY282" s="1299"/>
      <c r="BZ282" s="1299"/>
    </row>
    <row r="283" spans="1:78">
      <c r="A283" s="2424"/>
      <c r="B283" s="1739" t="s">
        <v>1883</v>
      </c>
      <c r="C283" s="1733" t="s">
        <v>1796</v>
      </c>
      <c r="D283" s="1787" t="s">
        <v>1812</v>
      </c>
      <c r="E283" s="1748">
        <f>AVERAGE(V283,AB283)/3000</f>
        <v>5.5833333333333332E-2</v>
      </c>
      <c r="F283" s="1841"/>
      <c r="G283" s="2420"/>
      <c r="H283" s="1867">
        <f t="shared" si="35"/>
        <v>3.9828547790091888</v>
      </c>
      <c r="I283" s="1736">
        <f>(SUM(Y283,AE283,AA283,AG283)/2)/3000</f>
        <v>8.6463583333333336</v>
      </c>
      <c r="J283" s="1774">
        <f t="shared" si="36"/>
        <v>900</v>
      </c>
      <c r="K283" s="2428"/>
      <c r="L283" s="1795">
        <f t="shared" si="37"/>
        <v>16.102246718236717</v>
      </c>
      <c r="M283" s="1757" t="s">
        <v>1878</v>
      </c>
      <c r="N283" s="2454"/>
      <c r="O283" s="1861">
        <f>AR295</f>
        <v>5.6209150326797387E-2</v>
      </c>
      <c r="P283" s="2457"/>
      <c r="Q283" s="1887">
        <f>O283*$P$281</f>
        <v>3.5111017044977006</v>
      </c>
      <c r="R283" s="1880"/>
      <c r="S283" s="1737"/>
      <c r="T283" s="1751">
        <f t="shared" si="38"/>
        <v>3.5111017044977006</v>
      </c>
      <c r="U283" s="1733" t="s">
        <v>1548</v>
      </c>
      <c r="V283" s="1757">
        <v>120</v>
      </c>
      <c r="W283" s="1857">
        <v>108</v>
      </c>
      <c r="X283" s="1857">
        <v>12992</v>
      </c>
      <c r="Y283" s="1857">
        <v>4749</v>
      </c>
      <c r="Z283" s="1857">
        <v>1000</v>
      </c>
      <c r="AA283" s="1858">
        <v>39770</v>
      </c>
      <c r="AB283" s="1757">
        <v>215</v>
      </c>
      <c r="AC283" s="1857">
        <v>98</v>
      </c>
      <c r="AD283" s="1857">
        <v>20981</v>
      </c>
      <c r="AE283" s="1857">
        <v>5059.1499999999996</v>
      </c>
      <c r="AF283" s="1857">
        <v>800</v>
      </c>
      <c r="AG283" s="1858">
        <v>2300</v>
      </c>
      <c r="AH283" s="1699"/>
      <c r="AI283" s="1695"/>
      <c r="AJ283" s="1695"/>
      <c r="AK283" s="1695"/>
      <c r="AL283" s="1695"/>
      <c r="AM283" s="1695"/>
      <c r="AN283" s="1695"/>
      <c r="AO283" s="1699"/>
      <c r="AP283" s="1729"/>
      <c r="BU283" s="1299"/>
      <c r="BV283" s="1299"/>
      <c r="BW283" s="1299"/>
      <c r="BX283" s="1299"/>
      <c r="BY283" s="1299"/>
      <c r="BZ283" s="1299"/>
    </row>
    <row r="284" spans="1:78">
      <c r="A284" s="2424"/>
      <c r="B284" s="1792" t="s">
        <v>1884</v>
      </c>
      <c r="C284" s="1733" t="s">
        <v>1796</v>
      </c>
      <c r="D284" s="1787" t="s">
        <v>1812</v>
      </c>
      <c r="E284" s="1748">
        <f>AVERAGE(V284,AB284)/200</f>
        <v>0.6</v>
      </c>
      <c r="F284" s="1841"/>
      <c r="G284" s="2420"/>
      <c r="H284" s="1867">
        <f t="shared" si="35"/>
        <v>42.80082747591964</v>
      </c>
      <c r="I284" s="1736">
        <f>(SUM(Y284,AE284,AA284,AG284)/2)/200</f>
        <v>37.666799999999995</v>
      </c>
      <c r="J284" s="1774">
        <f t="shared" si="36"/>
        <v>1500</v>
      </c>
      <c r="K284" s="2428"/>
      <c r="L284" s="1795">
        <f t="shared" si="37"/>
        <v>102.59622503179753</v>
      </c>
      <c r="M284" s="1757" t="s">
        <v>1879</v>
      </c>
      <c r="N284" s="2455"/>
      <c r="O284" s="1791">
        <f>AR299</f>
        <v>4.5911047345767578E-2</v>
      </c>
      <c r="P284" s="2458"/>
      <c r="Q284" s="1887">
        <f>O284*$P$281</f>
        <v>2.86783122772359</v>
      </c>
      <c r="R284" s="1880"/>
      <c r="S284" s="1737"/>
      <c r="T284" s="1751">
        <f t="shared" si="38"/>
        <v>2.86783122772359</v>
      </c>
      <c r="U284" s="1787" t="s">
        <v>1549</v>
      </c>
      <c r="V284" s="1757">
        <v>90</v>
      </c>
      <c r="W284" s="1857">
        <v>108</v>
      </c>
      <c r="X284" s="1857">
        <v>9744</v>
      </c>
      <c r="Y284" s="1857">
        <v>3589</v>
      </c>
      <c r="Z284" s="1857">
        <v>3000</v>
      </c>
      <c r="AA284" s="1858">
        <v>7200</v>
      </c>
      <c r="AB284" s="1757">
        <v>150</v>
      </c>
      <c r="AC284" s="1857">
        <v>98</v>
      </c>
      <c r="AD284" s="1857">
        <v>14638</v>
      </c>
      <c r="AE284" s="1857">
        <v>2977.72</v>
      </c>
      <c r="AF284" s="1857">
        <v>0</v>
      </c>
      <c r="AG284" s="1858">
        <v>1300</v>
      </c>
      <c r="AH284" s="1699"/>
      <c r="AI284" s="1695"/>
      <c r="AJ284" s="1695"/>
      <c r="AK284" s="1695"/>
      <c r="AL284" s="1695"/>
      <c r="AM284" s="1695"/>
      <c r="AN284" s="1695"/>
      <c r="AO284" s="1699"/>
      <c r="AP284" s="1729"/>
    </row>
    <row r="285" spans="1:78">
      <c r="A285" s="2424"/>
      <c r="B285" s="1792" t="s">
        <v>1885</v>
      </c>
      <c r="C285" s="1733" t="s">
        <v>1796</v>
      </c>
      <c r="D285" s="1787" t="s">
        <v>1812</v>
      </c>
      <c r="E285" s="1748">
        <f>AVERAGE(V285,AB285)/1000</f>
        <v>0.1595</v>
      </c>
      <c r="F285" s="1841"/>
      <c r="G285" s="2420"/>
      <c r="H285" s="1867">
        <f t="shared" si="35"/>
        <v>11.377886637348638</v>
      </c>
      <c r="I285" s="1736">
        <f>(SUM(Y285,AE285,AA285,AG285)/2)/1000</f>
        <v>14.558354999999999</v>
      </c>
      <c r="J285" s="1774">
        <f t="shared" si="36"/>
        <v>1900</v>
      </c>
      <c r="K285" s="2428"/>
      <c r="L285" s="1795">
        <f t="shared" si="37"/>
        <v>33.068708087619513</v>
      </c>
      <c r="M285" s="1743" t="s">
        <v>1942</v>
      </c>
      <c r="N285" s="1782"/>
      <c r="O285" s="1870" t="s">
        <v>1945</v>
      </c>
      <c r="P285" s="1738">
        <v>67.88</v>
      </c>
      <c r="Q285" s="1871" t="s">
        <v>2023</v>
      </c>
      <c r="R285" s="1880"/>
      <c r="S285" s="1737"/>
      <c r="T285" s="1872" t="str">
        <f t="shared" si="38"/>
        <v>$4.75 - $21.04</v>
      </c>
      <c r="U285" s="1787" t="s">
        <v>1550</v>
      </c>
      <c r="V285" s="1757">
        <v>118</v>
      </c>
      <c r="W285" s="1857">
        <v>109</v>
      </c>
      <c r="X285" s="1857">
        <v>12880</v>
      </c>
      <c r="Y285" s="1857">
        <v>4062</v>
      </c>
      <c r="Z285" s="1857">
        <v>3000</v>
      </c>
      <c r="AA285" s="1858">
        <v>18852</v>
      </c>
      <c r="AB285" s="1757">
        <v>201</v>
      </c>
      <c r="AC285" s="1857">
        <v>96</v>
      </c>
      <c r="AD285" s="1857">
        <v>19349</v>
      </c>
      <c r="AE285" s="1857">
        <v>4302.71</v>
      </c>
      <c r="AF285" s="1857">
        <v>800</v>
      </c>
      <c r="AG285" s="1858">
        <v>1900</v>
      </c>
      <c r="AH285" s="1699"/>
      <c r="AI285" s="1695"/>
      <c r="AJ285" s="1695"/>
      <c r="AK285" s="1695"/>
      <c r="AL285" s="1695"/>
      <c r="AM285" s="1695"/>
      <c r="AN285" s="1695"/>
      <c r="AO285" s="1699"/>
      <c r="AP285" s="1729"/>
    </row>
    <row r="286" spans="1:78">
      <c r="A286" s="2424"/>
      <c r="B286" s="1792" t="s">
        <v>1886</v>
      </c>
      <c r="C286" s="1733" t="s">
        <v>1796</v>
      </c>
      <c r="D286" s="1787" t="s">
        <v>1812</v>
      </c>
      <c r="E286" s="1748">
        <f>AVERAGE(V286,AB286)/3000</f>
        <v>6.1666666666666668E-2</v>
      </c>
      <c r="F286" s="1841"/>
      <c r="G286" s="2420"/>
      <c r="H286" s="1867">
        <f t="shared" si="35"/>
        <v>4.3989739350250741</v>
      </c>
      <c r="I286" s="1736">
        <f>(SUM(Y286,AE286,AA286,AG286)/2)/3000</f>
        <v>8.9469333333333338</v>
      </c>
      <c r="J286" s="1774">
        <f t="shared" si="36"/>
        <v>2500</v>
      </c>
      <c r="K286" s="2428"/>
      <c r="L286" s="1795">
        <f t="shared" si="37"/>
        <v>17.016031767156967</v>
      </c>
      <c r="M286" s="1759" t="s">
        <v>2013</v>
      </c>
      <c r="N286" s="1695"/>
      <c r="O286" s="1695"/>
      <c r="P286" s="1745"/>
      <c r="Q286" s="1745"/>
      <c r="R286" s="1745"/>
      <c r="S286" s="1745"/>
      <c r="T286" s="1805"/>
      <c r="U286" s="1787" t="s">
        <v>1551</v>
      </c>
      <c r="V286" s="1757">
        <v>138</v>
      </c>
      <c r="W286" s="1857">
        <v>110</v>
      </c>
      <c r="X286" s="1857">
        <v>15120</v>
      </c>
      <c r="Y286" s="1857">
        <v>4749</v>
      </c>
      <c r="Z286" s="1857">
        <v>4000</v>
      </c>
      <c r="AA286" s="1858">
        <v>41298</v>
      </c>
      <c r="AB286" s="1757">
        <v>232</v>
      </c>
      <c r="AC286" s="1857">
        <v>98</v>
      </c>
      <c r="AD286" s="1857">
        <v>22628</v>
      </c>
      <c r="AE286" s="1857">
        <v>5134.6000000000004</v>
      </c>
      <c r="AF286" s="1857">
        <v>1000</v>
      </c>
      <c r="AG286" s="1858">
        <v>2500</v>
      </c>
      <c r="AH286" s="1699"/>
      <c r="AI286" s="1695"/>
      <c r="AJ286" s="1695"/>
      <c r="AK286" s="1695"/>
      <c r="AL286" s="1695"/>
      <c r="AM286" s="1695"/>
      <c r="AN286" s="1695"/>
      <c r="AO286" s="1699"/>
      <c r="AP286" s="1729"/>
    </row>
    <row r="287" spans="1:78">
      <c r="A287" s="2424"/>
      <c r="B287" s="1792" t="s">
        <v>1887</v>
      </c>
      <c r="C287" s="1733" t="s">
        <v>1796</v>
      </c>
      <c r="D287" s="1787" t="s">
        <v>1812</v>
      </c>
      <c r="E287" s="1748">
        <f>AVERAGE(V287,AB287)/200</f>
        <v>0.57250000000000001</v>
      </c>
      <c r="F287" s="1841"/>
      <c r="G287" s="2420"/>
      <c r="H287" s="1867">
        <f t="shared" si="35"/>
        <v>40.839122883273326</v>
      </c>
      <c r="I287" s="1736">
        <f>(SUM(Y287,AE287,AA287,AG287)/2)/200</f>
        <v>38.824600000000004</v>
      </c>
      <c r="J287" s="1774">
        <f t="shared" si="36"/>
        <v>1550</v>
      </c>
      <c r="K287" s="2428"/>
      <c r="L287" s="1795">
        <f t="shared" si="37"/>
        <v>101.57124667617347</v>
      </c>
      <c r="M287" s="1699"/>
      <c r="N287" s="1695"/>
      <c r="O287" s="1695"/>
      <c r="P287" s="1745"/>
      <c r="Q287" s="1745"/>
      <c r="R287" s="1745"/>
      <c r="S287" s="1745"/>
      <c r="T287" s="1805"/>
      <c r="U287" s="1787" t="s">
        <v>1552</v>
      </c>
      <c r="V287" s="1757">
        <v>86</v>
      </c>
      <c r="W287" s="1857">
        <v>108</v>
      </c>
      <c r="X287" s="1857">
        <v>9296</v>
      </c>
      <c r="Y287" s="1857">
        <v>4189</v>
      </c>
      <c r="Z287" s="1857">
        <v>2500</v>
      </c>
      <c r="AA287" s="1858">
        <v>7096</v>
      </c>
      <c r="AB287" s="1757">
        <v>143</v>
      </c>
      <c r="AC287" s="1857">
        <v>97</v>
      </c>
      <c r="AD287" s="1857">
        <v>13930</v>
      </c>
      <c r="AE287" s="1857">
        <v>2944.84</v>
      </c>
      <c r="AF287" s="1857">
        <v>600</v>
      </c>
      <c r="AG287" s="1858">
        <v>1300</v>
      </c>
      <c r="AH287" s="1699"/>
      <c r="AI287" s="1695"/>
      <c r="AJ287" s="1695"/>
      <c r="AK287" s="1695"/>
      <c r="AL287" s="1695"/>
      <c r="AM287" s="1695"/>
      <c r="AN287" s="1695"/>
      <c r="AO287" s="1699"/>
      <c r="AP287" s="1729"/>
      <c r="AQ287" s="1687" t="s">
        <v>1874</v>
      </c>
      <c r="AR287" s="1687" t="s">
        <v>1875</v>
      </c>
      <c r="AS287" s="1687" t="s">
        <v>1837</v>
      </c>
      <c r="AT287" s="1687">
        <f>AVERAGE(AR288:AR299)</f>
        <v>9.8912266805500124E-2</v>
      </c>
    </row>
    <row r="288" spans="1:78">
      <c r="A288" s="2424"/>
      <c r="B288" s="1792" t="s">
        <v>1888</v>
      </c>
      <c r="C288" s="1733" t="s">
        <v>1796</v>
      </c>
      <c r="D288" s="1787" t="s">
        <v>1812</v>
      </c>
      <c r="E288" s="1748">
        <f>AVERAGE(V288,AB288)/1000</f>
        <v>0.1515</v>
      </c>
      <c r="F288" s="1841"/>
      <c r="G288" s="2420"/>
      <c r="H288" s="1867">
        <f t="shared" si="35"/>
        <v>10.807208937669708</v>
      </c>
      <c r="I288" s="1736">
        <f>(SUM(Y288,AE288,AA288,AG288)/2)/1000</f>
        <v>14.895455</v>
      </c>
      <c r="J288" s="1774">
        <f t="shared" si="36"/>
        <v>1900</v>
      </c>
      <c r="K288" s="2428"/>
      <c r="L288" s="1795">
        <f t="shared" si="37"/>
        <v>32.770896520528879</v>
      </c>
      <c r="M288" s="1699"/>
      <c r="N288" s="1695"/>
      <c r="O288" s="1695"/>
      <c r="P288" s="1745"/>
      <c r="Q288" s="1745"/>
      <c r="R288" s="1745"/>
      <c r="S288" s="1745"/>
      <c r="T288" s="1805"/>
      <c r="U288" s="1787" t="s">
        <v>1553</v>
      </c>
      <c r="V288" s="1757">
        <v>112</v>
      </c>
      <c r="W288" s="1857">
        <v>109</v>
      </c>
      <c r="X288" s="1857">
        <v>12208</v>
      </c>
      <c r="Y288" s="1857">
        <v>4762</v>
      </c>
      <c r="Z288" s="1857">
        <v>3000</v>
      </c>
      <c r="AA288" s="1858">
        <v>18860</v>
      </c>
      <c r="AB288" s="1757">
        <v>191</v>
      </c>
      <c r="AC288" s="1857">
        <v>98</v>
      </c>
      <c r="AD288" s="1857">
        <v>18798</v>
      </c>
      <c r="AE288" s="1857">
        <v>4268.91</v>
      </c>
      <c r="AF288" s="1857">
        <v>800</v>
      </c>
      <c r="AG288" s="1858">
        <v>1900</v>
      </c>
      <c r="AH288" s="1699"/>
      <c r="AI288" s="1695"/>
      <c r="AJ288" s="1695"/>
      <c r="AK288" s="1695"/>
      <c r="AL288" s="1695"/>
      <c r="AM288" s="1695"/>
      <c r="AN288" s="1695"/>
      <c r="AO288" s="1699"/>
      <c r="AP288" s="1729"/>
      <c r="AQ288" s="1687">
        <v>81</v>
      </c>
      <c r="AR288" s="1687">
        <f t="shared" ref="AR288:AR299" si="39">AO290/AQ288</f>
        <v>0.28218518518518515</v>
      </c>
      <c r="AS288" s="1687" t="s">
        <v>1838</v>
      </c>
      <c r="AT288" s="1687">
        <f>STDEV(AR288:AR299)</f>
        <v>7.3147349631927455E-2</v>
      </c>
    </row>
    <row r="289" spans="1:44">
      <c r="A289" s="2424"/>
      <c r="B289" s="1792" t="s">
        <v>1889</v>
      </c>
      <c r="C289" s="1733" t="s">
        <v>1796</v>
      </c>
      <c r="D289" s="1787" t="s">
        <v>1812</v>
      </c>
      <c r="E289" s="1748">
        <f>AVERAGE(V289,AB289)/3000</f>
        <v>5.5833333333333332E-2</v>
      </c>
      <c r="F289" s="1841"/>
      <c r="G289" s="2421"/>
      <c r="H289" s="1867">
        <f t="shared" si="35"/>
        <v>3.9828547790091888</v>
      </c>
      <c r="I289" s="1736">
        <f>(SUM(Y289,AE289,AA289,AG289)/2)/3000</f>
        <v>8.9814050000000005</v>
      </c>
      <c r="J289" s="1774">
        <f t="shared" si="36"/>
        <v>2750</v>
      </c>
      <c r="K289" s="2429"/>
      <c r="L289" s="1795">
        <f t="shared" si="37"/>
        <v>16.529431218236716</v>
      </c>
      <c r="M289" s="1699"/>
      <c r="N289" s="1695"/>
      <c r="O289" s="1695"/>
      <c r="P289" s="1745"/>
      <c r="Q289" s="1745"/>
      <c r="R289" s="1745"/>
      <c r="S289" s="1745"/>
      <c r="T289" s="1805"/>
      <c r="U289" s="1787" t="s">
        <v>1554</v>
      </c>
      <c r="V289" s="1757">
        <v>124</v>
      </c>
      <c r="W289" s="1857">
        <v>109</v>
      </c>
      <c r="X289" s="1857">
        <v>13552</v>
      </c>
      <c r="Y289" s="1857">
        <v>5449</v>
      </c>
      <c r="Z289" s="1857">
        <v>3500</v>
      </c>
      <c r="AA289" s="1858">
        <v>40890</v>
      </c>
      <c r="AB289" s="1757">
        <v>211</v>
      </c>
      <c r="AC289" s="1857">
        <v>98</v>
      </c>
      <c r="AD289" s="1857">
        <v>20765</v>
      </c>
      <c r="AE289" s="1857">
        <v>5049.43</v>
      </c>
      <c r="AF289" s="1857">
        <v>2000</v>
      </c>
      <c r="AG289" s="1858">
        <v>2500</v>
      </c>
      <c r="AH289" s="1699"/>
      <c r="AI289" s="1695"/>
      <c r="AJ289" s="1695"/>
      <c r="AK289" s="1695"/>
      <c r="AL289" s="1695"/>
      <c r="AM289" s="1695"/>
      <c r="AN289" s="1695"/>
      <c r="AO289" s="1699"/>
      <c r="AP289" s="1729"/>
      <c r="AQ289" s="1687">
        <v>203</v>
      </c>
      <c r="AR289" s="1687">
        <f t="shared" si="39"/>
        <v>0.17515270935960589</v>
      </c>
    </row>
    <row r="290" spans="1:44">
      <c r="A290" s="2424"/>
      <c r="B290" s="1699"/>
      <c r="C290" s="1696"/>
      <c r="D290" s="1696"/>
      <c r="E290" s="1741"/>
      <c r="F290" s="1850"/>
      <c r="G290" s="1851"/>
      <c r="H290" s="1843"/>
      <c r="I290" s="1851"/>
      <c r="J290" s="1843"/>
      <c r="K290" s="1741"/>
      <c r="L290" s="1799"/>
      <c r="M290" s="1699"/>
      <c r="N290" s="1695"/>
      <c r="O290" s="1695"/>
      <c r="P290" s="1745"/>
      <c r="Q290" s="1745"/>
      <c r="R290" s="1745"/>
      <c r="S290" s="1745"/>
      <c r="T290" s="1805"/>
      <c r="U290" s="1787" t="s">
        <v>1592</v>
      </c>
      <c r="V290" s="1699"/>
      <c r="W290" s="1695"/>
      <c r="X290" s="1695"/>
      <c r="Y290" s="1695"/>
      <c r="Z290" s="1695"/>
      <c r="AA290" s="1695"/>
      <c r="AB290" s="1699"/>
      <c r="AC290" s="1695"/>
      <c r="AD290" s="1695"/>
      <c r="AE290" s="1695"/>
      <c r="AF290" s="1695"/>
      <c r="AG290" s="1695"/>
      <c r="AH290" s="1699"/>
      <c r="AI290" s="1695"/>
      <c r="AJ290" s="1695"/>
      <c r="AK290" s="1695"/>
      <c r="AL290" s="1695"/>
      <c r="AM290" s="1695"/>
      <c r="AN290" s="1695"/>
      <c r="AO290" s="1743">
        <v>22.856999999999999</v>
      </c>
      <c r="AP290" s="1758">
        <v>53.94</v>
      </c>
      <c r="AQ290" s="1687">
        <v>360</v>
      </c>
      <c r="AR290" s="1687">
        <f t="shared" si="39"/>
        <v>0.14222222222222222</v>
      </c>
    </row>
    <row r="291" spans="1:44">
      <c r="A291" s="2424"/>
      <c r="B291" s="1699"/>
      <c r="C291" s="1696"/>
      <c r="D291" s="1696"/>
      <c r="E291" s="1695"/>
      <c r="F291" s="1695"/>
      <c r="G291" s="1745"/>
      <c r="H291" s="1745"/>
      <c r="I291" s="1745"/>
      <c r="J291" s="1745"/>
      <c r="K291" s="1695"/>
      <c r="L291" s="1805"/>
      <c r="M291" s="1699"/>
      <c r="N291" s="1695"/>
      <c r="O291" s="1695"/>
      <c r="P291" s="1745"/>
      <c r="Q291" s="1745"/>
      <c r="R291" s="1745"/>
      <c r="S291" s="1745"/>
      <c r="T291" s="1805"/>
      <c r="U291" s="1787" t="s">
        <v>1593</v>
      </c>
      <c r="V291" s="1699"/>
      <c r="W291" s="1695"/>
      <c r="X291" s="1695"/>
      <c r="Y291" s="1695"/>
      <c r="Z291" s="1695"/>
      <c r="AA291" s="1695"/>
      <c r="AB291" s="1699"/>
      <c r="AC291" s="1695"/>
      <c r="AD291" s="1695"/>
      <c r="AE291" s="1695"/>
      <c r="AF291" s="1695"/>
      <c r="AG291" s="1695"/>
      <c r="AH291" s="1699"/>
      <c r="AI291" s="1695"/>
      <c r="AJ291" s="1695"/>
      <c r="AK291" s="1695"/>
      <c r="AL291" s="1695"/>
      <c r="AM291" s="1695"/>
      <c r="AN291" s="1695"/>
      <c r="AO291" s="1743">
        <v>35.555999999999997</v>
      </c>
      <c r="AP291" s="1758">
        <v>53.94</v>
      </c>
      <c r="AQ291" s="1687">
        <v>544</v>
      </c>
      <c r="AR291" s="1687">
        <f t="shared" si="39"/>
        <v>0.1315955882352941</v>
      </c>
    </row>
    <row r="292" spans="1:44">
      <c r="A292" s="2424"/>
      <c r="B292" s="1699"/>
      <c r="C292" s="1696"/>
      <c r="D292" s="1696"/>
      <c r="E292" s="1695"/>
      <c r="F292" s="1695"/>
      <c r="G292" s="1745"/>
      <c r="H292" s="1745"/>
      <c r="I292" s="1745"/>
      <c r="J292" s="1745"/>
      <c r="K292" s="1695"/>
      <c r="L292" s="1805"/>
      <c r="M292" s="1699"/>
      <c r="N292" s="1695"/>
      <c r="O292" s="1695"/>
      <c r="P292" s="1745"/>
      <c r="Q292" s="1745"/>
      <c r="R292" s="1745"/>
      <c r="S292" s="1745"/>
      <c r="T292" s="1805"/>
      <c r="U292" s="1787" t="s">
        <v>1594</v>
      </c>
      <c r="V292" s="1699"/>
      <c r="W292" s="1695"/>
      <c r="X292" s="1695"/>
      <c r="Y292" s="1695"/>
      <c r="Z292" s="1695"/>
      <c r="AA292" s="1695"/>
      <c r="AB292" s="1699"/>
      <c r="AC292" s="1695"/>
      <c r="AD292" s="1695"/>
      <c r="AE292" s="1695"/>
      <c r="AF292" s="1695"/>
      <c r="AG292" s="1695"/>
      <c r="AH292" s="1699"/>
      <c r="AI292" s="1695"/>
      <c r="AJ292" s="1695"/>
      <c r="AK292" s="1695"/>
      <c r="AL292" s="1695"/>
      <c r="AM292" s="1695"/>
      <c r="AN292" s="1695"/>
      <c r="AO292" s="1743">
        <v>51.2</v>
      </c>
      <c r="AP292" s="1758">
        <v>53.94</v>
      </c>
      <c r="AQ292" s="1687">
        <v>892</v>
      </c>
      <c r="AR292" s="1687">
        <f t="shared" si="39"/>
        <v>9.4406950672645734E-2</v>
      </c>
    </row>
    <row r="293" spans="1:44">
      <c r="A293" s="2424"/>
      <c r="B293" s="1699"/>
      <c r="C293" s="1696"/>
      <c r="D293" s="1696"/>
      <c r="E293" s="1695"/>
      <c r="F293" s="1695"/>
      <c r="G293" s="1745"/>
      <c r="H293" s="1745"/>
      <c r="I293" s="1745"/>
      <c r="J293" s="1745"/>
      <c r="K293" s="1695"/>
      <c r="L293" s="1805"/>
      <c r="M293" s="1699"/>
      <c r="N293" s="1695"/>
      <c r="O293" s="1695"/>
      <c r="P293" s="1745"/>
      <c r="Q293" s="1745"/>
      <c r="R293" s="1745"/>
      <c r="S293" s="1745"/>
      <c r="T293" s="1805"/>
      <c r="U293" s="1787" t="s">
        <v>1595</v>
      </c>
      <c r="V293" s="1699"/>
      <c r="W293" s="1695"/>
      <c r="X293" s="1695"/>
      <c r="Y293" s="1695"/>
      <c r="Z293" s="1695"/>
      <c r="AA293" s="1695"/>
      <c r="AB293" s="1699"/>
      <c r="AC293" s="1695"/>
      <c r="AD293" s="1695"/>
      <c r="AE293" s="1695"/>
      <c r="AF293" s="1695"/>
      <c r="AG293" s="1695"/>
      <c r="AH293" s="1699"/>
      <c r="AI293" s="1695"/>
      <c r="AJ293" s="1695"/>
      <c r="AK293" s="1695"/>
      <c r="AL293" s="1695"/>
      <c r="AM293" s="1695"/>
      <c r="AN293" s="1695"/>
      <c r="AO293" s="1743">
        <v>71.587999999999994</v>
      </c>
      <c r="AP293" s="1758">
        <v>53.94</v>
      </c>
      <c r="AQ293" s="1687">
        <v>1275</v>
      </c>
      <c r="AR293" s="1687">
        <f t="shared" si="39"/>
        <v>7.3818039215686276E-2</v>
      </c>
    </row>
    <row r="294" spans="1:44">
      <c r="A294" s="2424"/>
      <c r="B294" s="1699"/>
      <c r="C294" s="1696"/>
      <c r="D294" s="1696"/>
      <c r="E294" s="1695"/>
      <c r="F294" s="1695"/>
      <c r="G294" s="1745"/>
      <c r="H294" s="1745"/>
      <c r="I294" s="1745"/>
      <c r="J294" s="1745"/>
      <c r="K294" s="1695"/>
      <c r="L294" s="1805"/>
      <c r="M294" s="1699"/>
      <c r="N294" s="1695"/>
      <c r="O294" s="1695"/>
      <c r="P294" s="1745"/>
      <c r="Q294" s="1745"/>
      <c r="R294" s="1745"/>
      <c r="S294" s="1745"/>
      <c r="T294" s="1805"/>
      <c r="U294" s="1787" t="s">
        <v>1596</v>
      </c>
      <c r="V294" s="1699"/>
      <c r="W294" s="1695"/>
      <c r="X294" s="1695"/>
      <c r="Y294" s="1695"/>
      <c r="Z294" s="1695"/>
      <c r="AA294" s="1695"/>
      <c r="AB294" s="1699"/>
      <c r="AC294" s="1695"/>
      <c r="AD294" s="1695"/>
      <c r="AE294" s="1695"/>
      <c r="AF294" s="1695"/>
      <c r="AG294" s="1695"/>
      <c r="AH294" s="1699"/>
      <c r="AI294" s="1695"/>
      <c r="AJ294" s="1695"/>
      <c r="AK294" s="1695"/>
      <c r="AL294" s="1695"/>
      <c r="AM294" s="1695"/>
      <c r="AN294" s="1695"/>
      <c r="AO294" s="1743">
        <v>84.210999999999999</v>
      </c>
      <c r="AP294" s="1758">
        <v>53.94</v>
      </c>
      <c r="AQ294" s="1687">
        <v>2170</v>
      </c>
      <c r="AR294" s="1687">
        <f t="shared" si="39"/>
        <v>5.6221198156682028E-2</v>
      </c>
    </row>
    <row r="295" spans="1:44">
      <c r="A295" s="2424"/>
      <c r="B295" s="1699"/>
      <c r="C295" s="1696"/>
      <c r="D295" s="1696"/>
      <c r="E295" s="1695"/>
      <c r="F295" s="1695"/>
      <c r="G295" s="1745"/>
      <c r="H295" s="1745"/>
      <c r="I295" s="1745"/>
      <c r="J295" s="1745"/>
      <c r="K295" s="1695"/>
      <c r="L295" s="1805"/>
      <c r="M295" s="1699"/>
      <c r="N295" s="1695"/>
      <c r="O295" s="1695"/>
      <c r="P295" s="1745"/>
      <c r="Q295" s="1745"/>
      <c r="R295" s="1745"/>
      <c r="S295" s="1745"/>
      <c r="T295" s="1805"/>
      <c r="U295" s="1787" t="s">
        <v>1597</v>
      </c>
      <c r="V295" s="1699"/>
      <c r="W295" s="1695"/>
      <c r="X295" s="1695"/>
      <c r="Y295" s="1695"/>
      <c r="Z295" s="1695"/>
      <c r="AA295" s="1695"/>
      <c r="AB295" s="1699"/>
      <c r="AC295" s="1695"/>
      <c r="AD295" s="1695"/>
      <c r="AE295" s="1695"/>
      <c r="AF295" s="1695"/>
      <c r="AG295" s="1695"/>
      <c r="AH295" s="1699"/>
      <c r="AI295" s="1695"/>
      <c r="AJ295" s="1695"/>
      <c r="AK295" s="1695"/>
      <c r="AL295" s="1695"/>
      <c r="AM295" s="1695"/>
      <c r="AN295" s="1695"/>
      <c r="AO295" s="1743">
        <v>94.117999999999995</v>
      </c>
      <c r="AP295" s="1758">
        <v>53.94</v>
      </c>
      <c r="AQ295" s="1687">
        <v>3060</v>
      </c>
      <c r="AR295" s="1687">
        <f t="shared" si="39"/>
        <v>5.6209150326797387E-2</v>
      </c>
    </row>
    <row r="296" spans="1:44">
      <c r="A296" s="2424"/>
      <c r="B296" s="1699"/>
      <c r="C296" s="1696"/>
      <c r="D296" s="1696"/>
      <c r="E296" s="1695"/>
      <c r="F296" s="1695"/>
      <c r="G296" s="1745"/>
      <c r="H296" s="1745"/>
      <c r="I296" s="1745"/>
      <c r="J296" s="1745"/>
      <c r="K296" s="1695"/>
      <c r="L296" s="1805"/>
      <c r="M296" s="1699"/>
      <c r="N296" s="1695"/>
      <c r="O296" s="1695"/>
      <c r="P296" s="1745"/>
      <c r="Q296" s="1745"/>
      <c r="R296" s="1745"/>
      <c r="S296" s="1745"/>
      <c r="T296" s="1805"/>
      <c r="U296" s="1787" t="s">
        <v>1598</v>
      </c>
      <c r="V296" s="1699"/>
      <c r="W296" s="1695"/>
      <c r="X296" s="1695"/>
      <c r="Y296" s="1695"/>
      <c r="Z296" s="1695"/>
      <c r="AA296" s="1695"/>
      <c r="AB296" s="1699"/>
      <c r="AC296" s="1695"/>
      <c r="AD296" s="1695"/>
      <c r="AE296" s="1695"/>
      <c r="AF296" s="1695"/>
      <c r="AG296" s="1695"/>
      <c r="AH296" s="1699"/>
      <c r="AI296" s="1695"/>
      <c r="AJ296" s="1695"/>
      <c r="AK296" s="1695"/>
      <c r="AL296" s="1695"/>
      <c r="AM296" s="1695"/>
      <c r="AN296" s="1695"/>
      <c r="AO296" s="1743">
        <v>122</v>
      </c>
      <c r="AP296" s="1758">
        <v>53.94</v>
      </c>
      <c r="AQ296" s="1687">
        <v>4207</v>
      </c>
      <c r="AR296" s="1687">
        <f t="shared" si="39"/>
        <v>4.8728309959591161E-2</v>
      </c>
    </row>
    <row r="297" spans="1:44">
      <c r="A297" s="2424"/>
      <c r="B297" s="1699"/>
      <c r="C297" s="1696"/>
      <c r="D297" s="1696"/>
      <c r="E297" s="1695"/>
      <c r="F297" s="1695"/>
      <c r="G297" s="1745"/>
      <c r="H297" s="1745"/>
      <c r="I297" s="1745"/>
      <c r="J297" s="1745"/>
      <c r="K297" s="1695"/>
      <c r="L297" s="1805"/>
      <c r="M297" s="1699"/>
      <c r="N297" s="1695"/>
      <c r="O297" s="1695"/>
      <c r="P297" s="1745"/>
      <c r="Q297" s="1745"/>
      <c r="R297" s="1745"/>
      <c r="S297" s="1745"/>
      <c r="T297" s="1805"/>
      <c r="U297" s="1787" t="s">
        <v>1599</v>
      </c>
      <c r="V297" s="1699"/>
      <c r="W297" s="1695"/>
      <c r="X297" s="1695"/>
      <c r="Y297" s="1695"/>
      <c r="Z297" s="1695"/>
      <c r="AA297" s="1695"/>
      <c r="AB297" s="1699"/>
      <c r="AC297" s="1695"/>
      <c r="AD297" s="1695"/>
      <c r="AE297" s="1695"/>
      <c r="AF297" s="1695"/>
      <c r="AG297" s="1695"/>
      <c r="AH297" s="1699"/>
      <c r="AI297" s="1695"/>
      <c r="AJ297" s="1695"/>
      <c r="AK297" s="1695"/>
      <c r="AL297" s="1695"/>
      <c r="AM297" s="1695"/>
      <c r="AN297" s="1695"/>
      <c r="AO297" s="1743">
        <v>172</v>
      </c>
      <c r="AP297" s="1758">
        <v>53.94</v>
      </c>
      <c r="AQ297" s="1687">
        <v>5660</v>
      </c>
      <c r="AR297" s="1687">
        <f t="shared" si="39"/>
        <v>3.8869257950530034E-2</v>
      </c>
    </row>
    <row r="298" spans="1:44">
      <c r="A298" s="2424"/>
      <c r="B298" s="1699"/>
      <c r="C298" s="1696"/>
      <c r="D298" s="1696"/>
      <c r="E298" s="1695"/>
      <c r="F298" s="1695"/>
      <c r="G298" s="1745"/>
      <c r="H298" s="1745"/>
      <c r="I298" s="1745"/>
      <c r="J298" s="1745"/>
      <c r="K298" s="1695"/>
      <c r="L298" s="1805"/>
      <c r="M298" s="1699"/>
      <c r="N298" s="1695"/>
      <c r="O298" s="1695"/>
      <c r="P298" s="1745"/>
      <c r="Q298" s="1745"/>
      <c r="R298" s="1745"/>
      <c r="S298" s="1745"/>
      <c r="T298" s="1805"/>
      <c r="U298" s="1787" t="s">
        <v>1600</v>
      </c>
      <c r="V298" s="1699"/>
      <c r="W298" s="1695"/>
      <c r="X298" s="1695"/>
      <c r="Y298" s="1695"/>
      <c r="Z298" s="1695"/>
      <c r="AA298" s="1695"/>
      <c r="AB298" s="1699"/>
      <c r="AC298" s="1695"/>
      <c r="AD298" s="1695"/>
      <c r="AE298" s="1695"/>
      <c r="AF298" s="1695"/>
      <c r="AG298" s="1695"/>
      <c r="AH298" s="1699"/>
      <c r="AI298" s="1695"/>
      <c r="AJ298" s="1695"/>
      <c r="AK298" s="1695"/>
      <c r="AL298" s="1695"/>
      <c r="AM298" s="1695"/>
      <c r="AN298" s="1695"/>
      <c r="AO298" s="1743">
        <v>205</v>
      </c>
      <c r="AP298" s="1758">
        <v>53.94</v>
      </c>
      <c r="AQ298" s="1687">
        <v>6390</v>
      </c>
      <c r="AR298" s="1687">
        <f t="shared" si="39"/>
        <v>4.1627543035993739E-2</v>
      </c>
    </row>
    <row r="299" spans="1:44">
      <c r="A299" s="2424"/>
      <c r="B299" s="1699"/>
      <c r="C299" s="1696"/>
      <c r="D299" s="1696"/>
      <c r="E299" s="1695"/>
      <c r="F299" s="1695"/>
      <c r="G299" s="1745"/>
      <c r="H299" s="1745"/>
      <c r="I299" s="1745"/>
      <c r="J299" s="1745"/>
      <c r="K299" s="1695"/>
      <c r="L299" s="1805"/>
      <c r="M299" s="1699"/>
      <c r="N299" s="1695"/>
      <c r="O299" s="1695"/>
      <c r="P299" s="1745"/>
      <c r="Q299" s="1745"/>
      <c r="R299" s="1745"/>
      <c r="S299" s="1745"/>
      <c r="T299" s="1805"/>
      <c r="U299" s="1787" t="s">
        <v>1601</v>
      </c>
      <c r="V299" s="1699"/>
      <c r="W299" s="1695"/>
      <c r="X299" s="1695"/>
      <c r="Y299" s="1695"/>
      <c r="Z299" s="1695"/>
      <c r="AA299" s="1695"/>
      <c r="AB299" s="1699"/>
      <c r="AC299" s="1695"/>
      <c r="AD299" s="1695"/>
      <c r="AE299" s="1695"/>
      <c r="AF299" s="1695"/>
      <c r="AG299" s="1695"/>
      <c r="AH299" s="1699"/>
      <c r="AI299" s="1695"/>
      <c r="AJ299" s="1695"/>
      <c r="AK299" s="1695"/>
      <c r="AL299" s="1695"/>
      <c r="AM299" s="1695"/>
      <c r="AN299" s="1695"/>
      <c r="AO299" s="1743">
        <v>220</v>
      </c>
      <c r="AP299" s="1758">
        <v>53.94</v>
      </c>
      <c r="AQ299" s="1687">
        <v>6970</v>
      </c>
      <c r="AR299" s="1687">
        <f t="shared" si="39"/>
        <v>4.5911047345767578E-2</v>
      </c>
    </row>
    <row r="300" spans="1:44" ht="9" customHeight="1">
      <c r="A300" s="2424"/>
      <c r="B300" s="1699"/>
      <c r="C300" s="1696"/>
      <c r="D300" s="1696"/>
      <c r="E300" s="1695"/>
      <c r="F300" s="1695"/>
      <c r="G300" s="1745"/>
      <c r="H300" s="1745"/>
      <c r="I300" s="1745"/>
      <c r="J300" s="1745"/>
      <c r="K300" s="1695"/>
      <c r="L300" s="1805"/>
      <c r="M300" s="1699"/>
      <c r="N300" s="1695"/>
      <c r="O300" s="1695"/>
      <c r="P300" s="1745"/>
      <c r="Q300" s="1745"/>
      <c r="R300" s="1745"/>
      <c r="S300" s="1745"/>
      <c r="T300" s="1805"/>
      <c r="U300" s="1787" t="s">
        <v>1602</v>
      </c>
      <c r="V300" s="1699"/>
      <c r="W300" s="1695"/>
      <c r="X300" s="1695"/>
      <c r="Y300" s="1695"/>
      <c r="Z300" s="1695"/>
      <c r="AA300" s="1695"/>
      <c r="AB300" s="1699"/>
      <c r="AC300" s="1695"/>
      <c r="AD300" s="1695"/>
      <c r="AE300" s="1695"/>
      <c r="AF300" s="1695"/>
      <c r="AG300" s="1695"/>
      <c r="AH300" s="1699"/>
      <c r="AI300" s="1695"/>
      <c r="AJ300" s="1695"/>
      <c r="AK300" s="1695"/>
      <c r="AL300" s="1695"/>
      <c r="AM300" s="1695"/>
      <c r="AN300" s="1695"/>
      <c r="AO300" s="1743">
        <v>266</v>
      </c>
      <c r="AP300" s="1758">
        <v>53.94</v>
      </c>
    </row>
    <row r="301" spans="1:44" ht="15.75" thickBot="1">
      <c r="A301" s="2436"/>
      <c r="B301" s="1699"/>
      <c r="C301" s="1696"/>
      <c r="D301" s="1696"/>
      <c r="E301" s="1695"/>
      <c r="F301" s="1695"/>
      <c r="G301" s="1745"/>
      <c r="H301" s="1745"/>
      <c r="I301" s="1745"/>
      <c r="J301" s="1745"/>
      <c r="K301" s="1695"/>
      <c r="L301" s="1805"/>
      <c r="M301" s="1699"/>
      <c r="N301" s="1695"/>
      <c r="O301" s="1695"/>
      <c r="P301" s="1745"/>
      <c r="Q301" s="1745"/>
      <c r="R301" s="1745"/>
      <c r="S301" s="1745"/>
      <c r="T301" s="1805"/>
      <c r="U301" s="1787" t="s">
        <v>1603</v>
      </c>
      <c r="V301" s="1699"/>
      <c r="W301" s="1695"/>
      <c r="X301" s="1695"/>
      <c r="Y301" s="1695"/>
      <c r="Z301" s="1695"/>
      <c r="AA301" s="1695"/>
      <c r="AB301" s="1699"/>
      <c r="AC301" s="1695"/>
      <c r="AD301" s="1695"/>
      <c r="AE301" s="1695"/>
      <c r="AF301" s="1695"/>
      <c r="AG301" s="1695"/>
      <c r="AH301" s="1699"/>
      <c r="AI301" s="1695"/>
      <c r="AJ301" s="1695"/>
      <c r="AK301" s="1695"/>
      <c r="AL301" s="1695"/>
      <c r="AM301" s="1695"/>
      <c r="AN301" s="1695"/>
      <c r="AO301" s="1743">
        <v>320</v>
      </c>
      <c r="AP301" s="1758">
        <v>53.94</v>
      </c>
    </row>
    <row r="302" spans="1:44" ht="19.5" thickBot="1">
      <c r="A302" s="1746"/>
      <c r="B302" s="1715"/>
      <c r="C302" s="1716"/>
      <c r="D302" s="1716"/>
      <c r="E302" s="1715"/>
      <c r="F302" s="1715"/>
      <c r="G302" s="1717"/>
      <c r="H302" s="1717"/>
      <c r="I302" s="1717"/>
      <c r="J302" s="1717"/>
      <c r="K302" s="1715"/>
      <c r="L302" s="1717"/>
      <c r="M302" s="1718"/>
      <c r="N302" s="1715"/>
      <c r="O302" s="1715"/>
      <c r="P302" s="1717"/>
      <c r="Q302" s="1717"/>
      <c r="R302" s="1717"/>
      <c r="S302" s="1717"/>
      <c r="T302" s="1717"/>
      <c r="U302" s="1718"/>
      <c r="V302" s="1718"/>
      <c r="W302" s="1715"/>
      <c r="X302" s="1715"/>
      <c r="Y302" s="1715"/>
      <c r="Z302" s="1715"/>
      <c r="AA302" s="1715"/>
      <c r="AB302" s="1718"/>
      <c r="AC302" s="1715"/>
      <c r="AD302" s="1715"/>
      <c r="AE302" s="1715"/>
      <c r="AF302" s="1715"/>
      <c r="AG302" s="1715"/>
      <c r="AH302" s="1718"/>
      <c r="AI302" s="1715"/>
      <c r="AJ302" s="1715"/>
      <c r="AK302" s="1715"/>
      <c r="AL302" s="1715"/>
      <c r="AM302" s="1715"/>
      <c r="AN302" s="1715"/>
      <c r="AO302" s="1718"/>
      <c r="AP302" s="1719"/>
    </row>
    <row r="303" spans="1:44">
      <c r="A303" s="2432" t="s">
        <v>828</v>
      </c>
      <c r="B303" s="1739" t="s">
        <v>1555</v>
      </c>
      <c r="C303" s="1733" t="s">
        <v>1804</v>
      </c>
      <c r="D303" s="1787" t="s">
        <v>1812</v>
      </c>
      <c r="E303" s="1748">
        <f>AVERAGE(V303,AB303)/100</f>
        <v>2.9950000000000001</v>
      </c>
      <c r="F303" s="1789"/>
      <c r="G303" s="2419">
        <f>AVERAGE(W303:W306,AC303:AC306)*BS7</f>
        <v>70.863634170036761</v>
      </c>
      <c r="H303" s="1867">
        <f>E303*$G$303</f>
        <v>212.23658433926011</v>
      </c>
      <c r="I303" s="1736">
        <f>(SUM(Y303,AE303,AA303,AG303)/2)/100</f>
        <v>273.18</v>
      </c>
      <c r="J303" s="1774">
        <f>AVERAGE(Z303,AF303)</f>
        <v>18450</v>
      </c>
      <c r="K303" s="2428">
        <v>0.27500000000000002</v>
      </c>
      <c r="L303" s="1795">
        <f>((E303*$G$303)+I303)*(1+$K$303)</f>
        <v>618.90614503255665</v>
      </c>
      <c r="M303" s="1801" t="s">
        <v>1942</v>
      </c>
      <c r="N303" s="1888"/>
      <c r="O303" s="1889">
        <v>1</v>
      </c>
      <c r="P303" s="1890">
        <v>67.88</v>
      </c>
      <c r="Q303" s="1891">
        <f>P303*O303</f>
        <v>67.88</v>
      </c>
      <c r="R303" s="1891"/>
      <c r="S303" s="1891"/>
      <c r="T303" s="1892">
        <f>Q303</f>
        <v>67.88</v>
      </c>
      <c r="U303" s="1733" t="s">
        <v>1555</v>
      </c>
      <c r="V303" s="1757">
        <v>324</v>
      </c>
      <c r="W303" s="1857">
        <v>108</v>
      </c>
      <c r="X303" s="1857">
        <v>34944</v>
      </c>
      <c r="Y303" s="1857">
        <v>8387</v>
      </c>
      <c r="Z303" s="1857">
        <v>25900</v>
      </c>
      <c r="AA303" s="1858">
        <v>24849</v>
      </c>
      <c r="AB303" s="1757">
        <v>275</v>
      </c>
      <c r="AC303" s="1857">
        <v>98</v>
      </c>
      <c r="AD303" s="1857">
        <v>26036</v>
      </c>
      <c r="AE303" s="1857">
        <v>17200</v>
      </c>
      <c r="AF303" s="1857">
        <v>11000</v>
      </c>
      <c r="AG303" s="1858">
        <v>4200</v>
      </c>
      <c r="AH303" s="1699"/>
      <c r="AI303" s="1695"/>
      <c r="AJ303" s="1695"/>
      <c r="AK303" s="1695"/>
      <c r="AL303" s="1695"/>
      <c r="AM303" s="1695"/>
      <c r="AN303" s="1695"/>
      <c r="AO303" s="1699"/>
      <c r="AP303" s="1729"/>
    </row>
    <row r="304" spans="1:44">
      <c r="A304" s="2433"/>
      <c r="B304" s="1739" t="s">
        <v>1556</v>
      </c>
      <c r="C304" s="1733" t="s">
        <v>1804</v>
      </c>
      <c r="D304" s="1787" t="s">
        <v>1812</v>
      </c>
      <c r="E304" s="1748">
        <f>AVERAGE(V304,AB304)/100</f>
        <v>3.665</v>
      </c>
      <c r="F304" s="1789"/>
      <c r="G304" s="2420"/>
      <c r="H304" s="1867">
        <f>E304*$G$303</f>
        <v>259.71521923318471</v>
      </c>
      <c r="I304" s="1736">
        <f t="shared" ref="I304" si="40">(SUM(Y304,AE304,AA304,AG304)/2)/100</f>
        <v>339.66</v>
      </c>
      <c r="J304" s="1774">
        <f>AVERAGE(Z304,AF304)</f>
        <v>18700</v>
      </c>
      <c r="K304" s="2428"/>
      <c r="L304" s="1842">
        <f>((E304*$G$303)+I304)*(1+$K$303)</f>
        <v>764.20340452231039</v>
      </c>
      <c r="M304" s="1740"/>
      <c r="N304" s="1741"/>
      <c r="O304" s="1893"/>
      <c r="P304" s="1843"/>
      <c r="Q304" s="1843"/>
      <c r="R304" s="1843"/>
      <c r="S304" s="1843"/>
      <c r="T304" s="1799"/>
      <c r="U304" s="1894" t="s">
        <v>1556</v>
      </c>
      <c r="V304" s="1757">
        <v>360</v>
      </c>
      <c r="W304" s="1857">
        <v>108</v>
      </c>
      <c r="X304" s="1857">
        <v>38864</v>
      </c>
      <c r="Y304" s="1857">
        <v>10571</v>
      </c>
      <c r="Z304" s="1857">
        <v>26400</v>
      </c>
      <c r="AA304" s="1858">
        <v>26911</v>
      </c>
      <c r="AB304" s="1757">
        <v>373</v>
      </c>
      <c r="AC304" s="1857">
        <v>97</v>
      </c>
      <c r="AD304" s="1857">
        <v>35023</v>
      </c>
      <c r="AE304" s="1857">
        <v>26000</v>
      </c>
      <c r="AF304" s="1857">
        <v>11000</v>
      </c>
      <c r="AG304" s="1858">
        <v>4450</v>
      </c>
      <c r="AH304" s="1699"/>
      <c r="AI304" s="1695"/>
      <c r="AJ304" s="1695"/>
      <c r="AK304" s="1695"/>
      <c r="AL304" s="1695"/>
      <c r="AM304" s="1695"/>
      <c r="AN304" s="1695"/>
      <c r="AO304" s="1699"/>
      <c r="AP304" s="1729"/>
    </row>
    <row r="305" spans="1:61">
      <c r="A305" s="2433"/>
      <c r="B305" s="1739" t="s">
        <v>1557</v>
      </c>
      <c r="C305" s="1733" t="s">
        <v>1804</v>
      </c>
      <c r="D305" s="1787" t="s">
        <v>1812</v>
      </c>
      <c r="E305" s="1748">
        <f>AVERAGE(V305,AB305)/300</f>
        <v>1.3766666666666667</v>
      </c>
      <c r="F305" s="1789"/>
      <c r="G305" s="2420"/>
      <c r="H305" s="1867">
        <f>E305*$G$303</f>
        <v>97.555603040750611</v>
      </c>
      <c r="I305" s="1736">
        <f>(SUM(Y305,AE305,AA305,AG305)/2)/300</f>
        <v>148.20666666666668</v>
      </c>
      <c r="J305" s="1774">
        <f>AVERAGE(Z305,AF305)</f>
        <v>18950</v>
      </c>
      <c r="K305" s="2428"/>
      <c r="L305" s="1842">
        <f>((E305*$G$303)+I305)*(1+$K$303)</f>
        <v>313.34689387695704</v>
      </c>
      <c r="M305" s="1699"/>
      <c r="N305" s="1695"/>
      <c r="O305" s="1695"/>
      <c r="P305" s="1745"/>
      <c r="Q305" s="1745"/>
      <c r="R305" s="1745"/>
      <c r="S305" s="1745"/>
      <c r="T305" s="1805"/>
      <c r="U305" s="1894" t="s">
        <v>1557</v>
      </c>
      <c r="V305" s="1757">
        <v>496</v>
      </c>
      <c r="W305" s="1857">
        <v>108</v>
      </c>
      <c r="X305" s="1857">
        <v>53424</v>
      </c>
      <c r="Y305" s="1857">
        <v>19911</v>
      </c>
      <c r="Z305" s="1857">
        <v>25900</v>
      </c>
      <c r="AA305" s="1858">
        <v>41313</v>
      </c>
      <c r="AB305" s="1757">
        <v>330</v>
      </c>
      <c r="AC305" s="1857">
        <v>96</v>
      </c>
      <c r="AD305" s="1857">
        <v>29976</v>
      </c>
      <c r="AE305" s="1857">
        <v>22000</v>
      </c>
      <c r="AF305" s="1857">
        <v>12000</v>
      </c>
      <c r="AG305" s="1858">
        <v>5700</v>
      </c>
      <c r="AH305" s="1699"/>
      <c r="AI305" s="1695"/>
      <c r="AJ305" s="1695"/>
      <c r="AK305" s="1695"/>
      <c r="AL305" s="1695"/>
      <c r="AM305" s="1695"/>
      <c r="AN305" s="1695"/>
      <c r="AO305" s="1699"/>
      <c r="AP305" s="1729"/>
    </row>
    <row r="306" spans="1:61">
      <c r="A306" s="2433"/>
      <c r="B306" s="1792" t="s">
        <v>1558</v>
      </c>
      <c r="C306" s="1733" t="s">
        <v>1804</v>
      </c>
      <c r="D306" s="1787" t="s">
        <v>1812</v>
      </c>
      <c r="E306" s="1748">
        <f>AVERAGE(V306,AB306)/300</f>
        <v>1.6883333333333332</v>
      </c>
      <c r="F306" s="1789"/>
      <c r="G306" s="2421"/>
      <c r="H306" s="1867">
        <f>E306*$G$303</f>
        <v>119.64143569041205</v>
      </c>
      <c r="I306" s="1736">
        <f>(SUM(Y306,AE306,AA306,AG306)/2)/300</f>
        <v>191.345</v>
      </c>
      <c r="J306" s="1774">
        <f>AVERAGE(Z306,AF306)</f>
        <v>19700</v>
      </c>
      <c r="K306" s="2429"/>
      <c r="L306" s="1842">
        <f>((E306*$G$303)+I306)*(1+$K$303)</f>
        <v>396.50770550527534</v>
      </c>
      <c r="M306" s="1699"/>
      <c r="N306" s="1695"/>
      <c r="O306" s="1695"/>
      <c r="P306" s="1745"/>
      <c r="Q306" s="1745"/>
      <c r="R306" s="1745"/>
      <c r="S306" s="1745"/>
      <c r="T306" s="1805"/>
      <c r="U306" s="1884" t="s">
        <v>1558</v>
      </c>
      <c r="V306" s="1757">
        <v>552</v>
      </c>
      <c r="W306" s="1857">
        <v>108</v>
      </c>
      <c r="X306" s="1857">
        <v>59472</v>
      </c>
      <c r="Y306" s="1857">
        <v>25800</v>
      </c>
      <c r="Z306" s="1857">
        <v>26400</v>
      </c>
      <c r="AA306" s="1858">
        <v>45207</v>
      </c>
      <c r="AB306" s="1757">
        <v>461</v>
      </c>
      <c r="AC306" s="1857">
        <v>96</v>
      </c>
      <c r="AD306" s="1857">
        <v>42223</v>
      </c>
      <c r="AE306" s="1857">
        <v>37700</v>
      </c>
      <c r="AF306" s="1857">
        <v>13000</v>
      </c>
      <c r="AG306" s="1858">
        <v>6100</v>
      </c>
      <c r="AH306" s="1699"/>
      <c r="AI306" s="1695"/>
      <c r="AJ306" s="1695"/>
      <c r="AK306" s="1695"/>
      <c r="AL306" s="1695"/>
      <c r="AM306" s="1695"/>
      <c r="AN306" s="1695"/>
      <c r="AO306" s="1699"/>
      <c r="AP306" s="1729"/>
    </row>
    <row r="307" spans="1:61">
      <c r="A307" s="2433"/>
      <c r="B307" s="1695"/>
      <c r="C307" s="1696"/>
      <c r="D307" s="1696"/>
      <c r="E307" s="1695"/>
      <c r="F307" s="1695"/>
      <c r="G307" s="1745"/>
      <c r="H307" s="1745"/>
      <c r="I307" s="1745"/>
      <c r="J307" s="1745"/>
      <c r="K307" s="1695"/>
      <c r="L307" s="1745"/>
      <c r="M307" s="1699"/>
      <c r="N307" s="1695"/>
      <c r="O307" s="1695"/>
      <c r="P307" s="1745"/>
      <c r="Q307" s="1745"/>
      <c r="R307" s="1745"/>
      <c r="S307" s="1745"/>
      <c r="T307" s="1745"/>
      <c r="U307" s="1699"/>
      <c r="V307" s="1699"/>
      <c r="W307" s="1695"/>
      <c r="X307" s="1695"/>
      <c r="Y307" s="1695"/>
      <c r="Z307" s="1695"/>
      <c r="AA307" s="1695"/>
      <c r="AB307" s="1699"/>
      <c r="AC307" s="1695"/>
      <c r="AD307" s="1695"/>
      <c r="AE307" s="1695"/>
      <c r="AF307" s="1695"/>
      <c r="AG307" s="1695"/>
      <c r="AH307" s="1699"/>
      <c r="AI307" s="1695"/>
      <c r="AJ307" s="1695"/>
      <c r="AK307" s="1695"/>
      <c r="AL307" s="1695"/>
      <c r="AM307" s="1695"/>
      <c r="AN307" s="1695"/>
      <c r="AO307" s="1699"/>
      <c r="AP307" s="1729"/>
    </row>
    <row r="308" spans="1:61">
      <c r="A308" s="2433"/>
      <c r="B308" s="1695"/>
      <c r="C308" s="1696"/>
      <c r="D308" s="1696"/>
      <c r="E308" s="1695"/>
      <c r="F308" s="1695"/>
      <c r="G308" s="1745"/>
      <c r="H308" s="1745"/>
      <c r="I308" s="1745"/>
      <c r="J308" s="1745"/>
      <c r="K308" s="1695"/>
      <c r="L308" s="1745"/>
      <c r="M308" s="1699"/>
      <c r="N308" s="1695"/>
      <c r="O308" s="1695"/>
      <c r="P308" s="1745"/>
      <c r="Q308" s="1745"/>
      <c r="R308" s="1745"/>
      <c r="S308" s="1745"/>
      <c r="T308" s="1745"/>
      <c r="U308" s="1699"/>
      <c r="V308" s="1699"/>
      <c r="W308" s="1695"/>
      <c r="X308" s="1695"/>
      <c r="Y308" s="1695"/>
      <c r="Z308" s="1695"/>
      <c r="AA308" s="1695"/>
      <c r="AB308" s="1699"/>
      <c r="AC308" s="1695"/>
      <c r="AD308" s="1695"/>
      <c r="AE308" s="1695"/>
      <c r="AF308" s="1695"/>
      <c r="AG308" s="1695"/>
      <c r="AH308" s="1699"/>
      <c r="AI308" s="1695"/>
      <c r="AJ308" s="1695"/>
      <c r="AK308" s="1695"/>
      <c r="AL308" s="1695"/>
      <c r="AM308" s="1695"/>
      <c r="AN308" s="1695"/>
      <c r="AO308" s="1699"/>
      <c r="AP308" s="1729"/>
    </row>
    <row r="309" spans="1:61">
      <c r="A309" s="2433"/>
      <c r="B309" s="1695"/>
      <c r="C309" s="1696"/>
      <c r="D309" s="1696"/>
      <c r="E309" s="1695"/>
      <c r="F309" s="1695"/>
      <c r="G309" s="1745"/>
      <c r="H309" s="1745"/>
      <c r="I309" s="1745"/>
      <c r="J309" s="1745"/>
      <c r="K309" s="1695"/>
      <c r="L309" s="1745"/>
      <c r="M309" s="1699"/>
      <c r="N309" s="1695"/>
      <c r="O309" s="1695"/>
      <c r="P309" s="1745"/>
      <c r="Q309" s="1745"/>
      <c r="R309" s="1745"/>
      <c r="S309" s="1745"/>
      <c r="T309" s="1745"/>
      <c r="U309" s="1699"/>
      <c r="V309" s="1699"/>
      <c r="W309" s="1695"/>
      <c r="X309" s="1695"/>
      <c r="Y309" s="1695"/>
      <c r="Z309" s="1695"/>
      <c r="AA309" s="1695"/>
      <c r="AB309" s="1699"/>
      <c r="AC309" s="1695"/>
      <c r="AD309" s="1695"/>
      <c r="AE309" s="1695"/>
      <c r="AF309" s="1695"/>
      <c r="AG309" s="1695"/>
      <c r="AH309" s="1699"/>
      <c r="AI309" s="1695"/>
      <c r="AJ309" s="1695"/>
      <c r="AK309" s="1695"/>
      <c r="AL309" s="1695"/>
      <c r="AM309" s="1695"/>
      <c r="AN309" s="1695"/>
      <c r="AO309" s="1699"/>
      <c r="AP309" s="1729"/>
    </row>
    <row r="310" spans="1:61">
      <c r="A310" s="2433"/>
      <c r="B310" s="1695"/>
      <c r="C310" s="1696"/>
      <c r="D310" s="1696"/>
      <c r="E310" s="1695"/>
      <c r="F310" s="1695"/>
      <c r="G310" s="1745"/>
      <c r="H310" s="1745"/>
      <c r="I310" s="1745"/>
      <c r="J310" s="1745"/>
      <c r="K310" s="1695"/>
      <c r="L310" s="1745"/>
      <c r="M310" s="1699"/>
      <c r="N310" s="1695"/>
      <c r="O310" s="1695"/>
      <c r="P310" s="1745"/>
      <c r="Q310" s="1745"/>
      <c r="R310" s="1745"/>
      <c r="S310" s="1745"/>
      <c r="T310" s="1745"/>
      <c r="U310" s="1699"/>
      <c r="V310" s="1699"/>
      <c r="W310" s="1695"/>
      <c r="X310" s="1695"/>
      <c r="Y310" s="1695"/>
      <c r="Z310" s="1695"/>
      <c r="AA310" s="1695"/>
      <c r="AB310" s="1699"/>
      <c r="AC310" s="1695"/>
      <c r="AD310" s="1695"/>
      <c r="AE310" s="1695"/>
      <c r="AF310" s="1695"/>
      <c r="AG310" s="1695"/>
      <c r="AH310" s="1699"/>
      <c r="AI310" s="1695"/>
      <c r="AJ310" s="1695"/>
      <c r="AK310" s="1695"/>
      <c r="AL310" s="1695"/>
      <c r="AM310" s="1695"/>
      <c r="AN310" s="1695"/>
      <c r="AO310" s="1699"/>
      <c r="AP310" s="1729"/>
    </row>
    <row r="311" spans="1:61">
      <c r="A311" s="2433"/>
      <c r="B311" s="1695"/>
      <c r="C311" s="1696"/>
      <c r="D311" s="1696"/>
      <c r="E311" s="1695"/>
      <c r="F311" s="1695"/>
      <c r="G311" s="1745"/>
      <c r="H311" s="1745"/>
      <c r="I311" s="1745"/>
      <c r="J311" s="1745"/>
      <c r="K311" s="1695"/>
      <c r="L311" s="1745"/>
      <c r="M311" s="1699"/>
      <c r="N311" s="1695"/>
      <c r="O311" s="1695"/>
      <c r="P311" s="1745"/>
      <c r="Q311" s="1745"/>
      <c r="R311" s="1745"/>
      <c r="S311" s="1745"/>
      <c r="T311" s="1745"/>
      <c r="U311" s="1699"/>
      <c r="V311" s="1699"/>
      <c r="W311" s="1695"/>
      <c r="X311" s="1695"/>
      <c r="Y311" s="1695"/>
      <c r="Z311" s="1695"/>
      <c r="AA311" s="1695"/>
      <c r="AB311" s="1699"/>
      <c r="AC311" s="1695"/>
      <c r="AD311" s="1695"/>
      <c r="AE311" s="1695"/>
      <c r="AF311" s="1695"/>
      <c r="AG311" s="1695"/>
      <c r="AH311" s="1699"/>
      <c r="AI311" s="1695"/>
      <c r="AJ311" s="1695"/>
      <c r="AK311" s="1695"/>
      <c r="AL311" s="1695"/>
      <c r="AM311" s="1695"/>
      <c r="AN311" s="1695"/>
      <c r="AO311" s="1699"/>
      <c r="AP311" s="1729"/>
      <c r="BI311" s="1687" t="s">
        <v>2053</v>
      </c>
    </row>
    <row r="312" spans="1:61" ht="15.75" thickBot="1">
      <c r="A312" s="2433"/>
      <c r="B312" s="1695"/>
      <c r="C312" s="1696"/>
      <c r="D312" s="1696"/>
      <c r="E312" s="1695"/>
      <c r="F312" s="1695"/>
      <c r="G312" s="1745"/>
      <c r="H312" s="1745"/>
      <c r="I312" s="1745"/>
      <c r="J312" s="1745"/>
      <c r="K312" s="1695"/>
      <c r="L312" s="1745"/>
      <c r="M312" s="1699"/>
      <c r="N312" s="1695"/>
      <c r="O312" s="1695"/>
      <c r="P312" s="1745"/>
      <c r="Q312" s="1745"/>
      <c r="R312" s="1745"/>
      <c r="S312" s="1745"/>
      <c r="T312" s="1745"/>
      <c r="U312" s="1699"/>
      <c r="V312" s="1699"/>
      <c r="W312" s="1695"/>
      <c r="X312" s="1695"/>
      <c r="Y312" s="1695"/>
      <c r="Z312" s="1695"/>
      <c r="AA312" s="1695"/>
      <c r="AB312" s="1699"/>
      <c r="AC312" s="1695"/>
      <c r="AD312" s="1695"/>
      <c r="AE312" s="1695"/>
      <c r="AF312" s="1695"/>
      <c r="AG312" s="1695"/>
      <c r="AH312" s="1699"/>
      <c r="AI312" s="1695"/>
      <c r="AJ312" s="1695"/>
      <c r="AK312" s="1695"/>
      <c r="AL312" s="1695"/>
      <c r="AM312" s="1695"/>
      <c r="AN312" s="1695"/>
      <c r="AO312" s="1699"/>
      <c r="AP312" s="1729"/>
      <c r="AQ312" s="1687">
        <v>30</v>
      </c>
      <c r="BG312" s="1687">
        <v>1395.1</v>
      </c>
      <c r="BH312" s="1687">
        <v>1693.14</v>
      </c>
      <c r="BI312" s="1687">
        <f>BH312/BG312</f>
        <v>1.2136334312952477</v>
      </c>
    </row>
    <row r="313" spans="1:61" ht="24" thickBot="1">
      <c r="A313" s="1714" t="s">
        <v>1109</v>
      </c>
      <c r="B313" s="1814"/>
      <c r="C313" s="1815"/>
      <c r="D313" s="1815"/>
      <c r="E313" s="1814"/>
      <c r="F313" s="1816"/>
      <c r="G313" s="1817"/>
      <c r="H313" s="1817"/>
      <c r="I313" s="1817"/>
      <c r="J313" s="1817"/>
      <c r="K313" s="1818"/>
      <c r="L313" s="1817"/>
      <c r="M313" s="1819"/>
      <c r="N313" s="1816"/>
      <c r="O313" s="1816"/>
      <c r="P313" s="1820"/>
      <c r="Q313" s="1717"/>
      <c r="R313" s="1717"/>
      <c r="S313" s="1717"/>
      <c r="T313" s="1717"/>
      <c r="U313" s="1819"/>
      <c r="V313" s="1819"/>
      <c r="W313" s="1821"/>
      <c r="X313" s="1821"/>
      <c r="Y313" s="1821"/>
      <c r="Z313" s="1821"/>
      <c r="AA313" s="1821"/>
      <c r="AB313" s="1819"/>
      <c r="AC313" s="1821"/>
      <c r="AD313" s="1821"/>
      <c r="AE313" s="1821"/>
      <c r="AF313" s="1821"/>
      <c r="AG313" s="1821"/>
      <c r="AH313" s="1819"/>
      <c r="AI313" s="1821"/>
      <c r="AJ313" s="1821"/>
      <c r="AK313" s="1821"/>
      <c r="AL313" s="1821"/>
      <c r="AM313" s="1821"/>
      <c r="AN313" s="1816"/>
      <c r="AO313" s="1819"/>
      <c r="AP313" s="1822"/>
      <c r="AQ313" s="1687">
        <v>40</v>
      </c>
      <c r="BG313" s="1687">
        <v>1416.24</v>
      </c>
      <c r="BH313" s="1687">
        <v>1728.36</v>
      </c>
      <c r="BI313" s="1687">
        <f t="shared" ref="BI313:BI317" si="41">BH313/BG313</f>
        <v>1.2203863751906456</v>
      </c>
    </row>
    <row r="314" spans="1:61">
      <c r="A314" s="2437" t="s">
        <v>1358</v>
      </c>
      <c r="B314" s="1823" t="s">
        <v>2067</v>
      </c>
      <c r="C314" s="1824" t="s">
        <v>1839</v>
      </c>
      <c r="D314" s="1824" t="s">
        <v>1440</v>
      </c>
      <c r="E314" s="1895">
        <f>AVERAGE(AO314:AO319)</f>
        <v>4.8066666666666675</v>
      </c>
      <c r="F314" s="1896" t="s">
        <v>1895</v>
      </c>
      <c r="G314" s="1897">
        <f>AP314*BQ22</f>
        <v>64.61891268502184</v>
      </c>
      <c r="H314" s="1898">
        <f>E314*$G$314</f>
        <v>310.60157363933837</v>
      </c>
      <c r="I314" s="1834"/>
      <c r="J314" s="1835"/>
      <c r="K314" s="1899">
        <v>0.21</v>
      </c>
      <c r="L314" s="1836">
        <f>E314*$G$314*(1+$K$314)</f>
        <v>375.82790410359939</v>
      </c>
      <c r="M314" s="1743" t="s">
        <v>1942</v>
      </c>
      <c r="N314" s="1782"/>
      <c r="O314" s="1870">
        <v>2.25</v>
      </c>
      <c r="P314" s="1738">
        <v>59</v>
      </c>
      <c r="Q314" s="1738">
        <f>O314*P314</f>
        <v>132.75</v>
      </c>
      <c r="R314" s="1738"/>
      <c r="S314" s="1738"/>
      <c r="T314" s="1737">
        <f>Q314</f>
        <v>132.75</v>
      </c>
      <c r="U314" s="1824" t="s">
        <v>1604</v>
      </c>
      <c r="V314" s="1699"/>
      <c r="W314" s="1695"/>
      <c r="X314" s="1695"/>
      <c r="Y314" s="1695"/>
      <c r="Z314" s="1695"/>
      <c r="AA314" s="1695"/>
      <c r="AB314" s="1699"/>
      <c r="AC314" s="1695"/>
      <c r="AD314" s="1695"/>
      <c r="AE314" s="1695"/>
      <c r="AF314" s="1695"/>
      <c r="AG314" s="1695"/>
      <c r="AH314" s="1699"/>
      <c r="AI314" s="1695"/>
      <c r="AJ314" s="1695"/>
      <c r="AK314" s="1695"/>
      <c r="AL314" s="1695"/>
      <c r="AM314" s="1695"/>
      <c r="AN314" s="1695"/>
      <c r="AO314" s="1900">
        <v>4</v>
      </c>
      <c r="AP314" s="1901">
        <v>55.8</v>
      </c>
      <c r="AQ314" s="1687">
        <v>50</v>
      </c>
      <c r="BG314" s="1687">
        <v>1483.93</v>
      </c>
      <c r="BH314" s="1687">
        <v>1808.38</v>
      </c>
      <c r="BI314" s="1687">
        <f t="shared" si="41"/>
        <v>1.2186423887919242</v>
      </c>
    </row>
    <row r="315" spans="1:61">
      <c r="A315" s="2438"/>
      <c r="B315" s="1699"/>
      <c r="C315" s="1696"/>
      <c r="D315" s="1696"/>
      <c r="E315" s="1902"/>
      <c r="F315" s="1903"/>
      <c r="G315" s="1904"/>
      <c r="H315" s="1905"/>
      <c r="I315" s="1745"/>
      <c r="J315" s="1745"/>
      <c r="K315" s="1906"/>
      <c r="L315" s="1805"/>
      <c r="M315" s="1743" t="s">
        <v>1951</v>
      </c>
      <c r="N315" s="1782"/>
      <c r="O315" s="1782">
        <v>4.75</v>
      </c>
      <c r="P315" s="1738">
        <v>48.38</v>
      </c>
      <c r="Q315" s="1738">
        <f t="shared" ref="Q315:Q316" si="42">O315*P315</f>
        <v>229.80500000000001</v>
      </c>
      <c r="R315" s="1738"/>
      <c r="S315" s="1738"/>
      <c r="T315" s="1737">
        <f t="shared" ref="T315:T316" si="43">Q315</f>
        <v>229.80500000000001</v>
      </c>
      <c r="U315" s="1733" t="s">
        <v>1890</v>
      </c>
      <c r="V315" s="1699"/>
      <c r="W315" s="1695"/>
      <c r="X315" s="1695"/>
      <c r="Y315" s="1695"/>
      <c r="Z315" s="1695"/>
      <c r="AA315" s="1695"/>
      <c r="AB315" s="1699"/>
      <c r="AC315" s="1695"/>
      <c r="AD315" s="1695"/>
      <c r="AE315" s="1695"/>
      <c r="AF315" s="1695"/>
      <c r="AG315" s="1695"/>
      <c r="AH315" s="1699"/>
      <c r="AI315" s="1695"/>
      <c r="AJ315" s="1695"/>
      <c r="AK315" s="1695"/>
      <c r="AL315" s="1695"/>
      <c r="AM315" s="1695"/>
      <c r="AN315" s="1695"/>
      <c r="AO315" s="1900">
        <v>4.21</v>
      </c>
      <c r="AP315" s="1758">
        <v>55.8</v>
      </c>
      <c r="AQ315" s="1687">
        <v>60</v>
      </c>
      <c r="BG315" s="1687">
        <v>1891.14</v>
      </c>
      <c r="BH315" s="1687">
        <v>2263.6</v>
      </c>
      <c r="BI315" s="1687">
        <f t="shared" si="41"/>
        <v>1.1969499878380234</v>
      </c>
    </row>
    <row r="316" spans="1:61">
      <c r="A316" s="2438"/>
      <c r="B316" s="1699"/>
      <c r="C316" s="1696"/>
      <c r="D316" s="1696"/>
      <c r="E316" s="1902"/>
      <c r="F316" s="1903"/>
      <c r="G316" s="1904"/>
      <c r="H316" s="1905"/>
      <c r="I316" s="1745"/>
      <c r="J316" s="1745"/>
      <c r="K316" s="1906"/>
      <c r="L316" s="1805"/>
      <c r="M316" s="1743" t="s">
        <v>1994</v>
      </c>
      <c r="N316" s="1782"/>
      <c r="O316" s="1782">
        <v>1</v>
      </c>
      <c r="P316" s="1738">
        <v>48.38</v>
      </c>
      <c r="Q316" s="1738">
        <f t="shared" si="42"/>
        <v>48.38</v>
      </c>
      <c r="R316" s="1738"/>
      <c r="S316" s="1738"/>
      <c r="T316" s="1737">
        <f t="shared" si="43"/>
        <v>48.38</v>
      </c>
      <c r="U316" s="1733" t="s">
        <v>1891</v>
      </c>
      <c r="V316" s="1699"/>
      <c r="W316" s="1695"/>
      <c r="X316" s="1695"/>
      <c r="Y316" s="1695"/>
      <c r="Z316" s="1695"/>
      <c r="AA316" s="1695"/>
      <c r="AB316" s="1699"/>
      <c r="AC316" s="1695"/>
      <c r="AD316" s="1695"/>
      <c r="AE316" s="1695"/>
      <c r="AF316" s="1695"/>
      <c r="AG316" s="1695"/>
      <c r="AH316" s="1699"/>
      <c r="AI316" s="1695"/>
      <c r="AJ316" s="1695"/>
      <c r="AK316" s="1695"/>
      <c r="AL316" s="1695"/>
      <c r="AM316" s="1695"/>
      <c r="AN316" s="1695"/>
      <c r="AO316" s="1900">
        <v>4.4400000000000004</v>
      </c>
      <c r="AP316" s="1758">
        <v>55.8</v>
      </c>
      <c r="AQ316" s="1687">
        <v>75</v>
      </c>
      <c r="BG316" s="1687">
        <v>2036.78</v>
      </c>
      <c r="BH316" s="1687">
        <v>2472.4499999999998</v>
      </c>
      <c r="BI316" s="1687">
        <f t="shared" si="41"/>
        <v>1.2139013540981352</v>
      </c>
    </row>
    <row r="317" spans="1:61">
      <c r="A317" s="2438"/>
      <c r="B317" s="1699"/>
      <c r="C317" s="1696"/>
      <c r="D317" s="1696"/>
      <c r="E317" s="1902"/>
      <c r="F317" s="1903"/>
      <c r="G317" s="1904"/>
      <c r="H317" s="1905"/>
      <c r="I317" s="1745"/>
      <c r="J317" s="1745"/>
      <c r="K317" s="1906"/>
      <c r="L317" s="1805"/>
      <c r="M317" s="1699"/>
      <c r="N317" s="1695"/>
      <c r="O317" s="1695"/>
      <c r="P317" s="1745"/>
      <c r="Q317" s="1745"/>
      <c r="R317" s="1745"/>
      <c r="S317" s="1745"/>
      <c r="T317" s="1799"/>
      <c r="U317" s="1787" t="s">
        <v>1892</v>
      </c>
      <c r="V317" s="1699"/>
      <c r="W317" s="1695"/>
      <c r="X317" s="1695"/>
      <c r="Y317" s="1695"/>
      <c r="Z317" s="1695"/>
      <c r="AA317" s="1695"/>
      <c r="AB317" s="1699"/>
      <c r="AC317" s="1695"/>
      <c r="AD317" s="1695"/>
      <c r="AE317" s="1695"/>
      <c r="AF317" s="1695"/>
      <c r="AG317" s="1695"/>
      <c r="AH317" s="1699"/>
      <c r="AI317" s="1695"/>
      <c r="AJ317" s="1695"/>
      <c r="AK317" s="1695"/>
      <c r="AL317" s="1695"/>
      <c r="AM317" s="1695"/>
      <c r="AN317" s="1695"/>
      <c r="AO317" s="1900">
        <v>4.71</v>
      </c>
      <c r="AP317" s="1758">
        <v>55.8</v>
      </c>
      <c r="AQ317" s="1687">
        <v>100</v>
      </c>
      <c r="BG317" s="1687">
        <v>2315.5500000000002</v>
      </c>
      <c r="BH317" s="1687">
        <v>2782.92</v>
      </c>
      <c r="BI317" s="1687">
        <f t="shared" si="41"/>
        <v>1.2018397356999417</v>
      </c>
    </row>
    <row r="318" spans="1:61">
      <c r="A318" s="2438"/>
      <c r="B318" s="1699"/>
      <c r="C318" s="1696"/>
      <c r="D318" s="1696"/>
      <c r="E318" s="1902"/>
      <c r="F318" s="1903"/>
      <c r="G318" s="1904"/>
      <c r="H318" s="1905"/>
      <c r="I318" s="1745"/>
      <c r="J318" s="1745"/>
      <c r="K318" s="1906"/>
      <c r="L318" s="1805"/>
      <c r="M318" s="1699"/>
      <c r="N318" s="1695"/>
      <c r="O318" s="1695"/>
      <c r="P318" s="1745"/>
      <c r="Q318" s="1745"/>
      <c r="R318" s="1745"/>
      <c r="S318" s="1745"/>
      <c r="T318" s="1805"/>
      <c r="U318" s="1733" t="s">
        <v>1893</v>
      </c>
      <c r="V318" s="1699"/>
      <c r="W318" s="1695"/>
      <c r="X318" s="1695"/>
      <c r="Y318" s="1695"/>
      <c r="Z318" s="1695"/>
      <c r="AA318" s="1695"/>
      <c r="AB318" s="1699"/>
      <c r="AC318" s="1695"/>
      <c r="AD318" s="1695"/>
      <c r="AE318" s="1695"/>
      <c r="AF318" s="1695"/>
      <c r="AG318" s="1695"/>
      <c r="AH318" s="1699"/>
      <c r="AI318" s="1695"/>
      <c r="AJ318" s="1695"/>
      <c r="AK318" s="1695"/>
      <c r="AL318" s="1695"/>
      <c r="AM318" s="1695"/>
      <c r="AN318" s="1695"/>
      <c r="AO318" s="1900">
        <v>5.33</v>
      </c>
      <c r="AP318" s="1758">
        <v>55.8</v>
      </c>
      <c r="BI318" s="1687">
        <f>AVERAGE(BI312:BI317)</f>
        <v>1.2108922121523198</v>
      </c>
    </row>
    <row r="319" spans="1:61">
      <c r="A319" s="2438"/>
      <c r="B319" s="1699"/>
      <c r="C319" s="1696"/>
      <c r="D319" s="1696"/>
      <c r="E319" s="1902"/>
      <c r="F319" s="1903"/>
      <c r="G319" s="1904"/>
      <c r="H319" s="1905"/>
      <c r="I319" s="1745"/>
      <c r="J319" s="1745"/>
      <c r="K319" s="1906"/>
      <c r="L319" s="1805"/>
      <c r="M319" s="1699"/>
      <c r="N319" s="1695"/>
      <c r="O319" s="1695"/>
      <c r="P319" s="1745"/>
      <c r="Q319" s="1745"/>
      <c r="R319" s="1745"/>
      <c r="S319" s="1745"/>
      <c r="T319" s="1805"/>
      <c r="U319" s="1733" t="s">
        <v>1894</v>
      </c>
      <c r="V319" s="1699"/>
      <c r="W319" s="1695"/>
      <c r="X319" s="1695"/>
      <c r="Y319" s="1695"/>
      <c r="Z319" s="1695"/>
      <c r="AA319" s="1695"/>
      <c r="AB319" s="1699"/>
      <c r="AC319" s="1695"/>
      <c r="AD319" s="1695"/>
      <c r="AE319" s="1695"/>
      <c r="AF319" s="1695"/>
      <c r="AG319" s="1695"/>
      <c r="AH319" s="1699"/>
      <c r="AI319" s="1695"/>
      <c r="AJ319" s="1695"/>
      <c r="AK319" s="1695"/>
      <c r="AL319" s="1695"/>
      <c r="AM319" s="1695"/>
      <c r="AN319" s="1695"/>
      <c r="AO319" s="1900">
        <v>6.15</v>
      </c>
      <c r="AP319" s="1758">
        <v>55.8</v>
      </c>
    </row>
    <row r="320" spans="1:61">
      <c r="A320" s="2438"/>
      <c r="B320" s="1695"/>
      <c r="C320" s="1696"/>
      <c r="D320" s="1696"/>
      <c r="E320" s="1695"/>
      <c r="F320" s="1695"/>
      <c r="G320" s="1745"/>
      <c r="H320" s="1745"/>
      <c r="I320" s="1745"/>
      <c r="J320" s="1745"/>
      <c r="K320" s="1695"/>
      <c r="L320" s="1745"/>
      <c r="M320" s="1699"/>
      <c r="N320" s="1695"/>
      <c r="O320" s="1695"/>
      <c r="P320" s="1745"/>
      <c r="Q320" s="1745"/>
      <c r="R320" s="1745"/>
      <c r="S320" s="1745"/>
      <c r="T320" s="1745"/>
      <c r="U320" s="1699"/>
      <c r="V320" s="1699"/>
      <c r="W320" s="1695"/>
      <c r="X320" s="1695"/>
      <c r="Y320" s="1695"/>
      <c r="Z320" s="1695"/>
      <c r="AA320" s="1695"/>
      <c r="AB320" s="1699"/>
      <c r="AC320" s="1695"/>
      <c r="AD320" s="1695"/>
      <c r="AE320" s="1695"/>
      <c r="AF320" s="1695"/>
      <c r="AG320" s="1695"/>
      <c r="AH320" s="1699"/>
      <c r="AI320" s="1695"/>
      <c r="AJ320" s="1695"/>
      <c r="AK320" s="1695"/>
      <c r="AL320" s="1695"/>
      <c r="AM320" s="1695"/>
      <c r="AN320" s="1695"/>
      <c r="AO320" s="1699"/>
      <c r="AP320" s="1729"/>
    </row>
    <row r="321" spans="1:61">
      <c r="A321" s="2438"/>
      <c r="B321" s="1695"/>
      <c r="C321" s="1696"/>
      <c r="D321" s="1696"/>
      <c r="E321" s="1695"/>
      <c r="F321" s="1695"/>
      <c r="G321" s="1745"/>
      <c r="H321" s="1745"/>
      <c r="I321" s="1745"/>
      <c r="J321" s="1745"/>
      <c r="K321" s="1695"/>
      <c r="L321" s="1745"/>
      <c r="M321" s="1699"/>
      <c r="N321" s="1695"/>
      <c r="O321" s="1695"/>
      <c r="P321" s="1745"/>
      <c r="Q321" s="1745"/>
      <c r="R321" s="1745"/>
      <c r="S321" s="1745"/>
      <c r="T321" s="1745"/>
      <c r="U321" s="1699"/>
      <c r="V321" s="1699"/>
      <c r="W321" s="1695"/>
      <c r="X321" s="1695"/>
      <c r="Y321" s="1695"/>
      <c r="Z321" s="1695"/>
      <c r="AA321" s="1695"/>
      <c r="AB321" s="1699"/>
      <c r="AC321" s="1695"/>
      <c r="AD321" s="1695"/>
      <c r="AE321" s="1695"/>
      <c r="AF321" s="1695"/>
      <c r="AG321" s="1695"/>
      <c r="AH321" s="1699"/>
      <c r="AI321" s="1695"/>
      <c r="AJ321" s="1695"/>
      <c r="AK321" s="1695"/>
      <c r="AL321" s="1695"/>
      <c r="AM321" s="1695"/>
      <c r="AN321" s="1695"/>
      <c r="AO321" s="1699"/>
      <c r="AP321" s="1729"/>
    </row>
    <row r="322" spans="1:61">
      <c r="A322" s="2438"/>
      <c r="B322" s="1695"/>
      <c r="C322" s="1696"/>
      <c r="D322" s="1696"/>
      <c r="E322" s="1695"/>
      <c r="F322" s="1695"/>
      <c r="G322" s="1745"/>
      <c r="H322" s="1745"/>
      <c r="I322" s="1745"/>
      <c r="J322" s="1745"/>
      <c r="K322" s="1695"/>
      <c r="L322" s="1745"/>
      <c r="M322" s="1699"/>
      <c r="N322" s="1695"/>
      <c r="O322" s="1695"/>
      <c r="P322" s="1745"/>
      <c r="Q322" s="1745"/>
      <c r="R322" s="1745"/>
      <c r="S322" s="1745"/>
      <c r="T322" s="1745"/>
      <c r="U322" s="1699"/>
      <c r="V322" s="1699"/>
      <c r="W322" s="1695"/>
      <c r="X322" s="1695"/>
      <c r="Y322" s="1695"/>
      <c r="Z322" s="1695"/>
      <c r="AA322" s="1695"/>
      <c r="AB322" s="1699"/>
      <c r="AC322" s="1695"/>
      <c r="AD322" s="1695"/>
      <c r="AE322" s="1695"/>
      <c r="AF322" s="1695"/>
      <c r="AG322" s="1695"/>
      <c r="AH322" s="1699"/>
      <c r="AI322" s="1695"/>
      <c r="AJ322" s="1695"/>
      <c r="AK322" s="1695"/>
      <c r="AL322" s="1695"/>
      <c r="AM322" s="1695"/>
      <c r="AN322" s="1695"/>
      <c r="AO322" s="1699"/>
      <c r="AP322" s="1729"/>
    </row>
    <row r="323" spans="1:61">
      <c r="A323" s="2438"/>
      <c r="B323" s="1695"/>
      <c r="C323" s="1696"/>
      <c r="D323" s="1696"/>
      <c r="E323" s="1695"/>
      <c r="F323" s="1695"/>
      <c r="G323" s="1745"/>
      <c r="H323" s="1745"/>
      <c r="I323" s="1745"/>
      <c r="J323" s="1745"/>
      <c r="K323" s="1695"/>
      <c r="L323" s="1745"/>
      <c r="M323" s="1699"/>
      <c r="N323" s="1695"/>
      <c r="O323" s="1695"/>
      <c r="P323" s="1745"/>
      <c r="Q323" s="1745"/>
      <c r="R323" s="1745"/>
      <c r="S323" s="1745"/>
      <c r="T323" s="1745"/>
      <c r="U323" s="1699"/>
      <c r="V323" s="1699"/>
      <c r="W323" s="1695"/>
      <c r="X323" s="1695"/>
      <c r="Y323" s="1695"/>
      <c r="Z323" s="1695"/>
      <c r="AA323" s="1695"/>
      <c r="AB323" s="1699"/>
      <c r="AC323" s="1695"/>
      <c r="AD323" s="1695"/>
      <c r="AE323" s="1695"/>
      <c r="AF323" s="1695"/>
      <c r="AG323" s="1695"/>
      <c r="AH323" s="1699"/>
      <c r="AI323" s="1695"/>
      <c r="AJ323" s="1695"/>
      <c r="AK323" s="1695"/>
      <c r="AL323" s="1695"/>
      <c r="AM323" s="1695"/>
      <c r="AN323" s="1695"/>
      <c r="AO323" s="1699"/>
      <c r="AP323" s="1729"/>
    </row>
    <row r="324" spans="1:61">
      <c r="A324" s="2438"/>
      <c r="B324" s="1695"/>
      <c r="C324" s="1696"/>
      <c r="D324" s="1696"/>
      <c r="E324" s="1695"/>
      <c r="F324" s="1695"/>
      <c r="G324" s="1745"/>
      <c r="H324" s="1745"/>
      <c r="I324" s="1745"/>
      <c r="J324" s="1745"/>
      <c r="K324" s="1695"/>
      <c r="L324" s="1745"/>
      <c r="M324" s="1699"/>
      <c r="N324" s="1695"/>
      <c r="O324" s="1695"/>
      <c r="P324" s="1745"/>
      <c r="Q324" s="1745"/>
      <c r="R324" s="1745"/>
      <c r="S324" s="1745"/>
      <c r="T324" s="1745"/>
      <c r="U324" s="1699"/>
      <c r="V324" s="1699"/>
      <c r="W324" s="1695"/>
      <c r="X324" s="1695"/>
      <c r="Y324" s="1695"/>
      <c r="Z324" s="1695"/>
      <c r="AA324" s="1695"/>
      <c r="AB324" s="1699"/>
      <c r="AC324" s="1695"/>
      <c r="AD324" s="1695"/>
      <c r="AE324" s="1695"/>
      <c r="AF324" s="1695"/>
      <c r="AG324" s="1695"/>
      <c r="AH324" s="1699"/>
      <c r="AI324" s="1695"/>
      <c r="AJ324" s="1695"/>
      <c r="AK324" s="1695"/>
      <c r="AL324" s="1695"/>
      <c r="AM324" s="1695"/>
      <c r="AN324" s="1695"/>
      <c r="AO324" s="1699"/>
      <c r="AP324" s="1729"/>
    </row>
    <row r="325" spans="1:61">
      <c r="A325" s="2438"/>
      <c r="B325" s="1695"/>
      <c r="C325" s="1696"/>
      <c r="D325" s="1696"/>
      <c r="E325" s="1695"/>
      <c r="F325" s="1695"/>
      <c r="G325" s="1745"/>
      <c r="H325" s="1745"/>
      <c r="I325" s="1745"/>
      <c r="J325" s="1745"/>
      <c r="K325" s="1695"/>
      <c r="L325" s="1745"/>
      <c r="M325" s="1699"/>
      <c r="N325" s="1695"/>
      <c r="O325" s="1695"/>
      <c r="P325" s="1745"/>
      <c r="Q325" s="1745"/>
      <c r="R325" s="1745"/>
      <c r="S325" s="1745"/>
      <c r="T325" s="1745"/>
      <c r="U325" s="1699"/>
      <c r="V325" s="1699"/>
      <c r="W325" s="1695"/>
      <c r="X325" s="1695"/>
      <c r="Y325" s="1695"/>
      <c r="Z325" s="1695"/>
      <c r="AA325" s="1695"/>
      <c r="AB325" s="1699"/>
      <c r="AC325" s="1695"/>
      <c r="AD325" s="1695"/>
      <c r="AE325" s="1695"/>
      <c r="AF325" s="1695"/>
      <c r="AG325" s="1695"/>
      <c r="AH325" s="1699"/>
      <c r="AI325" s="1695"/>
      <c r="AJ325" s="1695"/>
      <c r="AK325" s="1695"/>
      <c r="AL325" s="1695"/>
      <c r="AM325" s="1695"/>
      <c r="AN325" s="1695"/>
      <c r="AO325" s="1699"/>
      <c r="AP325" s="1729"/>
    </row>
    <row r="326" spans="1:61">
      <c r="A326" s="2438"/>
      <c r="B326" s="1695"/>
      <c r="C326" s="1696"/>
      <c r="D326" s="1696"/>
      <c r="E326" s="1695"/>
      <c r="F326" s="1695"/>
      <c r="G326" s="1745"/>
      <c r="H326" s="1745"/>
      <c r="I326" s="1745"/>
      <c r="J326" s="1745"/>
      <c r="K326" s="1695"/>
      <c r="L326" s="1745"/>
      <c r="M326" s="1699"/>
      <c r="N326" s="1695"/>
      <c r="O326" s="1695"/>
      <c r="P326" s="1745"/>
      <c r="Q326" s="1745"/>
      <c r="R326" s="1745"/>
      <c r="S326" s="1745"/>
      <c r="T326" s="1745"/>
      <c r="U326" s="1699"/>
      <c r="V326" s="1699"/>
      <c r="W326" s="1695"/>
      <c r="X326" s="1695"/>
      <c r="Y326" s="1695"/>
      <c r="Z326" s="1695"/>
      <c r="AA326" s="1695"/>
      <c r="AB326" s="1699"/>
      <c r="AC326" s="1695"/>
      <c r="AD326" s="1695"/>
      <c r="AE326" s="1695"/>
      <c r="AF326" s="1695"/>
      <c r="AG326" s="1695"/>
      <c r="AH326" s="1699"/>
      <c r="AI326" s="1695"/>
      <c r="AJ326" s="1695"/>
      <c r="AK326" s="1695"/>
      <c r="AL326" s="1695"/>
      <c r="AM326" s="1695"/>
      <c r="AN326" s="1695"/>
      <c r="AO326" s="1699"/>
      <c r="AP326" s="1729"/>
    </row>
    <row r="327" spans="1:61">
      <c r="A327" s="2438"/>
      <c r="B327" s="1695"/>
      <c r="C327" s="1696"/>
      <c r="D327" s="1696"/>
      <c r="E327" s="1695"/>
      <c r="F327" s="1695"/>
      <c r="G327" s="1745"/>
      <c r="H327" s="1745"/>
      <c r="I327" s="1745"/>
      <c r="J327" s="1745"/>
      <c r="K327" s="1695"/>
      <c r="L327" s="1745"/>
      <c r="M327" s="1699"/>
      <c r="N327" s="1695"/>
      <c r="O327" s="1695"/>
      <c r="P327" s="1745"/>
      <c r="Q327" s="1745"/>
      <c r="R327" s="1745"/>
      <c r="S327" s="1745"/>
      <c r="T327" s="1745"/>
      <c r="U327" s="1699"/>
      <c r="V327" s="1699"/>
      <c r="W327" s="1695"/>
      <c r="X327" s="1695"/>
      <c r="Y327" s="1695"/>
      <c r="Z327" s="1695"/>
      <c r="AA327" s="1695"/>
      <c r="AB327" s="1699"/>
      <c r="AC327" s="1695"/>
      <c r="AD327" s="1695"/>
      <c r="AE327" s="1695"/>
      <c r="AF327" s="1695"/>
      <c r="AG327" s="1695"/>
      <c r="AH327" s="1699"/>
      <c r="AI327" s="1695"/>
      <c r="AJ327" s="1695"/>
      <c r="AK327" s="1695"/>
      <c r="AL327" s="1695"/>
      <c r="AM327" s="1695"/>
      <c r="AN327" s="1695"/>
      <c r="AO327" s="1699"/>
      <c r="AP327" s="1729"/>
    </row>
    <row r="328" spans="1:61">
      <c r="A328" s="2438"/>
      <c r="B328" s="1695"/>
      <c r="C328" s="1696"/>
      <c r="D328" s="1696"/>
      <c r="E328" s="1695"/>
      <c r="F328" s="1695"/>
      <c r="G328" s="1745"/>
      <c r="H328" s="1745"/>
      <c r="I328" s="1745"/>
      <c r="J328" s="1745"/>
      <c r="K328" s="1695"/>
      <c r="L328" s="1745"/>
      <c r="M328" s="1699"/>
      <c r="N328" s="1695"/>
      <c r="O328" s="1695"/>
      <c r="P328" s="1745"/>
      <c r="Q328" s="1745"/>
      <c r="R328" s="1745"/>
      <c r="S328" s="1745"/>
      <c r="T328" s="1745"/>
      <c r="U328" s="1699"/>
      <c r="V328" s="1699"/>
      <c r="W328" s="1695"/>
      <c r="X328" s="1695"/>
      <c r="Y328" s="1695"/>
      <c r="Z328" s="1695"/>
      <c r="AA328" s="1695"/>
      <c r="AB328" s="1699"/>
      <c r="AC328" s="1695"/>
      <c r="AD328" s="1695"/>
      <c r="AE328" s="1695"/>
      <c r="AF328" s="1695"/>
      <c r="AG328" s="1695"/>
      <c r="AH328" s="1699"/>
      <c r="AI328" s="1695"/>
      <c r="AJ328" s="1695"/>
      <c r="AK328" s="1695"/>
      <c r="AL328" s="1695"/>
      <c r="AM328" s="1695"/>
      <c r="AN328" s="1695"/>
      <c r="AO328" s="1699"/>
      <c r="AP328" s="1729"/>
    </row>
    <row r="329" spans="1:61">
      <c r="A329" s="2438"/>
      <c r="B329" s="1695"/>
      <c r="C329" s="1696"/>
      <c r="D329" s="1696"/>
      <c r="E329" s="1695"/>
      <c r="F329" s="1695"/>
      <c r="G329" s="1745"/>
      <c r="H329" s="1745"/>
      <c r="I329" s="1745"/>
      <c r="J329" s="1745"/>
      <c r="K329" s="1695"/>
      <c r="L329" s="1745"/>
      <c r="M329" s="1699"/>
      <c r="N329" s="1695"/>
      <c r="O329" s="1695"/>
      <c r="P329" s="1745"/>
      <c r="Q329" s="1745"/>
      <c r="R329" s="1745"/>
      <c r="S329" s="1745"/>
      <c r="T329" s="1745"/>
      <c r="U329" s="1699"/>
      <c r="V329" s="1699"/>
      <c r="W329" s="1695"/>
      <c r="X329" s="1695"/>
      <c r="Y329" s="1695"/>
      <c r="Z329" s="1695"/>
      <c r="AA329" s="1695"/>
      <c r="AB329" s="1699"/>
      <c r="AC329" s="1695"/>
      <c r="AD329" s="1695"/>
      <c r="AE329" s="1695"/>
      <c r="AF329" s="1695"/>
      <c r="AG329" s="1695"/>
      <c r="AH329" s="1699"/>
      <c r="AI329" s="1695"/>
      <c r="AJ329" s="1695"/>
      <c r="AK329" s="1695"/>
      <c r="AL329" s="1695"/>
      <c r="AM329" s="1695"/>
      <c r="AN329" s="1695"/>
      <c r="AO329" s="1699"/>
      <c r="AP329" s="1729"/>
    </row>
    <row r="330" spans="1:61">
      <c r="A330" s="2438"/>
      <c r="B330" s="1695"/>
      <c r="C330" s="1696"/>
      <c r="D330" s="1696"/>
      <c r="E330" s="1695"/>
      <c r="F330" s="1695"/>
      <c r="G330" s="1745"/>
      <c r="H330" s="1745"/>
      <c r="I330" s="1745"/>
      <c r="J330" s="1745"/>
      <c r="K330" s="1695"/>
      <c r="L330" s="1745"/>
      <c r="M330" s="1699"/>
      <c r="N330" s="1695"/>
      <c r="O330" s="1695"/>
      <c r="P330" s="1745"/>
      <c r="Q330" s="1745"/>
      <c r="R330" s="1745"/>
      <c r="S330" s="1745"/>
      <c r="T330" s="1745"/>
      <c r="U330" s="1699"/>
      <c r="V330" s="1699"/>
      <c r="W330" s="1695"/>
      <c r="X330" s="1695"/>
      <c r="Y330" s="1695"/>
      <c r="Z330" s="1695"/>
      <c r="AA330" s="1695"/>
      <c r="AB330" s="1699"/>
      <c r="AC330" s="1695"/>
      <c r="AD330" s="1695"/>
      <c r="AE330" s="1695"/>
      <c r="AF330" s="1695"/>
      <c r="AG330" s="1695"/>
      <c r="AH330" s="1699"/>
      <c r="AI330" s="1695"/>
      <c r="AJ330" s="1695"/>
      <c r="AK330" s="1695"/>
      <c r="AL330" s="1695"/>
      <c r="AM330" s="1695"/>
      <c r="AN330" s="1695"/>
      <c r="AO330" s="1699"/>
      <c r="AP330" s="1729"/>
    </row>
    <row r="331" spans="1:61">
      <c r="A331" s="2438"/>
      <c r="B331" s="1695"/>
      <c r="C331" s="1696"/>
      <c r="D331" s="1696"/>
      <c r="E331" s="1695"/>
      <c r="F331" s="1695"/>
      <c r="G331" s="1745"/>
      <c r="H331" s="1745"/>
      <c r="I331" s="1745"/>
      <c r="J331" s="1745"/>
      <c r="K331" s="1695"/>
      <c r="L331" s="1745"/>
      <c r="M331" s="1699"/>
      <c r="N331" s="1695"/>
      <c r="O331" s="1695"/>
      <c r="P331" s="1745"/>
      <c r="Q331" s="1745"/>
      <c r="R331" s="1745"/>
      <c r="S331" s="1745"/>
      <c r="T331" s="1745"/>
      <c r="U331" s="1699"/>
      <c r="V331" s="1699"/>
      <c r="W331" s="1695"/>
      <c r="X331" s="1695"/>
      <c r="Y331" s="1695"/>
      <c r="Z331" s="1695"/>
      <c r="AA331" s="1695"/>
      <c r="AB331" s="1699"/>
      <c r="AC331" s="1695"/>
      <c r="AD331" s="1695"/>
      <c r="AE331" s="1695"/>
      <c r="AF331" s="1695"/>
      <c r="AG331" s="1695"/>
      <c r="AH331" s="1699"/>
      <c r="AI331" s="1695"/>
      <c r="AJ331" s="1695"/>
      <c r="AK331" s="1695"/>
      <c r="AL331" s="1695"/>
      <c r="AM331" s="1695"/>
      <c r="AN331" s="1695"/>
      <c r="AO331" s="1699"/>
      <c r="AP331" s="1729"/>
    </row>
    <row r="332" spans="1:61" ht="8.25" customHeight="1">
      <c r="A332" s="2438"/>
      <c r="B332" s="1695"/>
      <c r="C332" s="1696"/>
      <c r="D332" s="1696"/>
      <c r="E332" s="1695"/>
      <c r="F332" s="1695"/>
      <c r="G332" s="1745"/>
      <c r="H332" s="1745"/>
      <c r="I332" s="1745"/>
      <c r="J332" s="1745"/>
      <c r="K332" s="1695"/>
      <c r="L332" s="1745"/>
      <c r="M332" s="1699"/>
      <c r="N332" s="1695"/>
      <c r="O332" s="1695"/>
      <c r="P332" s="1745"/>
      <c r="Q332" s="1745"/>
      <c r="R332" s="1745"/>
      <c r="S332" s="1745"/>
      <c r="T332" s="1745"/>
      <c r="U332" s="1699"/>
      <c r="V332" s="1699"/>
      <c r="W332" s="1695"/>
      <c r="X332" s="1695"/>
      <c r="Y332" s="1695"/>
      <c r="Z332" s="1695"/>
      <c r="AA332" s="1695"/>
      <c r="AB332" s="1699"/>
      <c r="AC332" s="1695"/>
      <c r="AD332" s="1695"/>
      <c r="AE332" s="1695"/>
      <c r="AF332" s="1695"/>
      <c r="AG332" s="1695"/>
      <c r="AH332" s="1699"/>
      <c r="AI332" s="1695"/>
      <c r="AJ332" s="1695"/>
      <c r="AK332" s="1695"/>
      <c r="AL332" s="1695"/>
      <c r="AM332" s="1695"/>
      <c r="AN332" s="1695"/>
      <c r="AO332" s="1699"/>
      <c r="AP332" s="1729"/>
      <c r="BI332" s="1687" t="s">
        <v>2053</v>
      </c>
    </row>
    <row r="333" spans="1:61" ht="15.75" thickBot="1">
      <c r="A333" s="2438"/>
      <c r="B333" s="1695"/>
      <c r="C333" s="1696"/>
      <c r="D333" s="1696"/>
      <c r="E333" s="1695"/>
      <c r="F333" s="1695"/>
      <c r="G333" s="1745"/>
      <c r="H333" s="1745"/>
      <c r="I333" s="1745"/>
      <c r="J333" s="1745"/>
      <c r="K333" s="1695"/>
      <c r="L333" s="1745"/>
      <c r="M333" s="1699"/>
      <c r="N333" s="1695"/>
      <c r="O333" s="1695"/>
      <c r="P333" s="1745"/>
      <c r="Q333" s="1745"/>
      <c r="R333" s="1745"/>
      <c r="S333" s="1745"/>
      <c r="T333" s="1745"/>
      <c r="U333" s="1699"/>
      <c r="V333" s="1699"/>
      <c r="W333" s="1695"/>
      <c r="X333" s="1695"/>
      <c r="Y333" s="1695"/>
      <c r="Z333" s="1695"/>
      <c r="AA333" s="1695"/>
      <c r="AB333" s="1699"/>
      <c r="AC333" s="1695"/>
      <c r="AD333" s="1695"/>
      <c r="AE333" s="1695"/>
      <c r="AF333" s="1695"/>
      <c r="AG333" s="1695"/>
      <c r="AH333" s="1699"/>
      <c r="AI333" s="1695"/>
      <c r="AJ333" s="1695"/>
      <c r="AK333" s="1695"/>
      <c r="AL333" s="1695"/>
      <c r="AM333" s="1695"/>
      <c r="AN333" s="1695"/>
      <c r="AO333" s="1699"/>
      <c r="AP333" s="1729"/>
      <c r="AQ333" s="1687">
        <v>20</v>
      </c>
      <c r="BG333" s="1687">
        <v>683.23</v>
      </c>
      <c r="BH333" s="1687">
        <v>889.41</v>
      </c>
      <c r="BI333" s="1687">
        <f>BH333/BG333</f>
        <v>1.3017724631529646</v>
      </c>
    </row>
    <row r="334" spans="1:61" ht="19.5" thickBot="1">
      <c r="A334" s="1746"/>
      <c r="B334" s="1814"/>
      <c r="C334" s="1815"/>
      <c r="D334" s="1815"/>
      <c r="E334" s="1814"/>
      <c r="F334" s="1816"/>
      <c r="G334" s="1817"/>
      <c r="H334" s="1817"/>
      <c r="I334" s="1817"/>
      <c r="J334" s="1817"/>
      <c r="K334" s="1818"/>
      <c r="L334" s="1817"/>
      <c r="M334" s="1819"/>
      <c r="N334" s="1816"/>
      <c r="O334" s="1816"/>
      <c r="P334" s="1820"/>
      <c r="Q334" s="1717"/>
      <c r="R334" s="1717"/>
      <c r="S334" s="1717"/>
      <c r="T334" s="1717"/>
      <c r="U334" s="1819"/>
      <c r="V334" s="1819"/>
      <c r="W334" s="1821"/>
      <c r="X334" s="1821"/>
      <c r="Y334" s="1821"/>
      <c r="Z334" s="1821"/>
      <c r="AA334" s="1821"/>
      <c r="AB334" s="1819"/>
      <c r="AC334" s="1821"/>
      <c r="AD334" s="1821"/>
      <c r="AE334" s="1821"/>
      <c r="AF334" s="1821"/>
      <c r="AG334" s="1821"/>
      <c r="AH334" s="1819"/>
      <c r="AI334" s="1821"/>
      <c r="AJ334" s="1821"/>
      <c r="AK334" s="1821"/>
      <c r="AL334" s="1821"/>
      <c r="AM334" s="1821"/>
      <c r="AN334" s="1816"/>
      <c r="AO334" s="1819"/>
      <c r="AP334" s="1822"/>
      <c r="AQ334" s="1687">
        <v>30</v>
      </c>
      <c r="BG334" s="1687">
        <v>783.08</v>
      </c>
      <c r="BH334" s="1687">
        <v>1001.91</v>
      </c>
      <c r="BI334" s="1687">
        <f t="shared" ref="BI334:BI340" si="44">BH334/BG334</f>
        <v>1.2794478214230984</v>
      </c>
    </row>
    <row r="335" spans="1:61">
      <c r="A335" s="2437" t="s">
        <v>636</v>
      </c>
      <c r="B335" s="1739" t="s">
        <v>2068</v>
      </c>
      <c r="C335" s="1824" t="s">
        <v>1839</v>
      </c>
      <c r="D335" s="1824" t="s">
        <v>1440</v>
      </c>
      <c r="E335" s="1907">
        <f>AVERAGE(AO335:AO341)</f>
        <v>4.347142857142857</v>
      </c>
      <c r="F335" s="1896" t="s">
        <v>1896</v>
      </c>
      <c r="G335" s="1897">
        <f>AP335*BQ22</f>
        <v>64.61891268502184</v>
      </c>
      <c r="H335" s="1898">
        <f>E335*$G$335</f>
        <v>280.90764471503064</v>
      </c>
      <c r="I335" s="1834"/>
      <c r="J335" s="1835"/>
      <c r="K335" s="1899">
        <v>0.23</v>
      </c>
      <c r="L335" s="1836">
        <f>E335*$G$335*(1+$K$335)</f>
        <v>345.5164029994877</v>
      </c>
      <c r="M335" s="1743" t="s">
        <v>1942</v>
      </c>
      <c r="N335" s="1782"/>
      <c r="O335" s="1870">
        <v>2.25</v>
      </c>
      <c r="P335" s="1738">
        <v>59</v>
      </c>
      <c r="Q335" s="1738">
        <f>O335*P335</f>
        <v>132.75</v>
      </c>
      <c r="R335" s="1738"/>
      <c r="S335" s="1738"/>
      <c r="T335" s="1737">
        <f>Q335</f>
        <v>132.75</v>
      </c>
      <c r="U335" s="1824" t="s">
        <v>1605</v>
      </c>
      <c r="V335" s="1908"/>
      <c r="W335" s="1909"/>
      <c r="X335" s="1909"/>
      <c r="Y335" s="1909"/>
      <c r="Z335" s="1909"/>
      <c r="AA335" s="1909"/>
      <c r="AB335" s="1908"/>
      <c r="AC335" s="1909"/>
      <c r="AD335" s="1909"/>
      <c r="AE335" s="1909"/>
      <c r="AF335" s="1909"/>
      <c r="AG335" s="1909"/>
      <c r="AH335" s="1908"/>
      <c r="AI335" s="1909"/>
      <c r="AJ335" s="1909"/>
      <c r="AK335" s="1909"/>
      <c r="AL335" s="1909"/>
      <c r="AM335" s="1909"/>
      <c r="AN335" s="1909"/>
      <c r="AO335" s="1910">
        <v>3.6360000000000001</v>
      </c>
      <c r="AP335" s="1901">
        <v>55.8</v>
      </c>
      <c r="AQ335" s="1687">
        <v>40</v>
      </c>
      <c r="BG335" s="1687">
        <v>1135.8800000000001</v>
      </c>
      <c r="BH335" s="1687">
        <v>1393.91</v>
      </c>
      <c r="BI335" s="1687">
        <f t="shared" si="44"/>
        <v>1.2271630806071063</v>
      </c>
    </row>
    <row r="336" spans="1:61">
      <c r="A336" s="2438"/>
      <c r="B336" s="1740"/>
      <c r="C336" s="1873"/>
      <c r="D336" s="1873"/>
      <c r="E336" s="1908"/>
      <c r="F336" s="1903"/>
      <c r="G336" s="1904"/>
      <c r="H336" s="1905"/>
      <c r="I336" s="1745"/>
      <c r="J336" s="1745"/>
      <c r="K336" s="1906"/>
      <c r="L336" s="1805"/>
      <c r="M336" s="1743" t="s">
        <v>1951</v>
      </c>
      <c r="N336" s="1782"/>
      <c r="O336" s="1782">
        <v>3.25</v>
      </c>
      <c r="P336" s="1738">
        <v>40.64</v>
      </c>
      <c r="Q336" s="1738">
        <f t="shared" ref="Q336:Q337" si="45">O336*P336</f>
        <v>132.08000000000001</v>
      </c>
      <c r="R336" s="1738"/>
      <c r="S336" s="1738"/>
      <c r="T336" s="1737">
        <f t="shared" ref="T336:T337" si="46">Q336</f>
        <v>132.08000000000001</v>
      </c>
      <c r="U336" s="1733" t="s">
        <v>1606</v>
      </c>
      <c r="V336" s="1908"/>
      <c r="W336" s="1909"/>
      <c r="X336" s="1909"/>
      <c r="Y336" s="1909"/>
      <c r="Z336" s="1909"/>
      <c r="AA336" s="1909"/>
      <c r="AB336" s="1908"/>
      <c r="AC336" s="1909"/>
      <c r="AD336" s="1909"/>
      <c r="AE336" s="1909"/>
      <c r="AF336" s="1909"/>
      <c r="AG336" s="1909"/>
      <c r="AH336" s="1908"/>
      <c r="AI336" s="1909"/>
      <c r="AJ336" s="1909"/>
      <c r="AK336" s="1909"/>
      <c r="AL336" s="1909"/>
      <c r="AM336" s="1909"/>
      <c r="AN336" s="1909"/>
      <c r="AO336" s="1911">
        <v>3.6360000000000001</v>
      </c>
      <c r="AP336" s="1758">
        <v>55.8</v>
      </c>
      <c r="AQ336" s="1687">
        <v>52</v>
      </c>
      <c r="BG336" s="1687">
        <v>1221.5</v>
      </c>
      <c r="BH336" s="1687">
        <v>1502.74</v>
      </c>
      <c r="BI336" s="1687">
        <f t="shared" si="44"/>
        <v>1.2302415063446581</v>
      </c>
    </row>
    <row r="337" spans="1:61">
      <c r="A337" s="2438"/>
      <c r="B337" s="1699"/>
      <c r="C337" s="1696"/>
      <c r="D337" s="1696"/>
      <c r="E337" s="1908"/>
      <c r="F337" s="1903"/>
      <c r="G337" s="1904"/>
      <c r="H337" s="1905"/>
      <c r="I337" s="1745"/>
      <c r="J337" s="1745"/>
      <c r="K337" s="1906"/>
      <c r="L337" s="1805"/>
      <c r="M337" s="1743" t="s">
        <v>1995</v>
      </c>
      <c r="N337" s="1782"/>
      <c r="O337" s="1782">
        <v>1</v>
      </c>
      <c r="P337" s="1738">
        <v>40.64</v>
      </c>
      <c r="Q337" s="1738">
        <f t="shared" si="45"/>
        <v>40.64</v>
      </c>
      <c r="R337" s="1738"/>
      <c r="S337" s="1738"/>
      <c r="T337" s="1737">
        <f t="shared" si="46"/>
        <v>40.64</v>
      </c>
      <c r="U337" s="1733" t="s">
        <v>1607</v>
      </c>
      <c r="V337" s="1908"/>
      <c r="W337" s="1909"/>
      <c r="X337" s="1909"/>
      <c r="Y337" s="1909"/>
      <c r="Z337" s="1909"/>
      <c r="AA337" s="1909"/>
      <c r="AB337" s="1908"/>
      <c r="AC337" s="1909"/>
      <c r="AD337" s="1909"/>
      <c r="AE337" s="1909"/>
      <c r="AF337" s="1909"/>
      <c r="AG337" s="1909"/>
      <c r="AH337" s="1908"/>
      <c r="AI337" s="1909"/>
      <c r="AJ337" s="1909"/>
      <c r="AK337" s="1909"/>
      <c r="AL337" s="1909"/>
      <c r="AM337" s="1909"/>
      <c r="AN337" s="1909"/>
      <c r="AO337" s="1912">
        <v>4</v>
      </c>
      <c r="AP337" s="1758">
        <v>55.8</v>
      </c>
      <c r="AQ337" s="1687">
        <v>66</v>
      </c>
      <c r="BG337" s="1687">
        <v>1322.3</v>
      </c>
      <c r="BH337" s="1687">
        <v>1614.74</v>
      </c>
      <c r="BI337" s="1687">
        <f t="shared" si="44"/>
        <v>1.2211600998260608</v>
      </c>
    </row>
    <row r="338" spans="1:61">
      <c r="A338" s="2438"/>
      <c r="B338" s="1699"/>
      <c r="C338" s="1696"/>
      <c r="D338" s="1696"/>
      <c r="E338" s="1908"/>
      <c r="F338" s="1903"/>
      <c r="G338" s="1904"/>
      <c r="H338" s="1905"/>
      <c r="I338" s="1745"/>
      <c r="J338" s="1745"/>
      <c r="K338" s="1906"/>
      <c r="L338" s="1805"/>
      <c r="M338" s="1740"/>
      <c r="N338" s="1741"/>
      <c r="O338" s="1741"/>
      <c r="P338" s="1843"/>
      <c r="Q338" s="1843"/>
      <c r="R338" s="1843"/>
      <c r="S338" s="1843"/>
      <c r="T338" s="1799"/>
      <c r="U338" s="1787" t="s">
        <v>1608</v>
      </c>
      <c r="V338" s="1908"/>
      <c r="W338" s="1909"/>
      <c r="X338" s="1909"/>
      <c r="Y338" s="1909"/>
      <c r="Z338" s="1909"/>
      <c r="AA338" s="1909"/>
      <c r="AB338" s="1908"/>
      <c r="AC338" s="1909"/>
      <c r="AD338" s="1909"/>
      <c r="AE338" s="1909"/>
      <c r="AF338" s="1909"/>
      <c r="AG338" s="1909"/>
      <c r="AH338" s="1908"/>
      <c r="AI338" s="1909"/>
      <c r="AJ338" s="1909"/>
      <c r="AK338" s="1909"/>
      <c r="AL338" s="1909"/>
      <c r="AM338" s="1909"/>
      <c r="AN338" s="1909"/>
      <c r="AO338" s="1912">
        <v>4</v>
      </c>
      <c r="AP338" s="1758">
        <v>55.8</v>
      </c>
      <c r="AQ338" s="1687">
        <v>80</v>
      </c>
      <c r="BG338" s="1687">
        <v>1696.73</v>
      </c>
      <c r="BH338" s="1687">
        <v>2032.38</v>
      </c>
      <c r="BI338" s="1687">
        <f t="shared" si="44"/>
        <v>1.1978216923140395</v>
      </c>
    </row>
    <row r="339" spans="1:61">
      <c r="A339" s="2438"/>
      <c r="B339" s="1699"/>
      <c r="C339" s="1696"/>
      <c r="D339" s="1696"/>
      <c r="E339" s="1908"/>
      <c r="F339" s="1903"/>
      <c r="G339" s="1904"/>
      <c r="H339" s="1905"/>
      <c r="I339" s="1745"/>
      <c r="J339" s="1745"/>
      <c r="K339" s="1906"/>
      <c r="L339" s="1805"/>
      <c r="M339" s="1699"/>
      <c r="N339" s="1695"/>
      <c r="O339" s="1695"/>
      <c r="P339" s="1745"/>
      <c r="Q339" s="1745"/>
      <c r="R339" s="1745"/>
      <c r="S339" s="1745"/>
      <c r="T339" s="1805"/>
      <c r="U339" s="1733" t="s">
        <v>1609</v>
      </c>
      <c r="V339" s="1908"/>
      <c r="W339" s="1909"/>
      <c r="X339" s="1909"/>
      <c r="Y339" s="1909"/>
      <c r="Z339" s="1909"/>
      <c r="AA339" s="1909"/>
      <c r="AB339" s="1908"/>
      <c r="AC339" s="1909"/>
      <c r="AD339" s="1909"/>
      <c r="AE339" s="1909"/>
      <c r="AF339" s="1909"/>
      <c r="AG339" s="1909"/>
      <c r="AH339" s="1908"/>
      <c r="AI339" s="1909"/>
      <c r="AJ339" s="1909"/>
      <c r="AK339" s="1909"/>
      <c r="AL339" s="1909"/>
      <c r="AM339" s="1909"/>
      <c r="AN339" s="1909"/>
      <c r="AO339" s="1912">
        <v>4.444</v>
      </c>
      <c r="AP339" s="1758">
        <v>55.8</v>
      </c>
      <c r="AQ339" s="1687">
        <v>120</v>
      </c>
      <c r="BG339" s="1687">
        <v>1891.32</v>
      </c>
      <c r="BH339" s="1687">
        <v>2279.62</v>
      </c>
      <c r="BI339" s="1687">
        <f t="shared" si="44"/>
        <v>1.2053063468900027</v>
      </c>
    </row>
    <row r="340" spans="1:61">
      <c r="A340" s="2438"/>
      <c r="B340" s="1699"/>
      <c r="C340" s="1696"/>
      <c r="D340" s="1696"/>
      <c r="E340" s="1908"/>
      <c r="F340" s="1903"/>
      <c r="G340" s="1904"/>
      <c r="H340" s="1905"/>
      <c r="I340" s="1745"/>
      <c r="J340" s="1745"/>
      <c r="K340" s="1906"/>
      <c r="L340" s="1805"/>
      <c r="M340" s="1699"/>
      <c r="N340" s="1695"/>
      <c r="O340" s="1695"/>
      <c r="P340" s="1745"/>
      <c r="Q340" s="1745"/>
      <c r="R340" s="1745"/>
      <c r="S340" s="1745"/>
      <c r="T340" s="1805"/>
      <c r="U340" s="1733" t="s">
        <v>1610</v>
      </c>
      <c r="V340" s="1908"/>
      <c r="W340" s="1909"/>
      <c r="X340" s="1909"/>
      <c r="Y340" s="1909"/>
      <c r="Z340" s="1909"/>
      <c r="AA340" s="1909"/>
      <c r="AB340" s="1908"/>
      <c r="AC340" s="1909"/>
      <c r="AD340" s="1909"/>
      <c r="AE340" s="1909"/>
      <c r="AF340" s="1909"/>
      <c r="AG340" s="1909"/>
      <c r="AH340" s="1908"/>
      <c r="AI340" s="1909"/>
      <c r="AJ340" s="1909"/>
      <c r="AK340" s="1909"/>
      <c r="AL340" s="1909"/>
      <c r="AM340" s="1909"/>
      <c r="AN340" s="1909"/>
      <c r="AO340" s="1912">
        <v>5</v>
      </c>
      <c r="AP340" s="1758">
        <v>55.8</v>
      </c>
      <c r="BG340" s="1687">
        <v>2523.52</v>
      </c>
      <c r="BH340" s="1687">
        <v>3001.28</v>
      </c>
      <c r="BI340" s="1687">
        <f t="shared" si="44"/>
        <v>1.1893228506213545</v>
      </c>
    </row>
    <row r="341" spans="1:61">
      <c r="A341" s="2438"/>
      <c r="B341" s="1699"/>
      <c r="C341" s="1696"/>
      <c r="D341" s="1696"/>
      <c r="E341" s="1908"/>
      <c r="F341" s="1903"/>
      <c r="G341" s="1904"/>
      <c r="H341" s="1905"/>
      <c r="I341" s="1745"/>
      <c r="J341" s="1745"/>
      <c r="K341" s="1906"/>
      <c r="L341" s="1805"/>
      <c r="M341" s="1699"/>
      <c r="N341" s="1695"/>
      <c r="O341" s="1695"/>
      <c r="P341" s="1745"/>
      <c r="Q341" s="1745"/>
      <c r="R341" s="1745"/>
      <c r="S341" s="1745"/>
      <c r="T341" s="1805"/>
      <c r="U341" s="1733" t="s">
        <v>1611</v>
      </c>
      <c r="V341" s="1908"/>
      <c r="W341" s="1909"/>
      <c r="X341" s="1909"/>
      <c r="Y341" s="1909"/>
      <c r="Z341" s="1909"/>
      <c r="AA341" s="1909"/>
      <c r="AB341" s="1908"/>
      <c r="AC341" s="1909"/>
      <c r="AD341" s="1909"/>
      <c r="AE341" s="1909"/>
      <c r="AF341" s="1909"/>
      <c r="AG341" s="1909"/>
      <c r="AH341" s="1908"/>
      <c r="AI341" s="1909"/>
      <c r="AJ341" s="1909"/>
      <c r="AK341" s="1909"/>
      <c r="AL341" s="1909"/>
      <c r="AM341" s="1909"/>
      <c r="AN341" s="1909"/>
      <c r="AO341" s="1912">
        <v>5.7140000000000004</v>
      </c>
      <c r="AP341" s="1758">
        <v>55.8</v>
      </c>
      <c r="BI341" s="1687">
        <f>AVERAGE(BI333:BI340)</f>
        <v>1.2315294826474106</v>
      </c>
    </row>
    <row r="342" spans="1:61">
      <c r="A342" s="2438"/>
      <c r="B342" s="1909"/>
      <c r="C342" s="1913"/>
      <c r="D342" s="1913"/>
      <c r="E342" s="1909"/>
      <c r="F342" s="1909"/>
      <c r="G342" s="1914"/>
      <c r="H342" s="1914"/>
      <c r="I342" s="1914"/>
      <c r="J342" s="1914"/>
      <c r="K342" s="1909"/>
      <c r="L342" s="1914"/>
      <c r="M342" s="1908"/>
      <c r="N342" s="1909"/>
      <c r="O342" s="1909"/>
      <c r="P342" s="1914"/>
      <c r="Q342" s="1914"/>
      <c r="R342" s="1914"/>
      <c r="S342" s="1914"/>
      <c r="T342" s="1914"/>
      <c r="U342" s="1908"/>
      <c r="V342" s="1908"/>
      <c r="W342" s="1909"/>
      <c r="X342" s="1909"/>
      <c r="Y342" s="1909"/>
      <c r="Z342" s="1909"/>
      <c r="AA342" s="1909"/>
      <c r="AB342" s="1908"/>
      <c r="AC342" s="1909"/>
      <c r="AD342" s="1909"/>
      <c r="AE342" s="1909"/>
      <c r="AF342" s="1909"/>
      <c r="AG342" s="1909"/>
      <c r="AH342" s="1908"/>
      <c r="AI342" s="1909"/>
      <c r="AJ342" s="1909"/>
      <c r="AK342" s="1909"/>
      <c r="AL342" s="1909"/>
      <c r="AM342" s="1909"/>
      <c r="AN342" s="1909"/>
      <c r="AO342" s="1908"/>
      <c r="AP342" s="1729"/>
    </row>
    <row r="343" spans="1:61" ht="9" customHeight="1">
      <c r="A343" s="2438"/>
      <c r="B343" s="1909"/>
      <c r="C343" s="1913"/>
      <c r="D343" s="1913"/>
      <c r="E343" s="1909"/>
      <c r="F343" s="1909"/>
      <c r="G343" s="1914"/>
      <c r="H343" s="1914"/>
      <c r="I343" s="1914"/>
      <c r="J343" s="1914"/>
      <c r="K343" s="1909"/>
      <c r="L343" s="1914"/>
      <c r="M343" s="1908"/>
      <c r="N343" s="1909"/>
      <c r="O343" s="1909"/>
      <c r="P343" s="1914"/>
      <c r="Q343" s="1914"/>
      <c r="R343" s="1914"/>
      <c r="S343" s="1914"/>
      <c r="T343" s="1914"/>
      <c r="U343" s="1908"/>
      <c r="V343" s="1908"/>
      <c r="W343" s="1909"/>
      <c r="X343" s="1909"/>
      <c r="Y343" s="1909"/>
      <c r="Z343" s="1909"/>
      <c r="AA343" s="1909"/>
      <c r="AB343" s="1908"/>
      <c r="AC343" s="1909"/>
      <c r="AD343" s="1909"/>
      <c r="AE343" s="1909"/>
      <c r="AF343" s="1909"/>
      <c r="AG343" s="1909"/>
      <c r="AH343" s="1908"/>
      <c r="AI343" s="1909"/>
      <c r="AJ343" s="1909"/>
      <c r="AK343" s="1909"/>
      <c r="AL343" s="1909"/>
      <c r="AM343" s="1909"/>
      <c r="AN343" s="1909"/>
      <c r="AO343" s="1908"/>
      <c r="AP343" s="1915"/>
    </row>
    <row r="344" spans="1:61" ht="15.75" thickBot="1">
      <c r="A344" s="2438"/>
      <c r="B344" s="1909"/>
      <c r="C344" s="1913"/>
      <c r="D344" s="1913"/>
      <c r="E344" s="1909"/>
      <c r="F344" s="1909"/>
      <c r="G344" s="1914"/>
      <c r="H344" s="1914"/>
      <c r="I344" s="1914"/>
      <c r="J344" s="1914"/>
      <c r="K344" s="1909"/>
      <c r="L344" s="1914"/>
      <c r="M344" s="1908"/>
      <c r="N344" s="1909"/>
      <c r="O344" s="1909"/>
      <c r="P344" s="1914"/>
      <c r="Q344" s="1914"/>
      <c r="R344" s="1914"/>
      <c r="S344" s="1914"/>
      <c r="T344" s="1914"/>
      <c r="U344" s="1908"/>
      <c r="V344" s="1908"/>
      <c r="W344" s="1909"/>
      <c r="X344" s="1909"/>
      <c r="Y344" s="1909"/>
      <c r="Z344" s="1909"/>
      <c r="AA344" s="1909"/>
      <c r="AB344" s="1908"/>
      <c r="AC344" s="1909"/>
      <c r="AD344" s="1909"/>
      <c r="AE344" s="1909"/>
      <c r="AF344" s="1909"/>
      <c r="AG344" s="1909"/>
      <c r="AH344" s="1908"/>
      <c r="AI344" s="1909"/>
      <c r="AJ344" s="1909"/>
      <c r="AK344" s="1909"/>
      <c r="AL344" s="1909"/>
      <c r="AM344" s="1909"/>
      <c r="AN344" s="1909"/>
      <c r="AO344" s="1908"/>
      <c r="AP344" s="1915"/>
      <c r="AQ344" s="1687">
        <v>3.2</v>
      </c>
      <c r="BI344" s="1687" t="s">
        <v>2053</v>
      </c>
    </row>
    <row r="345" spans="1:61" ht="19.5" thickBot="1">
      <c r="A345" s="1746"/>
      <c r="B345" s="1715"/>
      <c r="C345" s="1716"/>
      <c r="D345" s="1716"/>
      <c r="E345" s="1715"/>
      <c r="F345" s="1715"/>
      <c r="G345" s="1717"/>
      <c r="H345" s="1717"/>
      <c r="I345" s="1717"/>
      <c r="J345" s="1717"/>
      <c r="K345" s="1715"/>
      <c r="L345" s="1717"/>
      <c r="M345" s="1718"/>
      <c r="N345" s="1715"/>
      <c r="O345" s="1715"/>
      <c r="P345" s="1717"/>
      <c r="Q345" s="1717"/>
      <c r="R345" s="1717"/>
      <c r="S345" s="1717"/>
      <c r="T345" s="1717"/>
      <c r="U345" s="1718"/>
      <c r="V345" s="1718"/>
      <c r="W345" s="1715"/>
      <c r="X345" s="1715"/>
      <c r="Y345" s="1715"/>
      <c r="Z345" s="1715"/>
      <c r="AA345" s="1715"/>
      <c r="AB345" s="1718"/>
      <c r="AC345" s="1715"/>
      <c r="AD345" s="1715"/>
      <c r="AE345" s="1715"/>
      <c r="AF345" s="1715"/>
      <c r="AG345" s="1715"/>
      <c r="AH345" s="1718"/>
      <c r="AI345" s="1715"/>
      <c r="AJ345" s="1715"/>
      <c r="AK345" s="1715"/>
      <c r="AL345" s="1715"/>
      <c r="AM345" s="1715"/>
      <c r="AN345" s="1715"/>
      <c r="AO345" s="1718"/>
      <c r="AP345" s="1719"/>
      <c r="AQ345" s="1687">
        <v>6.4</v>
      </c>
      <c r="BG345" s="1687">
        <v>779.1</v>
      </c>
      <c r="BH345" s="1687">
        <v>1015.54</v>
      </c>
      <c r="BI345" s="1687">
        <f>BH345/BG345</f>
        <v>1.3034783724810679</v>
      </c>
    </row>
    <row r="346" spans="1:61">
      <c r="A346" s="2437" t="s">
        <v>230</v>
      </c>
      <c r="B346" s="1739" t="s">
        <v>2069</v>
      </c>
      <c r="C346" s="1824" t="s">
        <v>1839</v>
      </c>
      <c r="D346" s="1824" t="s">
        <v>1440</v>
      </c>
      <c r="E346" s="1916">
        <f>AVERAGE(AO346:AO349)</f>
        <v>4.4137500000000003</v>
      </c>
      <c r="F346" s="1881" t="s">
        <v>1897</v>
      </c>
      <c r="G346" s="1917">
        <f>AP346*BQ22</f>
        <v>64.61891268502184</v>
      </c>
      <c r="H346" s="1918">
        <f>E346*$G$346</f>
        <v>285.21172586351514</v>
      </c>
      <c r="I346" s="1919"/>
      <c r="J346" s="1920"/>
      <c r="K346" s="1921">
        <v>0.26</v>
      </c>
      <c r="L346" s="1922">
        <f>E346*$G$346*(1+$K$346)</f>
        <v>359.3667745880291</v>
      </c>
      <c r="M346" s="1743" t="s">
        <v>1942</v>
      </c>
      <c r="N346" s="1782"/>
      <c r="O346" s="1870">
        <v>2.25</v>
      </c>
      <c r="P346" s="1738">
        <v>59</v>
      </c>
      <c r="Q346" s="1738">
        <f>O346*P346</f>
        <v>132.75</v>
      </c>
      <c r="R346" s="1738"/>
      <c r="S346" s="1738"/>
      <c r="T346" s="1738">
        <f>Q346</f>
        <v>132.75</v>
      </c>
      <c r="U346" s="1733" t="s">
        <v>1612</v>
      </c>
      <c r="V346" s="1699"/>
      <c r="W346" s="1695"/>
      <c r="X346" s="1695"/>
      <c r="Y346" s="1695"/>
      <c r="Z346" s="1695"/>
      <c r="AA346" s="1695"/>
      <c r="AB346" s="1699"/>
      <c r="AC346" s="1695"/>
      <c r="AD346" s="1695"/>
      <c r="AE346" s="1695"/>
      <c r="AF346" s="1695"/>
      <c r="AG346" s="1695"/>
      <c r="AH346" s="1699"/>
      <c r="AI346" s="1695"/>
      <c r="AJ346" s="1695"/>
      <c r="AK346" s="1695"/>
      <c r="AL346" s="1695"/>
      <c r="AM346" s="1695"/>
      <c r="AN346" s="1695"/>
      <c r="AO346" s="1757">
        <v>4</v>
      </c>
      <c r="AP346" s="1758">
        <v>55.8</v>
      </c>
      <c r="AQ346" s="1687">
        <v>8.4</v>
      </c>
      <c r="BG346" s="1687">
        <v>1102.6400000000001</v>
      </c>
      <c r="BH346" s="1687">
        <v>1386.76</v>
      </c>
      <c r="BI346" s="1687">
        <f t="shared" ref="BI346:BI348" si="47">BH346/BG346</f>
        <v>1.2576724951026625</v>
      </c>
    </row>
    <row r="347" spans="1:61">
      <c r="A347" s="2438"/>
      <c r="B347" s="1923"/>
      <c r="C347" s="1924"/>
      <c r="D347" s="1924"/>
      <c r="E347" s="1923"/>
      <c r="F347" s="1925"/>
      <c r="G347" s="1926"/>
      <c r="H347" s="1927"/>
      <c r="I347" s="1928"/>
      <c r="J347" s="1928"/>
      <c r="K347" s="1929"/>
      <c r="L347" s="1930"/>
      <c r="M347" s="1743" t="s">
        <v>1951</v>
      </c>
      <c r="N347" s="1931"/>
      <c r="O347" s="1931"/>
      <c r="P347" s="1738"/>
      <c r="Q347" s="1737"/>
      <c r="R347" s="1737"/>
      <c r="S347" s="1737"/>
      <c r="T347" s="1751">
        <v>967</v>
      </c>
      <c r="U347" s="1733" t="s">
        <v>1613</v>
      </c>
      <c r="V347" s="1699"/>
      <c r="W347" s="1695"/>
      <c r="X347" s="1695"/>
      <c r="Y347" s="1695"/>
      <c r="Z347" s="1695"/>
      <c r="AA347" s="1695"/>
      <c r="AB347" s="1699"/>
      <c r="AC347" s="1695"/>
      <c r="AD347" s="1695"/>
      <c r="AE347" s="1695"/>
      <c r="AF347" s="1695"/>
      <c r="AG347" s="1695"/>
      <c r="AH347" s="1699"/>
      <c r="AI347" s="1695"/>
      <c r="AJ347" s="1695"/>
      <c r="AK347" s="1695"/>
      <c r="AL347" s="1695"/>
      <c r="AM347" s="1695"/>
      <c r="AN347" s="1695"/>
      <c r="AO347" s="1757">
        <v>4.2110000000000003</v>
      </c>
      <c r="AP347" s="1758">
        <v>55.8</v>
      </c>
      <c r="AQ347" s="1687">
        <v>9.5</v>
      </c>
      <c r="BG347" s="1687">
        <v>1271.1300000000001</v>
      </c>
      <c r="BH347" s="1687">
        <v>1578.78</v>
      </c>
      <c r="BI347" s="1687">
        <f t="shared" si="47"/>
        <v>1.2420287460763257</v>
      </c>
    </row>
    <row r="348" spans="1:61">
      <c r="A348" s="2438"/>
      <c r="B348" s="1932"/>
      <c r="C348" s="1933"/>
      <c r="D348" s="1933"/>
      <c r="E348" s="1932"/>
      <c r="F348" s="1934"/>
      <c r="G348" s="1935"/>
      <c r="H348" s="1936"/>
      <c r="I348" s="1937"/>
      <c r="J348" s="1937"/>
      <c r="K348" s="1938"/>
      <c r="L348" s="1939"/>
      <c r="M348" s="1740"/>
      <c r="N348" s="1741"/>
      <c r="O348" s="1741"/>
      <c r="P348" s="1843"/>
      <c r="Q348" s="1843"/>
      <c r="R348" s="1843"/>
      <c r="S348" s="1843"/>
      <c r="T348" s="1799"/>
      <c r="U348" s="1733" t="s">
        <v>1614</v>
      </c>
      <c r="V348" s="1699"/>
      <c r="W348" s="1695"/>
      <c r="X348" s="1695"/>
      <c r="Y348" s="1695"/>
      <c r="Z348" s="1695"/>
      <c r="AA348" s="1695"/>
      <c r="AB348" s="1699"/>
      <c r="AC348" s="1695"/>
      <c r="AD348" s="1695"/>
      <c r="AE348" s="1695"/>
      <c r="AF348" s="1695"/>
      <c r="AG348" s="1695"/>
      <c r="AH348" s="1699"/>
      <c r="AI348" s="1695"/>
      <c r="AJ348" s="1695"/>
      <c r="AK348" s="1695"/>
      <c r="AL348" s="1695"/>
      <c r="AM348" s="1695"/>
      <c r="AN348" s="1695"/>
      <c r="AO348" s="1757">
        <v>4.444</v>
      </c>
      <c r="AP348" s="1758">
        <v>55.8</v>
      </c>
      <c r="BG348" s="1687">
        <v>1488.12</v>
      </c>
      <c r="BH348" s="1687">
        <v>1837.22</v>
      </c>
      <c r="BI348" s="1687">
        <f t="shared" si="47"/>
        <v>1.2345912964008281</v>
      </c>
    </row>
    <row r="349" spans="1:61">
      <c r="A349" s="2438"/>
      <c r="B349" s="1932"/>
      <c r="C349" s="1933"/>
      <c r="D349" s="1933"/>
      <c r="E349" s="1932"/>
      <c r="F349" s="1934"/>
      <c r="G349" s="1935"/>
      <c r="H349" s="1936"/>
      <c r="I349" s="1937"/>
      <c r="J349" s="1937"/>
      <c r="K349" s="1938"/>
      <c r="L349" s="1939"/>
      <c r="M349" s="1699"/>
      <c r="N349" s="1695"/>
      <c r="O349" s="1695"/>
      <c r="P349" s="1745"/>
      <c r="Q349" s="1745"/>
      <c r="R349" s="1745"/>
      <c r="S349" s="1745"/>
      <c r="T349" s="1805"/>
      <c r="U349" s="1787" t="s">
        <v>1615</v>
      </c>
      <c r="V349" s="1699"/>
      <c r="W349" s="1695"/>
      <c r="X349" s="1695"/>
      <c r="Y349" s="1695"/>
      <c r="Z349" s="1695"/>
      <c r="AA349" s="1695"/>
      <c r="AB349" s="1699"/>
      <c r="AC349" s="1695"/>
      <c r="AD349" s="1695"/>
      <c r="AE349" s="1695"/>
      <c r="AF349" s="1695"/>
      <c r="AG349" s="1695"/>
      <c r="AH349" s="1699"/>
      <c r="AI349" s="1695"/>
      <c r="AJ349" s="1695"/>
      <c r="AK349" s="1695"/>
      <c r="AL349" s="1695"/>
      <c r="AM349" s="1695"/>
      <c r="AN349" s="1695"/>
      <c r="AO349" s="1743">
        <v>5</v>
      </c>
      <c r="AP349" s="1758">
        <v>55.8</v>
      </c>
      <c r="BI349" s="1687">
        <f>AVERAGE(BI345:BI348)</f>
        <v>1.2594427275152211</v>
      </c>
    </row>
    <row r="350" spans="1:61">
      <c r="A350" s="2438"/>
      <c r="B350" s="1695"/>
      <c r="C350" s="1696"/>
      <c r="D350" s="1696"/>
      <c r="E350" s="1695"/>
      <c r="F350" s="1695"/>
      <c r="G350" s="1745"/>
      <c r="H350" s="1745"/>
      <c r="I350" s="1745"/>
      <c r="J350" s="1745"/>
      <c r="K350" s="1695"/>
      <c r="L350" s="1745"/>
      <c r="M350" s="1699"/>
      <c r="N350" s="1695"/>
      <c r="O350" s="1695"/>
      <c r="P350" s="1745"/>
      <c r="Q350" s="1745"/>
      <c r="R350" s="1745"/>
      <c r="S350" s="1745"/>
      <c r="T350" s="1745"/>
      <c r="U350" s="1699"/>
      <c r="V350" s="1699"/>
      <c r="W350" s="1695"/>
      <c r="X350" s="1695"/>
      <c r="Y350" s="1695"/>
      <c r="Z350" s="1695"/>
      <c r="AA350" s="1695"/>
      <c r="AB350" s="1699"/>
      <c r="AC350" s="1695"/>
      <c r="AD350" s="1695"/>
      <c r="AE350" s="1695"/>
      <c r="AF350" s="1695"/>
      <c r="AG350" s="1695"/>
      <c r="AH350" s="1699"/>
      <c r="AI350" s="1695"/>
      <c r="AJ350" s="1695"/>
      <c r="AK350" s="1695"/>
      <c r="AL350" s="1695"/>
      <c r="AM350" s="1695"/>
      <c r="AN350" s="1695"/>
      <c r="AO350" s="1699"/>
      <c r="AP350" s="1729"/>
    </row>
    <row r="351" spans="1:61">
      <c r="A351" s="2438"/>
      <c r="B351" s="1695"/>
      <c r="C351" s="1696"/>
      <c r="D351" s="1696"/>
      <c r="E351" s="1695"/>
      <c r="F351" s="1695"/>
      <c r="G351" s="1745"/>
      <c r="H351" s="1745"/>
      <c r="I351" s="1745"/>
      <c r="J351" s="1745"/>
      <c r="K351" s="1695"/>
      <c r="L351" s="1745"/>
      <c r="M351" s="1699"/>
      <c r="N351" s="1695"/>
      <c r="O351" s="1695"/>
      <c r="P351" s="1745"/>
      <c r="Q351" s="1745"/>
      <c r="R351" s="1745"/>
      <c r="S351" s="1745"/>
      <c r="T351" s="1745"/>
      <c r="U351" s="1699"/>
      <c r="V351" s="1699"/>
      <c r="W351" s="1695"/>
      <c r="X351" s="1695"/>
      <c r="Y351" s="1695"/>
      <c r="Z351" s="1695"/>
      <c r="AA351" s="1695"/>
      <c r="AB351" s="1699"/>
      <c r="AC351" s="1695"/>
      <c r="AD351" s="1695"/>
      <c r="AE351" s="1695"/>
      <c r="AF351" s="1695"/>
      <c r="AG351" s="1695"/>
      <c r="AH351" s="1699"/>
      <c r="AI351" s="1695"/>
      <c r="AJ351" s="1695"/>
      <c r="AK351" s="1695"/>
      <c r="AL351" s="1695"/>
      <c r="AM351" s="1695"/>
      <c r="AN351" s="1695"/>
      <c r="AO351" s="1699"/>
      <c r="AP351" s="1729"/>
    </row>
    <row r="352" spans="1:61">
      <c r="A352" s="2438"/>
      <c r="B352" s="1695"/>
      <c r="C352" s="1696"/>
      <c r="D352" s="1696"/>
      <c r="E352" s="1695"/>
      <c r="F352" s="1695"/>
      <c r="G352" s="1745"/>
      <c r="H352" s="1745"/>
      <c r="I352" s="1745"/>
      <c r="J352" s="1745"/>
      <c r="K352" s="1695"/>
      <c r="L352" s="1745"/>
      <c r="M352" s="1699"/>
      <c r="N352" s="1695"/>
      <c r="O352" s="1695"/>
      <c r="P352" s="1745"/>
      <c r="Q352" s="1745"/>
      <c r="R352" s="1745"/>
      <c r="S352" s="1745"/>
      <c r="T352" s="1745"/>
      <c r="U352" s="1699"/>
      <c r="V352" s="1699"/>
      <c r="W352" s="1695"/>
      <c r="X352" s="1695"/>
      <c r="Y352" s="1695"/>
      <c r="Z352" s="1695"/>
      <c r="AA352" s="1695"/>
      <c r="AB352" s="1699"/>
      <c r="AC352" s="1695"/>
      <c r="AD352" s="1695"/>
      <c r="AE352" s="1695"/>
      <c r="AF352" s="1695"/>
      <c r="AG352" s="1695"/>
      <c r="AH352" s="1699"/>
      <c r="AI352" s="1695"/>
      <c r="AJ352" s="1695"/>
      <c r="AK352" s="1695"/>
      <c r="AL352" s="1695"/>
      <c r="AM352" s="1695"/>
      <c r="AN352" s="1695"/>
      <c r="AO352" s="1699"/>
      <c r="AP352" s="1729"/>
    </row>
    <row r="353" spans="1:60">
      <c r="A353" s="2438"/>
      <c r="B353" s="1695"/>
      <c r="C353" s="1696"/>
      <c r="D353" s="1696"/>
      <c r="E353" s="1695"/>
      <c r="F353" s="1695"/>
      <c r="G353" s="1745"/>
      <c r="H353" s="1745"/>
      <c r="I353" s="1745"/>
      <c r="J353" s="1745"/>
      <c r="K353" s="1695"/>
      <c r="L353" s="1745"/>
      <c r="M353" s="1699"/>
      <c r="N353" s="1695"/>
      <c r="O353" s="1695"/>
      <c r="P353" s="1745"/>
      <c r="Q353" s="1745"/>
      <c r="R353" s="1745"/>
      <c r="S353" s="1745"/>
      <c r="T353" s="1745"/>
      <c r="U353" s="1699"/>
      <c r="V353" s="1699"/>
      <c r="W353" s="1695"/>
      <c r="X353" s="1695"/>
      <c r="Y353" s="1695"/>
      <c r="Z353" s="1695"/>
      <c r="AA353" s="1695"/>
      <c r="AB353" s="1699"/>
      <c r="AC353" s="1695"/>
      <c r="AD353" s="1695"/>
      <c r="AE353" s="1695"/>
      <c r="AF353" s="1695"/>
      <c r="AG353" s="1695"/>
      <c r="AH353" s="1699"/>
      <c r="AI353" s="1695"/>
      <c r="AJ353" s="1695"/>
      <c r="AK353" s="1695"/>
      <c r="AL353" s="1695"/>
      <c r="AM353" s="1695"/>
      <c r="AN353" s="1695"/>
      <c r="AO353" s="1699"/>
      <c r="AP353" s="1729"/>
    </row>
    <row r="354" spans="1:60" ht="9" customHeight="1">
      <c r="A354" s="1766"/>
      <c r="B354" s="1695"/>
      <c r="C354" s="1696"/>
      <c r="D354" s="1696"/>
      <c r="E354" s="1695"/>
      <c r="F354" s="1695"/>
      <c r="G354" s="1745"/>
      <c r="H354" s="1745"/>
      <c r="I354" s="1745"/>
      <c r="J354" s="1745"/>
      <c r="K354" s="1695"/>
      <c r="L354" s="1745"/>
      <c r="M354" s="1699"/>
      <c r="N354" s="1695"/>
      <c r="O354" s="1695"/>
      <c r="P354" s="1745"/>
      <c r="Q354" s="1745"/>
      <c r="R354" s="1745"/>
      <c r="S354" s="1745"/>
      <c r="T354" s="1745"/>
      <c r="U354" s="1699"/>
      <c r="V354" s="1699"/>
      <c r="W354" s="1695"/>
      <c r="X354" s="1695"/>
      <c r="Y354" s="1695"/>
      <c r="Z354" s="1695"/>
      <c r="AA354" s="1695"/>
      <c r="AB354" s="1699"/>
      <c r="AC354" s="1695"/>
      <c r="AD354" s="1695"/>
      <c r="AE354" s="1695"/>
      <c r="AF354" s="1695"/>
      <c r="AG354" s="1695"/>
      <c r="AH354" s="1699"/>
      <c r="AI354" s="1695"/>
      <c r="AJ354" s="1695"/>
      <c r="AK354" s="1695"/>
      <c r="AL354" s="1695"/>
      <c r="AM354" s="1695"/>
      <c r="AN354" s="1695"/>
      <c r="AO354" s="1699"/>
      <c r="AP354" s="1729"/>
    </row>
    <row r="355" spans="1:60" ht="19.5" thickBot="1">
      <c r="A355" s="1766"/>
      <c r="B355" s="1695"/>
      <c r="C355" s="1696"/>
      <c r="D355" s="1696"/>
      <c r="E355" s="1695"/>
      <c r="F355" s="1695"/>
      <c r="G355" s="1745"/>
      <c r="H355" s="1745"/>
      <c r="I355" s="1745"/>
      <c r="J355" s="1745"/>
      <c r="K355" s="1695"/>
      <c r="L355" s="1745"/>
      <c r="M355" s="1699"/>
      <c r="N355" s="1695"/>
      <c r="O355" s="1695"/>
      <c r="P355" s="1745"/>
      <c r="Q355" s="1745"/>
      <c r="R355" s="1745"/>
      <c r="S355" s="1745"/>
      <c r="T355" s="1745"/>
      <c r="U355" s="1699"/>
      <c r="V355" s="1699"/>
      <c r="W355" s="1695"/>
      <c r="X355" s="1695"/>
      <c r="Y355" s="1695"/>
      <c r="Z355" s="1695"/>
      <c r="AA355" s="1695"/>
      <c r="AB355" s="1699"/>
      <c r="AC355" s="1695"/>
      <c r="AD355" s="1695"/>
      <c r="AE355" s="1695"/>
      <c r="AF355" s="1695"/>
      <c r="AG355" s="1695"/>
      <c r="AH355" s="1699"/>
      <c r="AI355" s="1695"/>
      <c r="AJ355" s="1695"/>
      <c r="AK355" s="1695"/>
      <c r="AL355" s="1695"/>
      <c r="AM355" s="1695"/>
      <c r="AN355" s="1695"/>
      <c r="AO355" s="1699"/>
      <c r="AP355" s="1729"/>
    </row>
    <row r="356" spans="1:60" ht="19.5" thickBot="1">
      <c r="A356" s="1746"/>
      <c r="B356" s="1715"/>
      <c r="C356" s="1716"/>
      <c r="D356" s="1716"/>
      <c r="E356" s="1715"/>
      <c r="F356" s="1715"/>
      <c r="G356" s="1717"/>
      <c r="H356" s="1717"/>
      <c r="I356" s="1717"/>
      <c r="J356" s="1717"/>
      <c r="K356" s="1715"/>
      <c r="L356" s="1717"/>
      <c r="M356" s="1718"/>
      <c r="N356" s="1715"/>
      <c r="O356" s="1715"/>
      <c r="P356" s="1717"/>
      <c r="Q356" s="1717"/>
      <c r="R356" s="1717"/>
      <c r="S356" s="1717"/>
      <c r="T356" s="1717"/>
      <c r="U356" s="1718"/>
      <c r="V356" s="1718"/>
      <c r="W356" s="1715"/>
      <c r="X356" s="1715"/>
      <c r="Y356" s="1715"/>
      <c r="Z356" s="1715"/>
      <c r="AA356" s="1715"/>
      <c r="AB356" s="1718"/>
      <c r="AC356" s="1715"/>
      <c r="AD356" s="1715"/>
      <c r="AE356" s="1715"/>
      <c r="AF356" s="1715"/>
      <c r="AG356" s="1715"/>
      <c r="AH356" s="1718"/>
      <c r="AI356" s="1715"/>
      <c r="AJ356" s="1715"/>
      <c r="AK356" s="1715"/>
      <c r="AL356" s="1715"/>
      <c r="AM356" s="1715"/>
      <c r="AN356" s="1715"/>
      <c r="AO356" s="1718"/>
      <c r="AP356" s="1719"/>
    </row>
    <row r="357" spans="1:60">
      <c r="A357" s="2423" t="s">
        <v>287</v>
      </c>
      <c r="B357" s="1770" t="s">
        <v>1802</v>
      </c>
      <c r="C357" s="1940" t="s">
        <v>1839</v>
      </c>
      <c r="D357" s="1940" t="s">
        <v>1951</v>
      </c>
      <c r="E357" s="1722">
        <f>SUM(V357:V358)</f>
        <v>4.25</v>
      </c>
      <c r="F357" s="1723"/>
      <c r="G357" s="2446">
        <f>W357*BQ22</f>
        <v>47.06295002722738</v>
      </c>
      <c r="H357" s="1941">
        <f>E357*G357</f>
        <v>200.01753761571638</v>
      </c>
      <c r="I357" s="1736">
        <f>Y359</f>
        <v>153.58000000000001</v>
      </c>
      <c r="J357" s="1842"/>
      <c r="K357" s="2426">
        <v>0.25</v>
      </c>
      <c r="L357" s="1942">
        <f>((E357*$G$357)+I357)*(1+K357)</f>
        <v>441.99692201964552</v>
      </c>
      <c r="M357" s="1699"/>
      <c r="N357" s="1695"/>
      <c r="O357" s="1695"/>
      <c r="P357" s="1745"/>
      <c r="Q357" s="1745"/>
      <c r="R357" s="1745"/>
      <c r="S357" s="1745"/>
      <c r="T357" s="1745"/>
      <c r="U357" s="1792" t="s">
        <v>1996</v>
      </c>
      <c r="V357" s="1743">
        <v>3.25</v>
      </c>
      <c r="W357" s="1782">
        <v>40.64</v>
      </c>
      <c r="X357" s="1848"/>
      <c r="Y357" s="1848"/>
      <c r="Z357" s="1848"/>
      <c r="AA357" s="1943"/>
      <c r="AB357" s="1699"/>
      <c r="AC357" s="1695"/>
      <c r="AD357" s="1695"/>
      <c r="AE357" s="1695"/>
      <c r="AF357" s="1695"/>
      <c r="AG357" s="1695"/>
      <c r="AH357" s="1699"/>
      <c r="AI357" s="1695"/>
      <c r="AJ357" s="1695"/>
      <c r="AK357" s="1695"/>
      <c r="AL357" s="1695"/>
      <c r="AM357" s="1695"/>
      <c r="AN357" s="1695"/>
      <c r="AO357" s="1699"/>
      <c r="AP357" s="1729"/>
    </row>
    <row r="358" spans="1:60">
      <c r="A358" s="2424"/>
      <c r="B358" s="1770" t="s">
        <v>2070</v>
      </c>
      <c r="C358" s="1733" t="s">
        <v>1839</v>
      </c>
      <c r="D358" s="1733" t="s">
        <v>1951</v>
      </c>
      <c r="E358" s="1723">
        <f>V360</f>
        <v>3.7</v>
      </c>
      <c r="F358" s="1723"/>
      <c r="G358" s="2446"/>
      <c r="H358" s="1941">
        <f>E358*G357</f>
        <v>174.13291510074131</v>
      </c>
      <c r="I358" s="1736">
        <f>Y360</f>
        <v>115</v>
      </c>
      <c r="J358" s="1842"/>
      <c r="K358" s="2427"/>
      <c r="L358" s="1942">
        <f>((E358*$G$357)+I358)*(1+K357)</f>
        <v>361.41614387592665</v>
      </c>
      <c r="M358" s="1699"/>
      <c r="N358" s="1695"/>
      <c r="O358" s="1695"/>
      <c r="P358" s="1745"/>
      <c r="Q358" s="1745"/>
      <c r="R358" s="1745"/>
      <c r="S358" s="1745"/>
      <c r="T358" s="1745"/>
      <c r="U358" s="1792" t="s">
        <v>1997</v>
      </c>
      <c r="V358" s="1743">
        <v>1</v>
      </c>
      <c r="W358" s="1782">
        <v>40.64</v>
      </c>
      <c r="X358" s="1782"/>
      <c r="Y358" s="1782"/>
      <c r="Z358" s="1782"/>
      <c r="AA358" s="1744"/>
      <c r="AB358" s="1699"/>
      <c r="AC358" s="1695"/>
      <c r="AD358" s="1695"/>
      <c r="AE358" s="1695"/>
      <c r="AF358" s="1695"/>
      <c r="AG358" s="1695"/>
      <c r="AH358" s="1699"/>
      <c r="AI358" s="1695"/>
      <c r="AJ358" s="1695"/>
      <c r="AK358" s="1695"/>
      <c r="AL358" s="1695"/>
      <c r="AM358" s="1695"/>
      <c r="AN358" s="1695"/>
      <c r="AO358" s="1699"/>
      <c r="AP358" s="1729"/>
    </row>
    <row r="359" spans="1:60">
      <c r="A359" s="2424"/>
      <c r="B359" s="1695"/>
      <c r="C359" s="1696"/>
      <c r="D359" s="1696"/>
      <c r="E359" s="1695"/>
      <c r="F359" s="1695"/>
      <c r="G359" s="1745"/>
      <c r="H359" s="1745"/>
      <c r="I359" s="1745"/>
      <c r="J359" s="1745"/>
      <c r="K359" s="1695"/>
      <c r="L359" s="1745"/>
      <c r="M359" s="1699"/>
      <c r="N359" s="1695"/>
      <c r="O359" s="1695"/>
      <c r="P359" s="1745"/>
      <c r="Q359" s="1745"/>
      <c r="R359" s="1745"/>
      <c r="S359" s="1745"/>
      <c r="T359" s="1745"/>
      <c r="U359" s="1743" t="s">
        <v>1998</v>
      </c>
      <c r="V359" s="1743"/>
      <c r="W359" s="1782"/>
      <c r="X359" s="1782"/>
      <c r="Y359" s="1782">
        <v>153.58000000000001</v>
      </c>
      <c r="Z359" s="1782"/>
      <c r="AA359" s="1744"/>
      <c r="AB359" s="1699"/>
      <c r="AC359" s="1695"/>
      <c r="AD359" s="1695"/>
      <c r="AE359" s="1695"/>
      <c r="AF359" s="1695"/>
      <c r="AG359" s="1695"/>
      <c r="AH359" s="1699"/>
      <c r="AI359" s="1695"/>
      <c r="AJ359" s="1695"/>
      <c r="AK359" s="1695"/>
      <c r="AL359" s="1695"/>
      <c r="AM359" s="1695"/>
      <c r="AN359" s="1695"/>
      <c r="AO359" s="1699"/>
      <c r="AP359" s="1729"/>
    </row>
    <row r="360" spans="1:60">
      <c r="A360" s="2424"/>
      <c r="B360" s="1695"/>
      <c r="C360" s="1696"/>
      <c r="D360" s="1696"/>
      <c r="E360" s="1695"/>
      <c r="F360" s="1695"/>
      <c r="G360" s="1745"/>
      <c r="H360" s="1745"/>
      <c r="I360" s="1745"/>
      <c r="J360" s="1745"/>
      <c r="K360" s="1695"/>
      <c r="L360" s="1745"/>
      <c r="M360" s="1699"/>
      <c r="N360" s="1695"/>
      <c r="O360" s="1695"/>
      <c r="P360" s="1745"/>
      <c r="Q360" s="1745"/>
      <c r="R360" s="1745"/>
      <c r="S360" s="1745"/>
      <c r="T360" s="1745"/>
      <c r="U360" s="1743" t="s">
        <v>1999</v>
      </c>
      <c r="V360" s="1743">
        <v>3.7</v>
      </c>
      <c r="W360" s="1782">
        <v>40.64</v>
      </c>
      <c r="X360" s="1782"/>
      <c r="Y360" s="1782">
        <v>115</v>
      </c>
      <c r="Z360" s="1782"/>
      <c r="AA360" s="1744"/>
      <c r="AB360" s="1699"/>
      <c r="AC360" s="1695"/>
      <c r="AD360" s="1695"/>
      <c r="AE360" s="1695"/>
      <c r="AF360" s="1695"/>
      <c r="AG360" s="1695"/>
      <c r="AH360" s="1699"/>
      <c r="AI360" s="1695"/>
      <c r="AJ360" s="1695"/>
      <c r="AK360" s="1695"/>
      <c r="AL360" s="1695"/>
      <c r="AM360" s="1695"/>
      <c r="AN360" s="1695"/>
      <c r="AO360" s="1699"/>
      <c r="AP360" s="1729"/>
    </row>
    <row r="361" spans="1:60">
      <c r="A361" s="2424"/>
      <c r="B361" s="1695"/>
      <c r="C361" s="1696"/>
      <c r="D361" s="1696"/>
      <c r="E361" s="1695"/>
      <c r="F361" s="1695"/>
      <c r="G361" s="1745"/>
      <c r="H361" s="1745"/>
      <c r="I361" s="1745"/>
      <c r="J361" s="1745"/>
      <c r="K361" s="1695"/>
      <c r="L361" s="1745"/>
      <c r="M361" s="1699"/>
      <c r="N361" s="1695"/>
      <c r="O361" s="1695"/>
      <c r="P361" s="1745"/>
      <c r="Q361" s="1745"/>
      <c r="R361" s="1745"/>
      <c r="S361" s="1745"/>
      <c r="T361" s="1745"/>
      <c r="U361" s="1699"/>
      <c r="V361" s="1699"/>
      <c r="W361" s="1695"/>
      <c r="X361" s="1695"/>
      <c r="Y361" s="1695"/>
      <c r="Z361" s="1695"/>
      <c r="AA361" s="1695"/>
      <c r="AB361" s="1699"/>
      <c r="AC361" s="1695"/>
      <c r="AD361" s="1695"/>
      <c r="AE361" s="1695"/>
      <c r="AF361" s="1695"/>
      <c r="AG361" s="1695"/>
      <c r="AH361" s="1699"/>
      <c r="AI361" s="1695"/>
      <c r="AJ361" s="1695"/>
      <c r="AK361" s="1695"/>
      <c r="AL361" s="1695"/>
      <c r="AM361" s="1695"/>
      <c r="AN361" s="1695"/>
      <c r="AO361" s="1699"/>
      <c r="AP361" s="1729"/>
    </row>
    <row r="362" spans="1:60">
      <c r="A362" s="2424"/>
      <c r="B362" s="1695"/>
      <c r="C362" s="1696"/>
      <c r="D362" s="1696"/>
      <c r="E362" s="1695"/>
      <c r="F362" s="1695"/>
      <c r="G362" s="1745"/>
      <c r="H362" s="1745"/>
      <c r="I362" s="1745"/>
      <c r="J362" s="1745"/>
      <c r="K362" s="1695"/>
      <c r="L362" s="1745"/>
      <c r="M362" s="1699"/>
      <c r="N362" s="1695"/>
      <c r="O362" s="1695"/>
      <c r="P362" s="1745"/>
      <c r="Q362" s="1745"/>
      <c r="R362" s="1745"/>
      <c r="S362" s="1745"/>
      <c r="T362" s="1745"/>
      <c r="U362" s="1699"/>
      <c r="V362" s="1699"/>
      <c r="W362" s="1695"/>
      <c r="X362" s="1695"/>
      <c r="Y362" s="1695"/>
      <c r="Z362" s="1695"/>
      <c r="AA362" s="1695"/>
      <c r="AB362" s="1699"/>
      <c r="AC362" s="1695"/>
      <c r="AD362" s="1695"/>
      <c r="AE362" s="1695"/>
      <c r="AF362" s="1695"/>
      <c r="AG362" s="1695"/>
      <c r="AH362" s="1699"/>
      <c r="AI362" s="1695"/>
      <c r="AJ362" s="1695"/>
      <c r="AK362" s="1695"/>
      <c r="AL362" s="1695"/>
      <c r="AM362" s="1695"/>
      <c r="AN362" s="1695"/>
      <c r="AO362" s="1699"/>
      <c r="AP362" s="1729"/>
    </row>
    <row r="363" spans="1:60">
      <c r="A363" s="2424"/>
      <c r="B363" s="1695"/>
      <c r="C363" s="1696"/>
      <c r="D363" s="1696"/>
      <c r="E363" s="1695"/>
      <c r="F363" s="1695"/>
      <c r="G363" s="1745"/>
      <c r="H363" s="1745"/>
      <c r="I363" s="1745"/>
      <c r="J363" s="1745"/>
      <c r="K363" s="1695"/>
      <c r="L363" s="1745"/>
      <c r="M363" s="1699"/>
      <c r="N363" s="1695"/>
      <c r="O363" s="1695"/>
      <c r="P363" s="1745"/>
      <c r="Q363" s="1745"/>
      <c r="R363" s="1745"/>
      <c r="S363" s="1745"/>
      <c r="T363" s="1745"/>
      <c r="U363" s="1699"/>
      <c r="V363" s="1699"/>
      <c r="W363" s="1695"/>
      <c r="X363" s="1695"/>
      <c r="Y363" s="1695"/>
      <c r="Z363" s="1695"/>
      <c r="AA363" s="1695"/>
      <c r="AB363" s="1699"/>
      <c r="AC363" s="1695"/>
      <c r="AD363" s="1695"/>
      <c r="AE363" s="1695"/>
      <c r="AF363" s="1695"/>
      <c r="AG363" s="1695"/>
      <c r="AH363" s="1699"/>
      <c r="AI363" s="1695"/>
      <c r="AJ363" s="1695"/>
      <c r="AK363" s="1695"/>
      <c r="AL363" s="1695"/>
      <c r="AM363" s="1695"/>
      <c r="AN363" s="1695"/>
      <c r="AO363" s="1699"/>
      <c r="AP363" s="1729"/>
    </row>
    <row r="364" spans="1:60">
      <c r="A364" s="2424"/>
      <c r="B364" s="1695"/>
      <c r="C364" s="1696"/>
      <c r="D364" s="1696"/>
      <c r="E364" s="1695"/>
      <c r="F364" s="1695"/>
      <c r="G364" s="1745"/>
      <c r="H364" s="1745"/>
      <c r="I364" s="1745"/>
      <c r="J364" s="1745"/>
      <c r="K364" s="1695"/>
      <c r="L364" s="1745"/>
      <c r="M364" s="1699"/>
      <c r="N364" s="1695"/>
      <c r="O364" s="1695"/>
      <c r="P364" s="1745"/>
      <c r="Q364" s="1745"/>
      <c r="R364" s="1745"/>
      <c r="S364" s="1745"/>
      <c r="T364" s="1745"/>
      <c r="U364" s="1699"/>
      <c r="V364" s="1699"/>
      <c r="W364" s="1695"/>
      <c r="X364" s="1695"/>
      <c r="Y364" s="1695"/>
      <c r="Z364" s="1695"/>
      <c r="AA364" s="1695"/>
      <c r="AB364" s="1699"/>
      <c r="AC364" s="1695"/>
      <c r="AD364" s="1695"/>
      <c r="AE364" s="1695"/>
      <c r="AF364" s="1695"/>
      <c r="AG364" s="1695"/>
      <c r="AH364" s="1699"/>
      <c r="AI364" s="1695"/>
      <c r="AJ364" s="1695"/>
      <c r="AK364" s="1695"/>
      <c r="AL364" s="1695"/>
      <c r="AM364" s="1695"/>
      <c r="AN364" s="1695"/>
      <c r="AO364" s="1699"/>
      <c r="AP364" s="1729"/>
    </row>
    <row r="365" spans="1:60">
      <c r="A365" s="2424"/>
      <c r="B365" s="1695"/>
      <c r="C365" s="1696"/>
      <c r="D365" s="1696"/>
      <c r="E365" s="1695"/>
      <c r="F365" s="1695"/>
      <c r="G365" s="1745"/>
      <c r="H365" s="1745"/>
      <c r="I365" s="1745"/>
      <c r="J365" s="1745"/>
      <c r="K365" s="1695"/>
      <c r="L365" s="1745"/>
      <c r="M365" s="1699"/>
      <c r="N365" s="1695"/>
      <c r="O365" s="1695"/>
      <c r="P365" s="1745"/>
      <c r="Q365" s="1745"/>
      <c r="R365" s="1745"/>
      <c r="S365" s="1745"/>
      <c r="T365" s="1745"/>
      <c r="U365" s="1699"/>
      <c r="V365" s="1699"/>
      <c r="W365" s="1695"/>
      <c r="X365" s="1695"/>
      <c r="Y365" s="1695"/>
      <c r="Z365" s="1695"/>
      <c r="AA365" s="1695"/>
      <c r="AB365" s="1699"/>
      <c r="AC365" s="1695"/>
      <c r="AD365" s="1695"/>
      <c r="AE365" s="1695"/>
      <c r="AF365" s="1695"/>
      <c r="AG365" s="1695"/>
      <c r="AH365" s="1699"/>
      <c r="AI365" s="1695"/>
      <c r="AJ365" s="1695"/>
      <c r="AK365" s="1695"/>
      <c r="AL365" s="1695"/>
      <c r="AM365" s="1695"/>
      <c r="AN365" s="1695"/>
      <c r="AO365" s="1699"/>
      <c r="AP365" s="1729"/>
      <c r="AQ365" s="1687" t="s">
        <v>1796</v>
      </c>
      <c r="AR365" s="1687" t="s">
        <v>1875</v>
      </c>
      <c r="BH365" s="1687" t="s">
        <v>2053</v>
      </c>
    </row>
    <row r="366" spans="1:60" ht="15.75" thickBot="1">
      <c r="A366" s="2425"/>
      <c r="B366" s="1695"/>
      <c r="C366" s="1696"/>
      <c r="D366" s="1696"/>
      <c r="E366" s="1695"/>
      <c r="F366" s="1695"/>
      <c r="G366" s="1745"/>
      <c r="H366" s="1745"/>
      <c r="I366" s="1745"/>
      <c r="J366" s="1745"/>
      <c r="K366" s="1695"/>
      <c r="L366" s="1745"/>
      <c r="M366" s="1699"/>
      <c r="N366" s="1695"/>
      <c r="O366" s="1695"/>
      <c r="P366" s="1745"/>
      <c r="Q366" s="1745"/>
      <c r="R366" s="1745"/>
      <c r="S366" s="1745"/>
      <c r="T366" s="1745"/>
      <c r="U366" s="1699"/>
      <c r="V366" s="1699"/>
      <c r="W366" s="1695"/>
      <c r="X366" s="1695"/>
      <c r="Y366" s="1695"/>
      <c r="Z366" s="1695"/>
      <c r="AA366" s="1695"/>
      <c r="AB366" s="1699"/>
      <c r="AC366" s="1695"/>
      <c r="AD366" s="1695"/>
      <c r="AE366" s="1695"/>
      <c r="AF366" s="1695"/>
      <c r="AG366" s="1695"/>
      <c r="AH366" s="1699"/>
      <c r="AI366" s="1695"/>
      <c r="AJ366" s="1695"/>
      <c r="AK366" s="1695"/>
      <c r="AL366" s="1695"/>
      <c r="AM366" s="1695"/>
      <c r="AN366" s="1695"/>
      <c r="AO366" s="1699"/>
      <c r="AP366" s="1729"/>
      <c r="AQ366" s="1687">
        <v>75</v>
      </c>
      <c r="AR366" s="1687">
        <f t="shared" ref="AR366:AR378" si="48">AO368/AQ366</f>
        <v>7.6186666666666666E-2</v>
      </c>
      <c r="BF366" s="1687">
        <v>4091.52</v>
      </c>
      <c r="BG366" s="1687">
        <v>4737.28</v>
      </c>
      <c r="BH366" s="1687">
        <f>BG366/BF366</f>
        <v>1.1578288753323946</v>
      </c>
    </row>
    <row r="367" spans="1:60" ht="24" thickBot="1">
      <c r="A367" s="1714" t="s">
        <v>1110</v>
      </c>
      <c r="B367" s="1814"/>
      <c r="C367" s="1815"/>
      <c r="D367" s="1815"/>
      <c r="E367" s="1814"/>
      <c r="F367" s="1816"/>
      <c r="G367" s="1817"/>
      <c r="H367" s="1817"/>
      <c r="I367" s="1817"/>
      <c r="J367" s="1817"/>
      <c r="K367" s="1818"/>
      <c r="L367" s="1817"/>
      <c r="M367" s="1819"/>
      <c r="N367" s="1816"/>
      <c r="O367" s="1816"/>
      <c r="P367" s="1820"/>
      <c r="Q367" s="1817"/>
      <c r="R367" s="1817"/>
      <c r="S367" s="1817"/>
      <c r="T367" s="1817"/>
      <c r="U367" s="1819"/>
      <c r="V367" s="1819"/>
      <c r="W367" s="1821"/>
      <c r="X367" s="1821"/>
      <c r="Y367" s="1821"/>
      <c r="Z367" s="1821"/>
      <c r="AA367" s="1821"/>
      <c r="AB367" s="1819"/>
      <c r="AC367" s="1821"/>
      <c r="AD367" s="1821"/>
      <c r="AE367" s="1821"/>
      <c r="AF367" s="1821"/>
      <c r="AG367" s="1821"/>
      <c r="AH367" s="1819"/>
      <c r="AI367" s="1821"/>
      <c r="AJ367" s="1821"/>
      <c r="AK367" s="1821"/>
      <c r="AL367" s="1821"/>
      <c r="AM367" s="1821"/>
      <c r="AN367" s="1816"/>
      <c r="AO367" s="1819"/>
      <c r="AP367" s="1822"/>
      <c r="AQ367" s="1687">
        <v>98</v>
      </c>
      <c r="AR367" s="1687">
        <f t="shared" si="48"/>
        <v>5.8306122448979598E-2</v>
      </c>
      <c r="BF367" s="1687">
        <v>6219.52</v>
      </c>
      <c r="BG367" s="1687">
        <v>7061</v>
      </c>
      <c r="BH367" s="1687">
        <f t="shared" ref="BH367:BH378" si="49">BG367/BF367</f>
        <v>1.1352966145297385</v>
      </c>
    </row>
    <row r="368" spans="1:60">
      <c r="A368" s="2437" t="s">
        <v>1359</v>
      </c>
      <c r="B368" s="1739" t="s">
        <v>2076</v>
      </c>
      <c r="C368" s="1824" t="s">
        <v>1839</v>
      </c>
      <c r="D368" s="1824" t="s">
        <v>1440</v>
      </c>
      <c r="E368" s="1944">
        <f>AVERAGE(AO368:AO376)</f>
        <v>9.3477777777777771</v>
      </c>
      <c r="F368" s="1945" t="s">
        <v>2074</v>
      </c>
      <c r="G368" s="1897">
        <f>AP368*BQ22</f>
        <v>64.61891268502184</v>
      </c>
      <c r="H368" s="1898">
        <f>E368*$G$368</f>
        <v>604.04323602120962</v>
      </c>
      <c r="I368" s="1834"/>
      <c r="J368" s="1834"/>
      <c r="K368" s="2431">
        <v>0.15</v>
      </c>
      <c r="L368" s="1836">
        <f>E368*$G$368*(1+$K$368)</f>
        <v>694.64972142439103</v>
      </c>
      <c r="M368" s="1743" t="s">
        <v>1942</v>
      </c>
      <c r="N368" s="1782"/>
      <c r="O368" s="1870">
        <v>2.25</v>
      </c>
      <c r="P368" s="1738">
        <v>59</v>
      </c>
      <c r="Q368" s="1846">
        <f>O368*P368</f>
        <v>132.75</v>
      </c>
      <c r="R368" s="1835"/>
      <c r="S368" s="1835"/>
      <c r="T368" s="1836">
        <f>Q368</f>
        <v>132.75</v>
      </c>
      <c r="U368" s="1733" t="s">
        <v>1616</v>
      </c>
      <c r="V368" s="1699"/>
      <c r="W368" s="1695"/>
      <c r="X368" s="1695"/>
      <c r="Y368" s="1695"/>
      <c r="Z368" s="1695"/>
      <c r="AA368" s="1695"/>
      <c r="AB368" s="1699"/>
      <c r="AC368" s="1695"/>
      <c r="AD368" s="1695"/>
      <c r="AE368" s="1695"/>
      <c r="AF368" s="1695"/>
      <c r="AG368" s="1695"/>
      <c r="AH368" s="1699"/>
      <c r="AI368" s="1695"/>
      <c r="AJ368" s="1695"/>
      <c r="AK368" s="1695"/>
      <c r="AL368" s="1695"/>
      <c r="AM368" s="1695"/>
      <c r="AN368" s="1695"/>
      <c r="AO368" s="1757">
        <v>5.7140000000000004</v>
      </c>
      <c r="AP368" s="1758">
        <v>55.8</v>
      </c>
      <c r="AQ368" s="1687">
        <v>120</v>
      </c>
      <c r="AR368" s="1687">
        <f t="shared" si="48"/>
        <v>5.5558333333333335E-2</v>
      </c>
      <c r="BF368" s="1687">
        <v>6503.57</v>
      </c>
      <c r="BG368" s="1687">
        <v>7426.16</v>
      </c>
      <c r="BH368" s="1687">
        <f t="shared" si="49"/>
        <v>1.1418590097438792</v>
      </c>
    </row>
    <row r="369" spans="1:60">
      <c r="A369" s="2438"/>
      <c r="B369" s="1739" t="s">
        <v>2077</v>
      </c>
      <c r="C369" s="1733" t="s">
        <v>1839</v>
      </c>
      <c r="D369" s="1739" t="s">
        <v>1440</v>
      </c>
      <c r="E369" s="1946">
        <f>AVERAGE(AO377:AO380)</f>
        <v>22.381</v>
      </c>
      <c r="F369" s="1749" t="s">
        <v>2075</v>
      </c>
      <c r="G369" s="1947">
        <f>AP377*BQ22</f>
        <v>58.168601866821625</v>
      </c>
      <c r="H369" s="1867">
        <f>E369*$G$369</f>
        <v>1301.8714783813348</v>
      </c>
      <c r="I369" s="1738"/>
      <c r="J369" s="1738"/>
      <c r="K369" s="2418"/>
      <c r="L369" s="1751">
        <f>E369*$G$369*(1+$K$368)</f>
        <v>1497.1522001385349</v>
      </c>
      <c r="M369" s="1743" t="s">
        <v>1951</v>
      </c>
      <c r="N369" s="1782"/>
      <c r="O369" s="1782">
        <v>4.75</v>
      </c>
      <c r="P369" s="1738">
        <v>48.38</v>
      </c>
      <c r="Q369" s="1846">
        <f t="shared" ref="Q369:Q370" si="50">O369*P369</f>
        <v>229.80500000000001</v>
      </c>
      <c r="R369" s="1948"/>
      <c r="S369" s="1738"/>
      <c r="T369" s="1751">
        <f t="shared" ref="T369:T370" si="51">Q369</f>
        <v>229.80500000000001</v>
      </c>
      <c r="U369" s="1733" t="s">
        <v>1617</v>
      </c>
      <c r="V369" s="1699"/>
      <c r="W369" s="1695"/>
      <c r="X369" s="1695"/>
      <c r="Y369" s="1695"/>
      <c r="Z369" s="1695"/>
      <c r="AA369" s="1695"/>
      <c r="AB369" s="1699"/>
      <c r="AC369" s="1695"/>
      <c r="AD369" s="1695"/>
      <c r="AE369" s="1695"/>
      <c r="AF369" s="1695"/>
      <c r="AG369" s="1695"/>
      <c r="AH369" s="1699"/>
      <c r="AI369" s="1695"/>
      <c r="AJ369" s="1695"/>
      <c r="AK369" s="1695"/>
      <c r="AL369" s="1695"/>
      <c r="AM369" s="1695"/>
      <c r="AN369" s="1695"/>
      <c r="AO369" s="1757">
        <v>5.7140000000000004</v>
      </c>
      <c r="AP369" s="1758">
        <v>55.8</v>
      </c>
      <c r="AQ369" s="1687">
        <v>120</v>
      </c>
      <c r="AR369" s="1687">
        <f t="shared" si="48"/>
        <v>6.0608333333333334E-2</v>
      </c>
      <c r="BF369" s="1687">
        <v>7797.21</v>
      </c>
      <c r="BG369" s="1687">
        <v>8858.2099999999991</v>
      </c>
      <c r="BH369" s="1687">
        <f t="shared" si="49"/>
        <v>1.1360743137609477</v>
      </c>
    </row>
    <row r="370" spans="1:60">
      <c r="A370" s="2438"/>
      <c r="B370" s="1695"/>
      <c r="C370" s="1696"/>
      <c r="D370" s="1696"/>
      <c r="E370" s="1695"/>
      <c r="F370" s="1695"/>
      <c r="G370" s="1745"/>
      <c r="H370" s="1745"/>
      <c r="I370" s="1745"/>
      <c r="J370" s="1745"/>
      <c r="K370" s="1695"/>
      <c r="L370" s="1745"/>
      <c r="M370" s="1743" t="s">
        <v>1994</v>
      </c>
      <c r="N370" s="1782"/>
      <c r="O370" s="1782">
        <v>1</v>
      </c>
      <c r="P370" s="1738">
        <v>48.38</v>
      </c>
      <c r="Q370" s="1846">
        <f t="shared" si="50"/>
        <v>48.38</v>
      </c>
      <c r="R370" s="1948"/>
      <c r="S370" s="1738"/>
      <c r="T370" s="1751">
        <f t="shared" si="51"/>
        <v>48.38</v>
      </c>
      <c r="U370" s="1733" t="s">
        <v>1618</v>
      </c>
      <c r="V370" s="1699"/>
      <c r="W370" s="1695"/>
      <c r="X370" s="1695"/>
      <c r="Y370" s="1695"/>
      <c r="Z370" s="1695"/>
      <c r="AA370" s="1695"/>
      <c r="AB370" s="1699"/>
      <c r="AC370" s="1695"/>
      <c r="AD370" s="1695"/>
      <c r="AE370" s="1695"/>
      <c r="AF370" s="1695"/>
      <c r="AG370" s="1695"/>
      <c r="AH370" s="1699"/>
      <c r="AI370" s="1695"/>
      <c r="AJ370" s="1695"/>
      <c r="AK370" s="1695"/>
      <c r="AL370" s="1695"/>
      <c r="AM370" s="1695"/>
      <c r="AN370" s="1695"/>
      <c r="AO370" s="1757">
        <v>6.6669999999999998</v>
      </c>
      <c r="AP370" s="1758">
        <v>55.8</v>
      </c>
      <c r="AQ370" s="1687">
        <v>140</v>
      </c>
      <c r="AR370" s="1687">
        <f t="shared" si="48"/>
        <v>5.7142857142857141E-2</v>
      </c>
      <c r="BF370" s="1687">
        <v>9771.65</v>
      </c>
      <c r="BG370" s="1687">
        <v>11063.87</v>
      </c>
      <c r="BH370" s="1687">
        <f t="shared" si="49"/>
        <v>1.1322417401360059</v>
      </c>
    </row>
    <row r="371" spans="1:60">
      <c r="A371" s="2438"/>
      <c r="B371" s="1695"/>
      <c r="C371" s="1696"/>
      <c r="D371" s="1696"/>
      <c r="E371" s="1695"/>
      <c r="F371" s="1695"/>
      <c r="G371" s="1745"/>
      <c r="H371" s="1745"/>
      <c r="I371" s="1745"/>
      <c r="J371" s="1745"/>
      <c r="K371" s="1695"/>
      <c r="L371" s="1745"/>
      <c r="M371" s="1699"/>
      <c r="N371" s="1695"/>
      <c r="O371" s="1695"/>
      <c r="P371" s="1745"/>
      <c r="Q371" s="1745"/>
      <c r="R371" s="1745"/>
      <c r="S371" s="1745"/>
      <c r="T371" s="1745"/>
      <c r="U371" s="1787" t="s">
        <v>1619</v>
      </c>
      <c r="V371" s="1699"/>
      <c r="W371" s="1695"/>
      <c r="X371" s="1695"/>
      <c r="Y371" s="1695"/>
      <c r="Z371" s="1695"/>
      <c r="AA371" s="1695"/>
      <c r="AB371" s="1699"/>
      <c r="AC371" s="1695"/>
      <c r="AD371" s="1695"/>
      <c r="AE371" s="1695"/>
      <c r="AF371" s="1695"/>
      <c r="AG371" s="1695"/>
      <c r="AH371" s="1699"/>
      <c r="AI371" s="1695"/>
      <c r="AJ371" s="1695"/>
      <c r="AK371" s="1695"/>
      <c r="AL371" s="1695"/>
      <c r="AM371" s="1695"/>
      <c r="AN371" s="1695"/>
      <c r="AO371" s="1743">
        <v>7.2729999999999997</v>
      </c>
      <c r="AP371" s="1758">
        <v>55.8</v>
      </c>
      <c r="AQ371" s="1687">
        <v>155</v>
      </c>
      <c r="AR371" s="1687">
        <f t="shared" si="48"/>
        <v>6.4516129032258063E-2</v>
      </c>
      <c r="BF371" s="1687">
        <v>9722.16</v>
      </c>
      <c r="BG371" s="1687">
        <v>11083.24</v>
      </c>
      <c r="BH371" s="1687">
        <f t="shared" si="49"/>
        <v>1.1399976959852542</v>
      </c>
    </row>
    <row r="372" spans="1:60">
      <c r="A372" s="2438"/>
      <c r="B372" s="1695"/>
      <c r="C372" s="1696"/>
      <c r="D372" s="1696"/>
      <c r="E372" s="1695"/>
      <c r="F372" s="1695"/>
      <c r="G372" s="1745"/>
      <c r="H372" s="1745"/>
      <c r="I372" s="1745"/>
      <c r="J372" s="1745"/>
      <c r="K372" s="1695"/>
      <c r="L372" s="1745"/>
      <c r="M372" s="1699"/>
      <c r="N372" s="1695"/>
      <c r="O372" s="1695"/>
      <c r="P372" s="1745"/>
      <c r="Q372" s="1745"/>
      <c r="R372" s="1745"/>
      <c r="S372" s="1745"/>
      <c r="T372" s="1745"/>
      <c r="U372" s="1733" t="s">
        <v>1620</v>
      </c>
      <c r="V372" s="1699"/>
      <c r="W372" s="1695"/>
      <c r="X372" s="1695"/>
      <c r="Y372" s="1695"/>
      <c r="Z372" s="1695"/>
      <c r="AA372" s="1695"/>
      <c r="AB372" s="1699"/>
      <c r="AC372" s="1695"/>
      <c r="AD372" s="1695"/>
      <c r="AE372" s="1695"/>
      <c r="AF372" s="1695"/>
      <c r="AG372" s="1695"/>
      <c r="AH372" s="1699"/>
      <c r="AI372" s="1695"/>
      <c r="AJ372" s="1695"/>
      <c r="AK372" s="1695"/>
      <c r="AL372" s="1695"/>
      <c r="AM372" s="1695"/>
      <c r="AN372" s="1695"/>
      <c r="AO372" s="1757">
        <v>8</v>
      </c>
      <c r="AP372" s="1758">
        <v>55.8</v>
      </c>
      <c r="AQ372" s="1687">
        <v>180</v>
      </c>
      <c r="AR372" s="1687">
        <f t="shared" si="48"/>
        <v>6.3494444444444451E-2</v>
      </c>
      <c r="BF372" s="1687">
        <v>10395.040000000001</v>
      </c>
      <c r="BG372" s="1687">
        <v>11882.56</v>
      </c>
      <c r="BH372" s="1687">
        <f t="shared" si="49"/>
        <v>1.1430990164540009</v>
      </c>
    </row>
    <row r="373" spans="1:60">
      <c r="A373" s="2438"/>
      <c r="B373" s="1695"/>
      <c r="C373" s="1696"/>
      <c r="D373" s="1696"/>
      <c r="E373" s="1695"/>
      <c r="F373" s="1695"/>
      <c r="G373" s="1745"/>
      <c r="H373" s="1745"/>
      <c r="I373" s="1745"/>
      <c r="J373" s="1745"/>
      <c r="K373" s="1695"/>
      <c r="L373" s="1745"/>
      <c r="M373" s="1699"/>
      <c r="N373" s="1695"/>
      <c r="O373" s="1695"/>
      <c r="P373" s="1745"/>
      <c r="Q373" s="1745"/>
      <c r="R373" s="1745"/>
      <c r="S373" s="1745"/>
      <c r="T373" s="1745"/>
      <c r="U373" s="1733" t="s">
        <v>1621</v>
      </c>
      <c r="V373" s="1699"/>
      <c r="W373" s="1695"/>
      <c r="X373" s="1695"/>
      <c r="Y373" s="1695"/>
      <c r="Z373" s="1695"/>
      <c r="AA373" s="1695"/>
      <c r="AB373" s="1699"/>
      <c r="AC373" s="1695"/>
      <c r="AD373" s="1695"/>
      <c r="AE373" s="1695"/>
      <c r="AF373" s="1695"/>
      <c r="AG373" s="1695"/>
      <c r="AH373" s="1699"/>
      <c r="AI373" s="1695"/>
      <c r="AJ373" s="1695"/>
      <c r="AK373" s="1695"/>
      <c r="AL373" s="1695"/>
      <c r="AM373" s="1695"/>
      <c r="AN373" s="1695"/>
      <c r="AO373" s="1757">
        <v>10</v>
      </c>
      <c r="AP373" s="1758">
        <v>55.8</v>
      </c>
      <c r="AQ373" s="1687">
        <v>200</v>
      </c>
      <c r="AR373" s="1687">
        <f t="shared" si="48"/>
        <v>6.6665000000000002E-2</v>
      </c>
      <c r="BF373" s="1687">
        <v>10635.95</v>
      </c>
      <c r="BG373" s="1687">
        <v>12229.13</v>
      </c>
      <c r="BH373" s="1687">
        <f t="shared" si="49"/>
        <v>1.149791979089785</v>
      </c>
    </row>
    <row r="374" spans="1:60">
      <c r="A374" s="2438"/>
      <c r="B374" s="1695"/>
      <c r="C374" s="1696"/>
      <c r="D374" s="1696"/>
      <c r="E374" s="1695"/>
      <c r="F374" s="1695"/>
      <c r="G374" s="1745"/>
      <c r="H374" s="1745"/>
      <c r="I374" s="1745"/>
      <c r="J374" s="1745"/>
      <c r="K374" s="1695"/>
      <c r="L374" s="1745"/>
      <c r="M374" s="1699"/>
      <c r="N374" s="1695"/>
      <c r="O374" s="1695"/>
      <c r="P374" s="1745"/>
      <c r="Q374" s="1745"/>
      <c r="R374" s="1745"/>
      <c r="S374" s="1745"/>
      <c r="T374" s="1745"/>
      <c r="U374" s="1733" t="s">
        <v>1622</v>
      </c>
      <c r="V374" s="1699"/>
      <c r="W374" s="1695"/>
      <c r="X374" s="1695"/>
      <c r="Y374" s="1695"/>
      <c r="Z374" s="1695"/>
      <c r="AA374" s="1695"/>
      <c r="AB374" s="1699"/>
      <c r="AC374" s="1695"/>
      <c r="AD374" s="1695"/>
      <c r="AE374" s="1695"/>
      <c r="AF374" s="1695"/>
      <c r="AG374" s="1695"/>
      <c r="AH374" s="1699"/>
      <c r="AI374" s="1695"/>
      <c r="AJ374" s="1695"/>
      <c r="AK374" s="1695"/>
      <c r="AL374" s="1695"/>
      <c r="AM374" s="1695"/>
      <c r="AN374" s="1695"/>
      <c r="AO374" s="1757">
        <v>11.429</v>
      </c>
      <c r="AP374" s="1758">
        <v>55.8</v>
      </c>
      <c r="AQ374" s="1687">
        <v>250</v>
      </c>
      <c r="AR374" s="1687">
        <f t="shared" si="48"/>
        <v>6.4000000000000001E-2</v>
      </c>
      <c r="BF374" s="1687">
        <v>11516.1</v>
      </c>
      <c r="BG374" s="1687">
        <v>13325.35</v>
      </c>
      <c r="BH374" s="1687">
        <f t="shared" si="49"/>
        <v>1.1571061383628138</v>
      </c>
    </row>
    <row r="375" spans="1:60">
      <c r="A375" s="2438"/>
      <c r="B375" s="1695"/>
      <c r="C375" s="1696"/>
      <c r="D375" s="1696"/>
      <c r="E375" s="1695"/>
      <c r="F375" s="1695"/>
      <c r="G375" s="1745"/>
      <c r="H375" s="1745"/>
      <c r="I375" s="1745"/>
      <c r="J375" s="1745"/>
      <c r="K375" s="1695"/>
      <c r="L375" s="1745"/>
      <c r="M375" s="1699"/>
      <c r="N375" s="1695"/>
      <c r="O375" s="1695"/>
      <c r="P375" s="1745"/>
      <c r="Q375" s="1745"/>
      <c r="R375" s="1745"/>
      <c r="S375" s="1745"/>
      <c r="T375" s="1745"/>
      <c r="U375" s="1787" t="s">
        <v>1623</v>
      </c>
      <c r="V375" s="1699"/>
      <c r="W375" s="1695"/>
      <c r="X375" s="1695"/>
      <c r="Y375" s="1695"/>
      <c r="Z375" s="1695"/>
      <c r="AA375" s="1695"/>
      <c r="AB375" s="1699"/>
      <c r="AC375" s="1695"/>
      <c r="AD375" s="1695"/>
      <c r="AE375" s="1695"/>
      <c r="AF375" s="1695"/>
      <c r="AG375" s="1695"/>
      <c r="AH375" s="1699"/>
      <c r="AI375" s="1695"/>
      <c r="AJ375" s="1695"/>
      <c r="AK375" s="1695"/>
      <c r="AL375" s="1695"/>
      <c r="AM375" s="1695"/>
      <c r="AN375" s="1695"/>
      <c r="AO375" s="1743">
        <v>13.333</v>
      </c>
      <c r="AP375" s="1758">
        <v>55.8</v>
      </c>
      <c r="AQ375" s="1687">
        <v>260</v>
      </c>
      <c r="AR375" s="1687">
        <f t="shared" si="48"/>
        <v>7.6923076923076927E-2</v>
      </c>
      <c r="BF375" s="1687">
        <v>12317</v>
      </c>
      <c r="BG375" s="1687">
        <v>14333.53</v>
      </c>
      <c r="BH375" s="1687">
        <f t="shared" si="49"/>
        <v>1.1637192498173257</v>
      </c>
    </row>
    <row r="376" spans="1:60">
      <c r="A376" s="2438"/>
      <c r="B376" s="1695"/>
      <c r="C376" s="1696"/>
      <c r="D376" s="1696"/>
      <c r="E376" s="1695"/>
      <c r="F376" s="1695"/>
      <c r="G376" s="1745"/>
      <c r="H376" s="1745"/>
      <c r="I376" s="1745"/>
      <c r="J376" s="1745"/>
      <c r="K376" s="1695"/>
      <c r="L376" s="1745"/>
      <c r="M376" s="1699"/>
      <c r="N376" s="1695"/>
      <c r="O376" s="1695"/>
      <c r="P376" s="1745"/>
      <c r="Q376" s="1745"/>
      <c r="R376" s="1745"/>
      <c r="S376" s="1745"/>
      <c r="T376" s="1745"/>
      <c r="U376" s="1733" t="s">
        <v>1624</v>
      </c>
      <c r="V376" s="1699"/>
      <c r="W376" s="1695"/>
      <c r="X376" s="1695"/>
      <c r="Y376" s="1695"/>
      <c r="Z376" s="1695"/>
      <c r="AA376" s="1695"/>
      <c r="AB376" s="1699"/>
      <c r="AC376" s="1695"/>
      <c r="AD376" s="1695"/>
      <c r="AE376" s="1695"/>
      <c r="AF376" s="1695"/>
      <c r="AG376" s="1695"/>
      <c r="AH376" s="1699"/>
      <c r="AI376" s="1695"/>
      <c r="AJ376" s="1695"/>
      <c r="AK376" s="1695"/>
      <c r="AL376" s="1695"/>
      <c r="AM376" s="1695"/>
      <c r="AN376" s="1695"/>
      <c r="AO376" s="1757">
        <v>16</v>
      </c>
      <c r="AP376" s="1758">
        <v>55.8</v>
      </c>
      <c r="AQ376" s="1687">
        <v>360</v>
      </c>
      <c r="AR376" s="1687">
        <f t="shared" si="48"/>
        <v>5.5555555555555552E-2</v>
      </c>
      <c r="BF376" s="1687">
        <v>14193</v>
      </c>
      <c r="BG376" s="1687">
        <v>16349.53</v>
      </c>
      <c r="BH376" s="1687">
        <f t="shared" si="49"/>
        <v>1.1519432114422603</v>
      </c>
    </row>
    <row r="377" spans="1:60">
      <c r="A377" s="2438"/>
      <c r="B377" s="1695"/>
      <c r="C377" s="1696"/>
      <c r="D377" s="1696"/>
      <c r="E377" s="1695"/>
      <c r="F377" s="1695"/>
      <c r="G377" s="1745"/>
      <c r="H377" s="1745"/>
      <c r="I377" s="1745"/>
      <c r="J377" s="1745"/>
      <c r="K377" s="1695"/>
      <c r="L377" s="1745"/>
      <c r="M377" s="1699"/>
      <c r="N377" s="1695"/>
      <c r="O377" s="1695"/>
      <c r="P377" s="1745"/>
      <c r="Q377" s="1745"/>
      <c r="R377" s="1745"/>
      <c r="S377" s="1745"/>
      <c r="T377" s="1745"/>
      <c r="U377" s="1733" t="s">
        <v>1625</v>
      </c>
      <c r="V377" s="1699"/>
      <c r="W377" s="1695"/>
      <c r="X377" s="1695"/>
      <c r="Y377" s="1695"/>
      <c r="Z377" s="1695"/>
      <c r="AA377" s="1695"/>
      <c r="AB377" s="1699"/>
      <c r="AC377" s="1695"/>
      <c r="AD377" s="1695"/>
      <c r="AE377" s="1695"/>
      <c r="AF377" s="1695"/>
      <c r="AG377" s="1695"/>
      <c r="AH377" s="1699"/>
      <c r="AI377" s="1695"/>
      <c r="AJ377" s="1695"/>
      <c r="AK377" s="1695"/>
      <c r="AL377" s="1695"/>
      <c r="AM377" s="1695"/>
      <c r="AN377" s="1695"/>
      <c r="AO377" s="1757">
        <v>20</v>
      </c>
      <c r="AP377" s="1758">
        <v>50.23</v>
      </c>
      <c r="AQ377" s="1687">
        <v>500</v>
      </c>
      <c r="AR377" s="1687">
        <f t="shared" si="48"/>
        <v>4.5713999999999998E-2</v>
      </c>
      <c r="BF377" s="1687">
        <v>19609.150000000001</v>
      </c>
      <c r="BG377" s="1687">
        <v>22301.73</v>
      </c>
      <c r="BH377" s="1687">
        <f t="shared" si="49"/>
        <v>1.1373124281266653</v>
      </c>
    </row>
    <row r="378" spans="1:60">
      <c r="A378" s="2438"/>
      <c r="B378" s="1695"/>
      <c r="C378" s="1696"/>
      <c r="D378" s="1696"/>
      <c r="E378" s="1695"/>
      <c r="F378" s="1695"/>
      <c r="G378" s="1745"/>
      <c r="H378" s="1745"/>
      <c r="I378" s="1745"/>
      <c r="J378" s="1745"/>
      <c r="K378" s="1695"/>
      <c r="L378" s="1745"/>
      <c r="M378" s="1699"/>
      <c r="N378" s="1695"/>
      <c r="O378" s="1695"/>
      <c r="P378" s="1745"/>
      <c r="Q378" s="1745"/>
      <c r="R378" s="1745"/>
      <c r="S378" s="1745"/>
      <c r="T378" s="1745"/>
      <c r="U378" s="1733" t="s">
        <v>1626</v>
      </c>
      <c r="V378" s="1699"/>
      <c r="W378" s="1695"/>
      <c r="X378" s="1695"/>
      <c r="Y378" s="1695"/>
      <c r="Z378" s="1695"/>
      <c r="AA378" s="1695"/>
      <c r="AB378" s="1699"/>
      <c r="AC378" s="1695"/>
      <c r="AD378" s="1695"/>
      <c r="AE378" s="1695"/>
      <c r="AF378" s="1695"/>
      <c r="AG378" s="1695"/>
      <c r="AH378" s="1699"/>
      <c r="AI378" s="1695"/>
      <c r="AJ378" s="1695"/>
      <c r="AK378" s="1695"/>
      <c r="AL378" s="1695"/>
      <c r="AM378" s="1695"/>
      <c r="AN378" s="1695"/>
      <c r="AO378" s="1757">
        <v>20</v>
      </c>
      <c r="AP378" s="1758">
        <v>50.23</v>
      </c>
      <c r="AQ378" s="1687">
        <v>725</v>
      </c>
      <c r="AR378" s="1687">
        <f t="shared" si="48"/>
        <v>3.6782068965517244E-2</v>
      </c>
      <c r="BF378" s="1687">
        <v>23769.35</v>
      </c>
      <c r="BG378" s="1687">
        <v>27086.03</v>
      </c>
      <c r="BH378" s="1687">
        <f t="shared" si="49"/>
        <v>1.1395359990912668</v>
      </c>
    </row>
    <row r="379" spans="1:60">
      <c r="A379" s="2438"/>
      <c r="B379" s="1695"/>
      <c r="C379" s="1696"/>
      <c r="D379" s="1696"/>
      <c r="E379" s="1695"/>
      <c r="F379" s="1695"/>
      <c r="G379" s="1745"/>
      <c r="H379" s="1745"/>
      <c r="I379" s="1745"/>
      <c r="J379" s="1745"/>
      <c r="K379" s="1695"/>
      <c r="L379" s="1745"/>
      <c r="M379" s="1699"/>
      <c r="N379" s="1695"/>
      <c r="O379" s="1695"/>
      <c r="P379" s="1745"/>
      <c r="Q379" s="1745"/>
      <c r="R379" s="1745"/>
      <c r="S379" s="1745"/>
      <c r="T379" s="1745"/>
      <c r="U379" s="1787" t="s">
        <v>1627</v>
      </c>
      <c r="V379" s="1699"/>
      <c r="W379" s="1695"/>
      <c r="X379" s="1695"/>
      <c r="Y379" s="1695"/>
      <c r="Z379" s="1695"/>
      <c r="AA379" s="1695"/>
      <c r="AB379" s="1699"/>
      <c r="AC379" s="1695"/>
      <c r="AD379" s="1695"/>
      <c r="AE379" s="1695"/>
      <c r="AF379" s="1695"/>
      <c r="AG379" s="1695"/>
      <c r="AH379" s="1699"/>
      <c r="AI379" s="1695"/>
      <c r="AJ379" s="1695"/>
      <c r="AK379" s="1695"/>
      <c r="AL379" s="1695"/>
      <c r="AM379" s="1695"/>
      <c r="AN379" s="1695"/>
      <c r="AO379" s="1743">
        <v>22.856999999999999</v>
      </c>
      <c r="AP379" s="1758">
        <v>50.23</v>
      </c>
      <c r="BH379" s="1687">
        <f>AVERAGE(BH366:BH378)</f>
        <v>1.1450620209132567</v>
      </c>
    </row>
    <row r="380" spans="1:60">
      <c r="A380" s="2438"/>
      <c r="B380" s="1695"/>
      <c r="C380" s="1696"/>
      <c r="D380" s="1696"/>
      <c r="E380" s="1695"/>
      <c r="F380" s="1695"/>
      <c r="G380" s="1745"/>
      <c r="H380" s="1745"/>
      <c r="I380" s="1745"/>
      <c r="J380" s="1745"/>
      <c r="K380" s="1695"/>
      <c r="L380" s="1745"/>
      <c r="M380" s="1699"/>
      <c r="N380" s="1695"/>
      <c r="O380" s="1695"/>
      <c r="P380" s="1745"/>
      <c r="Q380" s="1745"/>
      <c r="R380" s="1745"/>
      <c r="S380" s="1745"/>
      <c r="T380" s="1745"/>
      <c r="U380" s="1733" t="s">
        <v>1628</v>
      </c>
      <c r="V380" s="1699"/>
      <c r="W380" s="1695"/>
      <c r="X380" s="1695"/>
      <c r="Y380" s="1695"/>
      <c r="Z380" s="1695"/>
      <c r="AA380" s="1695"/>
      <c r="AB380" s="1699"/>
      <c r="AC380" s="1695"/>
      <c r="AD380" s="1695"/>
      <c r="AE380" s="1695"/>
      <c r="AF380" s="1695"/>
      <c r="AG380" s="1695"/>
      <c r="AH380" s="1699"/>
      <c r="AI380" s="1695"/>
      <c r="AJ380" s="1695"/>
      <c r="AK380" s="1695"/>
      <c r="AL380" s="1695"/>
      <c r="AM380" s="1695"/>
      <c r="AN380" s="1695"/>
      <c r="AO380" s="1757">
        <v>26.667000000000002</v>
      </c>
      <c r="AP380" s="1758">
        <v>50.23</v>
      </c>
    </row>
    <row r="381" spans="1:60" ht="9" customHeight="1">
      <c r="A381" s="2438"/>
      <c r="B381" s="1695"/>
      <c r="C381" s="1696"/>
      <c r="D381" s="1696"/>
      <c r="E381" s="1695"/>
      <c r="F381" s="1695"/>
      <c r="G381" s="1745"/>
      <c r="H381" s="1745"/>
      <c r="I381" s="1745"/>
      <c r="J381" s="1745"/>
      <c r="K381" s="1695"/>
      <c r="L381" s="1745"/>
      <c r="M381" s="1699"/>
      <c r="N381" s="1695"/>
      <c r="O381" s="1695"/>
      <c r="P381" s="1745"/>
      <c r="Q381" s="1745"/>
      <c r="R381" s="1745"/>
      <c r="S381" s="1745"/>
      <c r="T381" s="1745"/>
      <c r="U381" s="1699"/>
      <c r="V381" s="1699"/>
      <c r="W381" s="1695"/>
      <c r="X381" s="1695"/>
      <c r="Y381" s="1695"/>
      <c r="Z381" s="1695"/>
      <c r="AA381" s="1695"/>
      <c r="AB381" s="1699"/>
      <c r="AC381" s="1695"/>
      <c r="AD381" s="1695"/>
      <c r="AE381" s="1695"/>
      <c r="AF381" s="1695"/>
      <c r="AG381" s="1695"/>
      <c r="AH381" s="1699"/>
      <c r="AI381" s="1695"/>
      <c r="AJ381" s="1695"/>
      <c r="AK381" s="1695"/>
      <c r="AL381" s="1695"/>
      <c r="AM381" s="1695"/>
      <c r="AN381" s="1695"/>
      <c r="AO381" s="1699"/>
      <c r="AP381" s="1729"/>
      <c r="AQ381" s="1687" t="s">
        <v>1796</v>
      </c>
      <c r="AR381" s="1687" t="s">
        <v>1875</v>
      </c>
    </row>
    <row r="382" spans="1:60" ht="15.75" thickBot="1">
      <c r="A382" s="2438"/>
      <c r="B382" s="1695"/>
      <c r="C382" s="1696"/>
      <c r="D382" s="1696"/>
      <c r="E382" s="1695"/>
      <c r="F382" s="1695"/>
      <c r="G382" s="1745"/>
      <c r="H382" s="1745"/>
      <c r="I382" s="1745"/>
      <c r="J382" s="1745"/>
      <c r="K382" s="1695"/>
      <c r="L382" s="1745"/>
      <c r="M382" s="1699"/>
      <c r="N382" s="1695"/>
      <c r="O382" s="1695"/>
      <c r="P382" s="1745"/>
      <c r="Q382" s="1745"/>
      <c r="R382" s="1745"/>
      <c r="S382" s="1745"/>
      <c r="T382" s="1745"/>
      <c r="U382" s="1699"/>
      <c r="V382" s="1699"/>
      <c r="W382" s="1695"/>
      <c r="X382" s="1695"/>
      <c r="Y382" s="1695"/>
      <c r="Z382" s="1695"/>
      <c r="AA382" s="1695"/>
      <c r="AB382" s="1699"/>
      <c r="AC382" s="1695"/>
      <c r="AD382" s="1695"/>
      <c r="AE382" s="1695"/>
      <c r="AF382" s="1695"/>
      <c r="AG382" s="1695"/>
      <c r="AH382" s="1699"/>
      <c r="AI382" s="1695"/>
      <c r="AJ382" s="1695"/>
      <c r="AK382" s="1695"/>
      <c r="AL382" s="1695"/>
      <c r="AM382" s="1695"/>
      <c r="AN382" s="1695"/>
      <c r="AO382" s="1699"/>
      <c r="AP382" s="1729"/>
      <c r="AQ382" s="1687">
        <v>80</v>
      </c>
      <c r="AR382" s="1687">
        <f t="shared" ref="AR382:AR388" si="52">AO384/AQ382</f>
        <v>0.27397499999999997</v>
      </c>
      <c r="AS382" s="1687" t="s">
        <v>1837</v>
      </c>
      <c r="AT382" s="1687">
        <f>AVERAGE(AR382:AR388)</f>
        <v>0.19582228862043555</v>
      </c>
    </row>
    <row r="383" spans="1:60" ht="19.5" thickBot="1">
      <c r="A383" s="1746"/>
      <c r="B383" s="1715"/>
      <c r="C383" s="1716"/>
      <c r="D383" s="1716"/>
      <c r="E383" s="1715"/>
      <c r="F383" s="1715"/>
      <c r="G383" s="1717"/>
      <c r="H383" s="1717"/>
      <c r="I383" s="1717"/>
      <c r="J383" s="1717"/>
      <c r="K383" s="1715"/>
      <c r="L383" s="1717"/>
      <c r="M383" s="1718"/>
      <c r="N383" s="1715"/>
      <c r="O383" s="1715"/>
      <c r="P383" s="1717"/>
      <c r="Q383" s="1717"/>
      <c r="R383" s="1717"/>
      <c r="S383" s="1717"/>
      <c r="T383" s="1717"/>
      <c r="U383" s="1718"/>
      <c r="V383" s="1718"/>
      <c r="W383" s="1715"/>
      <c r="X383" s="1715"/>
      <c r="Y383" s="1715"/>
      <c r="Z383" s="1715"/>
      <c r="AA383" s="1715"/>
      <c r="AB383" s="1718"/>
      <c r="AC383" s="1715"/>
      <c r="AD383" s="1715"/>
      <c r="AE383" s="1715"/>
      <c r="AF383" s="1715"/>
      <c r="AG383" s="1715"/>
      <c r="AH383" s="1718"/>
      <c r="AI383" s="1715"/>
      <c r="AJ383" s="1715"/>
      <c r="AK383" s="1715"/>
      <c r="AL383" s="1715"/>
      <c r="AM383" s="1715"/>
      <c r="AN383" s="1715"/>
      <c r="AO383" s="1718"/>
      <c r="AP383" s="1719"/>
      <c r="AQ383" s="1687">
        <v>100</v>
      </c>
      <c r="AR383" s="1687">
        <f t="shared" si="52"/>
        <v>0.23704</v>
      </c>
      <c r="AS383" s="1687" t="s">
        <v>1899</v>
      </c>
      <c r="AT383" s="1687">
        <f>STDEV(AR382:AR388)</f>
        <v>5.6121989850951043E-2</v>
      </c>
    </row>
    <row r="384" spans="1:60">
      <c r="A384" s="2432" t="s">
        <v>1360</v>
      </c>
      <c r="B384" s="1844" t="s">
        <v>1898</v>
      </c>
      <c r="C384" s="1721" t="s">
        <v>1796</v>
      </c>
      <c r="D384" s="1721" t="s">
        <v>1440</v>
      </c>
      <c r="E384" s="1949">
        <f>AT382</f>
        <v>0.19582228862043555</v>
      </c>
      <c r="F384" s="1950" t="s">
        <v>1900</v>
      </c>
      <c r="G384" s="1951">
        <f>AP384*BQ22</f>
        <v>62.46494892885444</v>
      </c>
      <c r="H384" s="1724">
        <f>G384*E384</f>
        <v>12.2320292578069</v>
      </c>
      <c r="I384" s="1754"/>
      <c r="J384" s="1846"/>
      <c r="K384" s="2418">
        <v>0.27500000000000002</v>
      </c>
      <c r="L384" s="1942"/>
      <c r="M384" s="1743" t="s">
        <v>1942</v>
      </c>
      <c r="N384" s="1782"/>
      <c r="O384" s="1870">
        <v>0.3</v>
      </c>
      <c r="P384" s="1738">
        <v>67.88</v>
      </c>
      <c r="Q384" s="1846">
        <f>O384*P384</f>
        <v>20.363999999999997</v>
      </c>
      <c r="R384" s="1846"/>
      <c r="S384" s="1846"/>
      <c r="T384" s="1755">
        <f>Q384+R385</f>
        <v>26.863999999999997</v>
      </c>
      <c r="U384" s="1733" t="s">
        <v>1629</v>
      </c>
      <c r="V384" s="1699"/>
      <c r="W384" s="1695"/>
      <c r="X384" s="1695"/>
      <c r="Y384" s="1695"/>
      <c r="Z384" s="1695"/>
      <c r="AA384" s="1695"/>
      <c r="AB384" s="1699"/>
      <c r="AC384" s="1695"/>
      <c r="AD384" s="1695"/>
      <c r="AE384" s="1695"/>
      <c r="AF384" s="1695"/>
      <c r="AG384" s="1695"/>
      <c r="AH384" s="1699"/>
      <c r="AI384" s="1695"/>
      <c r="AJ384" s="1695"/>
      <c r="AK384" s="1695"/>
      <c r="AL384" s="1695"/>
      <c r="AM384" s="1695"/>
      <c r="AN384" s="1695"/>
      <c r="AO384" s="1757">
        <v>21.917999999999999</v>
      </c>
      <c r="AP384" s="1758">
        <v>53.94</v>
      </c>
      <c r="AQ384" s="1687">
        <v>122</v>
      </c>
      <c r="AR384" s="1687">
        <f t="shared" si="52"/>
        <v>0.23845081967213116</v>
      </c>
    </row>
    <row r="385" spans="1:46">
      <c r="A385" s="2433"/>
      <c r="B385" s="1739" t="s">
        <v>2027</v>
      </c>
      <c r="C385" s="1733" t="s">
        <v>1796</v>
      </c>
      <c r="D385" s="1787" t="s">
        <v>1812</v>
      </c>
      <c r="E385" s="1748"/>
      <c r="F385" s="1841"/>
      <c r="G385" s="1738"/>
      <c r="H385" s="1738"/>
      <c r="I385" s="1736">
        <f>(SUM(Y391,AE391,AA391,AG391)/2)/200</f>
        <v>28.715</v>
      </c>
      <c r="J385" s="1774">
        <f>AVERAGE(Z391,AF391)</f>
        <v>1325</v>
      </c>
      <c r="K385" s="2418"/>
      <c r="L385" s="1942">
        <f>(($E$384*$G$384)+I385)*(1+K384)</f>
        <v>52.207462303703799</v>
      </c>
      <c r="M385" s="1743" t="s">
        <v>1951</v>
      </c>
      <c r="N385" s="1782"/>
      <c r="O385" s="1870"/>
      <c r="P385" s="1738"/>
      <c r="Q385" s="1846"/>
      <c r="R385" s="1846">
        <f>1300/200</f>
        <v>6.5</v>
      </c>
      <c r="S385" s="1846"/>
      <c r="T385" s="1755"/>
      <c r="U385" s="1733" t="s">
        <v>1630</v>
      </c>
      <c r="V385" s="1699"/>
      <c r="W385" s="1695"/>
      <c r="X385" s="1695"/>
      <c r="Y385" s="1695"/>
      <c r="Z385" s="1695"/>
      <c r="AA385" s="1695"/>
      <c r="AB385" s="1699"/>
      <c r="AC385" s="1695"/>
      <c r="AD385" s="1695"/>
      <c r="AE385" s="1695"/>
      <c r="AF385" s="1695"/>
      <c r="AG385" s="1695"/>
      <c r="AH385" s="1699"/>
      <c r="AI385" s="1695"/>
      <c r="AJ385" s="1695"/>
      <c r="AK385" s="1695"/>
      <c r="AL385" s="1695"/>
      <c r="AM385" s="1695"/>
      <c r="AN385" s="1695"/>
      <c r="AO385" s="1757">
        <v>23.704000000000001</v>
      </c>
      <c r="AP385" s="1758">
        <v>53.94</v>
      </c>
      <c r="AQ385" s="1687">
        <v>163</v>
      </c>
      <c r="AR385" s="1687">
        <f t="shared" si="52"/>
        <v>0.19631901840490798</v>
      </c>
    </row>
    <row r="386" spans="1:46">
      <c r="A386" s="2433"/>
      <c r="B386" s="1792" t="s">
        <v>2028</v>
      </c>
      <c r="C386" s="1733" t="s">
        <v>1796</v>
      </c>
      <c r="D386" s="1787" t="s">
        <v>1812</v>
      </c>
      <c r="E386" s="1748"/>
      <c r="F386" s="1841"/>
      <c r="G386" s="1738"/>
      <c r="H386" s="1738"/>
      <c r="I386" s="1736">
        <f>(SUM(Y392,AE392,AA392,AG392)/2)/200</f>
        <v>31.0425</v>
      </c>
      <c r="J386" s="1774">
        <f>AVERAGE(Z392,AF392)</f>
        <v>2825</v>
      </c>
      <c r="K386" s="2418"/>
      <c r="L386" s="1942">
        <f>((E384*$G$384)+I386)*(1+K384)</f>
        <v>55.175024803703799</v>
      </c>
      <c r="M386" s="1759" t="s">
        <v>2037</v>
      </c>
      <c r="N386" s="1695"/>
      <c r="O386" s="1695"/>
      <c r="P386" s="1745"/>
      <c r="Q386" s="1745"/>
      <c r="R386" s="1745"/>
      <c r="S386" s="1745"/>
      <c r="T386" s="1805"/>
      <c r="U386" s="1733" t="s">
        <v>1631</v>
      </c>
      <c r="V386" s="1699"/>
      <c r="W386" s="1695"/>
      <c r="X386" s="1695"/>
      <c r="Y386" s="1695"/>
      <c r="Z386" s="1695"/>
      <c r="AA386" s="1695"/>
      <c r="AB386" s="1699"/>
      <c r="AC386" s="1695"/>
      <c r="AD386" s="1695"/>
      <c r="AE386" s="1695"/>
      <c r="AF386" s="1695"/>
      <c r="AG386" s="1695"/>
      <c r="AH386" s="1699"/>
      <c r="AI386" s="1695"/>
      <c r="AJ386" s="1695"/>
      <c r="AK386" s="1695"/>
      <c r="AL386" s="1695"/>
      <c r="AM386" s="1695"/>
      <c r="AN386" s="1695"/>
      <c r="AO386" s="1757">
        <v>29.091000000000001</v>
      </c>
      <c r="AP386" s="1758">
        <v>53.94</v>
      </c>
      <c r="AQ386" s="1687">
        <v>203</v>
      </c>
      <c r="AR386" s="1687">
        <f t="shared" si="52"/>
        <v>0.15763546798029557</v>
      </c>
    </row>
    <row r="387" spans="1:46">
      <c r="A387" s="2433"/>
      <c r="B387" s="1792" t="s">
        <v>2029</v>
      </c>
      <c r="C387" s="1733" t="s">
        <v>1796</v>
      </c>
      <c r="D387" s="1787" t="s">
        <v>1812</v>
      </c>
      <c r="E387" s="1748"/>
      <c r="F387" s="1841"/>
      <c r="G387" s="1738"/>
      <c r="H387" s="1738"/>
      <c r="I387" s="1736">
        <f>(SUM(Y393,AE393,AA393,AG393)/2)/200</f>
        <v>30.7</v>
      </c>
      <c r="J387" s="1774">
        <f>AVERAGE(Z393,AF393)</f>
        <v>3175</v>
      </c>
      <c r="K387" s="2418"/>
      <c r="L387" s="1942">
        <f>((E384*$G$384)+I387)*(1+K384)</f>
        <v>54.738337303703794</v>
      </c>
      <c r="M387" s="1699"/>
      <c r="N387" s="1695"/>
      <c r="O387" s="1695"/>
      <c r="P387" s="1745"/>
      <c r="Q387" s="1745"/>
      <c r="R387" s="1745"/>
      <c r="S387" s="1745"/>
      <c r="T387" s="1805"/>
      <c r="U387" s="1787" t="s">
        <v>1632</v>
      </c>
      <c r="V387" s="1699"/>
      <c r="W387" s="1695"/>
      <c r="X387" s="1695"/>
      <c r="Y387" s="1695"/>
      <c r="Z387" s="1695"/>
      <c r="AA387" s="1695"/>
      <c r="AB387" s="1699"/>
      <c r="AC387" s="1695"/>
      <c r="AD387" s="1695"/>
      <c r="AE387" s="1695"/>
      <c r="AF387" s="1695"/>
      <c r="AG387" s="1695"/>
      <c r="AH387" s="1699"/>
      <c r="AI387" s="1695"/>
      <c r="AJ387" s="1695"/>
      <c r="AK387" s="1695"/>
      <c r="AL387" s="1695"/>
      <c r="AM387" s="1695"/>
      <c r="AN387" s="1695"/>
      <c r="AO387" s="1743">
        <v>32</v>
      </c>
      <c r="AP387" s="1758">
        <v>53.94</v>
      </c>
      <c r="AQ387" s="1687">
        <v>240</v>
      </c>
      <c r="AR387" s="1687">
        <f t="shared" si="52"/>
        <v>0.14035</v>
      </c>
    </row>
    <row r="388" spans="1:46">
      <c r="A388" s="2433"/>
      <c r="B388" s="1699"/>
      <c r="C388" s="1696"/>
      <c r="D388" s="1696"/>
      <c r="E388" s="1952"/>
      <c r="F388" s="1695"/>
      <c r="G388" s="1745"/>
      <c r="H388" s="1745"/>
      <c r="I388" s="1745"/>
      <c r="J388" s="1745"/>
      <c r="K388" s="1695"/>
      <c r="L388" s="1805"/>
      <c r="M388" s="1699"/>
      <c r="N388" s="1695"/>
      <c r="O388" s="1695"/>
      <c r="P388" s="1745"/>
      <c r="Q388" s="1745"/>
      <c r="R388" s="1745"/>
      <c r="S388" s="1745"/>
      <c r="T388" s="1805"/>
      <c r="U388" s="1733" t="s">
        <v>1633</v>
      </c>
      <c r="V388" s="1699"/>
      <c r="W388" s="1695"/>
      <c r="X388" s="1695"/>
      <c r="Y388" s="1695"/>
      <c r="Z388" s="1695"/>
      <c r="AA388" s="1695"/>
      <c r="AB388" s="1699"/>
      <c r="AC388" s="1695"/>
      <c r="AD388" s="1695"/>
      <c r="AE388" s="1695"/>
      <c r="AF388" s="1695"/>
      <c r="AG388" s="1695"/>
      <c r="AH388" s="1699"/>
      <c r="AI388" s="1695"/>
      <c r="AJ388" s="1695"/>
      <c r="AK388" s="1695"/>
      <c r="AL388" s="1695"/>
      <c r="AM388" s="1695"/>
      <c r="AN388" s="1695"/>
      <c r="AO388" s="1757">
        <v>32</v>
      </c>
      <c r="AP388" s="1758">
        <v>53.94</v>
      </c>
      <c r="AQ388" s="1687">
        <v>280</v>
      </c>
      <c r="AR388" s="1687">
        <f t="shared" si="52"/>
        <v>0.12698571428571429</v>
      </c>
    </row>
    <row r="389" spans="1:46">
      <c r="A389" s="2433"/>
      <c r="B389" s="1699"/>
      <c r="C389" s="1696"/>
      <c r="D389" s="1696"/>
      <c r="E389" s="1952"/>
      <c r="F389" s="1695"/>
      <c r="G389" s="1745"/>
      <c r="H389" s="1745"/>
      <c r="I389" s="1745"/>
      <c r="J389" s="1745"/>
      <c r="K389" s="1695"/>
      <c r="L389" s="1805"/>
      <c r="M389" s="1699"/>
      <c r="N389" s="1695"/>
      <c r="O389" s="1695"/>
      <c r="P389" s="1745"/>
      <c r="Q389" s="1745"/>
      <c r="R389" s="1745"/>
      <c r="S389" s="1745"/>
      <c r="T389" s="1805"/>
      <c r="U389" s="1733" t="s">
        <v>1634</v>
      </c>
      <c r="V389" s="1699"/>
      <c r="W389" s="1695"/>
      <c r="X389" s="1695"/>
      <c r="Y389" s="1695"/>
      <c r="Z389" s="1695"/>
      <c r="AA389" s="1695"/>
      <c r="AB389" s="1699"/>
      <c r="AC389" s="1695"/>
      <c r="AD389" s="1695"/>
      <c r="AE389" s="1695"/>
      <c r="AF389" s="1695"/>
      <c r="AG389" s="1695"/>
      <c r="AH389" s="1699"/>
      <c r="AI389" s="1695"/>
      <c r="AJ389" s="1695"/>
      <c r="AK389" s="1695"/>
      <c r="AL389" s="1695"/>
      <c r="AM389" s="1695"/>
      <c r="AN389" s="1695"/>
      <c r="AO389" s="1757">
        <v>33.683999999999997</v>
      </c>
      <c r="AP389" s="1758">
        <v>53.94</v>
      </c>
    </row>
    <row r="390" spans="1:46">
      <c r="A390" s="2433"/>
      <c r="B390" s="1699"/>
      <c r="C390" s="1696"/>
      <c r="D390" s="1696"/>
      <c r="E390" s="1952"/>
      <c r="F390" s="1695"/>
      <c r="G390" s="1745"/>
      <c r="H390" s="1745"/>
      <c r="I390" s="1745"/>
      <c r="J390" s="1745"/>
      <c r="K390" s="1695"/>
      <c r="L390" s="1805"/>
      <c r="M390" s="1699"/>
      <c r="N390" s="1695"/>
      <c r="O390" s="1695"/>
      <c r="P390" s="1745"/>
      <c r="Q390" s="1745"/>
      <c r="R390" s="1745"/>
      <c r="S390" s="1745"/>
      <c r="T390" s="1805"/>
      <c r="U390" s="1733" t="s">
        <v>1635</v>
      </c>
      <c r="V390" s="1699"/>
      <c r="W390" s="1695"/>
      <c r="X390" s="1695"/>
      <c r="Y390" s="1695"/>
      <c r="Z390" s="1695"/>
      <c r="AA390" s="1695"/>
      <c r="AB390" s="1699"/>
      <c r="AC390" s="1695"/>
      <c r="AD390" s="1695"/>
      <c r="AE390" s="1695"/>
      <c r="AF390" s="1695"/>
      <c r="AG390" s="1695"/>
      <c r="AH390" s="1699"/>
      <c r="AI390" s="1695"/>
      <c r="AJ390" s="1695"/>
      <c r="AK390" s="1695"/>
      <c r="AL390" s="1695"/>
      <c r="AM390" s="1695"/>
      <c r="AN390" s="1695"/>
      <c r="AO390" s="1757">
        <v>35.555999999999997</v>
      </c>
      <c r="AP390" s="1758">
        <v>53.94</v>
      </c>
    </row>
    <row r="391" spans="1:46">
      <c r="A391" s="2433"/>
      <c r="B391" s="1695"/>
      <c r="C391" s="1696"/>
      <c r="D391" s="1696"/>
      <c r="E391" s="1952"/>
      <c r="F391" s="1695"/>
      <c r="G391" s="1745"/>
      <c r="H391" s="1745"/>
      <c r="I391" s="1745"/>
      <c r="J391" s="1745"/>
      <c r="K391" s="1695"/>
      <c r="L391" s="1745"/>
      <c r="M391" s="1699"/>
      <c r="N391" s="1695"/>
      <c r="O391" s="1695"/>
      <c r="P391" s="1745"/>
      <c r="Q391" s="1745"/>
      <c r="R391" s="1745"/>
      <c r="S391" s="1745"/>
      <c r="T391" s="1745"/>
      <c r="U391" s="1733" t="s">
        <v>2024</v>
      </c>
      <c r="V391" s="1757">
        <v>93</v>
      </c>
      <c r="W391" s="1857">
        <v>108</v>
      </c>
      <c r="X391" s="1857">
        <v>10080</v>
      </c>
      <c r="Y391" s="1857">
        <v>2200</v>
      </c>
      <c r="Z391" s="1857">
        <v>1400</v>
      </c>
      <c r="AA391" s="1858">
        <v>6409</v>
      </c>
      <c r="AB391" s="1757">
        <v>139</v>
      </c>
      <c r="AC391" s="1857">
        <v>97</v>
      </c>
      <c r="AD391" s="1857">
        <v>13542</v>
      </c>
      <c r="AE391" s="1857">
        <v>1677</v>
      </c>
      <c r="AF391" s="1857">
        <v>1250</v>
      </c>
      <c r="AG391" s="1858">
        <v>1200</v>
      </c>
      <c r="AH391" s="1699"/>
      <c r="AI391" s="1695"/>
      <c r="AJ391" s="1695"/>
      <c r="AK391" s="1695"/>
      <c r="AL391" s="1695"/>
      <c r="AM391" s="1695"/>
      <c r="AN391" s="1695"/>
      <c r="AO391" s="1699"/>
      <c r="AP391" s="1729"/>
    </row>
    <row r="392" spans="1:46" ht="9" customHeight="1">
      <c r="A392" s="2433"/>
      <c r="B392" s="1695"/>
      <c r="C392" s="1696"/>
      <c r="D392" s="1696"/>
      <c r="E392" s="1952"/>
      <c r="F392" s="1695"/>
      <c r="G392" s="1745"/>
      <c r="H392" s="1745"/>
      <c r="I392" s="1745"/>
      <c r="J392" s="1745"/>
      <c r="K392" s="1695"/>
      <c r="L392" s="1745"/>
      <c r="M392" s="1699"/>
      <c r="N392" s="1695"/>
      <c r="O392" s="1695"/>
      <c r="P392" s="1745"/>
      <c r="Q392" s="1745"/>
      <c r="R392" s="1745"/>
      <c r="S392" s="1745"/>
      <c r="T392" s="1745"/>
      <c r="U392" s="1787" t="s">
        <v>2025</v>
      </c>
      <c r="V392" s="1757">
        <v>90</v>
      </c>
      <c r="W392" s="1857">
        <v>108</v>
      </c>
      <c r="X392" s="1857">
        <v>9744</v>
      </c>
      <c r="Y392" s="1857">
        <v>2189</v>
      </c>
      <c r="Z392" s="1857">
        <v>4400</v>
      </c>
      <c r="AA392" s="1858">
        <v>7200</v>
      </c>
      <c r="AB392" s="1757">
        <v>150</v>
      </c>
      <c r="AC392" s="1857">
        <v>98</v>
      </c>
      <c r="AD392" s="1857">
        <v>14638</v>
      </c>
      <c r="AE392" s="1857">
        <v>1728</v>
      </c>
      <c r="AF392" s="1857">
        <v>1250</v>
      </c>
      <c r="AG392" s="1858">
        <v>1300</v>
      </c>
      <c r="AH392" s="1699"/>
      <c r="AI392" s="1695"/>
      <c r="AJ392" s="1695"/>
      <c r="AK392" s="1695"/>
      <c r="AL392" s="1695"/>
      <c r="AM392" s="1695"/>
      <c r="AN392" s="1695"/>
      <c r="AO392" s="1699"/>
      <c r="AP392" s="1729"/>
      <c r="AQ392" s="1687" t="s">
        <v>1796</v>
      </c>
      <c r="AR392" s="1687" t="s">
        <v>1875</v>
      </c>
    </row>
    <row r="393" spans="1:46" ht="15" customHeight="1" thickBot="1">
      <c r="A393" s="2433"/>
      <c r="B393" s="1695"/>
      <c r="C393" s="1696"/>
      <c r="D393" s="1696"/>
      <c r="E393" s="1952"/>
      <c r="F393" s="1695"/>
      <c r="G393" s="1745"/>
      <c r="H393" s="1745"/>
      <c r="I393" s="1745"/>
      <c r="J393" s="1745"/>
      <c r="K393" s="1695"/>
      <c r="L393" s="1745"/>
      <c r="M393" s="1699"/>
      <c r="N393" s="1695"/>
      <c r="O393" s="1695"/>
      <c r="P393" s="1745"/>
      <c r="Q393" s="1745"/>
      <c r="R393" s="1745"/>
      <c r="S393" s="1745"/>
      <c r="T393" s="1745"/>
      <c r="U393" s="1787" t="s">
        <v>2026</v>
      </c>
      <c r="V393" s="1757">
        <v>86</v>
      </c>
      <c r="W393" s="1857">
        <v>108</v>
      </c>
      <c r="X393" s="1857">
        <v>9296</v>
      </c>
      <c r="Y393" s="1857">
        <v>2189</v>
      </c>
      <c r="Z393" s="1857">
        <v>4500</v>
      </c>
      <c r="AA393" s="1858">
        <v>7096</v>
      </c>
      <c r="AB393" s="1757">
        <v>143</v>
      </c>
      <c r="AC393" s="1857">
        <v>97</v>
      </c>
      <c r="AD393" s="1857">
        <v>13930</v>
      </c>
      <c r="AE393" s="1857">
        <v>1695</v>
      </c>
      <c r="AF393" s="1857">
        <v>1850</v>
      </c>
      <c r="AG393" s="1858">
        <v>1300</v>
      </c>
      <c r="AH393" s="1699"/>
      <c r="AI393" s="1695"/>
      <c r="AJ393" s="1695"/>
      <c r="AK393" s="1695"/>
      <c r="AL393" s="1695"/>
      <c r="AM393" s="1695"/>
      <c r="AN393" s="1695"/>
      <c r="AO393" s="1699"/>
      <c r="AP393" s="1729"/>
      <c r="AQ393" s="1687">
        <v>320</v>
      </c>
      <c r="AR393" s="1687">
        <f t="shared" ref="AR393:AR404" si="53">AO395/AQ393</f>
        <v>0.125</v>
      </c>
      <c r="AS393" s="1687" t="s">
        <v>1837</v>
      </c>
      <c r="AT393" s="1687">
        <f>AVERAGE(AR393:AR404)</f>
        <v>9.1835155149700989E-2</v>
      </c>
    </row>
    <row r="394" spans="1:46" ht="15" customHeight="1" thickBot="1">
      <c r="A394" s="1746"/>
      <c r="B394" s="1715"/>
      <c r="C394" s="1716"/>
      <c r="D394" s="1716"/>
      <c r="E394" s="1953"/>
      <c r="F394" s="1715"/>
      <c r="G394" s="1717"/>
      <c r="H394" s="1717"/>
      <c r="I394" s="1717"/>
      <c r="J394" s="1717"/>
      <c r="K394" s="1715"/>
      <c r="L394" s="1717"/>
      <c r="M394" s="1718"/>
      <c r="N394" s="1715"/>
      <c r="O394" s="1715"/>
      <c r="P394" s="1717"/>
      <c r="Q394" s="1717"/>
      <c r="R394" s="1717"/>
      <c r="S394" s="1717"/>
      <c r="T394" s="1717"/>
      <c r="U394" s="1718"/>
      <c r="V394" s="1718"/>
      <c r="W394" s="1715"/>
      <c r="X394" s="1715"/>
      <c r="Y394" s="1715"/>
      <c r="Z394" s="1715"/>
      <c r="AA394" s="1715"/>
      <c r="AB394" s="1718"/>
      <c r="AC394" s="1715"/>
      <c r="AD394" s="1715"/>
      <c r="AE394" s="1715"/>
      <c r="AF394" s="1715"/>
      <c r="AG394" s="1715"/>
      <c r="AH394" s="1718"/>
      <c r="AI394" s="1715"/>
      <c r="AJ394" s="1715"/>
      <c r="AK394" s="1715"/>
      <c r="AL394" s="1715"/>
      <c r="AM394" s="1715"/>
      <c r="AN394" s="1715"/>
      <c r="AO394" s="1718"/>
      <c r="AP394" s="1719"/>
      <c r="AQ394" s="1687">
        <v>360</v>
      </c>
      <c r="AR394" s="1687">
        <f t="shared" si="53"/>
        <v>0.12519444444444444</v>
      </c>
      <c r="AS394" s="1687" t="s">
        <v>1899</v>
      </c>
      <c r="AT394" s="1687">
        <f>STDEV(AR393:AR404)</f>
        <v>2.9015496012635582E-2</v>
      </c>
    </row>
    <row r="395" spans="1:46" ht="15" customHeight="1">
      <c r="A395" s="2432" t="s">
        <v>1361</v>
      </c>
      <c r="B395" s="1844" t="s">
        <v>1898</v>
      </c>
      <c r="C395" s="1721" t="s">
        <v>1796</v>
      </c>
      <c r="D395" s="1721" t="s">
        <v>1440</v>
      </c>
      <c r="E395" s="1949">
        <f>AT393</f>
        <v>9.1835155149700989E-2</v>
      </c>
      <c r="F395" s="1950" t="s">
        <v>1901</v>
      </c>
      <c r="G395" s="1724">
        <f>AP395*BQ22</f>
        <v>62.46494892885444</v>
      </c>
      <c r="H395" s="1724">
        <f>G395*E395</f>
        <v>5.7364782762994961</v>
      </c>
      <c r="I395" s="1754"/>
      <c r="J395" s="1846"/>
      <c r="K395" s="2418">
        <v>0.27500000000000002</v>
      </c>
      <c r="L395" s="1942"/>
      <c r="M395" s="1743" t="s">
        <v>1942</v>
      </c>
      <c r="N395" s="1782"/>
      <c r="O395" s="1870" t="s">
        <v>1946</v>
      </c>
      <c r="P395" s="1738">
        <v>67.88</v>
      </c>
      <c r="Q395" s="1954" t="s">
        <v>2036</v>
      </c>
      <c r="R395" s="1846"/>
      <c r="S395" s="1846"/>
      <c r="T395" s="1755" t="s">
        <v>2087</v>
      </c>
      <c r="U395" s="1733" t="s">
        <v>1636</v>
      </c>
      <c r="V395" s="1699"/>
      <c r="W395" s="1695"/>
      <c r="X395" s="1695"/>
      <c r="Y395" s="1695"/>
      <c r="Z395" s="1695"/>
      <c r="AA395" s="1695"/>
      <c r="AB395" s="1699"/>
      <c r="AC395" s="1695"/>
      <c r="AD395" s="1695"/>
      <c r="AE395" s="1695"/>
      <c r="AF395" s="1695"/>
      <c r="AG395" s="1695"/>
      <c r="AH395" s="1699"/>
      <c r="AI395" s="1695"/>
      <c r="AJ395" s="1695"/>
      <c r="AK395" s="1695"/>
      <c r="AL395" s="1695"/>
      <c r="AM395" s="1695"/>
      <c r="AN395" s="1695"/>
      <c r="AO395" s="1757">
        <v>40</v>
      </c>
      <c r="AP395" s="1758">
        <v>53.94</v>
      </c>
      <c r="AQ395" s="1687">
        <v>400</v>
      </c>
      <c r="AR395" s="1687">
        <f t="shared" si="53"/>
        <v>0.125</v>
      </c>
    </row>
    <row r="396" spans="1:46" ht="15" customHeight="1">
      <c r="A396" s="2433"/>
      <c r="B396" s="1739" t="s">
        <v>2038</v>
      </c>
      <c r="C396" s="1733" t="s">
        <v>1796</v>
      </c>
      <c r="D396" s="1787" t="s">
        <v>1812</v>
      </c>
      <c r="E396" s="1955"/>
      <c r="F396" s="1841"/>
      <c r="G396" s="1738"/>
      <c r="H396" s="1738"/>
      <c r="I396" s="1736">
        <f>(SUM(Y407,AE407,AA407,AG407)/2)/1000</f>
        <v>11.4175</v>
      </c>
      <c r="J396" s="1774">
        <f>AVERAGE(Z407,AF407)</f>
        <v>1800</v>
      </c>
      <c r="K396" s="2418"/>
      <c r="L396" s="1942">
        <f t="shared" ref="L396:L401" si="54">(($E$395*$G$395)+I396)*(1+$K$395)</f>
        <v>21.871322302281857</v>
      </c>
      <c r="M396" s="1743" t="s">
        <v>2065</v>
      </c>
      <c r="N396" s="1782"/>
      <c r="O396" s="1870"/>
      <c r="P396" s="1738"/>
      <c r="Q396" s="1846"/>
      <c r="R396" s="1846">
        <f>1300/1000</f>
        <v>1.3</v>
      </c>
      <c r="S396" s="1846"/>
      <c r="T396" s="1755"/>
      <c r="U396" s="1733" t="s">
        <v>1637</v>
      </c>
      <c r="V396" s="1783"/>
      <c r="W396" s="1784"/>
      <c r="X396" s="1784"/>
      <c r="Y396" s="1784"/>
      <c r="Z396" s="1784"/>
      <c r="AA396" s="1784"/>
      <c r="AB396" s="1783"/>
      <c r="AC396" s="1784"/>
      <c r="AD396" s="1784"/>
      <c r="AE396" s="1784"/>
      <c r="AF396" s="1784"/>
      <c r="AG396" s="1784"/>
      <c r="AH396" s="1783"/>
      <c r="AI396" s="1784"/>
      <c r="AJ396" s="1784"/>
      <c r="AK396" s="1784"/>
      <c r="AL396" s="1784"/>
      <c r="AM396" s="1784"/>
      <c r="AN396" s="1784"/>
      <c r="AO396" s="1757">
        <v>45.07</v>
      </c>
      <c r="AP396" s="1758">
        <v>53.94</v>
      </c>
      <c r="AQ396" s="1687">
        <v>440</v>
      </c>
      <c r="AR396" s="1687">
        <f t="shared" si="53"/>
        <v>0.12496136363636363</v>
      </c>
    </row>
    <row r="397" spans="1:46" ht="15" customHeight="1">
      <c r="A397" s="2433"/>
      <c r="B397" s="1739" t="s">
        <v>2039</v>
      </c>
      <c r="C397" s="1733" t="s">
        <v>1796</v>
      </c>
      <c r="D397" s="1787" t="s">
        <v>1812</v>
      </c>
      <c r="E397" s="1955"/>
      <c r="F397" s="1841"/>
      <c r="G397" s="1738"/>
      <c r="H397" s="1738"/>
      <c r="I397" s="1736">
        <f>(SUM(Y408,AE408,AA408,AG408)/2)/3000</f>
        <v>8.054666666666666</v>
      </c>
      <c r="J397" s="1774">
        <f t="shared" ref="J397:J401" si="55">AVERAGE(Z408,AF408)</f>
        <v>2675</v>
      </c>
      <c r="K397" s="2418"/>
      <c r="L397" s="1942">
        <f t="shared" si="54"/>
        <v>17.583709802281856</v>
      </c>
      <c r="M397" s="1759" t="s">
        <v>2013</v>
      </c>
      <c r="N397" s="1695"/>
      <c r="O397" s="1695"/>
      <c r="P397" s="1745"/>
      <c r="Q397" s="1745"/>
      <c r="R397" s="1745"/>
      <c r="S397" s="1745"/>
      <c r="T397" s="1805"/>
      <c r="U397" s="1733" t="s">
        <v>1638</v>
      </c>
      <c r="V397" s="1699"/>
      <c r="W397" s="1695"/>
      <c r="X397" s="1695"/>
      <c r="Y397" s="1695"/>
      <c r="Z397" s="1695"/>
      <c r="AA397" s="1695"/>
      <c r="AB397" s="1699"/>
      <c r="AC397" s="1695"/>
      <c r="AD397" s="1695"/>
      <c r="AE397" s="1695"/>
      <c r="AF397" s="1695"/>
      <c r="AG397" s="1695"/>
      <c r="AH397" s="1699"/>
      <c r="AI397" s="1695"/>
      <c r="AJ397" s="1695"/>
      <c r="AK397" s="1695"/>
      <c r="AL397" s="1695"/>
      <c r="AM397" s="1695"/>
      <c r="AN397" s="1695"/>
      <c r="AO397" s="1757">
        <v>50</v>
      </c>
      <c r="AP397" s="1758">
        <v>53.94</v>
      </c>
      <c r="AQ397" s="1687">
        <v>544</v>
      </c>
      <c r="AR397" s="1687">
        <f t="shared" si="53"/>
        <v>0.11579411764705883</v>
      </c>
    </row>
    <row r="398" spans="1:46" ht="15" customHeight="1">
      <c r="A398" s="2433"/>
      <c r="B398" s="1792" t="s">
        <v>2040</v>
      </c>
      <c r="C398" s="1733" t="s">
        <v>1796</v>
      </c>
      <c r="D398" s="1787" t="s">
        <v>1812</v>
      </c>
      <c r="E398" s="1955"/>
      <c r="F398" s="1841"/>
      <c r="G398" s="1738"/>
      <c r="H398" s="1738"/>
      <c r="I398" s="1736">
        <f>(SUM(Y409,AE409,AA409,AG409)/2)/1000</f>
        <v>13.0085</v>
      </c>
      <c r="J398" s="1774">
        <f>AVERAGE(Z409,AF409)</f>
        <v>3450</v>
      </c>
      <c r="K398" s="2418"/>
      <c r="L398" s="1942">
        <f t="shared" si="54"/>
        <v>23.899847302281856</v>
      </c>
      <c r="M398" s="1699"/>
      <c r="N398" s="1695"/>
      <c r="O398" s="1695"/>
      <c r="P398" s="1745"/>
      <c r="Q398" s="1745"/>
      <c r="R398" s="1745"/>
      <c r="S398" s="1745"/>
      <c r="T398" s="1805"/>
      <c r="U398" s="1787" t="s">
        <v>1639</v>
      </c>
      <c r="V398" s="1699"/>
      <c r="W398" s="1695"/>
      <c r="X398" s="1695"/>
      <c r="Y398" s="1695"/>
      <c r="Z398" s="1695"/>
      <c r="AA398" s="1695"/>
      <c r="AB398" s="1699"/>
      <c r="AC398" s="1695"/>
      <c r="AD398" s="1695"/>
      <c r="AE398" s="1695"/>
      <c r="AF398" s="1695"/>
      <c r="AG398" s="1695"/>
      <c r="AH398" s="1699"/>
      <c r="AI398" s="1695"/>
      <c r="AJ398" s="1695"/>
      <c r="AK398" s="1695"/>
      <c r="AL398" s="1695"/>
      <c r="AM398" s="1695"/>
      <c r="AN398" s="1695"/>
      <c r="AO398" s="1743">
        <v>54.982999999999997</v>
      </c>
      <c r="AP398" s="1758">
        <v>53.94</v>
      </c>
      <c r="AQ398" s="1687">
        <v>765</v>
      </c>
      <c r="AR398" s="1687">
        <f t="shared" si="53"/>
        <v>9.1532026143790857E-2</v>
      </c>
    </row>
    <row r="399" spans="1:46" ht="15" customHeight="1">
      <c r="A399" s="2433"/>
      <c r="B399" s="1792" t="s">
        <v>2041</v>
      </c>
      <c r="C399" s="1733" t="s">
        <v>1796</v>
      </c>
      <c r="D399" s="1787" t="s">
        <v>1812</v>
      </c>
      <c r="E399" s="1955"/>
      <c r="F399" s="1841"/>
      <c r="G399" s="1738"/>
      <c r="H399" s="1738"/>
      <c r="I399" s="1736">
        <f>(SUM(Y410,AE410,AA410,AG410)/2)/3000</f>
        <v>8.3553333333333342</v>
      </c>
      <c r="J399" s="1774">
        <f t="shared" si="55"/>
        <v>4275</v>
      </c>
      <c r="K399" s="2418"/>
      <c r="L399" s="1942">
        <f t="shared" si="54"/>
        <v>17.96705980228186</v>
      </c>
      <c r="M399" s="1699"/>
      <c r="N399" s="1695"/>
      <c r="O399" s="1695"/>
      <c r="P399" s="1745"/>
      <c r="Q399" s="1745"/>
      <c r="R399" s="1745"/>
      <c r="S399" s="1745"/>
      <c r="T399" s="1805"/>
      <c r="U399" s="1733" t="s">
        <v>1640</v>
      </c>
      <c r="V399" s="1699"/>
      <c r="W399" s="1695"/>
      <c r="X399" s="1695"/>
      <c r="Y399" s="1695"/>
      <c r="Z399" s="1695"/>
      <c r="AA399" s="1695"/>
      <c r="AB399" s="1699"/>
      <c r="AC399" s="1695"/>
      <c r="AD399" s="1695"/>
      <c r="AE399" s="1695"/>
      <c r="AF399" s="1695"/>
      <c r="AG399" s="1695"/>
      <c r="AH399" s="1699"/>
      <c r="AI399" s="1695"/>
      <c r="AJ399" s="1695"/>
      <c r="AK399" s="1695"/>
      <c r="AL399" s="1695"/>
      <c r="AM399" s="1695"/>
      <c r="AN399" s="1695"/>
      <c r="AO399" s="1757">
        <v>62.991999999999997</v>
      </c>
      <c r="AP399" s="1758">
        <v>53.94</v>
      </c>
      <c r="AQ399" s="1687">
        <v>1088</v>
      </c>
      <c r="AR399" s="1687">
        <f t="shared" si="53"/>
        <v>7.3529411764705885E-2</v>
      </c>
    </row>
    <row r="400" spans="1:46" ht="15" customHeight="1">
      <c r="A400" s="2433"/>
      <c r="B400" s="1792" t="s">
        <v>2042</v>
      </c>
      <c r="C400" s="1733" t="s">
        <v>1796</v>
      </c>
      <c r="D400" s="1787" t="s">
        <v>1812</v>
      </c>
      <c r="E400" s="1955"/>
      <c r="F400" s="1841"/>
      <c r="G400" s="1738"/>
      <c r="H400" s="1738"/>
      <c r="I400" s="1736">
        <f>(SUM(Y411,AE411,AA411,AG411)/2)/1000</f>
        <v>12.9955</v>
      </c>
      <c r="J400" s="1774">
        <f>AVERAGE(Z411,AF411)</f>
        <v>3800</v>
      </c>
      <c r="K400" s="2418"/>
      <c r="L400" s="1942">
        <f t="shared" si="54"/>
        <v>23.883272302281856</v>
      </c>
      <c r="M400" s="1699"/>
      <c r="N400" s="1695"/>
      <c r="O400" s="1695"/>
      <c r="P400" s="1745"/>
      <c r="Q400" s="1745"/>
      <c r="R400" s="1745"/>
      <c r="S400" s="1745"/>
      <c r="T400" s="1805"/>
      <c r="U400" s="1733" t="s">
        <v>1641</v>
      </c>
      <c r="V400" s="1699"/>
      <c r="W400" s="1695"/>
      <c r="X400" s="1695"/>
      <c r="Y400" s="1695"/>
      <c r="Z400" s="1695"/>
      <c r="AA400" s="1695"/>
      <c r="AB400" s="1699"/>
      <c r="AC400" s="1695"/>
      <c r="AD400" s="1695"/>
      <c r="AE400" s="1695"/>
      <c r="AF400" s="1695"/>
      <c r="AG400" s="1695"/>
      <c r="AH400" s="1699"/>
      <c r="AI400" s="1695"/>
      <c r="AJ400" s="1695"/>
      <c r="AK400" s="1695"/>
      <c r="AL400" s="1695"/>
      <c r="AM400" s="1695"/>
      <c r="AN400" s="1695"/>
      <c r="AO400" s="1757">
        <v>70.022000000000006</v>
      </c>
      <c r="AP400" s="1758">
        <v>53.94</v>
      </c>
      <c r="AQ400" s="1687">
        <v>1275</v>
      </c>
      <c r="AR400" s="1687">
        <f t="shared" si="53"/>
        <v>7.0500392156862754E-2</v>
      </c>
    </row>
    <row r="401" spans="1:78" ht="15" customHeight="1">
      <c r="A401" s="2433"/>
      <c r="B401" s="1792" t="s">
        <v>2043</v>
      </c>
      <c r="C401" s="1733" t="s">
        <v>1796</v>
      </c>
      <c r="D401" s="1787" t="s">
        <v>1812</v>
      </c>
      <c r="E401" s="1955"/>
      <c r="F401" s="1841"/>
      <c r="G401" s="1738"/>
      <c r="H401" s="1738"/>
      <c r="I401" s="1736">
        <f>(SUM(Y412,AE412,AA412,AG412)/2)/3000</f>
        <v>8.2729999999999997</v>
      </c>
      <c r="J401" s="1774">
        <f t="shared" si="55"/>
        <v>4875</v>
      </c>
      <c r="K401" s="2418"/>
      <c r="L401" s="1942">
        <f t="shared" si="54"/>
        <v>17.862084802281856</v>
      </c>
      <c r="M401" s="1699"/>
      <c r="N401" s="1695"/>
      <c r="O401" s="1695"/>
      <c r="P401" s="1745"/>
      <c r="Q401" s="1745"/>
      <c r="R401" s="1745"/>
      <c r="S401" s="1745"/>
      <c r="T401" s="1805"/>
      <c r="U401" s="1733" t="s">
        <v>1642</v>
      </c>
      <c r="V401" s="1699"/>
      <c r="W401" s="1695"/>
      <c r="X401" s="1695"/>
      <c r="Y401" s="1695"/>
      <c r="Z401" s="1695"/>
      <c r="AA401" s="1695"/>
      <c r="AB401" s="1699"/>
      <c r="AC401" s="1695"/>
      <c r="AD401" s="1695"/>
      <c r="AE401" s="1695"/>
      <c r="AF401" s="1695"/>
      <c r="AG401" s="1695"/>
      <c r="AH401" s="1699"/>
      <c r="AI401" s="1695"/>
      <c r="AJ401" s="1695"/>
      <c r="AK401" s="1695"/>
      <c r="AL401" s="1695"/>
      <c r="AM401" s="1695"/>
      <c r="AN401" s="1695"/>
      <c r="AO401" s="1757">
        <v>80</v>
      </c>
      <c r="AP401" s="1758">
        <v>53.94</v>
      </c>
      <c r="AQ401" s="1687">
        <v>1530</v>
      </c>
      <c r="AR401" s="1687">
        <f t="shared" si="53"/>
        <v>6.7973856209150321E-2</v>
      </c>
    </row>
    <row r="402" spans="1:78" ht="15" customHeight="1">
      <c r="A402" s="2433"/>
      <c r="B402" s="1699"/>
      <c r="C402" s="1696"/>
      <c r="D402" s="1696"/>
      <c r="E402" s="1952"/>
      <c r="F402" s="1695"/>
      <c r="G402" s="1745"/>
      <c r="H402" s="1745"/>
      <c r="I402" s="1745"/>
      <c r="J402" s="1745"/>
      <c r="K402" s="1695"/>
      <c r="L402" s="1805"/>
      <c r="M402" s="1699"/>
      <c r="N402" s="1695"/>
      <c r="O402" s="1695"/>
      <c r="P402" s="1745"/>
      <c r="Q402" s="1745"/>
      <c r="R402" s="1745"/>
      <c r="S402" s="1745"/>
      <c r="T402" s="1805"/>
      <c r="U402" s="1733" t="s">
        <v>1643</v>
      </c>
      <c r="V402" s="1699"/>
      <c r="W402" s="1695"/>
      <c r="X402" s="1695"/>
      <c r="Y402" s="1695"/>
      <c r="Z402" s="1695"/>
      <c r="AA402" s="1695"/>
      <c r="AB402" s="1699"/>
      <c r="AC402" s="1695"/>
      <c r="AD402" s="1695"/>
      <c r="AE402" s="1695"/>
      <c r="AF402" s="1695"/>
      <c r="AG402" s="1695"/>
      <c r="AH402" s="1699"/>
      <c r="AI402" s="1695"/>
      <c r="AJ402" s="1695"/>
      <c r="AK402" s="1695"/>
      <c r="AL402" s="1695"/>
      <c r="AM402" s="1695"/>
      <c r="AN402" s="1695"/>
      <c r="AO402" s="1757">
        <v>89.888000000000005</v>
      </c>
      <c r="AP402" s="1758">
        <v>53.94</v>
      </c>
      <c r="AQ402" s="1687">
        <v>2000</v>
      </c>
      <c r="AR402" s="1687">
        <f t="shared" si="53"/>
        <v>6.25E-2</v>
      </c>
    </row>
    <row r="403" spans="1:78" ht="15" customHeight="1">
      <c r="A403" s="2433"/>
      <c r="B403" s="1699"/>
      <c r="C403" s="1696"/>
      <c r="D403" s="1696"/>
      <c r="E403" s="1952"/>
      <c r="F403" s="1695"/>
      <c r="G403" s="1745"/>
      <c r="H403" s="1745"/>
      <c r="I403" s="1745"/>
      <c r="J403" s="1745"/>
      <c r="K403" s="1695"/>
      <c r="L403" s="1805"/>
      <c r="M403" s="1699"/>
      <c r="N403" s="1695"/>
      <c r="O403" s="1695"/>
      <c r="P403" s="1745"/>
      <c r="Q403" s="1745"/>
      <c r="R403" s="1745"/>
      <c r="S403" s="1745"/>
      <c r="T403" s="1805"/>
      <c r="U403" s="1733" t="s">
        <v>1644</v>
      </c>
      <c r="V403" s="1699"/>
      <c r="W403" s="1695"/>
      <c r="X403" s="1695"/>
      <c r="Y403" s="1695"/>
      <c r="Z403" s="1695"/>
      <c r="AA403" s="1695"/>
      <c r="AB403" s="1699"/>
      <c r="AC403" s="1695"/>
      <c r="AD403" s="1695"/>
      <c r="AE403" s="1695"/>
      <c r="AF403" s="1695"/>
      <c r="AG403" s="1695"/>
      <c r="AH403" s="1699"/>
      <c r="AI403" s="1695"/>
      <c r="AJ403" s="1695"/>
      <c r="AK403" s="1695"/>
      <c r="AL403" s="1695"/>
      <c r="AM403" s="1695"/>
      <c r="AN403" s="1695"/>
      <c r="AO403" s="1757">
        <v>104</v>
      </c>
      <c r="AP403" s="1758">
        <v>53.94</v>
      </c>
      <c r="AQ403" s="1687">
        <v>2312</v>
      </c>
      <c r="AR403" s="1687">
        <f t="shared" si="53"/>
        <v>6.4013840830449822E-2</v>
      </c>
    </row>
    <row r="404" spans="1:78" ht="15.75" customHeight="1">
      <c r="A404" s="2433"/>
      <c r="B404" s="1699"/>
      <c r="C404" s="1696"/>
      <c r="D404" s="1696"/>
      <c r="E404" s="1952"/>
      <c r="F404" s="1695"/>
      <c r="G404" s="1745"/>
      <c r="H404" s="1745"/>
      <c r="I404" s="1745"/>
      <c r="J404" s="1745"/>
      <c r="K404" s="1695"/>
      <c r="L404" s="1805"/>
      <c r="M404" s="1699"/>
      <c r="N404" s="1695"/>
      <c r="O404" s="1695"/>
      <c r="P404" s="1745"/>
      <c r="Q404" s="1745"/>
      <c r="R404" s="1745"/>
      <c r="S404" s="1745"/>
      <c r="T404" s="1805"/>
      <c r="U404" s="1733" t="s">
        <v>1645</v>
      </c>
      <c r="V404" s="1783"/>
      <c r="W404" s="1784"/>
      <c r="X404" s="1784"/>
      <c r="Y404" s="1784"/>
      <c r="Z404" s="1784"/>
      <c r="AA404" s="1784"/>
      <c r="AB404" s="1783"/>
      <c r="AC404" s="1784"/>
      <c r="AD404" s="1784"/>
      <c r="AE404" s="1784"/>
      <c r="AF404" s="1784"/>
      <c r="AG404" s="1784"/>
      <c r="AH404" s="1783"/>
      <c r="AI404" s="1784"/>
      <c r="AJ404" s="1784"/>
      <c r="AK404" s="1784"/>
      <c r="AL404" s="1784"/>
      <c r="AM404" s="1784"/>
      <c r="AN404" s="1784"/>
      <c r="AO404" s="1757">
        <v>125</v>
      </c>
      <c r="AP404" s="1758">
        <v>53.94</v>
      </c>
      <c r="AQ404" s="1687">
        <v>2856</v>
      </c>
      <c r="AR404" s="1687">
        <f t="shared" si="53"/>
        <v>5.6022408963585436E-2</v>
      </c>
    </row>
    <row r="405" spans="1:78" s="1299" customFormat="1" ht="15" customHeight="1">
      <c r="A405" s="2433"/>
      <c r="B405" s="1699"/>
      <c r="C405" s="1696"/>
      <c r="D405" s="1696"/>
      <c r="E405" s="1952"/>
      <c r="F405" s="1695"/>
      <c r="G405" s="1745"/>
      <c r="H405" s="1745"/>
      <c r="I405" s="1745"/>
      <c r="J405" s="1745"/>
      <c r="K405" s="1695"/>
      <c r="L405" s="1805"/>
      <c r="M405" s="1699"/>
      <c r="N405" s="1695"/>
      <c r="O405" s="1695"/>
      <c r="P405" s="1745"/>
      <c r="Q405" s="1745"/>
      <c r="R405" s="1745"/>
      <c r="S405" s="1745"/>
      <c r="T405" s="1805"/>
      <c r="U405" s="1787" t="s">
        <v>1646</v>
      </c>
      <c r="V405" s="1783"/>
      <c r="W405" s="1784"/>
      <c r="X405" s="1784"/>
      <c r="Y405" s="1784"/>
      <c r="Z405" s="1784"/>
      <c r="AA405" s="1784"/>
      <c r="AB405" s="1783"/>
      <c r="AC405" s="1784"/>
      <c r="AD405" s="1784"/>
      <c r="AE405" s="1784"/>
      <c r="AF405" s="1784"/>
      <c r="AG405" s="1784"/>
      <c r="AH405" s="1783"/>
      <c r="AI405" s="1784"/>
      <c r="AJ405" s="1784"/>
      <c r="AK405" s="1784"/>
      <c r="AL405" s="1784"/>
      <c r="AM405" s="1784"/>
      <c r="AN405" s="1784"/>
      <c r="AO405" s="1743">
        <v>148</v>
      </c>
      <c r="AP405" s="1758">
        <v>53.94</v>
      </c>
      <c r="AQ405" s="1687"/>
      <c r="AR405" s="1687"/>
      <c r="AS405" s="1687"/>
      <c r="AT405" s="1687"/>
      <c r="AU405" s="1687"/>
      <c r="AV405" s="1687"/>
      <c r="AW405" s="1687"/>
      <c r="AX405" s="1687"/>
      <c r="AY405" s="1687"/>
      <c r="AZ405" s="1687"/>
      <c r="BA405" s="1687"/>
      <c r="BB405" s="1687"/>
      <c r="BC405" s="1687"/>
      <c r="BD405" s="1687"/>
      <c r="BE405" s="1687"/>
      <c r="BF405" s="1687"/>
      <c r="BG405" s="1687"/>
      <c r="BH405" s="1687"/>
      <c r="BI405" s="1687"/>
      <c r="BK405" s="2041"/>
      <c r="BL405" s="2041"/>
      <c r="BM405" s="2041"/>
      <c r="BN405" s="2041"/>
      <c r="BO405" s="2041"/>
      <c r="BP405" s="2041"/>
      <c r="BQ405" s="2041"/>
      <c r="BR405" s="2041"/>
      <c r="BS405" s="2041"/>
      <c r="BT405" s="2041"/>
      <c r="BU405"/>
      <c r="BV405"/>
      <c r="BW405"/>
      <c r="BX405"/>
      <c r="BY405"/>
      <c r="BZ405"/>
    </row>
    <row r="406" spans="1:78" s="1299" customFormat="1" ht="15" customHeight="1">
      <c r="A406" s="2433"/>
      <c r="B406" s="1699"/>
      <c r="C406" s="1696"/>
      <c r="D406" s="1696"/>
      <c r="E406" s="1952"/>
      <c r="F406" s="1695"/>
      <c r="G406" s="1745"/>
      <c r="H406" s="1745"/>
      <c r="I406" s="1745"/>
      <c r="J406" s="1745"/>
      <c r="K406" s="1695"/>
      <c r="L406" s="1805"/>
      <c r="M406" s="1699"/>
      <c r="N406" s="1695"/>
      <c r="O406" s="1695"/>
      <c r="P406" s="1745"/>
      <c r="Q406" s="1745"/>
      <c r="R406" s="1745"/>
      <c r="S406" s="1745"/>
      <c r="T406" s="1805"/>
      <c r="U406" s="1733" t="s">
        <v>1647</v>
      </c>
      <c r="V406" s="1783"/>
      <c r="W406" s="1784"/>
      <c r="X406" s="1784"/>
      <c r="Y406" s="1784"/>
      <c r="Z406" s="1784"/>
      <c r="AA406" s="1784"/>
      <c r="AB406" s="1783"/>
      <c r="AC406" s="1784"/>
      <c r="AD406" s="1784"/>
      <c r="AE406" s="1784"/>
      <c r="AF406" s="1784"/>
      <c r="AG406" s="1784"/>
      <c r="AH406" s="1783"/>
      <c r="AI406" s="1784"/>
      <c r="AJ406" s="1784"/>
      <c r="AK406" s="1784"/>
      <c r="AL406" s="1784"/>
      <c r="AM406" s="1784"/>
      <c r="AN406" s="1784"/>
      <c r="AO406" s="1757">
        <v>160</v>
      </c>
      <c r="AP406" s="1758">
        <v>53.94</v>
      </c>
      <c r="AQ406" s="1687"/>
      <c r="AR406" s="1687"/>
      <c r="AS406" s="1687"/>
      <c r="AT406" s="1687"/>
      <c r="AU406" s="1687"/>
      <c r="AV406" s="1687"/>
      <c r="AW406" s="1687"/>
      <c r="AX406" s="1687"/>
      <c r="AY406" s="1687"/>
      <c r="AZ406" s="1687"/>
      <c r="BA406" s="1687"/>
      <c r="BB406" s="1687"/>
      <c r="BC406" s="1687"/>
      <c r="BD406" s="1687"/>
      <c r="BE406" s="1687"/>
      <c r="BF406" s="1687"/>
      <c r="BG406" s="1687"/>
      <c r="BH406" s="1687"/>
      <c r="BI406" s="1687"/>
      <c r="BK406" s="2041"/>
      <c r="BL406" s="2041"/>
      <c r="BM406" s="2041"/>
      <c r="BN406" s="2041"/>
      <c r="BO406" s="2041"/>
      <c r="BP406" s="2041"/>
      <c r="BQ406" s="2041"/>
      <c r="BR406" s="2041"/>
      <c r="BS406" s="2041"/>
      <c r="BT406" s="2041"/>
      <c r="BU406"/>
      <c r="BV406"/>
      <c r="BW406"/>
      <c r="BX406"/>
      <c r="BY406"/>
      <c r="BZ406"/>
    </row>
    <row r="407" spans="1:78" s="1299" customFormat="1" ht="15" customHeight="1">
      <c r="A407" s="2433"/>
      <c r="B407" s="1695"/>
      <c r="C407" s="1696"/>
      <c r="D407" s="1696"/>
      <c r="E407" s="1952"/>
      <c r="F407" s="1695"/>
      <c r="G407" s="1745"/>
      <c r="H407" s="1745"/>
      <c r="I407" s="1745"/>
      <c r="J407" s="1745"/>
      <c r="K407" s="1695"/>
      <c r="L407" s="1745"/>
      <c r="M407" s="1699"/>
      <c r="N407" s="1695"/>
      <c r="O407" s="1695"/>
      <c r="P407" s="1745"/>
      <c r="Q407" s="1745"/>
      <c r="R407" s="1745"/>
      <c r="S407" s="1745"/>
      <c r="T407" s="1745"/>
      <c r="U407" s="1733" t="s">
        <v>2030</v>
      </c>
      <c r="V407" s="1757">
        <v>86</v>
      </c>
      <c r="W407" s="1857">
        <v>108</v>
      </c>
      <c r="X407" s="1857">
        <v>9296</v>
      </c>
      <c r="Y407" s="1857">
        <v>2462</v>
      </c>
      <c r="Z407" s="1857">
        <v>1600</v>
      </c>
      <c r="AA407" s="1858">
        <v>16890</v>
      </c>
      <c r="AB407" s="1757">
        <v>190</v>
      </c>
      <c r="AC407" s="1857">
        <v>98</v>
      </c>
      <c r="AD407" s="1857">
        <v>18573</v>
      </c>
      <c r="AE407" s="1857">
        <v>1833</v>
      </c>
      <c r="AF407" s="1857">
        <v>2000</v>
      </c>
      <c r="AG407" s="1858">
        <v>1650</v>
      </c>
      <c r="AH407" s="1783"/>
      <c r="AI407" s="1784"/>
      <c r="AJ407" s="1784"/>
      <c r="AK407" s="1784"/>
      <c r="AL407" s="1784"/>
      <c r="AM407" s="1784"/>
      <c r="AN407" s="1784"/>
      <c r="AO407" s="1956"/>
      <c r="AP407" s="1957"/>
      <c r="AQ407" s="1687"/>
      <c r="AR407" s="1687"/>
      <c r="AS407" s="1687"/>
      <c r="AT407" s="1687"/>
      <c r="AU407" s="1687"/>
      <c r="AV407" s="1687"/>
      <c r="AW407" s="1687"/>
      <c r="AX407" s="1687"/>
      <c r="AY407" s="1687"/>
      <c r="AZ407" s="1687"/>
      <c r="BA407" s="1687"/>
      <c r="BB407" s="1687"/>
      <c r="BC407" s="1687"/>
      <c r="BD407" s="1687"/>
      <c r="BE407" s="1687"/>
      <c r="BF407" s="1687"/>
      <c r="BG407" s="1687"/>
      <c r="BH407" s="1687"/>
      <c r="BI407" s="1687"/>
      <c r="BK407" s="2041"/>
      <c r="BL407" s="2041"/>
      <c r="BM407" s="2041"/>
      <c r="BN407" s="2041"/>
      <c r="BO407" s="2041"/>
      <c r="BP407" s="2041"/>
      <c r="BQ407" s="2041"/>
      <c r="BR407" s="2041"/>
      <c r="BS407" s="2041"/>
      <c r="BT407" s="2041"/>
      <c r="BU407"/>
      <c r="BV407"/>
      <c r="BW407"/>
      <c r="BX407"/>
      <c r="BY407"/>
      <c r="BZ407"/>
    </row>
    <row r="408" spans="1:78" s="1299" customFormat="1" ht="15" customHeight="1">
      <c r="A408" s="2433"/>
      <c r="B408" s="1695"/>
      <c r="C408" s="1696"/>
      <c r="D408" s="1696"/>
      <c r="E408" s="1952"/>
      <c r="F408" s="1695"/>
      <c r="G408" s="1745"/>
      <c r="H408" s="1745"/>
      <c r="I408" s="1745"/>
      <c r="J408" s="1745"/>
      <c r="K408" s="1695"/>
      <c r="L408" s="1745"/>
      <c r="M408" s="1699"/>
      <c r="N408" s="1695"/>
      <c r="O408" s="1695"/>
      <c r="P408" s="1745"/>
      <c r="Q408" s="1745"/>
      <c r="R408" s="1745"/>
      <c r="S408" s="1745"/>
      <c r="T408" s="1745"/>
      <c r="U408" s="1733" t="s">
        <v>2031</v>
      </c>
      <c r="V408" s="1757">
        <v>120</v>
      </c>
      <c r="W408" s="1857">
        <v>108</v>
      </c>
      <c r="X408" s="1857">
        <v>12992</v>
      </c>
      <c r="Y408" s="1857">
        <v>2949</v>
      </c>
      <c r="Z408" s="1857">
        <v>2800</v>
      </c>
      <c r="AA408" s="1858">
        <v>39770</v>
      </c>
      <c r="AB408" s="1757">
        <v>215</v>
      </c>
      <c r="AC408" s="1857">
        <v>98</v>
      </c>
      <c r="AD408" s="1857">
        <v>20981</v>
      </c>
      <c r="AE408" s="1857">
        <v>3309</v>
      </c>
      <c r="AF408" s="1857">
        <v>2550</v>
      </c>
      <c r="AG408" s="1858">
        <v>2300</v>
      </c>
      <c r="AH408" s="1783"/>
      <c r="AI408" s="1784"/>
      <c r="AJ408" s="1784"/>
      <c r="AK408" s="1784"/>
      <c r="AL408" s="1784"/>
      <c r="AM408" s="1784"/>
      <c r="AN408" s="1784"/>
      <c r="AO408" s="1956"/>
      <c r="AP408" s="1957"/>
      <c r="AQ408" s="1687"/>
      <c r="AR408" s="1687"/>
      <c r="AS408" s="1687"/>
      <c r="AT408" s="1687"/>
      <c r="AU408" s="1687"/>
      <c r="AV408" s="1687"/>
      <c r="AW408" s="1687"/>
      <c r="AX408" s="1687"/>
      <c r="AY408" s="1687"/>
      <c r="AZ408" s="1687"/>
      <c r="BA408" s="1687"/>
      <c r="BB408" s="1687"/>
      <c r="BC408" s="1687"/>
      <c r="BD408" s="1687"/>
      <c r="BE408" s="1687"/>
      <c r="BF408" s="1687"/>
      <c r="BG408" s="1687"/>
      <c r="BH408" s="1687"/>
      <c r="BI408" s="1687"/>
      <c r="BK408" s="2041"/>
      <c r="BL408" s="2041"/>
      <c r="BM408" s="2041"/>
      <c r="BN408" s="2041"/>
      <c r="BO408" s="2041"/>
      <c r="BP408" s="2041"/>
      <c r="BQ408" s="2041"/>
      <c r="BR408" s="2041"/>
      <c r="BS408" s="2041"/>
      <c r="BT408" s="2041"/>
      <c r="BU408"/>
      <c r="BV408"/>
      <c r="BW408"/>
      <c r="BX408"/>
      <c r="BY408"/>
      <c r="BZ408"/>
    </row>
    <row r="409" spans="1:78" s="1299" customFormat="1" ht="15" customHeight="1">
      <c r="A409" s="2433"/>
      <c r="B409" s="1695"/>
      <c r="C409" s="1696"/>
      <c r="D409" s="1696"/>
      <c r="E409" s="1952"/>
      <c r="F409" s="1695"/>
      <c r="G409" s="1745"/>
      <c r="H409" s="1745"/>
      <c r="I409" s="1745"/>
      <c r="J409" s="1745"/>
      <c r="K409" s="1695"/>
      <c r="L409" s="1745"/>
      <c r="M409" s="1699"/>
      <c r="N409" s="1695"/>
      <c r="O409" s="1695"/>
      <c r="P409" s="1745"/>
      <c r="Q409" s="1745"/>
      <c r="R409" s="1745"/>
      <c r="S409" s="1745"/>
      <c r="T409" s="1745"/>
      <c r="U409" s="1787" t="s">
        <v>2032</v>
      </c>
      <c r="V409" s="1757">
        <v>118</v>
      </c>
      <c r="W409" s="1857">
        <v>109</v>
      </c>
      <c r="X409" s="1857">
        <v>12880</v>
      </c>
      <c r="Y409" s="1857">
        <v>2462</v>
      </c>
      <c r="Z409" s="1857">
        <v>4600</v>
      </c>
      <c r="AA409" s="1858">
        <v>18852</v>
      </c>
      <c r="AB409" s="1757">
        <v>201</v>
      </c>
      <c r="AC409" s="1857">
        <v>96</v>
      </c>
      <c r="AD409" s="1857">
        <v>19349</v>
      </c>
      <c r="AE409" s="1857">
        <v>2803</v>
      </c>
      <c r="AF409" s="1857">
        <v>2300</v>
      </c>
      <c r="AG409" s="1858">
        <v>1900</v>
      </c>
      <c r="AH409" s="1783"/>
      <c r="AI409" s="1784"/>
      <c r="AJ409" s="1784"/>
      <c r="AK409" s="1784"/>
      <c r="AL409" s="1784"/>
      <c r="AM409" s="1784"/>
      <c r="AN409" s="1784"/>
      <c r="AO409" s="1956"/>
      <c r="AP409" s="1957"/>
      <c r="AQ409" s="1687"/>
      <c r="AR409" s="1687"/>
      <c r="AS409" s="1687"/>
      <c r="AT409" s="1687"/>
      <c r="AU409" s="1687"/>
      <c r="AV409" s="1687"/>
      <c r="AW409" s="1687"/>
      <c r="AX409" s="1687"/>
      <c r="AY409" s="1687"/>
      <c r="AZ409" s="1687"/>
      <c r="BA409" s="1687"/>
      <c r="BB409" s="1687"/>
      <c r="BC409" s="1687"/>
      <c r="BD409" s="1687"/>
      <c r="BE409" s="1687"/>
      <c r="BF409" s="1687"/>
      <c r="BG409" s="1687"/>
      <c r="BH409" s="1687"/>
      <c r="BI409" s="1687"/>
      <c r="BK409" s="2041"/>
      <c r="BL409" s="2041"/>
      <c r="BM409" s="2041"/>
      <c r="BN409" s="2041"/>
      <c r="BO409" s="2041"/>
      <c r="BP409" s="2041"/>
      <c r="BQ409" s="2041"/>
      <c r="BR409" s="2041"/>
      <c r="BS409" s="2041"/>
      <c r="BT409" s="2041"/>
      <c r="BU409"/>
      <c r="BV409"/>
      <c r="BW409"/>
      <c r="BX409"/>
      <c r="BY409"/>
      <c r="BZ409"/>
    </row>
    <row r="410" spans="1:78" s="1299" customFormat="1" ht="15" customHeight="1">
      <c r="A410" s="2433"/>
      <c r="B410" s="1695"/>
      <c r="C410" s="1696"/>
      <c r="D410" s="1696"/>
      <c r="E410" s="1952"/>
      <c r="F410" s="1695"/>
      <c r="G410" s="1745"/>
      <c r="H410" s="1745"/>
      <c r="I410" s="1745"/>
      <c r="J410" s="1745"/>
      <c r="K410" s="1695"/>
      <c r="L410" s="1745"/>
      <c r="M410" s="1699"/>
      <c r="N410" s="1695"/>
      <c r="O410" s="1695"/>
      <c r="P410" s="1745"/>
      <c r="Q410" s="1745"/>
      <c r="R410" s="1745"/>
      <c r="S410" s="1745"/>
      <c r="T410" s="1745"/>
      <c r="U410" s="1787" t="s">
        <v>2033</v>
      </c>
      <c r="V410" s="1757">
        <v>138</v>
      </c>
      <c r="W410" s="1857">
        <v>110</v>
      </c>
      <c r="X410" s="1857">
        <v>15120</v>
      </c>
      <c r="Y410" s="1857">
        <v>2949</v>
      </c>
      <c r="Z410" s="1857">
        <v>5800</v>
      </c>
      <c r="AA410" s="1858">
        <v>41298</v>
      </c>
      <c r="AB410" s="1757">
        <v>232</v>
      </c>
      <c r="AC410" s="1857">
        <v>98</v>
      </c>
      <c r="AD410" s="1857">
        <v>22628</v>
      </c>
      <c r="AE410" s="1857">
        <v>3385</v>
      </c>
      <c r="AF410" s="1857">
        <v>2750</v>
      </c>
      <c r="AG410" s="1858">
        <v>2500</v>
      </c>
      <c r="AH410" s="1783"/>
      <c r="AI410" s="1784"/>
      <c r="AJ410" s="1784"/>
      <c r="AK410" s="1784"/>
      <c r="AL410" s="1784"/>
      <c r="AM410" s="1784"/>
      <c r="AN410" s="1784"/>
      <c r="AO410" s="1956"/>
      <c r="AP410" s="1957"/>
      <c r="AQ410" s="1687"/>
      <c r="AR410" s="1687"/>
      <c r="AS410" s="1687"/>
      <c r="AT410" s="1687"/>
      <c r="AU410" s="1687"/>
      <c r="AV410" s="1687"/>
      <c r="AW410" s="1687"/>
      <c r="AX410" s="1687"/>
      <c r="AY410" s="1687"/>
      <c r="AZ410" s="1687"/>
      <c r="BA410" s="1687"/>
      <c r="BB410" s="1687"/>
      <c r="BC410" s="1687"/>
      <c r="BD410" s="1687"/>
      <c r="BE410" s="1687"/>
      <c r="BF410" s="1687"/>
      <c r="BG410" s="1687"/>
      <c r="BH410" s="1687"/>
      <c r="BI410" s="1687"/>
      <c r="BK410" s="2041"/>
      <c r="BL410" s="2041"/>
      <c r="BM410" s="2041"/>
      <c r="BN410" s="2041"/>
      <c r="BO410" s="2041"/>
      <c r="BP410" s="2041"/>
      <c r="BQ410" s="2041"/>
      <c r="BR410" s="2041"/>
      <c r="BS410" s="2041"/>
      <c r="BT410" s="2041"/>
      <c r="BU410"/>
      <c r="BV410"/>
      <c r="BW410"/>
      <c r="BX410"/>
      <c r="BY410"/>
      <c r="BZ410"/>
    </row>
    <row r="411" spans="1:78" ht="9" customHeight="1">
      <c r="A411" s="2433"/>
      <c r="B411" s="1695"/>
      <c r="C411" s="1696"/>
      <c r="D411" s="1696"/>
      <c r="E411" s="1952"/>
      <c r="F411" s="1695"/>
      <c r="G411" s="1745"/>
      <c r="H411" s="1745"/>
      <c r="I411" s="1745"/>
      <c r="J411" s="1745"/>
      <c r="K411" s="1695"/>
      <c r="L411" s="1745"/>
      <c r="M411" s="1699"/>
      <c r="N411" s="1695"/>
      <c r="O411" s="1695"/>
      <c r="P411" s="1745"/>
      <c r="Q411" s="1745"/>
      <c r="R411" s="1745"/>
      <c r="S411" s="1745"/>
      <c r="T411" s="1745"/>
      <c r="U411" s="1787" t="s">
        <v>2034</v>
      </c>
      <c r="V411" s="1757">
        <v>112</v>
      </c>
      <c r="W411" s="1857">
        <v>109</v>
      </c>
      <c r="X411" s="1857">
        <v>12208</v>
      </c>
      <c r="Y411" s="1857">
        <v>2462</v>
      </c>
      <c r="Z411" s="1857">
        <v>5300</v>
      </c>
      <c r="AA411" s="1858">
        <v>18860</v>
      </c>
      <c r="AB411" s="1757">
        <v>191</v>
      </c>
      <c r="AC411" s="1857">
        <v>98</v>
      </c>
      <c r="AD411" s="1857">
        <v>18798</v>
      </c>
      <c r="AE411" s="1857">
        <v>2769</v>
      </c>
      <c r="AF411" s="1857">
        <v>2300</v>
      </c>
      <c r="AG411" s="1858">
        <v>1900</v>
      </c>
      <c r="AH411" s="1783"/>
      <c r="AI411" s="1784"/>
      <c r="AJ411" s="1784"/>
      <c r="AK411" s="1784"/>
      <c r="AL411" s="1784"/>
      <c r="AM411" s="1784"/>
      <c r="AN411" s="1784"/>
      <c r="AQ411" s="1687" t="s">
        <v>1796</v>
      </c>
      <c r="AR411" s="1687" t="s">
        <v>1875</v>
      </c>
      <c r="BU411" s="1299"/>
      <c r="BV411" s="1299"/>
      <c r="BW411" s="1299"/>
      <c r="BX411" s="1299"/>
      <c r="BY411" s="1299"/>
      <c r="BZ411" s="1299"/>
    </row>
    <row r="412" spans="1:78" ht="15.75" thickBot="1">
      <c r="A412" s="2440"/>
      <c r="B412" s="1695"/>
      <c r="C412" s="1696"/>
      <c r="D412" s="1696"/>
      <c r="E412" s="1952"/>
      <c r="F412" s="1695"/>
      <c r="G412" s="1745"/>
      <c r="H412" s="1745"/>
      <c r="I412" s="1745"/>
      <c r="J412" s="1745"/>
      <c r="K412" s="1695"/>
      <c r="L412" s="1745"/>
      <c r="M412" s="1699"/>
      <c r="N412" s="1695"/>
      <c r="O412" s="1695"/>
      <c r="P412" s="1745"/>
      <c r="Q412" s="1745"/>
      <c r="R412" s="1745"/>
      <c r="S412" s="1745"/>
      <c r="T412" s="1745"/>
      <c r="U412" s="1787" t="s">
        <v>2035</v>
      </c>
      <c r="V412" s="1757">
        <v>124</v>
      </c>
      <c r="W412" s="1857">
        <v>109</v>
      </c>
      <c r="X412" s="1857">
        <v>13552</v>
      </c>
      <c r="Y412" s="1857">
        <v>2949</v>
      </c>
      <c r="Z412" s="1857">
        <v>6000</v>
      </c>
      <c r="AA412" s="1858">
        <v>40890</v>
      </c>
      <c r="AB412" s="1757">
        <v>211</v>
      </c>
      <c r="AC412" s="1857">
        <v>98</v>
      </c>
      <c r="AD412" s="1857">
        <v>20765</v>
      </c>
      <c r="AE412" s="1857">
        <v>3299</v>
      </c>
      <c r="AF412" s="1857">
        <v>3750</v>
      </c>
      <c r="AG412" s="1858">
        <v>2500</v>
      </c>
      <c r="AH412" s="1783"/>
      <c r="AI412" s="1784"/>
      <c r="AJ412" s="1784"/>
      <c r="AK412" s="1784"/>
      <c r="AL412" s="1784"/>
      <c r="AM412" s="1784"/>
      <c r="AN412" s="1784"/>
      <c r="AQ412" s="1687">
        <v>42</v>
      </c>
      <c r="AR412" s="1687">
        <f t="shared" ref="AR412:AR418" si="56">AO414/AQ412</f>
        <v>0.21164285714285713</v>
      </c>
      <c r="AS412" s="1687" t="s">
        <v>1837</v>
      </c>
      <c r="AT412" s="1687">
        <f>AVERAGE(AR412:AR418)</f>
        <v>0.13621046503991857</v>
      </c>
      <c r="BU412" s="1299"/>
      <c r="BV412" s="1299"/>
      <c r="BW412" s="1299"/>
      <c r="BX412" s="1299"/>
      <c r="BY412" s="1299"/>
      <c r="BZ412" s="1299"/>
    </row>
    <row r="413" spans="1:78" ht="19.5" thickBot="1">
      <c r="A413" s="1746"/>
      <c r="B413" s="1715"/>
      <c r="C413" s="1716"/>
      <c r="D413" s="1716"/>
      <c r="E413" s="1953"/>
      <c r="F413" s="1715"/>
      <c r="G413" s="1717"/>
      <c r="H413" s="1717"/>
      <c r="I413" s="1717"/>
      <c r="J413" s="1717"/>
      <c r="K413" s="1715"/>
      <c r="L413" s="1717"/>
      <c r="M413" s="1718"/>
      <c r="N413" s="1715"/>
      <c r="O413" s="1715"/>
      <c r="P413" s="1717"/>
      <c r="Q413" s="1717"/>
      <c r="R413" s="1717"/>
      <c r="S413" s="1717"/>
      <c r="T413" s="1717"/>
      <c r="U413" s="1718"/>
      <c r="V413" s="1718"/>
      <c r="W413" s="1715"/>
      <c r="X413" s="1715"/>
      <c r="Y413" s="1715"/>
      <c r="Z413" s="1715"/>
      <c r="AA413" s="1715"/>
      <c r="AB413" s="1718"/>
      <c r="AC413" s="1715"/>
      <c r="AD413" s="1715"/>
      <c r="AE413" s="1715"/>
      <c r="AF413" s="1715"/>
      <c r="AG413" s="1715"/>
      <c r="AH413" s="1718"/>
      <c r="AI413" s="1715"/>
      <c r="AJ413" s="1715"/>
      <c r="AK413" s="1715"/>
      <c r="AL413" s="1715"/>
      <c r="AM413" s="1715"/>
      <c r="AN413" s="1715"/>
      <c r="AO413" s="1718"/>
      <c r="AP413" s="1719"/>
      <c r="AQ413" s="1687">
        <v>57</v>
      </c>
      <c r="AR413" s="1687">
        <f t="shared" si="56"/>
        <v>0.17543859649122806</v>
      </c>
      <c r="AS413" s="1687" t="s">
        <v>1899</v>
      </c>
      <c r="AT413" s="1687">
        <f>STDEV(AR412:AR418)</f>
        <v>4.2020741683909166E-2</v>
      </c>
      <c r="BU413" s="1299"/>
      <c r="BV413" s="1299"/>
      <c r="BW413" s="1299"/>
      <c r="BX413" s="1299"/>
      <c r="BY413" s="1299"/>
      <c r="BZ413" s="1299"/>
    </row>
    <row r="414" spans="1:78">
      <c r="A414" s="2432" t="s">
        <v>1362</v>
      </c>
      <c r="B414" s="1844" t="s">
        <v>1902</v>
      </c>
      <c r="C414" s="1721" t="s">
        <v>1796</v>
      </c>
      <c r="D414" s="1733" t="s">
        <v>1440</v>
      </c>
      <c r="E414" s="1958">
        <f>AT412</f>
        <v>0.13621046503991857</v>
      </c>
      <c r="F414" s="1735" t="s">
        <v>2334</v>
      </c>
      <c r="G414" s="1736">
        <f>AVERAGE(AP414:AP420)*BQ22</f>
        <v>59.975152113929767</v>
      </c>
      <c r="H414" s="1724">
        <f>G414*E414</f>
        <v>8.1692433602782284</v>
      </c>
      <c r="I414" s="1738"/>
      <c r="J414" s="1737"/>
      <c r="K414" s="2422">
        <v>0.27500000000000002</v>
      </c>
      <c r="L414" s="1795"/>
      <c r="M414" s="1743" t="s">
        <v>1942</v>
      </c>
      <c r="N414" s="1782"/>
      <c r="O414" s="1870" t="s">
        <v>2088</v>
      </c>
      <c r="P414" s="1738">
        <v>67.88</v>
      </c>
      <c r="Q414" s="1954" t="s">
        <v>2089</v>
      </c>
      <c r="R414" s="1846"/>
      <c r="S414" s="1846"/>
      <c r="T414" s="1755" t="s">
        <v>2090</v>
      </c>
      <c r="U414" s="1733" t="s">
        <v>1648</v>
      </c>
      <c r="V414" s="1699"/>
      <c r="W414" s="1695"/>
      <c r="X414" s="1695"/>
      <c r="Y414" s="1695"/>
      <c r="Z414" s="1695"/>
      <c r="AA414" s="1695"/>
      <c r="AB414" s="1699"/>
      <c r="AC414" s="1695"/>
      <c r="AD414" s="1695"/>
      <c r="AE414" s="1695"/>
      <c r="AF414" s="1695"/>
      <c r="AG414" s="1695"/>
      <c r="AH414" s="1699"/>
      <c r="AI414" s="1695"/>
      <c r="AJ414" s="1695"/>
      <c r="AK414" s="1695"/>
      <c r="AL414" s="1695"/>
      <c r="AM414" s="1695"/>
      <c r="AN414" s="1695"/>
      <c r="AO414" s="1757">
        <v>8.8889999999999993</v>
      </c>
      <c r="AP414" s="1758">
        <v>50.98</v>
      </c>
      <c r="AQ414" s="1687">
        <v>85</v>
      </c>
      <c r="AR414" s="1687">
        <f t="shared" si="56"/>
        <v>0.13445882352941177</v>
      </c>
      <c r="BU414" s="1299"/>
      <c r="BV414" s="1299"/>
      <c r="BW414" s="1299"/>
      <c r="BX414" s="1299"/>
      <c r="BY414" s="1299"/>
      <c r="BZ414" s="1299"/>
    </row>
    <row r="415" spans="1:78">
      <c r="A415" s="2433"/>
      <c r="B415" s="1739" t="s">
        <v>2027</v>
      </c>
      <c r="C415" s="1733" t="s">
        <v>1796</v>
      </c>
      <c r="D415" s="1787" t="s">
        <v>1812</v>
      </c>
      <c r="E415" s="1748"/>
      <c r="F415" s="1841"/>
      <c r="G415" s="1947"/>
      <c r="H415" s="1867"/>
      <c r="I415" s="1736">
        <f>(SUM(Y421,AE421,AA421,AG421)/2)/200</f>
        <v>28.715</v>
      </c>
      <c r="J415" s="1774">
        <f>AVERAGE(Z421,AF421)</f>
        <v>1325</v>
      </c>
      <c r="K415" s="2422"/>
      <c r="L415" s="1795">
        <f t="shared" ref="L415:L423" si="57">(($E$414*$G$414)+I415)*(1+$K$414)</f>
        <v>47.027410284354737</v>
      </c>
      <c r="M415" s="1743" t="s">
        <v>1951</v>
      </c>
      <c r="N415" s="1782"/>
      <c r="O415" s="1870"/>
      <c r="P415" s="1738"/>
      <c r="Q415" s="1846"/>
      <c r="R415" s="1846">
        <f>1300/200</f>
        <v>6.5</v>
      </c>
      <c r="S415" s="1846"/>
      <c r="T415" s="1755"/>
      <c r="U415" s="1733" t="s">
        <v>1649</v>
      </c>
      <c r="V415" s="1699"/>
      <c r="W415" s="1695"/>
      <c r="X415" s="1695"/>
      <c r="Y415" s="1695"/>
      <c r="Z415" s="1695"/>
      <c r="AA415" s="1695"/>
      <c r="AB415" s="1699"/>
      <c r="AC415" s="1695"/>
      <c r="AD415" s="1695"/>
      <c r="AE415" s="1695"/>
      <c r="AF415" s="1695"/>
      <c r="AG415" s="1695"/>
      <c r="AH415" s="1699"/>
      <c r="AI415" s="1695"/>
      <c r="AJ415" s="1695"/>
      <c r="AK415" s="1695"/>
      <c r="AL415" s="1695"/>
      <c r="AM415" s="1695"/>
      <c r="AN415" s="1695"/>
      <c r="AO415" s="1757">
        <v>10</v>
      </c>
      <c r="AP415" s="1758">
        <v>50.98</v>
      </c>
      <c r="AQ415" s="1687">
        <v>112</v>
      </c>
      <c r="AR415" s="1687">
        <f t="shared" si="56"/>
        <v>0.11904464285714286</v>
      </c>
      <c r="BU415" s="1299"/>
      <c r="BV415" s="1299"/>
      <c r="BW415" s="1299"/>
      <c r="BX415" s="1299"/>
      <c r="BY415" s="1299"/>
      <c r="BZ415" s="1299"/>
    </row>
    <row r="416" spans="1:78">
      <c r="A416" s="2433"/>
      <c r="B416" s="1792" t="s">
        <v>2028</v>
      </c>
      <c r="C416" s="1733" t="s">
        <v>1796</v>
      </c>
      <c r="D416" s="1787" t="s">
        <v>1812</v>
      </c>
      <c r="E416" s="1748"/>
      <c r="F416" s="1841"/>
      <c r="G416" s="1947"/>
      <c r="H416" s="1867"/>
      <c r="I416" s="1736">
        <f>(SUM(Y424,AE424,AA424,AG424)/2)/200</f>
        <v>31.0425</v>
      </c>
      <c r="J416" s="1774">
        <f>AVERAGE(Z424,AF424)</f>
        <v>2825</v>
      </c>
      <c r="K416" s="2422"/>
      <c r="L416" s="1795">
        <f t="shared" si="57"/>
        <v>49.994972784354736</v>
      </c>
      <c r="M416" s="1759" t="s">
        <v>2037</v>
      </c>
      <c r="N416" s="1695"/>
      <c r="O416" s="1695"/>
      <c r="P416" s="1745"/>
      <c r="Q416" s="1745"/>
      <c r="R416" s="1745"/>
      <c r="S416" s="1745"/>
      <c r="T416" s="1805"/>
      <c r="U416" s="1733" t="s">
        <v>1650</v>
      </c>
      <c r="V416" s="1699"/>
      <c r="W416" s="1695"/>
      <c r="X416" s="1695"/>
      <c r="Y416" s="1695"/>
      <c r="Z416" s="1695"/>
      <c r="AA416" s="1695"/>
      <c r="AB416" s="1699"/>
      <c r="AC416" s="1695"/>
      <c r="AD416" s="1695"/>
      <c r="AE416" s="1695"/>
      <c r="AF416" s="1695"/>
      <c r="AG416" s="1695"/>
      <c r="AH416" s="1699"/>
      <c r="AI416" s="1695"/>
      <c r="AJ416" s="1695"/>
      <c r="AK416" s="1695"/>
      <c r="AL416" s="1695"/>
      <c r="AM416" s="1695"/>
      <c r="AN416" s="1695"/>
      <c r="AO416" s="1757">
        <v>11.429</v>
      </c>
      <c r="AP416" s="1758">
        <v>50.98</v>
      </c>
      <c r="AQ416" s="1687">
        <v>140</v>
      </c>
      <c r="AR416" s="1687">
        <f t="shared" si="56"/>
        <v>0.10714285714285714</v>
      </c>
      <c r="BU416" s="1299"/>
      <c r="BV416" s="1299"/>
      <c r="BW416" s="1299"/>
      <c r="BX416" s="1299"/>
      <c r="BY416" s="1299"/>
      <c r="BZ416" s="1299"/>
    </row>
    <row r="417" spans="1:78">
      <c r="A417" s="2433"/>
      <c r="B417" s="1792" t="s">
        <v>2029</v>
      </c>
      <c r="C417" s="1733" t="s">
        <v>1796</v>
      </c>
      <c r="D417" s="1787" t="s">
        <v>1812</v>
      </c>
      <c r="E417" s="1748"/>
      <c r="F417" s="1841"/>
      <c r="G417" s="1947"/>
      <c r="H417" s="1867"/>
      <c r="I417" s="1736">
        <f>(SUM(Y427,AE427,AA427,AG427)/2)/200</f>
        <v>30.7</v>
      </c>
      <c r="J417" s="1774">
        <f>AVERAGE(Z427,AF427)</f>
        <v>3175</v>
      </c>
      <c r="K417" s="2422"/>
      <c r="L417" s="1795">
        <f t="shared" si="57"/>
        <v>49.558285284354731</v>
      </c>
      <c r="M417" s="1699"/>
      <c r="N417" s="1695"/>
      <c r="O417" s="1695"/>
      <c r="P417" s="1745"/>
      <c r="Q417" s="1745"/>
      <c r="R417" s="1745"/>
      <c r="S417" s="1745"/>
      <c r="T417" s="1805"/>
      <c r="U417" s="1787" t="s">
        <v>1651</v>
      </c>
      <c r="V417" s="1699"/>
      <c r="W417" s="1695"/>
      <c r="X417" s="1695"/>
      <c r="Y417" s="1695"/>
      <c r="Z417" s="1695"/>
      <c r="AA417" s="1695"/>
      <c r="AB417" s="1699"/>
      <c r="AC417" s="1695"/>
      <c r="AD417" s="1695"/>
      <c r="AE417" s="1695"/>
      <c r="AF417" s="1695"/>
      <c r="AG417" s="1695"/>
      <c r="AH417" s="1699"/>
      <c r="AI417" s="1695"/>
      <c r="AJ417" s="1695"/>
      <c r="AK417" s="1695"/>
      <c r="AL417" s="1695"/>
      <c r="AM417" s="1695"/>
      <c r="AN417" s="1695"/>
      <c r="AO417" s="1743">
        <v>13.333</v>
      </c>
      <c r="AP417" s="1758">
        <v>50.98</v>
      </c>
      <c r="AQ417" s="1687">
        <v>167</v>
      </c>
      <c r="AR417" s="1687">
        <f t="shared" si="56"/>
        <v>0.10265269461077844</v>
      </c>
    </row>
    <row r="418" spans="1:78">
      <c r="A418" s="2433"/>
      <c r="B418" s="1739" t="s">
        <v>2038</v>
      </c>
      <c r="C418" s="1733" t="s">
        <v>1796</v>
      </c>
      <c r="D418" s="1787" t="s">
        <v>1812</v>
      </c>
      <c r="E418" s="1955"/>
      <c r="F418" s="1841"/>
      <c r="G418" s="1738"/>
      <c r="H418" s="1738"/>
      <c r="I418" s="1736">
        <f>I396</f>
        <v>11.4175</v>
      </c>
      <c r="J418" s="1774">
        <f>J396</f>
        <v>1800</v>
      </c>
      <c r="K418" s="2422"/>
      <c r="L418" s="1795">
        <f t="shared" si="57"/>
        <v>24.973097784354739</v>
      </c>
      <c r="M418" s="1699"/>
      <c r="N418" s="1695"/>
      <c r="O418" s="1695"/>
      <c r="P418" s="1745"/>
      <c r="Q418" s="1745"/>
      <c r="R418" s="1745"/>
      <c r="S418" s="1745"/>
      <c r="T418" s="1805"/>
      <c r="U418" s="1733" t="s">
        <v>1652</v>
      </c>
      <c r="V418" s="1699"/>
      <c r="W418" s="1695"/>
      <c r="X418" s="1695"/>
      <c r="Y418" s="1695"/>
      <c r="Z418" s="1695"/>
      <c r="AA418" s="1695"/>
      <c r="AB418" s="1699"/>
      <c r="AC418" s="1695"/>
      <c r="AD418" s="1695"/>
      <c r="AE418" s="1695"/>
      <c r="AF418" s="1695"/>
      <c r="AG418" s="1695"/>
      <c r="AH418" s="1699"/>
      <c r="AI418" s="1695"/>
      <c r="AJ418" s="1695"/>
      <c r="AK418" s="1695"/>
      <c r="AL418" s="1695"/>
      <c r="AM418" s="1695"/>
      <c r="AN418" s="1695"/>
      <c r="AO418" s="1757">
        <v>15</v>
      </c>
      <c r="AP418" s="1758">
        <v>52.87</v>
      </c>
      <c r="AQ418" s="1687">
        <v>194</v>
      </c>
      <c r="AR418" s="1687">
        <f t="shared" si="56"/>
        <v>0.10309278350515463</v>
      </c>
    </row>
    <row r="419" spans="1:78">
      <c r="A419" s="2433"/>
      <c r="B419" s="1739" t="s">
        <v>2039</v>
      </c>
      <c r="C419" s="1733" t="s">
        <v>1796</v>
      </c>
      <c r="D419" s="1787" t="s">
        <v>1812</v>
      </c>
      <c r="E419" s="1955"/>
      <c r="F419" s="1841"/>
      <c r="G419" s="1738"/>
      <c r="H419" s="1738"/>
      <c r="I419" s="1736">
        <f t="shared" ref="I419:J419" si="58">I397</f>
        <v>8.054666666666666</v>
      </c>
      <c r="J419" s="1774">
        <f t="shared" si="58"/>
        <v>2675</v>
      </c>
      <c r="K419" s="2422"/>
      <c r="L419" s="1795">
        <f t="shared" si="57"/>
        <v>20.685485284354737</v>
      </c>
      <c r="M419" s="1699"/>
      <c r="N419" s="1695"/>
      <c r="O419" s="1695"/>
      <c r="P419" s="1745"/>
      <c r="Q419" s="1745"/>
      <c r="R419" s="1745"/>
      <c r="S419" s="1745"/>
      <c r="T419" s="1805"/>
      <c r="U419" s="1733" t="s">
        <v>1653</v>
      </c>
      <c r="V419" s="1699"/>
      <c r="W419" s="1695"/>
      <c r="X419" s="1695"/>
      <c r="Y419" s="1695"/>
      <c r="Z419" s="1695"/>
      <c r="AA419" s="1695"/>
      <c r="AB419" s="1699"/>
      <c r="AC419" s="1695"/>
      <c r="AD419" s="1695"/>
      <c r="AE419" s="1695"/>
      <c r="AF419" s="1695"/>
      <c r="AG419" s="1695"/>
      <c r="AH419" s="1699"/>
      <c r="AI419" s="1695"/>
      <c r="AJ419" s="1695"/>
      <c r="AK419" s="1695"/>
      <c r="AL419" s="1695"/>
      <c r="AM419" s="1695"/>
      <c r="AN419" s="1695"/>
      <c r="AO419" s="1757">
        <v>17.143000000000001</v>
      </c>
      <c r="AP419" s="1758">
        <v>52.87</v>
      </c>
    </row>
    <row r="420" spans="1:78">
      <c r="A420" s="2433"/>
      <c r="B420" s="1792" t="s">
        <v>2040</v>
      </c>
      <c r="C420" s="1733" t="s">
        <v>1796</v>
      </c>
      <c r="D420" s="1787" t="s">
        <v>1812</v>
      </c>
      <c r="E420" s="1955"/>
      <c r="F420" s="1841"/>
      <c r="G420" s="1738"/>
      <c r="H420" s="1738"/>
      <c r="I420" s="1736">
        <f t="shared" ref="I420:J420" si="59">I398</f>
        <v>13.0085</v>
      </c>
      <c r="J420" s="1774">
        <f t="shared" si="59"/>
        <v>3450</v>
      </c>
      <c r="K420" s="2422"/>
      <c r="L420" s="1795">
        <f t="shared" si="57"/>
        <v>27.001622784354741</v>
      </c>
      <c r="M420" s="1699"/>
      <c r="N420" s="1695"/>
      <c r="O420" s="1695"/>
      <c r="P420" s="1745"/>
      <c r="Q420" s="1745"/>
      <c r="R420" s="1745"/>
      <c r="S420" s="1745"/>
      <c r="T420" s="1805"/>
      <c r="U420" s="1733" t="s">
        <v>1654</v>
      </c>
      <c r="V420" s="1699"/>
      <c r="W420" s="1695"/>
      <c r="X420" s="1695"/>
      <c r="Y420" s="1695"/>
      <c r="Z420" s="1695"/>
      <c r="AA420" s="1695"/>
      <c r="AB420" s="1699"/>
      <c r="AC420" s="1695"/>
      <c r="AD420" s="1695"/>
      <c r="AE420" s="1695"/>
      <c r="AF420" s="1695"/>
      <c r="AG420" s="1695"/>
      <c r="AH420" s="1699"/>
      <c r="AI420" s="1695"/>
      <c r="AJ420" s="1695"/>
      <c r="AK420" s="1695"/>
      <c r="AL420" s="1695"/>
      <c r="AM420" s="1695"/>
      <c r="AN420" s="1695"/>
      <c r="AO420" s="1757">
        <v>20</v>
      </c>
      <c r="AP420" s="1758">
        <v>52.87</v>
      </c>
    </row>
    <row r="421" spans="1:78">
      <c r="A421" s="2433"/>
      <c r="B421" s="1792" t="s">
        <v>2041</v>
      </c>
      <c r="C421" s="1733" t="s">
        <v>1796</v>
      </c>
      <c r="D421" s="1787" t="s">
        <v>1812</v>
      </c>
      <c r="E421" s="1955"/>
      <c r="F421" s="1841"/>
      <c r="G421" s="1738"/>
      <c r="H421" s="1738"/>
      <c r="I421" s="1736">
        <f t="shared" ref="I421:J421" si="60">I399</f>
        <v>8.3553333333333342</v>
      </c>
      <c r="J421" s="1774">
        <f t="shared" si="60"/>
        <v>4275</v>
      </c>
      <c r="K421" s="2422"/>
      <c r="L421" s="1795">
        <f t="shared" si="57"/>
        <v>21.068835284354744</v>
      </c>
      <c r="M421" s="1699"/>
      <c r="N421" s="1695"/>
      <c r="O421" s="1695"/>
      <c r="P421" s="1745"/>
      <c r="Q421" s="1745"/>
      <c r="R421" s="1745"/>
      <c r="S421" s="1745"/>
      <c r="T421" s="1745"/>
      <c r="U421" s="1733" t="s">
        <v>2024</v>
      </c>
      <c r="V421" s="1757">
        <v>93</v>
      </c>
      <c r="W421" s="1857">
        <v>108</v>
      </c>
      <c r="X421" s="1857">
        <v>10080</v>
      </c>
      <c r="Y421" s="1857">
        <v>2200</v>
      </c>
      <c r="Z421" s="1857">
        <v>1400</v>
      </c>
      <c r="AA421" s="1858">
        <v>6409</v>
      </c>
      <c r="AB421" s="1757">
        <v>139</v>
      </c>
      <c r="AC421" s="1857">
        <v>97</v>
      </c>
      <c r="AD421" s="1857">
        <v>13542</v>
      </c>
      <c r="AE421" s="1857">
        <v>1677</v>
      </c>
      <c r="AF421" s="1857">
        <v>1250</v>
      </c>
      <c r="AG421" s="1858">
        <v>1200</v>
      </c>
      <c r="AH421" s="1699"/>
      <c r="AI421" s="1695"/>
      <c r="AJ421" s="1695"/>
      <c r="AK421" s="1695"/>
      <c r="AL421" s="1695"/>
      <c r="AM421" s="1695"/>
      <c r="AN421" s="1695"/>
      <c r="AO421" s="1699"/>
      <c r="AP421" s="1729"/>
    </row>
    <row r="422" spans="1:78" s="1299" customFormat="1">
      <c r="A422" s="2433"/>
      <c r="B422" s="1792" t="s">
        <v>2042</v>
      </c>
      <c r="C422" s="1733" t="s">
        <v>1796</v>
      </c>
      <c r="D422" s="1787" t="s">
        <v>1812</v>
      </c>
      <c r="E422" s="1955"/>
      <c r="F422" s="1841"/>
      <c r="G422" s="1738"/>
      <c r="H422" s="1738"/>
      <c r="I422" s="1736">
        <f t="shared" ref="I422:J422" si="61">I400</f>
        <v>12.9955</v>
      </c>
      <c r="J422" s="1774">
        <f t="shared" si="61"/>
        <v>3800</v>
      </c>
      <c r="K422" s="2422"/>
      <c r="L422" s="1795">
        <f t="shared" si="57"/>
        <v>26.985047784354741</v>
      </c>
      <c r="M422" s="1699"/>
      <c r="N422" s="1695"/>
      <c r="O422" s="1695"/>
      <c r="P422" s="1745"/>
      <c r="Q422" s="1745"/>
      <c r="R422" s="1745"/>
      <c r="S422" s="1745"/>
      <c r="T422" s="1745"/>
      <c r="U422" s="1733" t="s">
        <v>2030</v>
      </c>
      <c r="V422" s="1757">
        <v>86</v>
      </c>
      <c r="W422" s="1857">
        <v>108</v>
      </c>
      <c r="X422" s="1857">
        <v>9296</v>
      </c>
      <c r="Y422" s="1857">
        <v>2462</v>
      </c>
      <c r="Z422" s="1857">
        <v>1600</v>
      </c>
      <c r="AA422" s="1858">
        <v>16890</v>
      </c>
      <c r="AB422" s="1757">
        <v>190</v>
      </c>
      <c r="AC422" s="1857">
        <v>98</v>
      </c>
      <c r="AD422" s="1857">
        <v>18573</v>
      </c>
      <c r="AE422" s="1857">
        <v>1833</v>
      </c>
      <c r="AF422" s="1857">
        <v>2000</v>
      </c>
      <c r="AG422" s="1858">
        <v>1650</v>
      </c>
      <c r="AH422" s="1699"/>
      <c r="AI422" s="1695"/>
      <c r="AJ422" s="1695"/>
      <c r="AK422" s="1695"/>
      <c r="AL422" s="1695"/>
      <c r="AM422" s="1695"/>
      <c r="AN422" s="1695"/>
      <c r="AO422" s="1699"/>
      <c r="AP422" s="1729"/>
      <c r="AQ422" s="1687"/>
      <c r="AR422" s="1687"/>
      <c r="AS422" s="1687"/>
      <c r="AT422" s="1687"/>
      <c r="AU422" s="1687"/>
      <c r="AV422" s="1687"/>
      <c r="AW422" s="1687"/>
      <c r="AX422" s="1687"/>
      <c r="AY422" s="1687"/>
      <c r="AZ422" s="1687"/>
      <c r="BA422" s="1687"/>
      <c r="BB422" s="1687"/>
      <c r="BC422" s="1687"/>
      <c r="BD422" s="1687"/>
      <c r="BE422" s="1687"/>
      <c r="BF422" s="1687"/>
      <c r="BG422" s="1687"/>
      <c r="BH422" s="1687"/>
      <c r="BI422" s="1687"/>
      <c r="BK422" s="2041"/>
      <c r="BL422" s="2041"/>
      <c r="BM422" s="2041"/>
      <c r="BN422" s="2041"/>
      <c r="BO422" s="2041"/>
      <c r="BP422" s="2041"/>
      <c r="BQ422" s="2041"/>
      <c r="BR422" s="2041"/>
      <c r="BS422" s="2041"/>
      <c r="BT422" s="2041"/>
      <c r="BU422"/>
      <c r="BV422"/>
      <c r="BW422"/>
      <c r="BX422"/>
      <c r="BY422"/>
      <c r="BZ422"/>
    </row>
    <row r="423" spans="1:78" s="1299" customFormat="1">
      <c r="A423" s="2433"/>
      <c r="B423" s="1792" t="s">
        <v>2043</v>
      </c>
      <c r="C423" s="1733" t="s">
        <v>1796</v>
      </c>
      <c r="D423" s="1787" t="s">
        <v>1812</v>
      </c>
      <c r="E423" s="1955"/>
      <c r="F423" s="1841"/>
      <c r="G423" s="1738"/>
      <c r="H423" s="1738"/>
      <c r="I423" s="1736">
        <f t="shared" ref="I423:J423" si="62">I401</f>
        <v>8.2729999999999997</v>
      </c>
      <c r="J423" s="1774">
        <f t="shared" si="62"/>
        <v>4875</v>
      </c>
      <c r="K423" s="2422"/>
      <c r="L423" s="1795">
        <f t="shared" si="57"/>
        <v>20.963860284354737</v>
      </c>
      <c r="M423" s="1699"/>
      <c r="N423" s="1695"/>
      <c r="O423" s="1695"/>
      <c r="P423" s="1745"/>
      <c r="Q423" s="1745"/>
      <c r="R423" s="1745"/>
      <c r="S423" s="1745"/>
      <c r="T423" s="1745"/>
      <c r="U423" s="1733" t="s">
        <v>2031</v>
      </c>
      <c r="V423" s="1757">
        <v>120</v>
      </c>
      <c r="W423" s="1857">
        <v>108</v>
      </c>
      <c r="X423" s="1857">
        <v>12992</v>
      </c>
      <c r="Y423" s="1857">
        <v>2949</v>
      </c>
      <c r="Z423" s="1857">
        <v>2800</v>
      </c>
      <c r="AA423" s="1858">
        <v>39770</v>
      </c>
      <c r="AB423" s="1757">
        <v>215</v>
      </c>
      <c r="AC423" s="1857">
        <v>98</v>
      </c>
      <c r="AD423" s="1857">
        <v>20981</v>
      </c>
      <c r="AE423" s="1857">
        <v>3309</v>
      </c>
      <c r="AF423" s="1857">
        <v>2550</v>
      </c>
      <c r="AG423" s="1858">
        <v>2300</v>
      </c>
      <c r="AH423" s="1699"/>
      <c r="AI423" s="1695"/>
      <c r="AJ423" s="1695"/>
      <c r="AK423" s="1695"/>
      <c r="AL423" s="1695"/>
      <c r="AM423" s="1695"/>
      <c r="AN423" s="1695"/>
      <c r="AO423" s="1699"/>
      <c r="AP423" s="1729"/>
      <c r="AQ423" s="1687"/>
      <c r="AR423" s="1687"/>
      <c r="AS423" s="1687"/>
      <c r="AT423" s="1687"/>
      <c r="AU423" s="1687"/>
      <c r="AV423" s="1687"/>
      <c r="AW423" s="1687"/>
      <c r="AX423" s="1687"/>
      <c r="AY423" s="1687"/>
      <c r="AZ423" s="1687"/>
      <c r="BA423" s="1687"/>
      <c r="BB423" s="1687"/>
      <c r="BC423" s="1687"/>
      <c r="BD423" s="1687"/>
      <c r="BE423" s="1687"/>
      <c r="BF423" s="1687"/>
      <c r="BG423" s="1687"/>
      <c r="BH423" s="1687"/>
      <c r="BI423" s="1687"/>
      <c r="BK423" s="2041"/>
      <c r="BL423" s="2041"/>
      <c r="BM423" s="2041"/>
      <c r="BN423" s="2041"/>
      <c r="BO423" s="2041"/>
      <c r="BP423" s="2041"/>
      <c r="BQ423" s="2041"/>
      <c r="BR423" s="2041"/>
      <c r="BS423" s="2041"/>
      <c r="BT423" s="2041"/>
      <c r="BU423"/>
      <c r="BV423"/>
      <c r="BW423"/>
      <c r="BX423"/>
      <c r="BY423"/>
      <c r="BZ423"/>
    </row>
    <row r="424" spans="1:78" s="1299" customFormat="1" ht="18.75">
      <c r="A424" s="1766"/>
      <c r="B424" s="1695"/>
      <c r="C424" s="1696"/>
      <c r="D424" s="1696"/>
      <c r="E424" s="1952"/>
      <c r="F424" s="1695"/>
      <c r="G424" s="1745"/>
      <c r="H424" s="1745"/>
      <c r="I424" s="1745"/>
      <c r="J424" s="1745"/>
      <c r="K424" s="1695"/>
      <c r="L424" s="1745"/>
      <c r="M424" s="1699"/>
      <c r="N424" s="1695"/>
      <c r="O424" s="1695"/>
      <c r="P424" s="1745"/>
      <c r="Q424" s="1745"/>
      <c r="R424" s="1745"/>
      <c r="S424" s="1745"/>
      <c r="T424" s="1745"/>
      <c r="U424" s="1787" t="s">
        <v>2025</v>
      </c>
      <c r="V424" s="1757">
        <v>90</v>
      </c>
      <c r="W424" s="1857">
        <v>108</v>
      </c>
      <c r="X424" s="1857">
        <v>9744</v>
      </c>
      <c r="Y424" s="1857">
        <v>2189</v>
      </c>
      <c r="Z424" s="1857">
        <v>4400</v>
      </c>
      <c r="AA424" s="1858">
        <v>7200</v>
      </c>
      <c r="AB424" s="1757">
        <v>150</v>
      </c>
      <c r="AC424" s="1857">
        <v>98</v>
      </c>
      <c r="AD424" s="1857">
        <v>14638</v>
      </c>
      <c r="AE424" s="1857">
        <v>1728</v>
      </c>
      <c r="AF424" s="1857">
        <v>1250</v>
      </c>
      <c r="AG424" s="1858">
        <v>1300</v>
      </c>
      <c r="AH424" s="1699"/>
      <c r="AI424" s="1695"/>
      <c r="AJ424" s="1695"/>
      <c r="AK424" s="1695"/>
      <c r="AL424" s="1695"/>
      <c r="AM424" s="1695"/>
      <c r="AN424" s="1695"/>
      <c r="AO424" s="1699"/>
      <c r="AP424" s="1729"/>
      <c r="AQ424" s="1687"/>
      <c r="AR424" s="1687"/>
      <c r="AS424" s="1687"/>
      <c r="AT424" s="1687"/>
      <c r="AU424" s="1687"/>
      <c r="AV424" s="1687"/>
      <c r="AW424" s="1687"/>
      <c r="AX424" s="1687"/>
      <c r="AY424" s="1687"/>
      <c r="AZ424" s="1687"/>
      <c r="BA424" s="1687"/>
      <c r="BB424" s="1687"/>
      <c r="BC424" s="1687"/>
      <c r="BD424" s="1687"/>
      <c r="BE424" s="1687"/>
      <c r="BF424" s="1687"/>
      <c r="BG424" s="1687"/>
      <c r="BH424" s="1687"/>
      <c r="BI424" s="1687"/>
      <c r="BK424" s="2041"/>
      <c r="BL424" s="2041"/>
      <c r="BM424" s="2041"/>
      <c r="BN424" s="2041"/>
      <c r="BO424" s="2041"/>
      <c r="BP424" s="2041"/>
      <c r="BQ424" s="2041"/>
      <c r="BR424" s="2041"/>
      <c r="BS424" s="2041"/>
      <c r="BT424" s="2041"/>
      <c r="BU424"/>
      <c r="BV424"/>
      <c r="BW424"/>
      <c r="BX424"/>
      <c r="BY424"/>
      <c r="BZ424"/>
    </row>
    <row r="425" spans="1:78" s="1299" customFormat="1" ht="18.75">
      <c r="A425" s="1766"/>
      <c r="B425" s="1695"/>
      <c r="C425" s="1696"/>
      <c r="D425" s="1696"/>
      <c r="E425" s="1952"/>
      <c r="F425" s="1695"/>
      <c r="G425" s="1745"/>
      <c r="H425" s="1745"/>
      <c r="I425" s="1745"/>
      <c r="J425" s="1745"/>
      <c r="K425" s="1695"/>
      <c r="L425" s="1745"/>
      <c r="M425" s="1699"/>
      <c r="N425" s="1695"/>
      <c r="O425" s="1695"/>
      <c r="P425" s="1745"/>
      <c r="Q425" s="1745"/>
      <c r="R425" s="1745"/>
      <c r="S425" s="1745"/>
      <c r="T425" s="1745"/>
      <c r="U425" s="1787" t="s">
        <v>2032</v>
      </c>
      <c r="V425" s="1757">
        <v>118</v>
      </c>
      <c r="W425" s="1857">
        <v>109</v>
      </c>
      <c r="X425" s="1857">
        <v>12880</v>
      </c>
      <c r="Y425" s="1857">
        <v>2462</v>
      </c>
      <c r="Z425" s="1857">
        <v>4600</v>
      </c>
      <c r="AA425" s="1858">
        <v>18852</v>
      </c>
      <c r="AB425" s="1757">
        <v>201</v>
      </c>
      <c r="AC425" s="1857">
        <v>96</v>
      </c>
      <c r="AD425" s="1857">
        <v>19349</v>
      </c>
      <c r="AE425" s="1857">
        <v>2803</v>
      </c>
      <c r="AF425" s="1857">
        <v>2300</v>
      </c>
      <c r="AG425" s="1858">
        <v>1900</v>
      </c>
      <c r="AH425" s="1699"/>
      <c r="AI425" s="1695"/>
      <c r="AJ425" s="1695"/>
      <c r="AK425" s="1695"/>
      <c r="AL425" s="1695"/>
      <c r="AM425" s="1695"/>
      <c r="AN425" s="1695"/>
      <c r="AO425" s="1699"/>
      <c r="AP425" s="1729"/>
      <c r="AQ425" s="1687"/>
      <c r="AR425" s="1687"/>
      <c r="AS425" s="1687"/>
      <c r="AT425" s="1687"/>
      <c r="AU425" s="1687"/>
      <c r="AV425" s="1687"/>
      <c r="AW425" s="1687"/>
      <c r="AX425" s="1687"/>
      <c r="AY425" s="1687"/>
      <c r="AZ425" s="1687"/>
      <c r="BA425" s="1687"/>
      <c r="BB425" s="1687"/>
      <c r="BC425" s="1687"/>
      <c r="BD425" s="1687"/>
      <c r="BE425" s="1687"/>
      <c r="BF425" s="1687"/>
      <c r="BG425" s="1687"/>
      <c r="BH425" s="1687"/>
      <c r="BI425" s="1687"/>
      <c r="BK425" s="2041"/>
      <c r="BL425" s="2041"/>
      <c r="BM425" s="2041"/>
      <c r="BN425" s="2041"/>
      <c r="BO425" s="2041"/>
      <c r="BP425" s="2041"/>
      <c r="BQ425" s="2041"/>
      <c r="BR425" s="2041"/>
      <c r="BS425" s="2041"/>
      <c r="BT425" s="2041"/>
      <c r="BU425"/>
      <c r="BV425"/>
      <c r="BW425"/>
      <c r="BX425"/>
      <c r="BY425"/>
      <c r="BZ425"/>
    </row>
    <row r="426" spans="1:78" s="1299" customFormat="1" ht="18.75">
      <c r="A426" s="1766"/>
      <c r="B426" s="1699"/>
      <c r="C426" s="1696"/>
      <c r="D426" s="1696"/>
      <c r="E426" s="1952"/>
      <c r="F426" s="1695"/>
      <c r="G426" s="1745"/>
      <c r="H426" s="1745"/>
      <c r="I426" s="1745"/>
      <c r="J426" s="1745"/>
      <c r="K426" s="1695"/>
      <c r="L426" s="1745"/>
      <c r="M426" s="1699"/>
      <c r="N426" s="1695"/>
      <c r="O426" s="1695"/>
      <c r="P426" s="1745"/>
      <c r="Q426" s="1745"/>
      <c r="R426" s="1745"/>
      <c r="S426" s="1745"/>
      <c r="T426" s="1745"/>
      <c r="U426" s="1787" t="s">
        <v>2033</v>
      </c>
      <c r="V426" s="1757">
        <v>138</v>
      </c>
      <c r="W426" s="1857">
        <v>110</v>
      </c>
      <c r="X426" s="1857">
        <v>15120</v>
      </c>
      <c r="Y426" s="1857">
        <v>2949</v>
      </c>
      <c r="Z426" s="1857">
        <v>5800</v>
      </c>
      <c r="AA426" s="1858">
        <v>41298</v>
      </c>
      <c r="AB426" s="1757">
        <v>232</v>
      </c>
      <c r="AC426" s="1857">
        <v>98</v>
      </c>
      <c r="AD426" s="1857">
        <v>22628</v>
      </c>
      <c r="AE426" s="1857">
        <v>3385</v>
      </c>
      <c r="AF426" s="1857">
        <v>2750</v>
      </c>
      <c r="AG426" s="1858">
        <v>2500</v>
      </c>
      <c r="AH426" s="1699"/>
      <c r="AI426" s="1695"/>
      <c r="AJ426" s="1695"/>
      <c r="AK426" s="1695"/>
      <c r="AL426" s="1695"/>
      <c r="AM426" s="1695"/>
      <c r="AN426" s="1695"/>
      <c r="AO426" s="1699"/>
      <c r="AP426" s="1729"/>
      <c r="AQ426" s="1687"/>
      <c r="AR426" s="1687"/>
      <c r="AS426" s="1687"/>
      <c r="AT426" s="1687"/>
      <c r="AU426" s="1687"/>
      <c r="AV426" s="1687"/>
      <c r="AW426" s="1687"/>
      <c r="AX426" s="1687"/>
      <c r="AY426" s="1687"/>
      <c r="AZ426" s="1687"/>
      <c r="BA426" s="1687"/>
      <c r="BB426" s="1687"/>
      <c r="BC426" s="1687"/>
      <c r="BD426" s="1687"/>
      <c r="BE426" s="1687"/>
      <c r="BF426" s="1687"/>
      <c r="BG426" s="1687"/>
      <c r="BH426" s="1687"/>
      <c r="BI426" s="1687"/>
      <c r="BK426" s="2041"/>
      <c r="BL426" s="2041"/>
      <c r="BM426" s="2041"/>
      <c r="BN426" s="2041"/>
      <c r="BO426" s="2041"/>
      <c r="BP426" s="2041"/>
      <c r="BQ426" s="2041"/>
      <c r="BR426" s="2041"/>
      <c r="BS426" s="2041"/>
      <c r="BT426" s="2041"/>
      <c r="BU426"/>
      <c r="BV426"/>
      <c r="BW426"/>
      <c r="BX426"/>
      <c r="BY426"/>
      <c r="BZ426"/>
    </row>
    <row r="427" spans="1:78" s="1299" customFormat="1" ht="18.75">
      <c r="A427" s="1766"/>
      <c r="B427" s="1699"/>
      <c r="C427" s="1696"/>
      <c r="D427" s="1696"/>
      <c r="E427" s="1952"/>
      <c r="F427" s="1695"/>
      <c r="G427" s="1745"/>
      <c r="H427" s="1745"/>
      <c r="I427" s="1745"/>
      <c r="J427" s="1745"/>
      <c r="K427" s="1695"/>
      <c r="L427" s="1745"/>
      <c r="M427" s="1699"/>
      <c r="N427" s="1695"/>
      <c r="O427" s="1695"/>
      <c r="P427" s="1745"/>
      <c r="Q427" s="1745"/>
      <c r="R427" s="1745"/>
      <c r="S427" s="1745"/>
      <c r="T427" s="1745"/>
      <c r="U427" s="1787" t="s">
        <v>2026</v>
      </c>
      <c r="V427" s="1757">
        <v>86</v>
      </c>
      <c r="W427" s="1857">
        <v>108</v>
      </c>
      <c r="X427" s="1857">
        <v>9296</v>
      </c>
      <c r="Y427" s="1857">
        <v>2189</v>
      </c>
      <c r="Z427" s="1857">
        <v>4500</v>
      </c>
      <c r="AA427" s="1858">
        <v>7096</v>
      </c>
      <c r="AB427" s="1757">
        <v>143</v>
      </c>
      <c r="AC427" s="1857">
        <v>97</v>
      </c>
      <c r="AD427" s="1857">
        <v>13930</v>
      </c>
      <c r="AE427" s="1857">
        <v>1695</v>
      </c>
      <c r="AF427" s="1857">
        <v>1850</v>
      </c>
      <c r="AG427" s="1858">
        <v>1300</v>
      </c>
      <c r="AH427" s="1699"/>
      <c r="AI427" s="1695"/>
      <c r="AJ427" s="1695"/>
      <c r="AK427" s="1695"/>
      <c r="AL427" s="1695"/>
      <c r="AM427" s="1695"/>
      <c r="AN427" s="1695"/>
      <c r="AO427" s="1699"/>
      <c r="AP427" s="1729"/>
      <c r="AQ427" s="1687"/>
      <c r="AR427" s="1687"/>
      <c r="AS427" s="1687"/>
      <c r="AT427" s="1687"/>
      <c r="AU427" s="1687"/>
      <c r="AV427" s="1687"/>
      <c r="AW427" s="1687"/>
      <c r="AX427" s="1687"/>
      <c r="AY427" s="1687"/>
      <c r="AZ427" s="1687"/>
      <c r="BA427" s="1687"/>
      <c r="BB427" s="1687"/>
      <c r="BC427" s="1687"/>
      <c r="BD427" s="1687"/>
      <c r="BE427" s="1687"/>
      <c r="BF427" s="1687"/>
      <c r="BG427" s="1687"/>
      <c r="BH427" s="1687"/>
      <c r="BI427" s="1687"/>
      <c r="BK427" s="2041"/>
      <c r="BL427" s="2041"/>
      <c r="BM427" s="2041"/>
      <c r="BN427" s="2041"/>
      <c r="BO427" s="2041"/>
      <c r="BP427" s="2041"/>
      <c r="BQ427" s="2041"/>
      <c r="BR427" s="2041"/>
      <c r="BS427" s="2041"/>
      <c r="BT427" s="2041"/>
      <c r="BU427"/>
      <c r="BV427"/>
      <c r="BW427"/>
      <c r="BX427"/>
      <c r="BY427"/>
      <c r="BZ427"/>
    </row>
    <row r="428" spans="1:78" ht="18.75">
      <c r="A428" s="1766"/>
      <c r="B428" s="1699"/>
      <c r="C428" s="1696"/>
      <c r="D428" s="1696"/>
      <c r="E428" s="1952"/>
      <c r="F428" s="1695"/>
      <c r="G428" s="1745"/>
      <c r="H428" s="1745"/>
      <c r="I428" s="1745"/>
      <c r="J428" s="1745"/>
      <c r="K428" s="1695"/>
      <c r="L428" s="1745"/>
      <c r="M428" s="1699"/>
      <c r="N428" s="1695"/>
      <c r="O428" s="1695"/>
      <c r="P428" s="1745"/>
      <c r="Q428" s="1745"/>
      <c r="R428" s="1745"/>
      <c r="S428" s="1745"/>
      <c r="T428" s="1745"/>
      <c r="U428" s="1787" t="s">
        <v>2034</v>
      </c>
      <c r="V428" s="1757">
        <v>112</v>
      </c>
      <c r="W428" s="1857">
        <v>109</v>
      </c>
      <c r="X428" s="1857">
        <v>12208</v>
      </c>
      <c r="Y428" s="1857">
        <v>2462</v>
      </c>
      <c r="Z428" s="1857">
        <v>5300</v>
      </c>
      <c r="AA428" s="1858">
        <v>18860</v>
      </c>
      <c r="AB428" s="1757">
        <v>191</v>
      </c>
      <c r="AC428" s="1857">
        <v>98</v>
      </c>
      <c r="AD428" s="1857">
        <v>18798</v>
      </c>
      <c r="AE428" s="1857">
        <v>2769</v>
      </c>
      <c r="AF428" s="1857">
        <v>2300</v>
      </c>
      <c r="AG428" s="1858">
        <v>1900</v>
      </c>
      <c r="AH428" s="1699"/>
      <c r="AI428" s="1695"/>
      <c r="AJ428" s="1695"/>
      <c r="AK428" s="1695"/>
      <c r="AL428" s="1695"/>
      <c r="AM428" s="1695"/>
      <c r="AN428" s="1695"/>
      <c r="AO428" s="1699"/>
      <c r="AP428" s="1729"/>
      <c r="BU428" s="1299"/>
      <c r="BV428" s="1299"/>
      <c r="BW428" s="1299"/>
      <c r="BX428" s="1299"/>
      <c r="BY428" s="1299"/>
      <c r="BZ428" s="1299"/>
    </row>
    <row r="429" spans="1:78" ht="19.5" thickBot="1">
      <c r="A429" s="1766"/>
      <c r="B429" s="1699"/>
      <c r="C429" s="1696"/>
      <c r="D429" s="1696"/>
      <c r="E429" s="1952"/>
      <c r="F429" s="1695"/>
      <c r="G429" s="1745"/>
      <c r="H429" s="1745"/>
      <c r="I429" s="1745"/>
      <c r="J429" s="1745"/>
      <c r="K429" s="1695"/>
      <c r="L429" s="1745"/>
      <c r="M429" s="1699"/>
      <c r="N429" s="1695"/>
      <c r="O429" s="1695"/>
      <c r="P429" s="1745"/>
      <c r="Q429" s="1745"/>
      <c r="R429" s="1745"/>
      <c r="S429" s="1745"/>
      <c r="T429" s="1745"/>
      <c r="U429" s="1787" t="s">
        <v>2035</v>
      </c>
      <c r="V429" s="1757">
        <v>124</v>
      </c>
      <c r="W429" s="1857">
        <v>109</v>
      </c>
      <c r="X429" s="1857">
        <v>13552</v>
      </c>
      <c r="Y429" s="1857">
        <v>2949</v>
      </c>
      <c r="Z429" s="1857">
        <v>6000</v>
      </c>
      <c r="AA429" s="1858">
        <v>40890</v>
      </c>
      <c r="AB429" s="1757">
        <v>211</v>
      </c>
      <c r="AC429" s="1857">
        <v>98</v>
      </c>
      <c r="AD429" s="1857">
        <v>20765</v>
      </c>
      <c r="AE429" s="1857">
        <v>3299</v>
      </c>
      <c r="AF429" s="1857">
        <v>3750</v>
      </c>
      <c r="AG429" s="1858">
        <v>2500</v>
      </c>
      <c r="AH429" s="1699"/>
      <c r="AI429" s="1695"/>
      <c r="AJ429" s="1695"/>
      <c r="AK429" s="1695"/>
      <c r="AL429" s="1695"/>
      <c r="AM429" s="1695"/>
      <c r="AN429" s="1695"/>
      <c r="AO429" s="1699"/>
      <c r="AP429" s="1729"/>
      <c r="AQ429" s="1687" t="s">
        <v>1837</v>
      </c>
      <c r="AR429" s="1687">
        <f>AVERAGE(AO431:AO438)</f>
        <v>1.0750000000000003E-2</v>
      </c>
      <c r="AV429" s="1687" t="s">
        <v>2053</v>
      </c>
      <c r="BU429" s="1299"/>
      <c r="BV429" s="1299"/>
      <c r="BW429" s="1299"/>
      <c r="BX429" s="1299"/>
      <c r="BY429" s="1299"/>
      <c r="BZ429" s="1299"/>
    </row>
    <row r="430" spans="1:78" ht="24" thickBot="1">
      <c r="A430" s="1714" t="s">
        <v>1111</v>
      </c>
      <c r="B430" s="1959"/>
      <c r="C430" s="1815"/>
      <c r="D430" s="1815"/>
      <c r="E430" s="1960"/>
      <c r="F430" s="1816"/>
      <c r="G430" s="1817"/>
      <c r="H430" s="1817"/>
      <c r="I430" s="1817"/>
      <c r="J430" s="1817"/>
      <c r="K430" s="1818"/>
      <c r="L430" s="1817"/>
      <c r="M430" s="1819"/>
      <c r="N430" s="1816"/>
      <c r="O430" s="1816"/>
      <c r="P430" s="1820"/>
      <c r="Q430" s="1817"/>
      <c r="R430" s="1817"/>
      <c r="S430" s="1817"/>
      <c r="T430" s="1817"/>
      <c r="U430" s="1819"/>
      <c r="V430" s="1819"/>
      <c r="W430" s="1821"/>
      <c r="X430" s="1821"/>
      <c r="Y430" s="1821"/>
      <c r="Z430" s="1821"/>
      <c r="AA430" s="1821"/>
      <c r="AB430" s="1819"/>
      <c r="AC430" s="1821"/>
      <c r="AD430" s="1821"/>
      <c r="AE430" s="1821"/>
      <c r="AF430" s="1821"/>
      <c r="AG430" s="1821"/>
      <c r="AH430" s="1819"/>
      <c r="AI430" s="1821"/>
      <c r="AJ430" s="1821"/>
      <c r="AK430" s="1821"/>
      <c r="AL430" s="1821"/>
      <c r="AM430" s="1821"/>
      <c r="AN430" s="1816"/>
      <c r="AO430" s="1819"/>
      <c r="AP430" s="1822"/>
      <c r="AQ430" s="1687" t="s">
        <v>1899</v>
      </c>
      <c r="AR430" s="1687">
        <f>STDEV(AO431:AO438)</f>
        <v>5.147815070493493E-3</v>
      </c>
      <c r="AT430" s="1687">
        <v>1.1100000000000001</v>
      </c>
      <c r="AU430" s="1687">
        <v>1.53</v>
      </c>
      <c r="AV430" s="1687">
        <f>AU430/AT430</f>
        <v>1.3783783783783783</v>
      </c>
      <c r="BU430" s="1299"/>
      <c r="BV430" s="1299"/>
      <c r="BW430" s="1299"/>
      <c r="BX430" s="1299"/>
      <c r="BY430" s="1299"/>
      <c r="BZ430" s="1299"/>
    </row>
    <row r="431" spans="1:78">
      <c r="A431" s="2472" t="s">
        <v>150</v>
      </c>
      <c r="B431" s="1823" t="s">
        <v>1903</v>
      </c>
      <c r="C431" s="1824" t="s">
        <v>1904</v>
      </c>
      <c r="D431" s="1824" t="s">
        <v>1440</v>
      </c>
      <c r="E431" s="1961">
        <f>AR429</f>
        <v>1.0750000000000003E-2</v>
      </c>
      <c r="F431" s="1962"/>
      <c r="G431" s="1828">
        <f>AP431*BQ68</f>
        <v>54.705955484718906</v>
      </c>
      <c r="H431" s="1724">
        <f>G431*E431</f>
        <v>0.58808902146072839</v>
      </c>
      <c r="I431" s="1834"/>
      <c r="J431" s="1835"/>
      <c r="K431" s="1750">
        <v>0.38</v>
      </c>
      <c r="L431" s="1795">
        <f>((E431*$G$431)+I431)*(1+K431)</f>
        <v>0.81156284961580516</v>
      </c>
      <c r="M431" s="1743" t="s">
        <v>1942</v>
      </c>
      <c r="N431" s="1782"/>
      <c r="O431" s="1870" t="s">
        <v>1947</v>
      </c>
      <c r="P431" s="1738">
        <v>44</v>
      </c>
      <c r="Q431" s="1954" t="s">
        <v>2044</v>
      </c>
      <c r="R431" s="1846"/>
      <c r="S431" s="1846"/>
      <c r="T431" s="1954" t="str">
        <f>Q431</f>
        <v>$0.44-$0.88</v>
      </c>
      <c r="U431" s="1733" t="s">
        <v>1656</v>
      </c>
      <c r="V431" s="1699"/>
      <c r="W431" s="1695"/>
      <c r="X431" s="1695"/>
      <c r="Y431" s="1695"/>
      <c r="Z431" s="1695"/>
      <c r="AA431" s="1695"/>
      <c r="AB431" s="1699"/>
      <c r="AC431" s="1695"/>
      <c r="AD431" s="1695"/>
      <c r="AE431" s="1695"/>
      <c r="AF431" s="1695"/>
      <c r="AG431" s="1695"/>
      <c r="AH431" s="1699"/>
      <c r="AI431" s="1695"/>
      <c r="AJ431" s="1695"/>
      <c r="AK431" s="1695"/>
      <c r="AL431" s="1695"/>
      <c r="AM431" s="1695"/>
      <c r="AN431" s="1695"/>
      <c r="AO431" s="1757">
        <v>1.0999999999999999E-2</v>
      </c>
      <c r="AP431" s="1758">
        <v>44.9</v>
      </c>
      <c r="AT431" s="1687">
        <v>1.3</v>
      </c>
      <c r="AU431" s="1687">
        <v>1.8</v>
      </c>
      <c r="AV431" s="1687">
        <f t="shared" ref="AV431:AV437" si="63">AU431/AT431</f>
        <v>1.3846153846153846</v>
      </c>
      <c r="BU431" s="1299"/>
      <c r="BV431" s="1299"/>
      <c r="BW431" s="1299"/>
      <c r="BX431" s="1299"/>
      <c r="BY431" s="1299"/>
      <c r="BZ431" s="1299"/>
    </row>
    <row r="432" spans="1:78">
      <c r="A432" s="2433"/>
      <c r="B432" s="1699"/>
      <c r="C432" s="1696"/>
      <c r="D432" s="1696"/>
      <c r="E432" s="1952"/>
      <c r="F432" s="1695"/>
      <c r="G432" s="1745"/>
      <c r="H432" s="1745"/>
      <c r="I432" s="1745"/>
      <c r="J432" s="1745"/>
      <c r="K432" s="1695"/>
      <c r="L432" s="1805"/>
      <c r="M432" s="1699"/>
      <c r="N432" s="1695"/>
      <c r="O432" s="1695"/>
      <c r="P432" s="1745"/>
      <c r="Q432" s="1745"/>
      <c r="R432" s="1745"/>
      <c r="S432" s="1745"/>
      <c r="T432" s="1799"/>
      <c r="U432" s="1733" t="s">
        <v>1657</v>
      </c>
      <c r="V432" s="1699"/>
      <c r="W432" s="1695"/>
      <c r="X432" s="1695"/>
      <c r="Y432" s="1695"/>
      <c r="Z432" s="1695"/>
      <c r="AA432" s="1695"/>
      <c r="AB432" s="1699"/>
      <c r="AC432" s="1695"/>
      <c r="AD432" s="1695"/>
      <c r="AE432" s="1695"/>
      <c r="AF432" s="1695"/>
      <c r="AG432" s="1695"/>
      <c r="AH432" s="1699"/>
      <c r="AI432" s="1695"/>
      <c r="AJ432" s="1695"/>
      <c r="AK432" s="1695"/>
      <c r="AL432" s="1695"/>
      <c r="AM432" s="1695"/>
      <c r="AN432" s="1695"/>
      <c r="AO432" s="1757">
        <v>1.7000000000000001E-2</v>
      </c>
      <c r="AP432" s="1758">
        <v>44.9</v>
      </c>
      <c r="AT432" s="1687">
        <v>1.63</v>
      </c>
      <c r="AU432" s="1687">
        <v>2.2200000000000002</v>
      </c>
      <c r="AV432" s="1687">
        <f t="shared" si="63"/>
        <v>1.3619631901840492</v>
      </c>
      <c r="BU432" s="1299"/>
      <c r="BV432" s="1299"/>
      <c r="BW432" s="1299"/>
      <c r="BX432" s="1299"/>
      <c r="BY432" s="1299"/>
      <c r="BZ432" s="1299"/>
    </row>
    <row r="433" spans="1:78">
      <c r="A433" s="2433"/>
      <c r="B433" s="1699"/>
      <c r="C433" s="1696"/>
      <c r="D433" s="1696"/>
      <c r="E433" s="1952"/>
      <c r="F433" s="1695"/>
      <c r="G433" s="1745"/>
      <c r="H433" s="1745"/>
      <c r="I433" s="1745"/>
      <c r="J433" s="1745"/>
      <c r="K433" s="1695"/>
      <c r="L433" s="1805"/>
      <c r="M433" s="1699"/>
      <c r="N433" s="1695"/>
      <c r="O433" s="1695"/>
      <c r="P433" s="1745"/>
      <c r="Q433" s="1745"/>
      <c r="R433" s="1745"/>
      <c r="S433" s="1745"/>
      <c r="T433" s="1805"/>
      <c r="U433" s="1733" t="s">
        <v>1658</v>
      </c>
      <c r="V433" s="1699"/>
      <c r="W433" s="1695"/>
      <c r="X433" s="1695"/>
      <c r="Y433" s="1695"/>
      <c r="Z433" s="1695"/>
      <c r="AA433" s="1695"/>
      <c r="AB433" s="1699"/>
      <c r="AC433" s="1695"/>
      <c r="AD433" s="1695"/>
      <c r="AE433" s="1695"/>
      <c r="AF433" s="1695"/>
      <c r="AG433" s="1695"/>
      <c r="AH433" s="1699"/>
      <c r="AI433" s="1695"/>
      <c r="AJ433" s="1695"/>
      <c r="AK433" s="1695"/>
      <c r="AL433" s="1695"/>
      <c r="AM433" s="1695"/>
      <c r="AN433" s="1695"/>
      <c r="AO433" s="1757">
        <v>1.2999999999999999E-2</v>
      </c>
      <c r="AP433" s="1758">
        <v>44.9</v>
      </c>
      <c r="AT433" s="1687">
        <v>1.82</v>
      </c>
      <c r="AU433" s="1687">
        <v>2.44</v>
      </c>
      <c r="AV433" s="1687">
        <f t="shared" si="63"/>
        <v>1.3406593406593406</v>
      </c>
      <c r="BU433" s="1299"/>
      <c r="BV433" s="1299"/>
      <c r="BW433" s="1299"/>
      <c r="BX433" s="1299"/>
      <c r="BY433" s="1299"/>
      <c r="BZ433" s="1299"/>
    </row>
    <row r="434" spans="1:78">
      <c r="A434" s="2433"/>
      <c r="B434" s="1699"/>
      <c r="C434" s="1696"/>
      <c r="D434" s="1696"/>
      <c r="E434" s="1952"/>
      <c r="F434" s="1695"/>
      <c r="G434" s="1745"/>
      <c r="H434" s="1745"/>
      <c r="I434" s="1745"/>
      <c r="J434" s="1745"/>
      <c r="K434" s="1695"/>
      <c r="L434" s="1805"/>
      <c r="M434" s="1699"/>
      <c r="N434" s="1695"/>
      <c r="O434" s="1695"/>
      <c r="P434" s="1745"/>
      <c r="Q434" s="1745"/>
      <c r="R434" s="1745"/>
      <c r="S434" s="1745"/>
      <c r="T434" s="1805"/>
      <c r="U434" s="1787" t="s">
        <v>1659</v>
      </c>
      <c r="V434" s="1699"/>
      <c r="W434" s="1695"/>
      <c r="X434" s="1695"/>
      <c r="Y434" s="1695"/>
      <c r="Z434" s="1695"/>
      <c r="AA434" s="1695"/>
      <c r="AB434" s="1699"/>
      <c r="AC434" s="1695"/>
      <c r="AD434" s="1695"/>
      <c r="AE434" s="1695"/>
      <c r="AF434" s="1695"/>
      <c r="AG434" s="1695"/>
      <c r="AH434" s="1699"/>
      <c r="AI434" s="1695"/>
      <c r="AJ434" s="1695"/>
      <c r="AK434" s="1695"/>
      <c r="AL434" s="1695"/>
      <c r="AM434" s="1695"/>
      <c r="AN434" s="1695"/>
      <c r="AO434" s="1743">
        <v>1.9E-2</v>
      </c>
      <c r="AP434" s="1758">
        <v>44.9</v>
      </c>
      <c r="AT434" s="1687">
        <v>1.1399999999999999</v>
      </c>
      <c r="AU434" s="1687">
        <v>1.61</v>
      </c>
      <c r="AV434" s="1687">
        <f t="shared" si="63"/>
        <v>1.4122807017543861</v>
      </c>
    </row>
    <row r="435" spans="1:78">
      <c r="A435" s="2433"/>
      <c r="B435" s="1699"/>
      <c r="C435" s="1696"/>
      <c r="D435" s="1696"/>
      <c r="E435" s="1952"/>
      <c r="F435" s="1695"/>
      <c r="G435" s="1745"/>
      <c r="H435" s="1745"/>
      <c r="I435" s="1745"/>
      <c r="J435" s="1745"/>
      <c r="K435" s="1695"/>
      <c r="L435" s="1805"/>
      <c r="M435" s="1699"/>
      <c r="N435" s="1695"/>
      <c r="O435" s="1695"/>
      <c r="P435" s="1745"/>
      <c r="Q435" s="1745"/>
      <c r="R435" s="1745"/>
      <c r="S435" s="1745"/>
      <c r="T435" s="1805"/>
      <c r="U435" s="1733" t="s">
        <v>1655</v>
      </c>
      <c r="V435" s="1699"/>
      <c r="W435" s="1695"/>
      <c r="X435" s="1695"/>
      <c r="Y435" s="1695"/>
      <c r="Z435" s="1695"/>
      <c r="AA435" s="1695"/>
      <c r="AB435" s="1699"/>
      <c r="AC435" s="1695"/>
      <c r="AD435" s="1695"/>
      <c r="AE435" s="1695"/>
      <c r="AF435" s="1695"/>
      <c r="AG435" s="1695"/>
      <c r="AH435" s="1699"/>
      <c r="AI435" s="1695"/>
      <c r="AJ435" s="1695"/>
      <c r="AK435" s="1695"/>
      <c r="AL435" s="1695"/>
      <c r="AM435" s="1695"/>
      <c r="AN435" s="1695"/>
      <c r="AO435" s="1757">
        <v>6.0000000000000001E-3</v>
      </c>
      <c r="AP435" s="1758">
        <v>44.9</v>
      </c>
      <c r="AT435" s="1687">
        <v>1.42</v>
      </c>
      <c r="AU435" s="1687">
        <v>1.99</v>
      </c>
      <c r="AV435" s="1687">
        <f t="shared" si="63"/>
        <v>1.4014084507042255</v>
      </c>
    </row>
    <row r="436" spans="1:78">
      <c r="A436" s="2433"/>
      <c r="B436" s="1699"/>
      <c r="C436" s="1696"/>
      <c r="D436" s="1696"/>
      <c r="E436" s="1952"/>
      <c r="F436" s="1695"/>
      <c r="G436" s="1745"/>
      <c r="H436" s="1745"/>
      <c r="I436" s="1745"/>
      <c r="J436" s="1745"/>
      <c r="K436" s="1695"/>
      <c r="L436" s="1805"/>
      <c r="M436" s="1699"/>
      <c r="N436" s="1695"/>
      <c r="O436" s="1695"/>
      <c r="P436" s="1745"/>
      <c r="Q436" s="1745"/>
      <c r="R436" s="1745"/>
      <c r="S436" s="1745"/>
      <c r="T436" s="1805"/>
      <c r="U436" s="1733" t="s">
        <v>1660</v>
      </c>
      <c r="V436" s="1699"/>
      <c r="W436" s="1695"/>
      <c r="X436" s="1695"/>
      <c r="Y436" s="1695"/>
      <c r="Z436" s="1695"/>
      <c r="AA436" s="1695"/>
      <c r="AB436" s="1699"/>
      <c r="AC436" s="1695"/>
      <c r="AD436" s="1695"/>
      <c r="AE436" s="1695"/>
      <c r="AF436" s="1695"/>
      <c r="AG436" s="1695"/>
      <c r="AH436" s="1699"/>
      <c r="AI436" s="1695"/>
      <c r="AJ436" s="1695"/>
      <c r="AK436" s="1695"/>
      <c r="AL436" s="1695"/>
      <c r="AM436" s="1695"/>
      <c r="AN436" s="1695"/>
      <c r="AO436" s="1757">
        <v>6.0000000000000001E-3</v>
      </c>
      <c r="AP436" s="1758">
        <v>44.9</v>
      </c>
      <c r="AT436" s="1687">
        <v>1.74</v>
      </c>
      <c r="AU436" s="1687">
        <v>2.39</v>
      </c>
      <c r="AV436" s="1687">
        <f t="shared" si="63"/>
        <v>1.3735632183908046</v>
      </c>
    </row>
    <row r="437" spans="1:78">
      <c r="A437" s="2433"/>
      <c r="B437" s="1699"/>
      <c r="C437" s="1696"/>
      <c r="D437" s="1696"/>
      <c r="E437" s="1952"/>
      <c r="F437" s="1695"/>
      <c r="G437" s="1745"/>
      <c r="H437" s="1745"/>
      <c r="I437" s="1745"/>
      <c r="J437" s="1745"/>
      <c r="K437" s="1695"/>
      <c r="L437" s="1805"/>
      <c r="M437" s="1699"/>
      <c r="N437" s="1695"/>
      <c r="O437" s="1695"/>
      <c r="P437" s="1745"/>
      <c r="Q437" s="1745"/>
      <c r="R437" s="1745"/>
      <c r="S437" s="1745"/>
      <c r="T437" s="1805"/>
      <c r="U437" s="1733" t="s">
        <v>1661</v>
      </c>
      <c r="V437" s="1699"/>
      <c r="W437" s="1695"/>
      <c r="X437" s="1695"/>
      <c r="Y437" s="1695"/>
      <c r="Z437" s="1695"/>
      <c r="AA437" s="1695"/>
      <c r="AB437" s="1699"/>
      <c r="AC437" s="1695"/>
      <c r="AD437" s="1695"/>
      <c r="AE437" s="1695"/>
      <c r="AF437" s="1695"/>
      <c r="AG437" s="1695"/>
      <c r="AH437" s="1699"/>
      <c r="AI437" s="1695"/>
      <c r="AJ437" s="1695"/>
      <c r="AK437" s="1695"/>
      <c r="AL437" s="1695"/>
      <c r="AM437" s="1695"/>
      <c r="AN437" s="1695"/>
      <c r="AO437" s="1757">
        <v>7.0000000000000001E-3</v>
      </c>
      <c r="AP437" s="1758">
        <v>44.9</v>
      </c>
      <c r="AT437" s="1687">
        <v>1.97</v>
      </c>
      <c r="AU437" s="1687">
        <v>2.67</v>
      </c>
      <c r="AV437" s="1687">
        <f t="shared" si="63"/>
        <v>1.3553299492385786</v>
      </c>
    </row>
    <row r="438" spans="1:78">
      <c r="A438" s="2433"/>
      <c r="B438" s="1699"/>
      <c r="C438" s="1696"/>
      <c r="D438" s="1696"/>
      <c r="E438" s="1952"/>
      <c r="F438" s="1695"/>
      <c r="G438" s="1745"/>
      <c r="H438" s="1745"/>
      <c r="I438" s="1745"/>
      <c r="J438" s="1745"/>
      <c r="K438" s="1695"/>
      <c r="L438" s="1745"/>
      <c r="M438" s="1699"/>
      <c r="N438" s="1695"/>
      <c r="O438" s="1695"/>
      <c r="P438" s="1745"/>
      <c r="Q438" s="1745"/>
      <c r="R438" s="1745"/>
      <c r="S438" s="1745"/>
      <c r="T438" s="1745"/>
      <c r="U438" s="1733" t="s">
        <v>1662</v>
      </c>
      <c r="V438" s="1699"/>
      <c r="W438" s="1695"/>
      <c r="X438" s="1695"/>
      <c r="Y438" s="1695"/>
      <c r="Z438" s="1695"/>
      <c r="AA438" s="1695"/>
      <c r="AB438" s="1699"/>
      <c r="AC438" s="1695"/>
      <c r="AD438" s="1695"/>
      <c r="AE438" s="1695"/>
      <c r="AF438" s="1695"/>
      <c r="AG438" s="1695"/>
      <c r="AH438" s="1699"/>
      <c r="AI438" s="1695"/>
      <c r="AJ438" s="1695"/>
      <c r="AK438" s="1695"/>
      <c r="AL438" s="1695"/>
      <c r="AM438" s="1695"/>
      <c r="AN438" s="1695"/>
      <c r="AO438" s="1757">
        <v>7.0000000000000001E-3</v>
      </c>
      <c r="AP438" s="1758">
        <v>44.9</v>
      </c>
      <c r="AV438" s="1687">
        <f>AVERAGE(AV430:AV437)</f>
        <v>1.3760248267406434</v>
      </c>
    </row>
    <row r="439" spans="1:78">
      <c r="A439" s="2433"/>
      <c r="B439" s="1699"/>
      <c r="C439" s="1696"/>
      <c r="D439" s="1696"/>
      <c r="E439" s="1952"/>
      <c r="F439" s="1695"/>
      <c r="G439" s="1745"/>
      <c r="H439" s="1745"/>
      <c r="I439" s="1745"/>
      <c r="J439" s="1745"/>
      <c r="K439" s="1695"/>
      <c r="L439" s="1745"/>
      <c r="M439" s="1699"/>
      <c r="N439" s="1695"/>
      <c r="O439" s="1695"/>
      <c r="P439" s="1745"/>
      <c r="Q439" s="1745"/>
      <c r="R439" s="1745"/>
      <c r="S439" s="1745"/>
      <c r="T439" s="1745"/>
      <c r="U439" s="1699"/>
      <c r="V439" s="1699"/>
      <c r="W439" s="1695"/>
      <c r="X439" s="1695"/>
      <c r="Y439" s="1695"/>
      <c r="Z439" s="1695"/>
      <c r="AA439" s="1695"/>
      <c r="AB439" s="1699"/>
      <c r="AC439" s="1695"/>
      <c r="AD439" s="1695"/>
      <c r="AE439" s="1695"/>
      <c r="AF439" s="1695"/>
      <c r="AG439" s="1695"/>
      <c r="AH439" s="1699"/>
      <c r="AI439" s="1695"/>
      <c r="AJ439" s="1695"/>
      <c r="AK439" s="1695"/>
      <c r="AL439" s="1695"/>
      <c r="AM439" s="1695"/>
      <c r="AN439" s="1695"/>
      <c r="AO439" s="1699"/>
      <c r="AP439" s="1729"/>
    </row>
    <row r="440" spans="1:78">
      <c r="A440" s="2433"/>
      <c r="B440" s="1699"/>
      <c r="C440" s="1696"/>
      <c r="D440" s="1696"/>
      <c r="E440" s="1695"/>
      <c r="F440" s="1695"/>
      <c r="G440" s="1745"/>
      <c r="H440" s="1745"/>
      <c r="I440" s="1745"/>
      <c r="J440" s="1745"/>
      <c r="K440" s="1695"/>
      <c r="L440" s="1745"/>
      <c r="M440" s="1699"/>
      <c r="N440" s="1695"/>
      <c r="O440" s="1695"/>
      <c r="P440" s="1745"/>
      <c r="Q440" s="1745"/>
      <c r="R440" s="1745"/>
      <c r="S440" s="1745"/>
      <c r="T440" s="1745"/>
      <c r="U440" s="1699"/>
      <c r="V440" s="1699"/>
      <c r="W440" s="1695"/>
      <c r="X440" s="1695"/>
      <c r="Y440" s="1695"/>
      <c r="Z440" s="1695"/>
      <c r="AA440" s="1695"/>
      <c r="AB440" s="1699"/>
      <c r="AC440" s="1695"/>
      <c r="AD440" s="1695"/>
      <c r="AE440" s="1695"/>
      <c r="AF440" s="1695"/>
      <c r="AG440" s="1695"/>
      <c r="AH440" s="1699"/>
      <c r="AI440" s="1695"/>
      <c r="AJ440" s="1695"/>
      <c r="AK440" s="1695"/>
      <c r="AL440" s="1695"/>
      <c r="AM440" s="1695"/>
      <c r="AN440" s="1695"/>
      <c r="AO440" s="1699"/>
      <c r="AP440" s="1729"/>
    </row>
    <row r="441" spans="1:78">
      <c r="A441" s="2433"/>
      <c r="B441" s="1699"/>
      <c r="C441" s="1696"/>
      <c r="D441" s="1696"/>
      <c r="E441" s="1695"/>
      <c r="F441" s="1695"/>
      <c r="G441" s="1745"/>
      <c r="H441" s="1745"/>
      <c r="I441" s="1745"/>
      <c r="J441" s="1745"/>
      <c r="K441" s="1695"/>
      <c r="L441" s="1745"/>
      <c r="M441" s="1699"/>
      <c r="N441" s="1695"/>
      <c r="O441" s="1695"/>
      <c r="P441" s="1745"/>
      <c r="Q441" s="1745"/>
      <c r="R441" s="1745"/>
      <c r="S441" s="1745"/>
      <c r="T441" s="1745"/>
      <c r="U441" s="1699"/>
      <c r="V441" s="1699"/>
      <c r="W441" s="1695"/>
      <c r="X441" s="1695"/>
      <c r="Y441" s="1695"/>
      <c r="Z441" s="1695"/>
      <c r="AA441" s="1695"/>
      <c r="AB441" s="1699"/>
      <c r="AC441" s="1695"/>
      <c r="AD441" s="1695"/>
      <c r="AE441" s="1695"/>
      <c r="AF441" s="1695"/>
      <c r="AG441" s="1695"/>
      <c r="AH441" s="1699"/>
      <c r="AI441" s="1695"/>
      <c r="AJ441" s="1695"/>
      <c r="AK441" s="1695"/>
      <c r="AL441" s="1695"/>
      <c r="AM441" s="1695"/>
      <c r="AN441" s="1695"/>
      <c r="AO441" s="1699"/>
      <c r="AP441" s="1729"/>
    </row>
    <row r="442" spans="1:78">
      <c r="A442" s="2433"/>
      <c r="B442" s="1699"/>
      <c r="C442" s="1696"/>
      <c r="D442" s="1696"/>
      <c r="E442" s="1695"/>
      <c r="F442" s="1695"/>
      <c r="G442" s="1745"/>
      <c r="H442" s="1745"/>
      <c r="I442" s="1745"/>
      <c r="J442" s="1745"/>
      <c r="K442" s="1695"/>
      <c r="L442" s="1745"/>
      <c r="M442" s="1699"/>
      <c r="N442" s="1695"/>
      <c r="O442" s="1695"/>
      <c r="P442" s="1745"/>
      <c r="Q442" s="1745"/>
      <c r="R442" s="1745"/>
      <c r="S442" s="1745"/>
      <c r="T442" s="1745"/>
      <c r="U442" s="1699"/>
      <c r="V442" s="1699"/>
      <c r="W442" s="1695"/>
      <c r="X442" s="1695"/>
      <c r="Y442" s="1695"/>
      <c r="Z442" s="1695"/>
      <c r="AA442" s="1695"/>
      <c r="AB442" s="1699"/>
      <c r="AC442" s="1695"/>
      <c r="AD442" s="1695"/>
      <c r="AE442" s="1695"/>
      <c r="AF442" s="1695"/>
      <c r="AG442" s="1695"/>
      <c r="AH442" s="1699"/>
      <c r="AI442" s="1695"/>
      <c r="AJ442" s="1695"/>
      <c r="AK442" s="1695"/>
      <c r="AL442" s="1695"/>
      <c r="AM442" s="1695"/>
      <c r="AN442" s="1695"/>
      <c r="AO442" s="1699"/>
      <c r="AP442" s="1729"/>
    </row>
    <row r="443" spans="1:78">
      <c r="A443" s="2433"/>
      <c r="B443" s="1699"/>
      <c r="C443" s="1696"/>
      <c r="D443" s="1696"/>
      <c r="E443" s="1695"/>
      <c r="F443" s="1695"/>
      <c r="G443" s="1745"/>
      <c r="H443" s="1745"/>
      <c r="I443" s="1745"/>
      <c r="J443" s="1745"/>
      <c r="K443" s="1695"/>
      <c r="L443" s="1745"/>
      <c r="M443" s="1699"/>
      <c r="N443" s="1695"/>
      <c r="O443" s="1695"/>
      <c r="P443" s="1745"/>
      <c r="Q443" s="1745"/>
      <c r="R443" s="1745"/>
      <c r="S443" s="1745"/>
      <c r="T443" s="1745"/>
      <c r="U443" s="1699"/>
      <c r="V443" s="1699"/>
      <c r="W443" s="1695"/>
      <c r="X443" s="1695"/>
      <c r="Y443" s="1695"/>
      <c r="Z443" s="1695"/>
      <c r="AA443" s="1695"/>
      <c r="AB443" s="1699"/>
      <c r="AC443" s="1695"/>
      <c r="AD443" s="1695"/>
      <c r="AE443" s="1695"/>
      <c r="AF443" s="1695"/>
      <c r="AG443" s="1695"/>
      <c r="AH443" s="1699"/>
      <c r="AI443" s="1695"/>
      <c r="AJ443" s="1695"/>
      <c r="AK443" s="1695"/>
      <c r="AL443" s="1695"/>
      <c r="AM443" s="1695"/>
      <c r="AN443" s="1695"/>
      <c r="AO443" s="1699"/>
      <c r="AP443" s="1729"/>
    </row>
    <row r="444" spans="1:78">
      <c r="A444" s="2433"/>
      <c r="B444" s="1699"/>
      <c r="C444" s="1696"/>
      <c r="D444" s="1696"/>
      <c r="E444" s="1695"/>
      <c r="F444" s="1695"/>
      <c r="G444" s="1745"/>
      <c r="H444" s="1745"/>
      <c r="I444" s="1745"/>
      <c r="J444" s="1745"/>
      <c r="K444" s="1695"/>
      <c r="L444" s="1745"/>
      <c r="M444" s="1699"/>
      <c r="N444" s="1695"/>
      <c r="O444" s="1695"/>
      <c r="P444" s="1745"/>
      <c r="Q444" s="1745"/>
      <c r="R444" s="1745"/>
      <c r="S444" s="1745"/>
      <c r="T444" s="1745"/>
      <c r="U444" s="1699"/>
      <c r="V444" s="1699"/>
      <c r="W444" s="1695"/>
      <c r="X444" s="1695"/>
      <c r="Y444" s="1695"/>
      <c r="Z444" s="1695"/>
      <c r="AA444" s="1695"/>
      <c r="AB444" s="1699"/>
      <c r="AC444" s="1695"/>
      <c r="AD444" s="1695"/>
      <c r="AE444" s="1695"/>
      <c r="AF444" s="1695"/>
      <c r="AG444" s="1695"/>
      <c r="AH444" s="1699"/>
      <c r="AI444" s="1695"/>
      <c r="AJ444" s="1695"/>
      <c r="AK444" s="1695"/>
      <c r="AL444" s="1695"/>
      <c r="AM444" s="1695"/>
      <c r="AN444" s="1695"/>
      <c r="AO444" s="1699"/>
      <c r="AP444" s="1729"/>
    </row>
    <row r="445" spans="1:78">
      <c r="A445" s="2433"/>
      <c r="B445" s="1699"/>
      <c r="C445" s="1696"/>
      <c r="D445" s="1696"/>
      <c r="E445" s="1695"/>
      <c r="F445" s="1695"/>
      <c r="G445" s="1745"/>
      <c r="H445" s="1745"/>
      <c r="I445" s="1745"/>
      <c r="J445" s="1745"/>
      <c r="K445" s="1695"/>
      <c r="L445" s="1745"/>
      <c r="M445" s="1699"/>
      <c r="N445" s="1695"/>
      <c r="O445" s="1695"/>
      <c r="P445" s="1745"/>
      <c r="Q445" s="1745"/>
      <c r="R445" s="1745"/>
      <c r="S445" s="1745"/>
      <c r="T445" s="1745"/>
      <c r="U445" s="1699"/>
      <c r="V445" s="1699"/>
      <c r="W445" s="1695"/>
      <c r="X445" s="1695"/>
      <c r="Y445" s="1695"/>
      <c r="Z445" s="1695"/>
      <c r="AA445" s="1695"/>
      <c r="AB445" s="1699"/>
      <c r="AC445" s="1695"/>
      <c r="AD445" s="1695"/>
      <c r="AE445" s="1695"/>
      <c r="AF445" s="1695"/>
      <c r="AG445" s="1695"/>
      <c r="AH445" s="1699"/>
      <c r="AI445" s="1695"/>
      <c r="AJ445" s="1695"/>
      <c r="AK445" s="1695"/>
      <c r="AL445" s="1695"/>
      <c r="AM445" s="1695"/>
      <c r="AN445" s="1695"/>
      <c r="AO445" s="1699"/>
      <c r="AP445" s="1729"/>
    </row>
    <row r="446" spans="1:78" ht="15.75" thickBot="1">
      <c r="A446" s="2475"/>
      <c r="B446" s="1699"/>
      <c r="C446" s="1696"/>
      <c r="D446" s="1696"/>
      <c r="E446" s="1695"/>
      <c r="F446" s="1695"/>
      <c r="G446" s="1745"/>
      <c r="H446" s="1745"/>
      <c r="I446" s="1745"/>
      <c r="J446" s="1745"/>
      <c r="K446" s="1695"/>
      <c r="L446" s="1745"/>
      <c r="M446" s="1699"/>
      <c r="N446" s="1695"/>
      <c r="O446" s="1695"/>
      <c r="P446" s="1745"/>
      <c r="Q446" s="1745"/>
      <c r="R446" s="1745"/>
      <c r="S446" s="1745"/>
      <c r="T446" s="1745"/>
      <c r="U446" s="1699"/>
      <c r="V446" s="1699"/>
      <c r="W446" s="1695"/>
      <c r="X446" s="1695"/>
      <c r="Y446" s="1695"/>
      <c r="Z446" s="1695"/>
      <c r="AA446" s="1695"/>
      <c r="AB446" s="1699"/>
      <c r="AC446" s="1695"/>
      <c r="AD446" s="1695"/>
      <c r="AE446" s="1695"/>
      <c r="AF446" s="1695"/>
      <c r="AG446" s="1695"/>
      <c r="AH446" s="1699"/>
      <c r="AI446" s="1695"/>
      <c r="AJ446" s="1695"/>
      <c r="AK446" s="1695"/>
      <c r="AL446" s="1695"/>
      <c r="AM446" s="1695"/>
      <c r="AN446" s="1695"/>
      <c r="AO446" s="1699"/>
      <c r="AP446" s="1729"/>
    </row>
    <row r="447" spans="1:78" ht="24" thickBot="1">
      <c r="A447" s="1714" t="s">
        <v>1112</v>
      </c>
      <c r="B447" s="1715"/>
      <c r="C447" s="1716"/>
      <c r="D447" s="1716"/>
      <c r="E447" s="1715"/>
      <c r="F447" s="1715"/>
      <c r="G447" s="1717"/>
      <c r="H447" s="1717"/>
      <c r="I447" s="1717"/>
      <c r="J447" s="1717"/>
      <c r="K447" s="1715"/>
      <c r="L447" s="1717"/>
      <c r="M447" s="1718"/>
      <c r="N447" s="1715"/>
      <c r="O447" s="1715"/>
      <c r="P447" s="1717"/>
      <c r="Q447" s="1717"/>
      <c r="R447" s="1717"/>
      <c r="S447" s="1717"/>
      <c r="T447" s="1717"/>
      <c r="U447" s="1718"/>
      <c r="V447" s="1718"/>
      <c r="W447" s="1715"/>
      <c r="X447" s="1715"/>
      <c r="Y447" s="1715"/>
      <c r="Z447" s="1715"/>
      <c r="AA447" s="1715"/>
      <c r="AB447" s="1718"/>
      <c r="AC447" s="1715"/>
      <c r="AD447" s="1715"/>
      <c r="AE447" s="1715"/>
      <c r="AF447" s="1715"/>
      <c r="AG447" s="1715"/>
      <c r="AH447" s="1718"/>
      <c r="AI447" s="1715"/>
      <c r="AJ447" s="1715"/>
      <c r="AK447" s="1715"/>
      <c r="AL447" s="1715"/>
      <c r="AM447" s="1715"/>
      <c r="AN447" s="1715"/>
      <c r="AO447" s="1718"/>
      <c r="AP447" s="1719"/>
    </row>
    <row r="448" spans="1:78">
      <c r="A448" s="2432" t="s">
        <v>195</v>
      </c>
      <c r="B448" s="1739" t="s">
        <v>1905</v>
      </c>
      <c r="C448" s="1733" t="s">
        <v>1904</v>
      </c>
      <c r="D448" s="1787" t="s">
        <v>1812</v>
      </c>
      <c r="E448" s="1963">
        <f>AVERAGE(V448:V452)</f>
        <v>3.4321064814814813E-3</v>
      </c>
      <c r="F448" s="1789"/>
      <c r="G448" s="1736">
        <f>AVERAGE(W448:W452)</f>
        <v>39.9</v>
      </c>
      <c r="H448" s="1724">
        <f>G448*E448</f>
        <v>0.13694104861111109</v>
      </c>
      <c r="I448" s="1736">
        <f>SUM(Y448:AA451)/3</f>
        <v>2.4570205026455027E-2</v>
      </c>
      <c r="J448" s="1842"/>
      <c r="K448" s="1750">
        <v>0.25</v>
      </c>
      <c r="L448" s="1795">
        <f>((E448*G448)+I448)*(1+K448)</f>
        <v>0.20188906704695764</v>
      </c>
      <c r="M448" s="1956" t="s">
        <v>2045</v>
      </c>
      <c r="N448" s="1848"/>
      <c r="O448" s="1848"/>
      <c r="P448" s="1754"/>
      <c r="Q448" s="1846"/>
      <c r="R448" s="1846"/>
      <c r="S448" s="1846"/>
      <c r="T448" s="1849" t="s">
        <v>2046</v>
      </c>
      <c r="U448" s="1733" t="s">
        <v>1767</v>
      </c>
      <c r="V448" s="1964">
        <v>3.6706349206349206E-3</v>
      </c>
      <c r="W448" s="1965">
        <v>50</v>
      </c>
      <c r="X448" s="1966">
        <v>0.18353174603174602</v>
      </c>
      <c r="Y448" s="1967">
        <v>2.2321428571428572E-2</v>
      </c>
      <c r="Z448" s="1968"/>
      <c r="AA448" s="1969">
        <v>2.7777777777777776E-2</v>
      </c>
      <c r="AB448" s="1699"/>
      <c r="AC448" s="1695"/>
      <c r="AD448" s="1695"/>
      <c r="AE448" s="1695"/>
      <c r="AF448" s="1695"/>
      <c r="AG448" s="1695"/>
      <c r="AH448" s="1699"/>
      <c r="AI448" s="1695"/>
      <c r="AJ448" s="1695"/>
      <c r="AK448" s="1695"/>
      <c r="AL448" s="1695"/>
      <c r="AM448" s="1695"/>
      <c r="AN448" s="1695"/>
      <c r="AO448" s="1699"/>
      <c r="AP448" s="1729"/>
    </row>
    <row r="449" spans="1:42">
      <c r="A449" s="2433"/>
      <c r="B449" s="1699"/>
      <c r="C449" s="1696"/>
      <c r="D449" s="1696"/>
      <c r="E449" s="1952"/>
      <c r="F449" s="1695"/>
      <c r="G449" s="1745"/>
      <c r="H449" s="1745"/>
      <c r="I449" s="1745"/>
      <c r="J449" s="1745"/>
      <c r="K449" s="1695"/>
      <c r="L449" s="1805"/>
      <c r="M449" s="1970" t="s">
        <v>2009</v>
      </c>
      <c r="N449" s="1695"/>
      <c r="O449" s="1695"/>
      <c r="P449" s="1745"/>
      <c r="Q449" s="1745"/>
      <c r="R449" s="1745"/>
      <c r="S449" s="1745"/>
      <c r="T449" s="1799"/>
      <c r="U449" s="1733" t="s">
        <v>1768</v>
      </c>
      <c r="V449" s="1964">
        <v>3.3482142857142855E-3</v>
      </c>
      <c r="W449" s="1965">
        <v>52</v>
      </c>
      <c r="X449" s="1966">
        <v>0.17410714285714285</v>
      </c>
      <c r="Y449" s="1971"/>
      <c r="Z449" s="1968"/>
      <c r="AA449" s="1972"/>
      <c r="AB449" s="1699"/>
      <c r="AC449" s="1695"/>
      <c r="AD449" s="1695"/>
      <c r="AE449" s="1695"/>
      <c r="AF449" s="1695"/>
      <c r="AG449" s="1695"/>
      <c r="AH449" s="1699"/>
      <c r="AI449" s="1695"/>
      <c r="AJ449" s="1695"/>
      <c r="AK449" s="1695"/>
      <c r="AL449" s="1695"/>
      <c r="AM449" s="1695"/>
      <c r="AN449" s="1695"/>
      <c r="AO449" s="1699"/>
      <c r="AP449" s="1729"/>
    </row>
    <row r="450" spans="1:42">
      <c r="A450" s="2433"/>
      <c r="B450" s="1699"/>
      <c r="C450" s="1696"/>
      <c r="D450" s="1696"/>
      <c r="E450" s="1952"/>
      <c r="F450" s="1695"/>
      <c r="G450" s="1745"/>
      <c r="H450" s="1745"/>
      <c r="I450" s="1745"/>
      <c r="J450" s="1745"/>
      <c r="K450" s="1695"/>
      <c r="L450" s="1805"/>
      <c r="M450" s="1699"/>
      <c r="N450" s="1695"/>
      <c r="O450" s="1695"/>
      <c r="P450" s="1745"/>
      <c r="Q450" s="1745"/>
      <c r="R450" s="1745"/>
      <c r="S450" s="1745"/>
      <c r="T450" s="1805"/>
      <c r="U450" s="1733" t="s">
        <v>1771</v>
      </c>
      <c r="V450" s="1964">
        <v>3.1462384259259256E-3</v>
      </c>
      <c r="W450" s="1965">
        <v>30.000000000000004</v>
      </c>
      <c r="X450" s="1966">
        <v>9.4387152777777775E-2</v>
      </c>
      <c r="Y450" s="1967">
        <v>7.1532242063492056E-3</v>
      </c>
      <c r="Z450" s="1968"/>
      <c r="AA450" s="1969">
        <v>4.6524801587301589E-3</v>
      </c>
      <c r="AB450" s="1699"/>
      <c r="AC450" s="1695"/>
      <c r="AD450" s="1695"/>
      <c r="AE450" s="1695"/>
      <c r="AF450" s="1695"/>
      <c r="AG450" s="1695"/>
      <c r="AH450" s="1699"/>
      <c r="AI450" s="1695"/>
      <c r="AJ450" s="1695"/>
      <c r="AK450" s="1695"/>
      <c r="AL450" s="1695"/>
      <c r="AM450" s="1695"/>
      <c r="AN450" s="1695"/>
      <c r="AO450" s="1699"/>
      <c r="AP450" s="1729"/>
    </row>
    <row r="451" spans="1:42">
      <c r="A451" s="2433"/>
      <c r="B451" s="1699"/>
      <c r="C451" s="1696"/>
      <c r="D451" s="1696"/>
      <c r="E451" s="1952"/>
      <c r="F451" s="1695"/>
      <c r="G451" s="1745"/>
      <c r="H451" s="1745"/>
      <c r="I451" s="1745"/>
      <c r="J451" s="1745"/>
      <c r="K451" s="1695"/>
      <c r="L451" s="1805"/>
      <c r="M451" s="1699"/>
      <c r="N451" s="1695"/>
      <c r="O451" s="1695"/>
      <c r="P451" s="1745"/>
      <c r="Q451" s="1745"/>
      <c r="R451" s="1745"/>
      <c r="S451" s="1745"/>
      <c r="T451" s="1805"/>
      <c r="U451" s="1787" t="s">
        <v>1769</v>
      </c>
      <c r="V451" s="1964">
        <v>3.1462384259259256E-3</v>
      </c>
      <c r="W451" s="1965">
        <v>30.000000000000004</v>
      </c>
      <c r="X451" s="1966">
        <v>9.4387152777777775E-2</v>
      </c>
      <c r="Y451" s="1967">
        <v>7.1532242063492056E-3</v>
      </c>
      <c r="Z451" s="1968"/>
      <c r="AA451" s="1969">
        <v>4.6524801587301589E-3</v>
      </c>
      <c r="AB451" s="1699"/>
      <c r="AC451" s="1695"/>
      <c r="AD451" s="1695"/>
      <c r="AE451" s="1695"/>
      <c r="AF451" s="1695"/>
      <c r="AG451" s="1695"/>
      <c r="AH451" s="1699"/>
      <c r="AI451" s="1695"/>
      <c r="AJ451" s="1695"/>
      <c r="AK451" s="1695"/>
      <c r="AL451" s="1695"/>
      <c r="AM451" s="1695"/>
      <c r="AN451" s="1695"/>
      <c r="AO451" s="1699"/>
      <c r="AP451" s="1729"/>
    </row>
    <row r="452" spans="1:42">
      <c r="A452" s="2433"/>
      <c r="B452" s="1699"/>
      <c r="C452" s="1696"/>
      <c r="D452" s="1696"/>
      <c r="E452" s="1952"/>
      <c r="F452" s="1695"/>
      <c r="G452" s="1745"/>
      <c r="H452" s="1745"/>
      <c r="I452" s="1745"/>
      <c r="J452" s="1745"/>
      <c r="K452" s="1695"/>
      <c r="L452" s="1805"/>
      <c r="M452" s="1699"/>
      <c r="N452" s="1695"/>
      <c r="O452" s="1695"/>
      <c r="P452" s="1745"/>
      <c r="Q452" s="1745"/>
      <c r="R452" s="1745"/>
      <c r="S452" s="1745"/>
      <c r="T452" s="1805"/>
      <c r="U452" s="1733" t="s">
        <v>1770</v>
      </c>
      <c r="V452" s="1964">
        <v>3.8492063492063491E-3</v>
      </c>
      <c r="W452" s="1965">
        <v>37.5</v>
      </c>
      <c r="X452" s="1966">
        <v>0.14434523809523808</v>
      </c>
      <c r="Y452" s="1735"/>
      <c r="Z452" s="1735"/>
      <c r="AA452" s="1758"/>
      <c r="AB452" s="1699"/>
      <c r="AC452" s="1695"/>
      <c r="AD452" s="1695"/>
      <c r="AE452" s="1695"/>
      <c r="AF452" s="1695"/>
      <c r="AG452" s="1695"/>
      <c r="AH452" s="1699"/>
      <c r="AI452" s="1695"/>
      <c r="AJ452" s="1695"/>
      <c r="AK452" s="1695"/>
      <c r="AL452" s="1695"/>
      <c r="AM452" s="1695"/>
      <c r="AN452" s="1695"/>
      <c r="AO452" s="1699"/>
      <c r="AP452" s="1729"/>
    </row>
    <row r="453" spans="1:42">
      <c r="A453" s="2433"/>
      <c r="B453" s="1695"/>
      <c r="C453" s="1696"/>
      <c r="D453" s="1696"/>
      <c r="E453" s="1695"/>
      <c r="F453" s="1695"/>
      <c r="G453" s="1745"/>
      <c r="H453" s="1745"/>
      <c r="I453" s="1745"/>
      <c r="J453" s="1745"/>
      <c r="K453" s="1695"/>
      <c r="L453" s="1745"/>
      <c r="M453" s="1699"/>
      <c r="N453" s="1695"/>
      <c r="O453" s="1695"/>
      <c r="P453" s="1745"/>
      <c r="Q453" s="1745"/>
      <c r="R453" s="1745"/>
      <c r="S453" s="1745"/>
      <c r="T453" s="1745"/>
      <c r="U453" s="1699"/>
      <c r="V453" s="1973"/>
      <c r="W453" s="1695"/>
      <c r="X453" s="1695"/>
      <c r="Y453" s="1695"/>
      <c r="Z453" s="1695"/>
      <c r="AA453" s="1695"/>
      <c r="AB453" s="1699"/>
      <c r="AC453" s="1695"/>
      <c r="AD453" s="1695"/>
      <c r="AE453" s="1695"/>
      <c r="AF453" s="1695"/>
      <c r="AG453" s="1695"/>
      <c r="AH453" s="1699"/>
      <c r="AI453" s="1695"/>
      <c r="AJ453" s="1695"/>
      <c r="AK453" s="1695"/>
      <c r="AL453" s="1695"/>
      <c r="AM453" s="1695"/>
      <c r="AN453" s="1695"/>
      <c r="AO453" s="1699"/>
      <c r="AP453" s="1729"/>
    </row>
    <row r="454" spans="1:42">
      <c r="A454" s="2433"/>
      <c r="B454" s="1695"/>
      <c r="C454" s="1696"/>
      <c r="D454" s="1696"/>
      <c r="E454" s="1695"/>
      <c r="F454" s="1695"/>
      <c r="G454" s="1745"/>
      <c r="H454" s="1745"/>
      <c r="I454" s="1745"/>
      <c r="J454" s="1745"/>
      <c r="K454" s="1695"/>
      <c r="L454" s="1745"/>
      <c r="M454" s="1699"/>
      <c r="N454" s="1695"/>
      <c r="O454" s="1695"/>
      <c r="P454" s="1745"/>
      <c r="Q454" s="1745"/>
      <c r="R454" s="1745"/>
      <c r="S454" s="1745"/>
      <c r="T454" s="1745"/>
      <c r="U454" s="1699"/>
      <c r="V454" s="1699"/>
      <c r="W454" s="1695"/>
      <c r="X454" s="1695"/>
      <c r="Y454" s="1695"/>
      <c r="Z454" s="1695"/>
      <c r="AA454" s="1695"/>
      <c r="AB454" s="1699"/>
      <c r="AC454" s="1695"/>
      <c r="AD454" s="1695"/>
      <c r="AE454" s="1695"/>
      <c r="AF454" s="1695"/>
      <c r="AG454" s="1695"/>
      <c r="AH454" s="1699"/>
      <c r="AI454" s="1695"/>
      <c r="AJ454" s="1695"/>
      <c r="AK454" s="1695"/>
      <c r="AL454" s="1695"/>
      <c r="AM454" s="1695"/>
      <c r="AN454" s="1695"/>
      <c r="AO454" s="1699"/>
      <c r="AP454" s="1729"/>
    </row>
    <row r="455" spans="1:42">
      <c r="A455" s="2433"/>
      <c r="B455" s="1695"/>
      <c r="C455" s="1696"/>
      <c r="D455" s="1696"/>
      <c r="E455" s="1695"/>
      <c r="F455" s="1695"/>
      <c r="G455" s="1745"/>
      <c r="H455" s="1745"/>
      <c r="I455" s="1745"/>
      <c r="J455" s="1745"/>
      <c r="K455" s="1695"/>
      <c r="L455" s="1745"/>
      <c r="M455" s="1699"/>
      <c r="N455" s="1695"/>
      <c r="O455" s="1695"/>
      <c r="P455" s="1745"/>
      <c r="Q455" s="1745"/>
      <c r="R455" s="1745"/>
      <c r="S455" s="1745"/>
      <c r="T455" s="1745"/>
      <c r="U455" s="1699"/>
      <c r="V455" s="1699"/>
      <c r="W455" s="1695"/>
      <c r="X455" s="1695"/>
      <c r="Y455" s="1695"/>
      <c r="Z455" s="1695"/>
      <c r="AA455" s="1695"/>
      <c r="AB455" s="1699"/>
      <c r="AC455" s="1695"/>
      <c r="AD455" s="1695"/>
      <c r="AE455" s="1695"/>
      <c r="AF455" s="1695"/>
      <c r="AG455" s="1695"/>
      <c r="AH455" s="1699"/>
      <c r="AI455" s="1695"/>
      <c r="AJ455" s="1695"/>
      <c r="AK455" s="1695"/>
      <c r="AL455" s="1695"/>
      <c r="AM455" s="1695"/>
      <c r="AN455" s="1695"/>
      <c r="AO455" s="1699"/>
      <c r="AP455" s="1729"/>
    </row>
    <row r="456" spans="1:42" ht="9" customHeight="1">
      <c r="A456" s="2433"/>
      <c r="B456" s="1695"/>
      <c r="C456" s="1696"/>
      <c r="D456" s="1696"/>
      <c r="E456" s="1695"/>
      <c r="F456" s="1695"/>
      <c r="G456" s="1745"/>
      <c r="H456" s="1745"/>
      <c r="I456" s="1745"/>
      <c r="J456" s="1745"/>
      <c r="K456" s="1695"/>
      <c r="L456" s="1745"/>
      <c r="M456" s="1699"/>
      <c r="N456" s="1695"/>
      <c r="O456" s="1695"/>
      <c r="P456" s="1745"/>
      <c r="Q456" s="1745"/>
      <c r="R456" s="1745"/>
      <c r="S456" s="1745"/>
      <c r="T456" s="1745"/>
      <c r="U456" s="1699"/>
      <c r="V456" s="1699"/>
      <c r="W456" s="1695"/>
      <c r="X456" s="1695"/>
      <c r="Y456" s="1695"/>
      <c r="Z456" s="1695"/>
      <c r="AA456" s="1695"/>
      <c r="AB456" s="1699"/>
      <c r="AC456" s="1695"/>
      <c r="AD456" s="1695"/>
      <c r="AE456" s="1695"/>
      <c r="AF456" s="1695"/>
      <c r="AG456" s="1695"/>
      <c r="AH456" s="1699"/>
      <c r="AI456" s="1695"/>
      <c r="AJ456" s="1695"/>
      <c r="AK456" s="1695"/>
      <c r="AL456" s="1695"/>
      <c r="AM456" s="1695"/>
      <c r="AN456" s="1695"/>
      <c r="AO456" s="1699"/>
      <c r="AP456" s="1729"/>
    </row>
    <row r="457" spans="1:42" ht="15.75" thickBot="1">
      <c r="A457" s="2440"/>
      <c r="B457" s="1695"/>
      <c r="C457" s="1696"/>
      <c r="D457" s="1696"/>
      <c r="E457" s="1695"/>
      <c r="F457" s="1695"/>
      <c r="G457" s="1745"/>
      <c r="H457" s="1745"/>
      <c r="I457" s="1745"/>
      <c r="J457" s="1745"/>
      <c r="K457" s="1695"/>
      <c r="L457" s="1745"/>
      <c r="M457" s="1699"/>
      <c r="N457" s="1695"/>
      <c r="O457" s="1695"/>
      <c r="P457" s="1745"/>
      <c r="Q457" s="1745"/>
      <c r="R457" s="1745"/>
      <c r="S457" s="1745"/>
      <c r="T457" s="1745"/>
      <c r="U457" s="1699"/>
      <c r="V457" s="1699"/>
      <c r="W457" s="1695"/>
      <c r="X457" s="1695"/>
      <c r="Y457" s="1695"/>
      <c r="Z457" s="1695"/>
      <c r="AA457" s="1695"/>
      <c r="AB457" s="1699"/>
      <c r="AC457" s="1695"/>
      <c r="AD457" s="1695"/>
      <c r="AE457" s="1695"/>
      <c r="AF457" s="1695"/>
      <c r="AG457" s="1695"/>
      <c r="AH457" s="1699"/>
      <c r="AI457" s="1695"/>
      <c r="AJ457" s="1695"/>
      <c r="AK457" s="1695"/>
      <c r="AL457" s="1695"/>
      <c r="AM457" s="1695"/>
      <c r="AN457" s="1695"/>
      <c r="AO457" s="1699"/>
      <c r="AP457" s="1729"/>
    </row>
    <row r="458" spans="1:42" ht="19.5" thickBot="1">
      <c r="A458" s="1746"/>
      <c r="B458" s="1715"/>
      <c r="C458" s="1716"/>
      <c r="D458" s="1716"/>
      <c r="E458" s="1715"/>
      <c r="F458" s="1715"/>
      <c r="G458" s="1717"/>
      <c r="H458" s="1717"/>
      <c r="I458" s="1717"/>
      <c r="J458" s="1717"/>
      <c r="K458" s="1715"/>
      <c r="L458" s="1717"/>
      <c r="M458" s="1718"/>
      <c r="N458" s="1715"/>
      <c r="O458" s="1715"/>
      <c r="P458" s="1717"/>
      <c r="Q458" s="1717"/>
      <c r="R458" s="1717"/>
      <c r="S458" s="1717"/>
      <c r="T458" s="1717"/>
      <c r="U458" s="1718"/>
      <c r="V458" s="1718"/>
      <c r="W458" s="1715"/>
      <c r="X458" s="1715"/>
      <c r="Y458" s="1715"/>
      <c r="Z458" s="1715"/>
      <c r="AA458" s="1715"/>
      <c r="AB458" s="1718"/>
      <c r="AC458" s="1715"/>
      <c r="AD458" s="1715"/>
      <c r="AE458" s="1715"/>
      <c r="AF458" s="1715"/>
      <c r="AG458" s="1715"/>
      <c r="AH458" s="1718"/>
      <c r="AI458" s="1715"/>
      <c r="AJ458" s="1715"/>
      <c r="AK458" s="1715"/>
      <c r="AL458" s="1715"/>
      <c r="AM458" s="1715"/>
      <c r="AN458" s="1715"/>
      <c r="AO458" s="1718"/>
      <c r="AP458" s="1719"/>
    </row>
    <row r="459" spans="1:42">
      <c r="A459" s="2432" t="s">
        <v>479</v>
      </c>
      <c r="B459" s="1739" t="s">
        <v>1906</v>
      </c>
      <c r="C459" s="1733" t="s">
        <v>1904</v>
      </c>
      <c r="D459" s="1787" t="s">
        <v>1812</v>
      </c>
      <c r="E459" s="1963">
        <f>AVERAGE(V461:V462)</f>
        <v>2.6000000000000002E-2</v>
      </c>
      <c r="F459" s="1789"/>
      <c r="G459" s="1736">
        <f>(AVERAGE(W461:W462)*BS53)/(1+K459)</f>
        <v>102.46772492618098</v>
      </c>
      <c r="H459" s="1724">
        <f>G459*E459</f>
        <v>2.6641608480807055</v>
      </c>
      <c r="I459" s="1736"/>
      <c r="J459" s="1842"/>
      <c r="K459" s="1750">
        <v>0.25</v>
      </c>
      <c r="L459" s="1795">
        <f>((E459*G459)+I459)*(1+K459)</f>
        <v>3.3302010601008818</v>
      </c>
      <c r="M459" s="1725" t="s">
        <v>1440</v>
      </c>
      <c r="N459" s="1723"/>
      <c r="O459" s="1723">
        <f>AVERAGE(AO459:AO460)</f>
        <v>7.9999999999999988E-2</v>
      </c>
      <c r="P459" s="1724">
        <f>AVERAGE(AP459:AP460)*BQ68</f>
        <v>52.756522772568559</v>
      </c>
      <c r="Q459" s="1726">
        <f>P459*O459</f>
        <v>4.2205218218054839</v>
      </c>
      <c r="R459" s="1846"/>
      <c r="S459" s="1846"/>
      <c r="T459" s="1849">
        <f>Q459</f>
        <v>4.2205218218054839</v>
      </c>
      <c r="U459" s="1733" t="s">
        <v>1663</v>
      </c>
      <c r="V459" s="1699"/>
      <c r="W459" s="1695"/>
      <c r="X459" s="1695"/>
      <c r="Y459" s="1695"/>
      <c r="Z459" s="1695"/>
      <c r="AA459" s="1695"/>
      <c r="AB459" s="1699"/>
      <c r="AC459" s="1695"/>
      <c r="AD459" s="1695"/>
      <c r="AE459" s="1695"/>
      <c r="AF459" s="1695"/>
      <c r="AG459" s="1695"/>
      <c r="AH459" s="1699"/>
      <c r="AI459" s="1695"/>
      <c r="AJ459" s="1695"/>
      <c r="AK459" s="1695"/>
      <c r="AL459" s="1695"/>
      <c r="AM459" s="1695"/>
      <c r="AN459" s="1695"/>
      <c r="AO459" s="1757">
        <v>8.8999999999999996E-2</v>
      </c>
      <c r="AP459" s="1758">
        <v>43.3</v>
      </c>
    </row>
    <row r="460" spans="1:42">
      <c r="A460" s="2433"/>
      <c r="B460" s="1740"/>
      <c r="C460" s="1873"/>
      <c r="D460" s="1873"/>
      <c r="E460" s="1974"/>
      <c r="F460" s="1741"/>
      <c r="G460" s="1843"/>
      <c r="H460" s="1843"/>
      <c r="I460" s="1843"/>
      <c r="J460" s="1843"/>
      <c r="K460" s="1741"/>
      <c r="L460" s="1799"/>
      <c r="M460" s="1743" t="s">
        <v>1942</v>
      </c>
      <c r="N460" s="1782"/>
      <c r="O460" s="1870" t="s">
        <v>1948</v>
      </c>
      <c r="P460" s="1738">
        <v>56</v>
      </c>
      <c r="Q460" s="1871" t="s">
        <v>2047</v>
      </c>
      <c r="R460" s="1846"/>
      <c r="S460" s="1846"/>
      <c r="T460" s="1849" t="str">
        <f>Q460</f>
        <v>$3.08 - $5.26</v>
      </c>
      <c r="U460" s="1733" t="s">
        <v>1664</v>
      </c>
      <c r="V460" s="1699"/>
      <c r="W460" s="1695"/>
      <c r="X460" s="1695"/>
      <c r="Y460" s="1695"/>
      <c r="Z460" s="1695"/>
      <c r="AA460" s="1695"/>
      <c r="AB460" s="1699"/>
      <c r="AC460" s="1695"/>
      <c r="AD460" s="1695"/>
      <c r="AE460" s="1695"/>
      <c r="AF460" s="1695"/>
      <c r="AG460" s="1695"/>
      <c r="AH460" s="1699"/>
      <c r="AI460" s="1695"/>
      <c r="AJ460" s="1695"/>
      <c r="AK460" s="1695"/>
      <c r="AL460" s="1695"/>
      <c r="AM460" s="1695"/>
      <c r="AN460" s="1695"/>
      <c r="AO460" s="1757">
        <v>7.0999999999999994E-2</v>
      </c>
      <c r="AP460" s="1758">
        <v>43.3</v>
      </c>
    </row>
    <row r="461" spans="1:42">
      <c r="A461" s="2433"/>
      <c r="B461" s="1699"/>
      <c r="C461" s="1696"/>
      <c r="D461" s="1696"/>
      <c r="E461" s="1952"/>
      <c r="F461" s="1695"/>
      <c r="G461" s="1745"/>
      <c r="H461" s="1745"/>
      <c r="I461" s="1745"/>
      <c r="J461" s="1745"/>
      <c r="K461" s="1695"/>
      <c r="L461" s="1805"/>
      <c r="M461" s="1699"/>
      <c r="N461" s="1695"/>
      <c r="O461" s="1806"/>
      <c r="P461" s="1745"/>
      <c r="Q461" s="1745"/>
      <c r="R461" s="1745"/>
      <c r="S461" s="1745"/>
      <c r="T461" s="1805"/>
      <c r="U461" s="1733" t="s">
        <v>1772</v>
      </c>
      <c r="V461" s="1964">
        <v>1.2E-2</v>
      </c>
      <c r="W461" s="1965">
        <v>147.85714285714286</v>
      </c>
      <c r="X461" s="1749">
        <v>2.0699999999999998</v>
      </c>
      <c r="Y461" s="1735"/>
      <c r="Z461" s="1735"/>
      <c r="AA461" s="1758"/>
      <c r="AB461" s="1699"/>
      <c r="AC461" s="1695"/>
      <c r="AD461" s="1695"/>
      <c r="AE461" s="1695"/>
      <c r="AF461" s="1695"/>
      <c r="AG461" s="1695"/>
      <c r="AH461" s="1699"/>
      <c r="AI461" s="1695"/>
      <c r="AJ461" s="1695"/>
      <c r="AK461" s="1695"/>
      <c r="AL461" s="1695"/>
      <c r="AM461" s="1695"/>
      <c r="AN461" s="1695"/>
      <c r="AO461" s="1699"/>
      <c r="AP461" s="1729"/>
    </row>
    <row r="462" spans="1:42">
      <c r="A462" s="2433"/>
      <c r="B462" s="1699"/>
      <c r="C462" s="1696"/>
      <c r="D462" s="1696"/>
      <c r="E462" s="1952"/>
      <c r="F462" s="1695"/>
      <c r="G462" s="1745"/>
      <c r="H462" s="1745"/>
      <c r="I462" s="1745"/>
      <c r="J462" s="1745"/>
      <c r="K462" s="1695"/>
      <c r="L462" s="1805"/>
      <c r="M462" s="1699"/>
      <c r="N462" s="1695"/>
      <c r="O462" s="1695"/>
      <c r="P462" s="1745"/>
      <c r="Q462" s="1745"/>
      <c r="R462" s="1745"/>
      <c r="S462" s="1745"/>
      <c r="T462" s="1805"/>
      <c r="U462" s="1975" t="s">
        <v>1773</v>
      </c>
      <c r="V462" s="1976">
        <v>0.04</v>
      </c>
      <c r="W462" s="1977">
        <v>142.5</v>
      </c>
      <c r="X462" s="1978">
        <v>5.7</v>
      </c>
      <c r="Y462" s="1979"/>
      <c r="Z462" s="1980"/>
      <c r="AA462" s="1981"/>
      <c r="AB462" s="1699"/>
      <c r="AC462" s="1695"/>
      <c r="AD462" s="1695"/>
      <c r="AE462" s="1695"/>
      <c r="AF462" s="1695"/>
      <c r="AG462" s="1695"/>
      <c r="AH462" s="1699"/>
      <c r="AI462" s="1695"/>
      <c r="AJ462" s="1695"/>
      <c r="AK462" s="1695"/>
      <c r="AL462" s="1695"/>
      <c r="AM462" s="1695"/>
      <c r="AN462" s="1695"/>
      <c r="AO462" s="1699"/>
      <c r="AP462" s="1729"/>
    </row>
    <row r="463" spans="1:42">
      <c r="A463" s="2433"/>
      <c r="B463" s="1699"/>
      <c r="C463" s="1696"/>
      <c r="D463" s="1696"/>
      <c r="E463" s="1952"/>
      <c r="F463" s="1695"/>
      <c r="G463" s="1745"/>
      <c r="H463" s="1745"/>
      <c r="I463" s="1745"/>
      <c r="J463" s="1745"/>
      <c r="K463" s="1695"/>
      <c r="L463" s="1805"/>
      <c r="M463" s="1699"/>
      <c r="N463" s="1695"/>
      <c r="O463" s="1695"/>
      <c r="P463" s="1745"/>
      <c r="Q463" s="1745"/>
      <c r="R463" s="1745"/>
      <c r="S463" s="1745"/>
      <c r="T463" s="1745"/>
      <c r="U463" s="1873"/>
      <c r="V463" s="1982"/>
      <c r="W463" s="1983"/>
      <c r="X463" s="1984"/>
      <c r="Y463" s="1985"/>
      <c r="Z463" s="1986"/>
      <c r="AA463" s="1987"/>
      <c r="AB463" s="1695"/>
      <c r="AC463" s="1695"/>
      <c r="AD463" s="1695"/>
      <c r="AE463" s="1695"/>
      <c r="AF463" s="1695"/>
      <c r="AG463" s="1695"/>
      <c r="AH463" s="1699"/>
      <c r="AI463" s="1695"/>
      <c r="AJ463" s="1695"/>
      <c r="AK463" s="1695"/>
      <c r="AL463" s="1695"/>
      <c r="AM463" s="1695"/>
      <c r="AN463" s="1695"/>
      <c r="AO463" s="1699"/>
      <c r="AP463" s="1729"/>
    </row>
    <row r="464" spans="1:42">
      <c r="A464" s="2433"/>
      <c r="B464" s="1699"/>
      <c r="C464" s="1696"/>
      <c r="D464" s="1696"/>
      <c r="E464" s="1952"/>
      <c r="F464" s="1695"/>
      <c r="G464" s="1745"/>
      <c r="H464" s="1745"/>
      <c r="I464" s="1745"/>
      <c r="J464" s="1745"/>
      <c r="K464" s="1695"/>
      <c r="L464" s="1805"/>
      <c r="M464" s="1699"/>
      <c r="N464" s="1695"/>
      <c r="O464" s="1695"/>
      <c r="P464" s="1745"/>
      <c r="Q464" s="1745"/>
      <c r="R464" s="1745"/>
      <c r="S464" s="1745"/>
      <c r="T464" s="1745"/>
      <c r="U464" s="1696"/>
      <c r="V464" s="1988"/>
      <c r="W464" s="1989"/>
      <c r="X464" s="1990"/>
      <c r="Y464" s="1991"/>
      <c r="Z464" s="1952"/>
      <c r="AA464" s="1992"/>
      <c r="AB464" s="1695"/>
      <c r="AC464" s="1695"/>
      <c r="AD464" s="1695"/>
      <c r="AE464" s="1695"/>
      <c r="AF464" s="1695"/>
      <c r="AG464" s="1695"/>
      <c r="AH464" s="1699"/>
      <c r="AI464" s="1695"/>
      <c r="AJ464" s="1695"/>
      <c r="AK464" s="1695"/>
      <c r="AL464" s="1695"/>
      <c r="AM464" s="1695"/>
      <c r="AN464" s="1695"/>
      <c r="AO464" s="1699"/>
      <c r="AP464" s="1729"/>
    </row>
    <row r="465" spans="1:50">
      <c r="A465" s="2433"/>
      <c r="B465" s="1695"/>
      <c r="C465" s="1696"/>
      <c r="D465" s="1696"/>
      <c r="E465" s="1695"/>
      <c r="F465" s="1695"/>
      <c r="G465" s="1745"/>
      <c r="H465" s="1745"/>
      <c r="I465" s="1745"/>
      <c r="J465" s="1745"/>
      <c r="K465" s="1695"/>
      <c r="L465" s="1745"/>
      <c r="M465" s="1699"/>
      <c r="N465" s="1695"/>
      <c r="O465" s="1695"/>
      <c r="P465" s="1745"/>
      <c r="Q465" s="1745"/>
      <c r="R465" s="1745"/>
      <c r="S465" s="1745"/>
      <c r="T465" s="1805"/>
      <c r="U465" s="1699"/>
      <c r="V465" s="1699"/>
      <c r="W465" s="1695"/>
      <c r="X465" s="1695"/>
      <c r="Y465" s="1695"/>
      <c r="Z465" s="1695"/>
      <c r="AA465" s="1695"/>
      <c r="AB465" s="1699"/>
      <c r="AC465" s="1695"/>
      <c r="AD465" s="1695"/>
      <c r="AE465" s="1695"/>
      <c r="AF465" s="1695"/>
      <c r="AG465" s="1695"/>
      <c r="AH465" s="1699"/>
      <c r="AI465" s="1695"/>
      <c r="AJ465" s="1695"/>
      <c r="AK465" s="1695"/>
      <c r="AL465" s="1695"/>
      <c r="AM465" s="1695"/>
      <c r="AN465" s="1695"/>
      <c r="AO465" s="1699"/>
      <c r="AP465" s="1729"/>
    </row>
    <row r="466" spans="1:50">
      <c r="A466" s="2433"/>
      <c r="B466" s="1695"/>
      <c r="C466" s="1696"/>
      <c r="D466" s="1696"/>
      <c r="E466" s="1695"/>
      <c r="F466" s="1695"/>
      <c r="G466" s="1745"/>
      <c r="H466" s="1745"/>
      <c r="I466" s="1745"/>
      <c r="J466" s="1745"/>
      <c r="K466" s="1695"/>
      <c r="L466" s="1745"/>
      <c r="M466" s="1699"/>
      <c r="N466" s="1695"/>
      <c r="O466" s="1695"/>
      <c r="P466" s="1745"/>
      <c r="Q466" s="1745"/>
      <c r="R466" s="1745"/>
      <c r="S466" s="1745"/>
      <c r="T466" s="1805"/>
      <c r="U466" s="1699"/>
      <c r="V466" s="1699"/>
      <c r="W466" s="1695"/>
      <c r="X466" s="1695"/>
      <c r="Y466" s="1695"/>
      <c r="Z466" s="1695"/>
      <c r="AA466" s="1695"/>
      <c r="AB466" s="1699"/>
      <c r="AC466" s="1695"/>
      <c r="AD466" s="1695"/>
      <c r="AE466" s="1695"/>
      <c r="AF466" s="1695"/>
      <c r="AG466" s="1695"/>
      <c r="AH466" s="1699"/>
      <c r="AI466" s="1695"/>
      <c r="AJ466" s="1695"/>
      <c r="AK466" s="1695"/>
      <c r="AL466" s="1695"/>
      <c r="AM466" s="1695"/>
      <c r="AN466" s="1695"/>
      <c r="AO466" s="1699"/>
      <c r="AP466" s="1729"/>
    </row>
    <row r="467" spans="1:50">
      <c r="A467" s="2433"/>
      <c r="B467" s="1695"/>
      <c r="C467" s="1696"/>
      <c r="D467" s="1696"/>
      <c r="E467" s="1695"/>
      <c r="F467" s="1695"/>
      <c r="G467" s="1745"/>
      <c r="H467" s="1745"/>
      <c r="I467" s="1745"/>
      <c r="J467" s="1745"/>
      <c r="K467" s="1695"/>
      <c r="L467" s="1745"/>
      <c r="M467" s="1699"/>
      <c r="N467" s="1695"/>
      <c r="O467" s="1695"/>
      <c r="P467" s="1745"/>
      <c r="Q467" s="1745"/>
      <c r="R467" s="1745"/>
      <c r="S467" s="1745"/>
      <c r="T467" s="1745"/>
      <c r="U467" s="1699"/>
      <c r="V467" s="1699"/>
      <c r="W467" s="1695"/>
      <c r="X467" s="1695"/>
      <c r="Y467" s="1695"/>
      <c r="Z467" s="1695"/>
      <c r="AA467" s="1695"/>
      <c r="AB467" s="1699"/>
      <c r="AC467" s="1695"/>
      <c r="AD467" s="1695"/>
      <c r="AE467" s="1695"/>
      <c r="AF467" s="1695"/>
      <c r="AG467" s="1695"/>
      <c r="AH467" s="1699"/>
      <c r="AI467" s="1695"/>
      <c r="AJ467" s="1695"/>
      <c r="AK467" s="1695"/>
      <c r="AL467" s="1695"/>
      <c r="AM467" s="1695"/>
      <c r="AN467" s="1695"/>
      <c r="AO467" s="1699"/>
      <c r="AP467" s="1729"/>
      <c r="AX467" s="1687" t="s">
        <v>2053</v>
      </c>
    </row>
    <row r="468" spans="1:50" ht="15.75" thickBot="1">
      <c r="A468" s="2433"/>
      <c r="B468" s="1695"/>
      <c r="C468" s="1696"/>
      <c r="D468" s="1696"/>
      <c r="E468" s="1695"/>
      <c r="F468" s="1695"/>
      <c r="G468" s="1745"/>
      <c r="H468" s="1745"/>
      <c r="I468" s="1745"/>
      <c r="J468" s="1745"/>
      <c r="K468" s="1695"/>
      <c r="L468" s="1745"/>
      <c r="M468" s="1699"/>
      <c r="N468" s="1695"/>
      <c r="O468" s="1695"/>
      <c r="P468" s="1745"/>
      <c r="Q468" s="1745"/>
      <c r="R468" s="1745"/>
      <c r="S468" s="1745"/>
      <c r="T468" s="1745"/>
      <c r="U468" s="1699"/>
      <c r="V468" s="1699"/>
      <c r="W468" s="1695"/>
      <c r="X468" s="1695"/>
      <c r="Y468" s="1695"/>
      <c r="Z468" s="1695"/>
      <c r="AA468" s="1695"/>
      <c r="AB468" s="1699"/>
      <c r="AC468" s="1695"/>
      <c r="AD468" s="1695"/>
      <c r="AE468" s="1695"/>
      <c r="AF468" s="1695"/>
      <c r="AG468" s="1695"/>
      <c r="AH468" s="1699"/>
      <c r="AI468" s="1695"/>
      <c r="AJ468" s="1695"/>
      <c r="AK468" s="1695"/>
      <c r="AL468" s="1695"/>
      <c r="AM468" s="1695"/>
      <c r="AN468" s="1695"/>
      <c r="AO468" s="1699"/>
      <c r="AP468" s="1729"/>
      <c r="AV468" s="1687">
        <v>1322.96</v>
      </c>
      <c r="AW468" s="1687">
        <v>1756.93</v>
      </c>
      <c r="AX468" s="1687">
        <f>AW468/AV468</f>
        <v>1.3280295700550282</v>
      </c>
    </row>
    <row r="469" spans="1:50" ht="24" thickBot="1">
      <c r="A469" s="1714" t="s">
        <v>1130</v>
      </c>
      <c r="B469" s="1715"/>
      <c r="C469" s="1716"/>
      <c r="D469" s="1716"/>
      <c r="E469" s="1715"/>
      <c r="F469" s="1715"/>
      <c r="G469" s="1717"/>
      <c r="H469" s="1717"/>
      <c r="I469" s="1717"/>
      <c r="J469" s="1717"/>
      <c r="K469" s="1715"/>
      <c r="L469" s="1717"/>
      <c r="M469" s="1718"/>
      <c r="N469" s="1715"/>
      <c r="O469" s="1715"/>
      <c r="P469" s="1717"/>
      <c r="Q469" s="1717"/>
      <c r="R469" s="1717"/>
      <c r="S469" s="1717"/>
      <c r="T469" s="1717"/>
      <c r="U469" s="1718"/>
      <c r="V469" s="1718"/>
      <c r="W469" s="1715"/>
      <c r="X469" s="1715"/>
      <c r="Y469" s="1715"/>
      <c r="Z469" s="1715"/>
      <c r="AA469" s="1715"/>
      <c r="AB469" s="1718"/>
      <c r="AC469" s="1715"/>
      <c r="AD469" s="1715"/>
      <c r="AE469" s="1715"/>
      <c r="AF469" s="1715"/>
      <c r="AG469" s="1715"/>
      <c r="AH469" s="1718"/>
      <c r="AI469" s="1715"/>
      <c r="AJ469" s="1715"/>
      <c r="AK469" s="1715"/>
      <c r="AL469" s="1715"/>
      <c r="AM469" s="1715"/>
      <c r="AN469" s="1715"/>
      <c r="AO469" s="1718"/>
      <c r="AP469" s="1719"/>
      <c r="AV469" s="1687">
        <v>2119.73</v>
      </c>
      <c r="AW469" s="1687">
        <v>2658.87</v>
      </c>
      <c r="AX469" s="1687">
        <f t="shared" ref="AX469:AX470" si="64">AW469/AV469</f>
        <v>1.2543437135861641</v>
      </c>
    </row>
    <row r="470" spans="1:50">
      <c r="A470" s="2437" t="s">
        <v>1309</v>
      </c>
      <c r="B470" s="1844" t="s">
        <v>2071</v>
      </c>
      <c r="C470" s="1721" t="s">
        <v>1907</v>
      </c>
      <c r="D470" s="1721" t="s">
        <v>1440</v>
      </c>
      <c r="E470" s="1916">
        <f>AVERAGE(AO470:AO472)</f>
        <v>7.9629999999999992E-2</v>
      </c>
      <c r="F470" s="1993"/>
      <c r="G470" s="1951">
        <f>AP470*$BQ$45</f>
        <v>58.274529605283924</v>
      </c>
      <c r="H470" s="1951">
        <f>G470*E470</f>
        <v>4.6404007924687587</v>
      </c>
      <c r="I470" s="1951"/>
      <c r="J470" s="1727"/>
      <c r="K470" s="1994">
        <v>0.24</v>
      </c>
      <c r="L470" s="1995">
        <f>E470*G470*(1+$K$470)</f>
        <v>5.7540969826612605</v>
      </c>
      <c r="M470" s="1743" t="s">
        <v>1942</v>
      </c>
      <c r="N470" s="1782"/>
      <c r="O470" s="1870">
        <v>0.08</v>
      </c>
      <c r="P470" s="1738">
        <v>67.88</v>
      </c>
      <c r="Q470" s="1846">
        <f>O470*P470</f>
        <v>5.4303999999999997</v>
      </c>
      <c r="R470" s="1846"/>
      <c r="S470" s="1846"/>
      <c r="T470" s="1755">
        <f>Q470</f>
        <v>5.4303999999999997</v>
      </c>
      <c r="U470" s="1733" t="s">
        <v>1665</v>
      </c>
      <c r="V470" s="1699"/>
      <c r="W470" s="1695"/>
      <c r="X470" s="1695"/>
      <c r="Y470" s="1695"/>
      <c r="Z470" s="1695"/>
      <c r="AA470" s="1695"/>
      <c r="AB470" s="1699"/>
      <c r="AC470" s="1695"/>
      <c r="AD470" s="1695"/>
      <c r="AE470" s="1695"/>
      <c r="AF470" s="1695"/>
      <c r="AG470" s="1695"/>
      <c r="AH470" s="1699"/>
      <c r="AI470" s="1695"/>
      <c r="AJ470" s="1695"/>
      <c r="AK470" s="1695"/>
      <c r="AL470" s="1695"/>
      <c r="AM470" s="1695"/>
      <c r="AN470" s="1695"/>
      <c r="AO470" s="1757">
        <v>8.8889999999999997E-2</v>
      </c>
      <c r="AP470" s="1758">
        <v>52.4</v>
      </c>
      <c r="AV470" s="1687">
        <v>28.88</v>
      </c>
      <c r="AW470" s="1687">
        <v>33.25</v>
      </c>
      <c r="AX470" s="1687">
        <f t="shared" si="64"/>
        <v>1.1513157894736843</v>
      </c>
    </row>
    <row r="471" spans="1:50">
      <c r="A471" s="2438"/>
      <c r="B471" s="1923"/>
      <c r="C471" s="1924"/>
      <c r="D471" s="1924"/>
      <c r="E471" s="1740"/>
      <c r="F471" s="1741"/>
      <c r="G471" s="1843"/>
      <c r="H471" s="1843"/>
      <c r="I471" s="1843"/>
      <c r="J471" s="1843"/>
      <c r="K471" s="1996"/>
      <c r="L471" s="1799"/>
      <c r="M471" s="1740"/>
      <c r="N471" s="1741"/>
      <c r="O471" s="1741"/>
      <c r="P471" s="1843"/>
      <c r="Q471" s="1843"/>
      <c r="R471" s="1843"/>
      <c r="S471" s="1843"/>
      <c r="T471" s="1799"/>
      <c r="U471" s="1733" t="s">
        <v>1666</v>
      </c>
      <c r="V471" s="1699"/>
      <c r="W471" s="1695"/>
      <c r="X471" s="1695"/>
      <c r="Y471" s="1695"/>
      <c r="Z471" s="1695"/>
      <c r="AA471" s="1695"/>
      <c r="AB471" s="1699"/>
      <c r="AC471" s="1695"/>
      <c r="AD471" s="1695"/>
      <c r="AE471" s="1695"/>
      <c r="AF471" s="1695"/>
      <c r="AG471" s="1695"/>
      <c r="AH471" s="1699"/>
      <c r="AI471" s="1695"/>
      <c r="AJ471" s="1695"/>
      <c r="AK471" s="1695"/>
      <c r="AL471" s="1695"/>
      <c r="AM471" s="1695"/>
      <c r="AN471" s="1695"/>
      <c r="AO471" s="1757">
        <v>0.1</v>
      </c>
      <c r="AP471" s="1758">
        <v>52.4</v>
      </c>
      <c r="AX471" s="1687">
        <f>AVERAGE(AX468:AX470)</f>
        <v>1.2445630243716257</v>
      </c>
    </row>
    <row r="472" spans="1:50">
      <c r="A472" s="2438"/>
      <c r="B472" s="1932"/>
      <c r="C472" s="1933"/>
      <c r="D472" s="1933"/>
      <c r="E472" s="1699"/>
      <c r="F472" s="1695"/>
      <c r="G472" s="1745"/>
      <c r="H472" s="1745"/>
      <c r="I472" s="1745"/>
      <c r="J472" s="1745"/>
      <c r="K472" s="1906"/>
      <c r="L472" s="1805"/>
      <c r="M472" s="1699"/>
      <c r="N472" s="1695"/>
      <c r="O472" s="1695"/>
      <c r="P472" s="1745"/>
      <c r="Q472" s="1745"/>
      <c r="R472" s="1745"/>
      <c r="S472" s="1745"/>
      <c r="T472" s="1805"/>
      <c r="U472" s="1733" t="s">
        <v>1667</v>
      </c>
      <c r="V472" s="1699"/>
      <c r="W472" s="1695"/>
      <c r="X472" s="1695"/>
      <c r="Y472" s="1695"/>
      <c r="Z472" s="1695"/>
      <c r="AA472" s="1695"/>
      <c r="AB472" s="1699"/>
      <c r="AC472" s="1695"/>
      <c r="AD472" s="1695"/>
      <c r="AE472" s="1695"/>
      <c r="AF472" s="1695"/>
      <c r="AG472" s="1695"/>
      <c r="AH472" s="1699"/>
      <c r="AI472" s="1695"/>
      <c r="AJ472" s="1695"/>
      <c r="AK472" s="1695"/>
      <c r="AL472" s="1695"/>
      <c r="AM472" s="1695"/>
      <c r="AN472" s="1695"/>
      <c r="AO472" s="1757">
        <v>0.05</v>
      </c>
      <c r="AP472" s="1758">
        <v>52.4</v>
      </c>
    </row>
    <row r="473" spans="1:50">
      <c r="A473" s="2438"/>
      <c r="B473" s="1695"/>
      <c r="C473" s="1696"/>
      <c r="D473" s="1696"/>
      <c r="E473" s="1695"/>
      <c r="F473" s="1695"/>
      <c r="G473" s="1745"/>
      <c r="H473" s="1745"/>
      <c r="I473" s="1745"/>
      <c r="J473" s="1745"/>
      <c r="K473" s="1695"/>
      <c r="L473" s="1745"/>
      <c r="M473" s="1699"/>
      <c r="N473" s="1695"/>
      <c r="O473" s="1695"/>
      <c r="P473" s="1745"/>
      <c r="Q473" s="1745"/>
      <c r="R473" s="1745"/>
      <c r="S473" s="1745"/>
      <c r="T473" s="1745"/>
      <c r="U473" s="1699"/>
      <c r="V473" s="1699"/>
      <c r="W473" s="1695"/>
      <c r="X473" s="1695"/>
      <c r="Y473" s="1695"/>
      <c r="Z473" s="1695"/>
      <c r="AA473" s="1695"/>
      <c r="AB473" s="1699"/>
      <c r="AC473" s="1695"/>
      <c r="AD473" s="1695"/>
      <c r="AE473" s="1695"/>
      <c r="AF473" s="1695"/>
      <c r="AG473" s="1695"/>
      <c r="AH473" s="1699"/>
      <c r="AI473" s="1695"/>
      <c r="AJ473" s="1695"/>
      <c r="AK473" s="1695"/>
      <c r="AL473" s="1695"/>
      <c r="AM473" s="1695"/>
      <c r="AN473" s="1695"/>
      <c r="AO473" s="1699"/>
      <c r="AP473" s="1729"/>
    </row>
    <row r="474" spans="1:50">
      <c r="A474" s="2438"/>
      <c r="B474" s="1695"/>
      <c r="C474" s="1696"/>
      <c r="D474" s="1696"/>
      <c r="E474" s="1695"/>
      <c r="F474" s="1695"/>
      <c r="G474" s="1745"/>
      <c r="H474" s="1745"/>
      <c r="I474" s="1745"/>
      <c r="J474" s="1745"/>
      <c r="K474" s="1695"/>
      <c r="L474" s="1745"/>
      <c r="M474" s="1699"/>
      <c r="N474" s="1695"/>
      <c r="O474" s="1695"/>
      <c r="P474" s="1745"/>
      <c r="Q474" s="1745"/>
      <c r="R474" s="1745"/>
      <c r="S474" s="1745"/>
      <c r="T474" s="1745"/>
      <c r="U474" s="1699"/>
      <c r="V474" s="1699"/>
      <c r="W474" s="1695"/>
      <c r="X474" s="1695"/>
      <c r="Y474" s="1695"/>
      <c r="Z474" s="1695"/>
      <c r="AA474" s="1695"/>
      <c r="AB474" s="1699"/>
      <c r="AC474" s="1695"/>
      <c r="AD474" s="1695"/>
      <c r="AE474" s="1695"/>
      <c r="AF474" s="1695"/>
      <c r="AG474" s="1695"/>
      <c r="AH474" s="1699"/>
      <c r="AI474" s="1695"/>
      <c r="AJ474" s="1695"/>
      <c r="AK474" s="1695"/>
      <c r="AL474" s="1695"/>
      <c r="AM474" s="1695"/>
      <c r="AN474" s="1695"/>
      <c r="AO474" s="1699"/>
      <c r="AP474" s="1729"/>
    </row>
    <row r="475" spans="1:50">
      <c r="A475" s="2438"/>
      <c r="B475" s="1695"/>
      <c r="C475" s="1696"/>
      <c r="D475" s="1696"/>
      <c r="E475" s="1695"/>
      <c r="F475" s="1695"/>
      <c r="G475" s="1745"/>
      <c r="H475" s="1745"/>
      <c r="I475" s="1745"/>
      <c r="J475" s="1745"/>
      <c r="K475" s="1695"/>
      <c r="L475" s="1745"/>
      <c r="M475" s="1699"/>
      <c r="N475" s="1695"/>
      <c r="O475" s="1695"/>
      <c r="P475" s="1745"/>
      <c r="Q475" s="1745"/>
      <c r="R475" s="1745"/>
      <c r="S475" s="1745"/>
      <c r="T475" s="1745"/>
      <c r="U475" s="1699"/>
      <c r="V475" s="1699"/>
      <c r="W475" s="1695"/>
      <c r="X475" s="1695"/>
      <c r="Y475" s="1695"/>
      <c r="Z475" s="1695"/>
      <c r="AA475" s="1695"/>
      <c r="AB475" s="1699"/>
      <c r="AC475" s="1695"/>
      <c r="AD475" s="1695"/>
      <c r="AE475" s="1695"/>
      <c r="AF475" s="1695"/>
      <c r="AG475" s="1695"/>
      <c r="AH475" s="1699"/>
      <c r="AI475" s="1695"/>
      <c r="AJ475" s="1695"/>
      <c r="AK475" s="1695"/>
      <c r="AL475" s="1695"/>
      <c r="AM475" s="1695"/>
      <c r="AN475" s="1695"/>
      <c r="AO475" s="1699"/>
      <c r="AP475" s="1729"/>
    </row>
    <row r="476" spans="1:50">
      <c r="A476" s="2438"/>
      <c r="B476" s="1695"/>
      <c r="C476" s="1696"/>
      <c r="D476" s="1696"/>
      <c r="E476" s="1695"/>
      <c r="F476" s="1695"/>
      <c r="G476" s="1745"/>
      <c r="H476" s="1745"/>
      <c r="I476" s="1745"/>
      <c r="J476" s="1745"/>
      <c r="K476" s="1695"/>
      <c r="L476" s="1745"/>
      <c r="M476" s="1699"/>
      <c r="N476" s="1695"/>
      <c r="O476" s="1695"/>
      <c r="P476" s="1745"/>
      <c r="Q476" s="1745"/>
      <c r="R476" s="1745"/>
      <c r="S476" s="1745"/>
      <c r="T476" s="1745"/>
      <c r="U476" s="1699"/>
      <c r="V476" s="1699"/>
      <c r="W476" s="1695"/>
      <c r="X476" s="1695"/>
      <c r="Y476" s="1695"/>
      <c r="Z476" s="1695"/>
      <c r="AA476" s="1695"/>
      <c r="AB476" s="1699"/>
      <c r="AC476" s="1695"/>
      <c r="AD476" s="1695"/>
      <c r="AE476" s="1695"/>
      <c r="AF476" s="1695"/>
      <c r="AG476" s="1695"/>
      <c r="AH476" s="1699"/>
      <c r="AI476" s="1695"/>
      <c r="AJ476" s="1695"/>
      <c r="AK476" s="1695"/>
      <c r="AL476" s="1695"/>
      <c r="AM476" s="1695"/>
      <c r="AN476" s="1695"/>
      <c r="AO476" s="1699"/>
      <c r="AP476" s="1729"/>
    </row>
    <row r="477" spans="1:50">
      <c r="A477" s="2438"/>
      <c r="B477" s="1695"/>
      <c r="C477" s="1696"/>
      <c r="D477" s="1696"/>
      <c r="E477" s="1695"/>
      <c r="F477" s="1695"/>
      <c r="G477" s="1745"/>
      <c r="H477" s="1745"/>
      <c r="I477" s="1745"/>
      <c r="J477" s="1745"/>
      <c r="K477" s="1695"/>
      <c r="L477" s="1745"/>
      <c r="M477" s="1699"/>
      <c r="N477" s="1695"/>
      <c r="O477" s="1695"/>
      <c r="P477" s="1745"/>
      <c r="Q477" s="1745"/>
      <c r="R477" s="1745"/>
      <c r="S477" s="1745"/>
      <c r="T477" s="1745"/>
      <c r="U477" s="1699"/>
      <c r="V477" s="1699"/>
      <c r="W477" s="1695"/>
      <c r="X477" s="1695"/>
      <c r="Y477" s="1695"/>
      <c r="Z477" s="1695"/>
      <c r="AA477" s="1695"/>
      <c r="AB477" s="1699"/>
      <c r="AC477" s="1695"/>
      <c r="AD477" s="1695"/>
      <c r="AE477" s="1695"/>
      <c r="AF477" s="1695"/>
      <c r="AG477" s="1695"/>
      <c r="AH477" s="1699"/>
      <c r="AI477" s="1695"/>
      <c r="AJ477" s="1695"/>
      <c r="AK477" s="1695"/>
      <c r="AL477" s="1695"/>
      <c r="AM477" s="1695"/>
      <c r="AN477" s="1695"/>
      <c r="AO477" s="1699"/>
      <c r="AP477" s="1729"/>
    </row>
    <row r="478" spans="1:50">
      <c r="A478" s="2438"/>
      <c r="B478" s="1695"/>
      <c r="C478" s="1696"/>
      <c r="D478" s="1696"/>
      <c r="E478" s="1695"/>
      <c r="F478" s="1695"/>
      <c r="G478" s="1745"/>
      <c r="H478" s="1745"/>
      <c r="I478" s="1745"/>
      <c r="J478" s="1745"/>
      <c r="K478" s="1695"/>
      <c r="L478" s="1745"/>
      <c r="M478" s="1699"/>
      <c r="N478" s="1695"/>
      <c r="O478" s="1695"/>
      <c r="P478" s="1745"/>
      <c r="Q478" s="1745"/>
      <c r="R478" s="1745"/>
      <c r="S478" s="1745"/>
      <c r="T478" s="1745"/>
      <c r="U478" s="1699"/>
      <c r="V478" s="1699"/>
      <c r="W478" s="1695"/>
      <c r="X478" s="1695"/>
      <c r="Y478" s="1695"/>
      <c r="Z478" s="1695"/>
      <c r="AA478" s="1695"/>
      <c r="AB478" s="1699"/>
      <c r="AC478" s="1695"/>
      <c r="AD478" s="1695"/>
      <c r="AE478" s="1695"/>
      <c r="AF478" s="1695"/>
      <c r="AG478" s="1695"/>
      <c r="AH478" s="1699"/>
      <c r="AI478" s="1695"/>
      <c r="AJ478" s="1695"/>
      <c r="AK478" s="1695"/>
      <c r="AL478" s="1695"/>
      <c r="AM478" s="1695"/>
      <c r="AN478" s="1695"/>
      <c r="AO478" s="1699"/>
      <c r="AP478" s="1729"/>
    </row>
    <row r="479" spans="1:50">
      <c r="A479" s="2438"/>
      <c r="B479" s="1695"/>
      <c r="C479" s="1696"/>
      <c r="D479" s="1696"/>
      <c r="E479" s="1695"/>
      <c r="F479" s="1695"/>
      <c r="G479" s="1745"/>
      <c r="H479" s="1745"/>
      <c r="I479" s="1745"/>
      <c r="J479" s="1745"/>
      <c r="K479" s="1695"/>
      <c r="L479" s="1745"/>
      <c r="M479" s="1699"/>
      <c r="N479" s="1695"/>
      <c r="O479" s="1695"/>
      <c r="P479" s="1745"/>
      <c r="Q479" s="1745"/>
      <c r="R479" s="1745"/>
      <c r="S479" s="1745"/>
      <c r="T479" s="1745"/>
      <c r="U479" s="1699"/>
      <c r="V479" s="1699"/>
      <c r="W479" s="1695"/>
      <c r="X479" s="1695"/>
      <c r="Y479" s="1695"/>
      <c r="Z479" s="1695"/>
      <c r="AA479" s="1695"/>
      <c r="AB479" s="1699"/>
      <c r="AC479" s="1695"/>
      <c r="AD479" s="1695"/>
      <c r="AE479" s="1695"/>
      <c r="AF479" s="1695"/>
      <c r="AG479" s="1695"/>
      <c r="AH479" s="1699"/>
      <c r="AI479" s="1695"/>
      <c r="AJ479" s="1695"/>
      <c r="AK479" s="1695"/>
      <c r="AL479" s="1695"/>
      <c r="AM479" s="1695"/>
      <c r="AN479" s="1695"/>
      <c r="AO479" s="1699"/>
      <c r="AP479" s="1729"/>
    </row>
    <row r="480" spans="1:50">
      <c r="A480" s="2438"/>
      <c r="B480" s="1695"/>
      <c r="C480" s="1696"/>
      <c r="D480" s="1696"/>
      <c r="E480" s="1695"/>
      <c r="F480" s="1695"/>
      <c r="G480" s="1745"/>
      <c r="H480" s="1745"/>
      <c r="I480" s="1745"/>
      <c r="J480" s="1745"/>
      <c r="K480" s="1695"/>
      <c r="L480" s="1745"/>
      <c r="M480" s="1699"/>
      <c r="N480" s="1695"/>
      <c r="O480" s="1695"/>
      <c r="P480" s="1745"/>
      <c r="Q480" s="1745"/>
      <c r="R480" s="1745"/>
      <c r="S480" s="1745"/>
      <c r="T480" s="1745"/>
      <c r="U480" s="1699"/>
      <c r="V480" s="1699"/>
      <c r="W480" s="1695"/>
      <c r="X480" s="1695"/>
      <c r="Y480" s="1695"/>
      <c r="Z480" s="1695"/>
      <c r="AA480" s="1695"/>
      <c r="AB480" s="1699"/>
      <c r="AC480" s="1695"/>
      <c r="AD480" s="1695"/>
      <c r="AE480" s="1695"/>
      <c r="AF480" s="1695"/>
      <c r="AG480" s="1695"/>
      <c r="AH480" s="1699"/>
      <c r="AI480" s="1695"/>
      <c r="AJ480" s="1695"/>
      <c r="AK480" s="1695"/>
      <c r="AL480" s="1695"/>
      <c r="AM480" s="1695"/>
      <c r="AN480" s="1695"/>
      <c r="AO480" s="1699"/>
      <c r="AP480" s="1729"/>
    </row>
    <row r="481" spans="1:42">
      <c r="A481" s="2438"/>
      <c r="B481" s="1695"/>
      <c r="C481" s="1696"/>
      <c r="D481" s="1696"/>
      <c r="E481" s="1695"/>
      <c r="F481" s="1695"/>
      <c r="G481" s="1745"/>
      <c r="H481" s="1745"/>
      <c r="I481" s="1745"/>
      <c r="J481" s="1745"/>
      <c r="K481" s="1695"/>
      <c r="L481" s="1745"/>
      <c r="M481" s="1699"/>
      <c r="N481" s="1695"/>
      <c r="O481" s="1695"/>
      <c r="P481" s="1745"/>
      <c r="Q481" s="1745"/>
      <c r="R481" s="1745"/>
      <c r="S481" s="1745"/>
      <c r="T481" s="1745"/>
      <c r="U481" s="1699"/>
      <c r="V481" s="1699"/>
      <c r="W481" s="1695"/>
      <c r="X481" s="1695"/>
      <c r="Y481" s="1695"/>
      <c r="Z481" s="1695"/>
      <c r="AA481" s="1695"/>
      <c r="AB481" s="1699"/>
      <c r="AC481" s="1695"/>
      <c r="AD481" s="1695"/>
      <c r="AE481" s="1695"/>
      <c r="AF481" s="1695"/>
      <c r="AG481" s="1695"/>
      <c r="AH481" s="1699"/>
      <c r="AI481" s="1695"/>
      <c r="AJ481" s="1695"/>
      <c r="AK481" s="1695"/>
      <c r="AL481" s="1695"/>
      <c r="AM481" s="1695"/>
      <c r="AN481" s="1695"/>
      <c r="AO481" s="1699"/>
      <c r="AP481" s="1729"/>
    </row>
    <row r="482" spans="1:42">
      <c r="A482" s="2438"/>
      <c r="B482" s="1695"/>
      <c r="C482" s="1696"/>
      <c r="D482" s="1696"/>
      <c r="E482" s="1695"/>
      <c r="F482" s="1695"/>
      <c r="G482" s="1745"/>
      <c r="H482" s="1745"/>
      <c r="I482" s="1745"/>
      <c r="J482" s="1745"/>
      <c r="K482" s="1695"/>
      <c r="L482" s="1745"/>
      <c r="M482" s="1699"/>
      <c r="N482" s="1695"/>
      <c r="O482" s="1695"/>
      <c r="P482" s="1745"/>
      <c r="Q482" s="1745"/>
      <c r="R482" s="1745"/>
      <c r="S482" s="1745"/>
      <c r="T482" s="1745"/>
      <c r="U482" s="1699"/>
      <c r="V482" s="1699"/>
      <c r="W482" s="1695"/>
      <c r="X482" s="1695"/>
      <c r="Y482" s="1695"/>
      <c r="Z482" s="1695"/>
      <c r="AA482" s="1695"/>
      <c r="AB482" s="1699"/>
      <c r="AC482" s="1695"/>
      <c r="AD482" s="1695"/>
      <c r="AE482" s="1695"/>
      <c r="AF482" s="1695"/>
      <c r="AG482" s="1695"/>
      <c r="AH482" s="1699"/>
      <c r="AI482" s="1695"/>
      <c r="AJ482" s="1695"/>
      <c r="AK482" s="1695"/>
      <c r="AL482" s="1695"/>
      <c r="AM482" s="1695"/>
      <c r="AN482" s="1695"/>
      <c r="AO482" s="1699"/>
      <c r="AP482" s="1729"/>
    </row>
    <row r="483" spans="1:42">
      <c r="A483" s="2438"/>
      <c r="B483" s="1695"/>
      <c r="C483" s="1696"/>
      <c r="D483" s="1696"/>
      <c r="E483" s="1695"/>
      <c r="F483" s="1695"/>
      <c r="G483" s="1745"/>
      <c r="H483" s="1745"/>
      <c r="I483" s="1745"/>
      <c r="J483" s="1745"/>
      <c r="K483" s="1695"/>
      <c r="L483" s="1745"/>
      <c r="M483" s="1699"/>
      <c r="N483" s="1695"/>
      <c r="O483" s="1695"/>
      <c r="P483" s="1745"/>
      <c r="Q483" s="1745"/>
      <c r="R483" s="1745"/>
      <c r="S483" s="1745"/>
      <c r="T483" s="1745"/>
      <c r="U483" s="1699"/>
      <c r="V483" s="1699"/>
      <c r="W483" s="1695"/>
      <c r="X483" s="1695"/>
      <c r="Y483" s="1695"/>
      <c r="Z483" s="1695"/>
      <c r="AA483" s="1695"/>
      <c r="AB483" s="1699"/>
      <c r="AC483" s="1695"/>
      <c r="AD483" s="1695"/>
      <c r="AE483" s="1695"/>
      <c r="AF483" s="1695"/>
      <c r="AG483" s="1695"/>
      <c r="AH483" s="1699"/>
      <c r="AI483" s="1695"/>
      <c r="AJ483" s="1695"/>
      <c r="AK483" s="1695"/>
      <c r="AL483" s="1695"/>
      <c r="AM483" s="1695"/>
      <c r="AN483" s="1695"/>
      <c r="AO483" s="1699"/>
      <c r="AP483" s="1729"/>
    </row>
    <row r="484" spans="1:42">
      <c r="A484" s="2438"/>
      <c r="B484" s="1695"/>
      <c r="C484" s="1696"/>
      <c r="D484" s="1696"/>
      <c r="E484" s="1695"/>
      <c r="F484" s="1695"/>
      <c r="G484" s="1745"/>
      <c r="H484" s="1745"/>
      <c r="I484" s="1745"/>
      <c r="J484" s="1745"/>
      <c r="K484" s="1695"/>
      <c r="L484" s="1745"/>
      <c r="M484" s="1699"/>
      <c r="N484" s="1695"/>
      <c r="O484" s="1695"/>
      <c r="P484" s="1745"/>
      <c r="Q484" s="1745"/>
      <c r="R484" s="1745"/>
      <c r="S484" s="1745"/>
      <c r="T484" s="1745"/>
      <c r="U484" s="1699"/>
      <c r="V484" s="1699"/>
      <c r="W484" s="1695"/>
      <c r="X484" s="1695"/>
      <c r="Y484" s="1695"/>
      <c r="Z484" s="1695"/>
      <c r="AA484" s="1695"/>
      <c r="AB484" s="1699"/>
      <c r="AC484" s="1695"/>
      <c r="AD484" s="1695"/>
      <c r="AE484" s="1695"/>
      <c r="AF484" s="1695"/>
      <c r="AG484" s="1695"/>
      <c r="AH484" s="1699"/>
      <c r="AI484" s="1695"/>
      <c r="AJ484" s="1695"/>
      <c r="AK484" s="1695"/>
      <c r="AL484" s="1695"/>
      <c r="AM484" s="1695"/>
      <c r="AN484" s="1695"/>
      <c r="AO484" s="1699"/>
      <c r="AP484" s="1729"/>
    </row>
    <row r="485" spans="1:42">
      <c r="A485" s="2438"/>
      <c r="B485" s="1695"/>
      <c r="C485" s="1696"/>
      <c r="D485" s="1696"/>
      <c r="E485" s="1695"/>
      <c r="F485" s="1695"/>
      <c r="G485" s="1745"/>
      <c r="H485" s="1745"/>
      <c r="I485" s="1745"/>
      <c r="J485" s="1745"/>
      <c r="K485" s="1695"/>
      <c r="L485" s="1745"/>
      <c r="M485" s="1699"/>
      <c r="N485" s="1695"/>
      <c r="O485" s="1695"/>
      <c r="P485" s="1745"/>
      <c r="Q485" s="1745"/>
      <c r="R485" s="1745"/>
      <c r="S485" s="1745"/>
      <c r="T485" s="1745"/>
      <c r="U485" s="1699"/>
      <c r="V485" s="1699"/>
      <c r="W485" s="1695"/>
      <c r="X485" s="1695"/>
      <c r="Y485" s="1695"/>
      <c r="Z485" s="1695"/>
      <c r="AA485" s="1695"/>
      <c r="AB485" s="1699"/>
      <c r="AC485" s="1695"/>
      <c r="AD485" s="1695"/>
      <c r="AE485" s="1695"/>
      <c r="AF485" s="1695"/>
      <c r="AG485" s="1695"/>
      <c r="AH485" s="1699"/>
      <c r="AI485" s="1695"/>
      <c r="AJ485" s="1695"/>
      <c r="AK485" s="1695"/>
      <c r="AL485" s="1695"/>
      <c r="AM485" s="1695"/>
      <c r="AN485" s="1695"/>
      <c r="AO485" s="1699"/>
      <c r="AP485" s="1729"/>
    </row>
    <row r="486" spans="1:42">
      <c r="A486" s="2438"/>
      <c r="B486" s="1695"/>
      <c r="C486" s="1696"/>
      <c r="D486" s="1696"/>
      <c r="E486" s="1695"/>
      <c r="F486" s="1695"/>
      <c r="G486" s="1745"/>
      <c r="H486" s="1745"/>
      <c r="I486" s="1745"/>
      <c r="J486" s="1745"/>
      <c r="K486" s="1695"/>
      <c r="L486" s="1745"/>
      <c r="M486" s="1699"/>
      <c r="N486" s="1695"/>
      <c r="O486" s="1695"/>
      <c r="P486" s="1745"/>
      <c r="Q486" s="1745"/>
      <c r="R486" s="1745"/>
      <c r="S486" s="1745"/>
      <c r="T486" s="1745"/>
      <c r="U486" s="1699"/>
      <c r="V486" s="1699"/>
      <c r="W486" s="1695"/>
      <c r="X486" s="1695"/>
      <c r="Y486" s="1695"/>
      <c r="Z486" s="1695"/>
      <c r="AA486" s="1695"/>
      <c r="AB486" s="1699"/>
      <c r="AC486" s="1695"/>
      <c r="AD486" s="1695"/>
      <c r="AE486" s="1695"/>
      <c r="AF486" s="1695"/>
      <c r="AG486" s="1695"/>
      <c r="AH486" s="1699"/>
      <c r="AI486" s="1695"/>
      <c r="AJ486" s="1695"/>
      <c r="AK486" s="1695"/>
      <c r="AL486" s="1695"/>
      <c r="AM486" s="1695"/>
      <c r="AN486" s="1695"/>
      <c r="AO486" s="1699"/>
      <c r="AP486" s="1729"/>
    </row>
    <row r="487" spans="1:42" ht="9.75" customHeight="1">
      <c r="A487" s="2438"/>
      <c r="B487" s="1784"/>
      <c r="C487" s="1997"/>
      <c r="D487" s="1997"/>
      <c r="E487" s="1784"/>
      <c r="F487" s="1784"/>
      <c r="G487" s="1904"/>
      <c r="H487" s="1904"/>
      <c r="I487" s="1904"/>
      <c r="J487" s="1904"/>
      <c r="K487" s="1784"/>
      <c r="L487" s="1904"/>
      <c r="M487" s="1783"/>
      <c r="N487" s="1784"/>
      <c r="O487" s="1784"/>
      <c r="P487" s="1904"/>
      <c r="Q487" s="1904"/>
      <c r="R487" s="1904"/>
      <c r="S487" s="1904"/>
      <c r="T487" s="1904"/>
      <c r="U487" s="1783"/>
      <c r="V487" s="1783"/>
      <c r="W487" s="1784"/>
      <c r="X487" s="1784"/>
      <c r="Y487" s="1784"/>
      <c r="Z487" s="1784"/>
      <c r="AA487" s="1784"/>
      <c r="AB487" s="1783"/>
      <c r="AC487" s="1784"/>
      <c r="AD487" s="1784"/>
      <c r="AE487" s="1784"/>
      <c r="AF487" s="1784"/>
      <c r="AG487" s="1784"/>
      <c r="AH487" s="1783"/>
      <c r="AI487" s="1784"/>
      <c r="AJ487" s="1784"/>
      <c r="AK487" s="1784"/>
      <c r="AL487" s="1784"/>
      <c r="AM487" s="1784"/>
      <c r="AN487" s="1784"/>
      <c r="AO487" s="1783"/>
      <c r="AP487" s="1785"/>
    </row>
    <row r="488" spans="1:42" ht="15.75" thickBot="1">
      <c r="A488" s="2438"/>
      <c r="B488" s="1695"/>
      <c r="C488" s="1696"/>
      <c r="D488" s="1696"/>
      <c r="E488" s="1695"/>
      <c r="F488" s="1695"/>
      <c r="G488" s="1745"/>
      <c r="H488" s="1745"/>
      <c r="I488" s="1745"/>
      <c r="J488" s="1745"/>
      <c r="K488" s="1695"/>
      <c r="L488" s="1745"/>
      <c r="M488" s="1699"/>
      <c r="N488" s="1695"/>
      <c r="O488" s="1695"/>
      <c r="P488" s="1745"/>
      <c r="Q488" s="1745"/>
      <c r="R488" s="1745"/>
      <c r="S488" s="1745"/>
      <c r="T488" s="1745"/>
      <c r="U488" s="1699"/>
      <c r="V488" s="1699"/>
      <c r="W488" s="1695"/>
      <c r="X488" s="1695"/>
      <c r="Y488" s="1695"/>
      <c r="Z488" s="1695"/>
      <c r="AA488" s="1695"/>
      <c r="AB488" s="1699"/>
      <c r="AC488" s="1695"/>
      <c r="AD488" s="1695"/>
      <c r="AE488" s="1695"/>
      <c r="AF488" s="1695"/>
      <c r="AG488" s="1695"/>
      <c r="AH488" s="1699"/>
      <c r="AI488" s="1695"/>
      <c r="AJ488" s="1695"/>
      <c r="AK488" s="1695"/>
      <c r="AL488" s="1695"/>
      <c r="AM488" s="1695"/>
      <c r="AN488" s="1695"/>
      <c r="AO488" s="1699"/>
      <c r="AP488" s="1729"/>
    </row>
    <row r="489" spans="1:42" ht="19.5" thickBot="1">
      <c r="A489" s="1746"/>
      <c r="B489" s="1715"/>
      <c r="C489" s="1716"/>
      <c r="D489" s="1716"/>
      <c r="E489" s="1715"/>
      <c r="F489" s="1715"/>
      <c r="G489" s="1717"/>
      <c r="H489" s="1717"/>
      <c r="I489" s="1717"/>
      <c r="J489" s="1717"/>
      <c r="K489" s="1715"/>
      <c r="L489" s="1717"/>
      <c r="M489" s="1718"/>
      <c r="N489" s="1715"/>
      <c r="O489" s="1715"/>
      <c r="P489" s="1717"/>
      <c r="Q489" s="1717"/>
      <c r="R489" s="1717"/>
      <c r="S489" s="1717"/>
      <c r="T489" s="1717"/>
      <c r="U489" s="1718"/>
      <c r="V489" s="1718"/>
      <c r="W489" s="1715"/>
      <c r="X489" s="1715"/>
      <c r="Y489" s="1715"/>
      <c r="Z489" s="1715"/>
      <c r="AA489" s="1715"/>
      <c r="AB489" s="1718"/>
      <c r="AC489" s="1715"/>
      <c r="AD489" s="1715"/>
      <c r="AE489" s="1715"/>
      <c r="AF489" s="1715"/>
      <c r="AG489" s="1715"/>
      <c r="AH489" s="1718"/>
      <c r="AI489" s="1715"/>
      <c r="AJ489" s="1715"/>
      <c r="AK489" s="1715"/>
      <c r="AL489" s="1715"/>
      <c r="AM489" s="1715"/>
      <c r="AN489" s="1715"/>
      <c r="AO489" s="1718"/>
      <c r="AP489" s="1719"/>
    </row>
    <row r="490" spans="1:42">
      <c r="A490" s="2437" t="s">
        <v>1310</v>
      </c>
      <c r="B490" s="1844" t="s">
        <v>2071</v>
      </c>
      <c r="C490" s="1721" t="s">
        <v>1907</v>
      </c>
      <c r="D490" s="1721" t="s">
        <v>1440</v>
      </c>
      <c r="E490" s="1916">
        <f>AVERAGE(AO490:AO492)</f>
        <v>6.2E-2</v>
      </c>
      <c r="F490" s="1993"/>
      <c r="G490" s="1951">
        <f>AP490*$BQ$45</f>
        <v>58.274529605283924</v>
      </c>
      <c r="H490" s="1951">
        <f>G490*E490</f>
        <v>3.6130208355276032</v>
      </c>
      <c r="I490" s="1951"/>
      <c r="J490" s="1727"/>
      <c r="K490" s="1994">
        <v>0.24</v>
      </c>
      <c r="L490" s="1995">
        <f>E490*G490*(1+$K$470)</f>
        <v>4.4801458360542279</v>
      </c>
      <c r="M490" s="1743" t="s">
        <v>1942</v>
      </c>
      <c r="N490" s="1782"/>
      <c r="O490" s="1870">
        <v>0.08</v>
      </c>
      <c r="P490" s="1738">
        <v>67.88</v>
      </c>
      <c r="Q490" s="1846">
        <f>O490*P490</f>
        <v>5.4303999999999997</v>
      </c>
      <c r="R490" s="1846"/>
      <c r="S490" s="1846"/>
      <c r="T490" s="1755">
        <f>Q490</f>
        <v>5.4303999999999997</v>
      </c>
      <c r="U490" s="1894" t="s">
        <v>1668</v>
      </c>
      <c r="V490" s="1699"/>
      <c r="W490" s="1695"/>
      <c r="X490" s="1695"/>
      <c r="Y490" s="1695"/>
      <c r="Z490" s="1695"/>
      <c r="AA490" s="1695"/>
      <c r="AB490" s="1699"/>
      <c r="AC490" s="1695"/>
      <c r="AD490" s="1695"/>
      <c r="AE490" s="1695"/>
      <c r="AF490" s="1695"/>
      <c r="AG490" s="1695"/>
      <c r="AH490" s="1699"/>
      <c r="AI490" s="1695"/>
      <c r="AJ490" s="1695"/>
      <c r="AK490" s="1695"/>
      <c r="AL490" s="1695"/>
      <c r="AM490" s="1695"/>
      <c r="AN490" s="1695"/>
      <c r="AO490" s="1757">
        <v>6.2E-2</v>
      </c>
      <c r="AP490" s="1758">
        <v>52.4</v>
      </c>
    </row>
    <row r="491" spans="1:42">
      <c r="A491" s="2438"/>
      <c r="B491" s="1923"/>
      <c r="C491" s="1924"/>
      <c r="D491" s="1924"/>
      <c r="E491" s="1740"/>
      <c r="F491" s="1741"/>
      <c r="G491" s="1843"/>
      <c r="H491" s="1843"/>
      <c r="I491" s="1843"/>
      <c r="J491" s="1843"/>
      <c r="K491" s="1996"/>
      <c r="L491" s="1799"/>
      <c r="M491" s="1740"/>
      <c r="N491" s="1741"/>
      <c r="O491" s="1741"/>
      <c r="P491" s="1843"/>
      <c r="Q491" s="1843"/>
      <c r="R491" s="1843"/>
      <c r="S491" s="1843"/>
      <c r="T491" s="1799"/>
      <c r="U491" s="1733" t="s">
        <v>1669</v>
      </c>
      <c r="V491" s="1699"/>
      <c r="W491" s="1695"/>
      <c r="X491" s="1695"/>
      <c r="Y491" s="1695"/>
      <c r="Z491" s="1695"/>
      <c r="AA491" s="1695"/>
      <c r="AB491" s="1699"/>
      <c r="AC491" s="1695"/>
      <c r="AD491" s="1695"/>
      <c r="AE491" s="1695"/>
      <c r="AF491" s="1695"/>
      <c r="AG491" s="1695"/>
      <c r="AH491" s="1699"/>
      <c r="AI491" s="1695"/>
      <c r="AJ491" s="1695"/>
      <c r="AK491" s="1695"/>
      <c r="AL491" s="1695"/>
      <c r="AM491" s="1695"/>
      <c r="AN491" s="1695"/>
      <c r="AO491" s="1757">
        <v>6.2E-2</v>
      </c>
      <c r="AP491" s="1758">
        <v>52.4</v>
      </c>
    </row>
    <row r="492" spans="1:42">
      <c r="A492" s="2438"/>
      <c r="B492" s="1932"/>
      <c r="C492" s="1933"/>
      <c r="D492" s="1933"/>
      <c r="E492" s="1699"/>
      <c r="F492" s="1695"/>
      <c r="G492" s="1745"/>
      <c r="H492" s="1745"/>
      <c r="I492" s="1745"/>
      <c r="J492" s="1745"/>
      <c r="K492" s="1906"/>
      <c r="L492" s="1805"/>
      <c r="M492" s="1699"/>
      <c r="N492" s="1695"/>
      <c r="O492" s="1695"/>
      <c r="P492" s="1745"/>
      <c r="Q492" s="1745"/>
      <c r="R492" s="1745"/>
      <c r="S492" s="1745"/>
      <c r="T492" s="1805"/>
      <c r="U492" s="1733" t="s">
        <v>1670</v>
      </c>
      <c r="V492" s="1699"/>
      <c r="W492" s="1695"/>
      <c r="X492" s="1695"/>
      <c r="Y492" s="1695"/>
      <c r="Z492" s="1695"/>
      <c r="AA492" s="1695"/>
      <c r="AB492" s="1699"/>
      <c r="AC492" s="1695"/>
      <c r="AD492" s="1695"/>
      <c r="AE492" s="1695"/>
      <c r="AF492" s="1695"/>
      <c r="AG492" s="1695"/>
      <c r="AH492" s="1699"/>
      <c r="AI492" s="1695"/>
      <c r="AJ492" s="1695"/>
      <c r="AK492" s="1695"/>
      <c r="AL492" s="1695"/>
      <c r="AM492" s="1695"/>
      <c r="AN492" s="1695"/>
      <c r="AO492" s="1757">
        <v>6.2E-2</v>
      </c>
      <c r="AP492" s="1758">
        <v>52.4</v>
      </c>
    </row>
    <row r="493" spans="1:42">
      <c r="A493" s="2438"/>
      <c r="B493" s="1695"/>
      <c r="C493" s="1696"/>
      <c r="D493" s="1696"/>
      <c r="E493" s="1695"/>
      <c r="F493" s="1695"/>
      <c r="G493" s="1745"/>
      <c r="H493" s="1745"/>
      <c r="I493" s="1745"/>
      <c r="J493" s="1745"/>
      <c r="K493" s="1695"/>
      <c r="L493" s="1745"/>
      <c r="M493" s="1699"/>
      <c r="N493" s="1695"/>
      <c r="O493" s="1695"/>
      <c r="P493" s="1745"/>
      <c r="Q493" s="1745"/>
      <c r="R493" s="1745"/>
      <c r="S493" s="1745"/>
      <c r="T493" s="1745"/>
      <c r="U493" s="1699"/>
      <c r="V493" s="1699"/>
      <c r="W493" s="1695"/>
      <c r="X493" s="1695"/>
      <c r="Y493" s="1695"/>
      <c r="Z493" s="1695"/>
      <c r="AA493" s="1695"/>
      <c r="AB493" s="1699"/>
      <c r="AC493" s="1695"/>
      <c r="AD493" s="1695"/>
      <c r="AE493" s="1695"/>
      <c r="AF493" s="1695"/>
      <c r="AG493" s="1695"/>
      <c r="AH493" s="1699"/>
      <c r="AI493" s="1695"/>
      <c r="AJ493" s="1695"/>
      <c r="AK493" s="1695"/>
      <c r="AL493" s="1695"/>
      <c r="AM493" s="1695"/>
      <c r="AN493" s="1695"/>
      <c r="AO493" s="1699"/>
      <c r="AP493" s="1729"/>
    </row>
    <row r="494" spans="1:42">
      <c r="A494" s="2438"/>
      <c r="B494" s="1695"/>
      <c r="C494" s="1696"/>
      <c r="D494" s="1696"/>
      <c r="E494" s="1695"/>
      <c r="F494" s="1695"/>
      <c r="G494" s="1745"/>
      <c r="H494" s="1745"/>
      <c r="I494" s="1745"/>
      <c r="J494" s="1745"/>
      <c r="K494" s="1695"/>
      <c r="L494" s="1745"/>
      <c r="M494" s="1699"/>
      <c r="N494" s="1695"/>
      <c r="O494" s="1695"/>
      <c r="P494" s="1745"/>
      <c r="Q494" s="1745"/>
      <c r="R494" s="1745"/>
      <c r="S494" s="1745"/>
      <c r="T494" s="1745"/>
      <c r="U494" s="1699"/>
      <c r="V494" s="1699"/>
      <c r="W494" s="1695"/>
      <c r="X494" s="1695"/>
      <c r="Y494" s="1695"/>
      <c r="Z494" s="1695"/>
      <c r="AA494" s="1695"/>
      <c r="AB494" s="1699"/>
      <c r="AC494" s="1695"/>
      <c r="AD494" s="1695"/>
      <c r="AE494" s="1695"/>
      <c r="AF494" s="1695"/>
      <c r="AG494" s="1695"/>
      <c r="AH494" s="1699"/>
      <c r="AI494" s="1695"/>
      <c r="AJ494" s="1695"/>
      <c r="AK494" s="1695"/>
      <c r="AL494" s="1695"/>
      <c r="AM494" s="1695"/>
      <c r="AN494" s="1695"/>
      <c r="AO494" s="1699"/>
      <c r="AP494" s="1729"/>
    </row>
    <row r="495" spans="1:42">
      <c r="A495" s="2438"/>
      <c r="B495" s="1695"/>
      <c r="C495" s="1696"/>
      <c r="D495" s="1696"/>
      <c r="E495" s="1695"/>
      <c r="F495" s="1695"/>
      <c r="G495" s="1745"/>
      <c r="H495" s="1745"/>
      <c r="I495" s="1745"/>
      <c r="J495" s="1745"/>
      <c r="K495" s="1695"/>
      <c r="L495" s="1745"/>
      <c r="M495" s="1699"/>
      <c r="N495" s="1695"/>
      <c r="O495" s="1695"/>
      <c r="P495" s="1745"/>
      <c r="Q495" s="1745"/>
      <c r="R495" s="1745"/>
      <c r="S495" s="1745"/>
      <c r="T495" s="1745"/>
      <c r="U495" s="1699"/>
      <c r="V495" s="1699"/>
      <c r="W495" s="1695"/>
      <c r="X495" s="1695"/>
      <c r="Y495" s="1695"/>
      <c r="Z495" s="1695"/>
      <c r="AA495" s="1695"/>
      <c r="AB495" s="1699"/>
      <c r="AC495" s="1695"/>
      <c r="AD495" s="1695"/>
      <c r="AE495" s="1695"/>
      <c r="AF495" s="1695"/>
      <c r="AG495" s="1695"/>
      <c r="AH495" s="1699"/>
      <c r="AI495" s="1695"/>
      <c r="AJ495" s="1695"/>
      <c r="AK495" s="1695"/>
      <c r="AL495" s="1695"/>
      <c r="AM495" s="1695"/>
      <c r="AN495" s="1695"/>
      <c r="AO495" s="1699"/>
      <c r="AP495" s="1729"/>
    </row>
    <row r="496" spans="1:42">
      <c r="A496" s="2438"/>
      <c r="B496" s="1695"/>
      <c r="C496" s="1696"/>
      <c r="D496" s="1696"/>
      <c r="E496" s="1695"/>
      <c r="F496" s="1695"/>
      <c r="G496" s="1745"/>
      <c r="H496" s="1745"/>
      <c r="I496" s="1745"/>
      <c r="J496" s="1745"/>
      <c r="K496" s="1695"/>
      <c r="L496" s="1745"/>
      <c r="M496" s="1699"/>
      <c r="N496" s="1695"/>
      <c r="O496" s="1695"/>
      <c r="P496" s="1745"/>
      <c r="Q496" s="1745"/>
      <c r="R496" s="1745"/>
      <c r="S496" s="1745"/>
      <c r="T496" s="1745"/>
      <c r="U496" s="1699"/>
      <c r="V496" s="1699"/>
      <c r="W496" s="1695"/>
      <c r="X496" s="1695"/>
      <c r="Y496" s="1695"/>
      <c r="Z496" s="1695"/>
      <c r="AA496" s="1695"/>
      <c r="AB496" s="1699"/>
      <c r="AC496" s="1695"/>
      <c r="AD496" s="1695"/>
      <c r="AE496" s="1695"/>
      <c r="AF496" s="1695"/>
      <c r="AG496" s="1695"/>
      <c r="AH496" s="1699"/>
      <c r="AI496" s="1695"/>
      <c r="AJ496" s="1695"/>
      <c r="AK496" s="1695"/>
      <c r="AL496" s="1695"/>
      <c r="AM496" s="1695"/>
      <c r="AN496" s="1695"/>
      <c r="AO496" s="1699"/>
      <c r="AP496" s="1729"/>
    </row>
    <row r="497" spans="1:42">
      <c r="A497" s="2438"/>
      <c r="B497" s="1695"/>
      <c r="C497" s="1696"/>
      <c r="D497" s="1696"/>
      <c r="E497" s="1695"/>
      <c r="F497" s="1695"/>
      <c r="G497" s="1745"/>
      <c r="H497" s="1745"/>
      <c r="I497" s="1745"/>
      <c r="J497" s="1745"/>
      <c r="K497" s="1695"/>
      <c r="L497" s="1745"/>
      <c r="M497" s="1699"/>
      <c r="N497" s="1695"/>
      <c r="O497" s="1695"/>
      <c r="P497" s="1745"/>
      <c r="Q497" s="1745"/>
      <c r="R497" s="1745"/>
      <c r="S497" s="1745"/>
      <c r="T497" s="1745"/>
      <c r="U497" s="1699"/>
      <c r="V497" s="1699"/>
      <c r="W497" s="1695"/>
      <c r="X497" s="1695"/>
      <c r="Y497" s="1695"/>
      <c r="Z497" s="1695"/>
      <c r="AA497" s="1695"/>
      <c r="AB497" s="1699"/>
      <c r="AC497" s="1695"/>
      <c r="AD497" s="1695"/>
      <c r="AE497" s="1695"/>
      <c r="AF497" s="1695"/>
      <c r="AG497" s="1695"/>
      <c r="AH497" s="1699"/>
      <c r="AI497" s="1695"/>
      <c r="AJ497" s="1695"/>
      <c r="AK497" s="1695"/>
      <c r="AL497" s="1695"/>
      <c r="AM497" s="1695"/>
      <c r="AN497" s="1695"/>
      <c r="AO497" s="1699"/>
      <c r="AP497" s="1729"/>
    </row>
    <row r="498" spans="1:42">
      <c r="A498" s="2438"/>
      <c r="B498" s="1695"/>
      <c r="C498" s="1696"/>
      <c r="D498" s="1696"/>
      <c r="E498" s="1695"/>
      <c r="F498" s="1695"/>
      <c r="G498" s="1745"/>
      <c r="H498" s="1745"/>
      <c r="I498" s="1745"/>
      <c r="J498" s="1745"/>
      <c r="K498" s="1695"/>
      <c r="L498" s="1745"/>
      <c r="M498" s="1699"/>
      <c r="N498" s="1695"/>
      <c r="O498" s="1695"/>
      <c r="P498" s="1745"/>
      <c r="Q498" s="1745"/>
      <c r="R498" s="1745"/>
      <c r="S498" s="1745"/>
      <c r="T498" s="1745"/>
      <c r="U498" s="1699"/>
      <c r="V498" s="1699"/>
      <c r="W498" s="1695"/>
      <c r="X498" s="1695"/>
      <c r="Y498" s="1695"/>
      <c r="Z498" s="1695"/>
      <c r="AA498" s="1695"/>
      <c r="AB498" s="1699"/>
      <c r="AC498" s="1695"/>
      <c r="AD498" s="1695"/>
      <c r="AE498" s="1695"/>
      <c r="AF498" s="1695"/>
      <c r="AG498" s="1695"/>
      <c r="AH498" s="1699"/>
      <c r="AI498" s="1695"/>
      <c r="AJ498" s="1695"/>
      <c r="AK498" s="1695"/>
      <c r="AL498" s="1695"/>
      <c r="AM498" s="1695"/>
      <c r="AN498" s="1695"/>
      <c r="AO498" s="1699"/>
      <c r="AP498" s="1729"/>
    </row>
    <row r="499" spans="1:42">
      <c r="A499" s="2438"/>
      <c r="B499" s="1695"/>
      <c r="C499" s="1696"/>
      <c r="D499" s="1696"/>
      <c r="E499" s="1695"/>
      <c r="F499" s="1695"/>
      <c r="G499" s="1745"/>
      <c r="H499" s="1745"/>
      <c r="I499" s="1745"/>
      <c r="J499" s="1745"/>
      <c r="K499" s="1695"/>
      <c r="L499" s="1745"/>
      <c r="M499" s="1699"/>
      <c r="N499" s="1695"/>
      <c r="O499" s="1695"/>
      <c r="P499" s="1745"/>
      <c r="Q499" s="1745"/>
      <c r="R499" s="1745"/>
      <c r="S499" s="1745"/>
      <c r="T499" s="1745"/>
      <c r="U499" s="1699"/>
      <c r="V499" s="1699"/>
      <c r="W499" s="1695"/>
      <c r="X499" s="1695"/>
      <c r="Y499" s="1695"/>
      <c r="Z499" s="1695"/>
      <c r="AA499" s="1695"/>
      <c r="AB499" s="1699"/>
      <c r="AC499" s="1695"/>
      <c r="AD499" s="1695"/>
      <c r="AE499" s="1695"/>
      <c r="AF499" s="1695"/>
      <c r="AG499" s="1695"/>
      <c r="AH499" s="1699"/>
      <c r="AI499" s="1695"/>
      <c r="AJ499" s="1695"/>
      <c r="AK499" s="1695"/>
      <c r="AL499" s="1695"/>
      <c r="AM499" s="1695"/>
      <c r="AN499" s="1695"/>
      <c r="AO499" s="1699"/>
      <c r="AP499" s="1729"/>
    </row>
    <row r="500" spans="1:42">
      <c r="A500" s="2438"/>
      <c r="B500" s="1695"/>
      <c r="C500" s="1696"/>
      <c r="D500" s="1696"/>
      <c r="E500" s="1695"/>
      <c r="F500" s="1695"/>
      <c r="G500" s="1745"/>
      <c r="H500" s="1745"/>
      <c r="I500" s="1745"/>
      <c r="J500" s="1745"/>
      <c r="K500" s="1695"/>
      <c r="L500" s="1745"/>
      <c r="M500" s="1699"/>
      <c r="N500" s="1695"/>
      <c r="O500" s="1695"/>
      <c r="P500" s="1745"/>
      <c r="Q500" s="1745"/>
      <c r="R500" s="1745"/>
      <c r="S500" s="1745"/>
      <c r="T500" s="1745"/>
      <c r="U500" s="1699"/>
      <c r="V500" s="1699"/>
      <c r="W500" s="1695"/>
      <c r="X500" s="1695"/>
      <c r="Y500" s="1695"/>
      <c r="Z500" s="1695"/>
      <c r="AA500" s="1695"/>
      <c r="AB500" s="1699"/>
      <c r="AC500" s="1695"/>
      <c r="AD500" s="1695"/>
      <c r="AE500" s="1695"/>
      <c r="AF500" s="1695"/>
      <c r="AG500" s="1695"/>
      <c r="AH500" s="1699"/>
      <c r="AI500" s="1695"/>
      <c r="AJ500" s="1695"/>
      <c r="AK500" s="1695"/>
      <c r="AL500" s="1695"/>
      <c r="AM500" s="1695"/>
      <c r="AN500" s="1695"/>
      <c r="AO500" s="1699"/>
      <c r="AP500" s="1729"/>
    </row>
    <row r="501" spans="1:42">
      <c r="A501" s="2438"/>
      <c r="B501" s="1695"/>
      <c r="C501" s="1696"/>
      <c r="D501" s="1696"/>
      <c r="E501" s="1695"/>
      <c r="F501" s="1695"/>
      <c r="G501" s="1745"/>
      <c r="H501" s="1745"/>
      <c r="I501" s="1745"/>
      <c r="J501" s="1745"/>
      <c r="K501" s="1695"/>
      <c r="L501" s="1745"/>
      <c r="M501" s="1699"/>
      <c r="N501" s="1695"/>
      <c r="O501" s="1695"/>
      <c r="P501" s="1745"/>
      <c r="Q501" s="1745"/>
      <c r="R501" s="1745"/>
      <c r="S501" s="1745"/>
      <c r="T501" s="1745"/>
      <c r="U501" s="1699"/>
      <c r="V501" s="1699"/>
      <c r="W501" s="1695"/>
      <c r="X501" s="1695"/>
      <c r="Y501" s="1695"/>
      <c r="Z501" s="1695"/>
      <c r="AA501" s="1695"/>
      <c r="AB501" s="1699"/>
      <c r="AC501" s="1695"/>
      <c r="AD501" s="1695"/>
      <c r="AE501" s="1695"/>
      <c r="AF501" s="1695"/>
      <c r="AG501" s="1695"/>
      <c r="AH501" s="1699"/>
      <c r="AI501" s="1695"/>
      <c r="AJ501" s="1695"/>
      <c r="AK501" s="1695"/>
      <c r="AL501" s="1695"/>
      <c r="AM501" s="1695"/>
      <c r="AN501" s="1695"/>
      <c r="AO501" s="1699"/>
      <c r="AP501" s="1729"/>
    </row>
    <row r="502" spans="1:42" ht="9" customHeight="1">
      <c r="A502" s="2438"/>
      <c r="B502" s="1695"/>
      <c r="C502" s="1696"/>
      <c r="D502" s="1696"/>
      <c r="E502" s="1695"/>
      <c r="F502" s="1695"/>
      <c r="G502" s="1745"/>
      <c r="H502" s="1745"/>
      <c r="I502" s="1745"/>
      <c r="J502" s="1745"/>
      <c r="K502" s="1695"/>
      <c r="L502" s="1745"/>
      <c r="M502" s="1699"/>
      <c r="N502" s="1695"/>
      <c r="O502" s="1695"/>
      <c r="P502" s="1745"/>
      <c r="Q502" s="1745"/>
      <c r="R502" s="1745"/>
      <c r="S502" s="1745"/>
      <c r="T502" s="1745"/>
      <c r="U502" s="1699"/>
      <c r="V502" s="1699"/>
      <c r="W502" s="1695"/>
      <c r="X502" s="1695"/>
      <c r="Y502" s="1695"/>
      <c r="Z502" s="1695"/>
      <c r="AA502" s="1695"/>
      <c r="AB502" s="1699"/>
      <c r="AC502" s="1695"/>
      <c r="AD502" s="1695"/>
      <c r="AE502" s="1695"/>
      <c r="AF502" s="1695"/>
      <c r="AG502" s="1695"/>
      <c r="AH502" s="1699"/>
      <c r="AI502" s="1695"/>
      <c r="AJ502" s="1695"/>
      <c r="AK502" s="1695"/>
      <c r="AL502" s="1695"/>
      <c r="AM502" s="1695"/>
      <c r="AN502" s="1695"/>
      <c r="AO502" s="1699"/>
      <c r="AP502" s="1729"/>
    </row>
    <row r="503" spans="1:42" ht="15.75" thickBot="1">
      <c r="A503" s="2439"/>
      <c r="B503" s="1784"/>
      <c r="C503" s="1997"/>
      <c r="D503" s="1997"/>
      <c r="E503" s="1784"/>
      <c r="F503" s="1784"/>
      <c r="G503" s="1904"/>
      <c r="H503" s="1904"/>
      <c r="I503" s="1904"/>
      <c r="J503" s="1904"/>
      <c r="K503" s="1784"/>
      <c r="L503" s="1904"/>
      <c r="M503" s="1783"/>
      <c r="N503" s="1784"/>
      <c r="O503" s="1784"/>
      <c r="P503" s="1904"/>
      <c r="Q503" s="1904"/>
      <c r="R503" s="1904"/>
      <c r="S503" s="1904"/>
      <c r="T503" s="1904"/>
      <c r="U503" s="1783"/>
      <c r="V503" s="1783"/>
      <c r="W503" s="1784"/>
      <c r="X503" s="1784"/>
      <c r="Y503" s="1784"/>
      <c r="Z503" s="1784"/>
      <c r="AA503" s="1784"/>
      <c r="AB503" s="1783"/>
      <c r="AC503" s="1784"/>
      <c r="AD503" s="1784"/>
      <c r="AE503" s="1784"/>
      <c r="AF503" s="1784"/>
      <c r="AG503" s="1784"/>
      <c r="AH503" s="1783"/>
      <c r="AI503" s="1784"/>
      <c r="AJ503" s="1784"/>
      <c r="AK503" s="1784"/>
      <c r="AL503" s="1784"/>
      <c r="AM503" s="1784"/>
      <c r="AN503" s="1784"/>
      <c r="AO503" s="1783"/>
      <c r="AP503" s="1785"/>
    </row>
    <row r="504" spans="1:42" ht="19.5" thickBot="1">
      <c r="A504" s="1746"/>
      <c r="B504" s="1715"/>
      <c r="C504" s="1716"/>
      <c r="D504" s="1716"/>
      <c r="E504" s="1715"/>
      <c r="F504" s="1715"/>
      <c r="G504" s="1717"/>
      <c r="H504" s="1717"/>
      <c r="I504" s="1717"/>
      <c r="J504" s="1717"/>
      <c r="K504" s="1715"/>
      <c r="L504" s="1717"/>
      <c r="M504" s="1718"/>
      <c r="N504" s="1715"/>
      <c r="O504" s="1715"/>
      <c r="P504" s="1717"/>
      <c r="Q504" s="1717"/>
      <c r="R504" s="1717"/>
      <c r="S504" s="1717"/>
      <c r="T504" s="1717"/>
      <c r="U504" s="1718"/>
      <c r="V504" s="1718"/>
      <c r="W504" s="1715"/>
      <c r="X504" s="1715"/>
      <c r="Y504" s="1715"/>
      <c r="Z504" s="1715"/>
      <c r="AA504" s="1715"/>
      <c r="AB504" s="1718"/>
      <c r="AC504" s="1715"/>
      <c r="AD504" s="1715"/>
      <c r="AE504" s="1715"/>
      <c r="AF504" s="1715"/>
      <c r="AG504" s="1715"/>
      <c r="AH504" s="1718"/>
      <c r="AI504" s="1715"/>
      <c r="AJ504" s="1715"/>
      <c r="AK504" s="1715"/>
      <c r="AL504" s="1715"/>
      <c r="AM504" s="1715"/>
      <c r="AN504" s="1715"/>
      <c r="AO504" s="1718"/>
      <c r="AP504" s="1719"/>
    </row>
    <row r="505" spans="1:42">
      <c r="A505" s="2437" t="s">
        <v>1311</v>
      </c>
      <c r="B505" s="1844" t="s">
        <v>2071</v>
      </c>
      <c r="C505" s="1721" t="s">
        <v>1907</v>
      </c>
      <c r="D505" s="1721" t="s">
        <v>1440</v>
      </c>
      <c r="E505" s="1722">
        <f>AO505</f>
        <v>0.05</v>
      </c>
      <c r="F505" s="1854"/>
      <c r="G505" s="1724">
        <f>AP505*$BQ$45</f>
        <v>58.274529605283924</v>
      </c>
      <c r="H505" s="1724">
        <f>G505*E505</f>
        <v>2.9137264802641965</v>
      </c>
      <c r="I505" s="1724"/>
      <c r="J505" s="1726"/>
      <c r="K505" s="1750">
        <v>0.24</v>
      </c>
      <c r="L505" s="1795">
        <f>((E505*G505)+I505)*(1+K505)</f>
        <v>3.6130208355276037</v>
      </c>
      <c r="M505" s="1743" t="s">
        <v>1942</v>
      </c>
      <c r="N505" s="1782"/>
      <c r="O505" s="1870">
        <v>0.08</v>
      </c>
      <c r="P505" s="1738">
        <v>67.88</v>
      </c>
      <c r="Q505" s="1846">
        <f>O505*P505</f>
        <v>5.4303999999999997</v>
      </c>
      <c r="R505" s="1846"/>
      <c r="S505" s="1846"/>
      <c r="T505" s="1755">
        <f>Q505</f>
        <v>5.4303999999999997</v>
      </c>
      <c r="U505" s="1894" t="s">
        <v>929</v>
      </c>
      <c r="V505" s="1699"/>
      <c r="W505" s="1695"/>
      <c r="X505" s="1695"/>
      <c r="Y505" s="1695"/>
      <c r="Z505" s="1695"/>
      <c r="AA505" s="1695"/>
      <c r="AB505" s="1699"/>
      <c r="AC505" s="1695"/>
      <c r="AD505" s="1695"/>
      <c r="AE505" s="1695"/>
      <c r="AF505" s="1695"/>
      <c r="AG505" s="1695"/>
      <c r="AH505" s="1699"/>
      <c r="AI505" s="1695"/>
      <c r="AJ505" s="1695"/>
      <c r="AK505" s="1695"/>
      <c r="AL505" s="1695"/>
      <c r="AM505" s="1695"/>
      <c r="AN505" s="1695"/>
      <c r="AO505" s="1757">
        <v>0.05</v>
      </c>
      <c r="AP505" s="1758">
        <v>52.4</v>
      </c>
    </row>
    <row r="506" spans="1:42">
      <c r="A506" s="2438"/>
      <c r="B506" s="1695"/>
      <c r="C506" s="1696"/>
      <c r="D506" s="1696"/>
      <c r="E506" s="1695"/>
      <c r="F506" s="1695"/>
      <c r="G506" s="1745"/>
      <c r="H506" s="1745"/>
      <c r="I506" s="1745"/>
      <c r="J506" s="1745"/>
      <c r="K506" s="1695"/>
      <c r="L506" s="1745"/>
      <c r="M506" s="1699"/>
      <c r="N506" s="1695"/>
      <c r="O506" s="1695"/>
      <c r="P506" s="1745"/>
      <c r="Q506" s="1745"/>
      <c r="R506" s="1745"/>
      <c r="S506" s="1745"/>
      <c r="T506" s="1745"/>
      <c r="U506" s="1699"/>
      <c r="V506" s="1699"/>
      <c r="W506" s="1695"/>
      <c r="X506" s="1695"/>
      <c r="Y506" s="1695"/>
      <c r="Z506" s="1695"/>
      <c r="AA506" s="1695"/>
      <c r="AB506" s="1699"/>
      <c r="AC506" s="1695"/>
      <c r="AD506" s="1695"/>
      <c r="AE506" s="1695"/>
      <c r="AF506" s="1695"/>
      <c r="AG506" s="1695"/>
      <c r="AH506" s="1699"/>
      <c r="AI506" s="1695"/>
      <c r="AJ506" s="1695"/>
      <c r="AK506" s="1695"/>
      <c r="AL506" s="1695"/>
      <c r="AM506" s="1695"/>
      <c r="AN506" s="1695"/>
      <c r="AO506" s="1699"/>
      <c r="AP506" s="1729"/>
    </row>
    <row r="507" spans="1:42">
      <c r="A507" s="2438"/>
      <c r="B507" s="1695"/>
      <c r="C507" s="1696"/>
      <c r="D507" s="1696"/>
      <c r="E507" s="1695"/>
      <c r="F507" s="1695"/>
      <c r="G507" s="1745"/>
      <c r="H507" s="1745"/>
      <c r="I507" s="1745"/>
      <c r="J507" s="1745"/>
      <c r="K507" s="1695"/>
      <c r="L507" s="1745"/>
      <c r="M507" s="1699"/>
      <c r="N507" s="1695"/>
      <c r="O507" s="1695"/>
      <c r="P507" s="1745"/>
      <c r="Q507" s="1745"/>
      <c r="R507" s="1745"/>
      <c r="S507" s="1745"/>
      <c r="T507" s="1745"/>
      <c r="U507" s="1699"/>
      <c r="V507" s="1699"/>
      <c r="W507" s="1695"/>
      <c r="X507" s="1695"/>
      <c r="Y507" s="1695"/>
      <c r="Z507" s="1695"/>
      <c r="AA507" s="1695"/>
      <c r="AB507" s="1699"/>
      <c r="AC507" s="1695"/>
      <c r="AD507" s="1695"/>
      <c r="AE507" s="1695"/>
      <c r="AF507" s="1695"/>
      <c r="AG507" s="1695"/>
      <c r="AH507" s="1699"/>
      <c r="AI507" s="1695"/>
      <c r="AJ507" s="1695"/>
      <c r="AK507" s="1695"/>
      <c r="AL507" s="1695"/>
      <c r="AM507" s="1695"/>
      <c r="AN507" s="1695"/>
      <c r="AO507" s="1699"/>
      <c r="AP507" s="1729"/>
    </row>
    <row r="508" spans="1:42">
      <c r="A508" s="2438"/>
      <c r="B508" s="1695"/>
      <c r="C508" s="1696"/>
      <c r="D508" s="1696"/>
      <c r="E508" s="1695"/>
      <c r="F508" s="1695"/>
      <c r="G508" s="1745"/>
      <c r="H508" s="1745"/>
      <c r="I508" s="1745"/>
      <c r="J508" s="1745"/>
      <c r="K508" s="1695"/>
      <c r="L508" s="1745"/>
      <c r="M508" s="1699"/>
      <c r="N508" s="1695"/>
      <c r="O508" s="1695"/>
      <c r="P508" s="1745"/>
      <c r="Q508" s="1745"/>
      <c r="R508" s="1745"/>
      <c r="S508" s="1745"/>
      <c r="T508" s="1745"/>
      <c r="U508" s="1699"/>
      <c r="V508" s="1699"/>
      <c r="W508" s="1695"/>
      <c r="X508" s="1695"/>
      <c r="Y508" s="1695"/>
      <c r="Z508" s="1695"/>
      <c r="AA508" s="1695"/>
      <c r="AB508" s="1699"/>
      <c r="AC508" s="1695"/>
      <c r="AD508" s="1695"/>
      <c r="AE508" s="1695"/>
      <c r="AF508" s="1695"/>
      <c r="AG508" s="1695"/>
      <c r="AH508" s="1699"/>
      <c r="AI508" s="1695"/>
      <c r="AJ508" s="1695"/>
      <c r="AK508" s="1695"/>
      <c r="AL508" s="1695"/>
      <c r="AM508" s="1695"/>
      <c r="AN508" s="1695"/>
      <c r="AO508" s="1699"/>
      <c r="AP508" s="1729"/>
    </row>
    <row r="509" spans="1:42">
      <c r="A509" s="2438"/>
      <c r="B509" s="1695"/>
      <c r="C509" s="1696"/>
      <c r="D509" s="1696"/>
      <c r="E509" s="1695"/>
      <c r="F509" s="1695"/>
      <c r="G509" s="1745"/>
      <c r="H509" s="1745"/>
      <c r="I509" s="1745"/>
      <c r="J509" s="1745"/>
      <c r="K509" s="1695"/>
      <c r="L509" s="1745"/>
      <c r="M509" s="1699"/>
      <c r="N509" s="1695"/>
      <c r="O509" s="1695"/>
      <c r="P509" s="1745"/>
      <c r="Q509" s="1745"/>
      <c r="R509" s="1745"/>
      <c r="S509" s="1745"/>
      <c r="T509" s="1745"/>
      <c r="U509" s="1699"/>
      <c r="V509" s="1699"/>
      <c r="W509" s="1695"/>
      <c r="X509" s="1695"/>
      <c r="Y509" s="1695"/>
      <c r="Z509" s="1695"/>
      <c r="AA509" s="1695"/>
      <c r="AB509" s="1699"/>
      <c r="AC509" s="1695"/>
      <c r="AD509" s="1695"/>
      <c r="AE509" s="1695"/>
      <c r="AF509" s="1695"/>
      <c r="AG509" s="1695"/>
      <c r="AH509" s="1699"/>
      <c r="AI509" s="1695"/>
      <c r="AJ509" s="1695"/>
      <c r="AK509" s="1695"/>
      <c r="AL509" s="1695"/>
      <c r="AM509" s="1695"/>
      <c r="AN509" s="1695"/>
      <c r="AO509" s="1699"/>
      <c r="AP509" s="1729"/>
    </row>
    <row r="510" spans="1:42">
      <c r="A510" s="2438"/>
      <c r="B510" s="1695"/>
      <c r="C510" s="1696"/>
      <c r="D510" s="1696"/>
      <c r="E510" s="1695"/>
      <c r="F510" s="1695"/>
      <c r="G510" s="1745"/>
      <c r="H510" s="1745"/>
      <c r="I510" s="1745"/>
      <c r="J510" s="1745"/>
      <c r="K510" s="1695"/>
      <c r="L510" s="1745"/>
      <c r="M510" s="1699"/>
      <c r="N510" s="1695"/>
      <c r="O510" s="1695"/>
      <c r="P510" s="1745"/>
      <c r="Q510" s="1745"/>
      <c r="R510" s="1745"/>
      <c r="S510" s="1745"/>
      <c r="T510" s="1745"/>
      <c r="U510" s="1699"/>
      <c r="V510" s="1699"/>
      <c r="W510" s="1695"/>
      <c r="X510" s="1695"/>
      <c r="Y510" s="1695"/>
      <c r="Z510" s="1695"/>
      <c r="AA510" s="1695"/>
      <c r="AB510" s="1699"/>
      <c r="AC510" s="1695"/>
      <c r="AD510" s="1695"/>
      <c r="AE510" s="1695"/>
      <c r="AF510" s="1695"/>
      <c r="AG510" s="1695"/>
      <c r="AH510" s="1699"/>
      <c r="AI510" s="1695"/>
      <c r="AJ510" s="1695"/>
      <c r="AK510" s="1695"/>
      <c r="AL510" s="1695"/>
      <c r="AM510" s="1695"/>
      <c r="AN510" s="1695"/>
      <c r="AO510" s="1699"/>
      <c r="AP510" s="1729"/>
    </row>
    <row r="511" spans="1:42">
      <c r="A511" s="2438"/>
      <c r="B511" s="1695"/>
      <c r="C511" s="1696"/>
      <c r="D511" s="1696"/>
      <c r="E511" s="1695"/>
      <c r="F511" s="1695"/>
      <c r="G511" s="1745"/>
      <c r="H511" s="1745"/>
      <c r="I511" s="1745"/>
      <c r="J511" s="1745"/>
      <c r="K511" s="1695"/>
      <c r="L511" s="1745"/>
      <c r="M511" s="1699"/>
      <c r="N511" s="1695"/>
      <c r="O511" s="1695"/>
      <c r="P511" s="1745"/>
      <c r="Q511" s="1745"/>
      <c r="R511" s="1745"/>
      <c r="S511" s="1745"/>
      <c r="T511" s="1745"/>
      <c r="U511" s="1699"/>
      <c r="V511" s="1699"/>
      <c r="W511" s="1695"/>
      <c r="X511" s="1695"/>
      <c r="Y511" s="1695"/>
      <c r="Z511" s="1695"/>
      <c r="AA511" s="1695"/>
      <c r="AB511" s="1699"/>
      <c r="AC511" s="1695"/>
      <c r="AD511" s="1695"/>
      <c r="AE511" s="1695"/>
      <c r="AF511" s="1695"/>
      <c r="AG511" s="1695"/>
      <c r="AH511" s="1699"/>
      <c r="AI511" s="1695"/>
      <c r="AJ511" s="1695"/>
      <c r="AK511" s="1695"/>
      <c r="AL511" s="1695"/>
      <c r="AM511" s="1695"/>
      <c r="AN511" s="1695"/>
      <c r="AO511" s="1699"/>
      <c r="AP511" s="1729"/>
    </row>
    <row r="512" spans="1:42">
      <c r="A512" s="2438"/>
      <c r="B512" s="1695"/>
      <c r="C512" s="1696"/>
      <c r="D512" s="1696"/>
      <c r="E512" s="1695"/>
      <c r="F512" s="1695"/>
      <c r="G512" s="1745"/>
      <c r="H512" s="1745"/>
      <c r="I512" s="1745"/>
      <c r="J512" s="1745"/>
      <c r="K512" s="1695"/>
      <c r="L512" s="1745"/>
      <c r="M512" s="1699"/>
      <c r="N512" s="1695"/>
      <c r="O512" s="1695"/>
      <c r="P512" s="1745"/>
      <c r="Q512" s="1745"/>
      <c r="R512" s="1745"/>
      <c r="S512" s="1745"/>
      <c r="T512" s="1745"/>
      <c r="U512" s="1699"/>
      <c r="V512" s="1699"/>
      <c r="W512" s="1695"/>
      <c r="X512" s="1695"/>
      <c r="Y512" s="1695"/>
      <c r="Z512" s="1695"/>
      <c r="AA512" s="1695"/>
      <c r="AB512" s="1699"/>
      <c r="AC512" s="1695"/>
      <c r="AD512" s="1695"/>
      <c r="AE512" s="1695"/>
      <c r="AF512" s="1695"/>
      <c r="AG512" s="1695"/>
      <c r="AH512" s="1699"/>
      <c r="AI512" s="1695"/>
      <c r="AJ512" s="1695"/>
      <c r="AK512" s="1695"/>
      <c r="AL512" s="1695"/>
      <c r="AM512" s="1695"/>
      <c r="AN512" s="1695"/>
      <c r="AO512" s="1699"/>
      <c r="AP512" s="1729"/>
    </row>
    <row r="513" spans="1:42">
      <c r="A513" s="2438"/>
      <c r="B513" s="1695"/>
      <c r="C513" s="1696"/>
      <c r="D513" s="1696"/>
      <c r="E513" s="1695"/>
      <c r="F513" s="1695"/>
      <c r="G513" s="1745"/>
      <c r="H513" s="1745"/>
      <c r="I513" s="1745"/>
      <c r="J513" s="1745"/>
      <c r="K513" s="1695"/>
      <c r="L513" s="1745"/>
      <c r="M513" s="1699"/>
      <c r="N513" s="1695"/>
      <c r="O513" s="1695"/>
      <c r="P513" s="1745"/>
      <c r="Q513" s="1745"/>
      <c r="R513" s="1745"/>
      <c r="S513" s="1745"/>
      <c r="T513" s="1745"/>
      <c r="U513" s="1699"/>
      <c r="V513" s="1699"/>
      <c r="W513" s="1695"/>
      <c r="X513" s="1695"/>
      <c r="Y513" s="1695"/>
      <c r="Z513" s="1695"/>
      <c r="AA513" s="1695"/>
      <c r="AB513" s="1699"/>
      <c r="AC513" s="1695"/>
      <c r="AD513" s="1695"/>
      <c r="AE513" s="1695"/>
      <c r="AF513" s="1695"/>
      <c r="AG513" s="1695"/>
      <c r="AH513" s="1699"/>
      <c r="AI513" s="1695"/>
      <c r="AJ513" s="1695"/>
      <c r="AK513" s="1695"/>
      <c r="AL513" s="1695"/>
      <c r="AM513" s="1695"/>
      <c r="AN513" s="1695"/>
      <c r="AO513" s="1699"/>
      <c r="AP513" s="1729"/>
    </row>
    <row r="514" spans="1:42">
      <c r="A514" s="2438"/>
      <c r="B514" s="1695"/>
      <c r="C514" s="1696"/>
      <c r="D514" s="1696"/>
      <c r="E514" s="1695"/>
      <c r="F514" s="1695"/>
      <c r="G514" s="1745"/>
      <c r="H514" s="1745"/>
      <c r="I514" s="1745"/>
      <c r="J514" s="1745"/>
      <c r="K514" s="1695"/>
      <c r="L514" s="1745"/>
      <c r="M514" s="1699"/>
      <c r="N514" s="1695"/>
      <c r="O514" s="1695"/>
      <c r="P514" s="1745"/>
      <c r="Q514" s="1745"/>
      <c r="R514" s="1745"/>
      <c r="S514" s="1745"/>
      <c r="T514" s="1745"/>
      <c r="U514" s="1699"/>
      <c r="V514" s="1699"/>
      <c r="W514" s="1695"/>
      <c r="X514" s="1695"/>
      <c r="Y514" s="1695"/>
      <c r="Z514" s="1695"/>
      <c r="AA514" s="1695"/>
      <c r="AB514" s="1699"/>
      <c r="AC514" s="1695"/>
      <c r="AD514" s="1695"/>
      <c r="AE514" s="1695"/>
      <c r="AF514" s="1695"/>
      <c r="AG514" s="1695"/>
      <c r="AH514" s="1699"/>
      <c r="AI514" s="1695"/>
      <c r="AJ514" s="1695"/>
      <c r="AK514" s="1695"/>
      <c r="AL514" s="1695"/>
      <c r="AM514" s="1695"/>
      <c r="AN514" s="1695"/>
      <c r="AO514" s="1699"/>
      <c r="AP514" s="1729"/>
    </row>
    <row r="515" spans="1:42">
      <c r="A515" s="2438"/>
      <c r="B515" s="1695"/>
      <c r="C515" s="1696"/>
      <c r="D515" s="1696"/>
      <c r="E515" s="1695"/>
      <c r="F515" s="1695"/>
      <c r="G515" s="1745"/>
      <c r="H515" s="1745"/>
      <c r="I515" s="1745"/>
      <c r="J515" s="1745"/>
      <c r="K515" s="1695"/>
      <c r="L515" s="1745"/>
      <c r="M515" s="1699"/>
      <c r="N515" s="1695"/>
      <c r="O515" s="1695"/>
      <c r="P515" s="1745"/>
      <c r="Q515" s="1745"/>
      <c r="R515" s="1745"/>
      <c r="S515" s="1745"/>
      <c r="T515" s="1745"/>
      <c r="U515" s="1699"/>
      <c r="V515" s="1699"/>
      <c r="W515" s="1695"/>
      <c r="X515" s="1695"/>
      <c r="Y515" s="1695"/>
      <c r="Z515" s="1695"/>
      <c r="AA515" s="1695"/>
      <c r="AB515" s="1699"/>
      <c r="AC515" s="1695"/>
      <c r="AD515" s="1695"/>
      <c r="AE515" s="1695"/>
      <c r="AF515" s="1695"/>
      <c r="AG515" s="1695"/>
      <c r="AH515" s="1699"/>
      <c r="AI515" s="1695"/>
      <c r="AJ515" s="1695"/>
      <c r="AK515" s="1695"/>
      <c r="AL515" s="1695"/>
      <c r="AM515" s="1695"/>
      <c r="AN515" s="1695"/>
      <c r="AO515" s="1699"/>
      <c r="AP515" s="1729"/>
    </row>
    <row r="516" spans="1:42">
      <c r="A516" s="2438"/>
      <c r="B516" s="1695"/>
      <c r="C516" s="1696"/>
      <c r="D516" s="1696"/>
      <c r="E516" s="1695"/>
      <c r="F516" s="1695"/>
      <c r="G516" s="1745"/>
      <c r="H516" s="1745"/>
      <c r="I516" s="1745"/>
      <c r="J516" s="1745"/>
      <c r="K516" s="1695"/>
      <c r="L516" s="1745"/>
      <c r="M516" s="1699"/>
      <c r="N516" s="1695"/>
      <c r="O516" s="1695"/>
      <c r="P516" s="1745"/>
      <c r="Q516" s="1745"/>
      <c r="R516" s="1745"/>
      <c r="S516" s="1745"/>
      <c r="T516" s="1745"/>
      <c r="U516" s="1699"/>
      <c r="V516" s="1699"/>
      <c r="W516" s="1695"/>
      <c r="X516" s="1695"/>
      <c r="Y516" s="1695"/>
      <c r="Z516" s="1695"/>
      <c r="AA516" s="1695"/>
      <c r="AB516" s="1699"/>
      <c r="AC516" s="1695"/>
      <c r="AD516" s="1695"/>
      <c r="AE516" s="1695"/>
      <c r="AF516" s="1695"/>
      <c r="AG516" s="1695"/>
      <c r="AH516" s="1699"/>
      <c r="AI516" s="1695"/>
      <c r="AJ516" s="1695"/>
      <c r="AK516" s="1695"/>
      <c r="AL516" s="1695"/>
      <c r="AM516" s="1695"/>
      <c r="AN516" s="1695"/>
      <c r="AO516" s="1699"/>
      <c r="AP516" s="1729"/>
    </row>
    <row r="517" spans="1:42">
      <c r="A517" s="2438"/>
      <c r="B517" s="1784"/>
      <c r="C517" s="1997"/>
      <c r="D517" s="1997"/>
      <c r="E517" s="1784"/>
      <c r="F517" s="1784"/>
      <c r="G517" s="1904"/>
      <c r="H517" s="1904"/>
      <c r="I517" s="1904"/>
      <c r="J517" s="1904"/>
      <c r="K517" s="1784"/>
      <c r="L517" s="1904"/>
      <c r="M517" s="1783"/>
      <c r="N517" s="1784"/>
      <c r="O517" s="1784"/>
      <c r="P517" s="1904"/>
      <c r="Q517" s="1904"/>
      <c r="R517" s="1904"/>
      <c r="S517" s="1904"/>
      <c r="T517" s="1904"/>
      <c r="U517" s="1783"/>
      <c r="V517" s="1783"/>
      <c r="W517" s="1784"/>
      <c r="X517" s="1784"/>
      <c r="Y517" s="1784"/>
      <c r="Z517" s="1784"/>
      <c r="AA517" s="1784"/>
      <c r="AB517" s="1783"/>
      <c r="AC517" s="1784"/>
      <c r="AD517" s="1784"/>
      <c r="AE517" s="1784"/>
      <c r="AF517" s="1784"/>
      <c r="AG517" s="1784"/>
      <c r="AH517" s="1783"/>
      <c r="AI517" s="1784"/>
      <c r="AJ517" s="1784"/>
      <c r="AK517" s="1784"/>
      <c r="AL517" s="1784"/>
      <c r="AM517" s="1784"/>
      <c r="AN517" s="1784"/>
      <c r="AO517" s="1783"/>
      <c r="AP517" s="1785"/>
    </row>
    <row r="518" spans="1:42" ht="9" customHeight="1">
      <c r="A518" s="2438"/>
      <c r="B518" s="1695"/>
      <c r="C518" s="1696"/>
      <c r="D518" s="1696"/>
      <c r="E518" s="1695"/>
      <c r="F518" s="1695"/>
      <c r="G518" s="1745"/>
      <c r="H518" s="1745"/>
      <c r="I518" s="1745"/>
      <c r="J518" s="1745"/>
      <c r="K518" s="1695"/>
      <c r="L518" s="1745"/>
      <c r="M518" s="1699"/>
      <c r="N518" s="1695"/>
      <c r="O518" s="1695"/>
      <c r="P518" s="1745"/>
      <c r="Q518" s="1745"/>
      <c r="R518" s="1745"/>
      <c r="S518" s="1745"/>
      <c r="T518" s="1745"/>
      <c r="U518" s="1699"/>
      <c r="V518" s="1699"/>
      <c r="W518" s="1695"/>
      <c r="X518" s="1695"/>
      <c r="Y518" s="1695"/>
      <c r="Z518" s="1695"/>
      <c r="AA518" s="1695"/>
      <c r="AB518" s="1699"/>
      <c r="AC518" s="1695"/>
      <c r="AD518" s="1695"/>
      <c r="AE518" s="1695"/>
      <c r="AF518" s="1695"/>
      <c r="AG518" s="1695"/>
      <c r="AH518" s="1699"/>
      <c r="AI518" s="1695"/>
      <c r="AJ518" s="1695"/>
      <c r="AK518" s="1695"/>
      <c r="AL518" s="1695"/>
      <c r="AM518" s="1695"/>
      <c r="AN518" s="1695"/>
      <c r="AO518" s="1699"/>
      <c r="AP518" s="1729"/>
    </row>
    <row r="519" spans="1:42" ht="15.75" thickBot="1">
      <c r="A519" s="2438"/>
      <c r="B519" s="1695"/>
      <c r="C519" s="1696"/>
      <c r="D519" s="1696"/>
      <c r="E519" s="1695"/>
      <c r="F519" s="1695"/>
      <c r="G519" s="1745"/>
      <c r="H519" s="1745"/>
      <c r="I519" s="1745"/>
      <c r="J519" s="1745"/>
      <c r="K519" s="1695"/>
      <c r="L519" s="1745"/>
      <c r="M519" s="1699"/>
      <c r="N519" s="1695"/>
      <c r="O519" s="1695"/>
      <c r="P519" s="1745"/>
      <c r="Q519" s="1745"/>
      <c r="R519" s="1745"/>
      <c r="S519" s="1745"/>
      <c r="T519" s="1745"/>
      <c r="U519" s="1699"/>
      <c r="V519" s="1699"/>
      <c r="W519" s="1695"/>
      <c r="X519" s="1695"/>
      <c r="Y519" s="1695"/>
      <c r="Z519" s="1695"/>
      <c r="AA519" s="1695"/>
      <c r="AB519" s="1699"/>
      <c r="AC519" s="1695"/>
      <c r="AD519" s="1695"/>
      <c r="AE519" s="1695"/>
      <c r="AF519" s="1695"/>
      <c r="AG519" s="1695"/>
      <c r="AH519" s="1699"/>
      <c r="AI519" s="1695"/>
      <c r="AJ519" s="1695"/>
      <c r="AK519" s="1695"/>
      <c r="AL519" s="1695"/>
      <c r="AM519" s="1695"/>
      <c r="AN519" s="1695"/>
      <c r="AO519" s="1699"/>
      <c r="AP519" s="1729"/>
    </row>
    <row r="520" spans="1:42" ht="19.5" thickBot="1">
      <c r="A520" s="1746"/>
      <c r="B520" s="1715"/>
      <c r="C520" s="1716"/>
      <c r="D520" s="1716"/>
      <c r="E520" s="1715"/>
      <c r="F520" s="1715"/>
      <c r="G520" s="1717"/>
      <c r="H520" s="1717"/>
      <c r="I520" s="1717"/>
      <c r="J520" s="1717"/>
      <c r="K520" s="1715"/>
      <c r="L520" s="1717"/>
      <c r="M520" s="1718"/>
      <c r="N520" s="1715"/>
      <c r="O520" s="1715"/>
      <c r="P520" s="1717"/>
      <c r="Q520" s="1717"/>
      <c r="R520" s="1717"/>
      <c r="S520" s="1717"/>
      <c r="T520" s="1717"/>
      <c r="U520" s="1718"/>
      <c r="V520" s="1718"/>
      <c r="W520" s="1715"/>
      <c r="X520" s="1715"/>
      <c r="Y520" s="1715"/>
      <c r="Z520" s="1715"/>
      <c r="AA520" s="1715"/>
      <c r="AB520" s="1718"/>
      <c r="AC520" s="1715"/>
      <c r="AD520" s="1715"/>
      <c r="AE520" s="1715"/>
      <c r="AF520" s="1715"/>
      <c r="AG520" s="1715"/>
      <c r="AH520" s="1718"/>
      <c r="AI520" s="1715"/>
      <c r="AJ520" s="1715"/>
      <c r="AK520" s="1715"/>
      <c r="AL520" s="1715"/>
      <c r="AM520" s="1715"/>
      <c r="AN520" s="1715"/>
      <c r="AO520" s="1718"/>
      <c r="AP520" s="1719"/>
    </row>
    <row r="521" spans="1:42">
      <c r="A521" s="2432" t="s">
        <v>1312</v>
      </c>
      <c r="B521" s="1844" t="s">
        <v>2071</v>
      </c>
      <c r="C521" s="1721" t="s">
        <v>1907</v>
      </c>
      <c r="D521" s="1721" t="s">
        <v>1440</v>
      </c>
      <c r="E521" s="1916">
        <f>AVERAGE(AO521:AO523)</f>
        <v>7.9629999999999992E-2</v>
      </c>
      <c r="F521" s="1993"/>
      <c r="G521" s="1951">
        <f>AP521*$BQ$45</f>
        <v>58.274529605283924</v>
      </c>
      <c r="H521" s="1951">
        <f>G521*E521</f>
        <v>4.6404007924687587</v>
      </c>
      <c r="I521" s="1951"/>
      <c r="J521" s="1727"/>
      <c r="K521" s="1994">
        <v>0.24</v>
      </c>
      <c r="L521" s="1995">
        <f>E521*G521*(1+$K$470)</f>
        <v>5.7540969826612605</v>
      </c>
      <c r="M521" s="1743" t="s">
        <v>1942</v>
      </c>
      <c r="N521" s="1782"/>
      <c r="O521" s="1870">
        <v>0.08</v>
      </c>
      <c r="P521" s="1738">
        <v>67.88</v>
      </c>
      <c r="Q521" s="1846">
        <f>O521*P521</f>
        <v>5.4303999999999997</v>
      </c>
      <c r="R521" s="1846"/>
      <c r="S521" s="1846"/>
      <c r="T521" s="1755">
        <f>Q521</f>
        <v>5.4303999999999997</v>
      </c>
      <c r="U521" s="1894" t="s">
        <v>1665</v>
      </c>
      <c r="V521" s="1699"/>
      <c r="W521" s="1695"/>
      <c r="X521" s="1695"/>
      <c r="Y521" s="1695"/>
      <c r="Z521" s="1695"/>
      <c r="AA521" s="1695"/>
      <c r="AB521" s="1699"/>
      <c r="AC521" s="1695"/>
      <c r="AD521" s="1695"/>
      <c r="AE521" s="1695"/>
      <c r="AF521" s="1695"/>
      <c r="AG521" s="1695"/>
      <c r="AH521" s="1699"/>
      <c r="AI521" s="1695"/>
      <c r="AJ521" s="1695"/>
      <c r="AK521" s="1695"/>
      <c r="AL521" s="1695"/>
      <c r="AM521" s="1695"/>
      <c r="AN521" s="1695"/>
      <c r="AO521" s="1757">
        <v>8.8889999999999997E-2</v>
      </c>
      <c r="AP521" s="1758">
        <v>52.4</v>
      </c>
    </row>
    <row r="522" spans="1:42">
      <c r="A522" s="2433"/>
      <c r="B522" s="1923"/>
      <c r="C522" s="1924"/>
      <c r="D522" s="1924"/>
      <c r="E522" s="1740"/>
      <c r="F522" s="1741"/>
      <c r="G522" s="1843"/>
      <c r="H522" s="1843"/>
      <c r="I522" s="1843"/>
      <c r="J522" s="1843"/>
      <c r="K522" s="1996"/>
      <c r="L522" s="1799"/>
      <c r="M522" s="1740"/>
      <c r="N522" s="1741"/>
      <c r="O522" s="1741"/>
      <c r="P522" s="1843"/>
      <c r="Q522" s="1843"/>
      <c r="R522" s="1843"/>
      <c r="S522" s="1843"/>
      <c r="T522" s="1799"/>
      <c r="U522" s="1733" t="s">
        <v>1666</v>
      </c>
      <c r="V522" s="1699"/>
      <c r="W522" s="1695"/>
      <c r="X522" s="1695"/>
      <c r="Y522" s="1695"/>
      <c r="Z522" s="1695"/>
      <c r="AA522" s="1695"/>
      <c r="AB522" s="1699"/>
      <c r="AC522" s="1695"/>
      <c r="AD522" s="1695"/>
      <c r="AE522" s="1695"/>
      <c r="AF522" s="1695"/>
      <c r="AG522" s="1695"/>
      <c r="AH522" s="1699"/>
      <c r="AI522" s="1695"/>
      <c r="AJ522" s="1695"/>
      <c r="AK522" s="1695"/>
      <c r="AL522" s="1695"/>
      <c r="AM522" s="1695"/>
      <c r="AN522" s="1695"/>
      <c r="AO522" s="1757">
        <v>0.1</v>
      </c>
      <c r="AP522" s="1758">
        <v>52.4</v>
      </c>
    </row>
    <row r="523" spans="1:42">
      <c r="A523" s="2433"/>
      <c r="B523" s="1932"/>
      <c r="C523" s="1933"/>
      <c r="D523" s="1933"/>
      <c r="E523" s="1699"/>
      <c r="F523" s="1695"/>
      <c r="G523" s="1745"/>
      <c r="H523" s="1745"/>
      <c r="I523" s="1745"/>
      <c r="J523" s="1745"/>
      <c r="K523" s="1906"/>
      <c r="L523" s="1805"/>
      <c r="M523" s="1699"/>
      <c r="N523" s="1695"/>
      <c r="O523" s="1695"/>
      <c r="P523" s="1745"/>
      <c r="Q523" s="1745"/>
      <c r="R523" s="1745"/>
      <c r="S523" s="1745"/>
      <c r="T523" s="1805"/>
      <c r="U523" s="1733" t="s">
        <v>1667</v>
      </c>
      <c r="V523" s="1699"/>
      <c r="W523" s="1695"/>
      <c r="X523" s="1695"/>
      <c r="Y523" s="1695"/>
      <c r="Z523" s="1695"/>
      <c r="AA523" s="1695"/>
      <c r="AB523" s="1699"/>
      <c r="AC523" s="1695"/>
      <c r="AD523" s="1695"/>
      <c r="AE523" s="1695"/>
      <c r="AF523" s="1695"/>
      <c r="AG523" s="1695"/>
      <c r="AH523" s="1699"/>
      <c r="AI523" s="1695"/>
      <c r="AJ523" s="1695"/>
      <c r="AK523" s="1695"/>
      <c r="AL523" s="1695"/>
      <c r="AM523" s="1695"/>
      <c r="AN523" s="1695"/>
      <c r="AO523" s="1757">
        <v>0.05</v>
      </c>
      <c r="AP523" s="1758">
        <v>52.4</v>
      </c>
    </row>
    <row r="524" spans="1:42">
      <c r="A524" s="2433"/>
      <c r="B524" s="1695"/>
      <c r="C524" s="1696"/>
      <c r="D524" s="1696"/>
      <c r="E524" s="1695"/>
      <c r="F524" s="1695"/>
      <c r="G524" s="1745"/>
      <c r="H524" s="1745"/>
      <c r="I524" s="1745"/>
      <c r="J524" s="1745"/>
      <c r="K524" s="1695"/>
      <c r="L524" s="1745"/>
      <c r="M524" s="1699"/>
      <c r="N524" s="1695"/>
      <c r="O524" s="1695"/>
      <c r="P524" s="1745"/>
      <c r="Q524" s="1745"/>
      <c r="R524" s="1745"/>
      <c r="S524" s="1745"/>
      <c r="T524" s="1805"/>
      <c r="U524" s="1733" t="s">
        <v>929</v>
      </c>
      <c r="V524" s="1699"/>
      <c r="W524" s="1695"/>
      <c r="X524" s="1695"/>
      <c r="Y524" s="1695"/>
      <c r="Z524" s="1695"/>
      <c r="AA524" s="1695"/>
      <c r="AB524" s="1699"/>
      <c r="AC524" s="1695"/>
      <c r="AD524" s="1695"/>
      <c r="AE524" s="1695"/>
      <c r="AF524" s="1695"/>
      <c r="AG524" s="1695"/>
      <c r="AH524" s="1699"/>
      <c r="AI524" s="1695"/>
      <c r="AJ524" s="1695"/>
      <c r="AK524" s="1695"/>
      <c r="AL524" s="1695"/>
      <c r="AM524" s="1695"/>
      <c r="AN524" s="1695"/>
      <c r="AO524" s="1757">
        <v>0.05</v>
      </c>
      <c r="AP524" s="1758">
        <v>52.4</v>
      </c>
    </row>
    <row r="525" spans="1:42">
      <c r="A525" s="2433"/>
      <c r="B525" s="1695"/>
      <c r="C525" s="1696"/>
      <c r="D525" s="1696"/>
      <c r="E525" s="1695"/>
      <c r="F525" s="1695"/>
      <c r="G525" s="1745"/>
      <c r="H525" s="1745"/>
      <c r="I525" s="1745"/>
      <c r="J525" s="1745"/>
      <c r="K525" s="1695"/>
      <c r="L525" s="1745"/>
      <c r="M525" s="1699"/>
      <c r="N525" s="1695"/>
      <c r="O525" s="1695"/>
      <c r="P525" s="1745"/>
      <c r="Q525" s="1745"/>
      <c r="R525" s="1745"/>
      <c r="S525" s="1745"/>
      <c r="T525" s="1805"/>
      <c r="U525" s="1699"/>
      <c r="V525" s="1699"/>
      <c r="W525" s="1695"/>
      <c r="X525" s="1695"/>
      <c r="Y525" s="1695"/>
      <c r="Z525" s="1695"/>
      <c r="AA525" s="1695"/>
      <c r="AB525" s="1699"/>
      <c r="AC525" s="1695"/>
      <c r="AD525" s="1695"/>
      <c r="AE525" s="1695"/>
      <c r="AF525" s="1695"/>
      <c r="AG525" s="1695"/>
      <c r="AH525" s="1699"/>
      <c r="AI525" s="1695"/>
      <c r="AJ525" s="1695"/>
      <c r="AK525" s="1695"/>
      <c r="AL525" s="1695"/>
      <c r="AM525" s="1695"/>
      <c r="AN525" s="1695"/>
      <c r="AO525" s="1699"/>
      <c r="AP525" s="1729"/>
    </row>
    <row r="526" spans="1:42">
      <c r="A526" s="2433"/>
      <c r="B526" s="1784"/>
      <c r="C526" s="1997"/>
      <c r="D526" s="1997"/>
      <c r="E526" s="1784"/>
      <c r="F526" s="1784"/>
      <c r="G526" s="1904"/>
      <c r="H526" s="1904"/>
      <c r="I526" s="1904"/>
      <c r="J526" s="1904"/>
      <c r="K526" s="1784"/>
      <c r="L526" s="1904"/>
      <c r="M526" s="1783"/>
      <c r="N526" s="1784"/>
      <c r="O526" s="1784"/>
      <c r="P526" s="1904"/>
      <c r="Q526" s="1904"/>
      <c r="R526" s="1904"/>
      <c r="S526" s="1904"/>
      <c r="T526" s="1904"/>
      <c r="U526" s="1783"/>
      <c r="V526" s="1783"/>
      <c r="W526" s="1784"/>
      <c r="X526" s="1784"/>
      <c r="Y526" s="1784"/>
      <c r="Z526" s="1784"/>
      <c r="AA526" s="1784"/>
      <c r="AB526" s="1783"/>
      <c r="AC526" s="1784"/>
      <c r="AD526" s="1784"/>
      <c r="AE526" s="1784"/>
      <c r="AF526" s="1784"/>
      <c r="AG526" s="1784"/>
      <c r="AH526" s="1783"/>
      <c r="AI526" s="1784"/>
      <c r="AJ526" s="1784"/>
      <c r="AK526" s="1784"/>
      <c r="AL526" s="1784"/>
      <c r="AM526" s="1784"/>
      <c r="AN526" s="1784"/>
      <c r="AO526" s="1783"/>
      <c r="AP526" s="1785"/>
    </row>
    <row r="527" spans="1:42">
      <c r="A527" s="2433"/>
      <c r="B527" s="1695"/>
      <c r="C527" s="1696"/>
      <c r="D527" s="1696"/>
      <c r="E527" s="1695"/>
      <c r="F527" s="1695"/>
      <c r="G527" s="1745"/>
      <c r="H527" s="1745"/>
      <c r="I527" s="1745"/>
      <c r="J527" s="1745"/>
      <c r="K527" s="1695"/>
      <c r="L527" s="1745"/>
      <c r="M527" s="1699"/>
      <c r="N527" s="1695"/>
      <c r="O527" s="1695"/>
      <c r="P527" s="1745"/>
      <c r="Q527" s="1745"/>
      <c r="R527" s="1745"/>
      <c r="S527" s="1745"/>
      <c r="T527" s="1745"/>
      <c r="U527" s="1699"/>
      <c r="V527" s="1699"/>
      <c r="W527" s="1695"/>
      <c r="X527" s="1695"/>
      <c r="Y527" s="1695"/>
      <c r="Z527" s="1695"/>
      <c r="AA527" s="1695"/>
      <c r="AB527" s="1699"/>
      <c r="AC527" s="1695"/>
      <c r="AD527" s="1695"/>
      <c r="AE527" s="1695"/>
      <c r="AF527" s="1695"/>
      <c r="AG527" s="1695"/>
      <c r="AH527" s="1699"/>
      <c r="AI527" s="1695"/>
      <c r="AJ527" s="1695"/>
      <c r="AK527" s="1695"/>
      <c r="AL527" s="1695"/>
      <c r="AM527" s="1695"/>
      <c r="AN527" s="1695"/>
      <c r="AO527" s="1699"/>
      <c r="AP527" s="1729"/>
    </row>
    <row r="528" spans="1:42">
      <c r="A528" s="2433"/>
      <c r="B528" s="1695"/>
      <c r="C528" s="1696"/>
      <c r="D528" s="1696"/>
      <c r="E528" s="1695"/>
      <c r="F528" s="1695"/>
      <c r="G528" s="1745"/>
      <c r="H528" s="1745"/>
      <c r="I528" s="1745"/>
      <c r="J528" s="1745"/>
      <c r="K528" s="1695"/>
      <c r="L528" s="1745"/>
      <c r="M528" s="1699"/>
      <c r="N528" s="1695"/>
      <c r="O528" s="1695"/>
      <c r="P528" s="1745"/>
      <c r="Q528" s="1745"/>
      <c r="R528" s="1745"/>
      <c r="S528" s="1745"/>
      <c r="T528" s="1745"/>
      <c r="U528" s="1699"/>
      <c r="V528" s="1699"/>
      <c r="W528" s="1695"/>
      <c r="X528" s="1695"/>
      <c r="Y528" s="1695"/>
      <c r="Z528" s="1695"/>
      <c r="AA528" s="1695"/>
      <c r="AB528" s="1699"/>
      <c r="AC528" s="1695"/>
      <c r="AD528" s="1695"/>
      <c r="AE528" s="1695"/>
      <c r="AF528" s="1695"/>
      <c r="AG528" s="1695"/>
      <c r="AH528" s="1699"/>
      <c r="AI528" s="1695"/>
      <c r="AJ528" s="1695"/>
      <c r="AK528" s="1695"/>
      <c r="AL528" s="1695"/>
      <c r="AM528" s="1695"/>
      <c r="AN528" s="1695"/>
      <c r="AO528" s="1699"/>
      <c r="AP528" s="1729"/>
    </row>
    <row r="529" spans="1:42" ht="9" customHeight="1">
      <c r="A529" s="2433"/>
      <c r="B529" s="1695"/>
      <c r="C529" s="1696"/>
      <c r="D529" s="1696"/>
      <c r="E529" s="1695"/>
      <c r="F529" s="1695"/>
      <c r="G529" s="1745"/>
      <c r="H529" s="1745"/>
      <c r="I529" s="1745"/>
      <c r="J529" s="1745"/>
      <c r="K529" s="1695"/>
      <c r="L529" s="1745"/>
      <c r="M529" s="1699"/>
      <c r="N529" s="1695"/>
      <c r="O529" s="1695"/>
      <c r="P529" s="1745"/>
      <c r="Q529" s="1745"/>
      <c r="R529" s="1745"/>
      <c r="S529" s="1745"/>
      <c r="T529" s="1745"/>
      <c r="U529" s="1699"/>
      <c r="V529" s="1699"/>
      <c r="W529" s="1695"/>
      <c r="X529" s="1695"/>
      <c r="Y529" s="1695"/>
      <c r="Z529" s="1695"/>
      <c r="AA529" s="1695"/>
      <c r="AB529" s="1699"/>
      <c r="AC529" s="1695"/>
      <c r="AD529" s="1695"/>
      <c r="AE529" s="1695"/>
      <c r="AF529" s="1695"/>
      <c r="AG529" s="1695"/>
      <c r="AH529" s="1699"/>
      <c r="AI529" s="1695"/>
      <c r="AJ529" s="1695"/>
      <c r="AK529" s="1695"/>
      <c r="AL529" s="1695"/>
      <c r="AM529" s="1695"/>
      <c r="AN529" s="1695"/>
      <c r="AO529" s="1699"/>
      <c r="AP529" s="1729"/>
    </row>
    <row r="530" spans="1:42" ht="15.75" thickBot="1">
      <c r="A530" s="2433"/>
      <c r="B530" s="1695"/>
      <c r="C530" s="1696"/>
      <c r="D530" s="1696"/>
      <c r="E530" s="1695"/>
      <c r="F530" s="1695"/>
      <c r="G530" s="1745"/>
      <c r="H530" s="1745"/>
      <c r="I530" s="1745"/>
      <c r="J530" s="1745"/>
      <c r="K530" s="1695"/>
      <c r="L530" s="1745"/>
      <c r="M530" s="1699"/>
      <c r="N530" s="1695"/>
      <c r="O530" s="1695"/>
      <c r="P530" s="1745"/>
      <c r="Q530" s="1745"/>
      <c r="R530" s="1745"/>
      <c r="S530" s="1745"/>
      <c r="T530" s="1745"/>
      <c r="U530" s="1699"/>
      <c r="V530" s="1699"/>
      <c r="W530" s="1695"/>
      <c r="X530" s="1695"/>
      <c r="Y530" s="1695"/>
      <c r="Z530" s="1695"/>
      <c r="AA530" s="1695"/>
      <c r="AB530" s="1699"/>
      <c r="AC530" s="1695"/>
      <c r="AD530" s="1695"/>
      <c r="AE530" s="1695"/>
      <c r="AF530" s="1695"/>
      <c r="AG530" s="1695"/>
      <c r="AH530" s="1699"/>
      <c r="AI530" s="1695"/>
      <c r="AJ530" s="1695"/>
      <c r="AK530" s="1695"/>
      <c r="AL530" s="1695"/>
      <c r="AM530" s="1695"/>
      <c r="AN530" s="1695"/>
      <c r="AO530" s="1699"/>
      <c r="AP530" s="1729"/>
    </row>
    <row r="531" spans="1:42" ht="19.5" thickBot="1">
      <c r="A531" s="1746"/>
      <c r="B531" s="1715"/>
      <c r="C531" s="1716"/>
      <c r="D531" s="1716"/>
      <c r="E531" s="1715"/>
      <c r="F531" s="1715"/>
      <c r="G531" s="1717"/>
      <c r="H531" s="1717"/>
      <c r="I531" s="1717"/>
      <c r="J531" s="1717"/>
      <c r="K531" s="1715"/>
      <c r="L531" s="1717"/>
      <c r="M531" s="1718"/>
      <c r="N531" s="1715"/>
      <c r="O531" s="1715"/>
      <c r="P531" s="1717"/>
      <c r="Q531" s="1717"/>
      <c r="R531" s="1717"/>
      <c r="S531" s="1717"/>
      <c r="T531" s="1717"/>
      <c r="U531" s="1718"/>
      <c r="V531" s="1718"/>
      <c r="W531" s="1715"/>
      <c r="X531" s="1715"/>
      <c r="Y531" s="1715"/>
      <c r="Z531" s="1715"/>
      <c r="AA531" s="1715"/>
      <c r="AB531" s="1718"/>
      <c r="AC531" s="1715"/>
      <c r="AD531" s="1715"/>
      <c r="AE531" s="1715"/>
      <c r="AF531" s="1715"/>
      <c r="AG531" s="1715"/>
      <c r="AH531" s="1718"/>
      <c r="AI531" s="1715"/>
      <c r="AJ531" s="1715"/>
      <c r="AK531" s="1715"/>
      <c r="AL531" s="1715"/>
      <c r="AM531" s="1715"/>
      <c r="AN531" s="1715"/>
      <c r="AO531" s="1718"/>
      <c r="AP531" s="1719"/>
    </row>
    <row r="532" spans="1:42">
      <c r="A532" s="2437" t="s">
        <v>912</v>
      </c>
      <c r="B532" s="1844" t="s">
        <v>2071</v>
      </c>
      <c r="C532" s="1721" t="s">
        <v>1907</v>
      </c>
      <c r="D532" s="1721" t="s">
        <v>1440</v>
      </c>
      <c r="E532" s="1916">
        <f>AVERAGE(AO532:AO534)</f>
        <v>7.9629999999999992E-2</v>
      </c>
      <c r="F532" s="1993"/>
      <c r="G532" s="1951">
        <f>AP532*$BQ$45</f>
        <v>58.274529605283924</v>
      </c>
      <c r="H532" s="1951">
        <f>G532*E532</f>
        <v>4.6404007924687587</v>
      </c>
      <c r="I532" s="1951"/>
      <c r="J532" s="1727"/>
      <c r="K532" s="1994">
        <v>0.24</v>
      </c>
      <c r="L532" s="1995">
        <f>E532*G532*(1+$K$470)</f>
        <v>5.7540969826612605</v>
      </c>
      <c r="M532" s="1743" t="s">
        <v>1942</v>
      </c>
      <c r="N532" s="1782"/>
      <c r="O532" s="1870">
        <v>0.08</v>
      </c>
      <c r="P532" s="1738">
        <v>67.88</v>
      </c>
      <c r="Q532" s="1846">
        <f>O532*P532</f>
        <v>5.4303999999999997</v>
      </c>
      <c r="R532" s="1846"/>
      <c r="S532" s="1846"/>
      <c r="T532" s="1755">
        <f>Q532</f>
        <v>5.4303999999999997</v>
      </c>
      <c r="U532" s="1894" t="s">
        <v>1665</v>
      </c>
      <c r="V532" s="1699"/>
      <c r="W532" s="1695"/>
      <c r="X532" s="1695"/>
      <c r="Y532" s="1695"/>
      <c r="Z532" s="1695"/>
      <c r="AA532" s="1695"/>
      <c r="AB532" s="1699"/>
      <c r="AC532" s="1695"/>
      <c r="AD532" s="1695"/>
      <c r="AE532" s="1695"/>
      <c r="AF532" s="1695"/>
      <c r="AG532" s="1695"/>
      <c r="AH532" s="1699"/>
      <c r="AI532" s="1695"/>
      <c r="AJ532" s="1695"/>
      <c r="AK532" s="1695"/>
      <c r="AL532" s="1695"/>
      <c r="AM532" s="1695"/>
      <c r="AN532" s="1695"/>
      <c r="AO532" s="1757">
        <v>8.8889999999999997E-2</v>
      </c>
      <c r="AP532" s="1758">
        <v>52.4</v>
      </c>
    </row>
    <row r="533" spans="1:42">
      <c r="A533" s="2438"/>
      <c r="B533" s="1923"/>
      <c r="C533" s="1924"/>
      <c r="D533" s="1924"/>
      <c r="E533" s="1740"/>
      <c r="F533" s="1741"/>
      <c r="G533" s="1843"/>
      <c r="H533" s="1843"/>
      <c r="I533" s="1843"/>
      <c r="J533" s="1843"/>
      <c r="K533" s="1996"/>
      <c r="L533" s="1799"/>
      <c r="M533" s="1740"/>
      <c r="N533" s="1741"/>
      <c r="O533" s="1741"/>
      <c r="P533" s="1843"/>
      <c r="Q533" s="1843"/>
      <c r="R533" s="1843"/>
      <c r="S533" s="1843"/>
      <c r="T533" s="1799"/>
      <c r="U533" s="1733" t="s">
        <v>1666</v>
      </c>
      <c r="V533" s="1699"/>
      <c r="W533" s="1695"/>
      <c r="X533" s="1695"/>
      <c r="Y533" s="1695"/>
      <c r="Z533" s="1695"/>
      <c r="AA533" s="1695"/>
      <c r="AB533" s="1699"/>
      <c r="AC533" s="1695"/>
      <c r="AD533" s="1695"/>
      <c r="AE533" s="1695"/>
      <c r="AF533" s="1695"/>
      <c r="AG533" s="1695"/>
      <c r="AH533" s="1699"/>
      <c r="AI533" s="1695"/>
      <c r="AJ533" s="1695"/>
      <c r="AK533" s="1695"/>
      <c r="AL533" s="1695"/>
      <c r="AM533" s="1695"/>
      <c r="AN533" s="1695"/>
      <c r="AO533" s="1757">
        <v>0.1</v>
      </c>
      <c r="AP533" s="1758">
        <v>52.4</v>
      </c>
    </row>
    <row r="534" spans="1:42">
      <c r="A534" s="2438"/>
      <c r="B534" s="1932"/>
      <c r="C534" s="1933"/>
      <c r="D534" s="1933"/>
      <c r="E534" s="1699"/>
      <c r="F534" s="1695"/>
      <c r="G534" s="1745"/>
      <c r="H534" s="1745"/>
      <c r="I534" s="1745"/>
      <c r="J534" s="1745"/>
      <c r="K534" s="1906"/>
      <c r="L534" s="1805"/>
      <c r="M534" s="1699"/>
      <c r="N534" s="1695"/>
      <c r="O534" s="1695"/>
      <c r="P534" s="1745"/>
      <c r="Q534" s="1745"/>
      <c r="R534" s="1745"/>
      <c r="S534" s="1745"/>
      <c r="T534" s="1805"/>
      <c r="U534" s="1733" t="s">
        <v>1667</v>
      </c>
      <c r="V534" s="1699"/>
      <c r="W534" s="1695"/>
      <c r="X534" s="1695"/>
      <c r="Y534" s="1695"/>
      <c r="Z534" s="1695"/>
      <c r="AA534" s="1695"/>
      <c r="AB534" s="1699"/>
      <c r="AC534" s="1695"/>
      <c r="AD534" s="1695"/>
      <c r="AE534" s="1695"/>
      <c r="AF534" s="1695"/>
      <c r="AG534" s="1695"/>
      <c r="AH534" s="1699"/>
      <c r="AI534" s="1695"/>
      <c r="AJ534" s="1695"/>
      <c r="AK534" s="1695"/>
      <c r="AL534" s="1695"/>
      <c r="AM534" s="1695"/>
      <c r="AN534" s="1695"/>
      <c r="AO534" s="1757">
        <v>0.05</v>
      </c>
      <c r="AP534" s="1758">
        <v>52.4</v>
      </c>
    </row>
    <row r="535" spans="1:42">
      <c r="A535" s="2438"/>
      <c r="B535" s="1695"/>
      <c r="C535" s="1696"/>
      <c r="D535" s="1696"/>
      <c r="E535" s="1695"/>
      <c r="F535" s="1695"/>
      <c r="G535" s="1745"/>
      <c r="H535" s="1745"/>
      <c r="I535" s="1745"/>
      <c r="J535" s="1745"/>
      <c r="K535" s="1695"/>
      <c r="L535" s="1745"/>
      <c r="M535" s="1699"/>
      <c r="N535" s="1695"/>
      <c r="O535" s="1695"/>
      <c r="P535" s="1745"/>
      <c r="Q535" s="1745"/>
      <c r="R535" s="1745"/>
      <c r="S535" s="1745"/>
      <c r="T535" s="1805"/>
      <c r="U535" s="1699"/>
      <c r="V535" s="1699"/>
      <c r="W535" s="1695"/>
      <c r="X535" s="1695"/>
      <c r="Y535" s="1695"/>
      <c r="Z535" s="1695"/>
      <c r="AA535" s="1695"/>
      <c r="AB535" s="1699"/>
      <c r="AC535" s="1695"/>
      <c r="AD535" s="1695"/>
      <c r="AE535" s="1695"/>
      <c r="AF535" s="1695"/>
      <c r="AG535" s="1695"/>
      <c r="AH535" s="1699"/>
      <c r="AI535" s="1695"/>
      <c r="AJ535" s="1695"/>
      <c r="AK535" s="1695"/>
      <c r="AL535" s="1695"/>
      <c r="AM535" s="1695"/>
      <c r="AN535" s="1695"/>
      <c r="AO535" s="1699"/>
      <c r="AP535" s="1729"/>
    </row>
    <row r="536" spans="1:42">
      <c r="A536" s="2438"/>
      <c r="B536" s="1695"/>
      <c r="C536" s="1696"/>
      <c r="D536" s="1696"/>
      <c r="E536" s="1695"/>
      <c r="F536" s="1695"/>
      <c r="G536" s="1745"/>
      <c r="H536" s="1745"/>
      <c r="I536" s="1745"/>
      <c r="J536" s="1745"/>
      <c r="K536" s="1695"/>
      <c r="L536" s="1745"/>
      <c r="M536" s="1699"/>
      <c r="N536" s="1695"/>
      <c r="O536" s="1695"/>
      <c r="P536" s="1745"/>
      <c r="Q536" s="1745"/>
      <c r="R536" s="1745"/>
      <c r="S536" s="1745"/>
      <c r="T536" s="1745"/>
      <c r="U536" s="1699"/>
      <c r="V536" s="1699"/>
      <c r="W536" s="1695"/>
      <c r="X536" s="1695"/>
      <c r="Y536" s="1695"/>
      <c r="Z536" s="1695"/>
      <c r="AA536" s="1695"/>
      <c r="AB536" s="1699"/>
      <c r="AC536" s="1695"/>
      <c r="AD536" s="1695"/>
      <c r="AE536" s="1695"/>
      <c r="AF536" s="1695"/>
      <c r="AG536" s="1695"/>
      <c r="AH536" s="1699"/>
      <c r="AI536" s="1695"/>
      <c r="AJ536" s="1695"/>
      <c r="AK536" s="1695"/>
      <c r="AL536" s="1695"/>
      <c r="AM536" s="1695"/>
      <c r="AN536" s="1695"/>
      <c r="AO536" s="1699"/>
      <c r="AP536" s="1729"/>
    </row>
    <row r="537" spans="1:42">
      <c r="A537" s="2438"/>
      <c r="B537" s="1695"/>
      <c r="C537" s="1696"/>
      <c r="D537" s="1696"/>
      <c r="E537" s="1695"/>
      <c r="F537" s="1695"/>
      <c r="G537" s="1745"/>
      <c r="H537" s="1745"/>
      <c r="I537" s="1745"/>
      <c r="J537" s="1745"/>
      <c r="K537" s="1695"/>
      <c r="L537" s="1745"/>
      <c r="M537" s="1699"/>
      <c r="N537" s="1695"/>
      <c r="O537" s="1695"/>
      <c r="P537" s="1745"/>
      <c r="Q537" s="1745"/>
      <c r="R537" s="1745"/>
      <c r="S537" s="1745"/>
      <c r="T537" s="1745"/>
      <c r="U537" s="1699"/>
      <c r="V537" s="1699"/>
      <c r="W537" s="1695"/>
      <c r="X537" s="1695"/>
      <c r="Y537" s="1695"/>
      <c r="Z537" s="1695"/>
      <c r="AA537" s="1695"/>
      <c r="AB537" s="1699"/>
      <c r="AC537" s="1695"/>
      <c r="AD537" s="1695"/>
      <c r="AE537" s="1695"/>
      <c r="AF537" s="1695"/>
      <c r="AG537" s="1695"/>
      <c r="AH537" s="1699"/>
      <c r="AI537" s="1695"/>
      <c r="AJ537" s="1695"/>
      <c r="AK537" s="1695"/>
      <c r="AL537" s="1695"/>
      <c r="AM537" s="1695"/>
      <c r="AN537" s="1695"/>
      <c r="AO537" s="1699"/>
      <c r="AP537" s="1729"/>
    </row>
    <row r="538" spans="1:42">
      <c r="A538" s="2438"/>
      <c r="B538" s="1695"/>
      <c r="C538" s="1696"/>
      <c r="D538" s="1696"/>
      <c r="E538" s="1695"/>
      <c r="F538" s="1695"/>
      <c r="G538" s="1745"/>
      <c r="H538" s="1745"/>
      <c r="I538" s="1745"/>
      <c r="J538" s="1745"/>
      <c r="K538" s="1695"/>
      <c r="L538" s="1745"/>
      <c r="M538" s="1699"/>
      <c r="N538" s="1695"/>
      <c r="O538" s="1695"/>
      <c r="P538" s="1745"/>
      <c r="Q538" s="1745"/>
      <c r="R538" s="1745"/>
      <c r="S538" s="1745"/>
      <c r="T538" s="1745"/>
      <c r="U538" s="1699"/>
      <c r="V538" s="1699"/>
      <c r="W538" s="1695"/>
      <c r="X538" s="1695"/>
      <c r="Y538" s="1695"/>
      <c r="Z538" s="1695"/>
      <c r="AA538" s="1695"/>
      <c r="AB538" s="1699"/>
      <c r="AC538" s="1695"/>
      <c r="AD538" s="1695"/>
      <c r="AE538" s="1695"/>
      <c r="AF538" s="1695"/>
      <c r="AG538" s="1695"/>
      <c r="AH538" s="1699"/>
      <c r="AI538" s="1695"/>
      <c r="AJ538" s="1695"/>
      <c r="AK538" s="1695"/>
      <c r="AL538" s="1695"/>
      <c r="AM538" s="1695"/>
      <c r="AN538" s="1695"/>
      <c r="AO538" s="1699"/>
      <c r="AP538" s="1729"/>
    </row>
    <row r="539" spans="1:42">
      <c r="A539" s="2438"/>
      <c r="B539" s="1695"/>
      <c r="C539" s="1696"/>
      <c r="D539" s="1696"/>
      <c r="E539" s="1695"/>
      <c r="F539" s="1695"/>
      <c r="G539" s="1745"/>
      <c r="H539" s="1745"/>
      <c r="I539" s="1745"/>
      <c r="J539" s="1745"/>
      <c r="K539" s="1695"/>
      <c r="L539" s="1745"/>
      <c r="M539" s="1699"/>
      <c r="N539" s="1695"/>
      <c r="O539" s="1695"/>
      <c r="P539" s="1745"/>
      <c r="Q539" s="1745"/>
      <c r="R539" s="1745"/>
      <c r="S539" s="1745"/>
      <c r="T539" s="1745"/>
      <c r="U539" s="1699"/>
      <c r="V539" s="1699"/>
      <c r="W539" s="1695"/>
      <c r="X539" s="1695"/>
      <c r="Y539" s="1695"/>
      <c r="Z539" s="1695"/>
      <c r="AA539" s="1695"/>
      <c r="AB539" s="1699"/>
      <c r="AC539" s="1695"/>
      <c r="AD539" s="1695"/>
      <c r="AE539" s="1695"/>
      <c r="AF539" s="1695"/>
      <c r="AG539" s="1695"/>
      <c r="AH539" s="1699"/>
      <c r="AI539" s="1695"/>
      <c r="AJ539" s="1695"/>
      <c r="AK539" s="1695"/>
      <c r="AL539" s="1695"/>
      <c r="AM539" s="1695"/>
      <c r="AN539" s="1695"/>
      <c r="AO539" s="1699"/>
      <c r="AP539" s="1729"/>
    </row>
    <row r="540" spans="1:42">
      <c r="A540" s="2438"/>
      <c r="B540" s="1695"/>
      <c r="C540" s="1696"/>
      <c r="D540" s="1696"/>
      <c r="E540" s="1695"/>
      <c r="F540" s="1695"/>
      <c r="G540" s="1745"/>
      <c r="H540" s="1745"/>
      <c r="I540" s="1745"/>
      <c r="J540" s="1745"/>
      <c r="K540" s="1695"/>
      <c r="L540" s="1745"/>
      <c r="M540" s="1699"/>
      <c r="N540" s="1695"/>
      <c r="O540" s="1695"/>
      <c r="P540" s="1745"/>
      <c r="Q540" s="1745"/>
      <c r="R540" s="1745"/>
      <c r="S540" s="1745"/>
      <c r="T540" s="1745"/>
      <c r="U540" s="1699"/>
      <c r="V540" s="1699"/>
      <c r="W540" s="1695"/>
      <c r="X540" s="1695"/>
      <c r="Y540" s="1695"/>
      <c r="Z540" s="1695"/>
      <c r="AA540" s="1695"/>
      <c r="AB540" s="1699"/>
      <c r="AC540" s="1695"/>
      <c r="AD540" s="1695"/>
      <c r="AE540" s="1695"/>
      <c r="AF540" s="1695"/>
      <c r="AG540" s="1695"/>
      <c r="AH540" s="1699"/>
      <c r="AI540" s="1695"/>
      <c r="AJ540" s="1695"/>
      <c r="AK540" s="1695"/>
      <c r="AL540" s="1695"/>
      <c r="AM540" s="1695"/>
      <c r="AN540" s="1695"/>
      <c r="AO540" s="1699"/>
      <c r="AP540" s="1729"/>
    </row>
    <row r="541" spans="1:42">
      <c r="A541" s="2438"/>
      <c r="B541" s="1695"/>
      <c r="C541" s="1696"/>
      <c r="D541" s="1696"/>
      <c r="E541" s="1695"/>
      <c r="F541" s="1695"/>
      <c r="G541" s="1745"/>
      <c r="H541" s="1745"/>
      <c r="I541" s="1745"/>
      <c r="J541" s="1745"/>
      <c r="K541" s="1695"/>
      <c r="L541" s="1745"/>
      <c r="M541" s="1699"/>
      <c r="N541" s="1695"/>
      <c r="O541" s="1695"/>
      <c r="P541" s="1745"/>
      <c r="Q541" s="1745"/>
      <c r="R541" s="1745"/>
      <c r="S541" s="1745"/>
      <c r="T541" s="1745"/>
      <c r="U541" s="1699"/>
      <c r="V541" s="1699"/>
      <c r="W541" s="1695"/>
      <c r="X541" s="1695"/>
      <c r="Y541" s="1695"/>
      <c r="Z541" s="1695"/>
      <c r="AA541" s="1695"/>
      <c r="AB541" s="1699"/>
      <c r="AC541" s="1695"/>
      <c r="AD541" s="1695"/>
      <c r="AE541" s="1695"/>
      <c r="AF541" s="1695"/>
      <c r="AG541" s="1695"/>
      <c r="AH541" s="1699"/>
      <c r="AI541" s="1695"/>
      <c r="AJ541" s="1695"/>
      <c r="AK541" s="1695"/>
      <c r="AL541" s="1695"/>
      <c r="AM541" s="1695"/>
      <c r="AN541" s="1695"/>
      <c r="AO541" s="1699"/>
      <c r="AP541" s="1729"/>
    </row>
    <row r="542" spans="1:42">
      <c r="A542" s="2438"/>
      <c r="B542" s="1695"/>
      <c r="C542" s="1696"/>
      <c r="D542" s="1696"/>
      <c r="E542" s="1695"/>
      <c r="F542" s="1695"/>
      <c r="G542" s="1745"/>
      <c r="H542" s="1745"/>
      <c r="I542" s="1745"/>
      <c r="J542" s="1745"/>
      <c r="K542" s="1695"/>
      <c r="L542" s="1745"/>
      <c r="M542" s="1699"/>
      <c r="N542" s="1695"/>
      <c r="O542" s="1695"/>
      <c r="P542" s="1745"/>
      <c r="Q542" s="1745"/>
      <c r="R542" s="1745"/>
      <c r="S542" s="1745"/>
      <c r="T542" s="1745"/>
      <c r="U542" s="1699"/>
      <c r="V542" s="1699"/>
      <c r="W542" s="1695"/>
      <c r="X542" s="1695"/>
      <c r="Y542" s="1695"/>
      <c r="Z542" s="1695"/>
      <c r="AA542" s="1695"/>
      <c r="AB542" s="1699"/>
      <c r="AC542" s="1695"/>
      <c r="AD542" s="1695"/>
      <c r="AE542" s="1695"/>
      <c r="AF542" s="1695"/>
      <c r="AG542" s="1695"/>
      <c r="AH542" s="1699"/>
      <c r="AI542" s="1695"/>
      <c r="AJ542" s="1695"/>
      <c r="AK542" s="1695"/>
      <c r="AL542" s="1695"/>
      <c r="AM542" s="1695"/>
      <c r="AN542" s="1695"/>
      <c r="AO542" s="1699"/>
      <c r="AP542" s="1729"/>
    </row>
    <row r="543" spans="1:42">
      <c r="A543" s="2438"/>
      <c r="B543" s="1695"/>
      <c r="C543" s="1696"/>
      <c r="D543" s="1696"/>
      <c r="E543" s="1695"/>
      <c r="F543" s="1695"/>
      <c r="G543" s="1745"/>
      <c r="H543" s="1745"/>
      <c r="I543" s="1745"/>
      <c r="J543" s="1745"/>
      <c r="K543" s="1695"/>
      <c r="L543" s="1745"/>
      <c r="M543" s="1699"/>
      <c r="N543" s="1695"/>
      <c r="O543" s="1695"/>
      <c r="P543" s="1745"/>
      <c r="Q543" s="1745"/>
      <c r="R543" s="1745"/>
      <c r="S543" s="1745"/>
      <c r="T543" s="1745"/>
      <c r="U543" s="1699"/>
      <c r="V543" s="1699"/>
      <c r="W543" s="1695"/>
      <c r="X543" s="1695"/>
      <c r="Y543" s="1695"/>
      <c r="Z543" s="1695"/>
      <c r="AA543" s="1695"/>
      <c r="AB543" s="1699"/>
      <c r="AC543" s="1695"/>
      <c r="AD543" s="1695"/>
      <c r="AE543" s="1695"/>
      <c r="AF543" s="1695"/>
      <c r="AG543" s="1695"/>
      <c r="AH543" s="1699"/>
      <c r="AI543" s="1695"/>
      <c r="AJ543" s="1695"/>
      <c r="AK543" s="1695"/>
      <c r="AL543" s="1695"/>
      <c r="AM543" s="1695"/>
      <c r="AN543" s="1695"/>
      <c r="AO543" s="1699"/>
      <c r="AP543" s="1729"/>
    </row>
    <row r="544" spans="1:42">
      <c r="A544" s="2438"/>
      <c r="B544" s="1695"/>
      <c r="C544" s="1696"/>
      <c r="D544" s="1696"/>
      <c r="E544" s="1695"/>
      <c r="F544" s="1695"/>
      <c r="G544" s="1745"/>
      <c r="H544" s="1745"/>
      <c r="I544" s="1745"/>
      <c r="J544" s="1745"/>
      <c r="K544" s="1695"/>
      <c r="L544" s="1745"/>
      <c r="M544" s="1699"/>
      <c r="N544" s="1695"/>
      <c r="O544" s="1695"/>
      <c r="P544" s="1745"/>
      <c r="Q544" s="1745"/>
      <c r="R544" s="1745"/>
      <c r="S544" s="1745"/>
      <c r="T544" s="1745"/>
      <c r="U544" s="1699"/>
      <c r="V544" s="1699"/>
      <c r="W544" s="1695"/>
      <c r="X544" s="1695"/>
      <c r="Y544" s="1695"/>
      <c r="Z544" s="1695"/>
      <c r="AA544" s="1695"/>
      <c r="AB544" s="1699"/>
      <c r="AC544" s="1695"/>
      <c r="AD544" s="1695"/>
      <c r="AE544" s="1695"/>
      <c r="AF544" s="1695"/>
      <c r="AG544" s="1695"/>
      <c r="AH544" s="1699"/>
      <c r="AI544" s="1695"/>
      <c r="AJ544" s="1695"/>
      <c r="AK544" s="1695"/>
      <c r="AL544" s="1695"/>
      <c r="AM544" s="1695"/>
      <c r="AN544" s="1695"/>
      <c r="AO544" s="1699"/>
      <c r="AP544" s="1729"/>
    </row>
    <row r="545" spans="1:42">
      <c r="A545" s="2438"/>
      <c r="B545" s="1695"/>
      <c r="C545" s="1696"/>
      <c r="D545" s="1696"/>
      <c r="E545" s="1695"/>
      <c r="F545" s="1695"/>
      <c r="G545" s="1745"/>
      <c r="H545" s="1745"/>
      <c r="I545" s="1745"/>
      <c r="J545" s="1745"/>
      <c r="K545" s="1695"/>
      <c r="L545" s="1745"/>
      <c r="M545" s="1699"/>
      <c r="N545" s="1695"/>
      <c r="O545" s="1695"/>
      <c r="P545" s="1745"/>
      <c r="Q545" s="1745"/>
      <c r="R545" s="1745"/>
      <c r="S545" s="1745"/>
      <c r="T545" s="1745"/>
      <c r="U545" s="1699"/>
      <c r="V545" s="1699"/>
      <c r="W545" s="1695"/>
      <c r="X545" s="1695"/>
      <c r="Y545" s="1695"/>
      <c r="Z545" s="1695"/>
      <c r="AA545" s="1695"/>
      <c r="AB545" s="1699"/>
      <c r="AC545" s="1695"/>
      <c r="AD545" s="1695"/>
      <c r="AE545" s="1695"/>
      <c r="AF545" s="1695"/>
      <c r="AG545" s="1695"/>
      <c r="AH545" s="1699"/>
      <c r="AI545" s="1695"/>
      <c r="AJ545" s="1695"/>
      <c r="AK545" s="1695"/>
      <c r="AL545" s="1695"/>
      <c r="AM545" s="1695"/>
      <c r="AN545" s="1695"/>
      <c r="AO545" s="1699"/>
      <c r="AP545" s="1729"/>
    </row>
    <row r="546" spans="1:42">
      <c r="A546" s="2438"/>
      <c r="B546" s="1695"/>
      <c r="C546" s="1696"/>
      <c r="D546" s="1696"/>
      <c r="E546" s="1695"/>
      <c r="F546" s="1695"/>
      <c r="G546" s="1745"/>
      <c r="H546" s="1745"/>
      <c r="I546" s="1745"/>
      <c r="J546" s="1745"/>
      <c r="K546" s="1695"/>
      <c r="L546" s="1745"/>
      <c r="M546" s="1699"/>
      <c r="N546" s="1695"/>
      <c r="O546" s="1695"/>
      <c r="P546" s="1745"/>
      <c r="Q546" s="1745"/>
      <c r="R546" s="1745"/>
      <c r="S546" s="1745"/>
      <c r="T546" s="1745"/>
      <c r="U546" s="1699"/>
      <c r="V546" s="1699"/>
      <c r="W546" s="1695"/>
      <c r="X546" s="1695"/>
      <c r="Y546" s="1695"/>
      <c r="Z546" s="1695"/>
      <c r="AA546" s="1695"/>
      <c r="AB546" s="1699"/>
      <c r="AC546" s="1695"/>
      <c r="AD546" s="1695"/>
      <c r="AE546" s="1695"/>
      <c r="AF546" s="1695"/>
      <c r="AG546" s="1695"/>
      <c r="AH546" s="1699"/>
      <c r="AI546" s="1695"/>
      <c r="AJ546" s="1695"/>
      <c r="AK546" s="1695"/>
      <c r="AL546" s="1695"/>
      <c r="AM546" s="1695"/>
      <c r="AN546" s="1695"/>
      <c r="AO546" s="1699"/>
      <c r="AP546" s="1729"/>
    </row>
    <row r="547" spans="1:42">
      <c r="A547" s="2438"/>
      <c r="B547" s="1695"/>
      <c r="C547" s="1696"/>
      <c r="D547" s="1696"/>
      <c r="E547" s="1695"/>
      <c r="F547" s="1695"/>
      <c r="G547" s="1745"/>
      <c r="H547" s="1745"/>
      <c r="I547" s="1745"/>
      <c r="J547" s="1745"/>
      <c r="K547" s="1695"/>
      <c r="L547" s="1745"/>
      <c r="M547" s="1699"/>
      <c r="N547" s="1695"/>
      <c r="O547" s="1695"/>
      <c r="P547" s="1745"/>
      <c r="Q547" s="1745"/>
      <c r="R547" s="1745"/>
      <c r="S547" s="1745"/>
      <c r="T547" s="1745"/>
      <c r="U547" s="1699"/>
      <c r="V547" s="1699"/>
      <c r="W547" s="1695"/>
      <c r="X547" s="1695"/>
      <c r="Y547" s="1695"/>
      <c r="Z547" s="1695"/>
      <c r="AA547" s="1695"/>
      <c r="AB547" s="1699"/>
      <c r="AC547" s="1695"/>
      <c r="AD547" s="1695"/>
      <c r="AE547" s="1695"/>
      <c r="AF547" s="1695"/>
      <c r="AG547" s="1695"/>
      <c r="AH547" s="1699"/>
      <c r="AI547" s="1695"/>
      <c r="AJ547" s="1695"/>
      <c r="AK547" s="1695"/>
      <c r="AL547" s="1695"/>
      <c r="AM547" s="1695"/>
      <c r="AN547" s="1695"/>
      <c r="AO547" s="1699"/>
      <c r="AP547" s="1729"/>
    </row>
    <row r="548" spans="1:42">
      <c r="A548" s="2438"/>
      <c r="B548" s="1695"/>
      <c r="C548" s="1696"/>
      <c r="D548" s="1696"/>
      <c r="E548" s="1695"/>
      <c r="F548" s="1695"/>
      <c r="G548" s="1745"/>
      <c r="H548" s="1745"/>
      <c r="I548" s="1745"/>
      <c r="J548" s="1745"/>
      <c r="K548" s="1695"/>
      <c r="L548" s="1745"/>
      <c r="M548" s="1699"/>
      <c r="N548" s="1695"/>
      <c r="O548" s="1695"/>
      <c r="P548" s="1745"/>
      <c r="Q548" s="1745"/>
      <c r="R548" s="1745"/>
      <c r="S548" s="1745"/>
      <c r="T548" s="1745"/>
      <c r="U548" s="1699"/>
      <c r="V548" s="1699"/>
      <c r="W548" s="1695"/>
      <c r="X548" s="1695"/>
      <c r="Y548" s="1695"/>
      <c r="Z548" s="1695"/>
      <c r="AA548" s="1695"/>
      <c r="AB548" s="1699"/>
      <c r="AC548" s="1695"/>
      <c r="AD548" s="1695"/>
      <c r="AE548" s="1695"/>
      <c r="AF548" s="1695"/>
      <c r="AG548" s="1695"/>
      <c r="AH548" s="1699"/>
      <c r="AI548" s="1695"/>
      <c r="AJ548" s="1695"/>
      <c r="AK548" s="1695"/>
      <c r="AL548" s="1695"/>
      <c r="AM548" s="1695"/>
      <c r="AN548" s="1695"/>
      <c r="AO548" s="1699"/>
      <c r="AP548" s="1729"/>
    </row>
    <row r="549" spans="1:42">
      <c r="A549" s="2438"/>
      <c r="B549" s="1695"/>
      <c r="C549" s="1696"/>
      <c r="D549" s="1696"/>
      <c r="E549" s="1695"/>
      <c r="F549" s="1695"/>
      <c r="G549" s="1745"/>
      <c r="H549" s="1745"/>
      <c r="I549" s="1745"/>
      <c r="J549" s="1745"/>
      <c r="K549" s="1695"/>
      <c r="L549" s="1745"/>
      <c r="M549" s="1699"/>
      <c r="N549" s="1695"/>
      <c r="O549" s="1695"/>
      <c r="P549" s="1745"/>
      <c r="Q549" s="1745"/>
      <c r="R549" s="1745"/>
      <c r="S549" s="1745"/>
      <c r="T549" s="1745"/>
      <c r="U549" s="1699"/>
      <c r="V549" s="1699"/>
      <c r="W549" s="1695"/>
      <c r="X549" s="1695"/>
      <c r="Y549" s="1695"/>
      <c r="Z549" s="1695"/>
      <c r="AA549" s="1695"/>
      <c r="AB549" s="1699"/>
      <c r="AC549" s="1695"/>
      <c r="AD549" s="1695"/>
      <c r="AE549" s="1695"/>
      <c r="AF549" s="1695"/>
      <c r="AG549" s="1695"/>
      <c r="AH549" s="1699"/>
      <c r="AI549" s="1695"/>
      <c r="AJ549" s="1695"/>
      <c r="AK549" s="1695"/>
      <c r="AL549" s="1695"/>
      <c r="AM549" s="1695"/>
      <c r="AN549" s="1695"/>
      <c r="AO549" s="1699"/>
      <c r="AP549" s="1729"/>
    </row>
    <row r="550" spans="1:42">
      <c r="A550" s="2438"/>
      <c r="B550" s="1695"/>
      <c r="C550" s="1696"/>
      <c r="D550" s="1696"/>
      <c r="E550" s="1695"/>
      <c r="F550" s="1695"/>
      <c r="G550" s="1745"/>
      <c r="H550" s="1745"/>
      <c r="I550" s="1745"/>
      <c r="J550" s="1745"/>
      <c r="K550" s="1695"/>
      <c r="L550" s="1745"/>
      <c r="M550" s="1699"/>
      <c r="N550" s="1695"/>
      <c r="O550" s="1695"/>
      <c r="P550" s="1745"/>
      <c r="Q550" s="1745"/>
      <c r="R550" s="1745"/>
      <c r="S550" s="1745"/>
      <c r="T550" s="1745"/>
      <c r="U550" s="1699"/>
      <c r="V550" s="1699"/>
      <c r="W550" s="1695"/>
      <c r="X550" s="1695"/>
      <c r="Y550" s="1695"/>
      <c r="Z550" s="1695"/>
      <c r="AA550" s="1695"/>
      <c r="AB550" s="1699"/>
      <c r="AC550" s="1695"/>
      <c r="AD550" s="1695"/>
      <c r="AE550" s="1695"/>
      <c r="AF550" s="1695"/>
      <c r="AG550" s="1695"/>
      <c r="AH550" s="1699"/>
      <c r="AI550" s="1695"/>
      <c r="AJ550" s="1695"/>
      <c r="AK550" s="1695"/>
      <c r="AL550" s="1695"/>
      <c r="AM550" s="1695"/>
      <c r="AN550" s="1695"/>
      <c r="AO550" s="1699"/>
      <c r="AP550" s="1729"/>
    </row>
    <row r="551" spans="1:42">
      <c r="A551" s="2438"/>
      <c r="B551" s="1695"/>
      <c r="C551" s="1696"/>
      <c r="D551" s="1696"/>
      <c r="E551" s="1695"/>
      <c r="F551" s="1695"/>
      <c r="G551" s="1745"/>
      <c r="H551" s="1745"/>
      <c r="I551" s="1745"/>
      <c r="J551" s="1745"/>
      <c r="K551" s="1695"/>
      <c r="L551" s="1745"/>
      <c r="M551" s="1699"/>
      <c r="N551" s="1695"/>
      <c r="O551" s="1695"/>
      <c r="P551" s="1745"/>
      <c r="Q551" s="1745"/>
      <c r="R551" s="1745"/>
      <c r="S551" s="1745"/>
      <c r="T551" s="1745"/>
      <c r="U551" s="1699"/>
      <c r="V551" s="1699"/>
      <c r="W551" s="1695"/>
      <c r="X551" s="1695"/>
      <c r="Y551" s="1695"/>
      <c r="Z551" s="1695"/>
      <c r="AA551" s="1695"/>
      <c r="AB551" s="1699"/>
      <c r="AC551" s="1695"/>
      <c r="AD551" s="1695"/>
      <c r="AE551" s="1695"/>
      <c r="AF551" s="1695"/>
      <c r="AG551" s="1695"/>
      <c r="AH551" s="1699"/>
      <c r="AI551" s="1695"/>
      <c r="AJ551" s="1695"/>
      <c r="AK551" s="1695"/>
      <c r="AL551" s="1695"/>
      <c r="AM551" s="1695"/>
      <c r="AN551" s="1695"/>
      <c r="AO551" s="1699"/>
      <c r="AP551" s="1729"/>
    </row>
    <row r="552" spans="1:42">
      <c r="A552" s="2438"/>
      <c r="B552" s="1695"/>
      <c r="C552" s="1696"/>
      <c r="D552" s="1696"/>
      <c r="E552" s="1695"/>
      <c r="F552" s="1695"/>
      <c r="G552" s="1745"/>
      <c r="H552" s="1745"/>
      <c r="I552" s="1745"/>
      <c r="J552" s="1745"/>
      <c r="K552" s="1695"/>
      <c r="L552" s="1745"/>
      <c r="M552" s="1699"/>
      <c r="N552" s="1695"/>
      <c r="O552" s="1695"/>
      <c r="P552" s="1745"/>
      <c r="Q552" s="1745"/>
      <c r="R552" s="1745"/>
      <c r="S552" s="1745"/>
      <c r="T552" s="1745"/>
      <c r="U552" s="1699"/>
      <c r="V552" s="1699"/>
      <c r="W552" s="1695"/>
      <c r="X552" s="1695"/>
      <c r="Y552" s="1695"/>
      <c r="Z552" s="1695"/>
      <c r="AA552" s="1695"/>
      <c r="AB552" s="1699"/>
      <c r="AC552" s="1695"/>
      <c r="AD552" s="1695"/>
      <c r="AE552" s="1695"/>
      <c r="AF552" s="1695"/>
      <c r="AG552" s="1695"/>
      <c r="AH552" s="1699"/>
      <c r="AI552" s="1695"/>
      <c r="AJ552" s="1695"/>
      <c r="AK552" s="1695"/>
      <c r="AL552" s="1695"/>
      <c r="AM552" s="1695"/>
      <c r="AN552" s="1695"/>
      <c r="AO552" s="1699"/>
      <c r="AP552" s="1729"/>
    </row>
    <row r="553" spans="1:42">
      <c r="A553" s="2438"/>
      <c r="B553" s="1695"/>
      <c r="C553" s="1696"/>
      <c r="D553" s="1696"/>
      <c r="E553" s="1695"/>
      <c r="F553" s="1695"/>
      <c r="G553" s="1745"/>
      <c r="H553" s="1745"/>
      <c r="I553" s="1745"/>
      <c r="J553" s="1745"/>
      <c r="K553" s="1695"/>
      <c r="L553" s="1745"/>
      <c r="M553" s="1699"/>
      <c r="N553" s="1695"/>
      <c r="O553" s="1695"/>
      <c r="P553" s="1745"/>
      <c r="Q553" s="1745"/>
      <c r="R553" s="1745"/>
      <c r="S553" s="1745"/>
      <c r="T553" s="1745"/>
      <c r="U553" s="1699"/>
      <c r="V553" s="1699"/>
      <c r="W553" s="1695"/>
      <c r="X553" s="1695"/>
      <c r="Y553" s="1695"/>
      <c r="Z553" s="1695"/>
      <c r="AA553" s="1695"/>
      <c r="AB553" s="1699"/>
      <c r="AC553" s="1695"/>
      <c r="AD553" s="1695"/>
      <c r="AE553" s="1695"/>
      <c r="AF553" s="1695"/>
      <c r="AG553" s="1695"/>
      <c r="AH553" s="1699"/>
      <c r="AI553" s="1695"/>
      <c r="AJ553" s="1695"/>
      <c r="AK553" s="1695"/>
      <c r="AL553" s="1695"/>
      <c r="AM553" s="1695"/>
      <c r="AN553" s="1695"/>
      <c r="AO553" s="1699"/>
      <c r="AP553" s="1729"/>
    </row>
    <row r="554" spans="1:42">
      <c r="A554" s="2438"/>
      <c r="B554" s="1695"/>
      <c r="C554" s="1696"/>
      <c r="D554" s="1696"/>
      <c r="E554" s="1695"/>
      <c r="F554" s="1695"/>
      <c r="G554" s="1745"/>
      <c r="H554" s="1745"/>
      <c r="I554" s="1745"/>
      <c r="J554" s="1745"/>
      <c r="K554" s="1695"/>
      <c r="L554" s="1745"/>
      <c r="M554" s="1699"/>
      <c r="N554" s="1695"/>
      <c r="O554" s="1695"/>
      <c r="P554" s="1745"/>
      <c r="Q554" s="1745"/>
      <c r="R554" s="1745"/>
      <c r="S554" s="1745"/>
      <c r="T554" s="1745"/>
      <c r="U554" s="1699"/>
      <c r="V554" s="1699"/>
      <c r="W554" s="1695"/>
      <c r="X554" s="1695"/>
      <c r="Y554" s="1695"/>
      <c r="Z554" s="1695"/>
      <c r="AA554" s="1695"/>
      <c r="AB554" s="1699"/>
      <c r="AC554" s="1695"/>
      <c r="AD554" s="1695"/>
      <c r="AE554" s="1695"/>
      <c r="AF554" s="1695"/>
      <c r="AG554" s="1695"/>
      <c r="AH554" s="1699"/>
      <c r="AI554" s="1695"/>
      <c r="AJ554" s="1695"/>
      <c r="AK554" s="1695"/>
      <c r="AL554" s="1695"/>
      <c r="AM554" s="1695"/>
      <c r="AN554" s="1695"/>
      <c r="AO554" s="1699"/>
      <c r="AP554" s="1729"/>
    </row>
    <row r="555" spans="1:42" ht="9" customHeight="1">
      <c r="A555" s="2438"/>
      <c r="B555" s="1863"/>
      <c r="C555" s="1998"/>
      <c r="D555" s="1998"/>
      <c r="E555" s="1863"/>
      <c r="F555" s="1863"/>
      <c r="G555" s="1999"/>
      <c r="H555" s="1999"/>
      <c r="I555" s="1999"/>
      <c r="J555" s="1999"/>
      <c r="K555" s="1863"/>
      <c r="L555" s="1999"/>
      <c r="M555" s="1862"/>
      <c r="N555" s="1863"/>
      <c r="O555" s="1863"/>
      <c r="P555" s="1999"/>
      <c r="Q555" s="1999"/>
      <c r="R555" s="1999"/>
      <c r="S555" s="1999"/>
      <c r="T555" s="1999"/>
      <c r="U555" s="1862"/>
      <c r="V555" s="1862"/>
      <c r="W555" s="1863"/>
      <c r="X555" s="1863"/>
      <c r="Y555" s="1863"/>
      <c r="Z555" s="1863"/>
      <c r="AA555" s="1863"/>
      <c r="AB555" s="1862"/>
      <c r="AC555" s="1863"/>
      <c r="AD555" s="1863"/>
      <c r="AE555" s="1863"/>
      <c r="AF555" s="1863"/>
      <c r="AG555" s="1863"/>
      <c r="AH555" s="1862"/>
      <c r="AI555" s="1863"/>
      <c r="AJ555" s="1863"/>
      <c r="AK555" s="1863"/>
      <c r="AL555" s="1863"/>
      <c r="AM555" s="1863"/>
      <c r="AN555" s="1863"/>
      <c r="AO555" s="1862"/>
      <c r="AP555" s="1864"/>
    </row>
    <row r="556" spans="1:42" ht="15.75" thickBot="1">
      <c r="A556" s="2438"/>
      <c r="B556" s="1695"/>
      <c r="C556" s="1696"/>
      <c r="D556" s="1696"/>
      <c r="E556" s="1695"/>
      <c r="F556" s="1695"/>
      <c r="G556" s="1745"/>
      <c r="H556" s="1745"/>
      <c r="I556" s="1745"/>
      <c r="J556" s="1745"/>
      <c r="K556" s="1695"/>
      <c r="L556" s="1745"/>
      <c r="M556" s="1699"/>
      <c r="N556" s="1695"/>
      <c r="O556" s="1695"/>
      <c r="P556" s="1745"/>
      <c r="Q556" s="1745"/>
      <c r="R556" s="1745"/>
      <c r="S556" s="1745"/>
      <c r="T556" s="1745"/>
      <c r="U556" s="1699"/>
      <c r="V556" s="1699"/>
      <c r="W556" s="1695"/>
      <c r="X556" s="1695"/>
      <c r="Y556" s="1695"/>
      <c r="Z556" s="1695"/>
      <c r="AA556" s="1695"/>
      <c r="AB556" s="1699"/>
      <c r="AC556" s="1695"/>
      <c r="AD556" s="1695"/>
      <c r="AE556" s="1695"/>
      <c r="AF556" s="1695"/>
      <c r="AG556" s="1695"/>
      <c r="AH556" s="1699"/>
      <c r="AI556" s="1695"/>
      <c r="AJ556" s="1695"/>
      <c r="AK556" s="1695"/>
      <c r="AL556" s="1695"/>
      <c r="AM556" s="1695"/>
      <c r="AN556" s="1695"/>
      <c r="AO556" s="1699"/>
      <c r="AP556" s="1729"/>
    </row>
    <row r="557" spans="1:42" ht="19.5" thickBot="1">
      <c r="A557" s="1746"/>
      <c r="B557" s="1715"/>
      <c r="C557" s="1716"/>
      <c r="D557" s="1716"/>
      <c r="E557" s="1715"/>
      <c r="F557" s="1715"/>
      <c r="G557" s="1717"/>
      <c r="H557" s="1717"/>
      <c r="I557" s="1717"/>
      <c r="J557" s="1717"/>
      <c r="K557" s="1715"/>
      <c r="L557" s="1717"/>
      <c r="M557" s="1718"/>
      <c r="N557" s="1715"/>
      <c r="O557" s="1715"/>
      <c r="P557" s="1717"/>
      <c r="Q557" s="1717"/>
      <c r="R557" s="1717"/>
      <c r="S557" s="1717"/>
      <c r="T557" s="1717"/>
      <c r="U557" s="1718"/>
      <c r="V557" s="1718"/>
      <c r="W557" s="1715"/>
      <c r="X557" s="1715"/>
      <c r="Y557" s="1715"/>
      <c r="Z557" s="1715"/>
      <c r="AA557" s="1715"/>
      <c r="AB557" s="1718"/>
      <c r="AC557" s="1715"/>
      <c r="AD557" s="1715"/>
      <c r="AE557" s="1715"/>
      <c r="AF557" s="1715"/>
      <c r="AG557" s="1715"/>
      <c r="AH557" s="1718"/>
      <c r="AI557" s="1715"/>
      <c r="AJ557" s="1715"/>
      <c r="AK557" s="1715"/>
      <c r="AL557" s="1715"/>
      <c r="AM557" s="1715"/>
      <c r="AN557" s="1715"/>
      <c r="AO557" s="1718"/>
      <c r="AP557" s="1719"/>
    </row>
    <row r="558" spans="1:42">
      <c r="A558" s="2437" t="s">
        <v>919</v>
      </c>
      <c r="B558" s="1844" t="s">
        <v>2071</v>
      </c>
      <c r="C558" s="1721" t="s">
        <v>1907</v>
      </c>
      <c r="D558" s="1721" t="s">
        <v>1440</v>
      </c>
      <c r="E558" s="1916">
        <f>AVERAGE(AO558:AO560)</f>
        <v>6.2E-2</v>
      </c>
      <c r="F558" s="1993"/>
      <c r="G558" s="1951">
        <f>AP558*$BQ$45</f>
        <v>58.274529605283924</v>
      </c>
      <c r="H558" s="1951">
        <f>G558*E558</f>
        <v>3.6130208355276032</v>
      </c>
      <c r="I558" s="1951"/>
      <c r="J558" s="1727"/>
      <c r="K558" s="1994">
        <v>0.24</v>
      </c>
      <c r="L558" s="1995">
        <f>E558*G558*(1+$K$470)</f>
        <v>4.4801458360542279</v>
      </c>
      <c r="M558" s="1743" t="s">
        <v>1942</v>
      </c>
      <c r="N558" s="1782"/>
      <c r="O558" s="1870">
        <v>0.08</v>
      </c>
      <c r="P558" s="1738">
        <v>67.88</v>
      </c>
      <c r="Q558" s="1846">
        <f>O558*P558</f>
        <v>5.4303999999999997</v>
      </c>
      <c r="R558" s="1846"/>
      <c r="S558" s="1846"/>
      <c r="T558" s="1755">
        <f>Q558</f>
        <v>5.4303999999999997</v>
      </c>
      <c r="U558" s="1733" t="s">
        <v>1668</v>
      </c>
      <c r="V558" s="1699"/>
      <c r="W558" s="1695"/>
      <c r="X558" s="1695"/>
      <c r="Y558" s="1695"/>
      <c r="Z558" s="1695"/>
      <c r="AA558" s="1695"/>
      <c r="AB558" s="1699"/>
      <c r="AC558" s="1695"/>
      <c r="AD558" s="1695"/>
      <c r="AE558" s="1695"/>
      <c r="AF558" s="1695"/>
      <c r="AG558" s="1695"/>
      <c r="AH558" s="1699"/>
      <c r="AI558" s="1695"/>
      <c r="AJ558" s="1695"/>
      <c r="AK558" s="1695"/>
      <c r="AL558" s="1695"/>
      <c r="AM558" s="1695"/>
      <c r="AN558" s="1695"/>
      <c r="AO558" s="1757">
        <v>6.2E-2</v>
      </c>
      <c r="AP558" s="1758">
        <v>52.4</v>
      </c>
    </row>
    <row r="559" spans="1:42">
      <c r="A559" s="2438"/>
      <c r="B559" s="1923"/>
      <c r="C559" s="1924"/>
      <c r="D559" s="1924"/>
      <c r="E559" s="1740"/>
      <c r="F559" s="1741"/>
      <c r="G559" s="1843"/>
      <c r="H559" s="1843"/>
      <c r="I559" s="1843"/>
      <c r="J559" s="1843"/>
      <c r="K559" s="1996"/>
      <c r="L559" s="1799"/>
      <c r="M559" s="1740"/>
      <c r="N559" s="1741"/>
      <c r="O559" s="1741"/>
      <c r="P559" s="1843"/>
      <c r="Q559" s="1843"/>
      <c r="R559" s="1843"/>
      <c r="S559" s="1843"/>
      <c r="T559" s="1799"/>
      <c r="U559" s="1733" t="s">
        <v>1669</v>
      </c>
      <c r="V559" s="1699"/>
      <c r="W559" s="1695"/>
      <c r="X559" s="1695"/>
      <c r="Y559" s="1695"/>
      <c r="Z559" s="1695"/>
      <c r="AA559" s="1695"/>
      <c r="AB559" s="1699"/>
      <c r="AC559" s="1695"/>
      <c r="AD559" s="1695"/>
      <c r="AE559" s="1695"/>
      <c r="AF559" s="1695"/>
      <c r="AG559" s="1695"/>
      <c r="AH559" s="1699"/>
      <c r="AI559" s="1695"/>
      <c r="AJ559" s="1695"/>
      <c r="AK559" s="1695"/>
      <c r="AL559" s="1695"/>
      <c r="AM559" s="1695"/>
      <c r="AN559" s="1695"/>
      <c r="AO559" s="1757">
        <v>6.2E-2</v>
      </c>
      <c r="AP559" s="1758">
        <v>52.4</v>
      </c>
    </row>
    <row r="560" spans="1:42">
      <c r="A560" s="2438"/>
      <c r="B560" s="1932"/>
      <c r="C560" s="1933"/>
      <c r="D560" s="1933"/>
      <c r="E560" s="1699"/>
      <c r="F560" s="1695"/>
      <c r="G560" s="1745"/>
      <c r="H560" s="1745"/>
      <c r="I560" s="1745"/>
      <c r="J560" s="1745"/>
      <c r="K560" s="1906"/>
      <c r="L560" s="1805"/>
      <c r="M560" s="1699"/>
      <c r="N560" s="1695"/>
      <c r="O560" s="1695"/>
      <c r="P560" s="1745"/>
      <c r="Q560" s="1745"/>
      <c r="R560" s="1745"/>
      <c r="S560" s="1745"/>
      <c r="T560" s="1805"/>
      <c r="U560" s="1733" t="s">
        <v>1670</v>
      </c>
      <c r="V560" s="1699"/>
      <c r="W560" s="1695"/>
      <c r="X560" s="1695"/>
      <c r="Y560" s="1695"/>
      <c r="Z560" s="1695"/>
      <c r="AA560" s="1695"/>
      <c r="AB560" s="1699"/>
      <c r="AC560" s="1695"/>
      <c r="AD560" s="1695"/>
      <c r="AE560" s="1695"/>
      <c r="AF560" s="1695"/>
      <c r="AG560" s="1695"/>
      <c r="AH560" s="1699"/>
      <c r="AI560" s="1695"/>
      <c r="AJ560" s="1695"/>
      <c r="AK560" s="1695"/>
      <c r="AL560" s="1695"/>
      <c r="AM560" s="1695"/>
      <c r="AN560" s="1695"/>
      <c r="AO560" s="1757">
        <v>6.2E-2</v>
      </c>
      <c r="AP560" s="1758">
        <v>52.4</v>
      </c>
    </row>
    <row r="561" spans="1:42">
      <c r="A561" s="2438"/>
      <c r="B561" s="1695"/>
      <c r="C561" s="1696"/>
      <c r="D561" s="1696"/>
      <c r="E561" s="1695"/>
      <c r="F561" s="1695"/>
      <c r="G561" s="1745"/>
      <c r="H561" s="1745"/>
      <c r="I561" s="1745"/>
      <c r="J561" s="1745"/>
      <c r="K561" s="1695"/>
      <c r="L561" s="1745"/>
      <c r="M561" s="1699"/>
      <c r="N561" s="1695"/>
      <c r="O561" s="1695"/>
      <c r="P561" s="1745"/>
      <c r="Q561" s="1745"/>
      <c r="R561" s="1745"/>
      <c r="S561" s="1745"/>
      <c r="T561" s="1745"/>
      <c r="U561" s="1699"/>
      <c r="V561" s="1699"/>
      <c r="W561" s="1695"/>
      <c r="X561" s="1695"/>
      <c r="Y561" s="1695"/>
      <c r="Z561" s="1695"/>
      <c r="AA561" s="1695"/>
      <c r="AB561" s="1699"/>
      <c r="AC561" s="1695"/>
      <c r="AD561" s="1695"/>
      <c r="AE561" s="1695"/>
      <c r="AF561" s="1695"/>
      <c r="AG561" s="1695"/>
      <c r="AH561" s="1699"/>
      <c r="AI561" s="1695"/>
      <c r="AJ561" s="1695"/>
      <c r="AK561" s="1695"/>
      <c r="AL561" s="1695"/>
      <c r="AM561" s="1695"/>
      <c r="AN561" s="1695"/>
      <c r="AO561" s="1699"/>
      <c r="AP561" s="1729"/>
    </row>
    <row r="562" spans="1:42">
      <c r="A562" s="2438"/>
      <c r="B562" s="1695"/>
      <c r="C562" s="1696"/>
      <c r="D562" s="1696"/>
      <c r="E562" s="1695"/>
      <c r="F562" s="1695"/>
      <c r="G562" s="1745"/>
      <c r="H562" s="1745"/>
      <c r="I562" s="1745"/>
      <c r="J562" s="1745"/>
      <c r="K562" s="1695"/>
      <c r="L562" s="1745"/>
      <c r="M562" s="1699"/>
      <c r="N562" s="1695"/>
      <c r="O562" s="1695"/>
      <c r="P562" s="1745"/>
      <c r="Q562" s="1745"/>
      <c r="R562" s="1745"/>
      <c r="S562" s="1745"/>
      <c r="T562" s="1745"/>
      <c r="U562" s="1699"/>
      <c r="V562" s="1699"/>
      <c r="W562" s="1695"/>
      <c r="X562" s="1695"/>
      <c r="Y562" s="1695"/>
      <c r="Z562" s="1695"/>
      <c r="AA562" s="1695"/>
      <c r="AB562" s="1699"/>
      <c r="AC562" s="1695"/>
      <c r="AD562" s="1695"/>
      <c r="AE562" s="1695"/>
      <c r="AF562" s="1695"/>
      <c r="AG562" s="1695"/>
      <c r="AH562" s="1699"/>
      <c r="AI562" s="1695"/>
      <c r="AJ562" s="1695"/>
      <c r="AK562" s="1695"/>
      <c r="AL562" s="1695"/>
      <c r="AM562" s="1695"/>
      <c r="AN562" s="1695"/>
      <c r="AO562" s="1699"/>
      <c r="AP562" s="1729"/>
    </row>
    <row r="563" spans="1:42">
      <c r="A563" s="2438"/>
      <c r="B563" s="1695"/>
      <c r="C563" s="1696"/>
      <c r="D563" s="1696"/>
      <c r="E563" s="1695"/>
      <c r="F563" s="1695"/>
      <c r="G563" s="1745"/>
      <c r="H563" s="1745"/>
      <c r="I563" s="1745"/>
      <c r="J563" s="1745"/>
      <c r="K563" s="1695"/>
      <c r="L563" s="1745"/>
      <c r="M563" s="1699"/>
      <c r="N563" s="1695"/>
      <c r="O563" s="1695"/>
      <c r="P563" s="1745"/>
      <c r="Q563" s="1745"/>
      <c r="R563" s="1745"/>
      <c r="S563" s="1745"/>
      <c r="T563" s="1745"/>
      <c r="U563" s="1699"/>
      <c r="V563" s="1699"/>
      <c r="W563" s="1695"/>
      <c r="X563" s="1695"/>
      <c r="Y563" s="1695"/>
      <c r="Z563" s="1695"/>
      <c r="AA563" s="1695"/>
      <c r="AB563" s="1699"/>
      <c r="AC563" s="1695"/>
      <c r="AD563" s="1695"/>
      <c r="AE563" s="1695"/>
      <c r="AF563" s="1695"/>
      <c r="AG563" s="1695"/>
      <c r="AH563" s="1699"/>
      <c r="AI563" s="1695"/>
      <c r="AJ563" s="1695"/>
      <c r="AK563" s="1695"/>
      <c r="AL563" s="1695"/>
      <c r="AM563" s="1695"/>
      <c r="AN563" s="1695"/>
      <c r="AO563" s="1699"/>
      <c r="AP563" s="1729"/>
    </row>
    <row r="564" spans="1:42">
      <c r="A564" s="2438"/>
      <c r="B564" s="1695"/>
      <c r="C564" s="1696"/>
      <c r="D564" s="1696"/>
      <c r="E564" s="1695"/>
      <c r="F564" s="1695"/>
      <c r="G564" s="1745"/>
      <c r="H564" s="1745"/>
      <c r="I564" s="1745"/>
      <c r="J564" s="1745"/>
      <c r="K564" s="1695"/>
      <c r="L564" s="1745"/>
      <c r="M564" s="1699"/>
      <c r="N564" s="1695"/>
      <c r="O564" s="1695"/>
      <c r="P564" s="1745"/>
      <c r="Q564" s="1745"/>
      <c r="R564" s="1745"/>
      <c r="S564" s="1745"/>
      <c r="T564" s="1745"/>
      <c r="U564" s="1699"/>
      <c r="V564" s="1699"/>
      <c r="W564" s="1695"/>
      <c r="X564" s="1695"/>
      <c r="Y564" s="1695"/>
      <c r="Z564" s="1695"/>
      <c r="AA564" s="1695"/>
      <c r="AB564" s="1699"/>
      <c r="AC564" s="1695"/>
      <c r="AD564" s="1695"/>
      <c r="AE564" s="1695"/>
      <c r="AF564" s="1695"/>
      <c r="AG564" s="1695"/>
      <c r="AH564" s="1699"/>
      <c r="AI564" s="1695"/>
      <c r="AJ564" s="1695"/>
      <c r="AK564" s="1695"/>
      <c r="AL564" s="1695"/>
      <c r="AM564" s="1695"/>
      <c r="AN564" s="1695"/>
      <c r="AO564" s="1699"/>
      <c r="AP564" s="1729"/>
    </row>
    <row r="565" spans="1:42">
      <c r="A565" s="2438"/>
      <c r="B565" s="1695"/>
      <c r="C565" s="1696"/>
      <c r="D565" s="1696"/>
      <c r="E565" s="1695"/>
      <c r="F565" s="1695"/>
      <c r="G565" s="1745"/>
      <c r="H565" s="1745"/>
      <c r="I565" s="1745"/>
      <c r="J565" s="1745"/>
      <c r="K565" s="1695"/>
      <c r="L565" s="1745"/>
      <c r="M565" s="1699"/>
      <c r="N565" s="1695"/>
      <c r="O565" s="1695"/>
      <c r="P565" s="1745"/>
      <c r="Q565" s="1745"/>
      <c r="R565" s="1745"/>
      <c r="S565" s="1745"/>
      <c r="T565" s="1745"/>
      <c r="U565" s="1699"/>
      <c r="V565" s="1699"/>
      <c r="W565" s="1695"/>
      <c r="X565" s="1695"/>
      <c r="Y565" s="1695"/>
      <c r="Z565" s="1695"/>
      <c r="AA565" s="1695"/>
      <c r="AB565" s="1699"/>
      <c r="AC565" s="1695"/>
      <c r="AD565" s="1695"/>
      <c r="AE565" s="1695"/>
      <c r="AF565" s="1695"/>
      <c r="AG565" s="1695"/>
      <c r="AH565" s="1699"/>
      <c r="AI565" s="1695"/>
      <c r="AJ565" s="1695"/>
      <c r="AK565" s="1695"/>
      <c r="AL565" s="1695"/>
      <c r="AM565" s="1695"/>
      <c r="AN565" s="1695"/>
      <c r="AO565" s="1699"/>
      <c r="AP565" s="1729"/>
    </row>
    <row r="566" spans="1:42">
      <c r="A566" s="2438"/>
      <c r="B566" s="1695"/>
      <c r="C566" s="1696"/>
      <c r="D566" s="1696"/>
      <c r="E566" s="1695"/>
      <c r="F566" s="1695"/>
      <c r="G566" s="1745"/>
      <c r="H566" s="1745"/>
      <c r="I566" s="1745"/>
      <c r="J566" s="1745"/>
      <c r="K566" s="1695"/>
      <c r="L566" s="1745"/>
      <c r="M566" s="1699"/>
      <c r="N566" s="1695"/>
      <c r="O566" s="1695"/>
      <c r="P566" s="1745"/>
      <c r="Q566" s="1745"/>
      <c r="R566" s="1745"/>
      <c r="S566" s="1745"/>
      <c r="T566" s="1745"/>
      <c r="U566" s="1699"/>
      <c r="V566" s="1699"/>
      <c r="W566" s="1695"/>
      <c r="X566" s="1695"/>
      <c r="Y566" s="1695"/>
      <c r="Z566" s="1695"/>
      <c r="AA566" s="1695"/>
      <c r="AB566" s="1699"/>
      <c r="AC566" s="1695"/>
      <c r="AD566" s="1695"/>
      <c r="AE566" s="1695"/>
      <c r="AF566" s="1695"/>
      <c r="AG566" s="1695"/>
      <c r="AH566" s="1699"/>
      <c r="AI566" s="1695"/>
      <c r="AJ566" s="1695"/>
      <c r="AK566" s="1695"/>
      <c r="AL566" s="1695"/>
      <c r="AM566" s="1695"/>
      <c r="AN566" s="1695"/>
      <c r="AO566" s="1699"/>
      <c r="AP566" s="1729"/>
    </row>
    <row r="567" spans="1:42">
      <c r="A567" s="2438"/>
      <c r="B567" s="1695"/>
      <c r="C567" s="1696"/>
      <c r="D567" s="1696"/>
      <c r="E567" s="1695"/>
      <c r="F567" s="1695"/>
      <c r="G567" s="1745"/>
      <c r="H567" s="1745"/>
      <c r="I567" s="1745"/>
      <c r="J567" s="1745"/>
      <c r="K567" s="1695"/>
      <c r="L567" s="1745"/>
      <c r="M567" s="1699"/>
      <c r="N567" s="1695"/>
      <c r="O567" s="1695"/>
      <c r="P567" s="1745"/>
      <c r="Q567" s="1745"/>
      <c r="R567" s="1745"/>
      <c r="S567" s="1745"/>
      <c r="T567" s="1745"/>
      <c r="U567" s="1699"/>
      <c r="V567" s="1699"/>
      <c r="W567" s="1695"/>
      <c r="X567" s="1695"/>
      <c r="Y567" s="1695"/>
      <c r="Z567" s="1695"/>
      <c r="AA567" s="1695"/>
      <c r="AB567" s="1699"/>
      <c r="AC567" s="1695"/>
      <c r="AD567" s="1695"/>
      <c r="AE567" s="1695"/>
      <c r="AF567" s="1695"/>
      <c r="AG567" s="1695"/>
      <c r="AH567" s="1699"/>
      <c r="AI567" s="1695"/>
      <c r="AJ567" s="1695"/>
      <c r="AK567" s="1695"/>
      <c r="AL567" s="1695"/>
      <c r="AM567" s="1695"/>
      <c r="AN567" s="1695"/>
      <c r="AO567" s="1699"/>
      <c r="AP567" s="1729"/>
    </row>
    <row r="568" spans="1:42">
      <c r="A568" s="2438"/>
      <c r="B568" s="1695"/>
      <c r="C568" s="1696"/>
      <c r="D568" s="1696"/>
      <c r="E568" s="1695"/>
      <c r="F568" s="1695"/>
      <c r="G568" s="1745"/>
      <c r="H568" s="1745"/>
      <c r="I568" s="1745"/>
      <c r="J568" s="1745"/>
      <c r="K568" s="1695"/>
      <c r="L568" s="1745"/>
      <c r="M568" s="1699"/>
      <c r="N568" s="1695"/>
      <c r="O568" s="1695"/>
      <c r="P568" s="1745"/>
      <c r="Q568" s="1745"/>
      <c r="R568" s="1745"/>
      <c r="S568" s="1745"/>
      <c r="T568" s="1745"/>
      <c r="U568" s="1699"/>
      <c r="V568" s="1699"/>
      <c r="W568" s="1695"/>
      <c r="X568" s="1695"/>
      <c r="Y568" s="1695"/>
      <c r="Z568" s="1695"/>
      <c r="AA568" s="1695"/>
      <c r="AB568" s="1699"/>
      <c r="AC568" s="1695"/>
      <c r="AD568" s="1695"/>
      <c r="AE568" s="1695"/>
      <c r="AF568" s="1695"/>
      <c r="AG568" s="1695"/>
      <c r="AH568" s="1699"/>
      <c r="AI568" s="1695"/>
      <c r="AJ568" s="1695"/>
      <c r="AK568" s="1695"/>
      <c r="AL568" s="1695"/>
      <c r="AM568" s="1695"/>
      <c r="AN568" s="1695"/>
      <c r="AO568" s="1699"/>
      <c r="AP568" s="1729"/>
    </row>
    <row r="569" spans="1:42">
      <c r="A569" s="2438"/>
      <c r="B569" s="1695"/>
      <c r="C569" s="1696"/>
      <c r="D569" s="1696"/>
      <c r="E569" s="1695"/>
      <c r="F569" s="1695"/>
      <c r="G569" s="1745"/>
      <c r="H569" s="1745"/>
      <c r="I569" s="1745"/>
      <c r="J569" s="1745"/>
      <c r="K569" s="1695"/>
      <c r="L569" s="1745"/>
      <c r="M569" s="1699"/>
      <c r="N569" s="1695"/>
      <c r="O569" s="1695"/>
      <c r="P569" s="1745"/>
      <c r="Q569" s="1745"/>
      <c r="R569" s="1745"/>
      <c r="S569" s="1745"/>
      <c r="T569" s="1745"/>
      <c r="U569" s="1699"/>
      <c r="V569" s="1699"/>
      <c r="W569" s="1695"/>
      <c r="X569" s="1695"/>
      <c r="Y569" s="1695"/>
      <c r="Z569" s="1695"/>
      <c r="AA569" s="1695"/>
      <c r="AB569" s="1699"/>
      <c r="AC569" s="1695"/>
      <c r="AD569" s="1695"/>
      <c r="AE569" s="1695"/>
      <c r="AF569" s="1695"/>
      <c r="AG569" s="1695"/>
      <c r="AH569" s="1699"/>
      <c r="AI569" s="1695"/>
      <c r="AJ569" s="1695"/>
      <c r="AK569" s="1695"/>
      <c r="AL569" s="1695"/>
      <c r="AM569" s="1695"/>
      <c r="AN569" s="1695"/>
      <c r="AO569" s="1699"/>
      <c r="AP569" s="1729"/>
    </row>
    <row r="570" spans="1:42">
      <c r="A570" s="2438"/>
      <c r="B570" s="1695"/>
      <c r="C570" s="1696"/>
      <c r="D570" s="1696"/>
      <c r="E570" s="1695"/>
      <c r="F570" s="1695"/>
      <c r="G570" s="1745"/>
      <c r="H570" s="1745"/>
      <c r="I570" s="1745"/>
      <c r="J570" s="1745"/>
      <c r="K570" s="1695"/>
      <c r="L570" s="1745"/>
      <c r="M570" s="1699"/>
      <c r="N570" s="1695"/>
      <c r="O570" s="1695"/>
      <c r="P570" s="1745"/>
      <c r="Q570" s="1745"/>
      <c r="R570" s="1745"/>
      <c r="S570" s="1745"/>
      <c r="T570" s="1745"/>
      <c r="U570" s="1699"/>
      <c r="V570" s="1699"/>
      <c r="W570" s="1695"/>
      <c r="X570" s="1695"/>
      <c r="Y570" s="1695"/>
      <c r="Z570" s="1695"/>
      <c r="AA570" s="1695"/>
      <c r="AB570" s="1699"/>
      <c r="AC570" s="1695"/>
      <c r="AD570" s="1695"/>
      <c r="AE570" s="1695"/>
      <c r="AF570" s="1695"/>
      <c r="AG570" s="1695"/>
      <c r="AH570" s="1699"/>
      <c r="AI570" s="1695"/>
      <c r="AJ570" s="1695"/>
      <c r="AK570" s="1695"/>
      <c r="AL570" s="1695"/>
      <c r="AM570" s="1695"/>
      <c r="AN570" s="1695"/>
      <c r="AO570" s="1699"/>
      <c r="AP570" s="1729"/>
    </row>
    <row r="571" spans="1:42" ht="9" customHeight="1">
      <c r="A571" s="2438"/>
      <c r="B571" s="1695"/>
      <c r="C571" s="1696"/>
      <c r="D571" s="1696"/>
      <c r="E571" s="1695"/>
      <c r="F571" s="1695"/>
      <c r="G571" s="1745"/>
      <c r="H571" s="1745"/>
      <c r="I571" s="1745"/>
      <c r="J571" s="1745"/>
      <c r="K571" s="1695"/>
      <c r="L571" s="1745"/>
      <c r="M571" s="1699"/>
      <c r="N571" s="1695"/>
      <c r="O571" s="1695"/>
      <c r="P571" s="1745"/>
      <c r="Q571" s="1745"/>
      <c r="R571" s="1745"/>
      <c r="S571" s="1745"/>
      <c r="T571" s="1745"/>
      <c r="U571" s="1699"/>
      <c r="V571" s="1699"/>
      <c r="W571" s="1695"/>
      <c r="X571" s="1695"/>
      <c r="Y571" s="1695"/>
      <c r="Z571" s="1695"/>
      <c r="AA571" s="1695"/>
      <c r="AB571" s="1699"/>
      <c r="AC571" s="1695"/>
      <c r="AD571" s="1695"/>
      <c r="AE571" s="1695"/>
      <c r="AF571" s="1695"/>
      <c r="AG571" s="1695"/>
      <c r="AH571" s="1699"/>
      <c r="AI571" s="1695"/>
      <c r="AJ571" s="1695"/>
      <c r="AK571" s="1695"/>
      <c r="AL571" s="1695"/>
      <c r="AM571" s="1695"/>
      <c r="AN571" s="1695"/>
      <c r="AO571" s="1699"/>
      <c r="AP571" s="1729"/>
    </row>
    <row r="572" spans="1:42" ht="15.75" thickBot="1">
      <c r="A572" s="2439"/>
      <c r="B572" s="1784"/>
      <c r="C572" s="1997"/>
      <c r="D572" s="1997"/>
      <c r="E572" s="1784"/>
      <c r="F572" s="1784"/>
      <c r="G572" s="1904"/>
      <c r="H572" s="1904"/>
      <c r="I572" s="1904"/>
      <c r="J572" s="1904"/>
      <c r="K572" s="1784"/>
      <c r="L572" s="1904"/>
      <c r="M572" s="1783"/>
      <c r="N572" s="1784"/>
      <c r="O572" s="1784"/>
      <c r="P572" s="1904"/>
      <c r="Q572" s="1904"/>
      <c r="R572" s="1904"/>
      <c r="S572" s="1904"/>
      <c r="T572" s="1904"/>
      <c r="U572" s="1783"/>
      <c r="V572" s="1783"/>
      <c r="W572" s="1784"/>
      <c r="X572" s="1784"/>
      <c r="Y572" s="1784"/>
      <c r="Z572" s="1784"/>
      <c r="AA572" s="1784"/>
      <c r="AB572" s="1783"/>
      <c r="AC572" s="1784"/>
      <c r="AD572" s="1784"/>
      <c r="AE572" s="1784"/>
      <c r="AF572" s="1784"/>
      <c r="AG572" s="1784"/>
      <c r="AH572" s="1783"/>
      <c r="AI572" s="1784"/>
      <c r="AJ572" s="1784"/>
      <c r="AK572" s="1784"/>
      <c r="AL572" s="1784"/>
      <c r="AM572" s="1784"/>
      <c r="AN572" s="1784"/>
      <c r="AO572" s="1783"/>
      <c r="AP572" s="1785"/>
    </row>
    <row r="573" spans="1:42" ht="19.5" thickBot="1">
      <c r="A573" s="1746"/>
      <c r="B573" s="1715"/>
      <c r="C573" s="1716"/>
      <c r="D573" s="1716"/>
      <c r="E573" s="1715"/>
      <c r="F573" s="1715"/>
      <c r="G573" s="1717"/>
      <c r="H573" s="1717"/>
      <c r="I573" s="1717"/>
      <c r="J573" s="1717"/>
      <c r="K573" s="1715"/>
      <c r="L573" s="1717"/>
      <c r="M573" s="1718"/>
      <c r="N573" s="1715"/>
      <c r="O573" s="1715"/>
      <c r="P573" s="1717"/>
      <c r="Q573" s="1717"/>
      <c r="R573" s="1717"/>
      <c r="S573" s="1717"/>
      <c r="T573" s="1717"/>
      <c r="U573" s="1718"/>
      <c r="V573" s="1718"/>
      <c r="W573" s="1715"/>
      <c r="X573" s="1715"/>
      <c r="Y573" s="1715"/>
      <c r="Z573" s="1715"/>
      <c r="AA573" s="1715"/>
      <c r="AB573" s="1718"/>
      <c r="AC573" s="1715"/>
      <c r="AD573" s="1715"/>
      <c r="AE573" s="1715"/>
      <c r="AF573" s="1715"/>
      <c r="AG573" s="1715"/>
      <c r="AH573" s="1718"/>
      <c r="AI573" s="1715"/>
      <c r="AJ573" s="1715"/>
      <c r="AK573" s="1715"/>
      <c r="AL573" s="1715"/>
      <c r="AM573" s="1715"/>
      <c r="AN573" s="1715"/>
      <c r="AO573" s="1718"/>
      <c r="AP573" s="1719"/>
    </row>
    <row r="574" spans="1:42">
      <c r="A574" s="2432" t="s">
        <v>922</v>
      </c>
      <c r="B574" s="1844" t="s">
        <v>2071</v>
      </c>
      <c r="C574" s="1721" t="s">
        <v>1907</v>
      </c>
      <c r="D574" s="1721" t="s">
        <v>1440</v>
      </c>
      <c r="E574" s="1722">
        <f>AO574</f>
        <v>0.05</v>
      </c>
      <c r="F574" s="1854"/>
      <c r="G574" s="1724">
        <f>AP574*$BQ$45</f>
        <v>58.274529605283924</v>
      </c>
      <c r="H574" s="1724">
        <f t="shared" ref="H574" si="65">G574*E574</f>
        <v>2.9137264802641965</v>
      </c>
      <c r="I574" s="1724"/>
      <c r="J574" s="1726"/>
      <c r="K574" s="1750">
        <v>0.24</v>
      </c>
      <c r="L574" s="2000">
        <f>E574*G574*(1+K574)</f>
        <v>3.6130208355276037</v>
      </c>
      <c r="M574" s="1743" t="s">
        <v>1942</v>
      </c>
      <c r="N574" s="1782"/>
      <c r="O574" s="1870">
        <v>0.08</v>
      </c>
      <c r="P574" s="1738">
        <v>67.88</v>
      </c>
      <c r="Q574" s="1846">
        <f>O574*P574</f>
        <v>5.4303999999999997</v>
      </c>
      <c r="R574" s="1846"/>
      <c r="S574" s="1846"/>
      <c r="T574" s="1755">
        <f>Q574</f>
        <v>5.4303999999999997</v>
      </c>
      <c r="U574" s="1733" t="s">
        <v>929</v>
      </c>
      <c r="V574" s="1699"/>
      <c r="W574" s="1695"/>
      <c r="X574" s="1695"/>
      <c r="Y574" s="1695"/>
      <c r="Z574" s="1695"/>
      <c r="AA574" s="1695"/>
      <c r="AB574" s="1699"/>
      <c r="AC574" s="1695"/>
      <c r="AD574" s="1695"/>
      <c r="AE574" s="1695"/>
      <c r="AF574" s="1695"/>
      <c r="AG574" s="1695"/>
      <c r="AH574" s="1699"/>
      <c r="AI574" s="1695"/>
      <c r="AJ574" s="1695"/>
      <c r="AK574" s="1695"/>
      <c r="AL574" s="1695"/>
      <c r="AM574" s="1695"/>
      <c r="AN574" s="1695"/>
      <c r="AO574" s="1757">
        <v>0.05</v>
      </c>
      <c r="AP574" s="1758">
        <v>52.4</v>
      </c>
    </row>
    <row r="575" spans="1:42">
      <c r="A575" s="2433"/>
      <c r="B575" s="1695"/>
      <c r="C575" s="1696"/>
      <c r="D575" s="1696"/>
      <c r="E575" s="1695"/>
      <c r="F575" s="1695"/>
      <c r="G575" s="1745"/>
      <c r="H575" s="1745"/>
      <c r="I575" s="1745"/>
      <c r="J575" s="1745"/>
      <c r="K575" s="1695"/>
      <c r="L575" s="1745"/>
      <c r="M575" s="1699"/>
      <c r="N575" s="1695"/>
      <c r="O575" s="1695"/>
      <c r="P575" s="1745"/>
      <c r="Q575" s="1745"/>
      <c r="R575" s="1745"/>
      <c r="S575" s="1745"/>
      <c r="T575" s="1745"/>
      <c r="U575" s="1699"/>
      <c r="V575" s="1699"/>
      <c r="W575" s="1695"/>
      <c r="X575" s="1695"/>
      <c r="Y575" s="1695"/>
      <c r="Z575" s="1695"/>
      <c r="AA575" s="1695"/>
      <c r="AB575" s="1699"/>
      <c r="AC575" s="1695"/>
      <c r="AD575" s="1695"/>
      <c r="AE575" s="1695"/>
      <c r="AF575" s="1695"/>
      <c r="AG575" s="1695"/>
      <c r="AH575" s="1699"/>
      <c r="AI575" s="1695"/>
      <c r="AJ575" s="1695"/>
      <c r="AK575" s="1695"/>
      <c r="AL575" s="1695"/>
      <c r="AM575" s="1695"/>
      <c r="AN575" s="1695"/>
      <c r="AO575" s="1699"/>
      <c r="AP575" s="1729"/>
    </row>
    <row r="576" spans="1:42">
      <c r="A576" s="2433"/>
      <c r="B576" s="1695"/>
      <c r="C576" s="1696"/>
      <c r="D576" s="1696"/>
      <c r="E576" s="1695"/>
      <c r="F576" s="1695"/>
      <c r="G576" s="1745"/>
      <c r="H576" s="1745"/>
      <c r="I576" s="1745"/>
      <c r="J576" s="1745"/>
      <c r="K576" s="1695"/>
      <c r="L576" s="1745"/>
      <c r="M576" s="1699"/>
      <c r="N576" s="1695"/>
      <c r="O576" s="1695"/>
      <c r="P576" s="1745"/>
      <c r="Q576" s="1745"/>
      <c r="R576" s="1745"/>
      <c r="S576" s="1745"/>
      <c r="T576" s="1745"/>
      <c r="U576" s="1699"/>
      <c r="V576" s="1699"/>
      <c r="W576" s="1695"/>
      <c r="X576" s="1695"/>
      <c r="Y576" s="1695"/>
      <c r="Z576" s="1695"/>
      <c r="AA576" s="1695"/>
      <c r="AB576" s="1699"/>
      <c r="AC576" s="1695"/>
      <c r="AD576" s="1695"/>
      <c r="AE576" s="1695"/>
      <c r="AF576" s="1695"/>
      <c r="AG576" s="1695"/>
      <c r="AH576" s="1699"/>
      <c r="AI576" s="1695"/>
      <c r="AJ576" s="1695"/>
      <c r="AK576" s="1695"/>
      <c r="AL576" s="1695"/>
      <c r="AM576" s="1695"/>
      <c r="AN576" s="1695"/>
      <c r="AO576" s="1699"/>
      <c r="AP576" s="1729"/>
    </row>
    <row r="577" spans="1:42">
      <c r="A577" s="2433"/>
      <c r="B577" s="1695"/>
      <c r="C577" s="1696"/>
      <c r="D577" s="1696"/>
      <c r="E577" s="1695"/>
      <c r="F577" s="1695"/>
      <c r="G577" s="1745"/>
      <c r="H577" s="1745"/>
      <c r="I577" s="1745"/>
      <c r="J577" s="1745"/>
      <c r="K577" s="1695"/>
      <c r="L577" s="1745"/>
      <c r="M577" s="1699"/>
      <c r="N577" s="1695"/>
      <c r="O577" s="1695"/>
      <c r="P577" s="1745"/>
      <c r="Q577" s="1745"/>
      <c r="R577" s="1745"/>
      <c r="S577" s="1745"/>
      <c r="T577" s="1745"/>
      <c r="U577" s="1699"/>
      <c r="V577" s="1699"/>
      <c r="W577" s="1695"/>
      <c r="X577" s="1695"/>
      <c r="Y577" s="1695"/>
      <c r="Z577" s="1695"/>
      <c r="AA577" s="1695"/>
      <c r="AB577" s="1699"/>
      <c r="AC577" s="1695"/>
      <c r="AD577" s="1695"/>
      <c r="AE577" s="1695"/>
      <c r="AF577" s="1695"/>
      <c r="AG577" s="1695"/>
      <c r="AH577" s="1699"/>
      <c r="AI577" s="1695"/>
      <c r="AJ577" s="1695"/>
      <c r="AK577" s="1695"/>
      <c r="AL577" s="1695"/>
      <c r="AM577" s="1695"/>
      <c r="AN577" s="1695"/>
      <c r="AO577" s="1699"/>
      <c r="AP577" s="1729"/>
    </row>
    <row r="578" spans="1:42">
      <c r="A578" s="2433"/>
      <c r="B578" s="1695"/>
      <c r="C578" s="1696"/>
      <c r="D578" s="1696"/>
      <c r="E578" s="1695"/>
      <c r="F578" s="1695"/>
      <c r="G578" s="1745"/>
      <c r="H578" s="1745"/>
      <c r="I578" s="1745"/>
      <c r="J578" s="1745"/>
      <c r="K578" s="1695"/>
      <c r="L578" s="1745"/>
      <c r="M578" s="1699"/>
      <c r="N578" s="1695"/>
      <c r="O578" s="1695"/>
      <c r="P578" s="1745"/>
      <c r="Q578" s="1745"/>
      <c r="R578" s="1745"/>
      <c r="S578" s="1745"/>
      <c r="T578" s="1745"/>
      <c r="U578" s="1699"/>
      <c r="V578" s="1699"/>
      <c r="W578" s="1695"/>
      <c r="X578" s="1695"/>
      <c r="Y578" s="1695"/>
      <c r="Z578" s="1695"/>
      <c r="AA578" s="1695"/>
      <c r="AB578" s="1699"/>
      <c r="AC578" s="1695"/>
      <c r="AD578" s="1695"/>
      <c r="AE578" s="1695"/>
      <c r="AF578" s="1695"/>
      <c r="AG578" s="1695"/>
      <c r="AH578" s="1699"/>
      <c r="AI578" s="1695"/>
      <c r="AJ578" s="1695"/>
      <c r="AK578" s="1695"/>
      <c r="AL578" s="1695"/>
      <c r="AM578" s="1695"/>
      <c r="AN578" s="1695"/>
      <c r="AO578" s="1699"/>
      <c r="AP578" s="1729"/>
    </row>
    <row r="579" spans="1:42">
      <c r="A579" s="2433"/>
      <c r="B579" s="1695"/>
      <c r="C579" s="1696"/>
      <c r="D579" s="1696"/>
      <c r="E579" s="1695"/>
      <c r="F579" s="1695"/>
      <c r="G579" s="1745"/>
      <c r="H579" s="1745"/>
      <c r="I579" s="1745"/>
      <c r="J579" s="1745"/>
      <c r="K579" s="1695"/>
      <c r="L579" s="1745"/>
      <c r="M579" s="1699"/>
      <c r="N579" s="1695"/>
      <c r="O579" s="1695"/>
      <c r="P579" s="1745"/>
      <c r="Q579" s="1745"/>
      <c r="R579" s="1745"/>
      <c r="S579" s="1745"/>
      <c r="T579" s="1745"/>
      <c r="U579" s="1699"/>
      <c r="V579" s="1699"/>
      <c r="W579" s="1695"/>
      <c r="X579" s="1695"/>
      <c r="Y579" s="1695"/>
      <c r="Z579" s="1695"/>
      <c r="AA579" s="1695"/>
      <c r="AB579" s="1699"/>
      <c r="AC579" s="1695"/>
      <c r="AD579" s="1695"/>
      <c r="AE579" s="1695"/>
      <c r="AF579" s="1695"/>
      <c r="AG579" s="1695"/>
      <c r="AH579" s="1699"/>
      <c r="AI579" s="1695"/>
      <c r="AJ579" s="1695"/>
      <c r="AK579" s="1695"/>
      <c r="AL579" s="1695"/>
      <c r="AM579" s="1695"/>
      <c r="AN579" s="1695"/>
      <c r="AO579" s="1699"/>
      <c r="AP579" s="1729"/>
    </row>
    <row r="580" spans="1:42">
      <c r="A580" s="2433"/>
      <c r="B580" s="1695"/>
      <c r="C580" s="1696"/>
      <c r="D580" s="1696"/>
      <c r="E580" s="1695"/>
      <c r="F580" s="1695"/>
      <c r="G580" s="1745"/>
      <c r="H580" s="1745"/>
      <c r="I580" s="1745"/>
      <c r="J580" s="1745"/>
      <c r="K580" s="1695"/>
      <c r="L580" s="1745"/>
      <c r="M580" s="1699"/>
      <c r="N580" s="1695"/>
      <c r="O580" s="1695"/>
      <c r="P580" s="1745"/>
      <c r="Q580" s="1745"/>
      <c r="R580" s="1745"/>
      <c r="S580" s="1745"/>
      <c r="T580" s="1745"/>
      <c r="U580" s="1699"/>
      <c r="V580" s="1699"/>
      <c r="W580" s="1695"/>
      <c r="X580" s="1695"/>
      <c r="Y580" s="1695"/>
      <c r="Z580" s="1695"/>
      <c r="AA580" s="1695"/>
      <c r="AB580" s="1699"/>
      <c r="AC580" s="1695"/>
      <c r="AD580" s="1695"/>
      <c r="AE580" s="1695"/>
      <c r="AF580" s="1695"/>
      <c r="AG580" s="1695"/>
      <c r="AH580" s="1699"/>
      <c r="AI580" s="1695"/>
      <c r="AJ580" s="1695"/>
      <c r="AK580" s="1695"/>
      <c r="AL580" s="1695"/>
      <c r="AM580" s="1695"/>
      <c r="AN580" s="1695"/>
      <c r="AO580" s="1699"/>
      <c r="AP580" s="1729"/>
    </row>
    <row r="581" spans="1:42">
      <c r="A581" s="2433"/>
      <c r="B581" s="1695"/>
      <c r="C581" s="1696"/>
      <c r="D581" s="1696"/>
      <c r="E581" s="1695"/>
      <c r="F581" s="1695"/>
      <c r="G581" s="1745"/>
      <c r="H581" s="1745"/>
      <c r="I581" s="1745"/>
      <c r="J581" s="1745"/>
      <c r="K581" s="1695"/>
      <c r="L581" s="1745"/>
      <c r="M581" s="1699"/>
      <c r="N581" s="1695"/>
      <c r="O581" s="1695"/>
      <c r="P581" s="1745"/>
      <c r="Q581" s="1745"/>
      <c r="R581" s="1745"/>
      <c r="S581" s="1745"/>
      <c r="T581" s="1745"/>
      <c r="U581" s="1699"/>
      <c r="V581" s="1699"/>
      <c r="W581" s="1695"/>
      <c r="X581" s="1695"/>
      <c r="Y581" s="1695"/>
      <c r="Z581" s="1695"/>
      <c r="AA581" s="1695"/>
      <c r="AB581" s="1699"/>
      <c r="AC581" s="1695"/>
      <c r="AD581" s="1695"/>
      <c r="AE581" s="1695"/>
      <c r="AF581" s="1695"/>
      <c r="AG581" s="1695"/>
      <c r="AH581" s="1699"/>
      <c r="AI581" s="1695"/>
      <c r="AJ581" s="1695"/>
      <c r="AK581" s="1695"/>
      <c r="AL581" s="1695"/>
      <c r="AM581" s="1695"/>
      <c r="AN581" s="1695"/>
      <c r="AO581" s="1699"/>
      <c r="AP581" s="1729"/>
    </row>
    <row r="582" spans="1:42">
      <c r="A582" s="2433"/>
      <c r="B582" s="1695"/>
      <c r="C582" s="1696"/>
      <c r="D582" s="1696"/>
      <c r="E582" s="1695"/>
      <c r="F582" s="1695"/>
      <c r="G582" s="1745"/>
      <c r="H582" s="1745"/>
      <c r="I582" s="1745"/>
      <c r="J582" s="1745"/>
      <c r="K582" s="1695"/>
      <c r="L582" s="1745"/>
      <c r="M582" s="1699"/>
      <c r="N582" s="1695"/>
      <c r="O582" s="1695"/>
      <c r="P582" s="1745"/>
      <c r="Q582" s="1745"/>
      <c r="R582" s="1745"/>
      <c r="S582" s="1745"/>
      <c r="T582" s="1745"/>
      <c r="U582" s="1699"/>
      <c r="V582" s="1699"/>
      <c r="W582" s="1695"/>
      <c r="X582" s="1695"/>
      <c r="Y582" s="1695"/>
      <c r="Z582" s="1695"/>
      <c r="AA582" s="1695"/>
      <c r="AB582" s="1699"/>
      <c r="AC582" s="1695"/>
      <c r="AD582" s="1695"/>
      <c r="AE582" s="1695"/>
      <c r="AF582" s="1695"/>
      <c r="AG582" s="1695"/>
      <c r="AH582" s="1699"/>
      <c r="AI582" s="1695"/>
      <c r="AJ582" s="1695"/>
      <c r="AK582" s="1695"/>
      <c r="AL582" s="1695"/>
      <c r="AM582" s="1695"/>
      <c r="AN582" s="1695"/>
      <c r="AO582" s="1699"/>
      <c r="AP582" s="1729"/>
    </row>
    <row r="583" spans="1:42">
      <c r="A583" s="2433"/>
      <c r="B583" s="1695"/>
      <c r="C583" s="1696"/>
      <c r="D583" s="1696"/>
      <c r="E583" s="1695"/>
      <c r="F583" s="1695"/>
      <c r="G583" s="1745"/>
      <c r="H583" s="1745"/>
      <c r="I583" s="1745"/>
      <c r="J583" s="1745"/>
      <c r="K583" s="1695"/>
      <c r="L583" s="1745"/>
      <c r="M583" s="1699"/>
      <c r="N583" s="1695"/>
      <c r="O583" s="1695"/>
      <c r="P583" s="1745"/>
      <c r="Q583" s="1745"/>
      <c r="R583" s="1745"/>
      <c r="S583" s="1745"/>
      <c r="T583" s="1745"/>
      <c r="U583" s="1699"/>
      <c r="V583" s="1699"/>
      <c r="W583" s="1695"/>
      <c r="X583" s="1695"/>
      <c r="Y583" s="1695"/>
      <c r="Z583" s="1695"/>
      <c r="AA583" s="1695"/>
      <c r="AB583" s="1699"/>
      <c r="AC583" s="1695"/>
      <c r="AD583" s="1695"/>
      <c r="AE583" s="1695"/>
      <c r="AF583" s="1695"/>
      <c r="AG583" s="1695"/>
      <c r="AH583" s="1699"/>
      <c r="AI583" s="1695"/>
      <c r="AJ583" s="1695"/>
      <c r="AK583" s="1695"/>
      <c r="AL583" s="1695"/>
      <c r="AM583" s="1695"/>
      <c r="AN583" s="1695"/>
      <c r="AO583" s="1699"/>
      <c r="AP583" s="1729"/>
    </row>
    <row r="584" spans="1:42">
      <c r="A584" s="2433"/>
      <c r="B584" s="1695"/>
      <c r="C584" s="1696"/>
      <c r="D584" s="1696"/>
      <c r="E584" s="1695"/>
      <c r="F584" s="1695"/>
      <c r="G584" s="1745"/>
      <c r="H584" s="1745"/>
      <c r="I584" s="1745"/>
      <c r="J584" s="1745"/>
      <c r="K584" s="1695"/>
      <c r="L584" s="1745"/>
      <c r="M584" s="1699"/>
      <c r="N584" s="1695"/>
      <c r="O584" s="1695"/>
      <c r="P584" s="1745"/>
      <c r="Q584" s="1745"/>
      <c r="R584" s="1745"/>
      <c r="S584" s="1745"/>
      <c r="T584" s="1745"/>
      <c r="U584" s="1699"/>
      <c r="V584" s="1699"/>
      <c r="W584" s="1695"/>
      <c r="X584" s="1695"/>
      <c r="Y584" s="1695"/>
      <c r="Z584" s="1695"/>
      <c r="AA584" s="1695"/>
      <c r="AB584" s="1699"/>
      <c r="AC584" s="1695"/>
      <c r="AD584" s="1695"/>
      <c r="AE584" s="1695"/>
      <c r="AF584" s="1695"/>
      <c r="AG584" s="1695"/>
      <c r="AH584" s="1699"/>
      <c r="AI584" s="1695"/>
      <c r="AJ584" s="1695"/>
      <c r="AK584" s="1695"/>
      <c r="AL584" s="1695"/>
      <c r="AM584" s="1695"/>
      <c r="AN584" s="1695"/>
      <c r="AO584" s="1699"/>
      <c r="AP584" s="1729"/>
    </row>
    <row r="585" spans="1:42">
      <c r="A585" s="2433"/>
      <c r="B585" s="1695"/>
      <c r="C585" s="1696"/>
      <c r="D585" s="1696"/>
      <c r="E585" s="1695"/>
      <c r="F585" s="1695"/>
      <c r="G585" s="1745"/>
      <c r="H585" s="1745"/>
      <c r="I585" s="1745"/>
      <c r="J585" s="1745"/>
      <c r="K585" s="1695"/>
      <c r="L585" s="1745"/>
      <c r="M585" s="1699"/>
      <c r="N585" s="1695"/>
      <c r="O585" s="1695"/>
      <c r="P585" s="1745"/>
      <c r="Q585" s="1745"/>
      <c r="R585" s="1745"/>
      <c r="S585" s="1745"/>
      <c r="T585" s="1745"/>
      <c r="U585" s="1699"/>
      <c r="V585" s="1699"/>
      <c r="W585" s="1695"/>
      <c r="X585" s="1695"/>
      <c r="Y585" s="1695"/>
      <c r="Z585" s="1695"/>
      <c r="AA585" s="1695"/>
      <c r="AB585" s="1699"/>
      <c r="AC585" s="1695"/>
      <c r="AD585" s="1695"/>
      <c r="AE585" s="1695"/>
      <c r="AF585" s="1695"/>
      <c r="AG585" s="1695"/>
      <c r="AH585" s="1699"/>
      <c r="AI585" s="1695"/>
      <c r="AJ585" s="1695"/>
      <c r="AK585" s="1695"/>
      <c r="AL585" s="1695"/>
      <c r="AM585" s="1695"/>
      <c r="AN585" s="1695"/>
      <c r="AO585" s="1699"/>
      <c r="AP585" s="1729"/>
    </row>
    <row r="586" spans="1:42">
      <c r="A586" s="2433"/>
      <c r="B586" s="1695"/>
      <c r="C586" s="1696"/>
      <c r="D586" s="1696"/>
      <c r="E586" s="1695"/>
      <c r="F586" s="1695"/>
      <c r="G586" s="1745"/>
      <c r="H586" s="1745"/>
      <c r="I586" s="1745"/>
      <c r="J586" s="1745"/>
      <c r="K586" s="1695"/>
      <c r="L586" s="1745"/>
      <c r="M586" s="1699"/>
      <c r="N586" s="1695"/>
      <c r="O586" s="1695"/>
      <c r="P586" s="1745"/>
      <c r="Q586" s="1745"/>
      <c r="R586" s="1745"/>
      <c r="S586" s="1745"/>
      <c r="T586" s="1745"/>
      <c r="U586" s="1699"/>
      <c r="V586" s="1699"/>
      <c r="W586" s="1695"/>
      <c r="X586" s="1695"/>
      <c r="Y586" s="1695"/>
      <c r="Z586" s="1695"/>
      <c r="AA586" s="1695"/>
      <c r="AB586" s="1699"/>
      <c r="AC586" s="1695"/>
      <c r="AD586" s="1695"/>
      <c r="AE586" s="1695"/>
      <c r="AF586" s="1695"/>
      <c r="AG586" s="1695"/>
      <c r="AH586" s="1699"/>
      <c r="AI586" s="1695"/>
      <c r="AJ586" s="1695"/>
      <c r="AK586" s="1695"/>
      <c r="AL586" s="1695"/>
      <c r="AM586" s="1695"/>
      <c r="AN586" s="1695"/>
      <c r="AO586" s="1699"/>
      <c r="AP586" s="1729"/>
    </row>
    <row r="587" spans="1:42" ht="9" customHeight="1">
      <c r="A587" s="2433"/>
      <c r="B587" s="1695"/>
      <c r="C587" s="1696"/>
      <c r="D587" s="1696"/>
      <c r="E587" s="1695"/>
      <c r="F587" s="1695"/>
      <c r="G587" s="1745"/>
      <c r="H587" s="1745"/>
      <c r="I587" s="1745"/>
      <c r="J587" s="1745"/>
      <c r="K587" s="1695"/>
      <c r="L587" s="1745"/>
      <c r="M587" s="1699"/>
      <c r="N587" s="1695"/>
      <c r="O587" s="1695"/>
      <c r="P587" s="1745"/>
      <c r="Q587" s="1745"/>
      <c r="R587" s="1745"/>
      <c r="S587" s="1745"/>
      <c r="T587" s="1745"/>
      <c r="U587" s="1699"/>
      <c r="V587" s="1699"/>
      <c r="W587" s="1695"/>
      <c r="X587" s="1695"/>
      <c r="Y587" s="1695"/>
      <c r="Z587" s="1695"/>
      <c r="AA587" s="1695"/>
      <c r="AB587" s="1699"/>
      <c r="AC587" s="1695"/>
      <c r="AD587" s="1695"/>
      <c r="AE587" s="1695"/>
      <c r="AF587" s="1695"/>
      <c r="AG587" s="1695"/>
      <c r="AH587" s="1699"/>
      <c r="AI587" s="1695"/>
      <c r="AJ587" s="1695"/>
      <c r="AK587" s="1695"/>
      <c r="AL587" s="1695"/>
      <c r="AM587" s="1695"/>
      <c r="AN587" s="1695"/>
      <c r="AO587" s="1699"/>
      <c r="AP587" s="1729"/>
    </row>
    <row r="588" spans="1:42" ht="15.75" thickBot="1">
      <c r="A588" s="2440"/>
      <c r="B588" s="1784"/>
      <c r="C588" s="1997"/>
      <c r="D588" s="1997"/>
      <c r="E588" s="1784"/>
      <c r="F588" s="1784"/>
      <c r="G588" s="1904"/>
      <c r="H588" s="1904"/>
      <c r="I588" s="1904"/>
      <c r="J588" s="1904"/>
      <c r="K588" s="1784"/>
      <c r="L588" s="1904"/>
      <c r="M588" s="1783"/>
      <c r="N588" s="1784"/>
      <c r="O588" s="1784"/>
      <c r="P588" s="1904"/>
      <c r="Q588" s="1904"/>
      <c r="R588" s="1904"/>
      <c r="S588" s="1904"/>
      <c r="T588" s="1904"/>
      <c r="U588" s="1783"/>
      <c r="V588" s="1783"/>
      <c r="W588" s="1784"/>
      <c r="X588" s="1784"/>
      <c r="Y588" s="1784"/>
      <c r="Z588" s="1784"/>
      <c r="AA588" s="1784"/>
      <c r="AB588" s="1783"/>
      <c r="AC588" s="1784"/>
      <c r="AD588" s="1784"/>
      <c r="AE588" s="1784"/>
      <c r="AF588" s="1784"/>
      <c r="AG588" s="1784"/>
      <c r="AH588" s="1783"/>
      <c r="AI588" s="1784"/>
      <c r="AJ588" s="1784"/>
      <c r="AK588" s="1784"/>
      <c r="AL588" s="1784"/>
      <c r="AM588" s="1784"/>
      <c r="AN588" s="1784"/>
      <c r="AO588" s="1783"/>
      <c r="AP588" s="1785"/>
    </row>
    <row r="589" spans="1:42" ht="19.5" thickBot="1">
      <c r="A589" s="1746"/>
      <c r="B589" s="1715"/>
      <c r="C589" s="1716"/>
      <c r="D589" s="1716"/>
      <c r="E589" s="1715"/>
      <c r="F589" s="1715"/>
      <c r="G589" s="1717"/>
      <c r="H589" s="1717"/>
      <c r="I589" s="1717"/>
      <c r="J589" s="1717"/>
      <c r="K589" s="1715"/>
      <c r="L589" s="1717"/>
      <c r="M589" s="1718"/>
      <c r="N589" s="1715"/>
      <c r="O589" s="1715"/>
      <c r="P589" s="1717"/>
      <c r="Q589" s="1717"/>
      <c r="R589" s="1717"/>
      <c r="S589" s="1717"/>
      <c r="T589" s="1717"/>
      <c r="U589" s="1718"/>
      <c r="V589" s="1718"/>
      <c r="W589" s="1715"/>
      <c r="X589" s="1715"/>
      <c r="Y589" s="1715"/>
      <c r="Z589" s="1715"/>
      <c r="AA589" s="1715"/>
      <c r="AB589" s="1718"/>
      <c r="AC589" s="1715"/>
      <c r="AD589" s="1715"/>
      <c r="AE589" s="1715"/>
      <c r="AF589" s="1715"/>
      <c r="AG589" s="1715"/>
      <c r="AH589" s="1718"/>
      <c r="AI589" s="1715"/>
      <c r="AJ589" s="1715"/>
      <c r="AK589" s="1715"/>
      <c r="AL589" s="1715"/>
      <c r="AM589" s="1715"/>
      <c r="AN589" s="1715"/>
      <c r="AO589" s="1718"/>
      <c r="AP589" s="1719"/>
    </row>
    <row r="590" spans="1:42">
      <c r="A590" s="2437" t="s">
        <v>923</v>
      </c>
      <c r="B590" s="1844" t="s">
        <v>2071</v>
      </c>
      <c r="C590" s="1721" t="s">
        <v>1907</v>
      </c>
      <c r="D590" s="1721" t="s">
        <v>1440</v>
      </c>
      <c r="E590" s="1916">
        <f>AVERAGE(AO590:AO592)</f>
        <v>7.9629999999999992E-2</v>
      </c>
      <c r="F590" s="1993"/>
      <c r="G590" s="1951">
        <f>AP590*$BQ$45</f>
        <v>58.274529605283924</v>
      </c>
      <c r="H590" s="1951">
        <f>G590*E590</f>
        <v>4.6404007924687587</v>
      </c>
      <c r="I590" s="1951"/>
      <c r="J590" s="1727"/>
      <c r="K590" s="1994">
        <v>0.24</v>
      </c>
      <c r="L590" s="1995">
        <f>E590*G590*(1+$K$470)</f>
        <v>5.7540969826612605</v>
      </c>
      <c r="M590" s="1743" t="s">
        <v>1942</v>
      </c>
      <c r="N590" s="1782"/>
      <c r="O590" s="1870">
        <v>0.08</v>
      </c>
      <c r="P590" s="1738">
        <v>67.88</v>
      </c>
      <c r="Q590" s="1846">
        <f>O590*P590</f>
        <v>5.4303999999999997</v>
      </c>
      <c r="R590" s="1846"/>
      <c r="S590" s="1846"/>
      <c r="T590" s="1755">
        <f>Q590</f>
        <v>5.4303999999999997</v>
      </c>
      <c r="U590" s="1733" t="s">
        <v>1665</v>
      </c>
      <c r="V590" s="1699"/>
      <c r="W590" s="1695"/>
      <c r="X590" s="1695"/>
      <c r="Y590" s="1695"/>
      <c r="Z590" s="1695"/>
      <c r="AA590" s="1695"/>
      <c r="AB590" s="1699"/>
      <c r="AC590" s="1695"/>
      <c r="AD590" s="1695"/>
      <c r="AE590" s="1695"/>
      <c r="AF590" s="1695"/>
      <c r="AG590" s="1695"/>
      <c r="AH590" s="1699"/>
      <c r="AI590" s="1695"/>
      <c r="AJ590" s="1695"/>
      <c r="AK590" s="1695"/>
      <c r="AL590" s="1695"/>
      <c r="AM590" s="1695"/>
      <c r="AN590" s="1695"/>
      <c r="AO590" s="1757">
        <v>8.8889999999999997E-2</v>
      </c>
      <c r="AP590" s="1758">
        <v>52.4</v>
      </c>
    </row>
    <row r="591" spans="1:42">
      <c r="A591" s="2438"/>
      <c r="B591" s="1923"/>
      <c r="C591" s="1924"/>
      <c r="D591" s="1924"/>
      <c r="E591" s="1740"/>
      <c r="F591" s="1741"/>
      <c r="G591" s="1843"/>
      <c r="H591" s="1843"/>
      <c r="I591" s="1843"/>
      <c r="J591" s="1843"/>
      <c r="K591" s="1996"/>
      <c r="L591" s="1799"/>
      <c r="M591" s="1699"/>
      <c r="N591" s="1695"/>
      <c r="O591" s="1695"/>
      <c r="P591" s="1745"/>
      <c r="Q591" s="1745"/>
      <c r="R591" s="1745"/>
      <c r="S591" s="1745"/>
      <c r="T591" s="1745"/>
      <c r="U591" s="1733" t="s">
        <v>1666</v>
      </c>
      <c r="V591" s="1699"/>
      <c r="W591" s="1695"/>
      <c r="X591" s="1695"/>
      <c r="Y591" s="1695"/>
      <c r="Z591" s="1695"/>
      <c r="AA591" s="1695"/>
      <c r="AB591" s="1699"/>
      <c r="AC591" s="1695"/>
      <c r="AD591" s="1695"/>
      <c r="AE591" s="1695"/>
      <c r="AF591" s="1695"/>
      <c r="AG591" s="1695"/>
      <c r="AH591" s="1699"/>
      <c r="AI591" s="1695"/>
      <c r="AJ591" s="1695"/>
      <c r="AK591" s="1695"/>
      <c r="AL591" s="1695"/>
      <c r="AM591" s="1695"/>
      <c r="AN591" s="1695"/>
      <c r="AO591" s="1757">
        <v>0.1</v>
      </c>
      <c r="AP591" s="1758">
        <v>52.4</v>
      </c>
    </row>
    <row r="592" spans="1:42">
      <c r="A592" s="2438"/>
      <c r="B592" s="1932"/>
      <c r="C592" s="1933"/>
      <c r="D592" s="1933"/>
      <c r="E592" s="1699"/>
      <c r="F592" s="1695"/>
      <c r="G592" s="1745"/>
      <c r="H592" s="1745"/>
      <c r="I592" s="1745"/>
      <c r="J592" s="1745"/>
      <c r="K592" s="1906"/>
      <c r="L592" s="1805"/>
      <c r="M592" s="1699"/>
      <c r="N592" s="1695"/>
      <c r="O592" s="1695"/>
      <c r="P592" s="1745"/>
      <c r="Q592" s="1745"/>
      <c r="R592" s="1745"/>
      <c r="S592" s="1745"/>
      <c r="T592" s="1745"/>
      <c r="U592" s="1733" t="s">
        <v>1667</v>
      </c>
      <c r="V592" s="1699"/>
      <c r="W592" s="1695"/>
      <c r="X592" s="1695"/>
      <c r="Y592" s="1695"/>
      <c r="Z592" s="1695"/>
      <c r="AA592" s="1695"/>
      <c r="AB592" s="1699"/>
      <c r="AC592" s="1695"/>
      <c r="AD592" s="1695"/>
      <c r="AE592" s="1695"/>
      <c r="AF592" s="1695"/>
      <c r="AG592" s="1695"/>
      <c r="AH592" s="1699"/>
      <c r="AI592" s="1695"/>
      <c r="AJ592" s="1695"/>
      <c r="AK592" s="1695"/>
      <c r="AL592" s="1695"/>
      <c r="AM592" s="1695"/>
      <c r="AN592" s="1695"/>
      <c r="AO592" s="1757">
        <v>0.05</v>
      </c>
      <c r="AP592" s="1758">
        <v>52.4</v>
      </c>
    </row>
    <row r="593" spans="1:42">
      <c r="A593" s="2438"/>
      <c r="B593" s="1695"/>
      <c r="C593" s="1696"/>
      <c r="D593" s="1696"/>
      <c r="E593" s="1695"/>
      <c r="F593" s="1695"/>
      <c r="G593" s="1745"/>
      <c r="H593" s="1745"/>
      <c r="I593" s="1745"/>
      <c r="J593" s="1745"/>
      <c r="K593" s="1695"/>
      <c r="L593" s="1745"/>
      <c r="M593" s="1699"/>
      <c r="N593" s="1695"/>
      <c r="O593" s="1695"/>
      <c r="P593" s="1745"/>
      <c r="Q593" s="1745"/>
      <c r="R593" s="1745"/>
      <c r="S593" s="1745"/>
      <c r="T593" s="1745"/>
      <c r="U593" s="1733" t="s">
        <v>929</v>
      </c>
      <c r="V593" s="1699"/>
      <c r="W593" s="1695"/>
      <c r="X593" s="1695"/>
      <c r="Y593" s="1695"/>
      <c r="Z593" s="1695"/>
      <c r="AA593" s="1695"/>
      <c r="AB593" s="1699"/>
      <c r="AC593" s="1695"/>
      <c r="AD593" s="1695"/>
      <c r="AE593" s="1695"/>
      <c r="AF593" s="1695"/>
      <c r="AG593" s="1695"/>
      <c r="AH593" s="1699"/>
      <c r="AI593" s="1695"/>
      <c r="AJ593" s="1695"/>
      <c r="AK593" s="1695"/>
      <c r="AL593" s="1695"/>
      <c r="AM593" s="1695"/>
      <c r="AN593" s="1695"/>
      <c r="AO593" s="1757">
        <v>0.05</v>
      </c>
      <c r="AP593" s="1758">
        <v>52.4</v>
      </c>
    </row>
    <row r="594" spans="1:42">
      <c r="A594" s="2438"/>
      <c r="B594" s="1695"/>
      <c r="C594" s="1696"/>
      <c r="D594" s="1696"/>
      <c r="E594" s="1695"/>
      <c r="F594" s="1695"/>
      <c r="G594" s="1745"/>
      <c r="H594" s="1745"/>
      <c r="I594" s="1745"/>
      <c r="J594" s="1745"/>
      <c r="K594" s="1695"/>
      <c r="L594" s="1745"/>
      <c r="M594" s="1699"/>
      <c r="N594" s="1695"/>
      <c r="O594" s="1695"/>
      <c r="P594" s="1745"/>
      <c r="Q594" s="1745"/>
      <c r="R594" s="1745"/>
      <c r="S594" s="1745"/>
      <c r="T594" s="1745"/>
      <c r="U594" s="1699"/>
      <c r="V594" s="1699"/>
      <c r="W594" s="1695"/>
      <c r="X594" s="1695"/>
      <c r="Y594" s="1695"/>
      <c r="Z594" s="1695"/>
      <c r="AA594" s="1695"/>
      <c r="AB594" s="1699"/>
      <c r="AC594" s="1695"/>
      <c r="AD594" s="1695"/>
      <c r="AE594" s="1695"/>
      <c r="AF594" s="1695"/>
      <c r="AG594" s="1695"/>
      <c r="AH594" s="1699"/>
      <c r="AI594" s="1695"/>
      <c r="AJ594" s="1695"/>
      <c r="AK594" s="1695"/>
      <c r="AL594" s="1695"/>
      <c r="AM594" s="1695"/>
      <c r="AN594" s="1695"/>
      <c r="AO594" s="1699"/>
      <c r="AP594" s="1729"/>
    </row>
    <row r="595" spans="1:42">
      <c r="A595" s="2438"/>
      <c r="B595" s="1695"/>
      <c r="C595" s="1696"/>
      <c r="D595" s="1696"/>
      <c r="E595" s="1695"/>
      <c r="F595" s="1695"/>
      <c r="G595" s="1745"/>
      <c r="H595" s="1745"/>
      <c r="I595" s="1745"/>
      <c r="J595" s="1745"/>
      <c r="K595" s="1695"/>
      <c r="L595" s="1745"/>
      <c r="M595" s="1699"/>
      <c r="N595" s="1695"/>
      <c r="O595" s="1695"/>
      <c r="P595" s="1745"/>
      <c r="Q595" s="1745"/>
      <c r="R595" s="1745"/>
      <c r="S595" s="1745"/>
      <c r="T595" s="1745"/>
      <c r="U595" s="1699"/>
      <c r="V595" s="1699"/>
      <c r="W595" s="1695"/>
      <c r="X595" s="1695"/>
      <c r="Y595" s="1695"/>
      <c r="Z595" s="1695"/>
      <c r="AA595" s="1695"/>
      <c r="AB595" s="1699"/>
      <c r="AC595" s="1695"/>
      <c r="AD595" s="1695"/>
      <c r="AE595" s="1695"/>
      <c r="AF595" s="1695"/>
      <c r="AG595" s="1695"/>
      <c r="AH595" s="1699"/>
      <c r="AI595" s="1695"/>
      <c r="AJ595" s="1695"/>
      <c r="AK595" s="1695"/>
      <c r="AL595" s="1695"/>
      <c r="AM595" s="1695"/>
      <c r="AN595" s="1695"/>
      <c r="AO595" s="1699"/>
      <c r="AP595" s="1729"/>
    </row>
    <row r="596" spans="1:42">
      <c r="A596" s="2438"/>
      <c r="B596" s="1695"/>
      <c r="C596" s="1696"/>
      <c r="D596" s="1696"/>
      <c r="E596" s="1695"/>
      <c r="F596" s="1695"/>
      <c r="G596" s="1745"/>
      <c r="H596" s="1745"/>
      <c r="I596" s="1745"/>
      <c r="J596" s="1745"/>
      <c r="K596" s="1695"/>
      <c r="L596" s="1745"/>
      <c r="M596" s="1699"/>
      <c r="N596" s="1695"/>
      <c r="O596" s="1695"/>
      <c r="P596" s="1745"/>
      <c r="Q596" s="1745"/>
      <c r="R596" s="1745"/>
      <c r="S596" s="1745"/>
      <c r="T596" s="1745"/>
      <c r="U596" s="1699"/>
      <c r="V596" s="1699"/>
      <c r="W596" s="1695"/>
      <c r="X596" s="1695"/>
      <c r="Y596" s="1695"/>
      <c r="Z596" s="1695"/>
      <c r="AA596" s="1695"/>
      <c r="AB596" s="1699"/>
      <c r="AC596" s="1695"/>
      <c r="AD596" s="1695"/>
      <c r="AE596" s="1695"/>
      <c r="AF596" s="1695"/>
      <c r="AG596" s="1695"/>
      <c r="AH596" s="1699"/>
      <c r="AI596" s="1695"/>
      <c r="AJ596" s="1695"/>
      <c r="AK596" s="1695"/>
      <c r="AL596" s="1695"/>
      <c r="AM596" s="1695"/>
      <c r="AN596" s="1695"/>
      <c r="AO596" s="1699"/>
      <c r="AP596" s="1729"/>
    </row>
    <row r="597" spans="1:42">
      <c r="A597" s="2438"/>
      <c r="B597" s="1695"/>
      <c r="C597" s="1696"/>
      <c r="D597" s="1696"/>
      <c r="E597" s="1695"/>
      <c r="F597" s="1695"/>
      <c r="G597" s="1745"/>
      <c r="H597" s="1745"/>
      <c r="I597" s="1745"/>
      <c r="J597" s="1745"/>
      <c r="K597" s="1695"/>
      <c r="L597" s="1745"/>
      <c r="M597" s="1699"/>
      <c r="N597" s="1695"/>
      <c r="O597" s="1695"/>
      <c r="P597" s="1745"/>
      <c r="Q597" s="1745"/>
      <c r="R597" s="1745"/>
      <c r="S597" s="1745"/>
      <c r="T597" s="1745"/>
      <c r="U597" s="1699"/>
      <c r="V597" s="1699"/>
      <c r="W597" s="1695"/>
      <c r="X597" s="1695"/>
      <c r="Y597" s="1695"/>
      <c r="Z597" s="1695"/>
      <c r="AA597" s="1695"/>
      <c r="AB597" s="1699"/>
      <c r="AC597" s="1695"/>
      <c r="AD597" s="1695"/>
      <c r="AE597" s="1695"/>
      <c r="AF597" s="1695"/>
      <c r="AG597" s="1695"/>
      <c r="AH597" s="1699"/>
      <c r="AI597" s="1695"/>
      <c r="AJ597" s="1695"/>
      <c r="AK597" s="1695"/>
      <c r="AL597" s="1695"/>
      <c r="AM597" s="1695"/>
      <c r="AN597" s="1695"/>
      <c r="AO597" s="1699"/>
      <c r="AP597" s="1729"/>
    </row>
    <row r="598" spans="1:42">
      <c r="A598" s="2438"/>
      <c r="B598" s="1695"/>
      <c r="C598" s="1696"/>
      <c r="D598" s="1696"/>
      <c r="E598" s="1695"/>
      <c r="F598" s="1695"/>
      <c r="G598" s="1745"/>
      <c r="H598" s="1745"/>
      <c r="I598" s="1745"/>
      <c r="J598" s="1745"/>
      <c r="K598" s="1695"/>
      <c r="L598" s="1745"/>
      <c r="M598" s="1699"/>
      <c r="N598" s="1695"/>
      <c r="O598" s="1695"/>
      <c r="P598" s="1745"/>
      <c r="Q598" s="1745"/>
      <c r="R598" s="1745"/>
      <c r="S598" s="1745"/>
      <c r="T598" s="1745"/>
      <c r="U598" s="1699"/>
      <c r="V598" s="1699"/>
      <c r="W598" s="1695"/>
      <c r="X598" s="1695"/>
      <c r="Y598" s="1695"/>
      <c r="Z598" s="1695"/>
      <c r="AA598" s="1695"/>
      <c r="AB598" s="1699"/>
      <c r="AC598" s="1695"/>
      <c r="AD598" s="1695"/>
      <c r="AE598" s="1695"/>
      <c r="AF598" s="1695"/>
      <c r="AG598" s="1695"/>
      <c r="AH598" s="1699"/>
      <c r="AI598" s="1695"/>
      <c r="AJ598" s="1695"/>
      <c r="AK598" s="1695"/>
      <c r="AL598" s="1695"/>
      <c r="AM598" s="1695"/>
      <c r="AN598" s="1695"/>
      <c r="AO598" s="1699"/>
      <c r="AP598" s="1729"/>
    </row>
    <row r="599" spans="1:42" ht="9" customHeight="1">
      <c r="A599" s="2438"/>
      <c r="B599" s="1695"/>
      <c r="C599" s="1696"/>
      <c r="D599" s="1696"/>
      <c r="E599" s="1695"/>
      <c r="F599" s="1695"/>
      <c r="G599" s="1745"/>
      <c r="H599" s="1745"/>
      <c r="I599" s="1745"/>
      <c r="J599" s="1745"/>
      <c r="K599" s="1695"/>
      <c r="L599" s="1745"/>
      <c r="M599" s="1699"/>
      <c r="N599" s="1695"/>
      <c r="O599" s="1695"/>
      <c r="P599" s="1745"/>
      <c r="Q599" s="1745"/>
      <c r="R599" s="1745"/>
      <c r="S599" s="1745"/>
      <c r="T599" s="1745"/>
      <c r="U599" s="1699"/>
      <c r="V599" s="1699"/>
      <c r="W599" s="1695"/>
      <c r="X599" s="1695"/>
      <c r="Y599" s="1695"/>
      <c r="Z599" s="1695"/>
      <c r="AA599" s="1695"/>
      <c r="AB599" s="1699"/>
      <c r="AC599" s="1695"/>
      <c r="AD599" s="1695"/>
      <c r="AE599" s="1695"/>
      <c r="AF599" s="1695"/>
      <c r="AG599" s="1695"/>
      <c r="AH599" s="1699"/>
      <c r="AI599" s="1695"/>
      <c r="AJ599" s="1695"/>
      <c r="AK599" s="1695"/>
      <c r="AL599" s="1695"/>
      <c r="AM599" s="1695"/>
      <c r="AN599" s="1695"/>
      <c r="AO599" s="1699"/>
      <c r="AP599" s="1729"/>
    </row>
    <row r="600" spans="1:42" ht="15.75" thickBot="1">
      <c r="A600" s="2439"/>
      <c r="B600" s="1784"/>
      <c r="C600" s="1997"/>
      <c r="D600" s="1997"/>
      <c r="E600" s="1784"/>
      <c r="F600" s="1784"/>
      <c r="G600" s="1904"/>
      <c r="H600" s="1904"/>
      <c r="I600" s="1904"/>
      <c r="J600" s="1904"/>
      <c r="K600" s="1784"/>
      <c r="L600" s="1904"/>
      <c r="M600" s="1783"/>
      <c r="N600" s="1784"/>
      <c r="O600" s="1784"/>
      <c r="P600" s="1904"/>
      <c r="Q600" s="1904"/>
      <c r="R600" s="1904"/>
      <c r="S600" s="1904"/>
      <c r="T600" s="1904"/>
      <c r="U600" s="1783"/>
      <c r="V600" s="1783"/>
      <c r="W600" s="1784"/>
      <c r="X600" s="1784"/>
      <c r="Y600" s="1784"/>
      <c r="Z600" s="1784"/>
      <c r="AA600" s="1784"/>
      <c r="AB600" s="1783"/>
      <c r="AC600" s="1784"/>
      <c r="AD600" s="1784"/>
      <c r="AE600" s="1784"/>
      <c r="AF600" s="1784"/>
      <c r="AG600" s="1784"/>
      <c r="AH600" s="1783"/>
      <c r="AI600" s="1784"/>
      <c r="AJ600" s="1784"/>
      <c r="AK600" s="1784"/>
      <c r="AL600" s="1784"/>
      <c r="AM600" s="1784"/>
      <c r="AN600" s="1784"/>
      <c r="AO600" s="1783"/>
      <c r="AP600" s="1785"/>
    </row>
    <row r="601" spans="1:42" ht="19.5" thickBot="1">
      <c r="A601" s="1746"/>
      <c r="B601" s="1715"/>
      <c r="C601" s="1716"/>
      <c r="D601" s="1716"/>
      <c r="E601" s="1715"/>
      <c r="F601" s="1715"/>
      <c r="G601" s="1717"/>
      <c r="H601" s="1717"/>
      <c r="I601" s="1717"/>
      <c r="J601" s="1717"/>
      <c r="K601" s="1715"/>
      <c r="L601" s="1717"/>
      <c r="M601" s="1718"/>
      <c r="N601" s="1715"/>
      <c r="O601" s="1715"/>
      <c r="P601" s="1717"/>
      <c r="Q601" s="1717"/>
      <c r="R601" s="1717"/>
      <c r="S601" s="1717"/>
      <c r="T601" s="1717"/>
      <c r="U601" s="1718"/>
      <c r="V601" s="1718"/>
      <c r="W601" s="1715"/>
      <c r="X601" s="1715"/>
      <c r="Y601" s="1715"/>
      <c r="Z601" s="1715"/>
      <c r="AA601" s="1715"/>
      <c r="AB601" s="1718"/>
      <c r="AC601" s="1715"/>
      <c r="AD601" s="1715"/>
      <c r="AE601" s="1715"/>
      <c r="AF601" s="1715"/>
      <c r="AG601" s="1715"/>
      <c r="AH601" s="1718"/>
      <c r="AI601" s="1715"/>
      <c r="AJ601" s="1715"/>
      <c r="AK601" s="1715"/>
      <c r="AL601" s="1715"/>
      <c r="AM601" s="1715"/>
      <c r="AN601" s="1715"/>
      <c r="AO601" s="1718"/>
      <c r="AP601" s="1719"/>
    </row>
    <row r="602" spans="1:42">
      <c r="A602" s="2432" t="s">
        <v>926</v>
      </c>
      <c r="B602" s="1844" t="s">
        <v>2071</v>
      </c>
      <c r="C602" s="1721" t="s">
        <v>1907</v>
      </c>
      <c r="D602" s="1721" t="s">
        <v>1440</v>
      </c>
      <c r="E602" s="1845">
        <f>E532</f>
        <v>7.9629999999999992E-2</v>
      </c>
      <c r="F602" s="1854"/>
      <c r="G602" s="1724">
        <f>G532</f>
        <v>58.274529605283924</v>
      </c>
      <c r="H602" s="1724">
        <f t="shared" ref="H602" si="66">G602*E602</f>
        <v>4.6404007924687587</v>
      </c>
      <c r="I602" s="1724"/>
      <c r="J602" s="1726"/>
      <c r="K602" s="1750">
        <v>0.24</v>
      </c>
      <c r="L602" s="2000">
        <f>E602*G602*(1+K602)</f>
        <v>5.7540969826612605</v>
      </c>
      <c r="M602" s="1743" t="s">
        <v>1942</v>
      </c>
      <c r="N602" s="1782"/>
      <c r="O602" s="1870">
        <v>0.08</v>
      </c>
      <c r="P602" s="1738">
        <v>67.88</v>
      </c>
      <c r="Q602" s="1846">
        <f>O602*P602</f>
        <v>5.4303999999999997</v>
      </c>
      <c r="R602" s="1846"/>
      <c r="S602" s="1846"/>
      <c r="T602" s="1755">
        <f>Q602</f>
        <v>5.4303999999999997</v>
      </c>
      <c r="U602" s="1733" t="s">
        <v>1667</v>
      </c>
      <c r="V602" s="1699"/>
      <c r="W602" s="1695"/>
      <c r="X602" s="1695"/>
      <c r="Y602" s="1695"/>
      <c r="Z602" s="1695"/>
      <c r="AA602" s="1695"/>
      <c r="AB602" s="1699"/>
      <c r="AC602" s="1695"/>
      <c r="AD602" s="1695"/>
      <c r="AE602" s="1695"/>
      <c r="AF602" s="1695"/>
      <c r="AG602" s="1695"/>
      <c r="AH602" s="1699"/>
      <c r="AI602" s="1695"/>
      <c r="AJ602" s="1695"/>
      <c r="AK602" s="1695"/>
      <c r="AL602" s="1695"/>
      <c r="AM602" s="1695"/>
      <c r="AN602" s="1695"/>
      <c r="AO602" s="1757">
        <v>0.05</v>
      </c>
      <c r="AP602" s="1758">
        <v>52.4</v>
      </c>
    </row>
    <row r="603" spans="1:42">
      <c r="A603" s="2433"/>
      <c r="B603" s="1695"/>
      <c r="C603" s="1696"/>
      <c r="D603" s="1696"/>
      <c r="E603" s="1695"/>
      <c r="F603" s="1695"/>
      <c r="G603" s="1745"/>
      <c r="H603" s="1745"/>
      <c r="I603" s="1745"/>
      <c r="J603" s="1745"/>
      <c r="K603" s="1695"/>
      <c r="L603" s="1745"/>
      <c r="M603" s="1699"/>
      <c r="N603" s="1695"/>
      <c r="O603" s="1695"/>
      <c r="P603" s="1745"/>
      <c r="Q603" s="1745"/>
      <c r="R603" s="1745"/>
      <c r="S603" s="1745"/>
      <c r="T603" s="1745"/>
      <c r="U603" s="1699"/>
      <c r="V603" s="1699"/>
      <c r="W603" s="1695"/>
      <c r="X603" s="1695"/>
      <c r="Y603" s="1695"/>
      <c r="Z603" s="1695"/>
      <c r="AA603" s="1695"/>
      <c r="AB603" s="1699"/>
      <c r="AC603" s="1695"/>
      <c r="AD603" s="1695"/>
      <c r="AE603" s="1695"/>
      <c r="AF603" s="1695"/>
      <c r="AG603" s="1695"/>
      <c r="AH603" s="1699"/>
      <c r="AI603" s="1695"/>
      <c r="AJ603" s="1695"/>
      <c r="AK603" s="1695"/>
      <c r="AL603" s="1695"/>
      <c r="AM603" s="1695"/>
      <c r="AN603" s="1695"/>
      <c r="AO603" s="1699"/>
      <c r="AP603" s="1729"/>
    </row>
    <row r="604" spans="1:42">
      <c r="A604" s="2433"/>
      <c r="B604" s="1695"/>
      <c r="C604" s="1696"/>
      <c r="D604" s="1696"/>
      <c r="E604" s="1695"/>
      <c r="F604" s="1695"/>
      <c r="G604" s="1745"/>
      <c r="H604" s="1745"/>
      <c r="I604" s="1745"/>
      <c r="J604" s="1745"/>
      <c r="K604" s="1695"/>
      <c r="L604" s="1745"/>
      <c r="M604" s="1699"/>
      <c r="N604" s="1695"/>
      <c r="O604" s="1695"/>
      <c r="P604" s="1745"/>
      <c r="Q604" s="1745"/>
      <c r="R604" s="1745"/>
      <c r="S604" s="1745"/>
      <c r="T604" s="1745"/>
      <c r="U604" s="1699"/>
      <c r="V604" s="1699"/>
      <c r="W604" s="1695"/>
      <c r="X604" s="1695"/>
      <c r="Y604" s="1695"/>
      <c r="Z604" s="1695"/>
      <c r="AA604" s="1695"/>
      <c r="AB604" s="1699"/>
      <c r="AC604" s="1695"/>
      <c r="AD604" s="1695"/>
      <c r="AE604" s="1695"/>
      <c r="AF604" s="1695"/>
      <c r="AG604" s="1695"/>
      <c r="AH604" s="1699"/>
      <c r="AI604" s="1695"/>
      <c r="AJ604" s="1695"/>
      <c r="AK604" s="1695"/>
      <c r="AL604" s="1695"/>
      <c r="AM604" s="1695"/>
      <c r="AN604" s="1695"/>
      <c r="AO604" s="1699"/>
      <c r="AP604" s="1729"/>
    </row>
    <row r="605" spans="1:42">
      <c r="A605" s="2433"/>
      <c r="B605" s="1695"/>
      <c r="C605" s="1696"/>
      <c r="D605" s="1696"/>
      <c r="E605" s="1695"/>
      <c r="F605" s="1695"/>
      <c r="G605" s="1745"/>
      <c r="H605" s="1745"/>
      <c r="I605" s="1745"/>
      <c r="J605" s="1745"/>
      <c r="K605" s="1695"/>
      <c r="L605" s="1745"/>
      <c r="M605" s="1699"/>
      <c r="N605" s="1695"/>
      <c r="O605" s="1695"/>
      <c r="P605" s="1745"/>
      <c r="Q605" s="1745"/>
      <c r="R605" s="1745"/>
      <c r="S605" s="1745"/>
      <c r="T605" s="1745"/>
      <c r="U605" s="1699"/>
      <c r="V605" s="1699"/>
      <c r="W605" s="1695"/>
      <c r="X605" s="1695"/>
      <c r="Y605" s="1695"/>
      <c r="Z605" s="1695"/>
      <c r="AA605" s="1695"/>
      <c r="AB605" s="1699"/>
      <c r="AC605" s="1695"/>
      <c r="AD605" s="1695"/>
      <c r="AE605" s="1695"/>
      <c r="AF605" s="1695"/>
      <c r="AG605" s="1695"/>
      <c r="AH605" s="1699"/>
      <c r="AI605" s="1695"/>
      <c r="AJ605" s="1695"/>
      <c r="AK605" s="1695"/>
      <c r="AL605" s="1695"/>
      <c r="AM605" s="1695"/>
      <c r="AN605" s="1695"/>
      <c r="AO605" s="1699"/>
      <c r="AP605" s="1729"/>
    </row>
    <row r="606" spans="1:42">
      <c r="A606" s="2433"/>
      <c r="B606" s="1695"/>
      <c r="C606" s="1696"/>
      <c r="D606" s="1696"/>
      <c r="E606" s="1695"/>
      <c r="F606" s="1695"/>
      <c r="G606" s="1745"/>
      <c r="H606" s="1745"/>
      <c r="I606" s="1745"/>
      <c r="J606" s="1745"/>
      <c r="K606" s="1695"/>
      <c r="L606" s="1745"/>
      <c r="M606" s="1699"/>
      <c r="N606" s="1695"/>
      <c r="O606" s="1695"/>
      <c r="P606" s="1745"/>
      <c r="Q606" s="1745"/>
      <c r="R606" s="1745"/>
      <c r="S606" s="1745"/>
      <c r="T606" s="1745"/>
      <c r="U606" s="1699"/>
      <c r="V606" s="1699"/>
      <c r="W606" s="1695"/>
      <c r="X606" s="1695"/>
      <c r="Y606" s="1695"/>
      <c r="Z606" s="1695"/>
      <c r="AA606" s="1695"/>
      <c r="AB606" s="1699"/>
      <c r="AC606" s="1695"/>
      <c r="AD606" s="1695"/>
      <c r="AE606" s="1695"/>
      <c r="AF606" s="1695"/>
      <c r="AG606" s="1695"/>
      <c r="AH606" s="1699"/>
      <c r="AI606" s="1695"/>
      <c r="AJ606" s="1695"/>
      <c r="AK606" s="1695"/>
      <c r="AL606" s="1695"/>
      <c r="AM606" s="1695"/>
      <c r="AN606" s="1695"/>
      <c r="AO606" s="1699"/>
      <c r="AP606" s="1729"/>
    </row>
    <row r="607" spans="1:42">
      <c r="A607" s="2433"/>
      <c r="B607" s="1695"/>
      <c r="C607" s="1696"/>
      <c r="D607" s="1696"/>
      <c r="E607" s="1695"/>
      <c r="F607" s="1695"/>
      <c r="G607" s="1745"/>
      <c r="H607" s="1745"/>
      <c r="I607" s="1745"/>
      <c r="J607" s="1745"/>
      <c r="K607" s="1695"/>
      <c r="L607" s="1745"/>
      <c r="M607" s="1699"/>
      <c r="N607" s="1695"/>
      <c r="O607" s="1695"/>
      <c r="P607" s="1745"/>
      <c r="Q607" s="1745"/>
      <c r="R607" s="1745"/>
      <c r="S607" s="1745"/>
      <c r="T607" s="1745"/>
      <c r="U607" s="1699"/>
      <c r="V607" s="1699"/>
      <c r="W607" s="1695"/>
      <c r="X607" s="1695"/>
      <c r="Y607" s="1695"/>
      <c r="Z607" s="1695"/>
      <c r="AA607" s="1695"/>
      <c r="AB607" s="1699"/>
      <c r="AC607" s="1695"/>
      <c r="AD607" s="1695"/>
      <c r="AE607" s="1695"/>
      <c r="AF607" s="1695"/>
      <c r="AG607" s="1695"/>
      <c r="AH607" s="1699"/>
      <c r="AI607" s="1695"/>
      <c r="AJ607" s="1695"/>
      <c r="AK607" s="1695"/>
      <c r="AL607" s="1695"/>
      <c r="AM607" s="1695"/>
      <c r="AN607" s="1695"/>
      <c r="AO607" s="1699"/>
      <c r="AP607" s="1729"/>
    </row>
    <row r="608" spans="1:42">
      <c r="A608" s="2433"/>
      <c r="B608" s="1695"/>
      <c r="C608" s="1696"/>
      <c r="D608" s="1696"/>
      <c r="E608" s="1695"/>
      <c r="F608" s="1695"/>
      <c r="G608" s="1745"/>
      <c r="H608" s="1745"/>
      <c r="I608" s="1745"/>
      <c r="J608" s="1745"/>
      <c r="K608" s="1695"/>
      <c r="L608" s="1745"/>
      <c r="M608" s="1699"/>
      <c r="N608" s="1695"/>
      <c r="O608" s="1695"/>
      <c r="P608" s="1745"/>
      <c r="Q608" s="1745"/>
      <c r="R608" s="1745"/>
      <c r="S608" s="1745"/>
      <c r="T608" s="1745"/>
      <c r="U608" s="1699"/>
      <c r="V608" s="1699"/>
      <c r="W608" s="1695"/>
      <c r="X608" s="1695"/>
      <c r="Y608" s="1695"/>
      <c r="Z608" s="1695"/>
      <c r="AA608" s="1695"/>
      <c r="AB608" s="1699"/>
      <c r="AC608" s="1695"/>
      <c r="AD608" s="1695"/>
      <c r="AE608" s="1695"/>
      <c r="AF608" s="1695"/>
      <c r="AG608" s="1695"/>
      <c r="AH608" s="1699"/>
      <c r="AI608" s="1695"/>
      <c r="AJ608" s="1695"/>
      <c r="AK608" s="1695"/>
      <c r="AL608" s="1695"/>
      <c r="AM608" s="1695"/>
      <c r="AN608" s="1695"/>
      <c r="AO608" s="1699"/>
      <c r="AP608" s="1729"/>
    </row>
    <row r="609" spans="1:42">
      <c r="A609" s="2433"/>
      <c r="B609" s="1695"/>
      <c r="C609" s="1696"/>
      <c r="D609" s="1696"/>
      <c r="E609" s="1695"/>
      <c r="F609" s="1695"/>
      <c r="G609" s="1745"/>
      <c r="H609" s="1745"/>
      <c r="I609" s="1745"/>
      <c r="J609" s="1745"/>
      <c r="K609" s="1695"/>
      <c r="L609" s="1745"/>
      <c r="M609" s="1699"/>
      <c r="N609" s="1695"/>
      <c r="O609" s="1695"/>
      <c r="P609" s="1745"/>
      <c r="Q609" s="1745"/>
      <c r="R609" s="1745"/>
      <c r="S609" s="1745"/>
      <c r="T609" s="1745"/>
      <c r="U609" s="1699"/>
      <c r="V609" s="1699"/>
      <c r="W609" s="1695"/>
      <c r="X609" s="1695"/>
      <c r="Y609" s="1695"/>
      <c r="Z609" s="1695"/>
      <c r="AA609" s="1695"/>
      <c r="AB609" s="1699"/>
      <c r="AC609" s="1695"/>
      <c r="AD609" s="1695"/>
      <c r="AE609" s="1695"/>
      <c r="AF609" s="1695"/>
      <c r="AG609" s="1695"/>
      <c r="AH609" s="1699"/>
      <c r="AI609" s="1695"/>
      <c r="AJ609" s="1695"/>
      <c r="AK609" s="1695"/>
      <c r="AL609" s="1695"/>
      <c r="AM609" s="1695"/>
      <c r="AN609" s="1695"/>
      <c r="AO609" s="1699"/>
      <c r="AP609" s="1729"/>
    </row>
    <row r="610" spans="1:42">
      <c r="A610" s="2433"/>
      <c r="B610" s="1695"/>
      <c r="C610" s="1696"/>
      <c r="D610" s="1696"/>
      <c r="E610" s="1695"/>
      <c r="F610" s="1695"/>
      <c r="G610" s="1745"/>
      <c r="H610" s="1745"/>
      <c r="I610" s="1745"/>
      <c r="J610" s="1745"/>
      <c r="K610" s="1695"/>
      <c r="L610" s="1745"/>
      <c r="M610" s="1699"/>
      <c r="N610" s="1695"/>
      <c r="O610" s="1695"/>
      <c r="P610" s="1745"/>
      <c r="Q610" s="1745"/>
      <c r="R610" s="1745"/>
      <c r="S610" s="1745"/>
      <c r="T610" s="1745"/>
      <c r="U610" s="1699"/>
      <c r="V610" s="1699"/>
      <c r="W610" s="1695"/>
      <c r="X610" s="1695"/>
      <c r="Y610" s="1695"/>
      <c r="Z610" s="1695"/>
      <c r="AA610" s="1695"/>
      <c r="AB610" s="1699"/>
      <c r="AC610" s="1695"/>
      <c r="AD610" s="1695"/>
      <c r="AE610" s="1695"/>
      <c r="AF610" s="1695"/>
      <c r="AG610" s="1695"/>
      <c r="AH610" s="1699"/>
      <c r="AI610" s="1695"/>
      <c r="AJ610" s="1695"/>
      <c r="AK610" s="1695"/>
      <c r="AL610" s="1695"/>
      <c r="AM610" s="1695"/>
      <c r="AN610" s="1695"/>
      <c r="AO610" s="1699"/>
      <c r="AP610" s="1729"/>
    </row>
    <row r="611" spans="1:42">
      <c r="A611" s="2433"/>
      <c r="B611" s="1695"/>
      <c r="C611" s="1696"/>
      <c r="D611" s="1696"/>
      <c r="E611" s="1695"/>
      <c r="F611" s="1695"/>
      <c r="G611" s="1745"/>
      <c r="H611" s="1745"/>
      <c r="I611" s="1745"/>
      <c r="J611" s="1745"/>
      <c r="K611" s="1695"/>
      <c r="L611" s="1745"/>
      <c r="M611" s="1699"/>
      <c r="N611" s="1695"/>
      <c r="O611" s="1695"/>
      <c r="P611" s="1745"/>
      <c r="Q611" s="1745"/>
      <c r="R611" s="1745"/>
      <c r="S611" s="1745"/>
      <c r="T611" s="1745"/>
      <c r="U611" s="1699"/>
      <c r="V611" s="1699"/>
      <c r="W611" s="1695"/>
      <c r="X611" s="1695"/>
      <c r="Y611" s="1695"/>
      <c r="Z611" s="1695"/>
      <c r="AA611" s="1695"/>
      <c r="AB611" s="1699"/>
      <c r="AC611" s="1695"/>
      <c r="AD611" s="1695"/>
      <c r="AE611" s="1695"/>
      <c r="AF611" s="1695"/>
      <c r="AG611" s="1695"/>
      <c r="AH611" s="1699"/>
      <c r="AI611" s="1695"/>
      <c r="AJ611" s="1695"/>
      <c r="AK611" s="1695"/>
      <c r="AL611" s="1695"/>
      <c r="AM611" s="1695"/>
      <c r="AN611" s="1695"/>
      <c r="AO611" s="1699"/>
      <c r="AP611" s="1729"/>
    </row>
    <row r="612" spans="1:42">
      <c r="A612" s="2433"/>
      <c r="B612" s="1695"/>
      <c r="C612" s="1696"/>
      <c r="D612" s="1696"/>
      <c r="E612" s="1695"/>
      <c r="F612" s="1695"/>
      <c r="G612" s="1745"/>
      <c r="H612" s="1745"/>
      <c r="I612" s="1745"/>
      <c r="J612" s="1745"/>
      <c r="K612" s="1695"/>
      <c r="L612" s="1745"/>
      <c r="M612" s="1699"/>
      <c r="N612" s="1695"/>
      <c r="O612" s="1695"/>
      <c r="P612" s="1745"/>
      <c r="Q612" s="1745"/>
      <c r="R612" s="1745"/>
      <c r="S612" s="1745"/>
      <c r="T612" s="1745"/>
      <c r="U612" s="1699"/>
      <c r="V612" s="1699"/>
      <c r="W612" s="1695"/>
      <c r="X612" s="1695"/>
      <c r="Y612" s="1695"/>
      <c r="Z612" s="1695"/>
      <c r="AA612" s="1695"/>
      <c r="AB612" s="1699"/>
      <c r="AC612" s="1695"/>
      <c r="AD612" s="1695"/>
      <c r="AE612" s="1695"/>
      <c r="AF612" s="1695"/>
      <c r="AG612" s="1695"/>
      <c r="AH612" s="1699"/>
      <c r="AI612" s="1695"/>
      <c r="AJ612" s="1695"/>
      <c r="AK612" s="1695"/>
      <c r="AL612" s="1695"/>
      <c r="AM612" s="1695"/>
      <c r="AN612" s="1695"/>
      <c r="AO612" s="1699"/>
      <c r="AP612" s="1729"/>
    </row>
    <row r="613" spans="1:42" ht="7.5" customHeight="1">
      <c r="A613" s="2433"/>
      <c r="B613" s="1695"/>
      <c r="C613" s="1696"/>
      <c r="D613" s="1696"/>
      <c r="E613" s="1695"/>
      <c r="F613" s="1695"/>
      <c r="G613" s="1745"/>
      <c r="H613" s="1745"/>
      <c r="I613" s="1745"/>
      <c r="J613" s="1745"/>
      <c r="K613" s="1695"/>
      <c r="L613" s="1745"/>
      <c r="M613" s="1699"/>
      <c r="N613" s="1695"/>
      <c r="O613" s="1695"/>
      <c r="P613" s="1745"/>
      <c r="Q613" s="1745"/>
      <c r="R613" s="1745"/>
      <c r="S613" s="1745"/>
      <c r="T613" s="1745"/>
      <c r="U613" s="1699"/>
      <c r="V613" s="1699"/>
      <c r="W613" s="1695"/>
      <c r="X613" s="1695"/>
      <c r="Y613" s="1695"/>
      <c r="Z613" s="1695"/>
      <c r="AA613" s="1695"/>
      <c r="AB613" s="1699"/>
      <c r="AC613" s="1695"/>
      <c r="AD613" s="1695"/>
      <c r="AE613" s="1695"/>
      <c r="AF613" s="1695"/>
      <c r="AG613" s="1695"/>
      <c r="AH613" s="1699"/>
      <c r="AI613" s="1695"/>
      <c r="AJ613" s="1695"/>
      <c r="AK613" s="1695"/>
      <c r="AL613" s="1695"/>
      <c r="AM613" s="1695"/>
      <c r="AN613" s="1695"/>
      <c r="AO613" s="1699"/>
      <c r="AP613" s="1729"/>
    </row>
    <row r="614" spans="1:42" ht="15.75" thickBot="1">
      <c r="A614" s="2440"/>
      <c r="B614" s="1695"/>
      <c r="C614" s="1696"/>
      <c r="D614" s="1696"/>
      <c r="E614" s="1695"/>
      <c r="F614" s="1695"/>
      <c r="G614" s="1745"/>
      <c r="H614" s="1745"/>
      <c r="I614" s="1745"/>
      <c r="J614" s="1745"/>
      <c r="K614" s="1695"/>
      <c r="L614" s="1745"/>
      <c r="M614" s="1699"/>
      <c r="N614" s="1695"/>
      <c r="O614" s="1695"/>
      <c r="P614" s="1745"/>
      <c r="Q614" s="1745"/>
      <c r="R614" s="1745"/>
      <c r="S614" s="1745"/>
      <c r="T614" s="1745"/>
      <c r="U614" s="1699"/>
      <c r="V614" s="1699"/>
      <c r="W614" s="1695"/>
      <c r="X614" s="1695"/>
      <c r="Y614" s="1695"/>
      <c r="Z614" s="1695"/>
      <c r="AA614" s="1695"/>
      <c r="AB614" s="1699"/>
      <c r="AC614" s="1695"/>
      <c r="AD614" s="1695"/>
      <c r="AE614" s="1695"/>
      <c r="AF614" s="1695"/>
      <c r="AG614" s="1695"/>
      <c r="AH614" s="1699"/>
      <c r="AI614" s="1695"/>
      <c r="AJ614" s="1695"/>
      <c r="AK614" s="1695"/>
      <c r="AL614" s="1695"/>
      <c r="AM614" s="1695"/>
      <c r="AN614" s="1695"/>
      <c r="AO614" s="1699"/>
      <c r="AP614" s="1729"/>
    </row>
    <row r="615" spans="1:42" ht="19.5" thickBot="1">
      <c r="A615" s="1746"/>
      <c r="B615" s="1715"/>
      <c r="C615" s="1716"/>
      <c r="D615" s="1716"/>
      <c r="E615" s="1715"/>
      <c r="F615" s="1715"/>
      <c r="G615" s="1717"/>
      <c r="H615" s="1717"/>
      <c r="I615" s="1717"/>
      <c r="J615" s="1717"/>
      <c r="K615" s="1715"/>
      <c r="L615" s="1717"/>
      <c r="M615" s="1718"/>
      <c r="N615" s="1715"/>
      <c r="O615" s="1715"/>
      <c r="P615" s="1717"/>
      <c r="Q615" s="1717"/>
      <c r="R615" s="1717"/>
      <c r="S615" s="1717"/>
      <c r="T615" s="1717"/>
      <c r="U615" s="1718"/>
      <c r="V615" s="1718"/>
      <c r="W615" s="1715"/>
      <c r="X615" s="1715"/>
      <c r="Y615" s="1715"/>
      <c r="Z615" s="1715"/>
      <c r="AA615" s="1715"/>
      <c r="AB615" s="1718"/>
      <c r="AC615" s="1715"/>
      <c r="AD615" s="1715"/>
      <c r="AE615" s="1715"/>
      <c r="AF615" s="1715"/>
      <c r="AG615" s="1715"/>
      <c r="AH615" s="1718"/>
      <c r="AI615" s="1715"/>
      <c r="AJ615" s="1715"/>
      <c r="AK615" s="1715"/>
      <c r="AL615" s="1715"/>
      <c r="AM615" s="1715"/>
      <c r="AN615" s="1715"/>
      <c r="AO615" s="1718"/>
      <c r="AP615" s="1719"/>
    </row>
    <row r="616" spans="1:42">
      <c r="A616" s="2432" t="s">
        <v>928</v>
      </c>
      <c r="B616" s="1844" t="s">
        <v>2071</v>
      </c>
      <c r="C616" s="1721" t="s">
        <v>1907</v>
      </c>
      <c r="D616" s="1721" t="s">
        <v>1440</v>
      </c>
      <c r="E616" s="1916">
        <f>AVERAGE(AO616:AO618)</f>
        <v>6.2E-2</v>
      </c>
      <c r="F616" s="1993"/>
      <c r="G616" s="1951">
        <f>AP616*$BQ$45</f>
        <v>58.274529605283924</v>
      </c>
      <c r="H616" s="1951">
        <f>G616*E616</f>
        <v>3.6130208355276032</v>
      </c>
      <c r="I616" s="1951"/>
      <c r="J616" s="1727"/>
      <c r="K616" s="1994">
        <v>0.24</v>
      </c>
      <c r="L616" s="1995">
        <f>E616*G616*(1+$K$470)</f>
        <v>4.4801458360542279</v>
      </c>
      <c r="M616" s="1743" t="s">
        <v>1942</v>
      </c>
      <c r="N616" s="1782"/>
      <c r="O616" s="1870">
        <v>0.08</v>
      </c>
      <c r="P616" s="1738">
        <v>67.88</v>
      </c>
      <c r="Q616" s="1846">
        <f>O616*P616</f>
        <v>5.4303999999999997</v>
      </c>
      <c r="R616" s="1846"/>
      <c r="S616" s="1846"/>
      <c r="T616" s="1755">
        <f>Q616</f>
        <v>5.4303999999999997</v>
      </c>
      <c r="U616" s="1733" t="s">
        <v>1668</v>
      </c>
      <c r="V616" s="1699"/>
      <c r="W616" s="1695"/>
      <c r="X616" s="1695"/>
      <c r="Y616" s="1695"/>
      <c r="Z616" s="1695"/>
      <c r="AA616" s="1695"/>
      <c r="AB616" s="1699"/>
      <c r="AC616" s="1695"/>
      <c r="AD616" s="1695"/>
      <c r="AE616" s="1695"/>
      <c r="AF616" s="1695"/>
      <c r="AG616" s="1695"/>
      <c r="AH616" s="1699"/>
      <c r="AI616" s="1695"/>
      <c r="AJ616" s="1695"/>
      <c r="AK616" s="1695"/>
      <c r="AL616" s="1695"/>
      <c r="AM616" s="1695"/>
      <c r="AN616" s="1695"/>
      <c r="AO616" s="1757">
        <v>6.2E-2</v>
      </c>
      <c r="AP616" s="1758">
        <v>52.4</v>
      </c>
    </row>
    <row r="617" spans="1:42">
      <c r="A617" s="2433"/>
      <c r="B617" s="1923"/>
      <c r="C617" s="1924"/>
      <c r="D617" s="1924"/>
      <c r="E617" s="1740"/>
      <c r="F617" s="1741"/>
      <c r="G617" s="1843"/>
      <c r="H617" s="1843"/>
      <c r="I617" s="1843"/>
      <c r="J617" s="1843"/>
      <c r="K617" s="1996"/>
      <c r="L617" s="1799"/>
      <c r="M617" s="1699"/>
      <c r="N617" s="1695"/>
      <c r="O617" s="1695"/>
      <c r="P617" s="1745"/>
      <c r="Q617" s="1745"/>
      <c r="R617" s="1745"/>
      <c r="S617" s="1745"/>
      <c r="T617" s="1745"/>
      <c r="U617" s="1733" t="s">
        <v>1669</v>
      </c>
      <c r="V617" s="1699"/>
      <c r="W617" s="1695"/>
      <c r="X617" s="1695"/>
      <c r="Y617" s="1695"/>
      <c r="Z617" s="1695"/>
      <c r="AA617" s="1695"/>
      <c r="AB617" s="1699"/>
      <c r="AC617" s="1695"/>
      <c r="AD617" s="1695"/>
      <c r="AE617" s="1695"/>
      <c r="AF617" s="1695"/>
      <c r="AG617" s="1695"/>
      <c r="AH617" s="1699"/>
      <c r="AI617" s="1695"/>
      <c r="AJ617" s="1695"/>
      <c r="AK617" s="1695"/>
      <c r="AL617" s="1695"/>
      <c r="AM617" s="1695"/>
      <c r="AN617" s="1695"/>
      <c r="AO617" s="1757">
        <v>6.2E-2</v>
      </c>
      <c r="AP617" s="1758">
        <v>52.4</v>
      </c>
    </row>
    <row r="618" spans="1:42">
      <c r="A618" s="2433"/>
      <c r="B618" s="1932"/>
      <c r="C618" s="1933"/>
      <c r="D618" s="1933"/>
      <c r="E618" s="1699"/>
      <c r="F618" s="1695"/>
      <c r="G618" s="1745"/>
      <c r="H618" s="1745"/>
      <c r="I618" s="1745"/>
      <c r="J618" s="1745"/>
      <c r="K618" s="1906"/>
      <c r="L618" s="1805"/>
      <c r="M618" s="1699"/>
      <c r="N618" s="1695"/>
      <c r="O618" s="1695"/>
      <c r="P618" s="1745"/>
      <c r="Q618" s="1745"/>
      <c r="R618" s="1745"/>
      <c r="S618" s="1745"/>
      <c r="T618" s="1745"/>
      <c r="U618" s="1733" t="s">
        <v>1670</v>
      </c>
      <c r="V618" s="1699"/>
      <c r="W618" s="1695"/>
      <c r="X618" s="1695"/>
      <c r="Y618" s="1695"/>
      <c r="Z618" s="1695"/>
      <c r="AA618" s="1695"/>
      <c r="AB618" s="1699"/>
      <c r="AC618" s="1695"/>
      <c r="AD618" s="1695"/>
      <c r="AE618" s="1695"/>
      <c r="AF618" s="1695"/>
      <c r="AG618" s="1695"/>
      <c r="AH618" s="1699"/>
      <c r="AI618" s="1695"/>
      <c r="AJ618" s="1695"/>
      <c r="AK618" s="1695"/>
      <c r="AL618" s="1695"/>
      <c r="AM618" s="1695"/>
      <c r="AN618" s="1695"/>
      <c r="AO618" s="1757">
        <v>6.2E-2</v>
      </c>
      <c r="AP618" s="1758">
        <v>52.4</v>
      </c>
    </row>
    <row r="619" spans="1:42">
      <c r="A619" s="2433"/>
      <c r="B619" s="1695"/>
      <c r="C619" s="1696"/>
      <c r="D619" s="1696"/>
      <c r="E619" s="1695"/>
      <c r="F619" s="1695"/>
      <c r="G619" s="1745"/>
      <c r="H619" s="1745"/>
      <c r="I619" s="1745"/>
      <c r="J619" s="1745"/>
      <c r="K619" s="1695"/>
      <c r="L619" s="1745"/>
      <c r="M619" s="1699"/>
      <c r="N619" s="1695"/>
      <c r="O619" s="1695"/>
      <c r="P619" s="1745"/>
      <c r="Q619" s="1745"/>
      <c r="R619" s="1745"/>
      <c r="S619" s="1745"/>
      <c r="T619" s="1745"/>
      <c r="U619" s="1699"/>
      <c r="V619" s="1699"/>
      <c r="W619" s="1695"/>
      <c r="X619" s="1695"/>
      <c r="Y619" s="1695"/>
      <c r="Z619" s="1695"/>
      <c r="AA619" s="1695"/>
      <c r="AB619" s="1699"/>
      <c r="AC619" s="1695"/>
      <c r="AD619" s="1695"/>
      <c r="AE619" s="1695"/>
      <c r="AF619" s="1695"/>
      <c r="AG619" s="1695"/>
      <c r="AH619" s="1699"/>
      <c r="AI619" s="1695"/>
      <c r="AJ619" s="1695"/>
      <c r="AK619" s="1695"/>
      <c r="AL619" s="1695"/>
      <c r="AM619" s="1695"/>
      <c r="AN619" s="1695"/>
      <c r="AO619" s="1699"/>
      <c r="AP619" s="1729"/>
    </row>
    <row r="620" spans="1:42">
      <c r="A620" s="2433"/>
      <c r="B620" s="1695"/>
      <c r="C620" s="1696"/>
      <c r="D620" s="1696"/>
      <c r="E620" s="1695"/>
      <c r="F620" s="1695"/>
      <c r="G620" s="1745"/>
      <c r="H620" s="1745"/>
      <c r="I620" s="1745"/>
      <c r="J620" s="1745"/>
      <c r="K620" s="1695"/>
      <c r="L620" s="1745"/>
      <c r="M620" s="1699"/>
      <c r="N620" s="1695"/>
      <c r="O620" s="1695"/>
      <c r="P620" s="1745"/>
      <c r="Q620" s="1745"/>
      <c r="R620" s="1745"/>
      <c r="S620" s="1745"/>
      <c r="T620" s="1745"/>
      <c r="U620" s="1699"/>
      <c r="V620" s="1699"/>
      <c r="W620" s="1695"/>
      <c r="X620" s="1695"/>
      <c r="Y620" s="1695"/>
      <c r="Z620" s="1695"/>
      <c r="AA620" s="1695"/>
      <c r="AB620" s="1699"/>
      <c r="AC620" s="1695"/>
      <c r="AD620" s="1695"/>
      <c r="AE620" s="1695"/>
      <c r="AF620" s="1695"/>
      <c r="AG620" s="1695"/>
      <c r="AH620" s="1699"/>
      <c r="AI620" s="1695"/>
      <c r="AJ620" s="1695"/>
      <c r="AK620" s="1695"/>
      <c r="AL620" s="1695"/>
      <c r="AM620" s="1695"/>
      <c r="AN620" s="1695"/>
      <c r="AO620" s="1699"/>
      <c r="AP620" s="1729"/>
    </row>
    <row r="621" spans="1:42">
      <c r="A621" s="2433"/>
      <c r="B621" s="1695"/>
      <c r="C621" s="1696"/>
      <c r="D621" s="1696"/>
      <c r="E621" s="1695"/>
      <c r="F621" s="1695"/>
      <c r="G621" s="1745"/>
      <c r="H621" s="1745"/>
      <c r="I621" s="1745"/>
      <c r="J621" s="1745"/>
      <c r="K621" s="1695"/>
      <c r="L621" s="1745"/>
      <c r="M621" s="1699"/>
      <c r="N621" s="1695"/>
      <c r="O621" s="1695"/>
      <c r="P621" s="1745"/>
      <c r="Q621" s="1745"/>
      <c r="R621" s="1745"/>
      <c r="S621" s="1745"/>
      <c r="T621" s="1745"/>
      <c r="U621" s="1699"/>
      <c r="V621" s="1699"/>
      <c r="W621" s="1695"/>
      <c r="X621" s="1695"/>
      <c r="Y621" s="1695"/>
      <c r="Z621" s="1695"/>
      <c r="AA621" s="1695"/>
      <c r="AB621" s="1699"/>
      <c r="AC621" s="1695"/>
      <c r="AD621" s="1695"/>
      <c r="AE621" s="1695"/>
      <c r="AF621" s="1695"/>
      <c r="AG621" s="1695"/>
      <c r="AH621" s="1699"/>
      <c r="AI621" s="1695"/>
      <c r="AJ621" s="1695"/>
      <c r="AK621" s="1695"/>
      <c r="AL621" s="1695"/>
      <c r="AM621" s="1695"/>
      <c r="AN621" s="1695"/>
      <c r="AO621" s="1699"/>
      <c r="AP621" s="1729"/>
    </row>
    <row r="622" spans="1:42">
      <c r="A622" s="2433"/>
      <c r="B622" s="1695"/>
      <c r="C622" s="1696"/>
      <c r="D622" s="1696"/>
      <c r="E622" s="1695"/>
      <c r="F622" s="1695"/>
      <c r="G622" s="1745"/>
      <c r="H622" s="1745"/>
      <c r="I622" s="1745"/>
      <c r="J622" s="1745"/>
      <c r="K622" s="1695"/>
      <c r="L622" s="1745"/>
      <c r="M622" s="1699"/>
      <c r="N622" s="1695"/>
      <c r="O622" s="1695"/>
      <c r="P622" s="1745"/>
      <c r="Q622" s="1745"/>
      <c r="R622" s="1745"/>
      <c r="S622" s="1745"/>
      <c r="T622" s="1745"/>
      <c r="U622" s="1699"/>
      <c r="V622" s="1699"/>
      <c r="W622" s="1695"/>
      <c r="X622" s="1695"/>
      <c r="Y622" s="1695"/>
      <c r="Z622" s="1695"/>
      <c r="AA622" s="1695"/>
      <c r="AB622" s="1699"/>
      <c r="AC622" s="1695"/>
      <c r="AD622" s="1695"/>
      <c r="AE622" s="1695"/>
      <c r="AF622" s="1695"/>
      <c r="AG622" s="1695"/>
      <c r="AH622" s="1699"/>
      <c r="AI622" s="1695"/>
      <c r="AJ622" s="1695"/>
      <c r="AK622" s="1695"/>
      <c r="AL622" s="1695"/>
      <c r="AM622" s="1695"/>
      <c r="AN622" s="1695"/>
      <c r="AO622" s="1699"/>
      <c r="AP622" s="1729"/>
    </row>
    <row r="623" spans="1:42">
      <c r="A623" s="2433"/>
      <c r="B623" s="1695"/>
      <c r="C623" s="1696"/>
      <c r="D623" s="1696"/>
      <c r="E623" s="1695"/>
      <c r="F623" s="1695"/>
      <c r="G623" s="1745"/>
      <c r="H623" s="1745"/>
      <c r="I623" s="1745"/>
      <c r="J623" s="1745"/>
      <c r="K623" s="1695"/>
      <c r="L623" s="1745"/>
      <c r="M623" s="1699"/>
      <c r="N623" s="1695"/>
      <c r="O623" s="1695"/>
      <c r="P623" s="1745"/>
      <c r="Q623" s="1745"/>
      <c r="R623" s="1745"/>
      <c r="S623" s="1745"/>
      <c r="T623" s="1745"/>
      <c r="U623" s="1699"/>
      <c r="V623" s="1699"/>
      <c r="W623" s="1695"/>
      <c r="X623" s="1695"/>
      <c r="Y623" s="1695"/>
      <c r="Z623" s="1695"/>
      <c r="AA623" s="1695"/>
      <c r="AB623" s="1699"/>
      <c r="AC623" s="1695"/>
      <c r="AD623" s="1695"/>
      <c r="AE623" s="1695"/>
      <c r="AF623" s="1695"/>
      <c r="AG623" s="1695"/>
      <c r="AH623" s="1699"/>
      <c r="AI623" s="1695"/>
      <c r="AJ623" s="1695"/>
      <c r="AK623" s="1695"/>
      <c r="AL623" s="1695"/>
      <c r="AM623" s="1695"/>
      <c r="AN623" s="1695"/>
      <c r="AO623" s="1699"/>
      <c r="AP623" s="1729"/>
    </row>
    <row r="624" spans="1:42">
      <c r="A624" s="2433"/>
      <c r="B624" s="1695"/>
      <c r="C624" s="1696"/>
      <c r="D624" s="1696"/>
      <c r="E624" s="1695"/>
      <c r="F624" s="1695"/>
      <c r="G624" s="1745"/>
      <c r="H624" s="1745"/>
      <c r="I624" s="1745"/>
      <c r="J624" s="1745"/>
      <c r="K624" s="1695"/>
      <c r="L624" s="1745"/>
      <c r="M624" s="1699"/>
      <c r="N624" s="1695"/>
      <c r="O624" s="1695"/>
      <c r="P624" s="1745"/>
      <c r="Q624" s="1745"/>
      <c r="R624" s="1745"/>
      <c r="S624" s="1745"/>
      <c r="T624" s="1745"/>
      <c r="U624" s="1699"/>
      <c r="V624" s="1699"/>
      <c r="W624" s="1695"/>
      <c r="X624" s="1695"/>
      <c r="Y624" s="1695"/>
      <c r="Z624" s="1695"/>
      <c r="AA624" s="1695"/>
      <c r="AB624" s="1699"/>
      <c r="AC624" s="1695"/>
      <c r="AD624" s="1695"/>
      <c r="AE624" s="1695"/>
      <c r="AF624" s="1695"/>
      <c r="AG624" s="1695"/>
      <c r="AH624" s="1699"/>
      <c r="AI624" s="1695"/>
      <c r="AJ624" s="1695"/>
      <c r="AK624" s="1695"/>
      <c r="AL624" s="1695"/>
      <c r="AM624" s="1695"/>
      <c r="AN624" s="1695"/>
      <c r="AO624" s="1699"/>
      <c r="AP624" s="1729"/>
    </row>
    <row r="625" spans="1:42">
      <c r="A625" s="2433"/>
      <c r="B625" s="1695"/>
      <c r="C625" s="1696"/>
      <c r="D625" s="1696"/>
      <c r="E625" s="1695"/>
      <c r="F625" s="1695"/>
      <c r="G625" s="1745"/>
      <c r="H625" s="1745"/>
      <c r="I625" s="1745"/>
      <c r="J625" s="1745"/>
      <c r="K625" s="1695"/>
      <c r="L625" s="1745"/>
      <c r="M625" s="1699"/>
      <c r="N625" s="1695"/>
      <c r="O625" s="1695"/>
      <c r="P625" s="1745"/>
      <c r="Q625" s="1745"/>
      <c r="R625" s="1745"/>
      <c r="S625" s="1745"/>
      <c r="T625" s="1745"/>
      <c r="U625" s="1699"/>
      <c r="V625" s="1699"/>
      <c r="W625" s="1695"/>
      <c r="X625" s="1695"/>
      <c r="Y625" s="1695"/>
      <c r="Z625" s="1695"/>
      <c r="AA625" s="1695"/>
      <c r="AB625" s="1699"/>
      <c r="AC625" s="1695"/>
      <c r="AD625" s="1695"/>
      <c r="AE625" s="1695"/>
      <c r="AF625" s="1695"/>
      <c r="AG625" s="1695"/>
      <c r="AH625" s="1699"/>
      <c r="AI625" s="1695"/>
      <c r="AJ625" s="1695"/>
      <c r="AK625" s="1695"/>
      <c r="AL625" s="1695"/>
      <c r="AM625" s="1695"/>
      <c r="AN625" s="1695"/>
      <c r="AO625" s="1699"/>
      <c r="AP625" s="1729"/>
    </row>
    <row r="626" spans="1:42" ht="9" customHeight="1">
      <c r="A626" s="2433"/>
      <c r="B626" s="1695"/>
      <c r="C626" s="1696"/>
      <c r="D626" s="1696"/>
      <c r="E626" s="1695"/>
      <c r="F626" s="1695"/>
      <c r="G626" s="1745"/>
      <c r="H626" s="1745"/>
      <c r="I626" s="1745"/>
      <c r="J626" s="1745"/>
      <c r="K626" s="1695"/>
      <c r="L626" s="1745"/>
      <c r="M626" s="1699"/>
      <c r="N626" s="1695"/>
      <c r="O626" s="1695"/>
      <c r="P626" s="1745"/>
      <c r="Q626" s="1745"/>
      <c r="R626" s="1745"/>
      <c r="S626" s="1745"/>
      <c r="T626" s="1745"/>
      <c r="U626" s="1699"/>
      <c r="V626" s="1699"/>
      <c r="W626" s="1695"/>
      <c r="X626" s="1695"/>
      <c r="Y626" s="1695"/>
      <c r="Z626" s="1695"/>
      <c r="AA626" s="1695"/>
      <c r="AB626" s="1699"/>
      <c r="AC626" s="1695"/>
      <c r="AD626" s="1695"/>
      <c r="AE626" s="1695"/>
      <c r="AF626" s="1695"/>
      <c r="AG626" s="1695"/>
      <c r="AH626" s="1699"/>
      <c r="AI626" s="1695"/>
      <c r="AJ626" s="1695"/>
      <c r="AK626" s="1695"/>
      <c r="AL626" s="1695"/>
      <c r="AM626" s="1695"/>
      <c r="AN626" s="1695"/>
      <c r="AO626" s="1699"/>
      <c r="AP626" s="1729"/>
    </row>
    <row r="627" spans="1:42" ht="19.5" thickBot="1">
      <c r="A627" s="1766"/>
      <c r="B627" s="1695"/>
      <c r="C627" s="1696"/>
      <c r="D627" s="1696"/>
      <c r="E627" s="1695"/>
      <c r="F627" s="1695"/>
      <c r="G627" s="1745"/>
      <c r="H627" s="1745"/>
      <c r="I627" s="1745"/>
      <c r="J627" s="1745"/>
      <c r="K627" s="1695"/>
      <c r="L627" s="1745"/>
      <c r="M627" s="1699"/>
      <c r="N627" s="1695"/>
      <c r="O627" s="1695"/>
      <c r="P627" s="1745"/>
      <c r="Q627" s="1745"/>
      <c r="R627" s="1745"/>
      <c r="S627" s="1745"/>
      <c r="T627" s="1745"/>
      <c r="U627" s="1699"/>
      <c r="V627" s="1699"/>
      <c r="W627" s="1695"/>
      <c r="X627" s="1695"/>
      <c r="Y627" s="1695"/>
      <c r="Z627" s="1695"/>
      <c r="AA627" s="1695"/>
      <c r="AB627" s="1699"/>
      <c r="AC627" s="1695"/>
      <c r="AD627" s="1695"/>
      <c r="AE627" s="1695"/>
      <c r="AF627" s="1695"/>
      <c r="AG627" s="1695"/>
      <c r="AH627" s="1699"/>
      <c r="AI627" s="1695"/>
      <c r="AJ627" s="1695"/>
      <c r="AK627" s="1695"/>
      <c r="AL627" s="1695"/>
      <c r="AM627" s="1695"/>
      <c r="AN627" s="1695"/>
      <c r="AO627" s="1699"/>
      <c r="AP627" s="1729"/>
    </row>
    <row r="628" spans="1:42" ht="19.5" thickBot="1">
      <c r="A628" s="1746"/>
      <c r="B628" s="1715"/>
      <c r="C628" s="1716"/>
      <c r="D628" s="1716"/>
      <c r="E628" s="1715"/>
      <c r="F628" s="1715"/>
      <c r="G628" s="1717"/>
      <c r="H628" s="1717"/>
      <c r="I628" s="1717"/>
      <c r="J628" s="1717"/>
      <c r="K628" s="1715"/>
      <c r="L628" s="1717"/>
      <c r="M628" s="1718"/>
      <c r="N628" s="1715"/>
      <c r="O628" s="1715"/>
      <c r="P628" s="1717"/>
      <c r="Q628" s="1717"/>
      <c r="R628" s="1717"/>
      <c r="S628" s="1717"/>
      <c r="T628" s="1717"/>
      <c r="U628" s="1718"/>
      <c r="V628" s="1718"/>
      <c r="W628" s="1715"/>
      <c r="X628" s="1715"/>
      <c r="Y628" s="1715"/>
      <c r="Z628" s="1715"/>
      <c r="AA628" s="1715"/>
      <c r="AB628" s="1718"/>
      <c r="AC628" s="1715"/>
      <c r="AD628" s="1715"/>
      <c r="AE628" s="1715"/>
      <c r="AF628" s="1715"/>
      <c r="AG628" s="1715"/>
      <c r="AH628" s="1718"/>
      <c r="AI628" s="1715"/>
      <c r="AJ628" s="1715"/>
      <c r="AK628" s="1715"/>
      <c r="AL628" s="1715"/>
      <c r="AM628" s="1715"/>
      <c r="AN628" s="1715"/>
      <c r="AO628" s="1718"/>
      <c r="AP628" s="1719"/>
    </row>
    <row r="629" spans="1:42">
      <c r="A629" s="2437" t="s">
        <v>929</v>
      </c>
      <c r="B629" s="1844" t="s">
        <v>2071</v>
      </c>
      <c r="C629" s="1721" t="s">
        <v>1907</v>
      </c>
      <c r="D629" s="1721" t="s">
        <v>1440</v>
      </c>
      <c r="E629" s="1722">
        <f>AO629</f>
        <v>0.05</v>
      </c>
      <c r="F629" s="1854"/>
      <c r="G629" s="1724">
        <f>AP629*$BQ$45</f>
        <v>58.274529605283924</v>
      </c>
      <c r="H629" s="1724">
        <f t="shared" ref="H629" si="67">G629*E629</f>
        <v>2.9137264802641965</v>
      </c>
      <c r="I629" s="1724"/>
      <c r="J629" s="1726"/>
      <c r="K629" s="1750">
        <v>0.24</v>
      </c>
      <c r="L629" s="2000">
        <f>E629*G629*(1+K629)</f>
        <v>3.6130208355276037</v>
      </c>
      <c r="M629" s="1743" t="s">
        <v>1942</v>
      </c>
      <c r="N629" s="1782"/>
      <c r="O629" s="1870">
        <v>0.08</v>
      </c>
      <c r="P629" s="1738">
        <v>67.88</v>
      </c>
      <c r="Q629" s="1846">
        <f>O629*P629</f>
        <v>5.4303999999999997</v>
      </c>
      <c r="R629" s="1846"/>
      <c r="S629" s="1846"/>
      <c r="T629" s="1755">
        <f>Q629</f>
        <v>5.4303999999999997</v>
      </c>
      <c r="U629" s="1733" t="s">
        <v>929</v>
      </c>
      <c r="V629" s="1699"/>
      <c r="W629" s="1695"/>
      <c r="X629" s="1695"/>
      <c r="Y629" s="1695"/>
      <c r="Z629" s="1695"/>
      <c r="AA629" s="1695"/>
      <c r="AB629" s="1699"/>
      <c r="AC629" s="1695"/>
      <c r="AD629" s="1695"/>
      <c r="AE629" s="1695"/>
      <c r="AF629" s="1695"/>
      <c r="AG629" s="1695"/>
      <c r="AH629" s="1699"/>
      <c r="AI629" s="1695"/>
      <c r="AJ629" s="1695"/>
      <c r="AK629" s="1695"/>
      <c r="AL629" s="1695"/>
      <c r="AM629" s="1695"/>
      <c r="AN629" s="1695"/>
      <c r="AO629" s="1757">
        <v>0.05</v>
      </c>
      <c r="AP629" s="1758">
        <v>52.4</v>
      </c>
    </row>
    <row r="630" spans="1:42">
      <c r="A630" s="2438"/>
      <c r="B630" s="1695"/>
      <c r="C630" s="1696"/>
      <c r="D630" s="1696"/>
      <c r="E630" s="1695"/>
      <c r="F630" s="1695"/>
      <c r="G630" s="1745"/>
      <c r="H630" s="1745"/>
      <c r="I630" s="1745"/>
      <c r="J630" s="1745"/>
      <c r="K630" s="1695"/>
      <c r="L630" s="1745"/>
      <c r="M630" s="1699"/>
      <c r="N630" s="1695"/>
      <c r="O630" s="1695"/>
      <c r="P630" s="1745"/>
      <c r="Q630" s="1745"/>
      <c r="R630" s="1745"/>
      <c r="S630" s="1745"/>
      <c r="T630" s="1745"/>
      <c r="U630" s="1699"/>
      <c r="V630" s="1699"/>
      <c r="W630" s="1695"/>
      <c r="X630" s="1695"/>
      <c r="Y630" s="1695"/>
      <c r="Z630" s="1695"/>
      <c r="AA630" s="1695"/>
      <c r="AB630" s="1699"/>
      <c r="AC630" s="1695"/>
      <c r="AD630" s="1695"/>
      <c r="AE630" s="1695"/>
      <c r="AF630" s="1695"/>
      <c r="AG630" s="1695"/>
      <c r="AH630" s="1699"/>
      <c r="AI630" s="1695"/>
      <c r="AJ630" s="1695"/>
      <c r="AK630" s="1695"/>
      <c r="AL630" s="1695"/>
      <c r="AM630" s="1695"/>
      <c r="AN630" s="1695"/>
      <c r="AO630" s="1699"/>
      <c r="AP630" s="1729"/>
    </row>
    <row r="631" spans="1:42">
      <c r="A631" s="2438"/>
      <c r="B631" s="1695"/>
      <c r="C631" s="1696"/>
      <c r="D631" s="1696"/>
      <c r="E631" s="1695"/>
      <c r="F631" s="1695"/>
      <c r="G631" s="1745"/>
      <c r="H631" s="1745"/>
      <c r="I631" s="1745"/>
      <c r="J631" s="1745"/>
      <c r="K631" s="1695"/>
      <c r="L631" s="1745"/>
      <c r="M631" s="1699"/>
      <c r="N631" s="1695"/>
      <c r="O631" s="1695"/>
      <c r="P631" s="1745"/>
      <c r="Q631" s="1745"/>
      <c r="R631" s="1745"/>
      <c r="S631" s="1745"/>
      <c r="T631" s="1745"/>
      <c r="U631" s="1699"/>
      <c r="V631" s="1699"/>
      <c r="W631" s="1695"/>
      <c r="X631" s="1695"/>
      <c r="Y631" s="1695"/>
      <c r="Z631" s="1695"/>
      <c r="AA631" s="1695"/>
      <c r="AB631" s="1699"/>
      <c r="AC631" s="1695"/>
      <c r="AD631" s="1695"/>
      <c r="AE631" s="1695"/>
      <c r="AF631" s="1695"/>
      <c r="AG631" s="1695"/>
      <c r="AH631" s="1699"/>
      <c r="AI631" s="1695"/>
      <c r="AJ631" s="1695"/>
      <c r="AK631" s="1695"/>
      <c r="AL631" s="1695"/>
      <c r="AM631" s="1695"/>
      <c r="AN631" s="1695"/>
      <c r="AO631" s="1699"/>
      <c r="AP631" s="1729"/>
    </row>
    <row r="632" spans="1:42">
      <c r="A632" s="2438"/>
      <c r="B632" s="1695"/>
      <c r="C632" s="1696"/>
      <c r="D632" s="1696"/>
      <c r="E632" s="1695"/>
      <c r="F632" s="1695"/>
      <c r="G632" s="1745"/>
      <c r="H632" s="1745"/>
      <c r="I632" s="1745"/>
      <c r="J632" s="1745"/>
      <c r="K632" s="1695"/>
      <c r="L632" s="1745"/>
      <c r="M632" s="1699"/>
      <c r="N632" s="1695"/>
      <c r="O632" s="1695"/>
      <c r="P632" s="1745"/>
      <c r="Q632" s="1745"/>
      <c r="R632" s="1745"/>
      <c r="S632" s="1745"/>
      <c r="T632" s="1745"/>
      <c r="U632" s="1699"/>
      <c r="V632" s="1699"/>
      <c r="W632" s="1695"/>
      <c r="X632" s="1695"/>
      <c r="Y632" s="1695"/>
      <c r="Z632" s="1695"/>
      <c r="AA632" s="1695"/>
      <c r="AB632" s="1699"/>
      <c r="AC632" s="1695"/>
      <c r="AD632" s="1695"/>
      <c r="AE632" s="1695"/>
      <c r="AF632" s="1695"/>
      <c r="AG632" s="1695"/>
      <c r="AH632" s="1699"/>
      <c r="AI632" s="1695"/>
      <c r="AJ632" s="1695"/>
      <c r="AK632" s="1695"/>
      <c r="AL632" s="1695"/>
      <c r="AM632" s="1695"/>
      <c r="AN632" s="1695"/>
      <c r="AO632" s="1699"/>
      <c r="AP632" s="1729"/>
    </row>
    <row r="633" spans="1:42">
      <c r="A633" s="2438"/>
      <c r="B633" s="1695"/>
      <c r="C633" s="1696"/>
      <c r="D633" s="1696"/>
      <c r="E633" s="1695"/>
      <c r="F633" s="1695"/>
      <c r="G633" s="1745"/>
      <c r="H633" s="1745"/>
      <c r="I633" s="1745"/>
      <c r="J633" s="1745"/>
      <c r="K633" s="1695"/>
      <c r="L633" s="1745"/>
      <c r="M633" s="1699"/>
      <c r="N633" s="1695"/>
      <c r="O633" s="1695"/>
      <c r="P633" s="1745"/>
      <c r="Q633" s="1745"/>
      <c r="R633" s="1745"/>
      <c r="S633" s="1745"/>
      <c r="T633" s="1745"/>
      <c r="U633" s="1699"/>
      <c r="V633" s="1699"/>
      <c r="W633" s="1695"/>
      <c r="X633" s="1695"/>
      <c r="Y633" s="1695"/>
      <c r="Z633" s="1695"/>
      <c r="AA633" s="1695"/>
      <c r="AB633" s="1699"/>
      <c r="AC633" s="1695"/>
      <c r="AD633" s="1695"/>
      <c r="AE633" s="1695"/>
      <c r="AF633" s="1695"/>
      <c r="AG633" s="1695"/>
      <c r="AH633" s="1699"/>
      <c r="AI633" s="1695"/>
      <c r="AJ633" s="1695"/>
      <c r="AK633" s="1695"/>
      <c r="AL633" s="1695"/>
      <c r="AM633" s="1695"/>
      <c r="AN633" s="1695"/>
      <c r="AO633" s="1699"/>
      <c r="AP633" s="1729"/>
    </row>
    <row r="634" spans="1:42">
      <c r="A634" s="2438"/>
      <c r="B634" s="1695"/>
      <c r="C634" s="1696"/>
      <c r="D634" s="1696"/>
      <c r="E634" s="1695"/>
      <c r="F634" s="1695"/>
      <c r="G634" s="1745"/>
      <c r="H634" s="1745"/>
      <c r="I634" s="1745"/>
      <c r="J634" s="1745"/>
      <c r="K634" s="1695"/>
      <c r="L634" s="1745"/>
      <c r="M634" s="1699"/>
      <c r="N634" s="1695"/>
      <c r="O634" s="1695"/>
      <c r="P634" s="1745"/>
      <c r="Q634" s="1745"/>
      <c r="R634" s="1745"/>
      <c r="S634" s="1745"/>
      <c r="T634" s="1745"/>
      <c r="U634" s="1699"/>
      <c r="V634" s="1699"/>
      <c r="W634" s="1695"/>
      <c r="X634" s="1695"/>
      <c r="Y634" s="1695"/>
      <c r="Z634" s="1695"/>
      <c r="AA634" s="1695"/>
      <c r="AB634" s="1699"/>
      <c r="AC634" s="1695"/>
      <c r="AD634" s="1695"/>
      <c r="AE634" s="1695"/>
      <c r="AF634" s="1695"/>
      <c r="AG634" s="1695"/>
      <c r="AH634" s="1699"/>
      <c r="AI634" s="1695"/>
      <c r="AJ634" s="1695"/>
      <c r="AK634" s="1695"/>
      <c r="AL634" s="1695"/>
      <c r="AM634" s="1695"/>
      <c r="AN634" s="1695"/>
      <c r="AO634" s="1699"/>
      <c r="AP634" s="1729"/>
    </row>
    <row r="635" spans="1:42">
      <c r="A635" s="2438"/>
      <c r="B635" s="1695"/>
      <c r="C635" s="1696"/>
      <c r="D635" s="1696"/>
      <c r="E635" s="1695"/>
      <c r="F635" s="1695"/>
      <c r="G635" s="1745"/>
      <c r="H635" s="1745"/>
      <c r="I635" s="1745"/>
      <c r="J635" s="1745"/>
      <c r="K635" s="1695"/>
      <c r="L635" s="1745"/>
      <c r="M635" s="1699"/>
      <c r="N635" s="1695"/>
      <c r="O635" s="1695"/>
      <c r="P635" s="1745"/>
      <c r="Q635" s="1745"/>
      <c r="R635" s="1745"/>
      <c r="S635" s="1745"/>
      <c r="T635" s="1745"/>
      <c r="U635" s="1699"/>
      <c r="V635" s="1699"/>
      <c r="W635" s="1695"/>
      <c r="X635" s="1695"/>
      <c r="Y635" s="1695"/>
      <c r="Z635" s="1695"/>
      <c r="AA635" s="1695"/>
      <c r="AB635" s="1699"/>
      <c r="AC635" s="1695"/>
      <c r="AD635" s="1695"/>
      <c r="AE635" s="1695"/>
      <c r="AF635" s="1695"/>
      <c r="AG635" s="1695"/>
      <c r="AH635" s="1699"/>
      <c r="AI635" s="1695"/>
      <c r="AJ635" s="1695"/>
      <c r="AK635" s="1695"/>
      <c r="AL635" s="1695"/>
      <c r="AM635" s="1695"/>
      <c r="AN635" s="1695"/>
      <c r="AO635" s="1699"/>
      <c r="AP635" s="1729"/>
    </row>
    <row r="636" spans="1:42">
      <c r="A636" s="2438"/>
      <c r="B636" s="1695"/>
      <c r="C636" s="1696"/>
      <c r="D636" s="1696"/>
      <c r="E636" s="1695"/>
      <c r="F636" s="1695"/>
      <c r="G636" s="1745"/>
      <c r="H636" s="1745"/>
      <c r="I636" s="1745"/>
      <c r="J636" s="1745"/>
      <c r="K636" s="1695"/>
      <c r="L636" s="1745"/>
      <c r="M636" s="1699"/>
      <c r="N636" s="1695"/>
      <c r="O636" s="1695"/>
      <c r="P636" s="1745"/>
      <c r="Q636" s="1745"/>
      <c r="R636" s="1745"/>
      <c r="S636" s="1745"/>
      <c r="T636" s="1745"/>
      <c r="U636" s="1699"/>
      <c r="V636" s="1699"/>
      <c r="W636" s="1695"/>
      <c r="X636" s="1695"/>
      <c r="Y636" s="1695"/>
      <c r="Z636" s="1695"/>
      <c r="AA636" s="1695"/>
      <c r="AB636" s="1699"/>
      <c r="AC636" s="1695"/>
      <c r="AD636" s="1695"/>
      <c r="AE636" s="1695"/>
      <c r="AF636" s="1695"/>
      <c r="AG636" s="1695"/>
      <c r="AH636" s="1699"/>
      <c r="AI636" s="1695"/>
      <c r="AJ636" s="1695"/>
      <c r="AK636" s="1695"/>
      <c r="AL636" s="1695"/>
      <c r="AM636" s="1695"/>
      <c r="AN636" s="1695"/>
      <c r="AO636" s="1699"/>
      <c r="AP636" s="1729"/>
    </row>
    <row r="637" spans="1:42" ht="9" customHeight="1">
      <c r="A637" s="2438"/>
      <c r="B637" s="1784"/>
      <c r="C637" s="1997"/>
      <c r="D637" s="1997"/>
      <c r="E637" s="1784"/>
      <c r="F637" s="1784"/>
      <c r="G637" s="1904"/>
      <c r="H637" s="1904"/>
      <c r="I637" s="1904"/>
      <c r="J637" s="1904"/>
      <c r="K637" s="1784"/>
      <c r="L637" s="1904"/>
      <c r="M637" s="1783"/>
      <c r="N637" s="1784"/>
      <c r="O637" s="1784"/>
      <c r="P637" s="1904"/>
      <c r="Q637" s="1904"/>
      <c r="R637" s="1904"/>
      <c r="S637" s="1904"/>
      <c r="T637" s="1904"/>
      <c r="U637" s="1783"/>
      <c r="V637" s="1783"/>
      <c r="W637" s="1784"/>
      <c r="X637" s="1784"/>
      <c r="Y637" s="1784"/>
      <c r="Z637" s="1784"/>
      <c r="AA637" s="1784"/>
      <c r="AB637" s="1783"/>
      <c r="AC637" s="1784"/>
      <c r="AD637" s="1784"/>
      <c r="AE637" s="1784"/>
      <c r="AF637" s="1784"/>
      <c r="AG637" s="1784"/>
      <c r="AH637" s="1783"/>
      <c r="AI637" s="1784"/>
      <c r="AJ637" s="1784"/>
      <c r="AK637" s="1784"/>
      <c r="AL637" s="1784"/>
      <c r="AM637" s="1784"/>
      <c r="AN637" s="1784"/>
      <c r="AO637" s="1783"/>
      <c r="AP637" s="1785"/>
    </row>
    <row r="638" spans="1:42" ht="15.75" thickBot="1">
      <c r="A638" s="2439"/>
      <c r="B638" s="1695"/>
      <c r="C638" s="1696"/>
      <c r="D638" s="1696"/>
      <c r="E638" s="1695"/>
      <c r="F638" s="1695"/>
      <c r="G638" s="1745"/>
      <c r="H638" s="1745"/>
      <c r="I638" s="1745"/>
      <c r="J638" s="1745"/>
      <c r="K638" s="1695"/>
      <c r="L638" s="1745"/>
      <c r="M638" s="1699"/>
      <c r="N638" s="1695"/>
      <c r="O638" s="1695"/>
      <c r="P638" s="1745"/>
      <c r="Q638" s="1745"/>
      <c r="R638" s="1745"/>
      <c r="S638" s="1745"/>
      <c r="T638" s="1745"/>
      <c r="U638" s="1699"/>
      <c r="V638" s="1699"/>
      <c r="W638" s="1695"/>
      <c r="X638" s="1695"/>
      <c r="Y638" s="1695"/>
      <c r="Z638" s="1695"/>
      <c r="AA638" s="1695"/>
      <c r="AB638" s="1699"/>
      <c r="AC638" s="1695"/>
      <c r="AD638" s="1695"/>
      <c r="AE638" s="1695"/>
      <c r="AF638" s="1695"/>
      <c r="AG638" s="1695"/>
      <c r="AH638" s="1699"/>
      <c r="AI638" s="1695"/>
      <c r="AJ638" s="1695"/>
      <c r="AK638" s="1695"/>
      <c r="AL638" s="1695"/>
      <c r="AM638" s="1695"/>
      <c r="AN638" s="1695"/>
      <c r="AO638" s="1699"/>
      <c r="AP638" s="1729"/>
    </row>
    <row r="639" spans="1:42" ht="19.5" thickBot="1">
      <c r="A639" s="1746"/>
      <c r="B639" s="1715"/>
      <c r="C639" s="1716"/>
      <c r="D639" s="1716"/>
      <c r="E639" s="1715"/>
      <c r="F639" s="1715"/>
      <c r="G639" s="1717"/>
      <c r="H639" s="1717"/>
      <c r="I639" s="1717"/>
      <c r="J639" s="1717"/>
      <c r="K639" s="1715"/>
      <c r="L639" s="1717"/>
      <c r="M639" s="1718"/>
      <c r="N639" s="1715"/>
      <c r="O639" s="1715"/>
      <c r="P639" s="1717"/>
      <c r="Q639" s="1717"/>
      <c r="R639" s="1717"/>
      <c r="S639" s="1717"/>
      <c r="T639" s="1717"/>
      <c r="U639" s="1718"/>
      <c r="V639" s="1718"/>
      <c r="W639" s="1715"/>
      <c r="X639" s="1715"/>
      <c r="Y639" s="1715"/>
      <c r="Z639" s="1715"/>
      <c r="AA639" s="1715"/>
      <c r="AB639" s="1718"/>
      <c r="AC639" s="1715"/>
      <c r="AD639" s="1715"/>
      <c r="AE639" s="1715"/>
      <c r="AF639" s="1715"/>
      <c r="AG639" s="1715"/>
      <c r="AH639" s="1718"/>
      <c r="AI639" s="1715"/>
      <c r="AJ639" s="1715"/>
      <c r="AK639" s="1715"/>
      <c r="AL639" s="1715"/>
      <c r="AM639" s="1715"/>
      <c r="AN639" s="1715"/>
      <c r="AO639" s="1718"/>
      <c r="AP639" s="1719"/>
    </row>
    <row r="640" spans="1:42">
      <c r="A640" s="2432" t="s">
        <v>931</v>
      </c>
      <c r="B640" s="1844" t="s">
        <v>2071</v>
      </c>
      <c r="C640" s="1721" t="s">
        <v>1907</v>
      </c>
      <c r="D640" s="1721" t="s">
        <v>1440</v>
      </c>
      <c r="E640" s="1916">
        <f>AVERAGE(AO640:AO642)</f>
        <v>7.9629999999999992E-2</v>
      </c>
      <c r="F640" s="1993"/>
      <c r="G640" s="1951">
        <f>AP640*$BQ$45</f>
        <v>58.274529605283924</v>
      </c>
      <c r="H640" s="1951">
        <f>G640*E640</f>
        <v>4.6404007924687587</v>
      </c>
      <c r="I640" s="1951"/>
      <c r="J640" s="1727"/>
      <c r="K640" s="1994">
        <v>0.24</v>
      </c>
      <c r="L640" s="1995">
        <f>E640*G640*(1+$K$470)</f>
        <v>5.7540969826612605</v>
      </c>
      <c r="M640" s="1743" t="s">
        <v>1942</v>
      </c>
      <c r="N640" s="1782"/>
      <c r="O640" s="1870">
        <v>0.08</v>
      </c>
      <c r="P640" s="1738">
        <v>67.88</v>
      </c>
      <c r="Q640" s="1846">
        <f>O640*P640</f>
        <v>5.4303999999999997</v>
      </c>
      <c r="R640" s="1846"/>
      <c r="S640" s="1846"/>
      <c r="T640" s="1755">
        <f>Q640</f>
        <v>5.4303999999999997</v>
      </c>
      <c r="U640" s="1733" t="s">
        <v>1665</v>
      </c>
      <c r="V640" s="1699"/>
      <c r="W640" s="1695"/>
      <c r="X640" s="1695"/>
      <c r="Y640" s="1695"/>
      <c r="Z640" s="1695"/>
      <c r="AA640" s="1695"/>
      <c r="AB640" s="1699"/>
      <c r="AC640" s="1695"/>
      <c r="AD640" s="1695"/>
      <c r="AE640" s="1695"/>
      <c r="AF640" s="1695"/>
      <c r="AG640" s="1695"/>
      <c r="AH640" s="1699"/>
      <c r="AI640" s="1695"/>
      <c r="AJ640" s="1695"/>
      <c r="AK640" s="1695"/>
      <c r="AL640" s="1695"/>
      <c r="AM640" s="1695"/>
      <c r="AN640" s="1695"/>
      <c r="AO640" s="1757">
        <v>8.8889999999999997E-2</v>
      </c>
      <c r="AP640" s="1758">
        <v>52.4</v>
      </c>
    </row>
    <row r="641" spans="1:42">
      <c r="A641" s="2433"/>
      <c r="B641" s="1923"/>
      <c r="C641" s="1924"/>
      <c r="D641" s="1924"/>
      <c r="E641" s="1740"/>
      <c r="F641" s="1741"/>
      <c r="G641" s="1843"/>
      <c r="H641" s="1843"/>
      <c r="I641" s="1843"/>
      <c r="J641" s="1843"/>
      <c r="K641" s="1996"/>
      <c r="L641" s="1799"/>
      <c r="M641" s="1699"/>
      <c r="N641" s="1695"/>
      <c r="O641" s="1695"/>
      <c r="P641" s="1745"/>
      <c r="Q641" s="1745"/>
      <c r="R641" s="1745"/>
      <c r="S641" s="1745"/>
      <c r="T641" s="1745"/>
      <c r="U641" s="1733" t="s">
        <v>1666</v>
      </c>
      <c r="V641" s="1699"/>
      <c r="W641" s="1695"/>
      <c r="X641" s="1695"/>
      <c r="Y641" s="1695"/>
      <c r="Z641" s="1695"/>
      <c r="AA641" s="1695"/>
      <c r="AB641" s="1699"/>
      <c r="AC641" s="1695"/>
      <c r="AD641" s="1695"/>
      <c r="AE641" s="1695"/>
      <c r="AF641" s="1695"/>
      <c r="AG641" s="1695"/>
      <c r="AH641" s="1699"/>
      <c r="AI641" s="1695"/>
      <c r="AJ641" s="1695"/>
      <c r="AK641" s="1695"/>
      <c r="AL641" s="1695"/>
      <c r="AM641" s="1695"/>
      <c r="AN641" s="1695"/>
      <c r="AO641" s="1757">
        <v>0.1</v>
      </c>
      <c r="AP641" s="1758">
        <v>52.4</v>
      </c>
    </row>
    <row r="642" spans="1:42">
      <c r="A642" s="2433"/>
      <c r="B642" s="1932"/>
      <c r="C642" s="1933"/>
      <c r="D642" s="1933"/>
      <c r="E642" s="1699"/>
      <c r="F642" s="1695"/>
      <c r="G642" s="1745"/>
      <c r="H642" s="1745"/>
      <c r="I642" s="1745"/>
      <c r="J642" s="1745"/>
      <c r="K642" s="1906"/>
      <c r="L642" s="1805"/>
      <c r="M642" s="1699"/>
      <c r="N642" s="1695"/>
      <c r="O642" s="1695"/>
      <c r="P642" s="1745"/>
      <c r="Q642" s="1745"/>
      <c r="R642" s="1745"/>
      <c r="S642" s="1745"/>
      <c r="T642" s="1745"/>
      <c r="U642" s="1733" t="s">
        <v>1667</v>
      </c>
      <c r="V642" s="1699"/>
      <c r="W642" s="1695"/>
      <c r="X642" s="1695"/>
      <c r="Y642" s="1695"/>
      <c r="Z642" s="1695"/>
      <c r="AA642" s="1695"/>
      <c r="AB642" s="1699"/>
      <c r="AC642" s="1695"/>
      <c r="AD642" s="1695"/>
      <c r="AE642" s="1695"/>
      <c r="AF642" s="1695"/>
      <c r="AG642" s="1695"/>
      <c r="AH642" s="1699"/>
      <c r="AI642" s="1695"/>
      <c r="AJ642" s="1695"/>
      <c r="AK642" s="1695"/>
      <c r="AL642" s="1695"/>
      <c r="AM642" s="1695"/>
      <c r="AN642" s="1695"/>
      <c r="AO642" s="1757">
        <v>0.05</v>
      </c>
      <c r="AP642" s="1758">
        <v>52.4</v>
      </c>
    </row>
    <row r="643" spans="1:42">
      <c r="A643" s="2433"/>
      <c r="B643" s="1695"/>
      <c r="C643" s="1696"/>
      <c r="D643" s="1696"/>
      <c r="E643" s="1695"/>
      <c r="F643" s="1695"/>
      <c r="G643" s="1745"/>
      <c r="H643" s="1745"/>
      <c r="I643" s="1745"/>
      <c r="J643" s="1745"/>
      <c r="K643" s="1695"/>
      <c r="L643" s="1745"/>
      <c r="M643" s="1699"/>
      <c r="N643" s="1695"/>
      <c r="O643" s="1695"/>
      <c r="P643" s="1745"/>
      <c r="Q643" s="1745"/>
      <c r="R643" s="1745"/>
      <c r="S643" s="1745"/>
      <c r="T643" s="1745"/>
      <c r="U643" s="1699"/>
      <c r="V643" s="1699"/>
      <c r="W643" s="1695"/>
      <c r="X643" s="1695"/>
      <c r="Y643" s="1695"/>
      <c r="Z643" s="1695"/>
      <c r="AA643" s="1695"/>
      <c r="AB643" s="1699"/>
      <c r="AC643" s="1695"/>
      <c r="AD643" s="1695"/>
      <c r="AE643" s="1695"/>
      <c r="AF643" s="1695"/>
      <c r="AG643" s="1695"/>
      <c r="AH643" s="1699"/>
      <c r="AI643" s="1695"/>
      <c r="AJ643" s="1695"/>
      <c r="AK643" s="1695"/>
      <c r="AL643" s="1695"/>
      <c r="AM643" s="1695"/>
      <c r="AN643" s="1695"/>
      <c r="AO643" s="1699"/>
      <c r="AP643" s="1729"/>
    </row>
    <row r="644" spans="1:42">
      <c r="A644" s="2433"/>
      <c r="B644" s="1695"/>
      <c r="C644" s="1696"/>
      <c r="D644" s="1696"/>
      <c r="E644" s="1695"/>
      <c r="F644" s="1695"/>
      <c r="G644" s="1745"/>
      <c r="H644" s="1745"/>
      <c r="I644" s="1745"/>
      <c r="J644" s="1745"/>
      <c r="K644" s="1695"/>
      <c r="L644" s="1745"/>
      <c r="M644" s="1699"/>
      <c r="N644" s="1695"/>
      <c r="O644" s="1695"/>
      <c r="P644" s="1745"/>
      <c r="Q644" s="1745"/>
      <c r="R644" s="1745"/>
      <c r="S644" s="1745"/>
      <c r="T644" s="1745"/>
      <c r="U644" s="1699"/>
      <c r="V644" s="1699"/>
      <c r="W644" s="1695"/>
      <c r="X644" s="1695"/>
      <c r="Y644" s="1695"/>
      <c r="Z644" s="1695"/>
      <c r="AA644" s="1695"/>
      <c r="AB644" s="1699"/>
      <c r="AC644" s="1695"/>
      <c r="AD644" s="1695"/>
      <c r="AE644" s="1695"/>
      <c r="AF644" s="1695"/>
      <c r="AG644" s="1695"/>
      <c r="AH644" s="1699"/>
      <c r="AI644" s="1695"/>
      <c r="AJ644" s="1695"/>
      <c r="AK644" s="1695"/>
      <c r="AL644" s="1695"/>
      <c r="AM644" s="1695"/>
      <c r="AN644" s="1695"/>
      <c r="AO644" s="1699"/>
      <c r="AP644" s="1729"/>
    </row>
    <row r="645" spans="1:42">
      <c r="A645" s="2433"/>
      <c r="B645" s="1695"/>
      <c r="C645" s="1696"/>
      <c r="D645" s="1696"/>
      <c r="E645" s="1695"/>
      <c r="F645" s="1695"/>
      <c r="G645" s="1745"/>
      <c r="H645" s="1745"/>
      <c r="I645" s="1745"/>
      <c r="J645" s="1745"/>
      <c r="K645" s="1695"/>
      <c r="L645" s="1745"/>
      <c r="M645" s="1699"/>
      <c r="N645" s="1695"/>
      <c r="O645" s="1695"/>
      <c r="P645" s="1745"/>
      <c r="Q645" s="1745"/>
      <c r="R645" s="1745"/>
      <c r="S645" s="1745"/>
      <c r="T645" s="1745"/>
      <c r="U645" s="1699"/>
      <c r="V645" s="1699"/>
      <c r="W645" s="1695"/>
      <c r="X645" s="1695"/>
      <c r="Y645" s="1695"/>
      <c r="Z645" s="1695"/>
      <c r="AA645" s="1695"/>
      <c r="AB645" s="1699"/>
      <c r="AC645" s="1695"/>
      <c r="AD645" s="1695"/>
      <c r="AE645" s="1695"/>
      <c r="AF645" s="1695"/>
      <c r="AG645" s="1695"/>
      <c r="AH645" s="1699"/>
      <c r="AI645" s="1695"/>
      <c r="AJ645" s="1695"/>
      <c r="AK645" s="1695"/>
      <c r="AL645" s="1695"/>
      <c r="AM645" s="1695"/>
      <c r="AN645" s="1695"/>
      <c r="AO645" s="1699"/>
      <c r="AP645" s="1729"/>
    </row>
    <row r="646" spans="1:42">
      <c r="A646" s="2433"/>
      <c r="B646" s="1695"/>
      <c r="C646" s="1696"/>
      <c r="D646" s="1696"/>
      <c r="E646" s="1695"/>
      <c r="F646" s="1695"/>
      <c r="G646" s="1745"/>
      <c r="H646" s="1745"/>
      <c r="I646" s="1745"/>
      <c r="J646" s="1745"/>
      <c r="K646" s="1695"/>
      <c r="L646" s="1745"/>
      <c r="M646" s="1699"/>
      <c r="N646" s="1695"/>
      <c r="O646" s="1695"/>
      <c r="P646" s="1745"/>
      <c r="Q646" s="1745"/>
      <c r="R646" s="1745"/>
      <c r="S646" s="1745"/>
      <c r="T646" s="1745"/>
      <c r="U646" s="1699"/>
      <c r="V646" s="1699"/>
      <c r="W646" s="1695"/>
      <c r="X646" s="1695"/>
      <c r="Y646" s="1695"/>
      <c r="Z646" s="1695"/>
      <c r="AA646" s="1695"/>
      <c r="AB646" s="1699"/>
      <c r="AC646" s="1695"/>
      <c r="AD646" s="1695"/>
      <c r="AE646" s="1695"/>
      <c r="AF646" s="1695"/>
      <c r="AG646" s="1695"/>
      <c r="AH646" s="1699"/>
      <c r="AI646" s="1695"/>
      <c r="AJ646" s="1695"/>
      <c r="AK646" s="1695"/>
      <c r="AL646" s="1695"/>
      <c r="AM646" s="1695"/>
      <c r="AN646" s="1695"/>
      <c r="AO646" s="1699"/>
      <c r="AP646" s="1729"/>
    </row>
    <row r="647" spans="1:42">
      <c r="A647" s="2433"/>
      <c r="B647" s="1695"/>
      <c r="C647" s="1696"/>
      <c r="D647" s="1696"/>
      <c r="E647" s="1695"/>
      <c r="F647" s="1695"/>
      <c r="G647" s="1745"/>
      <c r="H647" s="1745"/>
      <c r="I647" s="1745"/>
      <c r="J647" s="1745"/>
      <c r="K647" s="1695"/>
      <c r="L647" s="1745"/>
      <c r="M647" s="1699"/>
      <c r="N647" s="1695"/>
      <c r="O647" s="1695"/>
      <c r="P647" s="1745"/>
      <c r="Q647" s="1745"/>
      <c r="R647" s="1745"/>
      <c r="S647" s="1745"/>
      <c r="T647" s="1745"/>
      <c r="U647" s="1699"/>
      <c r="V647" s="1699"/>
      <c r="W647" s="1695"/>
      <c r="X647" s="1695"/>
      <c r="Y647" s="1695"/>
      <c r="Z647" s="1695"/>
      <c r="AA647" s="1695"/>
      <c r="AB647" s="1699"/>
      <c r="AC647" s="1695"/>
      <c r="AD647" s="1695"/>
      <c r="AE647" s="1695"/>
      <c r="AF647" s="1695"/>
      <c r="AG647" s="1695"/>
      <c r="AH647" s="1699"/>
      <c r="AI647" s="1695"/>
      <c r="AJ647" s="1695"/>
      <c r="AK647" s="1695"/>
      <c r="AL647" s="1695"/>
      <c r="AM647" s="1695"/>
      <c r="AN647" s="1695"/>
      <c r="AO647" s="1699"/>
      <c r="AP647" s="1729"/>
    </row>
    <row r="648" spans="1:42" ht="9" customHeight="1">
      <c r="A648" s="2433"/>
      <c r="B648" s="1695"/>
      <c r="C648" s="1696"/>
      <c r="D648" s="1696"/>
      <c r="E648" s="1695"/>
      <c r="F648" s="1695"/>
      <c r="G648" s="1745"/>
      <c r="H648" s="1745"/>
      <c r="I648" s="1745"/>
      <c r="J648" s="1745"/>
      <c r="K648" s="1695"/>
      <c r="L648" s="1745"/>
      <c r="M648" s="1699"/>
      <c r="N648" s="1695"/>
      <c r="O648" s="1695"/>
      <c r="P648" s="1745"/>
      <c r="Q648" s="1745"/>
      <c r="R648" s="1745"/>
      <c r="S648" s="1745"/>
      <c r="T648" s="1745"/>
      <c r="U648" s="1699"/>
      <c r="V648" s="1699"/>
      <c r="W648" s="1695"/>
      <c r="X648" s="1695"/>
      <c r="Y648" s="1695"/>
      <c r="Z648" s="1695"/>
      <c r="AA648" s="1695"/>
      <c r="AB648" s="1699"/>
      <c r="AC648" s="1695"/>
      <c r="AD648" s="1695"/>
      <c r="AE648" s="1695"/>
      <c r="AF648" s="1695"/>
      <c r="AG648" s="1695"/>
      <c r="AH648" s="1699"/>
      <c r="AI648" s="1695"/>
      <c r="AJ648" s="1695"/>
      <c r="AK648" s="1695"/>
      <c r="AL648" s="1695"/>
      <c r="AM648" s="1695"/>
      <c r="AN648" s="1695"/>
      <c r="AO648" s="1699"/>
      <c r="AP648" s="1729"/>
    </row>
    <row r="649" spans="1:42" ht="15.75" thickBot="1">
      <c r="A649" s="2440"/>
      <c r="B649" s="1695"/>
      <c r="C649" s="1696"/>
      <c r="D649" s="1696"/>
      <c r="E649" s="1695"/>
      <c r="F649" s="1695"/>
      <c r="G649" s="1745"/>
      <c r="H649" s="1745"/>
      <c r="I649" s="1745"/>
      <c r="J649" s="1745"/>
      <c r="K649" s="1695"/>
      <c r="L649" s="1745"/>
      <c r="M649" s="1699"/>
      <c r="N649" s="1695"/>
      <c r="O649" s="1695"/>
      <c r="P649" s="1745"/>
      <c r="Q649" s="1745"/>
      <c r="R649" s="1745"/>
      <c r="S649" s="1745"/>
      <c r="T649" s="1745"/>
      <c r="U649" s="1699"/>
      <c r="V649" s="1699"/>
      <c r="W649" s="1695"/>
      <c r="X649" s="1695"/>
      <c r="Y649" s="1695"/>
      <c r="Z649" s="1695"/>
      <c r="AA649" s="1695"/>
      <c r="AB649" s="1699"/>
      <c r="AC649" s="1695"/>
      <c r="AD649" s="1695"/>
      <c r="AE649" s="1695"/>
      <c r="AF649" s="1695"/>
      <c r="AG649" s="1695"/>
      <c r="AH649" s="1699"/>
      <c r="AI649" s="1695"/>
      <c r="AJ649" s="1695"/>
      <c r="AK649" s="1695"/>
      <c r="AL649" s="1695"/>
      <c r="AM649" s="1695"/>
      <c r="AN649" s="1695"/>
      <c r="AO649" s="1699"/>
      <c r="AP649" s="1729"/>
    </row>
    <row r="650" spans="1:42" ht="19.5" thickBot="1">
      <c r="A650" s="1746"/>
      <c r="B650" s="1715"/>
      <c r="C650" s="1716"/>
      <c r="D650" s="1716"/>
      <c r="E650" s="1715"/>
      <c r="F650" s="1715"/>
      <c r="G650" s="1717"/>
      <c r="H650" s="1717"/>
      <c r="I650" s="1717"/>
      <c r="J650" s="1717"/>
      <c r="K650" s="1715"/>
      <c r="L650" s="1717"/>
      <c r="M650" s="1718"/>
      <c r="N650" s="1715"/>
      <c r="O650" s="1715"/>
      <c r="P650" s="1717"/>
      <c r="Q650" s="1717"/>
      <c r="R650" s="1717"/>
      <c r="S650" s="1717"/>
      <c r="T650" s="1717"/>
      <c r="U650" s="1718"/>
      <c r="V650" s="1718"/>
      <c r="W650" s="1715"/>
      <c r="X650" s="1715"/>
      <c r="Y650" s="1715"/>
      <c r="Z650" s="1715"/>
      <c r="AA650" s="1715"/>
      <c r="AB650" s="1718"/>
      <c r="AC650" s="1715"/>
      <c r="AD650" s="1715"/>
      <c r="AE650" s="1715"/>
      <c r="AF650" s="1715"/>
      <c r="AG650" s="1715"/>
      <c r="AH650" s="1718"/>
      <c r="AI650" s="1715"/>
      <c r="AJ650" s="1715"/>
      <c r="AK650" s="1715"/>
      <c r="AL650" s="1715"/>
      <c r="AM650" s="1715"/>
      <c r="AN650" s="1715"/>
      <c r="AO650" s="1718"/>
      <c r="AP650" s="1719"/>
    </row>
    <row r="651" spans="1:42">
      <c r="A651" s="2432" t="s">
        <v>1031</v>
      </c>
      <c r="B651" s="1844" t="s">
        <v>2072</v>
      </c>
      <c r="C651" s="1721" t="s">
        <v>1907</v>
      </c>
      <c r="D651" s="1721" t="s">
        <v>1440</v>
      </c>
      <c r="E651" s="1845">
        <f>AVERAGE(AO652,AO654,AO656)</f>
        <v>0.40000000000000008</v>
      </c>
      <c r="F651" s="1854"/>
      <c r="G651" s="1724">
        <f>AP651*$BQ$45</f>
        <v>58.274529605283924</v>
      </c>
      <c r="H651" s="1724">
        <f t="shared" ref="H651:H652" si="68">G651*E651</f>
        <v>23.309811842113575</v>
      </c>
      <c r="I651" s="1724"/>
      <c r="J651" s="1726"/>
      <c r="K651" s="2426">
        <v>0.24</v>
      </c>
      <c r="L651" s="2000">
        <f>E651*G651*(1+$K$651)</f>
        <v>28.904166684220833</v>
      </c>
      <c r="M651" s="1743" t="s">
        <v>1942</v>
      </c>
      <c r="N651" s="1782"/>
      <c r="O651" s="1870" t="s">
        <v>2091</v>
      </c>
      <c r="P651" s="1738">
        <v>67.88</v>
      </c>
      <c r="Q651" s="1846" t="s">
        <v>2092</v>
      </c>
      <c r="R651" s="1846"/>
      <c r="S651" s="1846"/>
      <c r="T651" s="1755" t="str">
        <f>Q651</f>
        <v>$16.97 - $66.52</v>
      </c>
      <c r="U651" s="1733" t="s">
        <v>1676</v>
      </c>
      <c r="V651" s="1699"/>
      <c r="W651" s="1695"/>
      <c r="X651" s="1695"/>
      <c r="Y651" s="1695"/>
      <c r="Z651" s="1695"/>
      <c r="AA651" s="1695"/>
      <c r="AB651" s="1699"/>
      <c r="AC651" s="1695"/>
      <c r="AD651" s="1695"/>
      <c r="AE651" s="1695"/>
      <c r="AF651" s="1695"/>
      <c r="AG651" s="1695"/>
      <c r="AH651" s="1699"/>
      <c r="AI651" s="1695"/>
      <c r="AJ651" s="1695"/>
      <c r="AK651" s="1695"/>
      <c r="AL651" s="1695"/>
      <c r="AM651" s="1695"/>
      <c r="AN651" s="1695"/>
      <c r="AO651" s="1757">
        <v>0.26667000000000002</v>
      </c>
      <c r="AP651" s="1758">
        <v>52.4</v>
      </c>
    </row>
    <row r="652" spans="1:42">
      <c r="A652" s="2433"/>
      <c r="B652" s="1844" t="s">
        <v>2073</v>
      </c>
      <c r="C652" s="1721" t="s">
        <v>1907</v>
      </c>
      <c r="D652" s="1721" t="s">
        <v>1440</v>
      </c>
      <c r="E652" s="1845">
        <f>AVERAGE(AO651,AO653,AO655,AO657)</f>
        <v>0.26667000000000002</v>
      </c>
      <c r="F652" s="1854"/>
      <c r="G652" s="1724">
        <f t="shared" ref="G652" si="69">AP652*$BQ$45</f>
        <v>58.274529605283924</v>
      </c>
      <c r="H652" s="1724">
        <f t="shared" si="68"/>
        <v>15.540068809841065</v>
      </c>
      <c r="I652" s="1724"/>
      <c r="J652" s="1726"/>
      <c r="K652" s="2445"/>
      <c r="L652" s="2000">
        <f>E652*G652*(1+$K$651)</f>
        <v>19.269685324202921</v>
      </c>
      <c r="M652" s="1699"/>
      <c r="N652" s="1695"/>
      <c r="O652" s="1695"/>
      <c r="P652" s="1745"/>
      <c r="Q652" s="1745"/>
      <c r="R652" s="1745"/>
      <c r="S652" s="1745"/>
      <c r="T652" s="1745"/>
      <c r="U652" s="1733" t="s">
        <v>1675</v>
      </c>
      <c r="V652" s="1699"/>
      <c r="W652" s="1695"/>
      <c r="X652" s="1695"/>
      <c r="Y652" s="1695"/>
      <c r="Z652" s="1695"/>
      <c r="AA652" s="1695"/>
      <c r="AB652" s="1699"/>
      <c r="AC652" s="1695"/>
      <c r="AD652" s="1695"/>
      <c r="AE652" s="1695"/>
      <c r="AF652" s="1695"/>
      <c r="AG652" s="1695"/>
      <c r="AH652" s="1699"/>
      <c r="AI652" s="1695"/>
      <c r="AJ652" s="1695"/>
      <c r="AK652" s="1695"/>
      <c r="AL652" s="1695"/>
      <c r="AM652" s="1695"/>
      <c r="AN652" s="1695"/>
      <c r="AO652" s="1757">
        <v>0.4</v>
      </c>
      <c r="AP652" s="1758">
        <v>52.4</v>
      </c>
    </row>
    <row r="653" spans="1:42">
      <c r="A653" s="2433"/>
      <c r="B653" s="1923"/>
      <c r="C653" s="1924"/>
      <c r="D653" s="1924"/>
      <c r="E653" s="1740"/>
      <c r="F653" s="1741"/>
      <c r="G653" s="1843"/>
      <c r="H653" s="1843"/>
      <c r="I653" s="1843"/>
      <c r="J653" s="1843"/>
      <c r="K653" s="1996"/>
      <c r="L653" s="1799"/>
      <c r="M653" s="1699"/>
      <c r="N653" s="1695"/>
      <c r="O653" s="1695"/>
      <c r="P653" s="1745"/>
      <c r="Q653" s="1745"/>
      <c r="R653" s="1745"/>
      <c r="S653" s="1745"/>
      <c r="T653" s="1745"/>
      <c r="U653" s="1733" t="s">
        <v>1677</v>
      </c>
      <c r="V653" s="1699"/>
      <c r="W653" s="1695"/>
      <c r="X653" s="1695"/>
      <c r="Y653" s="1695"/>
      <c r="Z653" s="1695"/>
      <c r="AA653" s="1695"/>
      <c r="AB653" s="1699"/>
      <c r="AC653" s="1695"/>
      <c r="AD653" s="1695"/>
      <c r="AE653" s="1695"/>
      <c r="AF653" s="1695"/>
      <c r="AG653" s="1695"/>
      <c r="AH653" s="1699"/>
      <c r="AI653" s="1695"/>
      <c r="AJ653" s="1695"/>
      <c r="AK653" s="1695"/>
      <c r="AL653" s="1695"/>
      <c r="AM653" s="1695"/>
      <c r="AN653" s="1695"/>
      <c r="AO653" s="1757">
        <v>0.26667000000000002</v>
      </c>
      <c r="AP653" s="1758">
        <v>52.4</v>
      </c>
    </row>
    <row r="654" spans="1:42">
      <c r="A654" s="2433"/>
      <c r="B654" s="1932"/>
      <c r="C654" s="1933"/>
      <c r="D654" s="1933"/>
      <c r="E654" s="1699"/>
      <c r="F654" s="1695"/>
      <c r="G654" s="1745"/>
      <c r="H654" s="1745"/>
      <c r="I654" s="1745"/>
      <c r="J654" s="1745"/>
      <c r="K654" s="1906"/>
      <c r="L654" s="1805"/>
      <c r="M654" s="1699"/>
      <c r="N654" s="1695"/>
      <c r="O654" s="1695"/>
      <c r="P654" s="1745"/>
      <c r="Q654" s="1745"/>
      <c r="R654" s="1745"/>
      <c r="S654" s="1745"/>
      <c r="T654" s="1745"/>
      <c r="U654" s="1733" t="s">
        <v>1678</v>
      </c>
      <c r="V654" s="1699"/>
      <c r="W654" s="1695"/>
      <c r="X654" s="1695"/>
      <c r="Y654" s="1695"/>
      <c r="Z654" s="1695"/>
      <c r="AA654" s="1695"/>
      <c r="AB654" s="1699"/>
      <c r="AC654" s="1695"/>
      <c r="AD654" s="1695"/>
      <c r="AE654" s="1695"/>
      <c r="AF654" s="1695"/>
      <c r="AG654" s="1695"/>
      <c r="AH654" s="1699"/>
      <c r="AI654" s="1695"/>
      <c r="AJ654" s="1695"/>
      <c r="AK654" s="1695"/>
      <c r="AL654" s="1695"/>
      <c r="AM654" s="1695"/>
      <c r="AN654" s="1695"/>
      <c r="AO654" s="1757">
        <v>0.4</v>
      </c>
      <c r="AP654" s="1758">
        <v>52.4</v>
      </c>
    </row>
    <row r="655" spans="1:42">
      <c r="A655" s="2433"/>
      <c r="B655" s="1695"/>
      <c r="C655" s="1696"/>
      <c r="D655" s="1696"/>
      <c r="E655" s="1695"/>
      <c r="F655" s="1695"/>
      <c r="G655" s="1745"/>
      <c r="H655" s="1745"/>
      <c r="I655" s="1745"/>
      <c r="J655" s="1745"/>
      <c r="K655" s="1695"/>
      <c r="L655" s="1745"/>
      <c r="M655" s="1699"/>
      <c r="N655" s="1695"/>
      <c r="O655" s="1695"/>
      <c r="P655" s="1745"/>
      <c r="Q655" s="1745"/>
      <c r="R655" s="1745"/>
      <c r="S655" s="1745"/>
      <c r="T655" s="1745"/>
      <c r="U655" s="1733" t="s">
        <v>1679</v>
      </c>
      <c r="V655" s="1699"/>
      <c r="W655" s="1695"/>
      <c r="X655" s="1695"/>
      <c r="Y655" s="1695"/>
      <c r="Z655" s="1695"/>
      <c r="AA655" s="1695"/>
      <c r="AB655" s="1699"/>
      <c r="AC655" s="1695"/>
      <c r="AD655" s="1695"/>
      <c r="AE655" s="1695"/>
      <c r="AF655" s="1695"/>
      <c r="AG655" s="1695"/>
      <c r="AH655" s="1699"/>
      <c r="AI655" s="1695"/>
      <c r="AJ655" s="1695"/>
      <c r="AK655" s="1695"/>
      <c r="AL655" s="1695"/>
      <c r="AM655" s="1695"/>
      <c r="AN655" s="1695"/>
      <c r="AO655" s="1757">
        <v>0.26667000000000002</v>
      </c>
      <c r="AP655" s="1758">
        <v>52.4</v>
      </c>
    </row>
    <row r="656" spans="1:42">
      <c r="A656" s="2433"/>
      <c r="B656" s="1695"/>
      <c r="C656" s="1696"/>
      <c r="D656" s="1696"/>
      <c r="E656" s="1695"/>
      <c r="F656" s="1695"/>
      <c r="G656" s="1745"/>
      <c r="H656" s="1745"/>
      <c r="I656" s="1745"/>
      <c r="J656" s="1745"/>
      <c r="K656" s="1695"/>
      <c r="L656" s="1745"/>
      <c r="M656" s="1699"/>
      <c r="N656" s="1695"/>
      <c r="O656" s="1695"/>
      <c r="P656" s="1745"/>
      <c r="Q656" s="1745"/>
      <c r="R656" s="1745"/>
      <c r="S656" s="1745"/>
      <c r="T656" s="1745"/>
      <c r="U656" s="1733" t="s">
        <v>1680</v>
      </c>
      <c r="V656" s="1699"/>
      <c r="W656" s="1695"/>
      <c r="X656" s="1695"/>
      <c r="Y656" s="1695"/>
      <c r="Z656" s="1695"/>
      <c r="AA656" s="1695"/>
      <c r="AB656" s="1699"/>
      <c r="AC656" s="1695"/>
      <c r="AD656" s="1695"/>
      <c r="AE656" s="1695"/>
      <c r="AF656" s="1695"/>
      <c r="AG656" s="1695"/>
      <c r="AH656" s="1699"/>
      <c r="AI656" s="1695"/>
      <c r="AJ656" s="1695"/>
      <c r="AK656" s="1695"/>
      <c r="AL656" s="1695"/>
      <c r="AM656" s="1695"/>
      <c r="AN656" s="1695"/>
      <c r="AO656" s="1757">
        <v>0.4</v>
      </c>
      <c r="AP656" s="1758">
        <v>52.4</v>
      </c>
    </row>
    <row r="657" spans="1:42">
      <c r="A657" s="2433"/>
      <c r="B657" s="1695"/>
      <c r="C657" s="1696"/>
      <c r="D657" s="1696"/>
      <c r="E657" s="1695"/>
      <c r="F657" s="1695"/>
      <c r="G657" s="1745"/>
      <c r="H657" s="1745"/>
      <c r="I657" s="1745"/>
      <c r="J657" s="1745"/>
      <c r="K657" s="1695"/>
      <c r="L657" s="1745"/>
      <c r="M657" s="1699"/>
      <c r="N657" s="1695"/>
      <c r="O657" s="1695"/>
      <c r="P657" s="1745"/>
      <c r="Q657" s="1745"/>
      <c r="R657" s="1745"/>
      <c r="S657" s="1745"/>
      <c r="T657" s="1745"/>
      <c r="U657" s="1733" t="s">
        <v>1681</v>
      </c>
      <c r="V657" s="1699"/>
      <c r="W657" s="1695"/>
      <c r="X657" s="1695"/>
      <c r="Y657" s="1695"/>
      <c r="Z657" s="1695"/>
      <c r="AA657" s="1695"/>
      <c r="AB657" s="1699"/>
      <c r="AC657" s="1695"/>
      <c r="AD657" s="1695"/>
      <c r="AE657" s="1695"/>
      <c r="AF657" s="1695"/>
      <c r="AG657" s="1695"/>
      <c r="AH657" s="1699"/>
      <c r="AI657" s="1695"/>
      <c r="AJ657" s="1695"/>
      <c r="AK657" s="1695"/>
      <c r="AL657" s="1695"/>
      <c r="AM657" s="1695"/>
      <c r="AN657" s="1695"/>
      <c r="AO657" s="1757">
        <v>0.26667000000000002</v>
      </c>
      <c r="AP657" s="1758">
        <v>52.4</v>
      </c>
    </row>
    <row r="658" spans="1:42">
      <c r="A658" s="2433"/>
      <c r="B658" s="1695"/>
      <c r="C658" s="1696"/>
      <c r="D658" s="1696"/>
      <c r="E658" s="1695"/>
      <c r="F658" s="1695"/>
      <c r="G658" s="1745"/>
      <c r="H658" s="1745"/>
      <c r="I658" s="1745"/>
      <c r="J658" s="1745"/>
      <c r="K658" s="1695"/>
      <c r="L658" s="1745"/>
      <c r="M658" s="1699"/>
      <c r="N658" s="1695"/>
      <c r="O658" s="1695"/>
      <c r="P658" s="1745"/>
      <c r="Q658" s="1745"/>
      <c r="R658" s="1745"/>
      <c r="S658" s="1745"/>
      <c r="T658" s="1745"/>
      <c r="U658" s="1699"/>
      <c r="V658" s="1699"/>
      <c r="W658" s="1695"/>
      <c r="X658" s="1695"/>
      <c r="Y658" s="1695"/>
      <c r="Z658" s="1695"/>
      <c r="AA658" s="1695"/>
      <c r="AB658" s="1699"/>
      <c r="AC658" s="1695"/>
      <c r="AD658" s="1695"/>
      <c r="AE658" s="1695"/>
      <c r="AF658" s="1695"/>
      <c r="AG658" s="1695"/>
      <c r="AH658" s="1699"/>
      <c r="AI658" s="1695"/>
      <c r="AJ658" s="1695"/>
      <c r="AK658" s="1695"/>
      <c r="AL658" s="1695"/>
      <c r="AM658" s="1695"/>
      <c r="AN658" s="1695"/>
      <c r="AO658" s="1699"/>
      <c r="AP658" s="1729"/>
    </row>
    <row r="659" spans="1:42">
      <c r="A659" s="2433"/>
      <c r="B659" s="1695"/>
      <c r="C659" s="1696"/>
      <c r="D659" s="1696"/>
      <c r="E659" s="1695"/>
      <c r="F659" s="1695"/>
      <c r="G659" s="1745"/>
      <c r="H659" s="1745"/>
      <c r="I659" s="1745"/>
      <c r="J659" s="1745"/>
      <c r="K659" s="1695"/>
      <c r="L659" s="1745"/>
      <c r="M659" s="1699"/>
      <c r="N659" s="1695"/>
      <c r="O659" s="1695"/>
      <c r="P659" s="1745"/>
      <c r="Q659" s="1745"/>
      <c r="R659" s="1745"/>
      <c r="S659" s="1745"/>
      <c r="T659" s="1745"/>
      <c r="U659" s="1699"/>
      <c r="V659" s="1699"/>
      <c r="W659" s="1695"/>
      <c r="X659" s="1695"/>
      <c r="Y659" s="1695"/>
      <c r="Z659" s="1695"/>
      <c r="AA659" s="1695"/>
      <c r="AB659" s="1699"/>
      <c r="AC659" s="1695"/>
      <c r="AD659" s="1695"/>
      <c r="AE659" s="1695"/>
      <c r="AF659" s="1695"/>
      <c r="AG659" s="1695"/>
      <c r="AH659" s="1699"/>
      <c r="AI659" s="1695"/>
      <c r="AJ659" s="1695"/>
      <c r="AK659" s="1695"/>
      <c r="AL659" s="1695"/>
      <c r="AM659" s="1695"/>
      <c r="AN659" s="1695"/>
      <c r="AO659" s="1699"/>
      <c r="AP659" s="1729"/>
    </row>
    <row r="660" spans="1:42">
      <c r="A660" s="2433"/>
      <c r="B660" s="1695"/>
      <c r="C660" s="1696"/>
      <c r="D660" s="1696"/>
      <c r="E660" s="1695"/>
      <c r="F660" s="1695"/>
      <c r="G660" s="1745"/>
      <c r="H660" s="1745"/>
      <c r="I660" s="1745"/>
      <c r="J660" s="1745"/>
      <c r="K660" s="1695"/>
      <c r="L660" s="1745"/>
      <c r="M660" s="1699"/>
      <c r="N660" s="1695"/>
      <c r="O660" s="1695"/>
      <c r="P660" s="1745"/>
      <c r="Q660" s="1745"/>
      <c r="R660" s="1745"/>
      <c r="S660" s="1745"/>
      <c r="T660" s="1745"/>
      <c r="U660" s="1699"/>
      <c r="V660" s="1699"/>
      <c r="W660" s="1695"/>
      <c r="X660" s="1695"/>
      <c r="Y660" s="1695"/>
      <c r="Z660" s="1695"/>
      <c r="AA660" s="1695"/>
      <c r="AB660" s="1699"/>
      <c r="AC660" s="1695"/>
      <c r="AD660" s="1695"/>
      <c r="AE660" s="1695"/>
      <c r="AF660" s="1695"/>
      <c r="AG660" s="1695"/>
      <c r="AH660" s="1699"/>
      <c r="AI660" s="1695"/>
      <c r="AJ660" s="1695"/>
      <c r="AK660" s="1695"/>
      <c r="AL660" s="1695"/>
      <c r="AM660" s="1695"/>
      <c r="AN660" s="1695"/>
      <c r="AO660" s="1699"/>
      <c r="AP660" s="1729"/>
    </row>
    <row r="661" spans="1:42">
      <c r="A661" s="2433"/>
      <c r="B661" s="1695"/>
      <c r="C661" s="1696"/>
      <c r="D661" s="1696"/>
      <c r="E661" s="1695"/>
      <c r="F661" s="1695"/>
      <c r="G661" s="1745"/>
      <c r="H661" s="1745"/>
      <c r="I661" s="1745"/>
      <c r="J661" s="1745"/>
      <c r="K661" s="1695"/>
      <c r="L661" s="1745"/>
      <c r="M661" s="1699"/>
      <c r="N661" s="1695"/>
      <c r="O661" s="1695"/>
      <c r="P661" s="1745"/>
      <c r="Q661" s="1745"/>
      <c r="R661" s="1745"/>
      <c r="S661" s="1745"/>
      <c r="T661" s="1745"/>
      <c r="U661" s="1699"/>
      <c r="V661" s="1699"/>
      <c r="W661" s="1695"/>
      <c r="X661" s="1695"/>
      <c r="Y661" s="1695"/>
      <c r="Z661" s="1695"/>
      <c r="AA661" s="1695"/>
      <c r="AB661" s="1699"/>
      <c r="AC661" s="1695"/>
      <c r="AD661" s="1695"/>
      <c r="AE661" s="1695"/>
      <c r="AF661" s="1695"/>
      <c r="AG661" s="1695"/>
      <c r="AH661" s="1699"/>
      <c r="AI661" s="1695"/>
      <c r="AJ661" s="1695"/>
      <c r="AK661" s="1695"/>
      <c r="AL661" s="1695"/>
      <c r="AM661" s="1695"/>
      <c r="AN661" s="1695"/>
      <c r="AO661" s="1699"/>
      <c r="AP661" s="1729"/>
    </row>
    <row r="662" spans="1:42">
      <c r="A662" s="2433"/>
      <c r="B662" s="1695"/>
      <c r="C662" s="1696"/>
      <c r="D662" s="1696"/>
      <c r="E662" s="1695"/>
      <c r="F662" s="1695"/>
      <c r="G662" s="1745"/>
      <c r="H662" s="1745"/>
      <c r="I662" s="1745"/>
      <c r="J662" s="1745"/>
      <c r="K662" s="1695"/>
      <c r="L662" s="1745"/>
      <c r="M662" s="1699"/>
      <c r="N662" s="1695"/>
      <c r="O662" s="1695"/>
      <c r="P662" s="1745"/>
      <c r="Q662" s="1745"/>
      <c r="R662" s="1745"/>
      <c r="S662" s="1745"/>
      <c r="T662" s="1745"/>
      <c r="U662" s="1699"/>
      <c r="V662" s="1699"/>
      <c r="W662" s="1695"/>
      <c r="X662" s="1695"/>
      <c r="Y662" s="1695"/>
      <c r="Z662" s="1695"/>
      <c r="AA662" s="1695"/>
      <c r="AB662" s="1699"/>
      <c r="AC662" s="1695"/>
      <c r="AD662" s="1695"/>
      <c r="AE662" s="1695"/>
      <c r="AF662" s="1695"/>
      <c r="AG662" s="1695"/>
      <c r="AH662" s="1699"/>
      <c r="AI662" s="1695"/>
      <c r="AJ662" s="1695"/>
      <c r="AK662" s="1695"/>
      <c r="AL662" s="1695"/>
      <c r="AM662" s="1695"/>
      <c r="AN662" s="1695"/>
      <c r="AO662" s="1699"/>
      <c r="AP662" s="1729"/>
    </row>
    <row r="663" spans="1:42">
      <c r="A663" s="2433"/>
      <c r="B663" s="1695"/>
      <c r="C663" s="1696"/>
      <c r="D663" s="1696"/>
      <c r="E663" s="1695"/>
      <c r="F663" s="1695"/>
      <c r="G663" s="1745"/>
      <c r="H663" s="1745"/>
      <c r="I663" s="1745"/>
      <c r="J663" s="1745"/>
      <c r="K663" s="1695"/>
      <c r="L663" s="1745"/>
      <c r="M663" s="1699"/>
      <c r="N663" s="1695"/>
      <c r="O663" s="1695"/>
      <c r="P663" s="1745"/>
      <c r="Q663" s="1745"/>
      <c r="R663" s="1745"/>
      <c r="S663" s="1745"/>
      <c r="T663" s="1745"/>
      <c r="U663" s="1699"/>
      <c r="V663" s="1699"/>
      <c r="W663" s="1695"/>
      <c r="X663" s="1695"/>
      <c r="Y663" s="1695"/>
      <c r="Z663" s="1695"/>
      <c r="AA663" s="1695"/>
      <c r="AB663" s="1699"/>
      <c r="AC663" s="1695"/>
      <c r="AD663" s="1695"/>
      <c r="AE663" s="1695"/>
      <c r="AF663" s="1695"/>
      <c r="AG663" s="1695"/>
      <c r="AH663" s="1699"/>
      <c r="AI663" s="1695"/>
      <c r="AJ663" s="1695"/>
      <c r="AK663" s="1695"/>
      <c r="AL663" s="1695"/>
      <c r="AM663" s="1695"/>
      <c r="AN663" s="1695"/>
      <c r="AO663" s="1699"/>
      <c r="AP663" s="1729"/>
    </row>
    <row r="664" spans="1:42">
      <c r="A664" s="2433"/>
      <c r="B664" s="1695"/>
      <c r="C664" s="1696"/>
      <c r="D664" s="1696"/>
      <c r="E664" s="1695"/>
      <c r="F664" s="1695"/>
      <c r="G664" s="1745"/>
      <c r="H664" s="1745"/>
      <c r="I664" s="1745"/>
      <c r="J664" s="1745"/>
      <c r="K664" s="1695"/>
      <c r="L664" s="1745"/>
      <c r="M664" s="1699"/>
      <c r="N664" s="1695"/>
      <c r="O664" s="1695"/>
      <c r="P664" s="1745"/>
      <c r="Q664" s="1745"/>
      <c r="R664" s="1745"/>
      <c r="S664" s="1745"/>
      <c r="T664" s="1745"/>
      <c r="U664" s="1699"/>
      <c r="V664" s="1699"/>
      <c r="W664" s="1695"/>
      <c r="X664" s="1695"/>
      <c r="Y664" s="1695"/>
      <c r="Z664" s="1695"/>
      <c r="AA664" s="1695"/>
      <c r="AB664" s="1699"/>
      <c r="AC664" s="1695"/>
      <c r="AD664" s="1695"/>
      <c r="AE664" s="1695"/>
      <c r="AF664" s="1695"/>
      <c r="AG664" s="1695"/>
      <c r="AH664" s="1699"/>
      <c r="AI664" s="1695"/>
      <c r="AJ664" s="1695"/>
      <c r="AK664" s="1695"/>
      <c r="AL664" s="1695"/>
      <c r="AM664" s="1695"/>
      <c r="AN664" s="1695"/>
      <c r="AO664" s="1699"/>
      <c r="AP664" s="1729"/>
    </row>
    <row r="665" spans="1:42">
      <c r="A665" s="2433"/>
      <c r="B665" s="1695"/>
      <c r="C665" s="1696"/>
      <c r="D665" s="1696"/>
      <c r="E665" s="1695"/>
      <c r="F665" s="1695"/>
      <c r="G665" s="1745"/>
      <c r="H665" s="1745"/>
      <c r="I665" s="1745"/>
      <c r="J665" s="1745"/>
      <c r="K665" s="1695"/>
      <c r="L665" s="1745"/>
      <c r="M665" s="1699"/>
      <c r="N665" s="1695"/>
      <c r="O665" s="1695"/>
      <c r="P665" s="1745"/>
      <c r="Q665" s="1745"/>
      <c r="R665" s="1745"/>
      <c r="S665" s="1745"/>
      <c r="T665" s="1745"/>
      <c r="U665" s="1699"/>
      <c r="V665" s="1699"/>
      <c r="W665" s="1695"/>
      <c r="X665" s="1695"/>
      <c r="Y665" s="1695"/>
      <c r="Z665" s="1695"/>
      <c r="AA665" s="1695"/>
      <c r="AB665" s="1699"/>
      <c r="AC665" s="1695"/>
      <c r="AD665" s="1695"/>
      <c r="AE665" s="1695"/>
      <c r="AF665" s="1695"/>
      <c r="AG665" s="1695"/>
      <c r="AH665" s="1699"/>
      <c r="AI665" s="1695"/>
      <c r="AJ665" s="1695"/>
      <c r="AK665" s="1695"/>
      <c r="AL665" s="1695"/>
      <c r="AM665" s="1695"/>
      <c r="AN665" s="1695"/>
      <c r="AO665" s="1699"/>
      <c r="AP665" s="1729"/>
    </row>
    <row r="666" spans="1:42" ht="9" customHeight="1">
      <c r="A666" s="2433"/>
      <c r="B666" s="1695"/>
      <c r="C666" s="1696"/>
      <c r="D666" s="1696"/>
      <c r="E666" s="1695"/>
      <c r="F666" s="1695"/>
      <c r="G666" s="1745"/>
      <c r="H666" s="1745"/>
      <c r="I666" s="1745"/>
      <c r="J666" s="1745"/>
      <c r="K666" s="1695"/>
      <c r="L666" s="1745"/>
      <c r="M666" s="1699"/>
      <c r="N666" s="1695"/>
      <c r="O666" s="1695"/>
      <c r="P666" s="1745"/>
      <c r="Q666" s="1745"/>
      <c r="R666" s="1745"/>
      <c r="S666" s="1745"/>
      <c r="T666" s="1745"/>
      <c r="U666" s="1699"/>
      <c r="V666" s="1699"/>
      <c r="W666" s="1695"/>
      <c r="X666" s="1695"/>
      <c r="Y666" s="1695"/>
      <c r="Z666" s="1695"/>
      <c r="AA666" s="1695"/>
      <c r="AB666" s="1699"/>
      <c r="AC666" s="1695"/>
      <c r="AD666" s="1695"/>
      <c r="AE666" s="1695"/>
      <c r="AF666" s="1695"/>
      <c r="AG666" s="1695"/>
      <c r="AH666" s="1699"/>
      <c r="AI666" s="1695"/>
      <c r="AJ666" s="1695"/>
      <c r="AK666" s="1695"/>
      <c r="AL666" s="1695"/>
      <c r="AM666" s="1695"/>
      <c r="AN666" s="1695"/>
      <c r="AO666" s="1699"/>
      <c r="AP666" s="1729"/>
    </row>
    <row r="667" spans="1:42" ht="15.75" thickBot="1">
      <c r="A667" s="2433"/>
      <c r="B667" s="1695"/>
      <c r="C667" s="1696"/>
      <c r="D667" s="1696"/>
      <c r="E667" s="1695"/>
      <c r="F667" s="1695"/>
      <c r="G667" s="1745"/>
      <c r="H667" s="1745"/>
      <c r="I667" s="1745"/>
      <c r="J667" s="1745"/>
      <c r="K667" s="1695"/>
      <c r="L667" s="1745"/>
      <c r="M667" s="1699"/>
      <c r="N667" s="1695"/>
      <c r="O667" s="1695"/>
      <c r="P667" s="1745"/>
      <c r="Q667" s="1745"/>
      <c r="R667" s="1745"/>
      <c r="S667" s="1745"/>
      <c r="T667" s="1745"/>
      <c r="U667" s="1699"/>
      <c r="V667" s="1699"/>
      <c r="W667" s="1695"/>
      <c r="X667" s="1695"/>
      <c r="Y667" s="1695"/>
      <c r="Z667" s="1695"/>
      <c r="AA667" s="1695"/>
      <c r="AB667" s="1699"/>
      <c r="AC667" s="1695"/>
      <c r="AD667" s="1695"/>
      <c r="AE667" s="1695"/>
      <c r="AF667" s="1695"/>
      <c r="AG667" s="1695"/>
      <c r="AH667" s="1699"/>
      <c r="AI667" s="1695"/>
      <c r="AJ667" s="1695"/>
      <c r="AK667" s="1695"/>
      <c r="AL667" s="1695"/>
      <c r="AM667" s="1695"/>
      <c r="AN667" s="1695"/>
      <c r="AO667" s="1699"/>
      <c r="AP667" s="1729"/>
    </row>
    <row r="668" spans="1:42" ht="19.5" thickBot="1">
      <c r="A668" s="1746"/>
      <c r="B668" s="1715"/>
      <c r="C668" s="1716"/>
      <c r="D668" s="1716"/>
      <c r="E668" s="1715"/>
      <c r="F668" s="1715"/>
      <c r="G668" s="1717"/>
      <c r="H668" s="1717"/>
      <c r="I668" s="1717"/>
      <c r="J668" s="1717"/>
      <c r="K668" s="1715"/>
      <c r="L668" s="1717"/>
      <c r="M668" s="1718"/>
      <c r="N668" s="1715"/>
      <c r="O668" s="1715"/>
      <c r="P668" s="1717"/>
      <c r="Q668" s="1717"/>
      <c r="R668" s="1717"/>
      <c r="S668" s="1717"/>
      <c r="T668" s="1717"/>
      <c r="U668" s="1718"/>
      <c r="V668" s="1718"/>
      <c r="W668" s="1715"/>
      <c r="X668" s="1715"/>
      <c r="Y668" s="1715"/>
      <c r="Z668" s="1715"/>
      <c r="AA668" s="1715"/>
      <c r="AB668" s="1718"/>
      <c r="AC668" s="1715"/>
      <c r="AD668" s="1715"/>
      <c r="AE668" s="1715"/>
      <c r="AF668" s="1715"/>
      <c r="AG668" s="1715"/>
      <c r="AH668" s="1718"/>
      <c r="AI668" s="1715"/>
      <c r="AJ668" s="1715"/>
      <c r="AK668" s="1715"/>
      <c r="AL668" s="1715"/>
      <c r="AM668" s="1715"/>
      <c r="AN668" s="1715"/>
      <c r="AO668" s="1718"/>
      <c r="AP668" s="1719"/>
    </row>
    <row r="669" spans="1:42">
      <c r="A669" s="2432" t="s">
        <v>1374</v>
      </c>
      <c r="B669" s="1844" t="s">
        <v>1909</v>
      </c>
      <c r="C669" s="1721" t="s">
        <v>2584</v>
      </c>
      <c r="D669" s="1721" t="s">
        <v>1805</v>
      </c>
      <c r="E669" s="1845">
        <f>AH669</f>
        <v>0.57659123505588705</v>
      </c>
      <c r="F669" s="2001"/>
      <c r="G669" s="1724"/>
      <c r="H669" s="1724">
        <f>G672*$E$669</f>
        <v>33.600582997411514</v>
      </c>
      <c r="I669" s="1724"/>
      <c r="J669" s="1726"/>
      <c r="K669" s="2426">
        <v>0.24</v>
      </c>
      <c r="L669" s="1755">
        <f>((E669*G672)+(E671*G672))*(1+$K$669)</f>
        <v>49.856436854606407</v>
      </c>
      <c r="M669" s="1847" t="s">
        <v>1440</v>
      </c>
      <c r="N669" s="1848"/>
      <c r="O669" s="2002">
        <f>AO672</f>
        <v>8.8889999999999997E-2</v>
      </c>
      <c r="P669" s="1754">
        <f>G672</f>
        <v>58.274529605283924</v>
      </c>
      <c r="Q669" s="1846">
        <f>O669*P669</f>
        <v>5.1800229366136881</v>
      </c>
      <c r="R669" s="1846"/>
      <c r="S669" s="1846"/>
      <c r="T669" s="1755">
        <f>Q669</f>
        <v>5.1800229366136881</v>
      </c>
      <c r="U669" s="1733" t="s">
        <v>1559</v>
      </c>
      <c r="V669" s="1699"/>
      <c r="W669" s="1695"/>
      <c r="X669" s="1695"/>
      <c r="Y669" s="1695"/>
      <c r="Z669" s="1695"/>
      <c r="AA669" s="1695"/>
      <c r="AB669" s="1699"/>
      <c r="AC669" s="1695"/>
      <c r="AD669" s="1695"/>
      <c r="AE669" s="1695"/>
      <c r="AF669" s="1695"/>
      <c r="AG669" s="1695"/>
      <c r="AH669" s="2003">
        <v>0.57659123505588705</v>
      </c>
      <c r="AI669" s="2004">
        <v>5.6181740592268492E-2</v>
      </c>
      <c r="AJ669" s="2004">
        <v>83</v>
      </c>
      <c r="AK669" s="1735"/>
      <c r="AL669" s="1735"/>
      <c r="AM669" s="1735"/>
      <c r="AN669" s="1747"/>
      <c r="AO669" s="1699"/>
      <c r="AP669" s="1729"/>
    </row>
    <row r="670" spans="1:42">
      <c r="A670" s="2433"/>
      <c r="B670" s="1739" t="s">
        <v>1910</v>
      </c>
      <c r="C670" s="1721" t="s">
        <v>2584</v>
      </c>
      <c r="D670" s="1733" t="s">
        <v>1805</v>
      </c>
      <c r="E670" s="1748">
        <f>AH670</f>
        <v>0.88733074315952509</v>
      </c>
      <c r="F670" s="1841"/>
      <c r="G670" s="1736"/>
      <c r="H670" s="1724">
        <f>E670*$G$672</f>
        <v>51.708781661928327</v>
      </c>
      <c r="I670" s="1736"/>
      <c r="J670" s="1842"/>
      <c r="K670" s="2445"/>
      <c r="L670" s="1751">
        <f>((E670*G672)+(E671*G672)+I673)*(1+K669)</f>
        <v>90.445603198607245</v>
      </c>
      <c r="M670" s="1699"/>
      <c r="N670" s="1695"/>
      <c r="O670" s="1695"/>
      <c r="P670" s="1745"/>
      <c r="Q670" s="1745"/>
      <c r="R670" s="1745"/>
      <c r="S670" s="1745"/>
      <c r="T670" s="1745"/>
      <c r="U670" s="1733" t="s">
        <v>1560</v>
      </c>
      <c r="V670" s="1699"/>
      <c r="W670" s="1695"/>
      <c r="X670" s="1695"/>
      <c r="Y670" s="1695"/>
      <c r="Z670" s="1695"/>
      <c r="AA670" s="1695"/>
      <c r="AB670" s="1699"/>
      <c r="AC670" s="1695"/>
      <c r="AD670" s="1695"/>
      <c r="AE670" s="1695"/>
      <c r="AF670" s="1695"/>
      <c r="AG670" s="1695"/>
      <c r="AH670" s="2003">
        <v>0.88733074315952509</v>
      </c>
      <c r="AI670" s="2004">
        <v>0.12175596622240045</v>
      </c>
      <c r="AJ670" s="2004">
        <v>84</v>
      </c>
      <c r="AK670" s="1735"/>
      <c r="AL670" s="1735"/>
      <c r="AM670" s="1735"/>
      <c r="AN670" s="1747"/>
      <c r="AO670" s="1699"/>
      <c r="AP670" s="1729"/>
    </row>
    <row r="671" spans="1:42">
      <c r="A671" s="2433"/>
      <c r="B671" s="1739" t="s">
        <v>1911</v>
      </c>
      <c r="C671" s="1721" t="s">
        <v>2584</v>
      </c>
      <c r="D671" s="1733" t="s">
        <v>1805</v>
      </c>
      <c r="E671" s="1748">
        <f>AH671</f>
        <v>0.11336377937908999</v>
      </c>
      <c r="F671" s="1841"/>
      <c r="G671" s="1736"/>
      <c r="H671" s="1724">
        <f>E671*$G$672</f>
        <v>6.6062209175936548</v>
      </c>
      <c r="I671" s="1736"/>
      <c r="J671" s="1842"/>
      <c r="K671" s="2445"/>
      <c r="L671" s="1751"/>
      <c r="M671" s="1699"/>
      <c r="N671" s="1695"/>
      <c r="O671" s="1695"/>
      <c r="P671" s="1745"/>
      <c r="Q671" s="1745"/>
      <c r="R671" s="1745"/>
      <c r="S671" s="1745"/>
      <c r="T671" s="1745"/>
      <c r="U671" s="1733" t="s">
        <v>1561</v>
      </c>
      <c r="V671" s="1699"/>
      <c r="W671" s="1695"/>
      <c r="X671" s="1695"/>
      <c r="Y671" s="1695"/>
      <c r="Z671" s="1695"/>
      <c r="AA671" s="1695"/>
      <c r="AB671" s="1699"/>
      <c r="AC671" s="1695"/>
      <c r="AD671" s="1695"/>
      <c r="AE671" s="1695"/>
      <c r="AF671" s="1695"/>
      <c r="AG671" s="1695"/>
      <c r="AH671" s="2003">
        <v>0.11336377937908999</v>
      </c>
      <c r="AI671" s="2004">
        <v>2.1675320580773701E-2</v>
      </c>
      <c r="AJ671" s="2004">
        <v>70</v>
      </c>
      <c r="AK671" s="1735"/>
      <c r="AL671" s="1735"/>
      <c r="AM671" s="1735"/>
      <c r="AN671" s="1747"/>
      <c r="AO671" s="1699"/>
      <c r="AP671" s="1729"/>
    </row>
    <row r="672" spans="1:42">
      <c r="A672" s="2433"/>
      <c r="B672" s="1739" t="s">
        <v>1908</v>
      </c>
      <c r="C672" s="1721" t="s">
        <v>2584</v>
      </c>
      <c r="D672" s="1733" t="s">
        <v>1440</v>
      </c>
      <c r="E672" s="1748"/>
      <c r="F672" s="1841"/>
      <c r="G672" s="1736">
        <f>AP672*BQ45</f>
        <v>58.274529605283924</v>
      </c>
      <c r="H672" s="1736"/>
      <c r="I672" s="1736"/>
      <c r="J672" s="1842"/>
      <c r="K672" s="2427"/>
      <c r="L672" s="1795"/>
      <c r="M672" s="1699"/>
      <c r="N672" s="1695"/>
      <c r="O672" s="1695"/>
      <c r="P672" s="1745"/>
      <c r="Q672" s="1745"/>
      <c r="R672" s="1745"/>
      <c r="S672" s="1745"/>
      <c r="T672" s="1745"/>
      <c r="U672" s="1733" t="s">
        <v>1671</v>
      </c>
      <c r="V672" s="1699"/>
      <c r="W672" s="1695"/>
      <c r="X672" s="1695"/>
      <c r="Y672" s="1695"/>
      <c r="Z672" s="1695"/>
      <c r="AA672" s="1695"/>
      <c r="AB672" s="1699"/>
      <c r="AC672" s="1695"/>
      <c r="AD672" s="1695"/>
      <c r="AE672" s="1695"/>
      <c r="AF672" s="1695"/>
      <c r="AG672" s="1695"/>
      <c r="AH672" s="1699"/>
      <c r="AI672" s="1695"/>
      <c r="AJ672" s="1695"/>
      <c r="AK672" s="1695"/>
      <c r="AL672" s="1695"/>
      <c r="AM672" s="1695"/>
      <c r="AN672" s="1695"/>
      <c r="AO672" s="1757">
        <v>8.8889999999999997E-2</v>
      </c>
      <c r="AP672" s="1758">
        <v>52.4</v>
      </c>
    </row>
    <row r="673" spans="1:42">
      <c r="A673" s="2433"/>
      <c r="B673" s="1956" t="s">
        <v>1924</v>
      </c>
      <c r="C673" s="1733" t="s">
        <v>1915</v>
      </c>
      <c r="D673" s="1733" t="s">
        <v>1916</v>
      </c>
      <c r="E673" s="1734"/>
      <c r="F673" s="1789"/>
      <c r="G673" s="1736"/>
      <c r="H673" s="1736"/>
      <c r="I673" s="1736">
        <f>AVERAGE($Y$837:$Y$840)/50</f>
        <v>14.625</v>
      </c>
      <c r="J673" s="1736"/>
      <c r="K673" s="1736"/>
      <c r="L673" s="1842"/>
      <c r="M673" s="1699"/>
      <c r="N673" s="1695"/>
      <c r="O673" s="1806"/>
      <c r="P673" s="1745"/>
      <c r="Q673" s="1745"/>
      <c r="R673" s="1745"/>
      <c r="S673" s="1745"/>
      <c r="T673" s="1745"/>
      <c r="U673" s="1699"/>
      <c r="V673" s="1699"/>
      <c r="W673" s="1695"/>
      <c r="X673" s="1695"/>
      <c r="Y673" s="1695"/>
      <c r="Z673" s="1695"/>
      <c r="AA673" s="1695"/>
      <c r="AB673" s="1699"/>
      <c r="AC673" s="1695"/>
      <c r="AD673" s="1695"/>
      <c r="AE673" s="1695"/>
      <c r="AF673" s="1695"/>
      <c r="AG673" s="1695"/>
      <c r="AH673" s="1699"/>
      <c r="AI673" s="1695"/>
      <c r="AJ673" s="1695"/>
      <c r="AK673" s="1695"/>
      <c r="AL673" s="1695"/>
      <c r="AM673" s="1695"/>
      <c r="AN673" s="1695"/>
      <c r="AO673" s="1699"/>
      <c r="AP673" s="1729"/>
    </row>
    <row r="674" spans="1:42">
      <c r="A674" s="2433"/>
      <c r="B674" s="1695"/>
      <c r="C674" s="1696"/>
      <c r="D674" s="1696"/>
      <c r="E674" s="1879"/>
      <c r="F674" s="1879"/>
      <c r="G674" s="1745"/>
      <c r="H674" s="1745"/>
      <c r="I674" s="1745"/>
      <c r="J674" s="1745"/>
      <c r="K674" s="1879"/>
      <c r="L674" s="1745"/>
      <c r="M674" s="1699"/>
      <c r="N674" s="1695"/>
      <c r="O674" s="1695"/>
      <c r="P674" s="1745"/>
      <c r="Q674" s="1745"/>
      <c r="R674" s="1745"/>
      <c r="S674" s="1745"/>
      <c r="T674" s="1745"/>
      <c r="U674" s="1699"/>
      <c r="V674" s="1699"/>
      <c r="W674" s="1695"/>
      <c r="X674" s="1695"/>
      <c r="Y674" s="1695"/>
      <c r="Z674" s="1695"/>
      <c r="AA674" s="1695"/>
      <c r="AB674" s="1699"/>
      <c r="AC674" s="1695"/>
      <c r="AD674" s="1695"/>
      <c r="AE674" s="1695"/>
      <c r="AF674" s="1695"/>
      <c r="AG674" s="1695"/>
      <c r="AH674" s="1699"/>
      <c r="AI674" s="1695"/>
      <c r="AJ674" s="1695"/>
      <c r="AK674" s="1695"/>
      <c r="AL674" s="1695"/>
      <c r="AM674" s="1695"/>
      <c r="AN674" s="1695"/>
      <c r="AO674" s="1699"/>
      <c r="AP674" s="1729"/>
    </row>
    <row r="675" spans="1:42">
      <c r="A675" s="2433"/>
      <c r="B675" s="1695"/>
      <c r="C675" s="1696"/>
      <c r="D675" s="1696"/>
      <c r="E675" s="1879"/>
      <c r="F675" s="1879"/>
      <c r="G675" s="1745"/>
      <c r="H675" s="1745"/>
      <c r="I675" s="1745"/>
      <c r="J675" s="1745"/>
      <c r="K675" s="1879"/>
      <c r="L675" s="1745"/>
      <c r="M675" s="1699"/>
      <c r="N675" s="1695"/>
      <c r="O675" s="1695"/>
      <c r="P675" s="1745"/>
      <c r="Q675" s="1745"/>
      <c r="R675" s="1745"/>
      <c r="S675" s="1745"/>
      <c r="T675" s="1745"/>
      <c r="U675" s="1699"/>
      <c r="V675" s="1699"/>
      <c r="W675" s="1695"/>
      <c r="X675" s="1695"/>
      <c r="Y675" s="1695"/>
      <c r="Z675" s="1695"/>
      <c r="AA675" s="1695"/>
      <c r="AB675" s="1699"/>
      <c r="AC675" s="1695"/>
      <c r="AD675" s="1695"/>
      <c r="AE675" s="1695"/>
      <c r="AF675" s="1695"/>
      <c r="AG675" s="1695"/>
      <c r="AH675" s="1699"/>
      <c r="AI675" s="1695"/>
      <c r="AJ675" s="1695"/>
      <c r="AK675" s="1695"/>
      <c r="AL675" s="1695"/>
      <c r="AM675" s="1695"/>
      <c r="AN675" s="1695"/>
      <c r="AO675" s="1699"/>
      <c r="AP675" s="1729"/>
    </row>
    <row r="676" spans="1:42">
      <c r="A676" s="2433"/>
      <c r="B676" s="1695"/>
      <c r="C676" s="1696"/>
      <c r="D676" s="1696"/>
      <c r="E676" s="1879"/>
      <c r="F676" s="1879"/>
      <c r="G676" s="1745"/>
      <c r="H676" s="1745"/>
      <c r="I676" s="1745"/>
      <c r="J676" s="1745"/>
      <c r="K676" s="1879"/>
      <c r="L676" s="1745"/>
      <c r="M676" s="1699"/>
      <c r="N676" s="1695"/>
      <c r="O676" s="1695"/>
      <c r="P676" s="1745"/>
      <c r="Q676" s="1745"/>
      <c r="R676" s="1745"/>
      <c r="S676" s="1745"/>
      <c r="T676" s="1745"/>
      <c r="U676" s="1699"/>
      <c r="V676" s="1699"/>
      <c r="W676" s="1695"/>
      <c r="X676" s="1695"/>
      <c r="Y676" s="1695"/>
      <c r="Z676" s="1695"/>
      <c r="AA676" s="1695"/>
      <c r="AB676" s="1699"/>
      <c r="AC676" s="1695"/>
      <c r="AD676" s="1695"/>
      <c r="AE676" s="1695"/>
      <c r="AF676" s="1695"/>
      <c r="AG676" s="1695"/>
      <c r="AH676" s="1699"/>
      <c r="AI676" s="1695"/>
      <c r="AJ676" s="1695"/>
      <c r="AK676" s="1695"/>
      <c r="AL676" s="1695"/>
      <c r="AM676" s="1695"/>
      <c r="AN676" s="1695"/>
      <c r="AO676" s="1699"/>
      <c r="AP676" s="1729"/>
    </row>
    <row r="677" spans="1:42" ht="8.25" customHeight="1">
      <c r="A677" s="2433"/>
      <c r="B677" s="1695"/>
      <c r="C677" s="1696"/>
      <c r="D677" s="1696"/>
      <c r="E677" s="1879"/>
      <c r="F677" s="1879"/>
      <c r="G677" s="1745"/>
      <c r="H677" s="1745"/>
      <c r="I677" s="1745"/>
      <c r="J677" s="1745"/>
      <c r="K677" s="1879"/>
      <c r="L677" s="1745"/>
      <c r="M677" s="1699"/>
      <c r="N677" s="1695"/>
      <c r="O677" s="1695"/>
      <c r="P677" s="1745"/>
      <c r="Q677" s="1745"/>
      <c r="R677" s="1745"/>
      <c r="S677" s="1745"/>
      <c r="T677" s="1745"/>
      <c r="U677" s="1699"/>
      <c r="V677" s="1699"/>
      <c r="W677" s="1695"/>
      <c r="X677" s="1695"/>
      <c r="Y677" s="1695"/>
      <c r="Z677" s="1695"/>
      <c r="AA677" s="1695"/>
      <c r="AB677" s="1699"/>
      <c r="AC677" s="1695"/>
      <c r="AD677" s="1695"/>
      <c r="AE677" s="1695"/>
      <c r="AF677" s="1695"/>
      <c r="AG677" s="1695"/>
      <c r="AH677" s="1699"/>
      <c r="AI677" s="1695"/>
      <c r="AJ677" s="1695"/>
      <c r="AK677" s="1695"/>
      <c r="AL677" s="1695"/>
      <c r="AM677" s="1695"/>
      <c r="AN677" s="1695"/>
      <c r="AO677" s="1699"/>
      <c r="AP677" s="1729"/>
    </row>
    <row r="678" spans="1:42" ht="15.75" thickBot="1">
      <c r="A678" s="2440"/>
      <c r="B678" s="1695"/>
      <c r="C678" s="1696"/>
      <c r="D678" s="1696"/>
      <c r="E678" s="1879"/>
      <c r="F678" s="1879"/>
      <c r="G678" s="1745"/>
      <c r="H678" s="1745"/>
      <c r="I678" s="1745"/>
      <c r="J678" s="1745"/>
      <c r="K678" s="1879"/>
      <c r="L678" s="1745"/>
      <c r="M678" s="1699"/>
      <c r="N678" s="1695"/>
      <c r="O678" s="1695"/>
      <c r="P678" s="1745"/>
      <c r="Q678" s="1745"/>
      <c r="R678" s="1745"/>
      <c r="S678" s="1745"/>
      <c r="T678" s="1745"/>
      <c r="U678" s="1699"/>
      <c r="V678" s="1699"/>
      <c r="W678" s="1695"/>
      <c r="X678" s="1695"/>
      <c r="Y678" s="1695"/>
      <c r="Z678" s="1695"/>
      <c r="AA678" s="1695"/>
      <c r="AB678" s="1699"/>
      <c r="AC678" s="1695"/>
      <c r="AD678" s="1695"/>
      <c r="AE678" s="1695"/>
      <c r="AF678" s="1695"/>
      <c r="AG678" s="1695"/>
      <c r="AH678" s="1699"/>
      <c r="AI678" s="1695"/>
      <c r="AJ678" s="1695"/>
      <c r="AK678" s="1695"/>
      <c r="AL678" s="1695"/>
      <c r="AM678" s="1695"/>
      <c r="AN678" s="1695"/>
      <c r="AO678" s="1699"/>
      <c r="AP678" s="1729"/>
    </row>
    <row r="679" spans="1:42" ht="15.75" thickBot="1">
      <c r="A679" s="2005"/>
      <c r="B679" s="1814"/>
      <c r="C679" s="1815"/>
      <c r="D679" s="1815"/>
      <c r="E679" s="2006"/>
      <c r="F679" s="2007"/>
      <c r="G679" s="1817"/>
      <c r="H679" s="1817"/>
      <c r="I679" s="1817"/>
      <c r="J679" s="1817"/>
      <c r="K679" s="2008"/>
      <c r="L679" s="1817"/>
      <c r="M679" s="1819"/>
      <c r="N679" s="1816"/>
      <c r="O679" s="1816"/>
      <c r="P679" s="1820"/>
      <c r="Q679" s="1817"/>
      <c r="R679" s="1817"/>
      <c r="S679" s="1817"/>
      <c r="T679" s="1817"/>
      <c r="U679" s="1819"/>
      <c r="V679" s="1819"/>
      <c r="W679" s="1821"/>
      <c r="X679" s="1821"/>
      <c r="Y679" s="1821"/>
      <c r="Z679" s="1821"/>
      <c r="AA679" s="1821"/>
      <c r="AB679" s="1819"/>
      <c r="AC679" s="1821"/>
      <c r="AD679" s="1821"/>
      <c r="AE679" s="1821"/>
      <c r="AF679" s="1821"/>
      <c r="AG679" s="1821"/>
      <c r="AH679" s="1819"/>
      <c r="AI679" s="1821"/>
      <c r="AJ679" s="1821"/>
      <c r="AK679" s="1821"/>
      <c r="AL679" s="1821"/>
      <c r="AM679" s="1821"/>
      <c r="AN679" s="1816"/>
      <c r="AO679" s="1819"/>
      <c r="AP679" s="1822"/>
    </row>
    <row r="680" spans="1:42">
      <c r="A680" s="2432" t="s">
        <v>1373</v>
      </c>
      <c r="B680" s="1844" t="s">
        <v>1909</v>
      </c>
      <c r="C680" s="1721" t="s">
        <v>2584</v>
      </c>
      <c r="D680" s="1721" t="s">
        <v>1805</v>
      </c>
      <c r="E680" s="1845">
        <f>AH680</f>
        <v>0.57659123505588705</v>
      </c>
      <c r="F680" s="2001"/>
      <c r="G680" s="1724"/>
      <c r="H680" s="1724">
        <f>E680*$G$683</f>
        <v>33.600582997411514</v>
      </c>
      <c r="I680" s="1724"/>
      <c r="J680" s="1726"/>
      <c r="K680" s="2426">
        <v>0.24</v>
      </c>
      <c r="L680" s="1755">
        <f>((E680*G683)+(E682*G683))*(1+$K$680)</f>
        <v>49.856436854606407</v>
      </c>
      <c r="M680" s="1847" t="s">
        <v>1440</v>
      </c>
      <c r="N680" s="1848"/>
      <c r="O680" s="2002">
        <f>AVERAGE(AO683:AO684)</f>
        <v>8.4444999999999992E-2</v>
      </c>
      <c r="P680" s="1754">
        <f>G683</f>
        <v>58.274529605283924</v>
      </c>
      <c r="Q680" s="1846">
        <f>O680*P680</f>
        <v>4.9209926525182004</v>
      </c>
      <c r="R680" s="1846"/>
      <c r="S680" s="1846"/>
      <c r="T680" s="1755">
        <f>Q680</f>
        <v>4.9209926525182004</v>
      </c>
      <c r="U680" s="1733" t="s">
        <v>1559</v>
      </c>
      <c r="V680" s="1699"/>
      <c r="W680" s="1695"/>
      <c r="X680" s="1695"/>
      <c r="Y680" s="1695"/>
      <c r="Z680" s="1695"/>
      <c r="AA680" s="1695"/>
      <c r="AB680" s="1699"/>
      <c r="AC680" s="1695"/>
      <c r="AD680" s="1695"/>
      <c r="AE680" s="1695"/>
      <c r="AF680" s="1695"/>
      <c r="AG680" s="1695"/>
      <c r="AH680" s="2003">
        <v>0.57659123505588705</v>
      </c>
      <c r="AI680" s="2004">
        <v>5.6181740592268492E-2</v>
      </c>
      <c r="AJ680" s="2004">
        <v>83</v>
      </c>
      <c r="AK680" s="1735"/>
      <c r="AL680" s="1735"/>
      <c r="AM680" s="1735"/>
      <c r="AN680" s="1747"/>
      <c r="AO680" s="1699"/>
      <c r="AP680" s="1729"/>
    </row>
    <row r="681" spans="1:42">
      <c r="A681" s="2441"/>
      <c r="B681" s="1739" t="s">
        <v>1910</v>
      </c>
      <c r="C681" s="1721" t="s">
        <v>2584</v>
      </c>
      <c r="D681" s="1733" t="s">
        <v>1805</v>
      </c>
      <c r="E681" s="1748">
        <f>AH681</f>
        <v>0.88733074315952509</v>
      </c>
      <c r="F681" s="1841"/>
      <c r="G681" s="1736"/>
      <c r="H681" s="1724">
        <f>E681*$G$683</f>
        <v>51.708781661928327</v>
      </c>
      <c r="I681" s="1736"/>
      <c r="J681" s="1842"/>
      <c r="K681" s="2445"/>
      <c r="L681" s="1751">
        <f>((E681*G683)+(E682*G683)+I684)*(1+K680)</f>
        <v>90.445603198607245</v>
      </c>
      <c r="M681" s="1699"/>
      <c r="N681" s="1695"/>
      <c r="O681" s="1695"/>
      <c r="P681" s="1745"/>
      <c r="Q681" s="1745"/>
      <c r="R681" s="1745"/>
      <c r="S681" s="1745"/>
      <c r="T681" s="1745"/>
      <c r="U681" s="1733" t="s">
        <v>1560</v>
      </c>
      <c r="V681" s="1699"/>
      <c r="W681" s="1695"/>
      <c r="X681" s="1695"/>
      <c r="Y681" s="1695"/>
      <c r="Z681" s="1695"/>
      <c r="AA681" s="1695"/>
      <c r="AB681" s="1699"/>
      <c r="AC681" s="1695"/>
      <c r="AD681" s="1695"/>
      <c r="AE681" s="1695"/>
      <c r="AF681" s="1695"/>
      <c r="AG681" s="1695"/>
      <c r="AH681" s="2003">
        <v>0.88733074315952509</v>
      </c>
      <c r="AI681" s="2004">
        <v>0.12175596622240045</v>
      </c>
      <c r="AJ681" s="2004">
        <v>84</v>
      </c>
      <c r="AK681" s="1735"/>
      <c r="AL681" s="1735"/>
      <c r="AM681" s="1735"/>
      <c r="AN681" s="1747"/>
      <c r="AO681" s="1699"/>
      <c r="AP681" s="1729"/>
    </row>
    <row r="682" spans="1:42">
      <c r="A682" s="2441"/>
      <c r="B682" s="1739" t="s">
        <v>1911</v>
      </c>
      <c r="C682" s="1721" t="s">
        <v>2584</v>
      </c>
      <c r="D682" s="1733" t="s">
        <v>1805</v>
      </c>
      <c r="E682" s="1748">
        <f>AH682</f>
        <v>0.11336377937908999</v>
      </c>
      <c r="F682" s="1841"/>
      <c r="G682" s="1736"/>
      <c r="H682" s="1724">
        <f>E682*$G$683</f>
        <v>6.6062209175936548</v>
      </c>
      <c r="I682" s="1736"/>
      <c r="J682" s="1842"/>
      <c r="K682" s="2445"/>
      <c r="L682" s="1795"/>
      <c r="M682" s="1699"/>
      <c r="N682" s="1695"/>
      <c r="O682" s="1695"/>
      <c r="P682" s="1745"/>
      <c r="Q682" s="1745"/>
      <c r="R682" s="1745"/>
      <c r="S682" s="1745"/>
      <c r="T682" s="1745"/>
      <c r="U682" s="1733" t="s">
        <v>1561</v>
      </c>
      <c r="V682" s="1699"/>
      <c r="W682" s="1695"/>
      <c r="X682" s="1695"/>
      <c r="Y682" s="1695"/>
      <c r="Z682" s="1695"/>
      <c r="AA682" s="1695"/>
      <c r="AB682" s="1699"/>
      <c r="AC682" s="1695"/>
      <c r="AD682" s="1695"/>
      <c r="AE682" s="1695"/>
      <c r="AF682" s="1695"/>
      <c r="AG682" s="1695"/>
      <c r="AH682" s="2003">
        <v>0.11336377937908999</v>
      </c>
      <c r="AI682" s="2004">
        <v>2.1675320580773701E-2</v>
      </c>
      <c r="AJ682" s="2004">
        <v>70</v>
      </c>
      <c r="AK682" s="1735"/>
      <c r="AL682" s="1735"/>
      <c r="AM682" s="1735"/>
      <c r="AN682" s="1747"/>
      <c r="AO682" s="1699"/>
      <c r="AP682" s="1729"/>
    </row>
    <row r="683" spans="1:42">
      <c r="A683" s="2441"/>
      <c r="B683" s="1739" t="s">
        <v>1912</v>
      </c>
      <c r="C683" s="1721" t="s">
        <v>2584</v>
      </c>
      <c r="D683" s="1733" t="s">
        <v>1440</v>
      </c>
      <c r="E683" s="1748"/>
      <c r="F683" s="1841"/>
      <c r="G683" s="1736">
        <f>AP683*BQ45</f>
        <v>58.274529605283924</v>
      </c>
      <c r="H683" s="1736"/>
      <c r="I683" s="1736"/>
      <c r="J683" s="1842"/>
      <c r="K683" s="2427"/>
      <c r="L683" s="1795"/>
      <c r="M683" s="1699"/>
      <c r="N683" s="1695"/>
      <c r="O683" s="1695"/>
      <c r="P683" s="1745"/>
      <c r="Q683" s="1745"/>
      <c r="R683" s="1745"/>
      <c r="S683" s="1745"/>
      <c r="T683" s="1745"/>
      <c r="U683" s="1733" t="s">
        <v>1672</v>
      </c>
      <c r="V683" s="1699"/>
      <c r="W683" s="1695"/>
      <c r="X683" s="1695"/>
      <c r="Y683" s="1695"/>
      <c r="Z683" s="1695"/>
      <c r="AA683" s="1695"/>
      <c r="AB683" s="1699"/>
      <c r="AC683" s="1695"/>
      <c r="AD683" s="1695"/>
      <c r="AE683" s="1695"/>
      <c r="AF683" s="1695"/>
      <c r="AG683" s="1695"/>
      <c r="AH683" s="1699"/>
      <c r="AI683" s="1695"/>
      <c r="AJ683" s="1695"/>
      <c r="AK683" s="1695"/>
      <c r="AL683" s="1695"/>
      <c r="AM683" s="1695"/>
      <c r="AN683" s="1695"/>
      <c r="AO683" s="1757">
        <v>0.08</v>
      </c>
      <c r="AP683" s="1758">
        <v>52.4</v>
      </c>
    </row>
    <row r="684" spans="1:42">
      <c r="A684" s="2441"/>
      <c r="B684" s="1956" t="s">
        <v>1924</v>
      </c>
      <c r="C684" s="1733" t="s">
        <v>1915</v>
      </c>
      <c r="D684" s="1733" t="s">
        <v>1916</v>
      </c>
      <c r="E684" s="1734"/>
      <c r="F684" s="1789"/>
      <c r="G684" s="1736"/>
      <c r="H684" s="1736"/>
      <c r="I684" s="1736">
        <f>AVERAGE($Y$837:$Y$840)/50</f>
        <v>14.625</v>
      </c>
      <c r="J684" s="1736"/>
      <c r="K684" s="1736"/>
      <c r="L684" s="1842"/>
      <c r="M684" s="1699"/>
      <c r="N684" s="1695"/>
      <c r="O684" s="1806"/>
      <c r="P684" s="1745"/>
      <c r="Q684" s="1745"/>
      <c r="R684" s="1745"/>
      <c r="S684" s="1745"/>
      <c r="T684" s="1805"/>
      <c r="U684" s="1733" t="s">
        <v>1673</v>
      </c>
      <c r="V684" s="1699"/>
      <c r="W684" s="1695"/>
      <c r="X684" s="1695"/>
      <c r="Y684" s="1695"/>
      <c r="Z684" s="1695"/>
      <c r="AA684" s="1695"/>
      <c r="AB684" s="1699"/>
      <c r="AC684" s="1695"/>
      <c r="AD684" s="1695"/>
      <c r="AE684" s="1695"/>
      <c r="AF684" s="1695"/>
      <c r="AG684" s="1695"/>
      <c r="AH684" s="1699"/>
      <c r="AI684" s="1695"/>
      <c r="AJ684" s="1695"/>
      <c r="AK684" s="1695"/>
      <c r="AL684" s="1695"/>
      <c r="AM684" s="1695"/>
      <c r="AN684" s="1695"/>
      <c r="AO684" s="1757">
        <v>8.8889999999999997E-2</v>
      </c>
      <c r="AP684" s="1758">
        <v>52.4</v>
      </c>
    </row>
    <row r="685" spans="1:42">
      <c r="A685" s="2441"/>
      <c r="B685" s="1695"/>
      <c r="C685" s="1696"/>
      <c r="D685" s="1696"/>
      <c r="E685" s="1879"/>
      <c r="F685" s="1879"/>
      <c r="G685" s="1745"/>
      <c r="H685" s="1745"/>
      <c r="I685" s="1745"/>
      <c r="J685" s="1745"/>
      <c r="K685" s="1879"/>
      <c r="L685" s="1745"/>
      <c r="M685" s="1699"/>
      <c r="N685" s="1695"/>
      <c r="O685" s="1695"/>
      <c r="P685" s="1745"/>
      <c r="Q685" s="1745"/>
      <c r="R685" s="1745"/>
      <c r="S685" s="1745"/>
      <c r="T685" s="1745"/>
      <c r="U685" s="1699"/>
      <c r="V685" s="1699"/>
      <c r="W685" s="1695"/>
      <c r="X685" s="1695"/>
      <c r="Y685" s="1695"/>
      <c r="Z685" s="1695"/>
      <c r="AA685" s="1695"/>
      <c r="AB685" s="1699"/>
      <c r="AC685" s="1695"/>
      <c r="AD685" s="1695"/>
      <c r="AE685" s="1695"/>
      <c r="AF685" s="1695"/>
      <c r="AG685" s="1695"/>
      <c r="AH685" s="1699"/>
      <c r="AI685" s="1695"/>
      <c r="AJ685" s="1695"/>
      <c r="AK685" s="1695"/>
      <c r="AL685" s="1695"/>
      <c r="AM685" s="1695"/>
      <c r="AN685" s="1695"/>
      <c r="AO685" s="1699"/>
      <c r="AP685" s="1729"/>
    </row>
    <row r="686" spans="1:42">
      <c r="A686" s="2441"/>
      <c r="B686" s="1695"/>
      <c r="C686" s="1696"/>
      <c r="D686" s="1696"/>
      <c r="E686" s="1879"/>
      <c r="F686" s="1879"/>
      <c r="G686" s="1745"/>
      <c r="H686" s="1745"/>
      <c r="I686" s="1745"/>
      <c r="J686" s="1745"/>
      <c r="K686" s="1879"/>
      <c r="L686" s="1745"/>
      <c r="M686" s="1699"/>
      <c r="N686" s="1695"/>
      <c r="O686" s="1695"/>
      <c r="P686" s="1745"/>
      <c r="Q686" s="1745"/>
      <c r="R686" s="1745"/>
      <c r="S686" s="1745"/>
      <c r="T686" s="1745"/>
      <c r="U686" s="1699"/>
      <c r="V686" s="1699"/>
      <c r="W686" s="1695"/>
      <c r="X686" s="1695"/>
      <c r="Y686" s="1695"/>
      <c r="Z686" s="1695"/>
      <c r="AA686" s="1695"/>
      <c r="AB686" s="1699"/>
      <c r="AC686" s="1695"/>
      <c r="AD686" s="1695"/>
      <c r="AE686" s="1695"/>
      <c r="AF686" s="1695"/>
      <c r="AG686" s="1695"/>
      <c r="AH686" s="1699"/>
      <c r="AI686" s="1695"/>
      <c r="AJ686" s="1695"/>
      <c r="AK686" s="1695"/>
      <c r="AL686" s="1695"/>
      <c r="AM686" s="1695"/>
      <c r="AN686" s="1695"/>
      <c r="AO686" s="1699"/>
      <c r="AP686" s="1729"/>
    </row>
    <row r="687" spans="1:42">
      <c r="A687" s="2442"/>
      <c r="B687" s="1695"/>
      <c r="C687" s="1696"/>
      <c r="D687" s="1696"/>
      <c r="E687" s="1879"/>
      <c r="F687" s="1879"/>
      <c r="G687" s="1745"/>
      <c r="H687" s="1745"/>
      <c r="I687" s="1745"/>
      <c r="J687" s="1745"/>
      <c r="K687" s="1879"/>
      <c r="L687" s="1745"/>
      <c r="M687" s="1699"/>
      <c r="N687" s="1695"/>
      <c r="O687" s="1695"/>
      <c r="P687" s="1745"/>
      <c r="Q687" s="1745"/>
      <c r="R687" s="1745"/>
      <c r="S687" s="1745"/>
      <c r="T687" s="1745"/>
      <c r="U687" s="1699"/>
      <c r="V687" s="1699"/>
      <c r="W687" s="1695"/>
      <c r="X687" s="1695"/>
      <c r="Y687" s="1695"/>
      <c r="Z687" s="1695"/>
      <c r="AA687" s="1695"/>
      <c r="AB687" s="1699"/>
      <c r="AC687" s="1695"/>
      <c r="AD687" s="1695"/>
      <c r="AE687" s="1695"/>
      <c r="AF687" s="1695"/>
      <c r="AG687" s="1695"/>
      <c r="AH687" s="1699"/>
      <c r="AI687" s="1695"/>
      <c r="AJ687" s="1695"/>
      <c r="AK687" s="1695"/>
      <c r="AL687" s="1695"/>
      <c r="AM687" s="1695"/>
      <c r="AN687" s="1695"/>
      <c r="AO687" s="1699"/>
      <c r="AP687" s="1729"/>
    </row>
    <row r="688" spans="1:42" ht="8.25" customHeight="1">
      <c r="A688" s="2442"/>
      <c r="B688" s="1695"/>
      <c r="C688" s="1696"/>
      <c r="D688" s="1696"/>
      <c r="E688" s="1879"/>
      <c r="F688" s="1879"/>
      <c r="G688" s="1745"/>
      <c r="H688" s="1745"/>
      <c r="I688" s="1745"/>
      <c r="J688" s="1745"/>
      <c r="K688" s="1879"/>
      <c r="L688" s="1745"/>
      <c r="M688" s="1699"/>
      <c r="N688" s="1695"/>
      <c r="O688" s="1695"/>
      <c r="P688" s="1745"/>
      <c r="Q688" s="1745"/>
      <c r="R688" s="1745"/>
      <c r="S688" s="1745"/>
      <c r="T688" s="1745"/>
      <c r="U688" s="1699"/>
      <c r="V688" s="1699"/>
      <c r="W688" s="1695"/>
      <c r="X688" s="1695"/>
      <c r="Y688" s="1695"/>
      <c r="Z688" s="1695"/>
      <c r="AA688" s="1695"/>
      <c r="AB688" s="1699"/>
      <c r="AC688" s="1695"/>
      <c r="AD688" s="1695"/>
      <c r="AE688" s="1695"/>
      <c r="AF688" s="1695"/>
      <c r="AG688" s="1695"/>
      <c r="AH688" s="1699"/>
      <c r="AI688" s="1695"/>
      <c r="AJ688" s="1695"/>
      <c r="AK688" s="1695"/>
      <c r="AL688" s="1695"/>
      <c r="AM688" s="1695"/>
      <c r="AN688" s="1695"/>
      <c r="AO688" s="1699"/>
      <c r="AP688" s="1729"/>
    </row>
    <row r="689" spans="1:42" ht="15.75" thickBot="1">
      <c r="A689" s="2443"/>
      <c r="B689" s="1695"/>
      <c r="C689" s="1696"/>
      <c r="D689" s="1696"/>
      <c r="E689" s="1879"/>
      <c r="F689" s="1879"/>
      <c r="G689" s="1745"/>
      <c r="H689" s="1745"/>
      <c r="I689" s="1745"/>
      <c r="J689" s="1745"/>
      <c r="K689" s="1879"/>
      <c r="L689" s="1745"/>
      <c r="M689" s="1699"/>
      <c r="N689" s="1695"/>
      <c r="O689" s="1695"/>
      <c r="P689" s="1745"/>
      <c r="Q689" s="1745"/>
      <c r="R689" s="1745"/>
      <c r="S689" s="1745"/>
      <c r="T689" s="1745"/>
      <c r="U689" s="1699"/>
      <c r="V689" s="1699"/>
      <c r="W689" s="1695"/>
      <c r="X689" s="1695"/>
      <c r="Y689" s="1695"/>
      <c r="Z689" s="1695"/>
      <c r="AA689" s="1695"/>
      <c r="AB689" s="1699"/>
      <c r="AC689" s="1695"/>
      <c r="AD689" s="1695"/>
      <c r="AE689" s="1695"/>
      <c r="AF689" s="1695"/>
      <c r="AG689" s="1695"/>
      <c r="AH689" s="1699"/>
      <c r="AI689" s="1695"/>
      <c r="AJ689" s="1695"/>
      <c r="AK689" s="1695"/>
      <c r="AL689" s="1695"/>
      <c r="AM689" s="1695"/>
      <c r="AN689" s="1695"/>
      <c r="AO689" s="1699"/>
      <c r="AP689" s="1729"/>
    </row>
    <row r="690" spans="1:42" ht="15.75" thickBot="1">
      <c r="A690" s="2005"/>
      <c r="B690" s="1814"/>
      <c r="C690" s="1815"/>
      <c r="D690" s="1815"/>
      <c r="E690" s="2006"/>
      <c r="F690" s="2007"/>
      <c r="G690" s="1817"/>
      <c r="H690" s="1817"/>
      <c r="I690" s="1817"/>
      <c r="J690" s="1817"/>
      <c r="K690" s="2008"/>
      <c r="L690" s="1817"/>
      <c r="M690" s="1819"/>
      <c r="N690" s="1816"/>
      <c r="O690" s="1816"/>
      <c r="P690" s="1820"/>
      <c r="Q690" s="1817"/>
      <c r="R690" s="1817"/>
      <c r="S690" s="1817"/>
      <c r="T690" s="1817"/>
      <c r="U690" s="1819"/>
      <c r="V690" s="1819"/>
      <c r="W690" s="1821"/>
      <c r="X690" s="1821"/>
      <c r="Y690" s="1821"/>
      <c r="Z690" s="1821"/>
      <c r="AA690" s="1821"/>
      <c r="AB690" s="1819"/>
      <c r="AC690" s="1821"/>
      <c r="AD690" s="1821"/>
      <c r="AE690" s="1821"/>
      <c r="AF690" s="1821"/>
      <c r="AG690" s="1821"/>
      <c r="AH690" s="1819"/>
      <c r="AI690" s="1821"/>
      <c r="AJ690" s="1821"/>
      <c r="AK690" s="1821"/>
      <c r="AL690" s="1821"/>
      <c r="AM690" s="1821"/>
      <c r="AN690" s="1816"/>
      <c r="AO690" s="1819"/>
      <c r="AP690" s="1822"/>
    </row>
    <row r="691" spans="1:42">
      <c r="A691" s="2432" t="s">
        <v>1372</v>
      </c>
      <c r="B691" s="1844" t="s">
        <v>1909</v>
      </c>
      <c r="C691" s="1721" t="s">
        <v>2584</v>
      </c>
      <c r="D691" s="1721" t="s">
        <v>1805</v>
      </c>
      <c r="E691" s="1845">
        <f>AH691</f>
        <v>0.57659123505588705</v>
      </c>
      <c r="F691" s="2001"/>
      <c r="G691" s="1724"/>
      <c r="H691" s="1724">
        <f>E691*$G$694</f>
        <v>33.600582997411514</v>
      </c>
      <c r="I691" s="1724"/>
      <c r="J691" s="1726"/>
      <c r="K691" s="2426">
        <v>0.24</v>
      </c>
      <c r="L691" s="1755">
        <f>((E691*G694)+(E693*G694))*(1+$K$691)</f>
        <v>49.856436854606407</v>
      </c>
      <c r="M691" s="1847" t="s">
        <v>1440</v>
      </c>
      <c r="N691" s="1848"/>
      <c r="O691" s="2002">
        <f>AO694</f>
        <v>0.1</v>
      </c>
      <c r="P691" s="1754">
        <f>G694</f>
        <v>58.274529605283924</v>
      </c>
      <c r="Q691" s="1846">
        <f>O691*P691</f>
        <v>5.8274529605283929</v>
      </c>
      <c r="R691" s="1846"/>
      <c r="S691" s="1846"/>
      <c r="T691" s="1755">
        <f>Q691</f>
        <v>5.8274529605283929</v>
      </c>
      <c r="U691" s="1733" t="s">
        <v>1559</v>
      </c>
      <c r="V691" s="1699"/>
      <c r="W691" s="1695"/>
      <c r="X691" s="1695"/>
      <c r="Y691" s="1695"/>
      <c r="Z691" s="1695"/>
      <c r="AA691" s="1695"/>
      <c r="AB691" s="1699"/>
      <c r="AC691" s="1695"/>
      <c r="AD691" s="1695"/>
      <c r="AE691" s="1695"/>
      <c r="AF691" s="1695"/>
      <c r="AG691" s="1695"/>
      <c r="AH691" s="2003">
        <v>0.57659123505588705</v>
      </c>
      <c r="AI691" s="2004">
        <v>5.6181740592268492E-2</v>
      </c>
      <c r="AJ691" s="2004">
        <v>83</v>
      </c>
      <c r="AK691" s="1735"/>
      <c r="AL691" s="1735"/>
      <c r="AM691" s="1735"/>
      <c r="AN691" s="1747"/>
      <c r="AO691" s="1699"/>
      <c r="AP691" s="1729"/>
    </row>
    <row r="692" spans="1:42">
      <c r="A692" s="2441"/>
      <c r="B692" s="1739" t="s">
        <v>1910</v>
      </c>
      <c r="C692" s="1721" t="s">
        <v>2584</v>
      </c>
      <c r="D692" s="1733" t="s">
        <v>1805</v>
      </c>
      <c r="E692" s="1748">
        <f>AH692</f>
        <v>0.88733074315952509</v>
      </c>
      <c r="F692" s="1841"/>
      <c r="G692" s="1736"/>
      <c r="H692" s="1724">
        <f>E692*$G$694</f>
        <v>51.708781661928327</v>
      </c>
      <c r="I692" s="1736"/>
      <c r="J692" s="1842"/>
      <c r="K692" s="2445"/>
      <c r="L692" s="1751">
        <f>((E692*G694)+(E693*G694)+I695)*(1+K691)</f>
        <v>90.445603198607245</v>
      </c>
      <c r="M692" s="1699"/>
      <c r="N692" s="1695"/>
      <c r="O692" s="1695"/>
      <c r="P692" s="1745"/>
      <c r="Q692" s="1745"/>
      <c r="R692" s="1745"/>
      <c r="S692" s="1745"/>
      <c r="T692" s="1745"/>
      <c r="U692" s="1733" t="s">
        <v>1560</v>
      </c>
      <c r="V692" s="1699"/>
      <c r="W692" s="1695"/>
      <c r="X692" s="1695"/>
      <c r="Y692" s="1695"/>
      <c r="Z692" s="1695"/>
      <c r="AA692" s="1695"/>
      <c r="AB692" s="1699"/>
      <c r="AC692" s="1695"/>
      <c r="AD692" s="1695"/>
      <c r="AE692" s="1695"/>
      <c r="AF692" s="1695"/>
      <c r="AG692" s="1695"/>
      <c r="AH692" s="2003">
        <v>0.88733074315952509</v>
      </c>
      <c r="AI692" s="2004">
        <v>0.12175596622240045</v>
      </c>
      <c r="AJ692" s="2004">
        <v>84</v>
      </c>
      <c r="AK692" s="1735"/>
      <c r="AL692" s="1735"/>
      <c r="AM692" s="1735"/>
      <c r="AN692" s="1747"/>
      <c r="AO692" s="1699"/>
      <c r="AP692" s="1729"/>
    </row>
    <row r="693" spans="1:42">
      <c r="A693" s="2441"/>
      <c r="B693" s="1739" t="s">
        <v>1911</v>
      </c>
      <c r="C693" s="1721" t="s">
        <v>2584</v>
      </c>
      <c r="D693" s="1733" t="s">
        <v>1805</v>
      </c>
      <c r="E693" s="1748">
        <f>AH693</f>
        <v>0.11336377937908999</v>
      </c>
      <c r="F693" s="1841"/>
      <c r="G693" s="1736"/>
      <c r="H693" s="1724">
        <f>E693*$G$694</f>
        <v>6.6062209175936548</v>
      </c>
      <c r="I693" s="1736"/>
      <c r="J693" s="1842"/>
      <c r="K693" s="2445"/>
      <c r="L693" s="1795"/>
      <c r="M693" s="1699"/>
      <c r="N693" s="1695"/>
      <c r="O693" s="1695"/>
      <c r="P693" s="1745"/>
      <c r="Q693" s="1745"/>
      <c r="R693" s="1745"/>
      <c r="S693" s="1745"/>
      <c r="T693" s="1745"/>
      <c r="U693" s="1733" t="s">
        <v>1561</v>
      </c>
      <c r="V693" s="1699"/>
      <c r="W693" s="1695"/>
      <c r="X693" s="1695"/>
      <c r="Y693" s="1695"/>
      <c r="Z693" s="1695"/>
      <c r="AA693" s="1695"/>
      <c r="AB693" s="1699"/>
      <c r="AC693" s="1695"/>
      <c r="AD693" s="1695"/>
      <c r="AE693" s="1695"/>
      <c r="AF693" s="1695"/>
      <c r="AG693" s="1695"/>
      <c r="AH693" s="2003">
        <v>0.11336377937908999</v>
      </c>
      <c r="AI693" s="2004">
        <v>2.1675320580773701E-2</v>
      </c>
      <c r="AJ693" s="2004">
        <v>70</v>
      </c>
      <c r="AK693" s="1735"/>
      <c r="AL693" s="1735"/>
      <c r="AM693" s="1735"/>
      <c r="AN693" s="1747"/>
      <c r="AO693" s="1699"/>
      <c r="AP693" s="1729"/>
    </row>
    <row r="694" spans="1:42">
      <c r="A694" s="2441"/>
      <c r="B694" s="1739" t="s">
        <v>1912</v>
      </c>
      <c r="C694" s="1721" t="s">
        <v>2584</v>
      </c>
      <c r="D694" s="1733" t="s">
        <v>1440</v>
      </c>
      <c r="E694" s="1734"/>
      <c r="F694" s="1789"/>
      <c r="G694" s="1736">
        <f>AP694*BQ45</f>
        <v>58.274529605283924</v>
      </c>
      <c r="H694" s="1736"/>
      <c r="I694" s="1736"/>
      <c r="J694" s="1842"/>
      <c r="K694" s="2427"/>
      <c r="L694" s="1795"/>
      <c r="M694" s="1699"/>
      <c r="N694" s="1695"/>
      <c r="O694" s="1695"/>
      <c r="P694" s="1745"/>
      <c r="Q694" s="1745"/>
      <c r="R694" s="1745"/>
      <c r="S694" s="1745"/>
      <c r="T694" s="1745"/>
      <c r="U694" s="1733" t="s">
        <v>1674</v>
      </c>
      <c r="V694" s="1699"/>
      <c r="W694" s="1695"/>
      <c r="X694" s="1695"/>
      <c r="Y694" s="1695"/>
      <c r="Z694" s="1695"/>
      <c r="AA694" s="1695"/>
      <c r="AB694" s="1699"/>
      <c r="AC694" s="1695"/>
      <c r="AD694" s="1695"/>
      <c r="AE694" s="1695"/>
      <c r="AF694" s="1695"/>
      <c r="AG694" s="1695"/>
      <c r="AH694" s="1699"/>
      <c r="AI694" s="1695"/>
      <c r="AJ694" s="1695"/>
      <c r="AK694" s="1695"/>
      <c r="AL694" s="1695"/>
      <c r="AM694" s="1695"/>
      <c r="AN694" s="1695"/>
      <c r="AO694" s="1757">
        <v>0.1</v>
      </c>
      <c r="AP694" s="1758">
        <v>52.4</v>
      </c>
    </row>
    <row r="695" spans="1:42">
      <c r="A695" s="2441"/>
      <c r="B695" s="1956" t="s">
        <v>1924</v>
      </c>
      <c r="C695" s="1733" t="s">
        <v>1915</v>
      </c>
      <c r="D695" s="1733" t="s">
        <v>1916</v>
      </c>
      <c r="E695" s="1734"/>
      <c r="F695" s="1789"/>
      <c r="G695" s="1736"/>
      <c r="H695" s="1736"/>
      <c r="I695" s="1736">
        <f>AVERAGE($Y$837:$Y$840)/50</f>
        <v>14.625</v>
      </c>
      <c r="J695" s="1736"/>
      <c r="K695" s="1736"/>
      <c r="L695" s="1842"/>
      <c r="M695" s="1699"/>
      <c r="N695" s="1695"/>
      <c r="O695" s="1806"/>
      <c r="P695" s="1745"/>
      <c r="Q695" s="1745"/>
      <c r="R695" s="1745"/>
      <c r="S695" s="1745"/>
      <c r="T695" s="1805"/>
      <c r="U695" s="1699"/>
      <c r="V695" s="1699"/>
      <c r="W695" s="1695"/>
      <c r="X695" s="1695"/>
      <c r="Y695" s="1695"/>
      <c r="Z695" s="1695"/>
      <c r="AA695" s="1695"/>
      <c r="AB695" s="1699"/>
      <c r="AC695" s="1695"/>
      <c r="AD695" s="1695"/>
      <c r="AE695" s="1695"/>
      <c r="AF695" s="1695"/>
      <c r="AG695" s="1695"/>
      <c r="AH695" s="1699"/>
      <c r="AI695" s="1695"/>
      <c r="AJ695" s="1695"/>
      <c r="AK695" s="1695"/>
      <c r="AL695" s="1695"/>
      <c r="AM695" s="1695"/>
      <c r="AN695" s="1695"/>
      <c r="AO695" s="1699"/>
      <c r="AP695" s="1729"/>
    </row>
    <row r="696" spans="1:42">
      <c r="A696" s="2441"/>
      <c r="B696" s="1695"/>
      <c r="C696" s="1696"/>
      <c r="D696" s="1696"/>
      <c r="E696" s="1695"/>
      <c r="F696" s="1695"/>
      <c r="G696" s="1745"/>
      <c r="H696" s="1745"/>
      <c r="I696" s="1745"/>
      <c r="J696" s="1745"/>
      <c r="K696" s="1695"/>
      <c r="L696" s="1745"/>
      <c r="M696" s="1699"/>
      <c r="N696" s="1695"/>
      <c r="O696" s="1695"/>
      <c r="P696" s="1745"/>
      <c r="Q696" s="1745"/>
      <c r="R696" s="1745"/>
      <c r="S696" s="1745"/>
      <c r="T696" s="1745"/>
      <c r="U696" s="1699"/>
      <c r="V696" s="1699"/>
      <c r="W696" s="1695"/>
      <c r="X696" s="1695"/>
      <c r="Y696" s="1695"/>
      <c r="Z696" s="1695"/>
      <c r="AA696" s="1695"/>
      <c r="AB696" s="1699"/>
      <c r="AC696" s="1695"/>
      <c r="AD696" s="1695"/>
      <c r="AE696" s="1695"/>
      <c r="AF696" s="1695"/>
      <c r="AG696" s="1695"/>
      <c r="AH696" s="1699"/>
      <c r="AI696" s="1695"/>
      <c r="AJ696" s="1695"/>
      <c r="AK696" s="1695"/>
      <c r="AL696" s="1695"/>
      <c r="AM696" s="1695"/>
      <c r="AN696" s="1695"/>
      <c r="AO696" s="1699"/>
      <c r="AP696" s="1729"/>
    </row>
    <row r="697" spans="1:42">
      <c r="A697" s="2441"/>
      <c r="B697" s="1695"/>
      <c r="C697" s="1696"/>
      <c r="D697" s="1696"/>
      <c r="E697" s="1695"/>
      <c r="F697" s="1695"/>
      <c r="G697" s="1745"/>
      <c r="H697" s="1745"/>
      <c r="I697" s="1745"/>
      <c r="J697" s="1745"/>
      <c r="K697" s="1695"/>
      <c r="L697" s="1745"/>
      <c r="M697" s="1699"/>
      <c r="N697" s="1695"/>
      <c r="O697" s="1695"/>
      <c r="P697" s="1745"/>
      <c r="Q697" s="1745"/>
      <c r="R697" s="1745"/>
      <c r="S697" s="1745"/>
      <c r="T697" s="1745"/>
      <c r="U697" s="1699"/>
      <c r="V697" s="1699"/>
      <c r="W697" s="1695"/>
      <c r="X697" s="1695"/>
      <c r="Y697" s="1695"/>
      <c r="Z697" s="1695"/>
      <c r="AA697" s="1695"/>
      <c r="AB697" s="1699"/>
      <c r="AC697" s="1695"/>
      <c r="AD697" s="1695"/>
      <c r="AE697" s="1695"/>
      <c r="AF697" s="1695"/>
      <c r="AG697" s="1695"/>
      <c r="AH697" s="1699"/>
      <c r="AI697" s="1695"/>
      <c r="AJ697" s="1695"/>
      <c r="AK697" s="1695"/>
      <c r="AL697" s="1695"/>
      <c r="AM697" s="1695"/>
      <c r="AN697" s="1695"/>
      <c r="AO697" s="1699"/>
      <c r="AP697" s="1729"/>
    </row>
    <row r="698" spans="1:42">
      <c r="A698" s="2441"/>
      <c r="B698" s="1695"/>
      <c r="C698" s="1696"/>
      <c r="D698" s="1696"/>
      <c r="E698" s="1695"/>
      <c r="F698" s="1695"/>
      <c r="G698" s="1745"/>
      <c r="H698" s="1745"/>
      <c r="I698" s="1745"/>
      <c r="J698" s="1745"/>
      <c r="K698" s="1695"/>
      <c r="L698" s="1745"/>
      <c r="M698" s="1699"/>
      <c r="N698" s="1695"/>
      <c r="O698" s="1695"/>
      <c r="P698" s="1745"/>
      <c r="Q698" s="1745"/>
      <c r="R698" s="1745"/>
      <c r="S698" s="1745"/>
      <c r="T698" s="1745"/>
      <c r="U698" s="1699"/>
      <c r="V698" s="1699"/>
      <c r="W698" s="1695"/>
      <c r="X698" s="1695"/>
      <c r="Y698" s="1695"/>
      <c r="Z698" s="1695"/>
      <c r="AA698" s="1695"/>
      <c r="AB698" s="1699"/>
      <c r="AC698" s="1695"/>
      <c r="AD698" s="1695"/>
      <c r="AE698" s="1695"/>
      <c r="AF698" s="1695"/>
      <c r="AG698" s="1695"/>
      <c r="AH698" s="1699"/>
      <c r="AI698" s="1695"/>
      <c r="AJ698" s="1695"/>
      <c r="AK698" s="1695"/>
      <c r="AL698" s="1695"/>
      <c r="AM698" s="1695"/>
      <c r="AN698" s="1695"/>
      <c r="AO698" s="1699"/>
      <c r="AP698" s="1729"/>
    </row>
    <row r="699" spans="1:42" ht="7.5" customHeight="1">
      <c r="A699" s="2441"/>
      <c r="B699" s="1695"/>
      <c r="C699" s="1696"/>
      <c r="D699" s="1696"/>
      <c r="E699" s="1695"/>
      <c r="F699" s="1695"/>
      <c r="G699" s="1745"/>
      <c r="H699" s="1745"/>
      <c r="I699" s="1745"/>
      <c r="J699" s="1745"/>
      <c r="K699" s="1695"/>
      <c r="L699" s="1745"/>
      <c r="M699" s="1699"/>
      <c r="N699" s="1695"/>
      <c r="O699" s="1695"/>
      <c r="P699" s="1745"/>
      <c r="Q699" s="1745"/>
      <c r="R699" s="1745"/>
      <c r="S699" s="1745"/>
      <c r="T699" s="1745"/>
      <c r="U699" s="1699"/>
      <c r="V699" s="1699"/>
      <c r="W699" s="1695"/>
      <c r="X699" s="1695"/>
      <c r="Y699" s="1695"/>
      <c r="Z699" s="1695"/>
      <c r="AA699" s="1695"/>
      <c r="AB699" s="1699"/>
      <c r="AC699" s="1695"/>
      <c r="AD699" s="1695"/>
      <c r="AE699" s="1695"/>
      <c r="AF699" s="1695"/>
      <c r="AG699" s="1695"/>
      <c r="AH699" s="1699"/>
      <c r="AI699" s="1695"/>
      <c r="AJ699" s="1695"/>
      <c r="AK699" s="1695"/>
      <c r="AL699" s="1695"/>
      <c r="AM699" s="1695"/>
      <c r="AN699" s="1695"/>
      <c r="AO699" s="1699"/>
      <c r="AP699" s="1729"/>
    </row>
    <row r="700" spans="1:42" ht="15.75" thickBot="1">
      <c r="A700" s="2444"/>
      <c r="B700" s="1695"/>
      <c r="C700" s="1696"/>
      <c r="D700" s="1696"/>
      <c r="E700" s="1695"/>
      <c r="F700" s="1695"/>
      <c r="G700" s="1745"/>
      <c r="H700" s="1745"/>
      <c r="I700" s="1745"/>
      <c r="J700" s="1745"/>
      <c r="K700" s="1695"/>
      <c r="L700" s="1745"/>
      <c r="M700" s="1699"/>
      <c r="N700" s="1695"/>
      <c r="O700" s="1695"/>
      <c r="P700" s="1745"/>
      <c r="Q700" s="1745"/>
      <c r="R700" s="1745"/>
      <c r="S700" s="1745"/>
      <c r="T700" s="1745"/>
      <c r="U700" s="1699"/>
      <c r="V700" s="1699"/>
      <c r="W700" s="1695"/>
      <c r="X700" s="1695"/>
      <c r="Y700" s="1695"/>
      <c r="Z700" s="1695"/>
      <c r="AA700" s="1695"/>
      <c r="AB700" s="1699"/>
      <c r="AC700" s="1695"/>
      <c r="AD700" s="1695"/>
      <c r="AE700" s="1695"/>
      <c r="AF700" s="1695"/>
      <c r="AG700" s="1695"/>
      <c r="AH700" s="1699"/>
      <c r="AI700" s="1695"/>
      <c r="AJ700" s="1695"/>
      <c r="AK700" s="1695"/>
      <c r="AL700" s="1695"/>
      <c r="AM700" s="1695"/>
      <c r="AN700" s="1695"/>
      <c r="AO700" s="1699"/>
      <c r="AP700" s="1729"/>
    </row>
    <row r="701" spans="1:42" ht="15.75" thickBot="1">
      <c r="A701" s="2005"/>
      <c r="B701" s="1715"/>
      <c r="C701" s="1716"/>
      <c r="D701" s="1716"/>
      <c r="E701" s="1715"/>
      <c r="F701" s="1715"/>
      <c r="G701" s="1717"/>
      <c r="H701" s="1717"/>
      <c r="I701" s="1717"/>
      <c r="J701" s="1717"/>
      <c r="K701" s="1715"/>
      <c r="L701" s="1717"/>
      <c r="M701" s="1718"/>
      <c r="N701" s="1715"/>
      <c r="O701" s="1715"/>
      <c r="P701" s="1717"/>
      <c r="Q701" s="1717"/>
      <c r="R701" s="1717"/>
      <c r="S701" s="1717"/>
      <c r="T701" s="1717"/>
      <c r="U701" s="1718"/>
      <c r="V701" s="1718"/>
      <c r="W701" s="1715"/>
      <c r="X701" s="1715"/>
      <c r="Y701" s="1715"/>
      <c r="Z701" s="1715"/>
      <c r="AA701" s="1715"/>
      <c r="AB701" s="1718"/>
      <c r="AC701" s="1715"/>
      <c r="AD701" s="1715"/>
      <c r="AE701" s="1715"/>
      <c r="AF701" s="1715"/>
      <c r="AG701" s="1715"/>
      <c r="AH701" s="1718"/>
      <c r="AI701" s="1715"/>
      <c r="AJ701" s="1715"/>
      <c r="AK701" s="1715"/>
      <c r="AL701" s="1715"/>
      <c r="AM701" s="1715"/>
      <c r="AN701" s="1715"/>
      <c r="AO701" s="1718"/>
      <c r="AP701" s="1719"/>
    </row>
    <row r="702" spans="1:42">
      <c r="A702" s="2432" t="s">
        <v>1371</v>
      </c>
      <c r="B702" s="1844" t="s">
        <v>2655</v>
      </c>
      <c r="C702" s="1721" t="s">
        <v>2584</v>
      </c>
      <c r="D702" s="1721" t="s">
        <v>1805</v>
      </c>
      <c r="E702" s="1845">
        <f>AH702</f>
        <v>0.57659123505588705</v>
      </c>
      <c r="F702" s="2001"/>
      <c r="G702" s="1724"/>
      <c r="H702" s="1724">
        <f>G705*$E$702</f>
        <v>33.600582997411514</v>
      </c>
      <c r="I702" s="1724"/>
      <c r="J702" s="1726"/>
      <c r="K702" s="2426">
        <v>0.24</v>
      </c>
      <c r="L702" s="1755">
        <f>((E702*G705)+(E704*G705))*(1+$K$669)</f>
        <v>49.856436854606407</v>
      </c>
      <c r="M702" s="1743" t="s">
        <v>1942</v>
      </c>
      <c r="N702" s="1782"/>
      <c r="O702" s="1870" t="s">
        <v>2093</v>
      </c>
      <c r="P702" s="1738">
        <v>67.88</v>
      </c>
      <c r="Q702" s="1846" t="s">
        <v>2094</v>
      </c>
      <c r="R702" s="1846"/>
      <c r="S702" s="1846"/>
      <c r="T702" s="1755" t="str">
        <f>Q702</f>
        <v>$24.44 - $35.30</v>
      </c>
      <c r="U702" s="1733" t="s">
        <v>2653</v>
      </c>
      <c r="V702" s="1699"/>
      <c r="W702" s="1695"/>
      <c r="X702" s="1695"/>
      <c r="Y702" s="1695"/>
      <c r="Z702" s="1695"/>
      <c r="AA702" s="1695"/>
      <c r="AB702" s="1699"/>
      <c r="AC702" s="1695"/>
      <c r="AD702" s="1695"/>
      <c r="AE702" s="1695"/>
      <c r="AF702" s="1695"/>
      <c r="AG702" s="1695"/>
      <c r="AH702" s="2003">
        <v>0.57659123505588705</v>
      </c>
      <c r="AI702" s="2004">
        <v>5.6181740592268492E-2</v>
      </c>
      <c r="AJ702" s="2004">
        <v>83</v>
      </c>
      <c r="AK702" s="1735"/>
      <c r="AL702" s="1735"/>
      <c r="AM702" s="1735"/>
      <c r="AN702" s="1747"/>
      <c r="AO702" s="1699"/>
      <c r="AP702" s="1729"/>
    </row>
    <row r="703" spans="1:42">
      <c r="A703" s="2441"/>
      <c r="B703" s="1739" t="s">
        <v>2656</v>
      </c>
      <c r="C703" s="1721" t="s">
        <v>2584</v>
      </c>
      <c r="D703" s="1733" t="s">
        <v>1805</v>
      </c>
      <c r="E703" s="1748">
        <f>AH703</f>
        <v>0.88733074315952509</v>
      </c>
      <c r="F703" s="1841"/>
      <c r="G703" s="1736"/>
      <c r="H703" s="1724">
        <f>E703*$G$705</f>
        <v>51.708781661928327</v>
      </c>
      <c r="I703" s="1736"/>
      <c r="J703" s="1842"/>
      <c r="K703" s="2445"/>
      <c r="L703" s="1751">
        <f>((E703*G705)+(E704*G705)+I706)*(1+K702)</f>
        <v>90.445603198607245</v>
      </c>
      <c r="M703" s="1847" t="s">
        <v>1440</v>
      </c>
      <c r="N703" s="1848"/>
      <c r="O703" s="2002">
        <f>AO706</f>
        <v>8.8889999999999997E-2</v>
      </c>
      <c r="P703" s="1951">
        <f>AP705*$BQ$45</f>
        <v>58.274529605283924</v>
      </c>
      <c r="Q703" s="1846">
        <f>O703*P703</f>
        <v>5.1800229366136881</v>
      </c>
      <c r="R703" s="1846"/>
      <c r="S703" s="1846"/>
      <c r="T703" s="1755">
        <f>Q703</f>
        <v>5.1800229366136881</v>
      </c>
      <c r="U703" s="1733" t="s">
        <v>2654</v>
      </c>
      <c r="V703" s="1699"/>
      <c r="W703" s="1695"/>
      <c r="X703" s="1695"/>
      <c r="Y703" s="1695"/>
      <c r="Z703" s="1695"/>
      <c r="AA703" s="1695"/>
      <c r="AB703" s="1699"/>
      <c r="AC703" s="1695"/>
      <c r="AD703" s="1695"/>
      <c r="AE703" s="1695"/>
      <c r="AF703" s="1695"/>
      <c r="AG703" s="1695"/>
      <c r="AH703" s="2003">
        <v>0.88733074315952509</v>
      </c>
      <c r="AI703" s="2004">
        <v>0.12175596622240045</v>
      </c>
      <c r="AJ703" s="2004">
        <v>84</v>
      </c>
      <c r="AK703" s="1735"/>
      <c r="AL703" s="1735"/>
      <c r="AM703" s="1735"/>
      <c r="AN703" s="1747"/>
      <c r="AO703" s="1699"/>
      <c r="AP703" s="1729"/>
    </row>
    <row r="704" spans="1:42">
      <c r="A704" s="2441"/>
      <c r="B704" s="1739" t="s">
        <v>1911</v>
      </c>
      <c r="C704" s="1721" t="s">
        <v>2584</v>
      </c>
      <c r="D704" s="1733" t="s">
        <v>1805</v>
      </c>
      <c r="E704" s="1748">
        <f>AH704</f>
        <v>0.11336377937908999</v>
      </c>
      <c r="F704" s="1841"/>
      <c r="G704" s="1736"/>
      <c r="H704" s="1724">
        <f>E704*$G$705</f>
        <v>6.6062209175936548</v>
      </c>
      <c r="I704" s="1736"/>
      <c r="J704" s="1842"/>
      <c r="K704" s="2445"/>
      <c r="L704" s="1751"/>
      <c r="M704" s="1699"/>
      <c r="N704" s="1695"/>
      <c r="O704" s="1695"/>
      <c r="P704" s="1745"/>
      <c r="Q704" s="1745"/>
      <c r="R704" s="1745"/>
      <c r="S704" s="1745"/>
      <c r="T704" s="1805"/>
      <c r="U704" s="1733" t="s">
        <v>1561</v>
      </c>
      <c r="V704" s="1699"/>
      <c r="W704" s="1695"/>
      <c r="X704" s="1695"/>
      <c r="Y704" s="1695"/>
      <c r="Z704" s="1695"/>
      <c r="AA704" s="1695"/>
      <c r="AB704" s="1699"/>
      <c r="AC704" s="1695"/>
      <c r="AD704" s="1695"/>
      <c r="AE704" s="1695"/>
      <c r="AF704" s="1695"/>
      <c r="AG704" s="1695"/>
      <c r="AH704" s="2003">
        <v>0.11336377937908999</v>
      </c>
      <c r="AI704" s="2004">
        <v>2.1675320580773701E-2</v>
      </c>
      <c r="AJ704" s="2004">
        <v>70</v>
      </c>
      <c r="AK704" s="1735"/>
      <c r="AL704" s="1735"/>
      <c r="AM704" s="1735"/>
      <c r="AN704" s="1747"/>
      <c r="AO704" s="1699"/>
      <c r="AP704" s="1729"/>
    </row>
    <row r="705" spans="1:42">
      <c r="A705" s="2441"/>
      <c r="B705" s="1739" t="s">
        <v>1908</v>
      </c>
      <c r="C705" s="1721" t="s">
        <v>2584</v>
      </c>
      <c r="D705" s="1733" t="s">
        <v>1440</v>
      </c>
      <c r="E705" s="1748"/>
      <c r="F705" s="1841"/>
      <c r="G705" s="1736">
        <f>AP705*BQ45</f>
        <v>58.274529605283924</v>
      </c>
      <c r="H705" s="1736"/>
      <c r="I705" s="1736"/>
      <c r="J705" s="1842"/>
      <c r="K705" s="2427"/>
      <c r="L705" s="1795"/>
      <c r="M705" s="1699"/>
      <c r="N705" s="1695"/>
      <c r="O705" s="1695"/>
      <c r="P705" s="1745"/>
      <c r="Q705" s="1745"/>
      <c r="R705" s="1745"/>
      <c r="S705" s="1745"/>
      <c r="T705" s="1805"/>
      <c r="U705" s="1733" t="s">
        <v>1672</v>
      </c>
      <c r="V705" s="1699"/>
      <c r="W705" s="1695"/>
      <c r="X705" s="1695"/>
      <c r="Y705" s="1695"/>
      <c r="Z705" s="1695"/>
      <c r="AA705" s="1695"/>
      <c r="AB705" s="1699"/>
      <c r="AC705" s="1695"/>
      <c r="AD705" s="1695"/>
      <c r="AE705" s="1695"/>
      <c r="AF705" s="1695"/>
      <c r="AG705" s="1695"/>
      <c r="AH705" s="1699"/>
      <c r="AI705" s="1695"/>
      <c r="AJ705" s="1695"/>
      <c r="AK705" s="1695"/>
      <c r="AL705" s="1695"/>
      <c r="AM705" s="1695"/>
      <c r="AN705" s="1695"/>
      <c r="AO705" s="1757">
        <v>0.08</v>
      </c>
      <c r="AP705" s="1758">
        <v>52.4</v>
      </c>
    </row>
    <row r="706" spans="1:42">
      <c r="A706" s="2441"/>
      <c r="B706" s="1956" t="s">
        <v>1924</v>
      </c>
      <c r="C706" s="1721" t="s">
        <v>2584</v>
      </c>
      <c r="D706" s="1733" t="s">
        <v>1916</v>
      </c>
      <c r="E706" s="1734"/>
      <c r="F706" s="1789"/>
      <c r="G706" s="1736"/>
      <c r="H706" s="1736"/>
      <c r="I706" s="1736">
        <f>AVERAGE($Y$837:$Y$840)/50</f>
        <v>14.625</v>
      </c>
      <c r="J706" s="1736"/>
      <c r="K706" s="1736"/>
      <c r="L706" s="1842"/>
      <c r="M706" s="1699"/>
      <c r="N706" s="1695"/>
      <c r="O706" s="1695"/>
      <c r="P706" s="1745"/>
      <c r="Q706" s="1745"/>
      <c r="R706" s="1745"/>
      <c r="S706" s="1745"/>
      <c r="T706" s="1805"/>
      <c r="U706" s="1733" t="s">
        <v>1673</v>
      </c>
      <c r="V706" s="1699"/>
      <c r="W706" s="1695"/>
      <c r="X706" s="1695"/>
      <c r="Y706" s="1695"/>
      <c r="Z706" s="1695"/>
      <c r="AA706" s="1695"/>
      <c r="AB706" s="1699"/>
      <c r="AC706" s="1695"/>
      <c r="AD706" s="1695"/>
      <c r="AE706" s="1695"/>
      <c r="AF706" s="1695"/>
      <c r="AG706" s="1695"/>
      <c r="AH706" s="1699"/>
      <c r="AI706" s="1695"/>
      <c r="AJ706" s="1695"/>
      <c r="AK706" s="1695"/>
      <c r="AL706" s="1695"/>
      <c r="AM706" s="1695"/>
      <c r="AN706" s="1695"/>
      <c r="AO706" s="1757">
        <v>8.8889999999999997E-2</v>
      </c>
      <c r="AP706" s="1758">
        <v>52.4</v>
      </c>
    </row>
    <row r="707" spans="1:42">
      <c r="A707" s="2441"/>
      <c r="B707" s="1695"/>
      <c r="C707" s="1696"/>
      <c r="D707" s="1696"/>
      <c r="E707" s="1695"/>
      <c r="F707" s="1695"/>
      <c r="G707" s="1745"/>
      <c r="H707" s="1745"/>
      <c r="I707" s="1745"/>
      <c r="J707" s="1745"/>
      <c r="K707" s="1695"/>
      <c r="L707" s="1745"/>
      <c r="M707" s="1699"/>
      <c r="N707" s="1695"/>
      <c r="O707" s="1695"/>
      <c r="P707" s="1745"/>
      <c r="Q707" s="1745"/>
      <c r="R707" s="1745"/>
      <c r="S707" s="1745"/>
      <c r="T707" s="1745"/>
      <c r="U707" s="1733" t="s">
        <v>1671</v>
      </c>
      <c r="V707" s="1699"/>
      <c r="W707" s="1695"/>
      <c r="X707" s="1695"/>
      <c r="Y707" s="1695"/>
      <c r="Z707" s="1695"/>
      <c r="AA707" s="1695"/>
      <c r="AB707" s="1699"/>
      <c r="AC707" s="1695"/>
      <c r="AD707" s="1695"/>
      <c r="AE707" s="1695"/>
      <c r="AF707" s="1695"/>
      <c r="AG707" s="1695"/>
      <c r="AH707" s="1699"/>
      <c r="AI707" s="1695"/>
      <c r="AJ707" s="1695"/>
      <c r="AK707" s="1695"/>
      <c r="AL707" s="1695"/>
      <c r="AM707" s="1695"/>
      <c r="AN707" s="1695"/>
      <c r="AO707" s="1757">
        <v>8.8889999999999997E-2</v>
      </c>
      <c r="AP707" s="1758">
        <v>52.4</v>
      </c>
    </row>
    <row r="708" spans="1:42">
      <c r="A708" s="2441"/>
      <c r="B708" s="1695"/>
      <c r="C708" s="1696"/>
      <c r="D708" s="1696"/>
      <c r="E708" s="1695"/>
      <c r="F708" s="1695"/>
      <c r="G708" s="1745"/>
      <c r="H708" s="1745"/>
      <c r="I708" s="1745"/>
      <c r="J708" s="1745"/>
      <c r="K708" s="1695"/>
      <c r="L708" s="1745"/>
      <c r="M708" s="1699"/>
      <c r="N708" s="1695"/>
      <c r="O708" s="1695"/>
      <c r="P708" s="1745"/>
      <c r="Q708" s="1745"/>
      <c r="R708" s="1745"/>
      <c r="S708" s="1745"/>
      <c r="T708" s="1745"/>
      <c r="U708" s="1733" t="s">
        <v>1674</v>
      </c>
      <c r="V708" s="1699"/>
      <c r="W708" s="1695"/>
      <c r="X708" s="1695"/>
      <c r="Y708" s="1695"/>
      <c r="Z708" s="1695"/>
      <c r="AA708" s="1695"/>
      <c r="AB708" s="1699"/>
      <c r="AC708" s="1695"/>
      <c r="AD708" s="1695"/>
      <c r="AE708" s="1695"/>
      <c r="AF708" s="1695"/>
      <c r="AG708" s="1695"/>
      <c r="AH708" s="1699"/>
      <c r="AI708" s="1695"/>
      <c r="AJ708" s="1695"/>
      <c r="AK708" s="1695"/>
      <c r="AL708" s="1695"/>
      <c r="AM708" s="1695"/>
      <c r="AN708" s="1695"/>
      <c r="AO708" s="1757">
        <v>0.1</v>
      </c>
      <c r="AP708" s="1758">
        <v>52.4</v>
      </c>
    </row>
    <row r="709" spans="1:42">
      <c r="A709" s="2441"/>
      <c r="B709" s="1695"/>
      <c r="C709" s="1696"/>
      <c r="D709" s="1696"/>
      <c r="E709" s="1695"/>
      <c r="F709" s="1695"/>
      <c r="G709" s="1745"/>
      <c r="H709" s="1745"/>
      <c r="I709" s="1745"/>
      <c r="J709" s="1745"/>
      <c r="K709" s="1695"/>
      <c r="L709" s="1745"/>
      <c r="M709" s="1699"/>
      <c r="N709" s="1695"/>
      <c r="O709" s="1695"/>
      <c r="P709" s="1745"/>
      <c r="Q709" s="1745"/>
      <c r="R709" s="1745"/>
      <c r="S709" s="1745"/>
      <c r="T709" s="1745"/>
      <c r="U709" s="1699"/>
      <c r="V709" s="1699"/>
      <c r="W709" s="1695"/>
      <c r="X709" s="1695"/>
      <c r="Y709" s="1695"/>
      <c r="Z709" s="1695"/>
      <c r="AA709" s="1695"/>
      <c r="AB709" s="1699"/>
      <c r="AC709" s="1695"/>
      <c r="AD709" s="1695"/>
      <c r="AE709" s="1695"/>
      <c r="AF709" s="1695"/>
      <c r="AG709" s="1695"/>
      <c r="AH709" s="1699"/>
      <c r="AI709" s="1695"/>
      <c r="AJ709" s="1695"/>
      <c r="AK709" s="1695"/>
      <c r="AL709" s="1695"/>
      <c r="AM709" s="1695"/>
      <c r="AN709" s="1695"/>
      <c r="AO709" s="1699"/>
      <c r="AP709" s="1729"/>
    </row>
    <row r="710" spans="1:42">
      <c r="A710" s="2441"/>
      <c r="B710" s="1695"/>
      <c r="C710" s="1696"/>
      <c r="D710" s="1696"/>
      <c r="E710" s="1695"/>
      <c r="F710" s="1695"/>
      <c r="G710" s="1745"/>
      <c r="H710" s="1745"/>
      <c r="I710" s="1745"/>
      <c r="J710" s="1745"/>
      <c r="K710" s="1695"/>
      <c r="L710" s="1745"/>
      <c r="M710" s="1699"/>
      <c r="N710" s="1695"/>
      <c r="O710" s="1695"/>
      <c r="P710" s="1745"/>
      <c r="Q710" s="1745"/>
      <c r="R710" s="1745"/>
      <c r="S710" s="1745"/>
      <c r="T710" s="1745"/>
      <c r="U710" s="1699"/>
      <c r="V710" s="1699"/>
      <c r="W710" s="1695"/>
      <c r="X710" s="1695"/>
      <c r="Y710" s="1695"/>
      <c r="Z710" s="1695"/>
      <c r="AA710" s="1695"/>
      <c r="AB710" s="1699"/>
      <c r="AC710" s="1695"/>
      <c r="AD710" s="1695"/>
      <c r="AE710" s="1695"/>
      <c r="AF710" s="1695"/>
      <c r="AG710" s="1695"/>
      <c r="AH710" s="1699"/>
      <c r="AI710" s="1695"/>
      <c r="AJ710" s="1695"/>
      <c r="AK710" s="1695"/>
      <c r="AL710" s="1695"/>
      <c r="AM710" s="1695"/>
      <c r="AN710" s="1695"/>
      <c r="AO710" s="1699"/>
      <c r="AP710" s="1729"/>
    </row>
    <row r="711" spans="1:42">
      <c r="A711" s="2441"/>
      <c r="B711" s="1695"/>
      <c r="C711" s="1696"/>
      <c r="D711" s="1696"/>
      <c r="E711" s="1695"/>
      <c r="F711" s="1695"/>
      <c r="G711" s="1745"/>
      <c r="H711" s="1745"/>
      <c r="I711" s="1745"/>
      <c r="J711" s="1745"/>
      <c r="K711" s="1695"/>
      <c r="L711" s="1745"/>
      <c r="M711" s="1699"/>
      <c r="N711" s="1695"/>
      <c r="O711" s="1695"/>
      <c r="P711" s="1745"/>
      <c r="Q711" s="1745"/>
      <c r="R711" s="1745"/>
      <c r="S711" s="1745"/>
      <c r="T711" s="1745"/>
      <c r="U711" s="1699"/>
      <c r="V711" s="1699"/>
      <c r="W711" s="1695"/>
      <c r="X711" s="1695"/>
      <c r="Y711" s="1695"/>
      <c r="Z711" s="1695"/>
      <c r="AA711" s="1695"/>
      <c r="AB711" s="1699"/>
      <c r="AC711" s="1695"/>
      <c r="AD711" s="1695"/>
      <c r="AE711" s="1695"/>
      <c r="AF711" s="1695"/>
      <c r="AG711" s="1695"/>
      <c r="AH711" s="1699"/>
      <c r="AI711" s="1695"/>
      <c r="AJ711" s="1695"/>
      <c r="AK711" s="1695"/>
      <c r="AL711" s="1695"/>
      <c r="AM711" s="1695"/>
      <c r="AN711" s="1695"/>
      <c r="AO711" s="1699"/>
      <c r="AP711" s="1729"/>
    </row>
    <row r="712" spans="1:42">
      <c r="A712" s="2441"/>
      <c r="B712" s="1695"/>
      <c r="C712" s="1696"/>
      <c r="D712" s="1696"/>
      <c r="E712" s="1695"/>
      <c r="F712" s="1695"/>
      <c r="G712" s="1745"/>
      <c r="H712" s="1745"/>
      <c r="I712" s="1745"/>
      <c r="J712" s="1745"/>
      <c r="K712" s="1695"/>
      <c r="L712" s="1745"/>
      <c r="M712" s="1699"/>
      <c r="N712" s="1695"/>
      <c r="O712" s="1695"/>
      <c r="P712" s="1745"/>
      <c r="Q712" s="1745"/>
      <c r="R712" s="1745"/>
      <c r="S712" s="1745"/>
      <c r="T712" s="1745"/>
      <c r="U712" s="1699"/>
      <c r="V712" s="1699"/>
      <c r="W712" s="1695"/>
      <c r="X712" s="1695"/>
      <c r="Y712" s="1695"/>
      <c r="Z712" s="1695"/>
      <c r="AA712" s="1695"/>
      <c r="AB712" s="1699"/>
      <c r="AC712" s="1695"/>
      <c r="AD712" s="1695"/>
      <c r="AE712" s="1695"/>
      <c r="AF712" s="1695"/>
      <c r="AG712" s="1695"/>
      <c r="AH712" s="1699"/>
      <c r="AI712" s="1695"/>
      <c r="AJ712" s="1695"/>
      <c r="AK712" s="1695"/>
      <c r="AL712" s="1695"/>
      <c r="AM712" s="1695"/>
      <c r="AN712" s="1695"/>
      <c r="AO712" s="1699"/>
      <c r="AP712" s="1729"/>
    </row>
    <row r="713" spans="1:42">
      <c r="A713" s="2441"/>
      <c r="B713" s="1695"/>
      <c r="C713" s="1696"/>
      <c r="D713" s="1696"/>
      <c r="E713" s="1695"/>
      <c r="F713" s="1695"/>
      <c r="G713" s="1745"/>
      <c r="H713" s="1745"/>
      <c r="I713" s="1745"/>
      <c r="J713" s="1745"/>
      <c r="K713" s="1695"/>
      <c r="L713" s="1745"/>
      <c r="M713" s="1699"/>
      <c r="N713" s="1695"/>
      <c r="O713" s="1695"/>
      <c r="P713" s="1745"/>
      <c r="Q713" s="1745"/>
      <c r="R713" s="1745"/>
      <c r="S713" s="1745"/>
      <c r="T713" s="1745"/>
      <c r="U713" s="1699"/>
      <c r="V713" s="1699"/>
      <c r="W713" s="1695"/>
      <c r="X713" s="1695"/>
      <c r="Y713" s="1695"/>
      <c r="Z713" s="1695"/>
      <c r="AA713" s="1695"/>
      <c r="AB713" s="1699"/>
      <c r="AC713" s="1695"/>
      <c r="AD713" s="1695"/>
      <c r="AE713" s="1695"/>
      <c r="AF713" s="1695"/>
      <c r="AG713" s="1695"/>
      <c r="AH713" s="1699"/>
      <c r="AI713" s="1695"/>
      <c r="AJ713" s="1695"/>
      <c r="AK713" s="1695"/>
      <c r="AL713" s="1695"/>
      <c r="AM713" s="1695"/>
      <c r="AN713" s="1695"/>
      <c r="AO713" s="1699"/>
      <c r="AP713" s="1729"/>
    </row>
    <row r="714" spans="1:42">
      <c r="A714" s="2441"/>
      <c r="B714" s="1695"/>
      <c r="C714" s="1696"/>
      <c r="D714" s="1696"/>
      <c r="E714" s="1695"/>
      <c r="F714" s="1695"/>
      <c r="G714" s="1745"/>
      <c r="H714" s="1745"/>
      <c r="I714" s="1745"/>
      <c r="J714" s="1745"/>
      <c r="K714" s="1695"/>
      <c r="L714" s="1745"/>
      <c r="M714" s="1699"/>
      <c r="N714" s="1695"/>
      <c r="O714" s="1695"/>
      <c r="P714" s="1745"/>
      <c r="Q714" s="1745"/>
      <c r="R714" s="1745"/>
      <c r="S714" s="1745"/>
      <c r="T714" s="1745"/>
      <c r="U714" s="1699"/>
      <c r="V714" s="1699"/>
      <c r="W714" s="1695"/>
      <c r="X714" s="1695"/>
      <c r="Y714" s="1695"/>
      <c r="Z714" s="1695"/>
      <c r="AA714" s="1695"/>
      <c r="AB714" s="1699"/>
      <c r="AC714" s="1695"/>
      <c r="AD714" s="1695"/>
      <c r="AE714" s="1695"/>
      <c r="AF714" s="1695"/>
      <c r="AG714" s="1695"/>
      <c r="AH714" s="1699"/>
      <c r="AI714" s="1695"/>
      <c r="AJ714" s="1695"/>
      <c r="AK714" s="1695"/>
      <c r="AL714" s="1695"/>
      <c r="AM714" s="1695"/>
      <c r="AN714" s="1695"/>
      <c r="AO714" s="1699"/>
      <c r="AP714" s="1729"/>
    </row>
    <row r="715" spans="1:42">
      <c r="A715" s="2441"/>
      <c r="B715" s="1695"/>
      <c r="C715" s="1696"/>
      <c r="D715" s="1696"/>
      <c r="E715" s="1695"/>
      <c r="F715" s="1695"/>
      <c r="G715" s="1745"/>
      <c r="H715" s="1745"/>
      <c r="I715" s="1745"/>
      <c r="J715" s="1745"/>
      <c r="K715" s="1695"/>
      <c r="L715" s="1745"/>
      <c r="M715" s="1699"/>
      <c r="N715" s="1695"/>
      <c r="O715" s="1695"/>
      <c r="P715" s="1745"/>
      <c r="Q715" s="1745"/>
      <c r="R715" s="1745"/>
      <c r="S715" s="1745"/>
      <c r="T715" s="1745"/>
      <c r="U715" s="1699"/>
      <c r="V715" s="1699"/>
      <c r="W715" s="1695"/>
      <c r="X715" s="1695"/>
      <c r="Y715" s="1695"/>
      <c r="Z715" s="1695"/>
      <c r="AA715" s="1695"/>
      <c r="AB715" s="1699"/>
      <c r="AC715" s="1695"/>
      <c r="AD715" s="1695"/>
      <c r="AE715" s="1695"/>
      <c r="AF715" s="1695"/>
      <c r="AG715" s="1695"/>
      <c r="AH715" s="1699"/>
      <c r="AI715" s="1695"/>
      <c r="AJ715" s="1695"/>
      <c r="AK715" s="1695"/>
      <c r="AL715" s="1695"/>
      <c r="AM715" s="1695"/>
      <c r="AN715" s="1695"/>
      <c r="AO715" s="1699"/>
      <c r="AP715" s="1729"/>
    </row>
    <row r="716" spans="1:42">
      <c r="A716" s="2441"/>
      <c r="B716" s="1695"/>
      <c r="C716" s="1696"/>
      <c r="D716" s="1696"/>
      <c r="E716" s="1695"/>
      <c r="F716" s="1695"/>
      <c r="G716" s="1745"/>
      <c r="H716" s="1745"/>
      <c r="I716" s="1745"/>
      <c r="J716" s="1745"/>
      <c r="K716" s="1695"/>
      <c r="L716" s="1745"/>
      <c r="M716" s="1699"/>
      <c r="N716" s="1695"/>
      <c r="O716" s="1695"/>
      <c r="P716" s="1745"/>
      <c r="Q716" s="1745"/>
      <c r="R716" s="1745"/>
      <c r="S716" s="1745"/>
      <c r="T716" s="1745"/>
      <c r="U716" s="1699"/>
      <c r="V716" s="1699"/>
      <c r="W716" s="1695"/>
      <c r="X716" s="1695"/>
      <c r="Y716" s="1695"/>
      <c r="Z716" s="1695"/>
      <c r="AA716" s="1695"/>
      <c r="AB716" s="1699"/>
      <c r="AC716" s="1695"/>
      <c r="AD716" s="1695"/>
      <c r="AE716" s="1695"/>
      <c r="AF716" s="1695"/>
      <c r="AG716" s="1695"/>
      <c r="AH716" s="1699"/>
      <c r="AI716" s="1695"/>
      <c r="AJ716" s="1695"/>
      <c r="AK716" s="1695"/>
      <c r="AL716" s="1695"/>
      <c r="AM716" s="1695"/>
      <c r="AN716" s="1695"/>
      <c r="AO716" s="1699"/>
      <c r="AP716" s="1729"/>
    </row>
    <row r="717" spans="1:42">
      <c r="A717" s="2441"/>
      <c r="B717" s="1695"/>
      <c r="C717" s="1696"/>
      <c r="D717" s="1696"/>
      <c r="E717" s="1695"/>
      <c r="F717" s="1695"/>
      <c r="G717" s="1745"/>
      <c r="H717" s="1745"/>
      <c r="I717" s="1745"/>
      <c r="J717" s="1745"/>
      <c r="K717" s="1695"/>
      <c r="L717" s="1745"/>
      <c r="M717" s="1699"/>
      <c r="N717" s="1695"/>
      <c r="O717" s="1695"/>
      <c r="P717" s="1745"/>
      <c r="Q717" s="1745"/>
      <c r="R717" s="1745"/>
      <c r="S717" s="1745"/>
      <c r="T717" s="1745"/>
      <c r="U717" s="1699"/>
      <c r="V717" s="1699"/>
      <c r="W717" s="1695"/>
      <c r="X717" s="1695"/>
      <c r="Y717" s="1695"/>
      <c r="Z717" s="1695"/>
      <c r="AA717" s="1695"/>
      <c r="AB717" s="1699"/>
      <c r="AC717" s="1695"/>
      <c r="AD717" s="1695"/>
      <c r="AE717" s="1695"/>
      <c r="AF717" s="1695"/>
      <c r="AG717" s="1695"/>
      <c r="AH717" s="1699"/>
      <c r="AI717" s="1695"/>
      <c r="AJ717" s="1695"/>
      <c r="AK717" s="1695"/>
      <c r="AL717" s="1695"/>
      <c r="AM717" s="1695"/>
      <c r="AN717" s="1695"/>
      <c r="AO717" s="1699"/>
      <c r="AP717" s="1729"/>
    </row>
    <row r="718" spans="1:42" ht="15.75" thickBot="1">
      <c r="A718" s="2444"/>
      <c r="B718" s="1695"/>
      <c r="C718" s="1696"/>
      <c r="D718" s="1696"/>
      <c r="E718" s="1695"/>
      <c r="F718" s="1695"/>
      <c r="G718" s="1745"/>
      <c r="H718" s="1745"/>
      <c r="I718" s="1745"/>
      <c r="J718" s="1745"/>
      <c r="K718" s="1695"/>
      <c r="L718" s="1745"/>
      <c r="M718" s="1699"/>
      <c r="N718" s="1695"/>
      <c r="O718" s="1695"/>
      <c r="P718" s="1745"/>
      <c r="Q718" s="1745"/>
      <c r="R718" s="1745"/>
      <c r="S718" s="1745"/>
      <c r="T718" s="1745"/>
      <c r="U718" s="1699"/>
      <c r="V718" s="1699"/>
      <c r="W718" s="1695"/>
      <c r="X718" s="1695"/>
      <c r="Y718" s="1695"/>
      <c r="Z718" s="1695"/>
      <c r="AA718" s="1695"/>
      <c r="AB718" s="1699"/>
      <c r="AC718" s="1695"/>
      <c r="AD718" s="1695"/>
      <c r="AE718" s="1695"/>
      <c r="AF718" s="1695"/>
      <c r="AG718" s="1695"/>
      <c r="AH718" s="1699"/>
      <c r="AI718" s="1695"/>
      <c r="AJ718" s="1695"/>
      <c r="AK718" s="1695"/>
      <c r="AL718" s="1695"/>
      <c r="AM718" s="1695"/>
      <c r="AN718" s="1695"/>
      <c r="AO718" s="1699"/>
      <c r="AP718" s="1729"/>
    </row>
    <row r="719" spans="1:42" ht="24" thickBot="1">
      <c r="A719" s="1714" t="s">
        <v>1113</v>
      </c>
      <c r="B719" s="1715"/>
      <c r="C719" s="1716"/>
      <c r="D719" s="1716"/>
      <c r="E719" s="1715"/>
      <c r="F719" s="1715"/>
      <c r="G719" s="1717"/>
      <c r="H719" s="1717"/>
      <c r="I719" s="1717"/>
      <c r="J719" s="1717"/>
      <c r="K719" s="1715"/>
      <c r="L719" s="1717"/>
      <c r="M719" s="1718"/>
      <c r="N719" s="1715"/>
      <c r="O719" s="1715"/>
      <c r="P719" s="1717"/>
      <c r="Q719" s="1717"/>
      <c r="R719" s="1717"/>
      <c r="S719" s="1717"/>
      <c r="T719" s="1717"/>
      <c r="U719" s="1718"/>
      <c r="V719" s="1718"/>
      <c r="W719" s="1715"/>
      <c r="X719" s="1715"/>
      <c r="Y719" s="1715"/>
      <c r="Z719" s="1715"/>
      <c r="AA719" s="1715"/>
      <c r="AB719" s="1718"/>
      <c r="AC719" s="1715"/>
      <c r="AD719" s="1715"/>
      <c r="AE719" s="1715"/>
      <c r="AF719" s="1715"/>
      <c r="AG719" s="1715"/>
      <c r="AH719" s="1718"/>
      <c r="AI719" s="1715"/>
      <c r="AJ719" s="1715"/>
      <c r="AK719" s="1715"/>
      <c r="AL719" s="1715"/>
      <c r="AM719" s="1715"/>
      <c r="AN719" s="1715"/>
      <c r="AO719" s="1718"/>
      <c r="AP719" s="1719"/>
    </row>
    <row r="720" spans="1:42">
      <c r="A720" s="2432" t="s">
        <v>1363</v>
      </c>
      <c r="B720" s="1739" t="s">
        <v>1562</v>
      </c>
      <c r="C720" s="1721" t="s">
        <v>2584</v>
      </c>
      <c r="D720" s="1733" t="s">
        <v>1805</v>
      </c>
      <c r="E720" s="1845">
        <f>AH720</f>
        <v>0.80852951365419035</v>
      </c>
      <c r="F720" s="1854"/>
      <c r="G720" s="1736"/>
      <c r="H720" s="1724">
        <f>E720*$G$723</f>
        <v>47.116677080186925</v>
      </c>
      <c r="I720" s="1724"/>
      <c r="J720" s="1726"/>
      <c r="K720" s="2426">
        <v>0.25</v>
      </c>
      <c r="L720" s="2000">
        <f>((E720*$G$723)+($E$722*$G$723))*(1+$K$720)</f>
        <v>67.153622497225726</v>
      </c>
      <c r="M720" s="1699"/>
      <c r="N720" s="1695"/>
      <c r="O720" s="1695"/>
      <c r="P720" s="1745"/>
      <c r="Q720" s="1745"/>
      <c r="R720" s="1745"/>
      <c r="S720" s="1745"/>
      <c r="T720" s="1805"/>
      <c r="U720" s="1733" t="s">
        <v>1562</v>
      </c>
      <c r="V720" s="1699"/>
      <c r="W720" s="1695"/>
      <c r="X720" s="1695"/>
      <c r="Y720" s="1695"/>
      <c r="Z720" s="1695"/>
      <c r="AA720" s="1695"/>
      <c r="AB720" s="1699"/>
      <c r="AC720" s="1695"/>
      <c r="AD720" s="1695"/>
      <c r="AE720" s="1695"/>
      <c r="AF720" s="1695"/>
      <c r="AG720" s="1695"/>
      <c r="AH720" s="2003">
        <v>0.80852951365419035</v>
      </c>
      <c r="AI720" s="2004">
        <v>6.2708322291948587E-2</v>
      </c>
      <c r="AJ720" s="2004">
        <v>84</v>
      </c>
      <c r="AK720" s="1735"/>
      <c r="AL720" s="1735"/>
      <c r="AM720" s="1735"/>
      <c r="AN720" s="1747"/>
      <c r="AO720" s="1699"/>
      <c r="AP720" s="1758">
        <v>52.4</v>
      </c>
    </row>
    <row r="721" spans="1:42">
      <c r="A721" s="2433"/>
      <c r="B721" s="1739" t="s">
        <v>1563</v>
      </c>
      <c r="C721" s="1721" t="s">
        <v>2584</v>
      </c>
      <c r="D721" s="1733" t="s">
        <v>1805</v>
      </c>
      <c r="E721" s="2009">
        <f>AH721</f>
        <v>1.2803677828651356</v>
      </c>
      <c r="F721" s="1789"/>
      <c r="G721" s="1947"/>
      <c r="H721" s="1724">
        <f>E721*$G$723</f>
        <v>74.612830268226091</v>
      </c>
      <c r="I721" s="1736"/>
      <c r="J721" s="1726"/>
      <c r="K721" s="2445"/>
      <c r="L721" s="2000">
        <f>((E721*$G$723)+($E$722*$G$723)+I724)*(1+$K$720)</f>
        <v>119.80506398227469</v>
      </c>
      <c r="M721" s="1699"/>
      <c r="N721" s="1695"/>
      <c r="O721" s="1695"/>
      <c r="P721" s="1745"/>
      <c r="Q721" s="1745"/>
      <c r="R721" s="1745"/>
      <c r="S721" s="1745"/>
      <c r="T721" s="1805"/>
      <c r="U721" s="1733" t="s">
        <v>1563</v>
      </c>
      <c r="V721" s="1699"/>
      <c r="W721" s="1695"/>
      <c r="X721" s="1695"/>
      <c r="Y721" s="1695"/>
      <c r="Z721" s="1695"/>
      <c r="AA721" s="1695"/>
      <c r="AB721" s="1699"/>
      <c r="AC721" s="1695"/>
      <c r="AD721" s="1695"/>
      <c r="AE721" s="1695"/>
      <c r="AF721" s="1695"/>
      <c r="AG721" s="1695"/>
      <c r="AH721" s="2003">
        <v>1.2803677828651356</v>
      </c>
      <c r="AI721" s="2004">
        <v>0.1112092977655222</v>
      </c>
      <c r="AJ721" s="2004">
        <v>85</v>
      </c>
      <c r="AK721" s="1735"/>
      <c r="AL721" s="1735"/>
      <c r="AM721" s="1735"/>
      <c r="AN721" s="1747"/>
      <c r="AO721" s="1699"/>
      <c r="AP721" s="1758">
        <v>52.4</v>
      </c>
    </row>
    <row r="722" spans="1:42">
      <c r="A722" s="2433"/>
      <c r="B722" s="1739" t="s">
        <v>1911</v>
      </c>
      <c r="C722" s="1721" t="s">
        <v>2584</v>
      </c>
      <c r="D722" s="1733" t="s">
        <v>1805</v>
      </c>
      <c r="E722" s="1748">
        <f>AH722</f>
        <v>0.11336377937908999</v>
      </c>
      <c r="F722" s="1789"/>
      <c r="G722" s="1947"/>
      <c r="H722" s="1724">
        <f>E722*$G$723</f>
        <v>6.6062209175936548</v>
      </c>
      <c r="I722" s="1736"/>
      <c r="J722" s="1842"/>
      <c r="K722" s="2445"/>
      <c r="L722" s="1795"/>
      <c r="M722" s="1699"/>
      <c r="N722" s="1695"/>
      <c r="O722" s="1695"/>
      <c r="P722" s="1745"/>
      <c r="Q722" s="1745"/>
      <c r="R722" s="1745"/>
      <c r="S722" s="1745"/>
      <c r="T722" s="1805"/>
      <c r="U722" s="1733" t="s">
        <v>1561</v>
      </c>
      <c r="V722" s="1699"/>
      <c r="W722" s="1695"/>
      <c r="X722" s="1695"/>
      <c r="Y722" s="1695"/>
      <c r="Z722" s="1695"/>
      <c r="AA722" s="1695"/>
      <c r="AB722" s="1699"/>
      <c r="AC722" s="1695"/>
      <c r="AD722" s="1695"/>
      <c r="AE722" s="1695"/>
      <c r="AF722" s="1695"/>
      <c r="AG722" s="1695"/>
      <c r="AH722" s="2003">
        <v>0.11336377937908999</v>
      </c>
      <c r="AI722" s="2004">
        <v>2.1675320580773701E-2</v>
      </c>
      <c r="AJ722" s="2004">
        <v>70</v>
      </c>
      <c r="AK722" s="1735"/>
      <c r="AL722" s="1735"/>
      <c r="AM722" s="1735"/>
      <c r="AN722" s="1747"/>
      <c r="AO722" s="1699"/>
      <c r="AP722" s="1758">
        <v>52.4</v>
      </c>
    </row>
    <row r="723" spans="1:42">
      <c r="A723" s="2433"/>
      <c r="B723" s="1739" t="s">
        <v>1811</v>
      </c>
      <c r="C723" s="1721" t="s">
        <v>2584</v>
      </c>
      <c r="D723" s="1733" t="s">
        <v>1440</v>
      </c>
      <c r="E723" s="1748"/>
      <c r="F723" s="1789"/>
      <c r="G723" s="1947">
        <f>AP720*BQ45</f>
        <v>58.274529605283924</v>
      </c>
      <c r="H723" s="1867"/>
      <c r="I723" s="1736"/>
      <c r="J723" s="1736"/>
      <c r="K723" s="2427"/>
      <c r="L723" s="1736"/>
      <c r="M723" s="1699"/>
      <c r="N723" s="1695"/>
      <c r="O723" s="1695"/>
      <c r="P723" s="1745"/>
      <c r="Q723" s="1745"/>
      <c r="R723" s="1745"/>
      <c r="S723" s="1745"/>
      <c r="T723" s="1745"/>
      <c r="U723" s="1699"/>
      <c r="V723" s="1699"/>
      <c r="W723" s="1695"/>
      <c r="X723" s="1695"/>
      <c r="Y723" s="1695"/>
      <c r="Z723" s="1695"/>
      <c r="AA723" s="1695"/>
      <c r="AB723" s="1699"/>
      <c r="AC723" s="1695"/>
      <c r="AD723" s="1695"/>
      <c r="AE723" s="1695"/>
      <c r="AF723" s="1695"/>
      <c r="AG723" s="1695"/>
      <c r="AH723" s="1699"/>
      <c r="AI723" s="1695"/>
      <c r="AJ723" s="1695"/>
      <c r="AK723" s="1695"/>
      <c r="AL723" s="1695"/>
      <c r="AM723" s="1695"/>
      <c r="AN723" s="1695"/>
      <c r="AO723" s="1699"/>
      <c r="AP723" s="1729"/>
    </row>
    <row r="724" spans="1:42">
      <c r="A724" s="2433"/>
      <c r="B724" s="1956" t="s">
        <v>1924</v>
      </c>
      <c r="C724" s="1721" t="s">
        <v>2584</v>
      </c>
      <c r="D724" s="1733" t="s">
        <v>1916</v>
      </c>
      <c r="E724" s="1734"/>
      <c r="F724" s="1789"/>
      <c r="G724" s="1736"/>
      <c r="H724" s="1736"/>
      <c r="I724" s="1736">
        <f>AVERAGE($Y$837:$Y$840)/50</f>
        <v>14.625</v>
      </c>
      <c r="J724" s="1736"/>
      <c r="K724" s="1736"/>
      <c r="L724" s="1842"/>
      <c r="M724" s="1699"/>
      <c r="N724" s="1695"/>
      <c r="O724" s="1695"/>
      <c r="P724" s="1745"/>
      <c r="Q724" s="1745"/>
      <c r="R724" s="1745"/>
      <c r="S724" s="1745"/>
      <c r="T724" s="1745"/>
      <c r="U724" s="1699"/>
      <c r="V724" s="1699"/>
      <c r="W724" s="1695"/>
      <c r="X724" s="1695"/>
      <c r="Y724" s="1695"/>
      <c r="Z724" s="1695"/>
      <c r="AA724" s="1695"/>
      <c r="AB724" s="1699"/>
      <c r="AC724" s="1695"/>
      <c r="AD724" s="1695"/>
      <c r="AE724" s="1695"/>
      <c r="AF724" s="1695"/>
      <c r="AG724" s="1695"/>
      <c r="AH724" s="1699"/>
      <c r="AI724" s="1695"/>
      <c r="AJ724" s="1695"/>
      <c r="AK724" s="1695"/>
      <c r="AL724" s="1695"/>
      <c r="AM724" s="1695"/>
      <c r="AN724" s="1695"/>
      <c r="AO724" s="1699"/>
      <c r="AP724" s="1729"/>
    </row>
    <row r="725" spans="1:42">
      <c r="A725" s="2433"/>
      <c r="B725" s="1695"/>
      <c r="C725" s="1696"/>
      <c r="D725" s="1696"/>
      <c r="E725" s="1879"/>
      <c r="F725" s="1695"/>
      <c r="G725" s="1745"/>
      <c r="H725" s="1745"/>
      <c r="I725" s="1745"/>
      <c r="J725" s="1745"/>
      <c r="K725" s="1695"/>
      <c r="L725" s="1745"/>
      <c r="M725" s="1699"/>
      <c r="N725" s="1695"/>
      <c r="O725" s="1695"/>
      <c r="P725" s="1745"/>
      <c r="Q725" s="1745"/>
      <c r="R725" s="1745"/>
      <c r="S725" s="1745"/>
      <c r="T725" s="1745"/>
      <c r="U725" s="1699"/>
      <c r="V725" s="1699"/>
      <c r="W725" s="1695"/>
      <c r="X725" s="1695"/>
      <c r="Y725" s="1695"/>
      <c r="Z725" s="1695"/>
      <c r="AA725" s="1695"/>
      <c r="AB725" s="1699"/>
      <c r="AC725" s="1695"/>
      <c r="AD725" s="1695"/>
      <c r="AE725" s="1695"/>
      <c r="AF725" s="1695"/>
      <c r="AG725" s="1695"/>
      <c r="AH725" s="1699"/>
      <c r="AI725" s="1695"/>
      <c r="AJ725" s="1695"/>
      <c r="AK725" s="1695"/>
      <c r="AL725" s="1695"/>
      <c r="AM725" s="1695"/>
      <c r="AN725" s="1695"/>
      <c r="AO725" s="1699"/>
      <c r="AP725" s="1729"/>
    </row>
    <row r="726" spans="1:42">
      <c r="A726" s="2433"/>
      <c r="B726" s="1695"/>
      <c r="C726" s="1696"/>
      <c r="D726" s="1696"/>
      <c r="E726" s="1879"/>
      <c r="F726" s="1695"/>
      <c r="G726" s="1745"/>
      <c r="H726" s="1745"/>
      <c r="I726" s="1745"/>
      <c r="J726" s="1745"/>
      <c r="K726" s="1695"/>
      <c r="L726" s="1745"/>
      <c r="M726" s="1699"/>
      <c r="N726" s="1695"/>
      <c r="O726" s="1695"/>
      <c r="P726" s="1745"/>
      <c r="Q726" s="1745"/>
      <c r="R726" s="1745"/>
      <c r="S726" s="1745"/>
      <c r="T726" s="1745"/>
      <c r="U726" s="1699"/>
      <c r="V726" s="1699"/>
      <c r="W726" s="1695"/>
      <c r="X726" s="1695"/>
      <c r="Y726" s="1695"/>
      <c r="Z726" s="1695"/>
      <c r="AA726" s="1695"/>
      <c r="AB726" s="1699"/>
      <c r="AC726" s="1695"/>
      <c r="AD726" s="1695"/>
      <c r="AE726" s="1695"/>
      <c r="AF726" s="1695"/>
      <c r="AG726" s="1695"/>
      <c r="AH726" s="1699"/>
      <c r="AI726" s="1695"/>
      <c r="AJ726" s="1695"/>
      <c r="AK726" s="1695"/>
      <c r="AL726" s="1695"/>
      <c r="AM726" s="1695"/>
      <c r="AN726" s="1695"/>
      <c r="AO726" s="1699"/>
      <c r="AP726" s="1729"/>
    </row>
    <row r="727" spans="1:42">
      <c r="A727" s="2433"/>
      <c r="B727" s="1695"/>
      <c r="C727" s="1696"/>
      <c r="D727" s="1696"/>
      <c r="E727" s="1879"/>
      <c r="F727" s="1695"/>
      <c r="G727" s="1745"/>
      <c r="H727" s="1745"/>
      <c r="I727" s="1745"/>
      <c r="J727" s="1745"/>
      <c r="K727" s="1695"/>
      <c r="L727" s="1745"/>
      <c r="M727" s="1699"/>
      <c r="N727" s="1695"/>
      <c r="O727" s="1695"/>
      <c r="P727" s="1745"/>
      <c r="Q727" s="1745"/>
      <c r="R727" s="1745"/>
      <c r="S727" s="1745"/>
      <c r="T727" s="1745"/>
      <c r="U727" s="1699"/>
      <c r="V727" s="1699"/>
      <c r="W727" s="1695"/>
      <c r="X727" s="1695"/>
      <c r="Y727" s="1695"/>
      <c r="Z727" s="1695"/>
      <c r="AA727" s="1695"/>
      <c r="AB727" s="1699"/>
      <c r="AC727" s="1695"/>
      <c r="AD727" s="1695"/>
      <c r="AE727" s="1695"/>
      <c r="AF727" s="1695"/>
      <c r="AG727" s="1695"/>
      <c r="AH727" s="1699"/>
      <c r="AI727" s="1695"/>
      <c r="AJ727" s="1695"/>
      <c r="AK727" s="1695"/>
      <c r="AL727" s="1695"/>
      <c r="AM727" s="1695"/>
      <c r="AN727" s="1695"/>
      <c r="AO727" s="1699"/>
      <c r="AP727" s="1729"/>
    </row>
    <row r="728" spans="1:42" ht="7.5" customHeight="1">
      <c r="A728" s="2433"/>
      <c r="B728" s="1695"/>
      <c r="C728" s="1696"/>
      <c r="D728" s="1696"/>
      <c r="E728" s="1879"/>
      <c r="F728" s="1695"/>
      <c r="G728" s="1745"/>
      <c r="H728" s="1745"/>
      <c r="I728" s="1745"/>
      <c r="J728" s="1745"/>
      <c r="K728" s="1695"/>
      <c r="L728" s="1745"/>
      <c r="M728" s="1699"/>
      <c r="N728" s="1695"/>
      <c r="O728" s="1695"/>
      <c r="P728" s="1745"/>
      <c r="Q728" s="1745"/>
      <c r="R728" s="1745"/>
      <c r="S728" s="1745"/>
      <c r="T728" s="1745"/>
      <c r="U728" s="1699"/>
      <c r="V728" s="1699"/>
      <c r="W728" s="1695"/>
      <c r="X728" s="1695"/>
      <c r="Y728" s="1695"/>
      <c r="Z728" s="1695"/>
      <c r="AA728" s="1695"/>
      <c r="AB728" s="1699"/>
      <c r="AC728" s="1695"/>
      <c r="AD728" s="1695"/>
      <c r="AE728" s="1695"/>
      <c r="AF728" s="1695"/>
      <c r="AG728" s="1695"/>
      <c r="AH728" s="1699"/>
      <c r="AI728" s="1695"/>
      <c r="AJ728" s="1695"/>
      <c r="AK728" s="1695"/>
      <c r="AL728" s="1695"/>
      <c r="AM728" s="1695"/>
      <c r="AN728" s="1695"/>
      <c r="AO728" s="1699"/>
      <c r="AP728" s="1729"/>
    </row>
    <row r="729" spans="1:42" ht="15.75" thickBot="1">
      <c r="A729" s="2433"/>
      <c r="B729" s="1695"/>
      <c r="C729" s="1696"/>
      <c r="D729" s="1696"/>
      <c r="E729" s="1879"/>
      <c r="F729" s="1695"/>
      <c r="G729" s="1745"/>
      <c r="H729" s="1745"/>
      <c r="I729" s="1745"/>
      <c r="J729" s="1745"/>
      <c r="K729" s="1695"/>
      <c r="L729" s="1745"/>
      <c r="M729" s="1699"/>
      <c r="N729" s="1695"/>
      <c r="O729" s="1695"/>
      <c r="P729" s="1745"/>
      <c r="Q729" s="1745"/>
      <c r="R729" s="1745"/>
      <c r="S729" s="1745"/>
      <c r="T729" s="1745"/>
      <c r="U729" s="1699"/>
      <c r="V729" s="1699"/>
      <c r="W729" s="1695"/>
      <c r="X729" s="1695"/>
      <c r="Y729" s="1695"/>
      <c r="Z729" s="1695"/>
      <c r="AA729" s="1695"/>
      <c r="AB729" s="1699"/>
      <c r="AC729" s="1695"/>
      <c r="AD729" s="1695"/>
      <c r="AE729" s="1695"/>
      <c r="AF729" s="1695"/>
      <c r="AG729" s="1695"/>
      <c r="AH729" s="1699"/>
      <c r="AI729" s="1695"/>
      <c r="AJ729" s="1695"/>
      <c r="AK729" s="1695"/>
      <c r="AL729" s="1695"/>
      <c r="AM729" s="1695"/>
      <c r="AN729" s="1695"/>
      <c r="AO729" s="1699"/>
      <c r="AP729" s="1729"/>
    </row>
    <row r="730" spans="1:42" ht="19.5" thickBot="1">
      <c r="A730" s="1746"/>
      <c r="B730" s="1715"/>
      <c r="C730" s="1716"/>
      <c r="D730" s="1716"/>
      <c r="E730" s="2010"/>
      <c r="F730" s="1715"/>
      <c r="G730" s="1717"/>
      <c r="H730" s="1717"/>
      <c r="I730" s="1717"/>
      <c r="J730" s="1717"/>
      <c r="K730" s="1715"/>
      <c r="L730" s="1717"/>
      <c r="M730" s="1718"/>
      <c r="N730" s="1715"/>
      <c r="O730" s="1715"/>
      <c r="P730" s="1717"/>
      <c r="Q730" s="1717"/>
      <c r="R730" s="1717"/>
      <c r="S730" s="1717"/>
      <c r="T730" s="1717"/>
      <c r="U730" s="1718"/>
      <c r="V730" s="1718"/>
      <c r="W730" s="1715"/>
      <c r="X730" s="1715"/>
      <c r="Y730" s="1715"/>
      <c r="Z730" s="1715"/>
      <c r="AA730" s="1715"/>
      <c r="AB730" s="1718"/>
      <c r="AC730" s="1715"/>
      <c r="AD730" s="1715"/>
      <c r="AE730" s="1715"/>
      <c r="AF730" s="1715"/>
      <c r="AG730" s="1715"/>
      <c r="AH730" s="1718"/>
      <c r="AI730" s="1715"/>
      <c r="AJ730" s="1715"/>
      <c r="AK730" s="1715"/>
      <c r="AL730" s="1715"/>
      <c r="AM730" s="1715"/>
      <c r="AN730" s="1715"/>
      <c r="AO730" s="1718"/>
      <c r="AP730" s="1719"/>
    </row>
    <row r="731" spans="1:42">
      <c r="A731" s="2432" t="s">
        <v>1364</v>
      </c>
      <c r="B731" s="1739" t="s">
        <v>1562</v>
      </c>
      <c r="C731" s="1721" t="s">
        <v>2584</v>
      </c>
      <c r="D731" s="1733" t="s">
        <v>1805</v>
      </c>
      <c r="E731" s="1845">
        <f>AH731</f>
        <v>0.80852951365419035</v>
      </c>
      <c r="F731" s="1854"/>
      <c r="G731" s="1736"/>
      <c r="H731" s="1724">
        <f>E731*$G$734</f>
        <v>47.116677080186925</v>
      </c>
      <c r="I731" s="1724"/>
      <c r="J731" s="1726"/>
      <c r="K731" s="2426">
        <v>0.25</v>
      </c>
      <c r="L731" s="2000">
        <f>((E731*$G$734)+($E$733*$G$734))*(1+$K$731)</f>
        <v>67.153622497225726</v>
      </c>
      <c r="M731" s="1699"/>
      <c r="N731" s="1695"/>
      <c r="O731" s="1695"/>
      <c r="P731" s="1745"/>
      <c r="Q731" s="1745"/>
      <c r="R731" s="1745"/>
      <c r="S731" s="1745"/>
      <c r="T731" s="1805"/>
      <c r="U731" s="1733" t="s">
        <v>1562</v>
      </c>
      <c r="V731" s="1699"/>
      <c r="W731" s="1695"/>
      <c r="X731" s="1695"/>
      <c r="Y731" s="1695"/>
      <c r="Z731" s="1695"/>
      <c r="AA731" s="1695"/>
      <c r="AB731" s="1699"/>
      <c r="AC731" s="1695"/>
      <c r="AD731" s="1695"/>
      <c r="AE731" s="1695"/>
      <c r="AF731" s="1695"/>
      <c r="AG731" s="1695"/>
      <c r="AH731" s="2003">
        <v>0.80852951365419035</v>
      </c>
      <c r="AI731" s="2004">
        <v>6.2708322291948587E-2</v>
      </c>
      <c r="AJ731" s="2004">
        <v>84</v>
      </c>
      <c r="AK731" s="1735"/>
      <c r="AL731" s="1735"/>
      <c r="AM731" s="1735"/>
      <c r="AN731" s="1747"/>
      <c r="AO731" s="1699"/>
      <c r="AP731" s="1758">
        <v>52.4</v>
      </c>
    </row>
    <row r="732" spans="1:42">
      <c r="A732" s="2433"/>
      <c r="B732" s="1739" t="s">
        <v>1563</v>
      </c>
      <c r="C732" s="1721" t="s">
        <v>2584</v>
      </c>
      <c r="D732" s="1733" t="s">
        <v>1805</v>
      </c>
      <c r="E732" s="2009">
        <f>AH732</f>
        <v>1.2803677828651356</v>
      </c>
      <c r="F732" s="1789"/>
      <c r="G732" s="1947"/>
      <c r="H732" s="1724">
        <f>E732*$G$734</f>
        <v>74.612830268226091</v>
      </c>
      <c r="I732" s="1736"/>
      <c r="J732" s="1726"/>
      <c r="K732" s="2445"/>
      <c r="L732" s="2000">
        <f>((E732*$G$734)+($E$733*$G$734)+I735)*(1+$K$731)</f>
        <v>119.80506398227469</v>
      </c>
      <c r="M732" s="1699"/>
      <c r="N732" s="1695"/>
      <c r="O732" s="1695"/>
      <c r="P732" s="1745"/>
      <c r="Q732" s="1745"/>
      <c r="R732" s="1745"/>
      <c r="S732" s="1745"/>
      <c r="T732" s="1805"/>
      <c r="U732" s="1733" t="s">
        <v>1563</v>
      </c>
      <c r="V732" s="1699"/>
      <c r="W732" s="1695"/>
      <c r="X732" s="1695"/>
      <c r="Y732" s="1695"/>
      <c r="Z732" s="1695"/>
      <c r="AA732" s="1695"/>
      <c r="AB732" s="1699"/>
      <c r="AC732" s="1695"/>
      <c r="AD732" s="1695"/>
      <c r="AE732" s="1695"/>
      <c r="AF732" s="1695"/>
      <c r="AG732" s="1695"/>
      <c r="AH732" s="2003">
        <v>1.2803677828651356</v>
      </c>
      <c r="AI732" s="2004">
        <v>0.1112092977655222</v>
      </c>
      <c r="AJ732" s="2004">
        <v>85</v>
      </c>
      <c r="AK732" s="1735"/>
      <c r="AL732" s="1735"/>
      <c r="AM732" s="1735"/>
      <c r="AN732" s="1747"/>
      <c r="AO732" s="1699"/>
      <c r="AP732" s="1758">
        <v>52.4</v>
      </c>
    </row>
    <row r="733" spans="1:42">
      <c r="A733" s="2433"/>
      <c r="B733" s="1739" t="s">
        <v>1911</v>
      </c>
      <c r="C733" s="1721" t="s">
        <v>2584</v>
      </c>
      <c r="D733" s="1733" t="s">
        <v>1805</v>
      </c>
      <c r="E733" s="1748">
        <f>AH733</f>
        <v>0.11336377937908999</v>
      </c>
      <c r="F733" s="1789"/>
      <c r="G733" s="1947"/>
      <c r="H733" s="1724">
        <f>E733*$G$734</f>
        <v>6.6062209175936548</v>
      </c>
      <c r="I733" s="1736"/>
      <c r="J733" s="1842"/>
      <c r="K733" s="2445"/>
      <c r="L733" s="1795"/>
      <c r="M733" s="1699"/>
      <c r="N733" s="1695"/>
      <c r="O733" s="1695"/>
      <c r="P733" s="1745"/>
      <c r="Q733" s="1745"/>
      <c r="R733" s="1745"/>
      <c r="S733" s="1745"/>
      <c r="T733" s="1805"/>
      <c r="U733" s="1733" t="s">
        <v>1561</v>
      </c>
      <c r="V733" s="1699"/>
      <c r="W733" s="1695"/>
      <c r="X733" s="1695"/>
      <c r="Y733" s="1695"/>
      <c r="Z733" s="1695"/>
      <c r="AA733" s="1695"/>
      <c r="AB733" s="1699"/>
      <c r="AC733" s="1695"/>
      <c r="AD733" s="1695"/>
      <c r="AE733" s="1695"/>
      <c r="AF733" s="1695"/>
      <c r="AG733" s="1695"/>
      <c r="AH733" s="2003">
        <v>0.11336377937908999</v>
      </c>
      <c r="AI733" s="2004">
        <v>2.1675320580773701E-2</v>
      </c>
      <c r="AJ733" s="2004">
        <v>70</v>
      </c>
      <c r="AK733" s="1735"/>
      <c r="AL733" s="1735"/>
      <c r="AM733" s="1735"/>
      <c r="AN733" s="1747"/>
      <c r="AO733" s="1699"/>
      <c r="AP733" s="1758">
        <v>52.4</v>
      </c>
    </row>
    <row r="734" spans="1:42">
      <c r="A734" s="2433"/>
      <c r="B734" s="1739" t="s">
        <v>1811</v>
      </c>
      <c r="C734" s="1721" t="s">
        <v>2584</v>
      </c>
      <c r="D734" s="1733" t="s">
        <v>1440</v>
      </c>
      <c r="E734" s="1734"/>
      <c r="F734" s="1789"/>
      <c r="G734" s="1947">
        <f>AP731*BQ45</f>
        <v>58.274529605283924</v>
      </c>
      <c r="H734" s="1867"/>
      <c r="I734" s="1736"/>
      <c r="J734" s="1736"/>
      <c r="K734" s="2427"/>
      <c r="L734" s="1736"/>
      <c r="M734" s="1699"/>
      <c r="N734" s="1695"/>
      <c r="O734" s="1695"/>
      <c r="P734" s="1745"/>
      <c r="Q734" s="1745"/>
      <c r="R734" s="1745"/>
      <c r="S734" s="1745"/>
      <c r="T734" s="1745"/>
      <c r="U734" s="1699"/>
      <c r="V734" s="1699"/>
      <c r="W734" s="1695"/>
      <c r="X734" s="1695"/>
      <c r="Y734" s="1695"/>
      <c r="Z734" s="1695"/>
      <c r="AA734" s="1695"/>
      <c r="AB734" s="1699"/>
      <c r="AC734" s="1695"/>
      <c r="AD734" s="1695"/>
      <c r="AE734" s="1695"/>
      <c r="AF734" s="1695"/>
      <c r="AG734" s="1695"/>
      <c r="AH734" s="1699"/>
      <c r="AI734" s="1695"/>
      <c r="AJ734" s="1695"/>
      <c r="AK734" s="1695"/>
      <c r="AL734" s="1695"/>
      <c r="AM734" s="1695"/>
      <c r="AN734" s="1695"/>
      <c r="AO734" s="1699"/>
      <c r="AP734" s="1729"/>
    </row>
    <row r="735" spans="1:42">
      <c r="A735" s="2433"/>
      <c r="B735" s="1956" t="s">
        <v>1924</v>
      </c>
      <c r="C735" s="1721" t="s">
        <v>2584</v>
      </c>
      <c r="D735" s="1733" t="s">
        <v>1916</v>
      </c>
      <c r="E735" s="1734"/>
      <c r="F735" s="1789"/>
      <c r="G735" s="1736"/>
      <c r="H735" s="1736"/>
      <c r="I735" s="1736">
        <f>AVERAGE($Y$837:$Y$840)/50</f>
        <v>14.625</v>
      </c>
      <c r="J735" s="1736"/>
      <c r="K735" s="1736"/>
      <c r="L735" s="1842"/>
      <c r="M735" s="1699"/>
      <c r="N735" s="1695"/>
      <c r="O735" s="1695"/>
      <c r="P735" s="1745"/>
      <c r="Q735" s="1745"/>
      <c r="R735" s="1745"/>
      <c r="S735" s="1745"/>
      <c r="T735" s="1745"/>
      <c r="U735" s="1699"/>
      <c r="V735" s="1699"/>
      <c r="W735" s="1695"/>
      <c r="X735" s="1695"/>
      <c r="Y735" s="1695"/>
      <c r="Z735" s="1695"/>
      <c r="AA735" s="1695"/>
      <c r="AB735" s="1699"/>
      <c r="AC735" s="1695"/>
      <c r="AD735" s="1695"/>
      <c r="AE735" s="1695"/>
      <c r="AF735" s="1695"/>
      <c r="AG735" s="1695"/>
      <c r="AH735" s="1699"/>
      <c r="AI735" s="1695"/>
      <c r="AJ735" s="1695"/>
      <c r="AK735" s="1695"/>
      <c r="AL735" s="1695"/>
      <c r="AM735" s="1695"/>
      <c r="AN735" s="1695"/>
      <c r="AO735" s="1699"/>
      <c r="AP735" s="1729"/>
    </row>
    <row r="736" spans="1:42">
      <c r="A736" s="2433"/>
      <c r="B736" s="1695"/>
      <c r="C736" s="1696"/>
      <c r="D736" s="1696"/>
      <c r="E736" s="1695"/>
      <c r="F736" s="1695"/>
      <c r="G736" s="1745"/>
      <c r="H736" s="1745"/>
      <c r="I736" s="1745"/>
      <c r="J736" s="1745"/>
      <c r="K736" s="1695"/>
      <c r="L736" s="1745"/>
      <c r="M736" s="1699"/>
      <c r="N736" s="1695"/>
      <c r="O736" s="1695"/>
      <c r="P736" s="1745"/>
      <c r="Q736" s="1745"/>
      <c r="R736" s="1745"/>
      <c r="S736" s="1745"/>
      <c r="T736" s="1745"/>
      <c r="U736" s="1699"/>
      <c r="V736" s="1699"/>
      <c r="W736" s="1695"/>
      <c r="X736" s="1695"/>
      <c r="Y736" s="1695"/>
      <c r="Z736" s="1695"/>
      <c r="AA736" s="1695"/>
      <c r="AB736" s="1699"/>
      <c r="AC736" s="1695"/>
      <c r="AD736" s="1695"/>
      <c r="AE736" s="1695"/>
      <c r="AF736" s="1695"/>
      <c r="AG736" s="1695"/>
      <c r="AH736" s="1699"/>
      <c r="AI736" s="1695"/>
      <c r="AJ736" s="1695"/>
      <c r="AK736" s="1695"/>
      <c r="AL736" s="1695"/>
      <c r="AM736" s="1695"/>
      <c r="AN736" s="1695"/>
      <c r="AO736" s="1699"/>
      <c r="AP736" s="1729"/>
    </row>
    <row r="737" spans="1:50">
      <c r="A737" s="2433"/>
      <c r="B737" s="1695"/>
      <c r="C737" s="1696"/>
      <c r="D737" s="1696"/>
      <c r="E737" s="1695"/>
      <c r="F737" s="1695"/>
      <c r="G737" s="1745"/>
      <c r="H737" s="1745"/>
      <c r="I737" s="1745"/>
      <c r="J737" s="1745"/>
      <c r="K737" s="1695"/>
      <c r="L737" s="1745"/>
      <c r="M737" s="1699"/>
      <c r="N737" s="1695"/>
      <c r="O737" s="1695"/>
      <c r="P737" s="1745"/>
      <c r="Q737" s="1745"/>
      <c r="R737" s="1745"/>
      <c r="S737" s="1745"/>
      <c r="T737" s="1745"/>
      <c r="U737" s="1699"/>
      <c r="V737" s="1699"/>
      <c r="W737" s="1695"/>
      <c r="X737" s="1695"/>
      <c r="Y737" s="1695"/>
      <c r="Z737" s="1695"/>
      <c r="AA737" s="1695"/>
      <c r="AB737" s="1699"/>
      <c r="AC737" s="1695"/>
      <c r="AD737" s="1695"/>
      <c r="AE737" s="1695"/>
      <c r="AF737" s="1695"/>
      <c r="AG737" s="1695"/>
      <c r="AH737" s="1699"/>
      <c r="AI737" s="1695"/>
      <c r="AJ737" s="1695"/>
      <c r="AK737" s="1695"/>
      <c r="AL737" s="1695"/>
      <c r="AM737" s="1695"/>
      <c r="AN737" s="1695"/>
      <c r="AO737" s="1699"/>
      <c r="AP737" s="1729"/>
    </row>
    <row r="738" spans="1:50">
      <c r="A738" s="2433"/>
      <c r="B738" s="1695"/>
      <c r="C738" s="1696"/>
      <c r="D738" s="1696"/>
      <c r="E738" s="1695"/>
      <c r="F738" s="1695"/>
      <c r="G738" s="1745"/>
      <c r="H738" s="1745"/>
      <c r="I738" s="1745"/>
      <c r="J738" s="1745"/>
      <c r="K738" s="1695"/>
      <c r="L738" s="1745"/>
      <c r="M738" s="1699"/>
      <c r="N738" s="1695"/>
      <c r="O738" s="1695"/>
      <c r="P738" s="1745"/>
      <c r="Q738" s="1745"/>
      <c r="R738" s="1745"/>
      <c r="S738" s="1745"/>
      <c r="T738" s="1745"/>
      <c r="U738" s="1699"/>
      <c r="V738" s="1699"/>
      <c r="W738" s="1695"/>
      <c r="X738" s="1695"/>
      <c r="Y738" s="1695"/>
      <c r="Z738" s="1695"/>
      <c r="AA738" s="1695"/>
      <c r="AB738" s="1699"/>
      <c r="AC738" s="1695"/>
      <c r="AD738" s="1695"/>
      <c r="AE738" s="1695"/>
      <c r="AF738" s="1695"/>
      <c r="AG738" s="1695"/>
      <c r="AH738" s="1699"/>
      <c r="AI738" s="1695"/>
      <c r="AJ738" s="1695"/>
      <c r="AK738" s="1695"/>
      <c r="AL738" s="1695"/>
      <c r="AM738" s="1695"/>
      <c r="AN738" s="1695"/>
      <c r="AO738" s="1699"/>
      <c r="AP738" s="1729"/>
    </row>
    <row r="739" spans="1:50">
      <c r="A739" s="2433"/>
      <c r="B739" s="1695"/>
      <c r="C739" s="1696"/>
      <c r="D739" s="1696"/>
      <c r="E739" s="1695"/>
      <c r="F739" s="1695"/>
      <c r="G739" s="1745"/>
      <c r="H739" s="1745"/>
      <c r="I739" s="1745"/>
      <c r="J739" s="1745"/>
      <c r="K739" s="1695"/>
      <c r="L739" s="1745"/>
      <c r="M739" s="1699"/>
      <c r="N739" s="1695"/>
      <c r="O739" s="1695"/>
      <c r="P739" s="1745"/>
      <c r="Q739" s="1745"/>
      <c r="R739" s="1745"/>
      <c r="S739" s="1745"/>
      <c r="T739" s="1745"/>
      <c r="U739" s="1699"/>
      <c r="V739" s="1699"/>
      <c r="W739" s="1695"/>
      <c r="X739" s="1695"/>
      <c r="Y739" s="1695"/>
      <c r="Z739" s="1695"/>
      <c r="AA739" s="1695"/>
      <c r="AB739" s="1699"/>
      <c r="AC739" s="1695"/>
      <c r="AD739" s="1695"/>
      <c r="AE739" s="1695"/>
      <c r="AF739" s="1695"/>
      <c r="AG739" s="1695"/>
      <c r="AH739" s="1699"/>
      <c r="AI739" s="1695"/>
      <c r="AJ739" s="1695"/>
      <c r="AK739" s="1695"/>
      <c r="AL739" s="1695"/>
      <c r="AM739" s="1695"/>
      <c r="AN739" s="1695"/>
      <c r="AO739" s="1699"/>
      <c r="AP739" s="1729"/>
    </row>
    <row r="740" spans="1:50" ht="15.75" thickBot="1">
      <c r="A740" s="2433"/>
      <c r="B740" s="1695"/>
      <c r="C740" s="1696"/>
      <c r="D740" s="1696"/>
      <c r="E740" s="1695"/>
      <c r="F740" s="1695"/>
      <c r="G740" s="1745"/>
      <c r="H740" s="1745"/>
      <c r="I740" s="1745"/>
      <c r="J740" s="1745"/>
      <c r="K740" s="1695"/>
      <c r="L740" s="1745"/>
      <c r="M740" s="1699"/>
      <c r="N740" s="1695"/>
      <c r="O740" s="1695"/>
      <c r="P740" s="1745"/>
      <c r="Q740" s="1745"/>
      <c r="R740" s="1745"/>
      <c r="S740" s="1745"/>
      <c r="T740" s="1745"/>
      <c r="U740" s="1699"/>
      <c r="V740" s="1699"/>
      <c r="W740" s="1695"/>
      <c r="X740" s="1695"/>
      <c r="Y740" s="1695"/>
      <c r="Z740" s="1695"/>
      <c r="AA740" s="1695"/>
      <c r="AB740" s="1699"/>
      <c r="AC740" s="1695"/>
      <c r="AD740" s="1695"/>
      <c r="AE740" s="1695"/>
      <c r="AF740" s="1695"/>
      <c r="AG740" s="1695"/>
      <c r="AH740" s="1699"/>
      <c r="AI740" s="1695"/>
      <c r="AJ740" s="1695"/>
      <c r="AK740" s="1695"/>
      <c r="AL740" s="1695"/>
      <c r="AM740" s="1695"/>
      <c r="AN740" s="1695"/>
      <c r="AO740" s="1699"/>
      <c r="AP740" s="1729"/>
    </row>
    <row r="741" spans="1:50" ht="24" thickBot="1">
      <c r="A741" s="1714" t="s">
        <v>1294</v>
      </c>
      <c r="B741" s="1715"/>
      <c r="C741" s="1716"/>
      <c r="D741" s="1716"/>
      <c r="E741" s="1715"/>
      <c r="F741" s="1715"/>
      <c r="G741" s="1717"/>
      <c r="H741" s="1717"/>
      <c r="I741" s="1717"/>
      <c r="J741" s="1717"/>
      <c r="K741" s="1715"/>
      <c r="L741" s="1717"/>
      <c r="M741" s="1718"/>
      <c r="N741" s="1715"/>
      <c r="O741" s="1715"/>
      <c r="P741" s="1717"/>
      <c r="Q741" s="1717"/>
      <c r="R741" s="1717"/>
      <c r="S741" s="1717"/>
      <c r="T741" s="1717"/>
      <c r="U741" s="1718"/>
      <c r="V741" s="1718"/>
      <c r="W741" s="1715"/>
      <c r="X741" s="1715"/>
      <c r="Y741" s="1715"/>
      <c r="Z741" s="1715"/>
      <c r="AA741" s="1715"/>
      <c r="AB741" s="1718"/>
      <c r="AC741" s="1715"/>
      <c r="AD741" s="1715"/>
      <c r="AE741" s="1715"/>
      <c r="AF741" s="1715"/>
      <c r="AG741" s="1715"/>
      <c r="AH741" s="1718"/>
      <c r="AI741" s="1715"/>
      <c r="AJ741" s="1715"/>
      <c r="AK741" s="1715"/>
      <c r="AL741" s="1715"/>
      <c r="AM741" s="1715"/>
      <c r="AN741" s="1715"/>
      <c r="AO741" s="1718"/>
      <c r="AP741" s="1719"/>
      <c r="AR741" s="1687" t="s">
        <v>1918</v>
      </c>
      <c r="AX741" s="1687" t="s">
        <v>2053</v>
      </c>
    </row>
    <row r="742" spans="1:50">
      <c r="A742" s="2423" t="s">
        <v>1376</v>
      </c>
      <c r="B742" s="1844" t="s">
        <v>1913</v>
      </c>
      <c r="C742" s="1721" t="s">
        <v>1915</v>
      </c>
      <c r="D742" s="1721" t="s">
        <v>1805</v>
      </c>
      <c r="E742" s="1845">
        <f>AH742</f>
        <v>1.256210044363961</v>
      </c>
      <c r="F742" s="1854"/>
      <c r="G742" s="1724"/>
      <c r="H742" s="1724">
        <f>E742*$G$744</f>
        <v>72.718559530390166</v>
      </c>
      <c r="I742" s="1724"/>
      <c r="J742" s="1724"/>
      <c r="K742" s="2426">
        <v>0.34</v>
      </c>
      <c r="L742" s="2461">
        <f>((E742*G744)+(E743*G744)+I745)*(1+K742)</f>
        <v>122.25377657444366</v>
      </c>
      <c r="M742" s="1725" t="s">
        <v>1919</v>
      </c>
      <c r="N742" s="1723"/>
      <c r="O742" s="2011">
        <f>AVERAGE(V753:V758)</f>
        <v>0.75218875120024631</v>
      </c>
      <c r="P742" s="1724"/>
      <c r="Q742" s="1726">
        <f>O742*P744</f>
        <v>43.833445650580295</v>
      </c>
      <c r="R742" s="1726"/>
      <c r="S742" s="1726"/>
      <c r="T742" s="2000">
        <f>Q742</f>
        <v>43.833445650580295</v>
      </c>
      <c r="U742" s="1733" t="s">
        <v>1564</v>
      </c>
      <c r="V742" s="1699"/>
      <c r="W742" s="1695"/>
      <c r="X742" s="1695"/>
      <c r="Y742" s="1695"/>
      <c r="Z742" s="1695"/>
      <c r="AA742" s="1695"/>
      <c r="AB742" s="1699"/>
      <c r="AC742" s="1695"/>
      <c r="AD742" s="1695"/>
      <c r="AE742" s="1695"/>
      <c r="AF742" s="1695"/>
      <c r="AG742" s="1695"/>
      <c r="AH742" s="2003">
        <v>1.256210044363961</v>
      </c>
      <c r="AI742" s="2004">
        <v>0.11806202555910809</v>
      </c>
      <c r="AJ742" s="2004">
        <v>85</v>
      </c>
      <c r="AK742" s="1735"/>
      <c r="AL742" s="1735"/>
      <c r="AM742" s="1735"/>
      <c r="AN742" s="1747"/>
      <c r="AO742" s="1699"/>
      <c r="AP742" s="1729"/>
      <c r="AQ742" s="1687" t="s">
        <v>1837</v>
      </c>
      <c r="AR742" s="1687">
        <f>AVERAGE(AO744:AO752)</f>
        <v>1.882222222222222</v>
      </c>
      <c r="AV742" s="1687">
        <v>172.21</v>
      </c>
      <c r="AW742" s="1687">
        <v>237.25</v>
      </c>
      <c r="AX742" s="1687">
        <f>AW742/AV742</f>
        <v>1.377678415887579</v>
      </c>
    </row>
    <row r="743" spans="1:50">
      <c r="A743" s="2424"/>
      <c r="B743" s="1739" t="s">
        <v>1914</v>
      </c>
      <c r="C743" s="1733" t="s">
        <v>1915</v>
      </c>
      <c r="D743" s="1733" t="s">
        <v>1805</v>
      </c>
      <c r="E743" s="1748">
        <f>AH743</f>
        <v>0.11336377937908999</v>
      </c>
      <c r="F743" s="1789"/>
      <c r="G743" s="1736"/>
      <c r="H743" s="1724">
        <f>E743*$G$744</f>
        <v>6.5623187589956453</v>
      </c>
      <c r="I743" s="1736"/>
      <c r="J743" s="1842"/>
      <c r="K743" s="2445"/>
      <c r="L743" s="2461"/>
      <c r="M743" s="1725" t="s">
        <v>1920</v>
      </c>
      <c r="N743" s="1723"/>
      <c r="O743" s="2011">
        <f>AVERAGE(AB753:AB755)</f>
        <v>0.33333333333333331</v>
      </c>
      <c r="P743" s="1724"/>
      <c r="Q743" s="1726">
        <f>O743*P744</f>
        <v>19.424843201761306</v>
      </c>
      <c r="R743" s="1726"/>
      <c r="S743" s="1726"/>
      <c r="T743" s="2000">
        <f t="shared" ref="T743:T745" si="70">Q743</f>
        <v>19.424843201761306</v>
      </c>
      <c r="U743" s="1733" t="s">
        <v>1561</v>
      </c>
      <c r="V743" s="1699"/>
      <c r="W743" s="1695"/>
      <c r="X743" s="1695"/>
      <c r="Y743" s="1695"/>
      <c r="Z743" s="1695"/>
      <c r="AA743" s="1695"/>
      <c r="AB743" s="1699"/>
      <c r="AC743" s="1695"/>
      <c r="AD743" s="1695"/>
      <c r="AE743" s="1695"/>
      <c r="AF743" s="1695"/>
      <c r="AG743" s="1695"/>
      <c r="AH743" s="2003">
        <v>0.11336377937908999</v>
      </c>
      <c r="AI743" s="2004">
        <v>2.1675320580773701E-2</v>
      </c>
      <c r="AJ743" s="2004">
        <v>70</v>
      </c>
      <c r="AK743" s="1735"/>
      <c r="AL743" s="1735"/>
      <c r="AM743" s="1735"/>
      <c r="AN743" s="1747"/>
      <c r="AO743" s="1699"/>
      <c r="AP743" s="1729"/>
      <c r="AQ743" s="1687" t="s">
        <v>1917</v>
      </c>
      <c r="AR743" s="1687">
        <f>STDEV(AO744:AO752)</f>
        <v>0.55996378851176243</v>
      </c>
      <c r="AV743" s="1687">
        <v>187.17</v>
      </c>
      <c r="AW743" s="1687">
        <v>256.14</v>
      </c>
      <c r="AX743" s="1687">
        <f t="shared" ref="AX743:AX755" si="71">AW743/AV743</f>
        <v>1.368488539830101</v>
      </c>
    </row>
    <row r="744" spans="1:50">
      <c r="A744" s="2424"/>
      <c r="B744" s="1739" t="s">
        <v>1811</v>
      </c>
      <c r="C744" s="1733" t="s">
        <v>1915</v>
      </c>
      <c r="D744" s="1733" t="s">
        <v>1916</v>
      </c>
      <c r="E744" s="1734"/>
      <c r="F744" s="1789"/>
      <c r="G744" s="1736">
        <f>AVERAGE(W753:W758)*BS30</f>
        <v>57.887261653928839</v>
      </c>
      <c r="H744" s="1736"/>
      <c r="I744" s="1736"/>
      <c r="J744" s="1842"/>
      <c r="K744" s="2445"/>
      <c r="L744" s="2461"/>
      <c r="M744" s="1757" t="s">
        <v>1440</v>
      </c>
      <c r="N744" s="1735"/>
      <c r="O744" s="1861">
        <f>AR742</f>
        <v>1.882222222222222</v>
      </c>
      <c r="P744" s="1738">
        <f>AP744*BQ45</f>
        <v>58.274529605283924</v>
      </c>
      <c r="Q744" s="1737">
        <f>O744*P744</f>
        <v>109.68561461261217</v>
      </c>
      <c r="R744" s="1842"/>
      <c r="S744" s="1842"/>
      <c r="T744" s="2000">
        <f t="shared" si="70"/>
        <v>109.68561461261217</v>
      </c>
      <c r="U744" s="1733" t="s">
        <v>1682</v>
      </c>
      <c r="V744" s="1699"/>
      <c r="W744" s="1695"/>
      <c r="X744" s="1695"/>
      <c r="Y744" s="1695"/>
      <c r="Z744" s="1695"/>
      <c r="AA744" s="1695"/>
      <c r="AB744" s="1699"/>
      <c r="AC744" s="1695"/>
      <c r="AD744" s="1695"/>
      <c r="AE744" s="1695"/>
      <c r="AF744" s="1695"/>
      <c r="AG744" s="1695"/>
      <c r="AH744" s="1699"/>
      <c r="AI744" s="1695"/>
      <c r="AJ744" s="1695"/>
      <c r="AK744" s="1695"/>
      <c r="AL744" s="1695"/>
      <c r="AM744" s="1695"/>
      <c r="AN744" s="1695"/>
      <c r="AO744" s="1757">
        <v>1.4039999999999999</v>
      </c>
      <c r="AP744" s="1758">
        <v>52.4</v>
      </c>
      <c r="AV744" s="1687">
        <v>177.24</v>
      </c>
      <c r="AW744" s="1687">
        <v>243.39</v>
      </c>
      <c r="AX744" s="1687">
        <f t="shared" si="71"/>
        <v>1.3732227488151658</v>
      </c>
    </row>
    <row r="745" spans="1:50">
      <c r="A745" s="2424"/>
      <c r="B745" s="1739" t="s">
        <v>1923</v>
      </c>
      <c r="C745" s="1733" t="s">
        <v>1915</v>
      </c>
      <c r="D745" s="1733" t="s">
        <v>1916</v>
      </c>
      <c r="E745" s="1734"/>
      <c r="F745" s="1789"/>
      <c r="G745" s="1736"/>
      <c r="H745" s="1724"/>
      <c r="I745" s="1724">
        <f>AVERAGE(AA753:AA758)+AVERAGE(Z753:Z758)</f>
        <v>11.953283333333331</v>
      </c>
      <c r="J745" s="1842"/>
      <c r="K745" s="2427"/>
      <c r="L745" s="2462"/>
      <c r="M745" s="1743" t="s">
        <v>1942</v>
      </c>
      <c r="N745" s="1782"/>
      <c r="O745" s="1870" t="s">
        <v>1949</v>
      </c>
      <c r="P745" s="1738">
        <v>67.88</v>
      </c>
      <c r="Q745" s="1871" t="s">
        <v>2048</v>
      </c>
      <c r="R745" s="1842"/>
      <c r="S745" s="1842"/>
      <c r="T745" s="2012" t="str">
        <f t="shared" si="70"/>
        <v>$24.44 - $40.05</v>
      </c>
      <c r="U745" s="1733" t="s">
        <v>1684</v>
      </c>
      <c r="V745" s="1699"/>
      <c r="W745" s="1695"/>
      <c r="X745" s="1695"/>
      <c r="Y745" s="1695"/>
      <c r="Z745" s="1695"/>
      <c r="AA745" s="1695"/>
      <c r="AB745" s="1699"/>
      <c r="AC745" s="1695"/>
      <c r="AD745" s="1695"/>
      <c r="AE745" s="1695"/>
      <c r="AF745" s="1695"/>
      <c r="AG745" s="1695"/>
      <c r="AH745" s="1699"/>
      <c r="AI745" s="1695"/>
      <c r="AJ745" s="1695"/>
      <c r="AK745" s="1695"/>
      <c r="AL745" s="1695"/>
      <c r="AM745" s="1695"/>
      <c r="AN745" s="1695"/>
      <c r="AO745" s="1757">
        <v>1.4810000000000001</v>
      </c>
      <c r="AP745" s="1758">
        <v>52.4</v>
      </c>
      <c r="AV745" s="1687">
        <v>185.17</v>
      </c>
      <c r="AW745" s="1687">
        <v>254.87</v>
      </c>
      <c r="AX745" s="1687">
        <f t="shared" si="71"/>
        <v>1.3764108656909868</v>
      </c>
    </row>
    <row r="746" spans="1:50">
      <c r="A746" s="2424"/>
      <c r="B746" s="1695"/>
      <c r="C746" s="1696"/>
      <c r="D746" s="1696"/>
      <c r="E746" s="1695"/>
      <c r="F746" s="1695"/>
      <c r="G746" s="1745"/>
      <c r="H746" s="1745"/>
      <c r="I746" s="1745"/>
      <c r="J746" s="1745"/>
      <c r="K746" s="1879"/>
      <c r="L746" s="2013"/>
      <c r="M746" s="1699"/>
      <c r="N746" s="1695"/>
      <c r="O746" s="1806"/>
      <c r="P746" s="1745"/>
      <c r="Q746" s="1745"/>
      <c r="R746" s="1745"/>
      <c r="S746" s="1745"/>
      <c r="T746" s="1805"/>
      <c r="U746" s="1733" t="s">
        <v>1685</v>
      </c>
      <c r="V746" s="1699"/>
      <c r="W746" s="1695"/>
      <c r="X746" s="1695"/>
      <c r="Y746" s="1695"/>
      <c r="Z746" s="1695"/>
      <c r="AA746" s="1695"/>
      <c r="AB746" s="1699"/>
      <c r="AC746" s="1695"/>
      <c r="AD746" s="1695"/>
      <c r="AE746" s="1695"/>
      <c r="AF746" s="1695"/>
      <c r="AG746" s="1695"/>
      <c r="AH746" s="1699"/>
      <c r="AI746" s="1695"/>
      <c r="AJ746" s="1695"/>
      <c r="AK746" s="1695"/>
      <c r="AL746" s="1695"/>
      <c r="AM746" s="1695"/>
      <c r="AN746" s="1695"/>
      <c r="AO746" s="1757">
        <v>1.4039999999999999</v>
      </c>
      <c r="AP746" s="1758">
        <v>52.4</v>
      </c>
      <c r="AV746" s="1687">
        <v>198.98</v>
      </c>
      <c r="AW746" s="1687">
        <v>272.52</v>
      </c>
      <c r="AX746" s="1687">
        <f t="shared" si="71"/>
        <v>1.3695848829028043</v>
      </c>
    </row>
    <row r="747" spans="1:50">
      <c r="A747" s="2424"/>
      <c r="B747" s="1695"/>
      <c r="C747" s="1696"/>
      <c r="D747" s="1696"/>
      <c r="E747" s="1695"/>
      <c r="F747" s="1695"/>
      <c r="G747" s="1745"/>
      <c r="H747" s="1745"/>
      <c r="I747" s="1745"/>
      <c r="J747" s="1745"/>
      <c r="K747" s="1879"/>
      <c r="L747" s="2013"/>
      <c r="M747" s="1699"/>
      <c r="N747" s="1695"/>
      <c r="O747" s="1695"/>
      <c r="P747" s="1745"/>
      <c r="Q747" s="1745"/>
      <c r="R747" s="1745"/>
      <c r="S747" s="1745"/>
      <c r="T747" s="1805"/>
      <c r="U747" s="1733" t="s">
        <v>1683</v>
      </c>
      <c r="V747" s="1699"/>
      <c r="W747" s="1695"/>
      <c r="X747" s="1695"/>
      <c r="Y747" s="1695"/>
      <c r="Z747" s="1695"/>
      <c r="AA747" s="1695"/>
      <c r="AB747" s="1699"/>
      <c r="AC747" s="1695"/>
      <c r="AD747" s="1695"/>
      <c r="AE747" s="1695"/>
      <c r="AF747" s="1695"/>
      <c r="AG747" s="1695"/>
      <c r="AH747" s="1699"/>
      <c r="AI747" s="1695"/>
      <c r="AJ747" s="1695"/>
      <c r="AK747" s="1695"/>
      <c r="AL747" s="1695"/>
      <c r="AM747" s="1695"/>
      <c r="AN747" s="1695"/>
      <c r="AO747" s="1757">
        <v>1.5089999999999999</v>
      </c>
      <c r="AP747" s="1758">
        <v>52.4</v>
      </c>
      <c r="AV747" s="1687">
        <v>209.99</v>
      </c>
      <c r="AW747" s="1687">
        <v>289.02</v>
      </c>
      <c r="AX747" s="1687">
        <f t="shared" si="71"/>
        <v>1.3763512548216581</v>
      </c>
    </row>
    <row r="748" spans="1:50">
      <c r="A748" s="2424"/>
      <c r="B748" s="1695"/>
      <c r="C748" s="1696"/>
      <c r="D748" s="1696"/>
      <c r="E748" s="1695"/>
      <c r="F748" s="1695"/>
      <c r="G748" s="1745"/>
      <c r="H748" s="1745"/>
      <c r="I748" s="1745"/>
      <c r="J748" s="1745"/>
      <c r="K748" s="1879"/>
      <c r="L748" s="2013"/>
      <c r="M748" s="1699"/>
      <c r="N748" s="1695"/>
      <c r="O748" s="1695"/>
      <c r="P748" s="1745"/>
      <c r="Q748" s="1745"/>
      <c r="R748" s="1745"/>
      <c r="S748" s="1745"/>
      <c r="T748" s="1805"/>
      <c r="U748" s="1733" t="s">
        <v>1686</v>
      </c>
      <c r="V748" s="1699"/>
      <c r="W748" s="1695"/>
      <c r="X748" s="1695"/>
      <c r="Y748" s="1695"/>
      <c r="Z748" s="1695"/>
      <c r="AA748" s="1695"/>
      <c r="AB748" s="1699"/>
      <c r="AC748" s="1695"/>
      <c r="AD748" s="1695"/>
      <c r="AE748" s="1695"/>
      <c r="AF748" s="1695"/>
      <c r="AG748" s="1695"/>
      <c r="AH748" s="1699"/>
      <c r="AI748" s="1695"/>
      <c r="AJ748" s="1695"/>
      <c r="AK748" s="1695"/>
      <c r="AL748" s="1695"/>
      <c r="AM748" s="1695"/>
      <c r="AN748" s="1695"/>
      <c r="AO748" s="1757">
        <v>1.6</v>
      </c>
      <c r="AP748" s="1758">
        <v>52.4</v>
      </c>
      <c r="AV748" s="1687">
        <v>539.29</v>
      </c>
      <c r="AW748" s="1687">
        <v>679.66</v>
      </c>
      <c r="AX748" s="1687">
        <f t="shared" si="71"/>
        <v>1.260286673218491</v>
      </c>
    </row>
    <row r="749" spans="1:50">
      <c r="A749" s="2424"/>
      <c r="B749" s="1695"/>
      <c r="C749" s="1696"/>
      <c r="D749" s="1696"/>
      <c r="E749" s="1695"/>
      <c r="F749" s="1695"/>
      <c r="G749" s="1745"/>
      <c r="H749" s="1745"/>
      <c r="I749" s="1745"/>
      <c r="J749" s="1745"/>
      <c r="K749" s="1879"/>
      <c r="L749" s="2013"/>
      <c r="M749" s="1699"/>
      <c r="N749" s="1695"/>
      <c r="O749" s="1695"/>
      <c r="P749" s="1745"/>
      <c r="Q749" s="1745"/>
      <c r="R749" s="1745"/>
      <c r="S749" s="1745"/>
      <c r="T749" s="1805"/>
      <c r="U749" s="1733" t="s">
        <v>1690</v>
      </c>
      <c r="V749" s="1699"/>
      <c r="W749" s="1695"/>
      <c r="X749" s="1695"/>
      <c r="Y749" s="1695"/>
      <c r="Z749" s="1695"/>
      <c r="AA749" s="1695"/>
      <c r="AB749" s="1699"/>
      <c r="AC749" s="1695"/>
      <c r="AD749" s="1695"/>
      <c r="AE749" s="1695"/>
      <c r="AF749" s="1695"/>
      <c r="AG749" s="1695"/>
      <c r="AH749" s="1699"/>
      <c r="AI749" s="1695"/>
      <c r="AJ749" s="1695"/>
      <c r="AK749" s="1695"/>
      <c r="AL749" s="1695"/>
      <c r="AM749" s="1695"/>
      <c r="AN749" s="1695"/>
      <c r="AO749" s="1757">
        <v>1.702</v>
      </c>
      <c r="AP749" s="1758">
        <v>52.4</v>
      </c>
      <c r="AV749" s="1687">
        <v>557.04</v>
      </c>
      <c r="AW749" s="1687">
        <v>700.7</v>
      </c>
      <c r="AX749" s="1687">
        <f t="shared" si="71"/>
        <v>1.2578988941548186</v>
      </c>
    </row>
    <row r="750" spans="1:50">
      <c r="A750" s="2424"/>
      <c r="B750" s="1695"/>
      <c r="C750" s="1696"/>
      <c r="D750" s="1696"/>
      <c r="E750" s="1695"/>
      <c r="F750" s="1695"/>
      <c r="G750" s="1745"/>
      <c r="H750" s="1745"/>
      <c r="I750" s="1745"/>
      <c r="J750" s="1745"/>
      <c r="K750" s="1879"/>
      <c r="L750" s="2013"/>
      <c r="M750" s="1699"/>
      <c r="N750" s="1695"/>
      <c r="O750" s="1695"/>
      <c r="P750" s="1745"/>
      <c r="Q750" s="1745"/>
      <c r="R750" s="1745"/>
      <c r="S750" s="1745"/>
      <c r="T750" s="1805"/>
      <c r="U750" s="1733" t="s">
        <v>1687</v>
      </c>
      <c r="V750" s="1699"/>
      <c r="W750" s="1695"/>
      <c r="X750" s="1695"/>
      <c r="Y750" s="1695"/>
      <c r="Z750" s="1695"/>
      <c r="AA750" s="1695"/>
      <c r="AB750" s="1699"/>
      <c r="AC750" s="1695"/>
      <c r="AD750" s="1695"/>
      <c r="AE750" s="1695"/>
      <c r="AF750" s="1695"/>
      <c r="AG750" s="1695"/>
      <c r="AH750" s="1699"/>
      <c r="AI750" s="1695"/>
      <c r="AJ750" s="1695"/>
      <c r="AK750" s="1695"/>
      <c r="AL750" s="1695"/>
      <c r="AM750" s="1695"/>
      <c r="AN750" s="1695"/>
      <c r="AO750" s="1757">
        <v>2.5</v>
      </c>
      <c r="AP750" s="1758">
        <v>52.4</v>
      </c>
      <c r="AV750" s="1687">
        <v>584.65</v>
      </c>
      <c r="AW750" s="1687">
        <v>734.88</v>
      </c>
      <c r="AX750" s="1687">
        <f t="shared" si="71"/>
        <v>1.2569571538527324</v>
      </c>
    </row>
    <row r="751" spans="1:50">
      <c r="A751" s="2424"/>
      <c r="B751" s="1695"/>
      <c r="C751" s="1696"/>
      <c r="D751" s="1696"/>
      <c r="E751" s="1695"/>
      <c r="F751" s="1695"/>
      <c r="G751" s="1745"/>
      <c r="H751" s="1745"/>
      <c r="I751" s="1745"/>
      <c r="J751" s="1745"/>
      <c r="K751" s="1879"/>
      <c r="L751" s="2013"/>
      <c r="M751" s="1699"/>
      <c r="N751" s="1695"/>
      <c r="O751" s="1695"/>
      <c r="P751" s="1745"/>
      <c r="Q751" s="1745"/>
      <c r="R751" s="1745"/>
      <c r="S751" s="1745"/>
      <c r="T751" s="1805"/>
      <c r="U751" s="1733" t="s">
        <v>1688</v>
      </c>
      <c r="V751" s="1699"/>
      <c r="W751" s="1695"/>
      <c r="X751" s="1695"/>
      <c r="Y751" s="1695"/>
      <c r="Z751" s="1695"/>
      <c r="AA751" s="1695"/>
      <c r="AB751" s="1699"/>
      <c r="AC751" s="1695"/>
      <c r="AD751" s="1695"/>
      <c r="AE751" s="1695"/>
      <c r="AF751" s="1695"/>
      <c r="AG751" s="1695"/>
      <c r="AH751" s="1699"/>
      <c r="AI751" s="1695"/>
      <c r="AJ751" s="1695"/>
      <c r="AK751" s="1695"/>
      <c r="AL751" s="1695"/>
      <c r="AM751" s="1695"/>
      <c r="AN751" s="1695"/>
      <c r="AO751" s="1757">
        <v>2.581</v>
      </c>
      <c r="AP751" s="1758">
        <v>52.4</v>
      </c>
      <c r="AV751" s="1687">
        <v>184.5</v>
      </c>
      <c r="AW751" s="1687">
        <v>251.21</v>
      </c>
      <c r="AX751" s="1687">
        <f t="shared" si="71"/>
        <v>1.3615718157181573</v>
      </c>
    </row>
    <row r="752" spans="1:50">
      <c r="A752" s="2424"/>
      <c r="B752" s="1695"/>
      <c r="C752" s="1696"/>
      <c r="D752" s="1696"/>
      <c r="E752" s="1695"/>
      <c r="F752" s="1695"/>
      <c r="G752" s="1745"/>
      <c r="H752" s="1745"/>
      <c r="I752" s="1745"/>
      <c r="J752" s="1745"/>
      <c r="K752" s="1879"/>
      <c r="L752" s="2013"/>
      <c r="M752" s="1699"/>
      <c r="N752" s="1695"/>
      <c r="O752" s="1695"/>
      <c r="P752" s="1745"/>
      <c r="Q752" s="1745"/>
      <c r="R752" s="1745"/>
      <c r="S752" s="1745"/>
      <c r="T752" s="1805"/>
      <c r="U752" s="1733" t="s">
        <v>1689</v>
      </c>
      <c r="V752" s="1699"/>
      <c r="W752" s="1695"/>
      <c r="X752" s="1695"/>
      <c r="Y752" s="1695"/>
      <c r="Z752" s="1695"/>
      <c r="AA752" s="1695"/>
      <c r="AB752" s="1699"/>
      <c r="AC752" s="1695"/>
      <c r="AD752" s="1695"/>
      <c r="AE752" s="1695"/>
      <c r="AF752" s="1695"/>
      <c r="AG752" s="1695"/>
      <c r="AH752" s="1699"/>
      <c r="AI752" s="1695"/>
      <c r="AJ752" s="1695"/>
      <c r="AK752" s="1695"/>
      <c r="AL752" s="1695"/>
      <c r="AM752" s="1695"/>
      <c r="AN752" s="1695"/>
      <c r="AO752" s="1757">
        <v>2.7589999999999999</v>
      </c>
      <c r="AP752" s="1758">
        <v>52.4</v>
      </c>
      <c r="AV752" s="1687">
        <v>196.79</v>
      </c>
      <c r="AW752" s="1687">
        <v>264.62</v>
      </c>
      <c r="AX752" s="1687">
        <f t="shared" si="71"/>
        <v>1.3446821484831548</v>
      </c>
    </row>
    <row r="753" spans="1:50">
      <c r="A753" s="2424"/>
      <c r="B753" s="1695"/>
      <c r="C753" s="1696"/>
      <c r="D753" s="1696"/>
      <c r="E753" s="1695"/>
      <c r="F753" s="1695"/>
      <c r="G753" s="1745"/>
      <c r="H753" s="1745"/>
      <c r="I753" s="1745"/>
      <c r="J753" s="1745"/>
      <c r="K753" s="1879"/>
      <c r="L753" s="2013"/>
      <c r="M753" s="1699"/>
      <c r="N753" s="1695"/>
      <c r="O753" s="1695"/>
      <c r="P753" s="1745"/>
      <c r="Q753" s="1745"/>
      <c r="R753" s="1745"/>
      <c r="S753" s="1745"/>
      <c r="T753" s="1805"/>
      <c r="U753" s="1733" t="s">
        <v>1726</v>
      </c>
      <c r="V753" s="2014">
        <v>0.5</v>
      </c>
      <c r="W753" s="2015">
        <v>99.86666666666666</v>
      </c>
      <c r="X753" s="1749">
        <v>74.900000000000006</v>
      </c>
      <c r="Y753" s="1735"/>
      <c r="Z753" s="1749">
        <v>5.94</v>
      </c>
      <c r="AA753" s="2016">
        <v>7.4</v>
      </c>
      <c r="AB753" s="2017">
        <v>0.25</v>
      </c>
      <c r="AC753" s="1695"/>
      <c r="AD753" s="1695"/>
      <c r="AE753" s="1695"/>
      <c r="AF753" s="1695"/>
      <c r="AG753" s="1695"/>
      <c r="AH753" s="1699"/>
      <c r="AI753" s="1695"/>
      <c r="AJ753" s="1695"/>
      <c r="AK753" s="1695"/>
      <c r="AL753" s="1695"/>
      <c r="AM753" s="1695"/>
      <c r="AN753" s="1695"/>
      <c r="AO753" s="1699"/>
      <c r="AP753" s="1729"/>
      <c r="AV753" s="1687">
        <v>199.13</v>
      </c>
      <c r="AW753" s="1687">
        <v>269.95</v>
      </c>
      <c r="AX753" s="1687">
        <f t="shared" si="71"/>
        <v>1.3556470647315824</v>
      </c>
    </row>
    <row r="754" spans="1:50">
      <c r="A754" s="2424"/>
      <c r="B754" s="1695"/>
      <c r="C754" s="1696"/>
      <c r="D754" s="1696"/>
      <c r="E754" s="1695"/>
      <c r="F754" s="1695"/>
      <c r="G754" s="1745"/>
      <c r="H754" s="1745"/>
      <c r="I754" s="1745"/>
      <c r="J754" s="1745"/>
      <c r="K754" s="1879"/>
      <c r="L754" s="2013"/>
      <c r="M754" s="1699"/>
      <c r="N754" s="1695"/>
      <c r="O754" s="1695"/>
      <c r="P754" s="1745"/>
      <c r="Q754" s="1745"/>
      <c r="R754" s="1745"/>
      <c r="S754" s="1745"/>
      <c r="T754" s="1805"/>
      <c r="U754" s="1733" t="s">
        <v>1727</v>
      </c>
      <c r="V754" s="2014">
        <v>1</v>
      </c>
      <c r="W754" s="2015">
        <v>79</v>
      </c>
      <c r="X754" s="1749">
        <v>79</v>
      </c>
      <c r="Y754" s="1735"/>
      <c r="Z754" s="1749"/>
      <c r="AA754" s="2016">
        <v>14.059499999999998</v>
      </c>
      <c r="AB754" s="2017"/>
      <c r="AC754" s="1695"/>
      <c r="AD754" s="1695"/>
      <c r="AE754" s="1695"/>
      <c r="AF754" s="1695"/>
      <c r="AG754" s="1695"/>
      <c r="AH754" s="1699"/>
      <c r="AI754" s="1695"/>
      <c r="AJ754" s="1695"/>
      <c r="AK754" s="1695"/>
      <c r="AL754" s="1695"/>
      <c r="AM754" s="1695"/>
      <c r="AN754" s="1695"/>
      <c r="AO754" s="1699"/>
      <c r="AP754" s="1729"/>
      <c r="AV754" s="1687">
        <v>210.71</v>
      </c>
      <c r="AW754" s="1687">
        <v>285.37</v>
      </c>
      <c r="AX754" s="1687">
        <f t="shared" si="71"/>
        <v>1.3543258506952685</v>
      </c>
    </row>
    <row r="755" spans="1:50">
      <c r="A755" s="2424"/>
      <c r="B755" s="1695"/>
      <c r="C755" s="1696"/>
      <c r="D755" s="1696"/>
      <c r="E755" s="1695"/>
      <c r="F755" s="1695"/>
      <c r="G755" s="1745"/>
      <c r="H755" s="1745"/>
      <c r="I755" s="1745"/>
      <c r="J755" s="1745"/>
      <c r="K755" s="1879"/>
      <c r="L755" s="2013"/>
      <c r="M755" s="1699"/>
      <c r="N755" s="1695"/>
      <c r="O755" s="1695"/>
      <c r="P755" s="1745"/>
      <c r="Q755" s="1745"/>
      <c r="R755" s="1745"/>
      <c r="S755" s="1745"/>
      <c r="T755" s="1805"/>
      <c r="U755" s="1733" t="s">
        <v>1728</v>
      </c>
      <c r="V755" s="2014">
        <v>0.83333333333333326</v>
      </c>
      <c r="W755" s="2015">
        <v>75</v>
      </c>
      <c r="X755" s="1749">
        <v>93.75</v>
      </c>
      <c r="Y755" s="1735"/>
      <c r="Z755" s="1749">
        <v>1.26</v>
      </c>
      <c r="AA755" s="2016">
        <v>9.049199999999999</v>
      </c>
      <c r="AB755" s="2017">
        <v>0.41666666666666663</v>
      </c>
      <c r="AC755" s="1695"/>
      <c r="AD755" s="1695"/>
      <c r="AE755" s="1695"/>
      <c r="AF755" s="1695"/>
      <c r="AG755" s="1695"/>
      <c r="AH755" s="1699"/>
      <c r="AI755" s="1695"/>
      <c r="AJ755" s="1695"/>
      <c r="AK755" s="1695"/>
      <c r="AL755" s="1695"/>
      <c r="AM755" s="1695"/>
      <c r="AN755" s="1695"/>
      <c r="AO755" s="1699"/>
      <c r="AP755" s="1729"/>
      <c r="AV755" s="1687">
        <v>220.6</v>
      </c>
      <c r="AW755" s="1687">
        <v>300.75</v>
      </c>
      <c r="AX755" s="1687">
        <f t="shared" si="71"/>
        <v>1.363327289211242</v>
      </c>
    </row>
    <row r="756" spans="1:50">
      <c r="A756" s="2424"/>
      <c r="B756" s="1695"/>
      <c r="C756" s="1696"/>
      <c r="D756" s="1696"/>
      <c r="E756" s="1695"/>
      <c r="F756" s="1695"/>
      <c r="G756" s="1745"/>
      <c r="H756" s="1745"/>
      <c r="I756" s="1745"/>
      <c r="J756" s="1745"/>
      <c r="K756" s="1879"/>
      <c r="L756" s="2013"/>
      <c r="M756" s="1699"/>
      <c r="N756" s="1695"/>
      <c r="O756" s="1695"/>
      <c r="P756" s="1745"/>
      <c r="Q756" s="1745"/>
      <c r="R756" s="1745"/>
      <c r="S756" s="1745"/>
      <c r="T756" s="1805"/>
      <c r="U756" s="1733" t="s">
        <v>1729</v>
      </c>
      <c r="V756" s="2014">
        <v>0.83333333333333326</v>
      </c>
      <c r="W756" s="2015">
        <v>60</v>
      </c>
      <c r="X756" s="1749">
        <v>50</v>
      </c>
      <c r="Y756" s="1735"/>
      <c r="Z756" s="1749">
        <v>2</v>
      </c>
      <c r="AA756" s="2016">
        <v>17</v>
      </c>
      <c r="AB756" s="1743"/>
      <c r="AC756" s="1695"/>
      <c r="AD756" s="1695"/>
      <c r="AE756" s="1695"/>
      <c r="AF756" s="1695"/>
      <c r="AG756" s="1695"/>
      <c r="AH756" s="1699"/>
      <c r="AI756" s="1695"/>
      <c r="AJ756" s="1695"/>
      <c r="AK756" s="1695"/>
      <c r="AL756" s="1695"/>
      <c r="AM756" s="1695"/>
      <c r="AN756" s="1695"/>
      <c r="AO756" s="1699"/>
      <c r="AP756" s="1729"/>
      <c r="AX756" s="1687">
        <f>AVERAGE(AX742:AX755)</f>
        <v>1.3426023998581245</v>
      </c>
    </row>
    <row r="757" spans="1:50" ht="8.25" customHeight="1">
      <c r="A757" s="2424"/>
      <c r="B757" s="1695"/>
      <c r="C757" s="1696"/>
      <c r="D757" s="1696"/>
      <c r="E757" s="1695"/>
      <c r="F757" s="1695"/>
      <c r="G757" s="1745"/>
      <c r="H757" s="1745"/>
      <c r="I757" s="1745"/>
      <c r="J757" s="1745"/>
      <c r="K757" s="1879"/>
      <c r="L757" s="2013"/>
      <c r="M757" s="1699"/>
      <c r="N757" s="1695"/>
      <c r="O757" s="1695"/>
      <c r="P757" s="1745"/>
      <c r="Q757" s="1745"/>
      <c r="R757" s="1745"/>
      <c r="S757" s="1745"/>
      <c r="T757" s="1805"/>
      <c r="U757" s="1733" t="s">
        <v>1730</v>
      </c>
      <c r="V757" s="2014">
        <v>0.36</v>
      </c>
      <c r="W757" s="2015">
        <v>95</v>
      </c>
      <c r="X757" s="1749">
        <v>34.200000000000003</v>
      </c>
      <c r="Y757" s="1749">
        <v>0.5</v>
      </c>
      <c r="Z757" s="1749">
        <v>4.0449999999999999</v>
      </c>
      <c r="AA757" s="2016">
        <v>0</v>
      </c>
      <c r="AB757" s="1757"/>
      <c r="AC757" s="1695"/>
      <c r="AD757" s="1695"/>
      <c r="AE757" s="1695"/>
      <c r="AF757" s="1695"/>
      <c r="AG757" s="1695"/>
      <c r="AH757" s="1699"/>
      <c r="AI757" s="1695"/>
      <c r="AJ757" s="1695"/>
      <c r="AK757" s="1695"/>
      <c r="AL757" s="1695"/>
      <c r="AM757" s="1695"/>
      <c r="AN757" s="1695"/>
      <c r="AO757" s="1699"/>
      <c r="AP757" s="1729"/>
    </row>
    <row r="758" spans="1:50" ht="15.75" thickBot="1">
      <c r="A758" s="2425"/>
      <c r="B758" s="1695"/>
      <c r="C758" s="1696"/>
      <c r="D758" s="1696"/>
      <c r="E758" s="1695"/>
      <c r="F758" s="1695"/>
      <c r="G758" s="1745"/>
      <c r="H758" s="1745"/>
      <c r="I758" s="1745"/>
      <c r="J758" s="1745"/>
      <c r="K758" s="1879"/>
      <c r="L758" s="2013"/>
      <c r="M758" s="1730"/>
      <c r="N758" s="2018"/>
      <c r="O758" s="2018"/>
      <c r="P758" s="2019"/>
      <c r="Q758" s="2019"/>
      <c r="R758" s="2019"/>
      <c r="S758" s="2019"/>
      <c r="T758" s="2020"/>
      <c r="U758" s="1733" t="s">
        <v>1731</v>
      </c>
      <c r="V758" s="2014">
        <v>0.98646584053481168</v>
      </c>
      <c r="W758" s="2015">
        <v>81.773333333333341</v>
      </c>
      <c r="X758" s="1749">
        <v>80.666600000000003</v>
      </c>
      <c r="Y758" s="1735"/>
      <c r="Z758" s="1749">
        <v>0.06</v>
      </c>
      <c r="AA758" s="2016">
        <v>8.2449999999999992</v>
      </c>
      <c r="AB758" s="1757"/>
      <c r="AC758" s="1695"/>
      <c r="AD758" s="1695"/>
      <c r="AE758" s="1695"/>
      <c r="AF758" s="1695"/>
      <c r="AG758" s="1695"/>
      <c r="AH758" s="1699"/>
      <c r="AI758" s="1695"/>
      <c r="AJ758" s="1695"/>
      <c r="AK758" s="1695"/>
      <c r="AL758" s="1695"/>
      <c r="AM758" s="1695"/>
      <c r="AN758" s="1695"/>
      <c r="AO758" s="1699"/>
      <c r="AP758" s="1729"/>
    </row>
    <row r="759" spans="1:50" ht="15.75" thickBot="1">
      <c r="A759" s="2005"/>
      <c r="B759" s="1715"/>
      <c r="C759" s="1716"/>
      <c r="D759" s="1716"/>
      <c r="E759" s="1715"/>
      <c r="F759" s="1715"/>
      <c r="G759" s="1717"/>
      <c r="H759" s="1717"/>
      <c r="I759" s="1717"/>
      <c r="J759" s="1717"/>
      <c r="K759" s="2010"/>
      <c r="L759" s="2021"/>
      <c r="M759" s="1718"/>
      <c r="N759" s="1715"/>
      <c r="O759" s="1715"/>
      <c r="P759" s="1717"/>
      <c r="Q759" s="1717"/>
      <c r="R759" s="1717"/>
      <c r="S759" s="1717"/>
      <c r="T759" s="1717"/>
      <c r="U759" s="1718"/>
      <c r="V759" s="1718"/>
      <c r="W759" s="1715"/>
      <c r="X759" s="1715"/>
      <c r="Y759" s="1715"/>
      <c r="Z759" s="1715"/>
      <c r="AA759" s="1715"/>
      <c r="AB759" s="1718"/>
      <c r="AC759" s="1715"/>
      <c r="AD759" s="1715"/>
      <c r="AE759" s="1715"/>
      <c r="AF759" s="1715"/>
      <c r="AG759" s="1715"/>
      <c r="AH759" s="1718"/>
      <c r="AI759" s="1715"/>
      <c r="AJ759" s="1715"/>
      <c r="AK759" s="1715"/>
      <c r="AL759" s="1715"/>
      <c r="AM759" s="1715"/>
      <c r="AN759" s="1715"/>
      <c r="AO759" s="1718"/>
      <c r="AP759" s="1719"/>
      <c r="AR759" s="1687" t="s">
        <v>1918</v>
      </c>
    </row>
    <row r="760" spans="1:50">
      <c r="A760" s="2432" t="s">
        <v>1370</v>
      </c>
      <c r="B760" s="1844" t="s">
        <v>1913</v>
      </c>
      <c r="C760" s="1721" t="s">
        <v>1915</v>
      </c>
      <c r="D760" s="1721" t="s">
        <v>1805</v>
      </c>
      <c r="E760" s="1845">
        <f>AH760</f>
        <v>1.256210044363961</v>
      </c>
      <c r="F760" s="1854"/>
      <c r="G760" s="1724"/>
      <c r="H760" s="1724">
        <f>E760*$G$762</f>
        <v>72.718559530390166</v>
      </c>
      <c r="I760" s="1724"/>
      <c r="J760" s="1724"/>
      <c r="K760" s="2426">
        <v>0.34</v>
      </c>
      <c r="L760" s="2461">
        <f>((E760*G762)+(E761*G762)+I763)*(1+K760)</f>
        <v>122.25377657444366</v>
      </c>
      <c r="M760" s="1725" t="s">
        <v>1916</v>
      </c>
      <c r="N760" s="1723"/>
      <c r="O760" s="2011">
        <f>AVERAGE(V771:V776)</f>
        <v>0.75218875120024631</v>
      </c>
      <c r="P760" s="1724"/>
      <c r="Q760" s="1726">
        <f>O760*P762</f>
        <v>43.833445650580295</v>
      </c>
      <c r="R760" s="1726"/>
      <c r="S760" s="1726"/>
      <c r="T760" s="2000">
        <f>Q760</f>
        <v>43.833445650580295</v>
      </c>
      <c r="U760" s="1733" t="s">
        <v>1564</v>
      </c>
      <c r="V760" s="1699"/>
      <c r="W760" s="1695"/>
      <c r="X760" s="1695"/>
      <c r="Y760" s="1695"/>
      <c r="Z760" s="1695"/>
      <c r="AA760" s="1695"/>
      <c r="AB760" s="1699"/>
      <c r="AC760" s="1695"/>
      <c r="AD760" s="1695"/>
      <c r="AE760" s="1695"/>
      <c r="AF760" s="1695"/>
      <c r="AG760" s="1695"/>
      <c r="AH760" s="2003">
        <v>1.256210044363961</v>
      </c>
      <c r="AI760" s="2004">
        <v>0.11806202555910809</v>
      </c>
      <c r="AJ760" s="2004">
        <v>85</v>
      </c>
      <c r="AK760" s="1735"/>
      <c r="AL760" s="1735"/>
      <c r="AM760" s="1735"/>
      <c r="AN760" s="1747"/>
      <c r="AO760" s="1699"/>
      <c r="AP760" s="1729"/>
      <c r="AQ760" s="1687" t="s">
        <v>1837</v>
      </c>
      <c r="AR760" s="1687">
        <f>AVERAGE(AO762:AO770)</f>
        <v>1.882222222222222</v>
      </c>
    </row>
    <row r="761" spans="1:50">
      <c r="A761" s="2490"/>
      <c r="B761" s="1739" t="s">
        <v>1914</v>
      </c>
      <c r="C761" s="1733" t="s">
        <v>1915</v>
      </c>
      <c r="D761" s="1733" t="s">
        <v>1805</v>
      </c>
      <c r="E761" s="1748">
        <f>AH761</f>
        <v>0.11336377937908999</v>
      </c>
      <c r="F761" s="1789"/>
      <c r="G761" s="1736"/>
      <c r="H761" s="1724">
        <f>E761*$G$762</f>
        <v>6.5623187589956453</v>
      </c>
      <c r="I761" s="1736"/>
      <c r="J761" s="1736"/>
      <c r="K761" s="2445"/>
      <c r="L761" s="2461"/>
      <c r="M761" s="1725" t="s">
        <v>1920</v>
      </c>
      <c r="N761" s="1723"/>
      <c r="O761" s="2011">
        <f>AVERAGE(AB771:AB773)</f>
        <v>0.33333333333333331</v>
      </c>
      <c r="P761" s="1724"/>
      <c r="Q761" s="1726">
        <f>O761*P762</f>
        <v>19.424843201761306</v>
      </c>
      <c r="R761" s="1726"/>
      <c r="S761" s="1726"/>
      <c r="T761" s="2000">
        <f t="shared" ref="T761:T763" si="72">Q761</f>
        <v>19.424843201761306</v>
      </c>
      <c r="U761" s="1733" t="s">
        <v>1561</v>
      </c>
      <c r="V761" s="1699"/>
      <c r="W761" s="1695"/>
      <c r="X761" s="1695"/>
      <c r="Y761" s="1695"/>
      <c r="Z761" s="1695"/>
      <c r="AA761" s="1695"/>
      <c r="AB761" s="1699"/>
      <c r="AC761" s="1695"/>
      <c r="AD761" s="1695"/>
      <c r="AE761" s="1695"/>
      <c r="AF761" s="1695"/>
      <c r="AG761" s="1695"/>
      <c r="AH761" s="2003">
        <v>0.11336377937908999</v>
      </c>
      <c r="AI761" s="2004">
        <v>2.1675320580773701E-2</v>
      </c>
      <c r="AJ761" s="2004">
        <v>70</v>
      </c>
      <c r="AK761" s="1735"/>
      <c r="AL761" s="1735"/>
      <c r="AM761" s="1735"/>
      <c r="AN761" s="1747"/>
      <c r="AO761" s="1699"/>
      <c r="AP761" s="1729"/>
      <c r="AQ761" s="1687" t="s">
        <v>1917</v>
      </c>
      <c r="AR761" s="1687">
        <f>STDEV(AO762:AO770)</f>
        <v>0.55996378851176243</v>
      </c>
    </row>
    <row r="762" spans="1:50">
      <c r="A762" s="2490"/>
      <c r="B762" s="1739" t="s">
        <v>1811</v>
      </c>
      <c r="C762" s="1733" t="s">
        <v>1915</v>
      </c>
      <c r="D762" s="1733" t="s">
        <v>1916</v>
      </c>
      <c r="E762" s="1734"/>
      <c r="F762" s="1789"/>
      <c r="G762" s="1736">
        <f>AVERAGE(W771:W776)*BS30</f>
        <v>57.887261653928839</v>
      </c>
      <c r="H762" s="1736"/>
      <c r="I762" s="1736"/>
      <c r="J762" s="1736"/>
      <c r="K762" s="2445"/>
      <c r="L762" s="2461"/>
      <c r="M762" s="1757" t="s">
        <v>1440</v>
      </c>
      <c r="N762" s="1735"/>
      <c r="O762" s="1861">
        <f>AR760</f>
        <v>1.882222222222222</v>
      </c>
      <c r="P762" s="1738">
        <f>AP762*BQ45</f>
        <v>58.274529605283924</v>
      </c>
      <c r="Q762" s="1737">
        <f>O762*P762</f>
        <v>109.68561461261217</v>
      </c>
      <c r="R762" s="1842"/>
      <c r="S762" s="1842"/>
      <c r="T762" s="2000">
        <f t="shared" si="72"/>
        <v>109.68561461261217</v>
      </c>
      <c r="U762" s="1733" t="s">
        <v>1682</v>
      </c>
      <c r="V762" s="1699"/>
      <c r="W762" s="1695"/>
      <c r="X762" s="1695"/>
      <c r="Y762" s="1695"/>
      <c r="Z762" s="1695"/>
      <c r="AA762" s="1695"/>
      <c r="AB762" s="1699"/>
      <c r="AC762" s="1695"/>
      <c r="AD762" s="1695"/>
      <c r="AE762" s="1695"/>
      <c r="AF762" s="1695"/>
      <c r="AG762" s="1695"/>
      <c r="AH762" s="1699"/>
      <c r="AI762" s="1695"/>
      <c r="AJ762" s="1695"/>
      <c r="AK762" s="1695"/>
      <c r="AL762" s="1695"/>
      <c r="AM762" s="1695"/>
      <c r="AN762" s="1695"/>
      <c r="AO762" s="1757">
        <v>1.4039999999999999</v>
      </c>
      <c r="AP762" s="1758">
        <v>52.4</v>
      </c>
    </row>
    <row r="763" spans="1:50">
      <c r="A763" s="2490"/>
      <c r="B763" s="1739" t="s">
        <v>1923</v>
      </c>
      <c r="C763" s="1733" t="s">
        <v>1915</v>
      </c>
      <c r="D763" s="1733" t="s">
        <v>1916</v>
      </c>
      <c r="E763" s="1734"/>
      <c r="F763" s="1789"/>
      <c r="G763" s="1736"/>
      <c r="H763" s="1724"/>
      <c r="I763" s="1724">
        <f>AVERAGE(AA771:AA776)+AVERAGE(Z771:Z776)</f>
        <v>11.953283333333331</v>
      </c>
      <c r="J763" s="1736"/>
      <c r="K763" s="2427"/>
      <c r="L763" s="2462"/>
      <c r="M763" s="1743" t="s">
        <v>1942</v>
      </c>
      <c r="N763" s="1782"/>
      <c r="O763" s="1870" t="s">
        <v>1949</v>
      </c>
      <c r="P763" s="1738">
        <v>67.88</v>
      </c>
      <c r="Q763" s="1871" t="s">
        <v>2048</v>
      </c>
      <c r="R763" s="1842"/>
      <c r="S763" s="1842"/>
      <c r="T763" s="2012" t="str">
        <f t="shared" si="72"/>
        <v>$24.44 - $40.05</v>
      </c>
      <c r="U763" s="1733" t="s">
        <v>1684</v>
      </c>
      <c r="V763" s="1699"/>
      <c r="W763" s="1695"/>
      <c r="X763" s="1695"/>
      <c r="Y763" s="1695"/>
      <c r="Z763" s="1695"/>
      <c r="AA763" s="1695"/>
      <c r="AB763" s="1699"/>
      <c r="AC763" s="1695"/>
      <c r="AD763" s="1695"/>
      <c r="AE763" s="1695"/>
      <c r="AF763" s="1695"/>
      <c r="AG763" s="1695"/>
      <c r="AH763" s="1699"/>
      <c r="AI763" s="1695"/>
      <c r="AJ763" s="1695"/>
      <c r="AK763" s="1695"/>
      <c r="AL763" s="1695"/>
      <c r="AM763" s="1695"/>
      <c r="AN763" s="1695"/>
      <c r="AO763" s="1757">
        <v>1.4810000000000001</v>
      </c>
      <c r="AP763" s="1758">
        <v>52.4</v>
      </c>
    </row>
    <row r="764" spans="1:50">
      <c r="A764" s="2490"/>
      <c r="B764" s="1695"/>
      <c r="C764" s="1696"/>
      <c r="D764" s="1696"/>
      <c r="E764" s="1695"/>
      <c r="F764" s="1695"/>
      <c r="G764" s="1745"/>
      <c r="H764" s="1745"/>
      <c r="I764" s="1745"/>
      <c r="J764" s="1745"/>
      <c r="K764" s="1879"/>
      <c r="L764" s="1745"/>
      <c r="M764" s="1699"/>
      <c r="N764" s="1695"/>
      <c r="O764" s="1806"/>
      <c r="P764" s="1745"/>
      <c r="Q764" s="1745"/>
      <c r="R764" s="1745"/>
      <c r="S764" s="1745"/>
      <c r="T764" s="1805"/>
      <c r="U764" s="1733" t="s">
        <v>1685</v>
      </c>
      <c r="V764" s="1699"/>
      <c r="W764" s="1695"/>
      <c r="X764" s="1695"/>
      <c r="Y764" s="1695"/>
      <c r="Z764" s="1695"/>
      <c r="AA764" s="1695"/>
      <c r="AB764" s="1699"/>
      <c r="AC764" s="1695"/>
      <c r="AD764" s="1695"/>
      <c r="AE764" s="1695"/>
      <c r="AF764" s="1695"/>
      <c r="AG764" s="1695"/>
      <c r="AH764" s="1699"/>
      <c r="AI764" s="1695"/>
      <c r="AJ764" s="1695"/>
      <c r="AK764" s="1695"/>
      <c r="AL764" s="1695"/>
      <c r="AM764" s="1695"/>
      <c r="AN764" s="1695"/>
      <c r="AO764" s="1757">
        <v>1.4039999999999999</v>
      </c>
      <c r="AP764" s="1758">
        <v>52.4</v>
      </c>
    </row>
    <row r="765" spans="1:50">
      <c r="A765" s="2490"/>
      <c r="B765" s="1695"/>
      <c r="C765" s="1696"/>
      <c r="D765" s="1696"/>
      <c r="E765" s="1695"/>
      <c r="F765" s="1695"/>
      <c r="G765" s="1745"/>
      <c r="H765" s="1745"/>
      <c r="I765" s="1745"/>
      <c r="J765" s="1745"/>
      <c r="K765" s="1879"/>
      <c r="L765" s="1745"/>
      <c r="M765" s="1699"/>
      <c r="N765" s="1695"/>
      <c r="O765" s="1695"/>
      <c r="P765" s="1745"/>
      <c r="Q765" s="1745"/>
      <c r="R765" s="1745"/>
      <c r="S765" s="1745"/>
      <c r="T765" s="1805"/>
      <c r="U765" s="1733" t="s">
        <v>1683</v>
      </c>
      <c r="V765" s="1699"/>
      <c r="W765" s="1695"/>
      <c r="X765" s="1695"/>
      <c r="Y765" s="1695"/>
      <c r="Z765" s="1695"/>
      <c r="AA765" s="1695"/>
      <c r="AB765" s="1699"/>
      <c r="AC765" s="1695"/>
      <c r="AD765" s="1695"/>
      <c r="AE765" s="1695"/>
      <c r="AF765" s="1695"/>
      <c r="AG765" s="1695"/>
      <c r="AH765" s="1699"/>
      <c r="AI765" s="1695"/>
      <c r="AJ765" s="1695"/>
      <c r="AK765" s="1695"/>
      <c r="AL765" s="1695"/>
      <c r="AM765" s="1695"/>
      <c r="AN765" s="1695"/>
      <c r="AO765" s="1757">
        <v>1.5089999999999999</v>
      </c>
      <c r="AP765" s="1758">
        <v>52.4</v>
      </c>
    </row>
    <row r="766" spans="1:50">
      <c r="A766" s="2490"/>
      <c r="B766" s="1695"/>
      <c r="C766" s="1696"/>
      <c r="D766" s="1696"/>
      <c r="E766" s="1695"/>
      <c r="F766" s="1695"/>
      <c r="G766" s="1745"/>
      <c r="H766" s="1745"/>
      <c r="I766" s="1745"/>
      <c r="J766" s="1745"/>
      <c r="K766" s="1879"/>
      <c r="L766" s="1745"/>
      <c r="M766" s="1699"/>
      <c r="N766" s="1695"/>
      <c r="O766" s="1695"/>
      <c r="P766" s="1745"/>
      <c r="Q766" s="1745"/>
      <c r="R766" s="1745"/>
      <c r="S766" s="1745"/>
      <c r="T766" s="1805"/>
      <c r="U766" s="1733" t="s">
        <v>1686</v>
      </c>
      <c r="V766" s="1699"/>
      <c r="W766" s="1695"/>
      <c r="X766" s="1695"/>
      <c r="Y766" s="1695"/>
      <c r="Z766" s="1695"/>
      <c r="AA766" s="1695"/>
      <c r="AB766" s="1699"/>
      <c r="AC766" s="1695"/>
      <c r="AD766" s="1695"/>
      <c r="AE766" s="1695"/>
      <c r="AF766" s="1695"/>
      <c r="AG766" s="1695"/>
      <c r="AH766" s="1699"/>
      <c r="AI766" s="1695"/>
      <c r="AJ766" s="1695"/>
      <c r="AK766" s="1695"/>
      <c r="AL766" s="1695"/>
      <c r="AM766" s="1695"/>
      <c r="AN766" s="1695"/>
      <c r="AO766" s="1757">
        <v>1.6</v>
      </c>
      <c r="AP766" s="1758">
        <v>52.4</v>
      </c>
    </row>
    <row r="767" spans="1:50">
      <c r="A767" s="2490"/>
      <c r="B767" s="1695"/>
      <c r="C767" s="1696"/>
      <c r="D767" s="1696"/>
      <c r="E767" s="1695"/>
      <c r="F767" s="1695"/>
      <c r="G767" s="1745"/>
      <c r="H767" s="1745"/>
      <c r="I767" s="1745"/>
      <c r="J767" s="1745"/>
      <c r="K767" s="1879"/>
      <c r="L767" s="1745"/>
      <c r="M767" s="1699"/>
      <c r="N767" s="1695"/>
      <c r="O767" s="1695"/>
      <c r="P767" s="1745"/>
      <c r="Q767" s="1745"/>
      <c r="R767" s="1745"/>
      <c r="S767" s="1745"/>
      <c r="T767" s="1805"/>
      <c r="U767" s="1733" t="s">
        <v>1690</v>
      </c>
      <c r="V767" s="1699"/>
      <c r="W767" s="1695"/>
      <c r="X767" s="1695"/>
      <c r="Y767" s="1695"/>
      <c r="Z767" s="1695"/>
      <c r="AA767" s="1695"/>
      <c r="AB767" s="1699"/>
      <c r="AC767" s="1695"/>
      <c r="AD767" s="1695"/>
      <c r="AE767" s="1695"/>
      <c r="AF767" s="1695"/>
      <c r="AG767" s="1695"/>
      <c r="AH767" s="1699"/>
      <c r="AI767" s="1695"/>
      <c r="AJ767" s="1695"/>
      <c r="AK767" s="1695"/>
      <c r="AL767" s="1695"/>
      <c r="AM767" s="1695"/>
      <c r="AN767" s="1695"/>
      <c r="AO767" s="1757">
        <v>1.702</v>
      </c>
      <c r="AP767" s="1758">
        <v>52.4</v>
      </c>
    </row>
    <row r="768" spans="1:50">
      <c r="A768" s="2490"/>
      <c r="B768" s="1695"/>
      <c r="C768" s="1696"/>
      <c r="D768" s="1696"/>
      <c r="E768" s="1695"/>
      <c r="F768" s="1695"/>
      <c r="G768" s="1745"/>
      <c r="H768" s="1745"/>
      <c r="I768" s="1745"/>
      <c r="J768" s="1745"/>
      <c r="K768" s="1879"/>
      <c r="L768" s="1745"/>
      <c r="M768" s="1699"/>
      <c r="N768" s="1695"/>
      <c r="O768" s="1695"/>
      <c r="P768" s="1745"/>
      <c r="Q768" s="1745"/>
      <c r="R768" s="1745"/>
      <c r="S768" s="1745"/>
      <c r="T768" s="1805"/>
      <c r="U768" s="1733" t="s">
        <v>1687</v>
      </c>
      <c r="V768" s="1699"/>
      <c r="W768" s="1695"/>
      <c r="X768" s="1695"/>
      <c r="Y768" s="1695"/>
      <c r="Z768" s="1695"/>
      <c r="AA768" s="1695"/>
      <c r="AB768" s="1699"/>
      <c r="AC768" s="1695"/>
      <c r="AD768" s="1695"/>
      <c r="AE768" s="1695"/>
      <c r="AF768" s="1695"/>
      <c r="AG768" s="1695"/>
      <c r="AH768" s="1699"/>
      <c r="AI768" s="1695"/>
      <c r="AJ768" s="1695"/>
      <c r="AK768" s="1695"/>
      <c r="AL768" s="1695"/>
      <c r="AM768" s="1695"/>
      <c r="AN768" s="1695"/>
      <c r="AO768" s="1757">
        <v>2.5</v>
      </c>
      <c r="AP768" s="1758">
        <v>52.4</v>
      </c>
    </row>
    <row r="769" spans="1:44">
      <c r="A769" s="2490"/>
      <c r="B769" s="1695"/>
      <c r="C769" s="1696"/>
      <c r="D769" s="1696"/>
      <c r="E769" s="1695"/>
      <c r="F769" s="1695"/>
      <c r="G769" s="1745"/>
      <c r="H769" s="1745"/>
      <c r="I769" s="1745"/>
      <c r="J769" s="1745"/>
      <c r="K769" s="1879"/>
      <c r="L769" s="1745"/>
      <c r="M769" s="1699"/>
      <c r="N769" s="1695"/>
      <c r="O769" s="1695"/>
      <c r="P769" s="1745"/>
      <c r="Q769" s="1745"/>
      <c r="R769" s="1745"/>
      <c r="S769" s="1745"/>
      <c r="T769" s="1805"/>
      <c r="U769" s="1733" t="s">
        <v>1688</v>
      </c>
      <c r="V769" s="1699"/>
      <c r="W769" s="1695"/>
      <c r="X769" s="1695"/>
      <c r="Y769" s="1695"/>
      <c r="Z769" s="1695"/>
      <c r="AA769" s="1695"/>
      <c r="AB769" s="1699"/>
      <c r="AC769" s="1695"/>
      <c r="AD769" s="1695"/>
      <c r="AE769" s="1695"/>
      <c r="AF769" s="1695"/>
      <c r="AG769" s="1695"/>
      <c r="AH769" s="1699"/>
      <c r="AI769" s="1695"/>
      <c r="AJ769" s="1695"/>
      <c r="AK769" s="1695"/>
      <c r="AL769" s="1695"/>
      <c r="AM769" s="1695"/>
      <c r="AN769" s="1695"/>
      <c r="AO769" s="1757">
        <v>2.581</v>
      </c>
      <c r="AP769" s="1758">
        <v>52.4</v>
      </c>
    </row>
    <row r="770" spans="1:44">
      <c r="A770" s="2490"/>
      <c r="B770" s="1695"/>
      <c r="C770" s="1696"/>
      <c r="D770" s="1696"/>
      <c r="E770" s="1695"/>
      <c r="F770" s="1695"/>
      <c r="G770" s="1745"/>
      <c r="H770" s="1745"/>
      <c r="I770" s="1745"/>
      <c r="J770" s="1745"/>
      <c r="K770" s="1879"/>
      <c r="L770" s="1745"/>
      <c r="M770" s="1699"/>
      <c r="N770" s="1695"/>
      <c r="O770" s="1695"/>
      <c r="P770" s="1745"/>
      <c r="Q770" s="1745"/>
      <c r="R770" s="1745"/>
      <c r="S770" s="1745"/>
      <c r="T770" s="1805"/>
      <c r="U770" s="1733" t="s">
        <v>1689</v>
      </c>
      <c r="V770" s="1699"/>
      <c r="W770" s="1695"/>
      <c r="X770" s="1695"/>
      <c r="Y770" s="1695"/>
      <c r="Z770" s="1695"/>
      <c r="AA770" s="1695"/>
      <c r="AB770" s="1699"/>
      <c r="AC770" s="1695"/>
      <c r="AD770" s="1695"/>
      <c r="AE770" s="1695"/>
      <c r="AF770" s="1695"/>
      <c r="AG770" s="1695"/>
      <c r="AH770" s="1699"/>
      <c r="AI770" s="1695"/>
      <c r="AJ770" s="1695"/>
      <c r="AK770" s="1695"/>
      <c r="AL770" s="1695"/>
      <c r="AM770" s="1695"/>
      <c r="AN770" s="1695"/>
      <c r="AO770" s="1757">
        <v>2.7589999999999999</v>
      </c>
      <c r="AP770" s="1758">
        <v>52.4</v>
      </c>
    </row>
    <row r="771" spans="1:44">
      <c r="A771" s="2490"/>
      <c r="B771" s="1695"/>
      <c r="C771" s="1696"/>
      <c r="D771" s="1696"/>
      <c r="E771" s="1695"/>
      <c r="F771" s="1695"/>
      <c r="G771" s="1745"/>
      <c r="H771" s="1745"/>
      <c r="I771" s="1745"/>
      <c r="J771" s="1745"/>
      <c r="K771" s="1879"/>
      <c r="L771" s="1745"/>
      <c r="M771" s="1699"/>
      <c r="N771" s="1695"/>
      <c r="O771" s="1695"/>
      <c r="P771" s="1745"/>
      <c r="Q771" s="1745"/>
      <c r="R771" s="1745"/>
      <c r="S771" s="1745"/>
      <c r="T771" s="1805"/>
      <c r="U771" s="1733" t="s">
        <v>1726</v>
      </c>
      <c r="V771" s="2014">
        <v>0.5</v>
      </c>
      <c r="W771" s="2015">
        <v>99.86666666666666</v>
      </c>
      <c r="X771" s="1749">
        <v>74.900000000000006</v>
      </c>
      <c r="Y771" s="1735"/>
      <c r="Z771" s="1749">
        <v>5.94</v>
      </c>
      <c r="AA771" s="2016">
        <v>7.4</v>
      </c>
      <c r="AB771" s="2017">
        <v>0.25</v>
      </c>
      <c r="AC771" s="1695"/>
      <c r="AD771" s="1695"/>
      <c r="AE771" s="1695"/>
      <c r="AF771" s="1695"/>
      <c r="AG771" s="1695"/>
      <c r="AH771" s="1699"/>
      <c r="AI771" s="1695"/>
      <c r="AJ771" s="1695"/>
      <c r="AK771" s="1695"/>
      <c r="AL771" s="1695"/>
      <c r="AM771" s="1695"/>
      <c r="AN771" s="1695"/>
      <c r="AO771" s="1699"/>
      <c r="AP771" s="1729"/>
    </row>
    <row r="772" spans="1:44">
      <c r="A772" s="2490"/>
      <c r="B772" s="1695"/>
      <c r="C772" s="1696"/>
      <c r="D772" s="1696"/>
      <c r="E772" s="1695"/>
      <c r="F772" s="1695"/>
      <c r="G772" s="1745"/>
      <c r="H772" s="1745"/>
      <c r="I772" s="1745"/>
      <c r="J772" s="1745"/>
      <c r="K772" s="1879"/>
      <c r="L772" s="1745"/>
      <c r="M772" s="1699"/>
      <c r="N772" s="1695"/>
      <c r="O772" s="1695"/>
      <c r="P772" s="1745"/>
      <c r="Q772" s="1745"/>
      <c r="R772" s="1745"/>
      <c r="S772" s="1745"/>
      <c r="T772" s="1805"/>
      <c r="U772" s="1733" t="s">
        <v>1727</v>
      </c>
      <c r="V772" s="2014">
        <v>1</v>
      </c>
      <c r="W772" s="2015">
        <v>79</v>
      </c>
      <c r="X772" s="1749">
        <v>79</v>
      </c>
      <c r="Y772" s="1735"/>
      <c r="Z772" s="1749"/>
      <c r="AA772" s="2016">
        <v>14.059499999999998</v>
      </c>
      <c r="AB772" s="2017"/>
      <c r="AC772" s="1695"/>
      <c r="AD772" s="1695"/>
      <c r="AE772" s="1695"/>
      <c r="AF772" s="1695"/>
      <c r="AG772" s="1695"/>
      <c r="AH772" s="1699"/>
      <c r="AI772" s="1695"/>
      <c r="AJ772" s="1695"/>
      <c r="AK772" s="1695"/>
      <c r="AL772" s="1695"/>
      <c r="AM772" s="1695"/>
      <c r="AN772" s="1695"/>
      <c r="AO772" s="1699"/>
      <c r="AP772" s="1729"/>
    </row>
    <row r="773" spans="1:44">
      <c r="A773" s="2490"/>
      <c r="B773" s="1695"/>
      <c r="C773" s="1696"/>
      <c r="D773" s="1696"/>
      <c r="E773" s="1695"/>
      <c r="F773" s="1695"/>
      <c r="G773" s="1745"/>
      <c r="H773" s="1745"/>
      <c r="I773" s="1745"/>
      <c r="J773" s="1745"/>
      <c r="K773" s="1879"/>
      <c r="L773" s="1745"/>
      <c r="M773" s="1699"/>
      <c r="N773" s="1695"/>
      <c r="O773" s="1695"/>
      <c r="P773" s="1745"/>
      <c r="Q773" s="1745"/>
      <c r="R773" s="1745"/>
      <c r="S773" s="1745"/>
      <c r="T773" s="1805"/>
      <c r="U773" s="1733" t="s">
        <v>1728</v>
      </c>
      <c r="V773" s="2014">
        <v>0.83333333333333326</v>
      </c>
      <c r="W773" s="2015">
        <v>75</v>
      </c>
      <c r="X773" s="1749">
        <v>93.75</v>
      </c>
      <c r="Y773" s="1735"/>
      <c r="Z773" s="1749">
        <v>1.26</v>
      </c>
      <c r="AA773" s="2016">
        <v>9.049199999999999</v>
      </c>
      <c r="AB773" s="2017">
        <v>0.41666666666666663</v>
      </c>
      <c r="AC773" s="1695"/>
      <c r="AD773" s="1695"/>
      <c r="AE773" s="1695"/>
      <c r="AF773" s="1695"/>
      <c r="AG773" s="1695"/>
      <c r="AH773" s="1699"/>
      <c r="AI773" s="1695"/>
      <c r="AJ773" s="1695"/>
      <c r="AK773" s="1695"/>
      <c r="AL773" s="1695"/>
      <c r="AM773" s="1695"/>
      <c r="AN773" s="1695"/>
      <c r="AO773" s="1699"/>
      <c r="AP773" s="1729"/>
    </row>
    <row r="774" spans="1:44">
      <c r="A774" s="2490"/>
      <c r="B774" s="1695"/>
      <c r="C774" s="1696"/>
      <c r="D774" s="1696"/>
      <c r="E774" s="1695"/>
      <c r="F774" s="1695"/>
      <c r="G774" s="1745"/>
      <c r="H774" s="1745"/>
      <c r="I774" s="1745"/>
      <c r="J774" s="1745"/>
      <c r="K774" s="1879"/>
      <c r="L774" s="1745"/>
      <c r="M774" s="1699"/>
      <c r="N774" s="1695"/>
      <c r="O774" s="1695"/>
      <c r="P774" s="1745"/>
      <c r="Q774" s="1745"/>
      <c r="R774" s="1745"/>
      <c r="S774" s="1745"/>
      <c r="T774" s="1805"/>
      <c r="U774" s="1733" t="s">
        <v>1729</v>
      </c>
      <c r="V774" s="2014">
        <v>0.83333333333333326</v>
      </c>
      <c r="W774" s="2015">
        <v>60</v>
      </c>
      <c r="X774" s="1749">
        <v>50</v>
      </c>
      <c r="Y774" s="1735"/>
      <c r="Z774" s="1749">
        <v>2</v>
      </c>
      <c r="AA774" s="2016">
        <v>17</v>
      </c>
      <c r="AB774" s="1743"/>
      <c r="AC774" s="1695"/>
      <c r="AD774" s="1695"/>
      <c r="AE774" s="1695"/>
      <c r="AF774" s="1695"/>
      <c r="AG774" s="1695"/>
      <c r="AH774" s="1699"/>
      <c r="AI774" s="1695"/>
      <c r="AJ774" s="1695"/>
      <c r="AK774" s="1695"/>
      <c r="AL774" s="1695"/>
      <c r="AM774" s="1695"/>
      <c r="AN774" s="1695"/>
      <c r="AO774" s="1699"/>
      <c r="AP774" s="1729"/>
    </row>
    <row r="775" spans="1:44" ht="8.25" customHeight="1">
      <c r="A775" s="2490"/>
      <c r="B775" s="1695"/>
      <c r="C775" s="1696"/>
      <c r="D775" s="1696"/>
      <c r="E775" s="1695"/>
      <c r="F775" s="1695"/>
      <c r="G775" s="1745"/>
      <c r="H775" s="1745"/>
      <c r="I775" s="1745"/>
      <c r="J775" s="1745"/>
      <c r="K775" s="1879"/>
      <c r="L775" s="1745"/>
      <c r="M775" s="1699"/>
      <c r="N775" s="1695"/>
      <c r="O775" s="1695"/>
      <c r="P775" s="1745"/>
      <c r="Q775" s="1745"/>
      <c r="R775" s="1745"/>
      <c r="S775" s="1745"/>
      <c r="T775" s="1805"/>
      <c r="U775" s="1733" t="s">
        <v>1730</v>
      </c>
      <c r="V775" s="2014">
        <v>0.36</v>
      </c>
      <c r="W775" s="2015">
        <v>95</v>
      </c>
      <c r="X775" s="1749">
        <v>34.200000000000003</v>
      </c>
      <c r="Y775" s="1749">
        <v>0.5</v>
      </c>
      <c r="Z775" s="1749">
        <v>4.0449999999999999</v>
      </c>
      <c r="AA775" s="2016">
        <v>0</v>
      </c>
      <c r="AB775" s="1757"/>
      <c r="AC775" s="1695"/>
      <c r="AD775" s="1695"/>
      <c r="AE775" s="1695"/>
      <c r="AF775" s="1695"/>
      <c r="AG775" s="1695"/>
      <c r="AH775" s="1699"/>
      <c r="AI775" s="1695"/>
      <c r="AJ775" s="1695"/>
      <c r="AK775" s="1695"/>
      <c r="AL775" s="1695"/>
      <c r="AM775" s="1695"/>
      <c r="AN775" s="1695"/>
      <c r="AO775" s="1699"/>
      <c r="AP775" s="1729"/>
    </row>
    <row r="776" spans="1:44" ht="15.75" thickBot="1">
      <c r="A776" s="2490"/>
      <c r="B776" s="1695"/>
      <c r="C776" s="1696"/>
      <c r="D776" s="1696"/>
      <c r="E776" s="1695"/>
      <c r="F776" s="1695"/>
      <c r="G776" s="1745"/>
      <c r="H776" s="1745"/>
      <c r="I776" s="1745"/>
      <c r="J776" s="1745"/>
      <c r="K776" s="1879"/>
      <c r="L776" s="1745"/>
      <c r="M776" s="1730"/>
      <c r="N776" s="2018"/>
      <c r="O776" s="2018"/>
      <c r="P776" s="2019"/>
      <c r="Q776" s="2019"/>
      <c r="R776" s="2019"/>
      <c r="S776" s="2019"/>
      <c r="T776" s="2020"/>
      <c r="U776" s="1733" t="s">
        <v>1731</v>
      </c>
      <c r="V776" s="2014">
        <v>0.98646584053481168</v>
      </c>
      <c r="W776" s="2015">
        <v>81.773333333333341</v>
      </c>
      <c r="X776" s="1749">
        <v>80.666600000000003</v>
      </c>
      <c r="Y776" s="1735"/>
      <c r="Z776" s="1749">
        <v>0.06</v>
      </c>
      <c r="AA776" s="2016">
        <v>8.2449999999999992</v>
      </c>
      <c r="AB776" s="1757"/>
      <c r="AC776" s="1695"/>
      <c r="AD776" s="1695"/>
      <c r="AE776" s="1695"/>
      <c r="AF776" s="1695"/>
      <c r="AG776" s="1695"/>
      <c r="AH776" s="1699"/>
      <c r="AI776" s="1695"/>
      <c r="AJ776" s="1695"/>
      <c r="AK776" s="1695"/>
      <c r="AL776" s="1695"/>
      <c r="AM776" s="1695"/>
      <c r="AN776" s="1695"/>
      <c r="AO776" s="1699"/>
      <c r="AP776" s="1729"/>
    </row>
    <row r="777" spans="1:44" ht="15.75" thickBot="1">
      <c r="A777" s="2005"/>
      <c r="B777" s="1715"/>
      <c r="C777" s="1716"/>
      <c r="D777" s="1716"/>
      <c r="E777" s="1715"/>
      <c r="F777" s="1715"/>
      <c r="G777" s="1717"/>
      <c r="H777" s="1717"/>
      <c r="I777" s="1717"/>
      <c r="J777" s="1717"/>
      <c r="K777" s="2010"/>
      <c r="L777" s="1717"/>
      <c r="M777" s="1718"/>
      <c r="N777" s="1715"/>
      <c r="O777" s="1715"/>
      <c r="P777" s="1717"/>
      <c r="Q777" s="1717"/>
      <c r="R777" s="1717"/>
      <c r="S777" s="1717"/>
      <c r="T777" s="1717"/>
      <c r="U777" s="1718"/>
      <c r="V777" s="1718"/>
      <c r="W777" s="1715"/>
      <c r="X777" s="1715"/>
      <c r="Y777" s="1715"/>
      <c r="Z777" s="1715"/>
      <c r="AA777" s="1715"/>
      <c r="AB777" s="1718"/>
      <c r="AC777" s="1715"/>
      <c r="AD777" s="1715"/>
      <c r="AE777" s="1715"/>
      <c r="AF777" s="1715"/>
      <c r="AG777" s="1715"/>
      <c r="AH777" s="1718"/>
      <c r="AI777" s="1715"/>
      <c r="AJ777" s="1715"/>
      <c r="AK777" s="1715"/>
      <c r="AL777" s="1715"/>
      <c r="AM777" s="1715"/>
      <c r="AN777" s="1715"/>
      <c r="AO777" s="1718"/>
      <c r="AP777" s="1719"/>
      <c r="AR777" s="1687" t="s">
        <v>1918</v>
      </c>
    </row>
    <row r="778" spans="1:44">
      <c r="A778" s="2423" t="s">
        <v>1369</v>
      </c>
      <c r="B778" s="1844" t="s">
        <v>1913</v>
      </c>
      <c r="C778" s="1721" t="s">
        <v>1915</v>
      </c>
      <c r="D778" s="1721" t="s">
        <v>1805</v>
      </c>
      <c r="E778" s="1845">
        <f>AH778</f>
        <v>1.1494750325591272</v>
      </c>
      <c r="F778" s="1854"/>
      <c r="G778" s="1724"/>
      <c r="H778" s="1724">
        <f>E778*$G$780</f>
        <v>64.723628620813599</v>
      </c>
      <c r="I778" s="1724"/>
      <c r="J778" s="1724"/>
      <c r="K778" s="2426">
        <v>0.34</v>
      </c>
      <c r="L778" s="2484">
        <f>((E778*G780)+(E779*G780)+I781)*(1+K778)</f>
        <v>119.58558858032414</v>
      </c>
      <c r="M778" s="1725" t="s">
        <v>1916</v>
      </c>
      <c r="N778" s="1723"/>
      <c r="O778" s="2011">
        <f>AVERAGE(V791:V796)</f>
        <v>0.89722452299955613</v>
      </c>
      <c r="P778" s="1724"/>
      <c r="Q778" s="1726">
        <f>O778*P780</f>
        <v>52.285337028124381</v>
      </c>
      <c r="R778" s="1726"/>
      <c r="S778" s="1726"/>
      <c r="T778" s="2000">
        <f>Q778</f>
        <v>52.285337028124381</v>
      </c>
      <c r="U778" s="1733" t="s">
        <v>1565</v>
      </c>
      <c r="V778" s="1699"/>
      <c r="W778" s="1695"/>
      <c r="X778" s="1695"/>
      <c r="Y778" s="1695"/>
      <c r="Z778" s="1695"/>
      <c r="AA778" s="1695"/>
      <c r="AB778" s="1699"/>
      <c r="AC778" s="1695"/>
      <c r="AD778" s="1695"/>
      <c r="AE778" s="1695"/>
      <c r="AF778" s="1695"/>
      <c r="AG778" s="1695"/>
      <c r="AH778" s="2003">
        <v>1.1494750325591272</v>
      </c>
      <c r="AI778" s="2004">
        <v>8.8037838381863895E-2</v>
      </c>
      <c r="AJ778" s="2004">
        <v>85</v>
      </c>
      <c r="AK778" s="1735"/>
      <c r="AL778" s="1735"/>
      <c r="AM778" s="1735"/>
      <c r="AN778" s="1747"/>
      <c r="AO778" s="1699"/>
      <c r="AP778" s="1729"/>
      <c r="AQ778" s="1687" t="s">
        <v>1837</v>
      </c>
      <c r="AR778" s="1687">
        <f>AVERAGE(AO780:AO790)</f>
        <v>1.8173636363636361</v>
      </c>
    </row>
    <row r="779" spans="1:44">
      <c r="A779" s="2424"/>
      <c r="B779" s="1739" t="s">
        <v>1914</v>
      </c>
      <c r="C779" s="1733" t="s">
        <v>1915</v>
      </c>
      <c r="D779" s="1733" t="s">
        <v>1805</v>
      </c>
      <c r="E779" s="1748">
        <f>AH779</f>
        <v>0.11336377937908999</v>
      </c>
      <c r="F779" s="1789"/>
      <c r="G779" s="1736"/>
      <c r="H779" s="1724">
        <f>E779*$G$780</f>
        <v>6.3831879316670994</v>
      </c>
      <c r="I779" s="1736"/>
      <c r="J779" s="1736"/>
      <c r="K779" s="2445"/>
      <c r="L779" s="2484"/>
      <c r="M779" s="1725" t="s">
        <v>1920</v>
      </c>
      <c r="N779" s="1723"/>
      <c r="O779" s="2011">
        <f>AVERAGE(AB791:AB793)</f>
        <v>0.41666666666666669</v>
      </c>
      <c r="P779" s="1724"/>
      <c r="Q779" s="1726">
        <f>O779*P780</f>
        <v>24.281054002201635</v>
      </c>
      <c r="R779" s="1726"/>
      <c r="S779" s="1726"/>
      <c r="T779" s="2000">
        <f t="shared" ref="T779:T781" si="73">Q779</f>
        <v>24.281054002201635</v>
      </c>
      <c r="U779" s="1733" t="s">
        <v>1561</v>
      </c>
      <c r="V779" s="1699"/>
      <c r="W779" s="1695"/>
      <c r="X779" s="1695"/>
      <c r="Y779" s="1695"/>
      <c r="Z779" s="1695"/>
      <c r="AA779" s="1695"/>
      <c r="AB779" s="1699"/>
      <c r="AC779" s="1695"/>
      <c r="AD779" s="1695"/>
      <c r="AE779" s="1695"/>
      <c r="AF779" s="1695"/>
      <c r="AG779" s="1695"/>
      <c r="AH779" s="2003">
        <v>0.11336377937908999</v>
      </c>
      <c r="AI779" s="2004">
        <v>2.1675320580773701E-2</v>
      </c>
      <c r="AJ779" s="2004">
        <v>70</v>
      </c>
      <c r="AK779" s="1735"/>
      <c r="AL779" s="1735"/>
      <c r="AM779" s="1735"/>
      <c r="AN779" s="1747"/>
      <c r="AO779" s="1699"/>
      <c r="AP779" s="1729"/>
      <c r="AQ779" s="1687" t="s">
        <v>1917</v>
      </c>
      <c r="AR779" s="1687">
        <f>STDEV(AO780:AO790)</f>
        <v>0.63294522238931206</v>
      </c>
    </row>
    <row r="780" spans="1:44">
      <c r="A780" s="2424"/>
      <c r="B780" s="1739" t="s">
        <v>1811</v>
      </c>
      <c r="C780" s="1733" t="s">
        <v>1915</v>
      </c>
      <c r="D780" s="1733" t="s">
        <v>1916</v>
      </c>
      <c r="E780" s="1734"/>
      <c r="F780" s="1789"/>
      <c r="G780" s="1736">
        <f>AVERAGE(W791:W796)*BS30</f>
        <v>56.307120022186574</v>
      </c>
      <c r="H780" s="1736"/>
      <c r="I780" s="1736"/>
      <c r="J780" s="1736"/>
      <c r="K780" s="2445"/>
      <c r="L780" s="2484"/>
      <c r="M780" s="1757" t="s">
        <v>1440</v>
      </c>
      <c r="N780" s="1735"/>
      <c r="O780" s="1861">
        <f>AR778</f>
        <v>1.8173636363636361</v>
      </c>
      <c r="P780" s="1738">
        <f>AP780*BQ45</f>
        <v>58.274529605283924</v>
      </c>
      <c r="Q780" s="1737">
        <f>O780*P780</f>
        <v>105.90601103083915</v>
      </c>
      <c r="R780" s="1842"/>
      <c r="S780" s="1842"/>
      <c r="T780" s="2000">
        <f t="shared" si="73"/>
        <v>105.90601103083915</v>
      </c>
      <c r="U780" s="1733" t="s">
        <v>1691</v>
      </c>
      <c r="V780" s="1699"/>
      <c r="W780" s="1695"/>
      <c r="X780" s="1695"/>
      <c r="Y780" s="1695"/>
      <c r="Z780" s="1695"/>
      <c r="AA780" s="1695"/>
      <c r="AB780" s="1699"/>
      <c r="AC780" s="1695"/>
      <c r="AD780" s="1695"/>
      <c r="AE780" s="1695"/>
      <c r="AF780" s="1695"/>
      <c r="AG780" s="1695"/>
      <c r="AH780" s="1699"/>
      <c r="AI780" s="1695"/>
      <c r="AJ780" s="1695"/>
      <c r="AK780" s="1695"/>
      <c r="AL780" s="1695"/>
      <c r="AM780" s="1695"/>
      <c r="AN780" s="1695"/>
      <c r="AO780" s="1757">
        <v>1.143</v>
      </c>
      <c r="AP780" s="1758">
        <v>52.4</v>
      </c>
    </row>
    <row r="781" spans="1:44">
      <c r="A781" s="2424"/>
      <c r="B781" s="1739" t="s">
        <v>1923</v>
      </c>
      <c r="C781" s="1733" t="s">
        <v>1915</v>
      </c>
      <c r="D781" s="1733" t="s">
        <v>1916</v>
      </c>
      <c r="E781" s="1734"/>
      <c r="F781" s="1789"/>
      <c r="G781" s="1736"/>
      <c r="H781" s="1724"/>
      <c r="I781" s="1724">
        <f>AVERAGE(AA791:AA796)+AVERAGE(Z791:Z796)</f>
        <v>18.13616</v>
      </c>
      <c r="J781" s="1736"/>
      <c r="K781" s="2427"/>
      <c r="L781" s="2485"/>
      <c r="M781" s="1743" t="s">
        <v>1942</v>
      </c>
      <c r="N781" s="1782"/>
      <c r="O781" s="1870" t="s">
        <v>1949</v>
      </c>
      <c r="P781" s="1738">
        <v>67.88</v>
      </c>
      <c r="Q781" s="1871" t="s">
        <v>2048</v>
      </c>
      <c r="R781" s="1842"/>
      <c r="S781" s="1842"/>
      <c r="T781" s="2012" t="str">
        <f t="shared" si="73"/>
        <v>$24.44 - $40.05</v>
      </c>
      <c r="U781" s="1733" t="s">
        <v>1692</v>
      </c>
      <c r="V781" s="1699"/>
      <c r="W781" s="1695"/>
      <c r="X781" s="1695"/>
      <c r="Y781" s="1695"/>
      <c r="Z781" s="1695"/>
      <c r="AA781" s="1695"/>
      <c r="AB781" s="1699"/>
      <c r="AC781" s="1695"/>
      <c r="AD781" s="1695"/>
      <c r="AE781" s="1695"/>
      <c r="AF781" s="1695"/>
      <c r="AG781" s="1695"/>
      <c r="AH781" s="1699"/>
      <c r="AI781" s="1695"/>
      <c r="AJ781" s="1695"/>
      <c r="AK781" s="1695"/>
      <c r="AL781" s="1695"/>
      <c r="AM781" s="1695"/>
      <c r="AN781" s="1695"/>
      <c r="AO781" s="1757">
        <v>1.194</v>
      </c>
      <c r="AP781" s="1758">
        <v>52.4</v>
      </c>
    </row>
    <row r="782" spans="1:44">
      <c r="A782" s="2424"/>
      <c r="B782" s="1695"/>
      <c r="C782" s="1696"/>
      <c r="D782" s="1696"/>
      <c r="E782" s="1695"/>
      <c r="F782" s="1695"/>
      <c r="G782" s="1745"/>
      <c r="H782" s="1745"/>
      <c r="I782" s="1745"/>
      <c r="J782" s="1745"/>
      <c r="K782" s="1695"/>
      <c r="L782" s="1745"/>
      <c r="M782" s="1699"/>
      <c r="N782" s="1695"/>
      <c r="O782" s="1806" t="s">
        <v>1936</v>
      </c>
      <c r="P782" s="1745"/>
      <c r="Q782" s="1745"/>
      <c r="R782" s="1745"/>
      <c r="S782" s="1745"/>
      <c r="T782" s="1805"/>
      <c r="U782" s="1733" t="s">
        <v>1693</v>
      </c>
      <c r="V782" s="1699"/>
      <c r="W782" s="1695"/>
      <c r="X782" s="1695"/>
      <c r="Y782" s="1695"/>
      <c r="Z782" s="1695"/>
      <c r="AA782" s="1695"/>
      <c r="AB782" s="1699"/>
      <c r="AC782" s="1695"/>
      <c r="AD782" s="1695"/>
      <c r="AE782" s="1695"/>
      <c r="AF782" s="1695"/>
      <c r="AG782" s="1695"/>
      <c r="AH782" s="1699"/>
      <c r="AI782" s="1695"/>
      <c r="AJ782" s="1695"/>
      <c r="AK782" s="1695"/>
      <c r="AL782" s="1695"/>
      <c r="AM782" s="1695"/>
      <c r="AN782" s="1695"/>
      <c r="AO782" s="1757">
        <v>1.143</v>
      </c>
      <c r="AP782" s="1758">
        <v>52.4</v>
      </c>
    </row>
    <row r="783" spans="1:44">
      <c r="A783" s="2424"/>
      <c r="B783" s="1695"/>
      <c r="C783" s="1696"/>
      <c r="D783" s="1696"/>
      <c r="E783" s="1695"/>
      <c r="F783" s="1695"/>
      <c r="G783" s="1745"/>
      <c r="H783" s="1745"/>
      <c r="I783" s="1745"/>
      <c r="J783" s="1745"/>
      <c r="K783" s="1695"/>
      <c r="L783" s="1745"/>
      <c r="M783" s="1699"/>
      <c r="N783" s="1695"/>
      <c r="O783" s="1695"/>
      <c r="P783" s="1745"/>
      <c r="Q783" s="1745"/>
      <c r="R783" s="1745"/>
      <c r="S783" s="1745"/>
      <c r="T783" s="1805"/>
      <c r="U783" s="1733" t="s">
        <v>1694</v>
      </c>
      <c r="V783" s="1699"/>
      <c r="W783" s="1695"/>
      <c r="X783" s="1695"/>
      <c r="Y783" s="1695"/>
      <c r="Z783" s="1695"/>
      <c r="AA783" s="1695"/>
      <c r="AB783" s="1699"/>
      <c r="AC783" s="1695"/>
      <c r="AD783" s="1695"/>
      <c r="AE783" s="1695"/>
      <c r="AF783" s="1695"/>
      <c r="AG783" s="1695"/>
      <c r="AH783" s="1699"/>
      <c r="AI783" s="1695"/>
      <c r="AJ783" s="1695"/>
      <c r="AK783" s="1695"/>
      <c r="AL783" s="1695"/>
      <c r="AM783" s="1695"/>
      <c r="AN783" s="1695"/>
      <c r="AO783" s="1757">
        <v>1.29</v>
      </c>
      <c r="AP783" s="1758">
        <v>52.4</v>
      </c>
    </row>
    <row r="784" spans="1:44">
      <c r="A784" s="2424"/>
      <c r="B784" s="1695"/>
      <c r="C784" s="1696"/>
      <c r="D784" s="1696"/>
      <c r="E784" s="1695"/>
      <c r="F784" s="1695"/>
      <c r="G784" s="1745"/>
      <c r="H784" s="1745"/>
      <c r="I784" s="1745"/>
      <c r="J784" s="1745"/>
      <c r="K784" s="1695"/>
      <c r="L784" s="1745"/>
      <c r="M784" s="1699"/>
      <c r="N784" s="1695"/>
      <c r="O784" s="1695"/>
      <c r="P784" s="1745"/>
      <c r="Q784" s="1745"/>
      <c r="R784" s="1745"/>
      <c r="S784" s="1745"/>
      <c r="T784" s="1805"/>
      <c r="U784" s="1733" t="s">
        <v>1695</v>
      </c>
      <c r="V784" s="1699"/>
      <c r="W784" s="1695"/>
      <c r="X784" s="1695"/>
      <c r="Y784" s="1695"/>
      <c r="Z784" s="1695"/>
      <c r="AA784" s="1695"/>
      <c r="AB784" s="1699"/>
      <c r="AC784" s="1695"/>
      <c r="AD784" s="1695"/>
      <c r="AE784" s="1695"/>
      <c r="AF784" s="1695"/>
      <c r="AG784" s="1695"/>
      <c r="AH784" s="1699"/>
      <c r="AI784" s="1695"/>
      <c r="AJ784" s="1695"/>
      <c r="AK784" s="1695"/>
      <c r="AL784" s="1695"/>
      <c r="AM784" s="1695"/>
      <c r="AN784" s="1695"/>
      <c r="AO784" s="1757">
        <v>1.4039999999999999</v>
      </c>
      <c r="AP784" s="1758">
        <v>52.4</v>
      </c>
    </row>
    <row r="785" spans="1:42">
      <c r="A785" s="2424"/>
      <c r="B785" s="1695"/>
      <c r="C785" s="1696"/>
      <c r="D785" s="1696"/>
      <c r="E785" s="1695"/>
      <c r="F785" s="1695"/>
      <c r="G785" s="1745"/>
      <c r="H785" s="1745"/>
      <c r="I785" s="1745"/>
      <c r="J785" s="1745"/>
      <c r="K785" s="1695"/>
      <c r="L785" s="1745"/>
      <c r="M785" s="1699"/>
      <c r="N785" s="1695"/>
      <c r="O785" s="1695"/>
      <c r="P785" s="1745"/>
      <c r="Q785" s="1745"/>
      <c r="R785" s="1745"/>
      <c r="S785" s="1745"/>
      <c r="T785" s="1805"/>
      <c r="U785" s="1733" t="s">
        <v>1696</v>
      </c>
      <c r="V785" s="1699"/>
      <c r="W785" s="1695"/>
      <c r="X785" s="1695"/>
      <c r="Y785" s="1695"/>
      <c r="Z785" s="1695"/>
      <c r="AA785" s="1695"/>
      <c r="AB785" s="1699"/>
      <c r="AC785" s="1695"/>
      <c r="AD785" s="1695"/>
      <c r="AE785" s="1695"/>
      <c r="AF785" s="1695"/>
      <c r="AG785" s="1695"/>
      <c r="AH785" s="1699"/>
      <c r="AI785" s="1695"/>
      <c r="AJ785" s="1695"/>
      <c r="AK785" s="1695"/>
      <c r="AL785" s="1695"/>
      <c r="AM785" s="1695"/>
      <c r="AN785" s="1695"/>
      <c r="AO785" s="1757">
        <v>1.5089999999999999</v>
      </c>
      <c r="AP785" s="1758">
        <v>52.4</v>
      </c>
    </row>
    <row r="786" spans="1:42">
      <c r="A786" s="2424"/>
      <c r="B786" s="1695"/>
      <c r="C786" s="1696"/>
      <c r="D786" s="1696"/>
      <c r="E786" s="1695"/>
      <c r="F786" s="1695"/>
      <c r="G786" s="1745"/>
      <c r="H786" s="1745"/>
      <c r="I786" s="1745"/>
      <c r="J786" s="1745"/>
      <c r="K786" s="1695"/>
      <c r="L786" s="1745"/>
      <c r="M786" s="1699"/>
      <c r="N786" s="1695"/>
      <c r="O786" s="1695"/>
      <c r="P786" s="1745"/>
      <c r="Q786" s="1745"/>
      <c r="R786" s="1745"/>
      <c r="S786" s="1745"/>
      <c r="T786" s="1805"/>
      <c r="U786" s="1733" t="s">
        <v>1697</v>
      </c>
      <c r="V786" s="1699"/>
      <c r="W786" s="1695"/>
      <c r="X786" s="1695"/>
      <c r="Y786" s="1695"/>
      <c r="Z786" s="1695"/>
      <c r="AA786" s="1695"/>
      <c r="AB786" s="1699"/>
      <c r="AC786" s="1695"/>
      <c r="AD786" s="1695"/>
      <c r="AE786" s="1695"/>
      <c r="AF786" s="1695"/>
      <c r="AG786" s="1695"/>
      <c r="AH786" s="1699"/>
      <c r="AI786" s="1695"/>
      <c r="AJ786" s="1695"/>
      <c r="AK786" s="1695"/>
      <c r="AL786" s="1695"/>
      <c r="AM786" s="1695"/>
      <c r="AN786" s="1695"/>
      <c r="AO786" s="1757">
        <v>2.222</v>
      </c>
      <c r="AP786" s="1758">
        <v>52.4</v>
      </c>
    </row>
    <row r="787" spans="1:42">
      <c r="A787" s="2424"/>
      <c r="B787" s="1695"/>
      <c r="C787" s="1696"/>
      <c r="D787" s="1696"/>
      <c r="E787" s="1695"/>
      <c r="F787" s="1695"/>
      <c r="G787" s="1745"/>
      <c r="H787" s="1745"/>
      <c r="I787" s="1745"/>
      <c r="J787" s="1745"/>
      <c r="K787" s="1695"/>
      <c r="L787" s="1745"/>
      <c r="M787" s="1699"/>
      <c r="N787" s="1695"/>
      <c r="O787" s="1695"/>
      <c r="P787" s="1745"/>
      <c r="Q787" s="1745"/>
      <c r="R787" s="1745"/>
      <c r="S787" s="1745"/>
      <c r="T787" s="1805"/>
      <c r="U787" s="1733" t="s">
        <v>1698</v>
      </c>
      <c r="V787" s="1699"/>
      <c r="W787" s="1695"/>
      <c r="X787" s="1695"/>
      <c r="Y787" s="1695"/>
      <c r="Z787" s="1695"/>
      <c r="AA787" s="1695"/>
      <c r="AB787" s="1699"/>
      <c r="AC787" s="1695"/>
      <c r="AD787" s="1695"/>
      <c r="AE787" s="1695"/>
      <c r="AF787" s="1695"/>
      <c r="AG787" s="1695"/>
      <c r="AH787" s="1699"/>
      <c r="AI787" s="1695"/>
      <c r="AJ787" s="1695"/>
      <c r="AK787" s="1695"/>
      <c r="AL787" s="1695"/>
      <c r="AM787" s="1695"/>
      <c r="AN787" s="1695"/>
      <c r="AO787" s="1757">
        <v>2.4239999999999999</v>
      </c>
      <c r="AP787" s="1758">
        <v>52.4</v>
      </c>
    </row>
    <row r="788" spans="1:42">
      <c r="A788" s="2424"/>
      <c r="B788" s="1695"/>
      <c r="C788" s="1696"/>
      <c r="D788" s="1696"/>
      <c r="E788" s="1695"/>
      <c r="F788" s="1695"/>
      <c r="G788" s="1745"/>
      <c r="H788" s="1745"/>
      <c r="I788" s="1745"/>
      <c r="J788" s="1745"/>
      <c r="K788" s="1695"/>
      <c r="L788" s="1745"/>
      <c r="M788" s="1699"/>
      <c r="N788" s="1695"/>
      <c r="O788" s="1695"/>
      <c r="P788" s="1745"/>
      <c r="Q788" s="1745"/>
      <c r="R788" s="1745"/>
      <c r="S788" s="1745"/>
      <c r="T788" s="1805"/>
      <c r="U788" s="1733" t="s">
        <v>1699</v>
      </c>
      <c r="V788" s="1699"/>
      <c r="W788" s="1695"/>
      <c r="X788" s="1695"/>
      <c r="Y788" s="1695"/>
      <c r="Z788" s="1695"/>
      <c r="AA788" s="1695"/>
      <c r="AB788" s="1699"/>
      <c r="AC788" s="1695"/>
      <c r="AD788" s="1695"/>
      <c r="AE788" s="1695"/>
      <c r="AF788" s="1695"/>
      <c r="AG788" s="1695"/>
      <c r="AH788" s="1699"/>
      <c r="AI788" s="1695"/>
      <c r="AJ788" s="1695"/>
      <c r="AK788" s="1695"/>
      <c r="AL788" s="1695"/>
      <c r="AM788" s="1695"/>
      <c r="AN788" s="1695"/>
      <c r="AO788" s="1757">
        <v>2.581</v>
      </c>
      <c r="AP788" s="1758">
        <v>52.4</v>
      </c>
    </row>
    <row r="789" spans="1:42">
      <c r="A789" s="2424"/>
      <c r="B789" s="1695"/>
      <c r="C789" s="1696"/>
      <c r="D789" s="1696"/>
      <c r="E789" s="1695"/>
      <c r="F789" s="1695"/>
      <c r="G789" s="1745"/>
      <c r="H789" s="1745"/>
      <c r="I789" s="1745"/>
      <c r="J789" s="1745"/>
      <c r="K789" s="1695"/>
      <c r="L789" s="1745"/>
      <c r="M789" s="1699"/>
      <c r="N789" s="1695"/>
      <c r="O789" s="1695"/>
      <c r="P789" s="1745"/>
      <c r="Q789" s="1745"/>
      <c r="R789" s="1745"/>
      <c r="S789" s="1745"/>
      <c r="T789" s="1805"/>
      <c r="U789" s="1733" t="s">
        <v>1700</v>
      </c>
      <c r="V789" s="1699"/>
      <c r="W789" s="1695"/>
      <c r="X789" s="1695"/>
      <c r="Y789" s="1695"/>
      <c r="Z789" s="1695"/>
      <c r="AA789" s="1695"/>
      <c r="AB789" s="1699"/>
      <c r="AC789" s="1695"/>
      <c r="AD789" s="1695"/>
      <c r="AE789" s="1695"/>
      <c r="AF789" s="1695"/>
      <c r="AG789" s="1695"/>
      <c r="AH789" s="1699"/>
      <c r="AI789" s="1695"/>
      <c r="AJ789" s="1695"/>
      <c r="AK789" s="1695"/>
      <c r="AL789" s="1695"/>
      <c r="AM789" s="1695"/>
      <c r="AN789" s="1695"/>
      <c r="AO789" s="1757">
        <v>2.5</v>
      </c>
      <c r="AP789" s="1758">
        <v>52.4</v>
      </c>
    </row>
    <row r="790" spans="1:42">
      <c r="A790" s="2424"/>
      <c r="B790" s="1695"/>
      <c r="C790" s="1696"/>
      <c r="D790" s="1696"/>
      <c r="E790" s="1695"/>
      <c r="F790" s="1695"/>
      <c r="G790" s="1745"/>
      <c r="H790" s="1745"/>
      <c r="I790" s="1745"/>
      <c r="J790" s="1745"/>
      <c r="K790" s="1695"/>
      <c r="L790" s="1745"/>
      <c r="M790" s="1699"/>
      <c r="N790" s="1695"/>
      <c r="O790" s="1695"/>
      <c r="P790" s="1745"/>
      <c r="Q790" s="1745"/>
      <c r="R790" s="1745"/>
      <c r="S790" s="1745"/>
      <c r="T790" s="1805"/>
      <c r="U790" s="1733" t="s">
        <v>1701</v>
      </c>
      <c r="V790" s="1699"/>
      <c r="W790" s="1695"/>
      <c r="X790" s="1695"/>
      <c r="Y790" s="1695"/>
      <c r="Z790" s="1695"/>
      <c r="AA790" s="1695"/>
      <c r="AB790" s="1699"/>
      <c r="AC790" s="1695"/>
      <c r="AD790" s="1695"/>
      <c r="AE790" s="1695"/>
      <c r="AF790" s="1695"/>
      <c r="AG790" s="1695"/>
      <c r="AH790" s="1699"/>
      <c r="AI790" s="1695"/>
      <c r="AJ790" s="1695"/>
      <c r="AK790" s="1695"/>
      <c r="AL790" s="1695"/>
      <c r="AM790" s="1695"/>
      <c r="AN790" s="1695"/>
      <c r="AO790" s="1757">
        <v>2.581</v>
      </c>
      <c r="AP790" s="1758">
        <v>52.4</v>
      </c>
    </row>
    <row r="791" spans="1:42">
      <c r="A791" s="2424"/>
      <c r="B791" s="1695"/>
      <c r="C791" s="1696"/>
      <c r="D791" s="1696"/>
      <c r="E791" s="1695"/>
      <c r="F791" s="1695"/>
      <c r="G791" s="1745"/>
      <c r="H791" s="1745"/>
      <c r="I791" s="1745"/>
      <c r="J791" s="1745"/>
      <c r="K791" s="1695"/>
      <c r="L791" s="1745"/>
      <c r="M791" s="1699"/>
      <c r="N791" s="1695"/>
      <c r="O791" s="1695"/>
      <c r="P791" s="1745"/>
      <c r="Q791" s="1745"/>
      <c r="R791" s="1745"/>
      <c r="S791" s="1745"/>
      <c r="T791" s="1805"/>
      <c r="U791" s="1733" t="s">
        <v>1726</v>
      </c>
      <c r="V791" s="2022">
        <v>0.6</v>
      </c>
      <c r="W791" s="2023">
        <v>88.705882352941174</v>
      </c>
      <c r="X791" s="2024">
        <v>75.400000000000006</v>
      </c>
      <c r="Y791" s="1782"/>
      <c r="Z791" s="2024">
        <v>5.94</v>
      </c>
      <c r="AA791" s="2025">
        <v>7.46</v>
      </c>
      <c r="AB791" s="2026">
        <v>0.25</v>
      </c>
      <c r="AC791" s="1695"/>
      <c r="AD791" s="1695"/>
      <c r="AE791" s="1695"/>
      <c r="AF791" s="1695"/>
      <c r="AG791" s="1695"/>
      <c r="AH791" s="1699"/>
      <c r="AI791" s="1695"/>
      <c r="AJ791" s="1695"/>
      <c r="AK791" s="1695"/>
      <c r="AL791" s="1695"/>
      <c r="AM791" s="1695"/>
      <c r="AN791" s="1695"/>
      <c r="AO791" s="1699"/>
      <c r="AP791" s="1729"/>
    </row>
    <row r="792" spans="1:42">
      <c r="A792" s="2424"/>
      <c r="B792" s="1695"/>
      <c r="C792" s="1696"/>
      <c r="D792" s="1696"/>
      <c r="E792" s="1695"/>
      <c r="F792" s="1695"/>
      <c r="G792" s="1745"/>
      <c r="H792" s="1745"/>
      <c r="I792" s="1745"/>
      <c r="J792" s="1745"/>
      <c r="K792" s="1695"/>
      <c r="L792" s="1745"/>
      <c r="M792" s="1699"/>
      <c r="N792" s="1695"/>
      <c r="O792" s="1695"/>
      <c r="P792" s="1745"/>
      <c r="Q792" s="1745"/>
      <c r="R792" s="1745"/>
      <c r="S792" s="1745"/>
      <c r="T792" s="1805"/>
      <c r="U792" s="1733" t="s">
        <v>1727</v>
      </c>
      <c r="V792" s="2014">
        <v>1</v>
      </c>
      <c r="W792" s="2015">
        <v>79</v>
      </c>
      <c r="X792" s="1749">
        <v>79</v>
      </c>
      <c r="Y792" s="1735"/>
      <c r="Z792" s="1749"/>
      <c r="AA792" s="2016">
        <v>35.168199999999999</v>
      </c>
      <c r="AB792" s="2017"/>
      <c r="AC792" s="1695"/>
      <c r="AD792" s="1695"/>
      <c r="AE792" s="1695"/>
      <c r="AF792" s="1695"/>
      <c r="AG792" s="1695"/>
      <c r="AH792" s="1699"/>
      <c r="AI792" s="1695"/>
      <c r="AJ792" s="1695"/>
      <c r="AK792" s="1695"/>
      <c r="AL792" s="1695"/>
      <c r="AM792" s="1695"/>
      <c r="AN792" s="1695"/>
      <c r="AO792" s="1699"/>
      <c r="AP792" s="1729"/>
    </row>
    <row r="793" spans="1:42">
      <c r="A793" s="2424"/>
      <c r="B793" s="1695"/>
      <c r="C793" s="1696"/>
      <c r="D793" s="1696"/>
      <c r="E793" s="1695"/>
      <c r="F793" s="1695"/>
      <c r="G793" s="1745"/>
      <c r="H793" s="1745"/>
      <c r="I793" s="1745"/>
      <c r="J793" s="1745"/>
      <c r="K793" s="1695"/>
      <c r="L793" s="1745"/>
      <c r="M793" s="1699"/>
      <c r="N793" s="1695"/>
      <c r="O793" s="1695"/>
      <c r="P793" s="1745"/>
      <c r="Q793" s="1745"/>
      <c r="R793" s="1745"/>
      <c r="S793" s="1745"/>
      <c r="T793" s="1805"/>
      <c r="U793" s="1733" t="s">
        <v>1727</v>
      </c>
      <c r="V793" s="2014">
        <v>0.91666666666666674</v>
      </c>
      <c r="W793" s="2015">
        <v>75</v>
      </c>
      <c r="X793" s="1749">
        <v>112.5</v>
      </c>
      <c r="Y793" s="1735"/>
      <c r="Z793" s="1749">
        <v>1.26</v>
      </c>
      <c r="AA793" s="2016">
        <v>11.2026</v>
      </c>
      <c r="AB793" s="2017">
        <v>0.58333333333333337</v>
      </c>
      <c r="AC793" s="1695"/>
      <c r="AD793" s="1695"/>
      <c r="AE793" s="1695"/>
      <c r="AF793" s="1695"/>
      <c r="AG793" s="1695"/>
      <c r="AH793" s="1699"/>
      <c r="AI793" s="1695"/>
      <c r="AJ793" s="1695"/>
      <c r="AK793" s="1695"/>
      <c r="AL793" s="1695"/>
      <c r="AM793" s="1695"/>
      <c r="AN793" s="1695"/>
      <c r="AO793" s="1699"/>
      <c r="AP793" s="1729"/>
    </row>
    <row r="794" spans="1:42">
      <c r="A794" s="2424"/>
      <c r="B794" s="1695"/>
      <c r="C794" s="1696"/>
      <c r="D794" s="1696"/>
      <c r="E794" s="1695"/>
      <c r="F794" s="1695"/>
      <c r="G794" s="1745"/>
      <c r="H794" s="1745"/>
      <c r="I794" s="1745"/>
      <c r="J794" s="1745"/>
      <c r="K794" s="1695"/>
      <c r="L794" s="1745"/>
      <c r="M794" s="1699"/>
      <c r="N794" s="1695"/>
      <c r="O794" s="1695"/>
      <c r="P794" s="1745"/>
      <c r="Q794" s="1745"/>
      <c r="R794" s="1745"/>
      <c r="S794" s="1745"/>
      <c r="T794" s="1805"/>
      <c r="U794" s="1733" t="s">
        <v>1727</v>
      </c>
      <c r="V794" s="2014">
        <v>0.83333333333333326</v>
      </c>
      <c r="W794" s="2015">
        <v>60</v>
      </c>
      <c r="X794" s="1749">
        <v>50</v>
      </c>
      <c r="Y794" s="1735"/>
      <c r="Z794" s="1749">
        <v>2</v>
      </c>
      <c r="AA794" s="2016">
        <v>15.3</v>
      </c>
      <c r="AB794" s="1743"/>
      <c r="AC794" s="1695"/>
      <c r="AD794" s="1695"/>
      <c r="AE794" s="1695"/>
      <c r="AF794" s="1695"/>
      <c r="AG794" s="1695"/>
      <c r="AH794" s="1699"/>
      <c r="AI794" s="1695"/>
      <c r="AJ794" s="1695"/>
      <c r="AK794" s="1695"/>
      <c r="AL794" s="1695"/>
      <c r="AM794" s="1695"/>
      <c r="AN794" s="1695"/>
      <c r="AO794" s="1699"/>
      <c r="AP794" s="1729"/>
    </row>
    <row r="795" spans="1:42" ht="8.25" customHeight="1">
      <c r="A795" s="2424"/>
      <c r="B795" s="1695"/>
      <c r="C795" s="1696"/>
      <c r="D795" s="1696"/>
      <c r="E795" s="1695"/>
      <c r="F795" s="1695"/>
      <c r="G795" s="1745"/>
      <c r="H795" s="1745"/>
      <c r="I795" s="1745"/>
      <c r="J795" s="1745"/>
      <c r="K795" s="1695"/>
      <c r="L795" s="1745"/>
      <c r="M795" s="1699"/>
      <c r="N795" s="1695"/>
      <c r="O795" s="1695"/>
      <c r="P795" s="1745"/>
      <c r="Q795" s="1745"/>
      <c r="R795" s="1745"/>
      <c r="S795" s="1745"/>
      <c r="T795" s="1805"/>
      <c r="U795" s="1733" t="s">
        <v>1727</v>
      </c>
      <c r="V795" s="2014">
        <v>0.36</v>
      </c>
      <c r="W795" s="2015">
        <v>95</v>
      </c>
      <c r="X795" s="1749">
        <v>34.200000000000003</v>
      </c>
      <c r="Y795" s="1749">
        <v>0.5</v>
      </c>
      <c r="Z795" s="1749">
        <v>4.0449999999999999</v>
      </c>
      <c r="AA795" s="2016"/>
      <c r="AB795" s="1757"/>
      <c r="AC795" s="1695"/>
      <c r="AD795" s="1695"/>
      <c r="AE795" s="1695"/>
      <c r="AF795" s="1695"/>
      <c r="AG795" s="1695"/>
      <c r="AH795" s="1699"/>
      <c r="AI795" s="1695"/>
      <c r="AJ795" s="1695"/>
      <c r="AK795" s="1695"/>
      <c r="AL795" s="1695"/>
      <c r="AM795" s="1695"/>
      <c r="AN795" s="1695"/>
      <c r="AO795" s="1699"/>
      <c r="AP795" s="1729"/>
    </row>
    <row r="796" spans="1:42" ht="15.75" thickBot="1">
      <c r="A796" s="2425"/>
      <c r="B796" s="1695"/>
      <c r="C796" s="1696"/>
      <c r="D796" s="1696"/>
      <c r="E796" s="1695"/>
      <c r="F796" s="1695"/>
      <c r="G796" s="1745"/>
      <c r="H796" s="1745"/>
      <c r="I796" s="1745"/>
      <c r="J796" s="1745"/>
      <c r="K796" s="1695"/>
      <c r="L796" s="1745"/>
      <c r="M796" s="1699"/>
      <c r="N796" s="1695"/>
      <c r="O796" s="1695"/>
      <c r="P796" s="1745"/>
      <c r="Q796" s="1745"/>
      <c r="R796" s="1745"/>
      <c r="S796" s="1745"/>
      <c r="T796" s="1805"/>
      <c r="U796" s="1733" t="s">
        <v>1727</v>
      </c>
      <c r="V796" s="2014">
        <v>1.6733471379973377</v>
      </c>
      <c r="W796" s="2015">
        <v>79.541176470588226</v>
      </c>
      <c r="X796" s="1749">
        <v>133.1</v>
      </c>
      <c r="Y796" s="1735"/>
      <c r="Z796" s="1749">
        <v>0.06</v>
      </c>
      <c r="AA796" s="2016">
        <v>8.2449999999999992</v>
      </c>
      <c r="AB796" s="1757"/>
      <c r="AC796" s="1695"/>
      <c r="AD796" s="1695"/>
      <c r="AE796" s="1695"/>
      <c r="AF796" s="1695"/>
      <c r="AG796" s="1695"/>
      <c r="AH796" s="1699"/>
      <c r="AI796" s="1695"/>
      <c r="AJ796" s="1695"/>
      <c r="AK796" s="1695"/>
      <c r="AL796" s="1695"/>
      <c r="AM796" s="1695"/>
      <c r="AN796" s="1695"/>
      <c r="AO796" s="1699"/>
      <c r="AP796" s="1729"/>
    </row>
    <row r="797" spans="1:42" ht="15.75" thickBot="1">
      <c r="A797" s="2005"/>
      <c r="B797" s="1715"/>
      <c r="C797" s="1716"/>
      <c r="D797" s="1716"/>
      <c r="E797" s="1715"/>
      <c r="F797" s="1715"/>
      <c r="G797" s="1717"/>
      <c r="H797" s="1717"/>
      <c r="I797" s="1717"/>
      <c r="J797" s="1717"/>
      <c r="K797" s="1715"/>
      <c r="L797" s="1717"/>
      <c r="M797" s="1718"/>
      <c r="N797" s="1715"/>
      <c r="O797" s="1715"/>
      <c r="P797" s="1717"/>
      <c r="Q797" s="1717"/>
      <c r="R797" s="1717"/>
      <c r="S797" s="1717"/>
      <c r="T797" s="1717"/>
      <c r="U797" s="1718"/>
      <c r="V797" s="1718"/>
      <c r="W797" s="1715"/>
      <c r="X797" s="1715"/>
      <c r="Y797" s="1715"/>
      <c r="Z797" s="1715"/>
      <c r="AA797" s="1715"/>
      <c r="AB797" s="1718"/>
      <c r="AC797" s="1715"/>
      <c r="AD797" s="1715"/>
      <c r="AE797" s="1715"/>
      <c r="AF797" s="1715"/>
      <c r="AG797" s="1715"/>
      <c r="AH797" s="1718"/>
      <c r="AI797" s="1715"/>
      <c r="AJ797" s="1715"/>
      <c r="AK797" s="1715"/>
      <c r="AL797" s="1715"/>
      <c r="AM797" s="1715"/>
      <c r="AN797" s="1715"/>
      <c r="AO797" s="1718"/>
      <c r="AP797" s="1719"/>
    </row>
    <row r="798" spans="1:42">
      <c r="A798" s="2432" t="s">
        <v>1368</v>
      </c>
      <c r="B798" s="2027" t="s">
        <v>1921</v>
      </c>
      <c r="C798" s="1696"/>
      <c r="D798" s="1696"/>
      <c r="E798" s="1695"/>
      <c r="F798" s="1695"/>
      <c r="G798" s="1745"/>
      <c r="H798" s="1745"/>
      <c r="I798" s="1745"/>
      <c r="J798" s="1745"/>
      <c r="K798" s="1695"/>
      <c r="L798" s="1745"/>
      <c r="M798" s="1699"/>
      <c r="N798" s="1695"/>
      <c r="O798" s="1695"/>
      <c r="P798" s="1745"/>
      <c r="Q798" s="1745"/>
      <c r="R798" s="1745"/>
      <c r="S798" s="1745"/>
      <c r="T798" s="1805"/>
      <c r="U798" s="1733" t="s">
        <v>1561</v>
      </c>
      <c r="V798" s="1699"/>
      <c r="W798" s="1695"/>
      <c r="X798" s="1695"/>
      <c r="Y798" s="1695"/>
      <c r="Z798" s="1695"/>
      <c r="AA798" s="1695"/>
      <c r="AB798" s="1699"/>
      <c r="AC798" s="1695"/>
      <c r="AD798" s="1695"/>
      <c r="AE798" s="1695"/>
      <c r="AF798" s="1695"/>
      <c r="AG798" s="1695"/>
      <c r="AH798" s="2003">
        <v>0.11336377937908999</v>
      </c>
      <c r="AI798" s="2004">
        <v>2.1675320580773701E-2</v>
      </c>
      <c r="AJ798" s="2004">
        <v>70</v>
      </c>
      <c r="AK798" s="1735"/>
      <c r="AL798" s="1735"/>
      <c r="AM798" s="1735"/>
      <c r="AN798" s="1747"/>
      <c r="AO798" s="1699"/>
      <c r="AP798" s="1729"/>
    </row>
    <row r="799" spans="1:42">
      <c r="A799" s="2486"/>
      <c r="B799" s="1695"/>
      <c r="C799" s="1696"/>
      <c r="D799" s="1696"/>
      <c r="E799" s="1695"/>
      <c r="F799" s="1695"/>
      <c r="G799" s="1745"/>
      <c r="H799" s="1745"/>
      <c r="I799" s="1745"/>
      <c r="J799" s="1745"/>
      <c r="K799" s="1695"/>
      <c r="L799" s="1745"/>
      <c r="M799" s="1699"/>
      <c r="N799" s="1695"/>
      <c r="O799" s="1695"/>
      <c r="P799" s="1745"/>
      <c r="Q799" s="1745"/>
      <c r="R799" s="1745"/>
      <c r="S799" s="1745"/>
      <c r="T799" s="1745"/>
      <c r="U799" s="1699"/>
      <c r="V799" s="1699"/>
      <c r="W799" s="1695"/>
      <c r="X799" s="1695"/>
      <c r="Y799" s="1695"/>
      <c r="Z799" s="1695"/>
      <c r="AA799" s="1695"/>
      <c r="AB799" s="1699"/>
      <c r="AC799" s="1695"/>
      <c r="AD799" s="1695"/>
      <c r="AE799" s="1695"/>
      <c r="AF799" s="1695"/>
      <c r="AG799" s="1695"/>
      <c r="AH799" s="1699"/>
      <c r="AI799" s="1695"/>
      <c r="AJ799" s="1695"/>
      <c r="AK799" s="1695"/>
      <c r="AL799" s="1695"/>
      <c r="AM799" s="1695"/>
      <c r="AN799" s="1695"/>
      <c r="AO799" s="1699"/>
      <c r="AP799" s="1729"/>
    </row>
    <row r="800" spans="1:42">
      <c r="A800" s="2486"/>
      <c r="B800" s="1695"/>
      <c r="C800" s="1696"/>
      <c r="D800" s="1696"/>
      <c r="E800" s="1695"/>
      <c r="F800" s="1695"/>
      <c r="G800" s="1745"/>
      <c r="H800" s="1745"/>
      <c r="I800" s="1745"/>
      <c r="J800" s="1745"/>
      <c r="K800" s="1695"/>
      <c r="L800" s="1745"/>
      <c r="M800" s="1699"/>
      <c r="N800" s="1695"/>
      <c r="O800" s="1695"/>
      <c r="P800" s="1745"/>
      <c r="Q800" s="1745"/>
      <c r="R800" s="1745"/>
      <c r="S800" s="1745"/>
      <c r="T800" s="1745"/>
      <c r="U800" s="1699"/>
      <c r="V800" s="1699"/>
      <c r="W800" s="1695"/>
      <c r="X800" s="1695"/>
      <c r="Y800" s="1695"/>
      <c r="Z800" s="1695"/>
      <c r="AA800" s="1695"/>
      <c r="AB800" s="1699"/>
      <c r="AC800" s="1695"/>
      <c r="AD800" s="1695"/>
      <c r="AE800" s="1695"/>
      <c r="AF800" s="1695"/>
      <c r="AG800" s="1695"/>
      <c r="AH800" s="1699"/>
      <c r="AI800" s="1695"/>
      <c r="AJ800" s="1695"/>
      <c r="AK800" s="1695"/>
      <c r="AL800" s="1695"/>
      <c r="AM800" s="1695"/>
      <c r="AN800" s="1695"/>
      <c r="AO800" s="1699"/>
      <c r="AP800" s="1729"/>
    </row>
    <row r="801" spans="1:42">
      <c r="A801" s="2486"/>
      <c r="B801" s="1695"/>
      <c r="C801" s="1696"/>
      <c r="D801" s="1696"/>
      <c r="E801" s="1695"/>
      <c r="F801" s="1695"/>
      <c r="G801" s="1745"/>
      <c r="H801" s="1745"/>
      <c r="I801" s="1745"/>
      <c r="J801" s="1745"/>
      <c r="K801" s="1695"/>
      <c r="L801" s="1745"/>
      <c r="M801" s="1699"/>
      <c r="N801" s="1695"/>
      <c r="O801" s="1695"/>
      <c r="P801" s="1745"/>
      <c r="Q801" s="1745"/>
      <c r="R801" s="1745"/>
      <c r="S801" s="1745"/>
      <c r="T801" s="1745"/>
      <c r="U801" s="1699"/>
      <c r="V801" s="1699"/>
      <c r="W801" s="1695"/>
      <c r="X801" s="1695"/>
      <c r="Y801" s="1695"/>
      <c r="Z801" s="1695"/>
      <c r="AA801" s="1695"/>
      <c r="AB801" s="1699"/>
      <c r="AC801" s="1695"/>
      <c r="AD801" s="1695"/>
      <c r="AE801" s="1695"/>
      <c r="AF801" s="1695"/>
      <c r="AG801" s="1695"/>
      <c r="AH801" s="1699"/>
      <c r="AI801" s="1695"/>
      <c r="AJ801" s="1695"/>
      <c r="AK801" s="1695"/>
      <c r="AL801" s="1695"/>
      <c r="AM801" s="1695"/>
      <c r="AN801" s="1695"/>
      <c r="AO801" s="1699"/>
      <c r="AP801" s="1729"/>
    </row>
    <row r="802" spans="1:42">
      <c r="A802" s="2486"/>
      <c r="B802" s="1695"/>
      <c r="C802" s="1696"/>
      <c r="D802" s="1696"/>
      <c r="E802" s="1695"/>
      <c r="F802" s="1695"/>
      <c r="G802" s="1745"/>
      <c r="H802" s="1745"/>
      <c r="I802" s="1745"/>
      <c r="J802" s="1745"/>
      <c r="K802" s="1695"/>
      <c r="L802" s="1745"/>
      <c r="M802" s="1699"/>
      <c r="N802" s="1695"/>
      <c r="O802" s="1695"/>
      <c r="P802" s="1745"/>
      <c r="Q802" s="1745"/>
      <c r="R802" s="1745"/>
      <c r="S802" s="1745"/>
      <c r="T802" s="1745"/>
      <c r="U802" s="1699"/>
      <c r="V802" s="1699"/>
      <c r="W802" s="1695"/>
      <c r="X802" s="1695"/>
      <c r="Y802" s="1695"/>
      <c r="Z802" s="1695"/>
      <c r="AA802" s="1695"/>
      <c r="AB802" s="1699"/>
      <c r="AC802" s="1695"/>
      <c r="AD802" s="1695"/>
      <c r="AE802" s="1695"/>
      <c r="AF802" s="1695"/>
      <c r="AG802" s="1695"/>
      <c r="AH802" s="1699"/>
      <c r="AI802" s="1695"/>
      <c r="AJ802" s="1695"/>
      <c r="AK802" s="1695"/>
      <c r="AL802" s="1695"/>
      <c r="AM802" s="1695"/>
      <c r="AN802" s="1695"/>
      <c r="AO802" s="1699"/>
      <c r="AP802" s="1729"/>
    </row>
    <row r="803" spans="1:42">
      <c r="A803" s="2486"/>
      <c r="B803" s="1695"/>
      <c r="C803" s="1696"/>
      <c r="D803" s="1696"/>
      <c r="E803" s="1695"/>
      <c r="F803" s="1695"/>
      <c r="G803" s="1745"/>
      <c r="H803" s="1745"/>
      <c r="I803" s="1745"/>
      <c r="J803" s="1745"/>
      <c r="K803" s="1695"/>
      <c r="L803" s="1745"/>
      <c r="M803" s="1699"/>
      <c r="N803" s="1695"/>
      <c r="O803" s="1695"/>
      <c r="P803" s="1745"/>
      <c r="Q803" s="1745"/>
      <c r="R803" s="1745"/>
      <c r="S803" s="1745"/>
      <c r="T803" s="1745"/>
      <c r="U803" s="1699"/>
      <c r="V803" s="1699"/>
      <c r="W803" s="1695"/>
      <c r="X803" s="1695"/>
      <c r="Y803" s="1695"/>
      <c r="Z803" s="1695"/>
      <c r="AA803" s="1695"/>
      <c r="AB803" s="1699"/>
      <c r="AC803" s="1695"/>
      <c r="AD803" s="1695"/>
      <c r="AE803" s="1695"/>
      <c r="AF803" s="1695"/>
      <c r="AG803" s="1695"/>
      <c r="AH803" s="1699"/>
      <c r="AI803" s="1695"/>
      <c r="AJ803" s="1695"/>
      <c r="AK803" s="1695"/>
      <c r="AL803" s="1695"/>
      <c r="AM803" s="1695"/>
      <c r="AN803" s="1695"/>
      <c r="AO803" s="1699"/>
      <c r="AP803" s="1729"/>
    </row>
    <row r="804" spans="1:42">
      <c r="A804" s="2486"/>
      <c r="B804" s="1695"/>
      <c r="C804" s="1696"/>
      <c r="D804" s="1696"/>
      <c r="E804" s="1695"/>
      <c r="F804" s="1695"/>
      <c r="G804" s="1745"/>
      <c r="H804" s="1745"/>
      <c r="I804" s="1745"/>
      <c r="J804" s="1745"/>
      <c r="K804" s="1695"/>
      <c r="L804" s="1745"/>
      <c r="M804" s="1699"/>
      <c r="N804" s="1695"/>
      <c r="O804" s="1695"/>
      <c r="P804" s="1745"/>
      <c r="Q804" s="1745"/>
      <c r="R804" s="1745"/>
      <c r="S804" s="1745"/>
      <c r="T804" s="1745"/>
      <c r="U804" s="1699"/>
      <c r="V804" s="1699"/>
      <c r="W804" s="1695"/>
      <c r="X804" s="1695"/>
      <c r="Y804" s="1695"/>
      <c r="Z804" s="1695"/>
      <c r="AA804" s="1695"/>
      <c r="AB804" s="1699"/>
      <c r="AC804" s="1695"/>
      <c r="AD804" s="1695"/>
      <c r="AE804" s="1695"/>
      <c r="AF804" s="1695"/>
      <c r="AG804" s="1695"/>
      <c r="AH804" s="1699"/>
      <c r="AI804" s="1695"/>
      <c r="AJ804" s="1695"/>
      <c r="AK804" s="1695"/>
      <c r="AL804" s="1695"/>
      <c r="AM804" s="1695"/>
      <c r="AN804" s="1695"/>
      <c r="AO804" s="1699"/>
      <c r="AP804" s="1729"/>
    </row>
    <row r="805" spans="1:42">
      <c r="A805" s="2486"/>
      <c r="B805" s="1695"/>
      <c r="C805" s="1696"/>
      <c r="D805" s="1696"/>
      <c r="E805" s="1695"/>
      <c r="F805" s="1695"/>
      <c r="G805" s="1745"/>
      <c r="H805" s="1745"/>
      <c r="I805" s="1745"/>
      <c r="J805" s="1745"/>
      <c r="K805" s="1695"/>
      <c r="L805" s="1745"/>
      <c r="M805" s="1699"/>
      <c r="N805" s="1695"/>
      <c r="O805" s="1695"/>
      <c r="P805" s="1745"/>
      <c r="Q805" s="1745"/>
      <c r="R805" s="1745"/>
      <c r="S805" s="1745"/>
      <c r="T805" s="1745"/>
      <c r="U805" s="1699"/>
      <c r="V805" s="1699"/>
      <c r="W805" s="1695"/>
      <c r="X805" s="1695"/>
      <c r="Y805" s="1695"/>
      <c r="Z805" s="1695"/>
      <c r="AA805" s="1695"/>
      <c r="AB805" s="1699"/>
      <c r="AC805" s="1695"/>
      <c r="AD805" s="1695"/>
      <c r="AE805" s="1695"/>
      <c r="AF805" s="1695"/>
      <c r="AG805" s="1695"/>
      <c r="AH805" s="1699"/>
      <c r="AI805" s="1695"/>
      <c r="AJ805" s="1695"/>
      <c r="AK805" s="1695"/>
      <c r="AL805" s="1695"/>
      <c r="AM805" s="1695"/>
      <c r="AN805" s="1695"/>
      <c r="AO805" s="1699"/>
      <c r="AP805" s="1729"/>
    </row>
    <row r="806" spans="1:42">
      <c r="A806" s="2486"/>
      <c r="B806" s="1695"/>
      <c r="C806" s="1696"/>
      <c r="D806" s="1696"/>
      <c r="E806" s="1695"/>
      <c r="F806" s="1695"/>
      <c r="G806" s="1745"/>
      <c r="H806" s="1745"/>
      <c r="I806" s="1745"/>
      <c r="J806" s="1745"/>
      <c r="K806" s="1695"/>
      <c r="L806" s="1745"/>
      <c r="M806" s="1699"/>
      <c r="N806" s="1695"/>
      <c r="O806" s="1695"/>
      <c r="P806" s="1745"/>
      <c r="Q806" s="1745"/>
      <c r="R806" s="1745"/>
      <c r="S806" s="1745"/>
      <c r="T806" s="1745"/>
      <c r="U806" s="1699"/>
      <c r="V806" s="1699"/>
      <c r="W806" s="1695"/>
      <c r="X806" s="1695"/>
      <c r="Y806" s="1695"/>
      <c r="Z806" s="1695"/>
      <c r="AA806" s="1695"/>
      <c r="AB806" s="1699"/>
      <c r="AC806" s="1695"/>
      <c r="AD806" s="1695"/>
      <c r="AE806" s="1695"/>
      <c r="AF806" s="1695"/>
      <c r="AG806" s="1695"/>
      <c r="AH806" s="1699"/>
      <c r="AI806" s="1695"/>
      <c r="AJ806" s="1695"/>
      <c r="AK806" s="1695"/>
      <c r="AL806" s="1695"/>
      <c r="AM806" s="1695"/>
      <c r="AN806" s="1695"/>
      <c r="AO806" s="1699"/>
      <c r="AP806" s="1729"/>
    </row>
    <row r="807" spans="1:42">
      <c r="A807" s="2486"/>
      <c r="B807" s="1695"/>
      <c r="C807" s="1696"/>
      <c r="D807" s="1696"/>
      <c r="E807" s="1695"/>
      <c r="F807" s="1695"/>
      <c r="G807" s="1745"/>
      <c r="H807" s="1745"/>
      <c r="I807" s="1745"/>
      <c r="J807" s="1745"/>
      <c r="K807" s="1695"/>
      <c r="L807" s="1745"/>
      <c r="M807" s="1699"/>
      <c r="N807" s="1695"/>
      <c r="O807" s="1695"/>
      <c r="P807" s="1745"/>
      <c r="Q807" s="1745"/>
      <c r="R807" s="1745"/>
      <c r="S807" s="1745"/>
      <c r="T807" s="1745"/>
      <c r="U807" s="1699"/>
      <c r="V807" s="1699"/>
      <c r="W807" s="1695"/>
      <c r="X807" s="1695"/>
      <c r="Y807" s="1695"/>
      <c r="Z807" s="1695"/>
      <c r="AA807" s="1695"/>
      <c r="AB807" s="1699"/>
      <c r="AC807" s="1695"/>
      <c r="AD807" s="1695"/>
      <c r="AE807" s="1695"/>
      <c r="AF807" s="1695"/>
      <c r="AG807" s="1695"/>
      <c r="AH807" s="1699"/>
      <c r="AI807" s="1695"/>
      <c r="AJ807" s="1695"/>
      <c r="AK807" s="1695"/>
      <c r="AL807" s="1695"/>
      <c r="AM807" s="1695"/>
      <c r="AN807" s="1695"/>
      <c r="AO807" s="1699"/>
      <c r="AP807" s="1729"/>
    </row>
    <row r="808" spans="1:42">
      <c r="A808" s="2486"/>
      <c r="B808" s="1695"/>
      <c r="C808" s="1696"/>
      <c r="D808" s="1696"/>
      <c r="E808" s="1695"/>
      <c r="F808" s="1695"/>
      <c r="G808" s="1745"/>
      <c r="H808" s="1745"/>
      <c r="I808" s="1745"/>
      <c r="J808" s="1745"/>
      <c r="K808" s="1695"/>
      <c r="L808" s="1745"/>
      <c r="M808" s="1699"/>
      <c r="N808" s="1695"/>
      <c r="O808" s="1695"/>
      <c r="P808" s="1745"/>
      <c r="Q808" s="1745"/>
      <c r="R808" s="1745"/>
      <c r="S808" s="1745"/>
      <c r="T808" s="1745"/>
      <c r="U808" s="1699"/>
      <c r="V808" s="1699"/>
      <c r="W808" s="1695"/>
      <c r="X808" s="1695"/>
      <c r="Y808" s="1695"/>
      <c r="Z808" s="1695"/>
      <c r="AA808" s="1695"/>
      <c r="AB808" s="1699"/>
      <c r="AC808" s="1695"/>
      <c r="AD808" s="1695"/>
      <c r="AE808" s="1695"/>
      <c r="AF808" s="1695"/>
      <c r="AG808" s="1695"/>
      <c r="AH808" s="1699"/>
      <c r="AI808" s="1695"/>
      <c r="AJ808" s="1695"/>
      <c r="AK808" s="1695"/>
      <c r="AL808" s="1695"/>
      <c r="AM808" s="1695"/>
      <c r="AN808" s="1695"/>
      <c r="AO808" s="1699"/>
      <c r="AP808" s="1729"/>
    </row>
    <row r="809" spans="1:42">
      <c r="A809" s="2486"/>
      <c r="B809" s="1695"/>
      <c r="C809" s="1696"/>
      <c r="D809" s="1696"/>
      <c r="E809" s="1695"/>
      <c r="F809" s="1695"/>
      <c r="G809" s="1745"/>
      <c r="H809" s="1745"/>
      <c r="I809" s="1745"/>
      <c r="J809" s="1745"/>
      <c r="K809" s="1695"/>
      <c r="L809" s="1745"/>
      <c r="M809" s="1699"/>
      <c r="N809" s="1695"/>
      <c r="O809" s="1695"/>
      <c r="P809" s="1745"/>
      <c r="Q809" s="1745"/>
      <c r="R809" s="1745"/>
      <c r="S809" s="1745"/>
      <c r="T809" s="1745"/>
      <c r="U809" s="1699"/>
      <c r="V809" s="1699"/>
      <c r="W809" s="1695"/>
      <c r="X809" s="1695"/>
      <c r="Y809" s="1695"/>
      <c r="Z809" s="1695"/>
      <c r="AA809" s="1695"/>
      <c r="AB809" s="1699"/>
      <c r="AC809" s="1695"/>
      <c r="AD809" s="1695"/>
      <c r="AE809" s="1695"/>
      <c r="AF809" s="1695"/>
      <c r="AG809" s="1695"/>
      <c r="AH809" s="1699"/>
      <c r="AI809" s="1695"/>
      <c r="AJ809" s="1695"/>
      <c r="AK809" s="1695"/>
      <c r="AL809" s="1695"/>
      <c r="AM809" s="1695"/>
      <c r="AN809" s="1695"/>
      <c r="AO809" s="1699"/>
      <c r="AP809" s="1729"/>
    </row>
    <row r="810" spans="1:42">
      <c r="A810" s="2486"/>
      <c r="B810" s="1695"/>
      <c r="C810" s="1696"/>
      <c r="D810" s="1696"/>
      <c r="E810" s="1695"/>
      <c r="F810" s="1695"/>
      <c r="G810" s="1745"/>
      <c r="H810" s="1745"/>
      <c r="I810" s="1745"/>
      <c r="J810" s="1745"/>
      <c r="K810" s="1695"/>
      <c r="L810" s="1745"/>
      <c r="M810" s="1699"/>
      <c r="N810" s="1695"/>
      <c r="O810" s="1695"/>
      <c r="P810" s="1745"/>
      <c r="Q810" s="1745"/>
      <c r="R810" s="1745"/>
      <c r="S810" s="1745"/>
      <c r="T810" s="1745"/>
      <c r="U810" s="1699"/>
      <c r="V810" s="1699"/>
      <c r="W810" s="1695"/>
      <c r="X810" s="1695"/>
      <c r="Y810" s="1695"/>
      <c r="Z810" s="1695"/>
      <c r="AA810" s="1695"/>
      <c r="AB810" s="1699"/>
      <c r="AC810" s="1695"/>
      <c r="AD810" s="1695"/>
      <c r="AE810" s="1695"/>
      <c r="AF810" s="1695"/>
      <c r="AG810" s="1695"/>
      <c r="AH810" s="1699"/>
      <c r="AI810" s="1695"/>
      <c r="AJ810" s="1695"/>
      <c r="AK810" s="1695"/>
      <c r="AL810" s="1695"/>
      <c r="AM810" s="1695"/>
      <c r="AN810" s="1695"/>
      <c r="AO810" s="1699"/>
      <c r="AP810" s="1729"/>
    </row>
    <row r="811" spans="1:42">
      <c r="A811" s="2486"/>
      <c r="B811" s="1695"/>
      <c r="C811" s="1696"/>
      <c r="D811" s="1696"/>
      <c r="E811" s="1695"/>
      <c r="F811" s="1695"/>
      <c r="G811" s="1745"/>
      <c r="H811" s="1745"/>
      <c r="I811" s="1745"/>
      <c r="J811" s="1745"/>
      <c r="K811" s="1695"/>
      <c r="L811" s="1745"/>
      <c r="M811" s="1699"/>
      <c r="N811" s="1695"/>
      <c r="O811" s="1695"/>
      <c r="P811" s="1745"/>
      <c r="Q811" s="1745"/>
      <c r="R811" s="1745"/>
      <c r="S811" s="1745"/>
      <c r="T811" s="1745"/>
      <c r="U811" s="1699"/>
      <c r="V811" s="1699"/>
      <c r="W811" s="1695"/>
      <c r="X811" s="1695"/>
      <c r="Y811" s="1695"/>
      <c r="Z811" s="1695"/>
      <c r="AA811" s="1695"/>
      <c r="AB811" s="1699"/>
      <c r="AC811" s="1695"/>
      <c r="AD811" s="1695"/>
      <c r="AE811" s="1695"/>
      <c r="AF811" s="1695"/>
      <c r="AG811" s="1695"/>
      <c r="AH811" s="1699"/>
      <c r="AI811" s="1695"/>
      <c r="AJ811" s="1695"/>
      <c r="AK811" s="1695"/>
      <c r="AL811" s="1695"/>
      <c r="AM811" s="1695"/>
      <c r="AN811" s="1695"/>
      <c r="AO811" s="1699"/>
      <c r="AP811" s="1729"/>
    </row>
    <row r="812" spans="1:42">
      <c r="A812" s="2486"/>
      <c r="B812" s="1695"/>
      <c r="C812" s="1696"/>
      <c r="D812" s="1696"/>
      <c r="E812" s="1695"/>
      <c r="F812" s="1695"/>
      <c r="G812" s="1745"/>
      <c r="H812" s="1745"/>
      <c r="I812" s="1745"/>
      <c r="J812" s="1745"/>
      <c r="K812" s="1695"/>
      <c r="L812" s="1745"/>
      <c r="M812" s="1699"/>
      <c r="N812" s="1695"/>
      <c r="O812" s="1695"/>
      <c r="P812" s="1745"/>
      <c r="Q812" s="1745"/>
      <c r="R812" s="1745"/>
      <c r="S812" s="1745"/>
      <c r="T812" s="1745"/>
      <c r="U812" s="1699"/>
      <c r="V812" s="1699"/>
      <c r="W812" s="1695"/>
      <c r="X812" s="1695"/>
      <c r="Y812" s="1695"/>
      <c r="Z812" s="1695"/>
      <c r="AA812" s="1695"/>
      <c r="AB812" s="1699"/>
      <c r="AC812" s="1695"/>
      <c r="AD812" s="1695"/>
      <c r="AE812" s="1695"/>
      <c r="AF812" s="1695"/>
      <c r="AG812" s="1695"/>
      <c r="AH812" s="1699"/>
      <c r="AI812" s="1695"/>
      <c r="AJ812" s="1695"/>
      <c r="AK812" s="1695"/>
      <c r="AL812" s="1695"/>
      <c r="AM812" s="1695"/>
      <c r="AN812" s="1695"/>
      <c r="AO812" s="1699"/>
      <c r="AP812" s="1729"/>
    </row>
    <row r="813" spans="1:42">
      <c r="A813" s="2486"/>
      <c r="B813" s="1695"/>
      <c r="C813" s="1696"/>
      <c r="D813" s="1696"/>
      <c r="E813" s="1695"/>
      <c r="F813" s="1695"/>
      <c r="G813" s="1745"/>
      <c r="H813" s="1745"/>
      <c r="I813" s="1745"/>
      <c r="J813" s="1745"/>
      <c r="K813" s="1695"/>
      <c r="L813" s="1745"/>
      <c r="M813" s="1699"/>
      <c r="N813" s="1695"/>
      <c r="O813" s="1695"/>
      <c r="P813" s="1745"/>
      <c r="Q813" s="1745"/>
      <c r="R813" s="1745"/>
      <c r="S813" s="1745"/>
      <c r="T813" s="1745"/>
      <c r="U813" s="1699"/>
      <c r="V813" s="1699"/>
      <c r="W813" s="1695"/>
      <c r="X813" s="1695"/>
      <c r="Y813" s="1695"/>
      <c r="Z813" s="1695"/>
      <c r="AA813" s="1695"/>
      <c r="AB813" s="1699"/>
      <c r="AC813" s="1695"/>
      <c r="AD813" s="1695"/>
      <c r="AE813" s="1695"/>
      <c r="AF813" s="1695"/>
      <c r="AG813" s="1695"/>
      <c r="AH813" s="1699"/>
      <c r="AI813" s="1695"/>
      <c r="AJ813" s="1695"/>
      <c r="AK813" s="1695"/>
      <c r="AL813" s="1695"/>
      <c r="AM813" s="1695"/>
      <c r="AN813" s="1695"/>
      <c r="AO813" s="1699"/>
      <c r="AP813" s="1729"/>
    </row>
    <row r="814" spans="1:42">
      <c r="A814" s="2486"/>
      <c r="B814" s="1695"/>
      <c r="C814" s="1696"/>
      <c r="D814" s="1696"/>
      <c r="E814" s="1695"/>
      <c r="F814" s="1695"/>
      <c r="G814" s="1745"/>
      <c r="H814" s="1745"/>
      <c r="I814" s="1745"/>
      <c r="J814" s="1745"/>
      <c r="K814" s="1695"/>
      <c r="L814" s="1745"/>
      <c r="M814" s="1699"/>
      <c r="N814" s="1695"/>
      <c r="O814" s="1695"/>
      <c r="P814" s="1745"/>
      <c r="Q814" s="1745"/>
      <c r="R814" s="1745"/>
      <c r="S814" s="1745"/>
      <c r="T814" s="1745"/>
      <c r="U814" s="1699"/>
      <c r="V814" s="1699"/>
      <c r="W814" s="1695"/>
      <c r="X814" s="1695"/>
      <c r="Y814" s="1695"/>
      <c r="Z814" s="1695"/>
      <c r="AA814" s="1695"/>
      <c r="AB814" s="1699"/>
      <c r="AC814" s="1695"/>
      <c r="AD814" s="1695"/>
      <c r="AE814" s="1695"/>
      <c r="AF814" s="1695"/>
      <c r="AG814" s="1695"/>
      <c r="AH814" s="1699"/>
      <c r="AI814" s="1695"/>
      <c r="AJ814" s="1695"/>
      <c r="AK814" s="1695"/>
      <c r="AL814" s="1695"/>
      <c r="AM814" s="1695"/>
      <c r="AN814" s="1695"/>
      <c r="AO814" s="1699"/>
      <c r="AP814" s="1729"/>
    </row>
    <row r="815" spans="1:42">
      <c r="A815" s="2486"/>
      <c r="B815" s="1695"/>
      <c r="C815" s="1696"/>
      <c r="D815" s="1696"/>
      <c r="E815" s="1695"/>
      <c r="F815" s="1695"/>
      <c r="G815" s="1745"/>
      <c r="H815" s="1745"/>
      <c r="I815" s="1745"/>
      <c r="J815" s="1745"/>
      <c r="K815" s="1695"/>
      <c r="L815" s="1745"/>
      <c r="M815" s="1699"/>
      <c r="N815" s="1695"/>
      <c r="O815" s="1695"/>
      <c r="P815" s="1745"/>
      <c r="Q815" s="1745"/>
      <c r="R815" s="1745"/>
      <c r="S815" s="1745"/>
      <c r="T815" s="1745"/>
      <c r="U815" s="1699"/>
      <c r="V815" s="1699"/>
      <c r="W815" s="1695"/>
      <c r="X815" s="1695"/>
      <c r="Y815" s="1695"/>
      <c r="Z815" s="1695"/>
      <c r="AA815" s="1695"/>
      <c r="AB815" s="1699"/>
      <c r="AC815" s="1695"/>
      <c r="AD815" s="1695"/>
      <c r="AE815" s="1695"/>
      <c r="AF815" s="1695"/>
      <c r="AG815" s="1695"/>
      <c r="AH815" s="1699"/>
      <c r="AI815" s="1695"/>
      <c r="AJ815" s="1695"/>
      <c r="AK815" s="1695"/>
      <c r="AL815" s="1695"/>
      <c r="AM815" s="1695"/>
      <c r="AN815" s="1695"/>
      <c r="AO815" s="1699"/>
      <c r="AP815" s="1729"/>
    </row>
    <row r="816" spans="1:42">
      <c r="A816" s="2486"/>
      <c r="B816" s="1695"/>
      <c r="C816" s="1696"/>
      <c r="D816" s="1696"/>
      <c r="E816" s="1695"/>
      <c r="F816" s="1695"/>
      <c r="G816" s="1745"/>
      <c r="H816" s="1745"/>
      <c r="I816" s="1745"/>
      <c r="J816" s="1745"/>
      <c r="K816" s="1695"/>
      <c r="L816" s="1745"/>
      <c r="M816" s="1699"/>
      <c r="N816" s="1695"/>
      <c r="O816" s="1695"/>
      <c r="P816" s="1745"/>
      <c r="Q816" s="1745"/>
      <c r="R816" s="1745"/>
      <c r="S816" s="1745"/>
      <c r="T816" s="1745"/>
      <c r="U816" s="1699"/>
      <c r="V816" s="1699"/>
      <c r="W816" s="1695"/>
      <c r="X816" s="1695"/>
      <c r="Y816" s="1695"/>
      <c r="Z816" s="1695"/>
      <c r="AA816" s="1695"/>
      <c r="AB816" s="1699"/>
      <c r="AC816" s="1695"/>
      <c r="AD816" s="1695"/>
      <c r="AE816" s="1695"/>
      <c r="AF816" s="1695"/>
      <c r="AG816" s="1695"/>
      <c r="AH816" s="1699"/>
      <c r="AI816" s="1695"/>
      <c r="AJ816" s="1695"/>
      <c r="AK816" s="1695"/>
      <c r="AL816" s="1695"/>
      <c r="AM816" s="1695"/>
      <c r="AN816" s="1695"/>
      <c r="AO816" s="1699"/>
      <c r="AP816" s="1729"/>
    </row>
    <row r="817" spans="1:44">
      <c r="A817" s="2486"/>
      <c r="B817" s="1695"/>
      <c r="C817" s="1696"/>
      <c r="D817" s="1696"/>
      <c r="E817" s="1695"/>
      <c r="F817" s="1695"/>
      <c r="G817" s="1745"/>
      <c r="H817" s="1745"/>
      <c r="I817" s="1745"/>
      <c r="J817" s="1745"/>
      <c r="K817" s="1695"/>
      <c r="L817" s="1745"/>
      <c r="M817" s="1699"/>
      <c r="N817" s="1695"/>
      <c r="O817" s="1695"/>
      <c r="P817" s="1745"/>
      <c r="Q817" s="1745"/>
      <c r="R817" s="1745"/>
      <c r="S817" s="1745"/>
      <c r="T817" s="1745"/>
      <c r="U817" s="1699"/>
      <c r="V817" s="1699"/>
      <c r="W817" s="1695"/>
      <c r="X817" s="1695"/>
      <c r="Y817" s="1695"/>
      <c r="Z817" s="1695"/>
      <c r="AA817" s="1695"/>
      <c r="AB817" s="1699"/>
      <c r="AC817" s="1695"/>
      <c r="AD817" s="1695"/>
      <c r="AE817" s="1695"/>
      <c r="AF817" s="1695"/>
      <c r="AG817" s="1695"/>
      <c r="AH817" s="1699"/>
      <c r="AI817" s="1695"/>
      <c r="AJ817" s="1695"/>
      <c r="AK817" s="1695"/>
      <c r="AL817" s="1695"/>
      <c r="AM817" s="1695"/>
      <c r="AN817" s="1695"/>
      <c r="AO817" s="1699"/>
      <c r="AP817" s="1729"/>
    </row>
    <row r="818" spans="1:44">
      <c r="A818" s="2486"/>
      <c r="B818" s="1695"/>
      <c r="C818" s="1696"/>
      <c r="D818" s="1696"/>
      <c r="E818" s="1695"/>
      <c r="F818" s="1695"/>
      <c r="G818" s="1745"/>
      <c r="H818" s="1745"/>
      <c r="I818" s="1745"/>
      <c r="J818" s="1745"/>
      <c r="K818" s="1695"/>
      <c r="L818" s="1745"/>
      <c r="M818" s="1699"/>
      <c r="N818" s="1695"/>
      <c r="O818" s="1695"/>
      <c r="P818" s="1745"/>
      <c r="Q818" s="1745"/>
      <c r="R818" s="1745"/>
      <c r="S818" s="1745"/>
      <c r="T818" s="1745"/>
      <c r="U818" s="1699"/>
      <c r="V818" s="1699"/>
      <c r="W818" s="1695"/>
      <c r="X818" s="1695"/>
      <c r="Y818" s="1695"/>
      <c r="Z818" s="1695"/>
      <c r="AA818" s="1695"/>
      <c r="AB818" s="1699"/>
      <c r="AC818" s="1695"/>
      <c r="AD818" s="1695"/>
      <c r="AE818" s="1695"/>
      <c r="AF818" s="1695"/>
      <c r="AG818" s="1695"/>
      <c r="AH818" s="1699"/>
      <c r="AI818" s="1695"/>
      <c r="AJ818" s="1695"/>
      <c r="AK818" s="1695"/>
      <c r="AL818" s="1695"/>
      <c r="AM818" s="1695"/>
      <c r="AN818" s="1695"/>
      <c r="AO818" s="1699"/>
      <c r="AP818" s="1729"/>
    </row>
    <row r="819" spans="1:44">
      <c r="A819" s="2486"/>
      <c r="B819" s="1695"/>
      <c r="C819" s="1696"/>
      <c r="D819" s="1696"/>
      <c r="E819" s="1695"/>
      <c r="F819" s="1695"/>
      <c r="G819" s="1745"/>
      <c r="H819" s="1745"/>
      <c r="I819" s="1745"/>
      <c r="J819" s="1745"/>
      <c r="K819" s="1695"/>
      <c r="L819" s="1745"/>
      <c r="M819" s="1699"/>
      <c r="N819" s="1695"/>
      <c r="O819" s="1695"/>
      <c r="P819" s="1745"/>
      <c r="Q819" s="1745"/>
      <c r="R819" s="1745"/>
      <c r="S819" s="1745"/>
      <c r="T819" s="1745"/>
      <c r="U819" s="1699"/>
      <c r="V819" s="1699"/>
      <c r="W819" s="1695"/>
      <c r="X819" s="1695"/>
      <c r="Y819" s="1695"/>
      <c r="Z819" s="1695"/>
      <c r="AA819" s="1695"/>
      <c r="AB819" s="1699"/>
      <c r="AC819" s="1695"/>
      <c r="AD819" s="1695"/>
      <c r="AE819" s="1695"/>
      <c r="AF819" s="1695"/>
      <c r="AG819" s="1695"/>
      <c r="AH819" s="1699"/>
      <c r="AI819" s="1695"/>
      <c r="AJ819" s="1695"/>
      <c r="AK819" s="1695"/>
      <c r="AL819" s="1695"/>
      <c r="AM819" s="1695"/>
      <c r="AN819" s="1695"/>
      <c r="AO819" s="1699"/>
      <c r="AP819" s="1729"/>
    </row>
    <row r="820" spans="1:44" ht="8.25" customHeight="1">
      <c r="A820" s="2486"/>
      <c r="B820" s="1695"/>
      <c r="C820" s="1696"/>
      <c r="D820" s="1696"/>
      <c r="E820" s="1695"/>
      <c r="F820" s="1695"/>
      <c r="G820" s="1745"/>
      <c r="H820" s="1745"/>
      <c r="I820" s="1745"/>
      <c r="J820" s="1745"/>
      <c r="K820" s="1695"/>
      <c r="L820" s="1745"/>
      <c r="M820" s="1699"/>
      <c r="N820" s="1695"/>
      <c r="O820" s="1695"/>
      <c r="P820" s="1745"/>
      <c r="Q820" s="1745"/>
      <c r="R820" s="1745"/>
      <c r="S820" s="1745"/>
      <c r="T820" s="1745"/>
      <c r="U820" s="1699"/>
      <c r="V820" s="1699"/>
      <c r="W820" s="1695"/>
      <c r="X820" s="1695"/>
      <c r="Y820" s="1695"/>
      <c r="Z820" s="1695"/>
      <c r="AA820" s="1695"/>
      <c r="AB820" s="1699"/>
      <c r="AC820" s="1695"/>
      <c r="AD820" s="1695"/>
      <c r="AE820" s="1695"/>
      <c r="AF820" s="1695"/>
      <c r="AG820" s="1695"/>
      <c r="AH820" s="1699"/>
      <c r="AI820" s="1695"/>
      <c r="AJ820" s="1695"/>
      <c r="AK820" s="1695"/>
      <c r="AL820" s="1695"/>
      <c r="AM820" s="1695"/>
      <c r="AN820" s="1695"/>
      <c r="AO820" s="1699"/>
      <c r="AP820" s="1729"/>
    </row>
    <row r="821" spans="1:44" ht="15.75" thickBot="1">
      <c r="A821" s="2486"/>
      <c r="B821" s="1695"/>
      <c r="C821" s="1696"/>
      <c r="D821" s="1696"/>
      <c r="E821" s="1695"/>
      <c r="F821" s="1695"/>
      <c r="G821" s="1745"/>
      <c r="H821" s="1745"/>
      <c r="I821" s="1745"/>
      <c r="J821" s="1745"/>
      <c r="K821" s="1695"/>
      <c r="L821" s="1745"/>
      <c r="M821" s="1699"/>
      <c r="N821" s="1695"/>
      <c r="O821" s="1695"/>
      <c r="P821" s="1745"/>
      <c r="Q821" s="1745"/>
      <c r="R821" s="1745"/>
      <c r="S821" s="1745"/>
      <c r="T821" s="1745"/>
      <c r="U821" s="1699"/>
      <c r="V821" s="1699"/>
      <c r="W821" s="1695"/>
      <c r="X821" s="1695"/>
      <c r="Y821" s="1695"/>
      <c r="Z821" s="1695"/>
      <c r="AA821" s="1695"/>
      <c r="AB821" s="1699"/>
      <c r="AC821" s="1695"/>
      <c r="AD821" s="1695"/>
      <c r="AE821" s="1695"/>
      <c r="AF821" s="1695"/>
      <c r="AG821" s="1695"/>
      <c r="AH821" s="1699"/>
      <c r="AI821" s="1695"/>
      <c r="AJ821" s="1695"/>
      <c r="AK821" s="1695"/>
      <c r="AL821" s="1695"/>
      <c r="AM821" s="1695"/>
      <c r="AN821" s="1695"/>
      <c r="AO821" s="1699"/>
      <c r="AP821" s="1729"/>
    </row>
    <row r="822" spans="1:44" ht="15.75" thickBot="1">
      <c r="A822" s="2005"/>
      <c r="B822" s="1715"/>
      <c r="C822" s="1716"/>
      <c r="D822" s="1716"/>
      <c r="E822" s="1715"/>
      <c r="F822" s="1715"/>
      <c r="G822" s="1717"/>
      <c r="H822" s="1717"/>
      <c r="I822" s="1717"/>
      <c r="J822" s="1717"/>
      <c r="K822" s="1715"/>
      <c r="L822" s="1717"/>
      <c r="M822" s="1718"/>
      <c r="N822" s="1715"/>
      <c r="O822" s="1715"/>
      <c r="P822" s="1717"/>
      <c r="Q822" s="1717"/>
      <c r="R822" s="1717"/>
      <c r="S822" s="1717"/>
      <c r="T822" s="1717"/>
      <c r="U822" s="1718"/>
      <c r="V822" s="1718"/>
      <c r="W822" s="1715"/>
      <c r="X822" s="1715"/>
      <c r="Y822" s="1715"/>
      <c r="Z822" s="1715"/>
      <c r="AA822" s="1715"/>
      <c r="AB822" s="1718"/>
      <c r="AC822" s="1715"/>
      <c r="AD822" s="1715"/>
      <c r="AE822" s="1715"/>
      <c r="AF822" s="1715"/>
      <c r="AG822" s="1715"/>
      <c r="AH822" s="1718"/>
      <c r="AI822" s="1715"/>
      <c r="AJ822" s="1715"/>
      <c r="AK822" s="1715"/>
      <c r="AL822" s="1715"/>
      <c r="AM822" s="1715"/>
      <c r="AN822" s="1715"/>
      <c r="AO822" s="1718"/>
      <c r="AP822" s="1719"/>
    </row>
    <row r="823" spans="1:44">
      <c r="A823" s="2487" t="s">
        <v>1365</v>
      </c>
      <c r="B823" s="1739" t="s">
        <v>1922</v>
      </c>
      <c r="C823" s="1733" t="s">
        <v>1915</v>
      </c>
      <c r="D823" s="1733" t="s">
        <v>1805</v>
      </c>
      <c r="E823" s="1748">
        <f>AH824</f>
        <v>2.0191521583615915</v>
      </c>
      <c r="F823" s="1789"/>
      <c r="G823" s="1736"/>
      <c r="H823" s="1724">
        <f>E823*$G$825</f>
        <v>101.35191492940082</v>
      </c>
      <c r="I823" s="1736"/>
      <c r="J823" s="1842"/>
      <c r="K823" s="2426">
        <v>0.34</v>
      </c>
      <c r="L823" s="1795">
        <f>((E823*$G$825)+($E$824*$G$825)+$I$826+$I$827)*(1+K823)</f>
        <v>187.14194373840351</v>
      </c>
      <c r="M823" s="1725" t="s">
        <v>1925</v>
      </c>
      <c r="N823" s="1723"/>
      <c r="O823" s="2011">
        <f>AVERAGE(V837:V840)</f>
        <v>0.95750000000000002</v>
      </c>
      <c r="P823" s="1724"/>
      <c r="Q823" s="1726">
        <f>O823*P824</f>
        <v>55.797862097059358</v>
      </c>
      <c r="R823" s="1726"/>
      <c r="S823" s="1726"/>
      <c r="T823" s="2000">
        <f>Q823</f>
        <v>55.797862097059358</v>
      </c>
      <c r="U823" s="1733" t="s">
        <v>1566</v>
      </c>
      <c r="V823" s="1699"/>
      <c r="W823" s="1695"/>
      <c r="X823" s="1695"/>
      <c r="Y823" s="1695"/>
      <c r="Z823" s="1695"/>
      <c r="AA823" s="1695"/>
      <c r="AB823" s="1699"/>
      <c r="AC823" s="1695"/>
      <c r="AD823" s="1695"/>
      <c r="AE823" s="1695"/>
      <c r="AF823" s="1695"/>
      <c r="AG823" s="1695"/>
      <c r="AH823" s="2003">
        <v>1.6708625247654549</v>
      </c>
      <c r="AI823" s="2004">
        <v>0.10710713816865849</v>
      </c>
      <c r="AJ823" s="2004">
        <v>84</v>
      </c>
      <c r="AK823" s="1735"/>
      <c r="AL823" s="1735"/>
      <c r="AM823" s="1735"/>
      <c r="AN823" s="1747"/>
      <c r="AO823" s="1699"/>
      <c r="AP823" s="1729"/>
      <c r="AR823" s="1687" t="s">
        <v>1918</v>
      </c>
    </row>
    <row r="824" spans="1:44">
      <c r="A824" s="2488"/>
      <c r="B824" s="1739" t="s">
        <v>1914</v>
      </c>
      <c r="C824" s="1733" t="s">
        <v>1915</v>
      </c>
      <c r="D824" s="1733" t="s">
        <v>1805</v>
      </c>
      <c r="E824" s="1748">
        <f>AH825</f>
        <v>0.11336377937908999</v>
      </c>
      <c r="F824" s="1789"/>
      <c r="G824" s="1736"/>
      <c r="H824" s="1724">
        <f>E824*$G$825</f>
        <v>5.6903270395570242</v>
      </c>
      <c r="I824" s="1736"/>
      <c r="J824" s="1842"/>
      <c r="K824" s="2445"/>
      <c r="L824" s="1795"/>
      <c r="M824" s="1757" t="s">
        <v>1926</v>
      </c>
      <c r="N824" s="1735"/>
      <c r="O824" s="1791">
        <f>AR824*1.1</f>
        <v>1.9990999999999999</v>
      </c>
      <c r="P824" s="1738">
        <f>AP826*BQ45</f>
        <v>58.274529605283924</v>
      </c>
      <c r="Q824" s="1737">
        <f>O824*P824</f>
        <v>116.49661213392308</v>
      </c>
      <c r="R824" s="1842"/>
      <c r="S824" s="1842"/>
      <c r="T824" s="1795">
        <f>Q824</f>
        <v>116.49661213392308</v>
      </c>
      <c r="U824" s="1733" t="s">
        <v>1567</v>
      </c>
      <c r="V824" s="1699"/>
      <c r="W824" s="1695"/>
      <c r="X824" s="1695"/>
      <c r="Y824" s="1695"/>
      <c r="Z824" s="1695"/>
      <c r="AA824" s="1695"/>
      <c r="AB824" s="1699"/>
      <c r="AC824" s="1695"/>
      <c r="AD824" s="1695"/>
      <c r="AE824" s="1695"/>
      <c r="AF824" s="1695"/>
      <c r="AG824" s="1695"/>
      <c r="AH824" s="2003">
        <v>2.0191521583615915</v>
      </c>
      <c r="AI824" s="2004">
        <v>0.15429971447090762</v>
      </c>
      <c r="AJ824" s="2004">
        <v>85</v>
      </c>
      <c r="AK824" s="1735"/>
      <c r="AL824" s="1735"/>
      <c r="AM824" s="1735"/>
      <c r="AN824" s="1747"/>
      <c r="AO824" s="1699"/>
      <c r="AP824" s="1729"/>
      <c r="AQ824" s="1687" t="s">
        <v>1837</v>
      </c>
      <c r="AR824" s="1687">
        <f>AVERAGE(AO826:AO836)</f>
        <v>1.8173636363636361</v>
      </c>
    </row>
    <row r="825" spans="1:44">
      <c r="A825" s="2488"/>
      <c r="B825" s="1739" t="s">
        <v>1811</v>
      </c>
      <c r="C825" s="1733" t="s">
        <v>1915</v>
      </c>
      <c r="D825" s="1733" t="s">
        <v>1916</v>
      </c>
      <c r="E825" s="1734"/>
      <c r="F825" s="1789"/>
      <c r="G825" s="1736">
        <f>AVERAGE(W837:W840)*BS30</f>
        <v>50.195283455824942</v>
      </c>
      <c r="H825" s="1736"/>
      <c r="I825" s="1736"/>
      <c r="J825" s="1842"/>
      <c r="K825" s="2445"/>
      <c r="L825" s="1795"/>
      <c r="M825" s="1740"/>
      <c r="N825" s="1741"/>
      <c r="O825" s="1741"/>
      <c r="P825" s="1843"/>
      <c r="Q825" s="1843"/>
      <c r="R825" s="1843"/>
      <c r="S825" s="1843"/>
      <c r="T825" s="1799"/>
      <c r="U825" s="1733" t="s">
        <v>1561</v>
      </c>
      <c r="V825" s="1699"/>
      <c r="W825" s="1695"/>
      <c r="X825" s="1695"/>
      <c r="Y825" s="1695"/>
      <c r="Z825" s="1695"/>
      <c r="AA825" s="1695"/>
      <c r="AB825" s="1699"/>
      <c r="AC825" s="1695"/>
      <c r="AD825" s="1695"/>
      <c r="AE825" s="1695"/>
      <c r="AF825" s="1695"/>
      <c r="AG825" s="1695"/>
      <c r="AH825" s="2003">
        <v>0.11336377937908999</v>
      </c>
      <c r="AI825" s="2004">
        <v>2.1675320580773701E-2</v>
      </c>
      <c r="AJ825" s="2004">
        <v>70</v>
      </c>
      <c r="AK825" s="1735"/>
      <c r="AL825" s="1735"/>
      <c r="AM825" s="1735"/>
      <c r="AN825" s="1747"/>
      <c r="AO825" s="1699"/>
      <c r="AP825" s="1729"/>
      <c r="AQ825" s="1687" t="s">
        <v>1917</v>
      </c>
      <c r="AR825" s="1687">
        <f>STDEV(AO826:AO836)</f>
        <v>0.63294522238931206</v>
      </c>
    </row>
    <row r="826" spans="1:44">
      <c r="A826" s="2488"/>
      <c r="B826" s="1956" t="s">
        <v>1924</v>
      </c>
      <c r="C826" s="1733" t="s">
        <v>1915</v>
      </c>
      <c r="D826" s="1733" t="s">
        <v>1916</v>
      </c>
      <c r="E826" s="1734"/>
      <c r="F826" s="1789"/>
      <c r="G826" s="1736"/>
      <c r="H826" s="1736"/>
      <c r="I826" s="1736">
        <f>AVERAGE(Y837:Y840)/50</f>
        <v>14.625</v>
      </c>
      <c r="J826" s="1842"/>
      <c r="K826" s="2445"/>
      <c r="L826" s="1795"/>
      <c r="M826" s="1699"/>
      <c r="N826" s="1695"/>
      <c r="O826" s="1695"/>
      <c r="P826" s="1745"/>
      <c r="Q826" s="1745"/>
      <c r="R826" s="1745"/>
      <c r="S826" s="1745"/>
      <c r="T826" s="1805"/>
      <c r="U826" s="1733" t="s">
        <v>1691</v>
      </c>
      <c r="V826" s="1699"/>
      <c r="W826" s="1695"/>
      <c r="X826" s="1695"/>
      <c r="Y826" s="1695"/>
      <c r="Z826" s="1695"/>
      <c r="AA826" s="1695"/>
      <c r="AB826" s="1699"/>
      <c r="AC826" s="1695"/>
      <c r="AD826" s="1695"/>
      <c r="AE826" s="1695"/>
      <c r="AF826" s="1695"/>
      <c r="AG826" s="1695"/>
      <c r="AH826" s="1699"/>
      <c r="AI826" s="1695"/>
      <c r="AJ826" s="1695"/>
      <c r="AK826" s="1695"/>
      <c r="AL826" s="1695"/>
      <c r="AM826" s="1695"/>
      <c r="AN826" s="1695"/>
      <c r="AO826" s="1757">
        <v>1.143</v>
      </c>
      <c r="AP826" s="1758">
        <v>52.4</v>
      </c>
    </row>
    <row r="827" spans="1:44">
      <c r="A827" s="2488"/>
      <c r="B827" s="1739" t="s">
        <v>1923</v>
      </c>
      <c r="C827" s="1733" t="s">
        <v>1915</v>
      </c>
      <c r="D827" s="1733" t="s">
        <v>1916</v>
      </c>
      <c r="E827" s="1734"/>
      <c r="F827" s="1789"/>
      <c r="G827" s="1736"/>
      <c r="H827" s="1736"/>
      <c r="I827" s="1736">
        <f>AVERAGE(Z839:Z840)+AVERAGE(AA837:AA840)</f>
        <v>17.990925000000001</v>
      </c>
      <c r="J827" s="1842"/>
      <c r="K827" s="2427"/>
      <c r="L827" s="1795"/>
      <c r="M827" s="1699"/>
      <c r="N827" s="1695"/>
      <c r="O827" s="1695"/>
      <c r="P827" s="1745"/>
      <c r="Q827" s="1745"/>
      <c r="R827" s="1745"/>
      <c r="S827" s="1745"/>
      <c r="T827" s="1805"/>
      <c r="U827" s="1733" t="s">
        <v>1692</v>
      </c>
      <c r="V827" s="1699"/>
      <c r="W827" s="1695"/>
      <c r="X827" s="1695"/>
      <c r="Y827" s="1695"/>
      <c r="Z827" s="1695"/>
      <c r="AA827" s="1695"/>
      <c r="AB827" s="1699"/>
      <c r="AC827" s="1695"/>
      <c r="AD827" s="1695"/>
      <c r="AE827" s="1695"/>
      <c r="AF827" s="1695"/>
      <c r="AG827" s="1695"/>
      <c r="AH827" s="1699"/>
      <c r="AI827" s="1695"/>
      <c r="AJ827" s="1695"/>
      <c r="AK827" s="1695"/>
      <c r="AL827" s="1695"/>
      <c r="AM827" s="1695"/>
      <c r="AN827" s="1695"/>
      <c r="AO827" s="1757">
        <v>1.194</v>
      </c>
      <c r="AP827" s="1758">
        <v>52.4</v>
      </c>
    </row>
    <row r="828" spans="1:44">
      <c r="A828" s="2488"/>
      <c r="B828" s="1695"/>
      <c r="C828" s="1696"/>
      <c r="D828" s="1873"/>
      <c r="E828" s="1741"/>
      <c r="F828" s="1741"/>
      <c r="G828" s="1843"/>
      <c r="H828" s="1843"/>
      <c r="I828" s="1843"/>
      <c r="J828" s="1843"/>
      <c r="K828" s="1741"/>
      <c r="L828" s="1799"/>
      <c r="M828" s="1699"/>
      <c r="N828" s="1695"/>
      <c r="O828" s="1695"/>
      <c r="P828" s="1745"/>
      <c r="Q828" s="1745"/>
      <c r="R828" s="1745"/>
      <c r="S828" s="1745"/>
      <c r="T828" s="1805"/>
      <c r="U828" s="1733" t="s">
        <v>1693</v>
      </c>
      <c r="V828" s="1699"/>
      <c r="W828" s="1695"/>
      <c r="X828" s="1695"/>
      <c r="Y828" s="1695"/>
      <c r="Z828" s="1695"/>
      <c r="AA828" s="1695"/>
      <c r="AB828" s="1699"/>
      <c r="AC828" s="1695"/>
      <c r="AD828" s="1695"/>
      <c r="AE828" s="1695"/>
      <c r="AF828" s="1695"/>
      <c r="AG828" s="1695"/>
      <c r="AH828" s="1699"/>
      <c r="AI828" s="1695"/>
      <c r="AJ828" s="1695"/>
      <c r="AK828" s="1695"/>
      <c r="AL828" s="1695"/>
      <c r="AM828" s="1695"/>
      <c r="AN828" s="1695"/>
      <c r="AO828" s="1757">
        <v>1.143</v>
      </c>
      <c r="AP828" s="1758">
        <v>52.4</v>
      </c>
    </row>
    <row r="829" spans="1:44">
      <c r="A829" s="2488"/>
      <c r="B829" s="1695"/>
      <c r="C829" s="1696"/>
      <c r="D829" s="1696"/>
      <c r="E829" s="1695"/>
      <c r="F829" s="1695"/>
      <c r="G829" s="1745"/>
      <c r="H829" s="1745"/>
      <c r="I829" s="1745"/>
      <c r="J829" s="1745"/>
      <c r="K829" s="1695"/>
      <c r="L829" s="1805"/>
      <c r="M829" s="1699"/>
      <c r="N829" s="1695"/>
      <c r="O829" s="1695"/>
      <c r="P829" s="1745"/>
      <c r="Q829" s="1745"/>
      <c r="R829" s="1745"/>
      <c r="S829" s="1745"/>
      <c r="T829" s="1805"/>
      <c r="U829" s="1733" t="s">
        <v>1694</v>
      </c>
      <c r="V829" s="1699"/>
      <c r="W829" s="1695"/>
      <c r="X829" s="1695"/>
      <c r="Y829" s="1695"/>
      <c r="Z829" s="1695"/>
      <c r="AA829" s="1695"/>
      <c r="AB829" s="1699"/>
      <c r="AC829" s="1695"/>
      <c r="AD829" s="1695"/>
      <c r="AE829" s="1695"/>
      <c r="AF829" s="1695"/>
      <c r="AG829" s="1695"/>
      <c r="AH829" s="1699"/>
      <c r="AI829" s="1695"/>
      <c r="AJ829" s="1695"/>
      <c r="AK829" s="1695"/>
      <c r="AL829" s="1695"/>
      <c r="AM829" s="1695"/>
      <c r="AN829" s="1695"/>
      <c r="AO829" s="1757">
        <v>1.29</v>
      </c>
      <c r="AP829" s="1758">
        <v>52.4</v>
      </c>
    </row>
    <row r="830" spans="1:44">
      <c r="A830" s="2488"/>
      <c r="B830" s="1695"/>
      <c r="C830" s="1696"/>
      <c r="D830" s="1696"/>
      <c r="E830" s="1695"/>
      <c r="F830" s="1695"/>
      <c r="G830" s="1745"/>
      <c r="H830" s="1745"/>
      <c r="I830" s="1745"/>
      <c r="J830" s="1745"/>
      <c r="K830" s="1695"/>
      <c r="L830" s="1805"/>
      <c r="M830" s="1699"/>
      <c r="N830" s="1695"/>
      <c r="O830" s="1695"/>
      <c r="P830" s="1745"/>
      <c r="Q830" s="1745"/>
      <c r="R830" s="1745"/>
      <c r="S830" s="1745"/>
      <c r="T830" s="1805"/>
      <c r="U830" s="1733" t="s">
        <v>1695</v>
      </c>
      <c r="V830" s="1699"/>
      <c r="W830" s="1695"/>
      <c r="X830" s="1695"/>
      <c r="Y830" s="1695"/>
      <c r="Z830" s="1695"/>
      <c r="AA830" s="1695"/>
      <c r="AB830" s="1699"/>
      <c r="AC830" s="1695"/>
      <c r="AD830" s="1695"/>
      <c r="AE830" s="1695"/>
      <c r="AF830" s="1695"/>
      <c r="AG830" s="1695"/>
      <c r="AH830" s="1699"/>
      <c r="AI830" s="1695"/>
      <c r="AJ830" s="1695"/>
      <c r="AK830" s="1695"/>
      <c r="AL830" s="1695"/>
      <c r="AM830" s="1695"/>
      <c r="AN830" s="1695"/>
      <c r="AO830" s="1757">
        <v>1.4039999999999999</v>
      </c>
      <c r="AP830" s="1758">
        <v>52.4</v>
      </c>
    </row>
    <row r="831" spans="1:44">
      <c r="A831" s="2488"/>
      <c r="B831" s="1695"/>
      <c r="C831" s="1696"/>
      <c r="D831" s="1696"/>
      <c r="E831" s="1695"/>
      <c r="F831" s="1695"/>
      <c r="G831" s="1745"/>
      <c r="H831" s="1745"/>
      <c r="I831" s="1745"/>
      <c r="J831" s="1745"/>
      <c r="K831" s="1695"/>
      <c r="L831" s="1805"/>
      <c r="M831" s="1699"/>
      <c r="N831" s="1695"/>
      <c r="O831" s="1695"/>
      <c r="P831" s="1745"/>
      <c r="Q831" s="1745"/>
      <c r="R831" s="1745"/>
      <c r="S831" s="1745"/>
      <c r="T831" s="1805"/>
      <c r="U831" s="1733" t="s">
        <v>1696</v>
      </c>
      <c r="V831" s="1699"/>
      <c r="W831" s="1695"/>
      <c r="X831" s="1695"/>
      <c r="Y831" s="1695"/>
      <c r="Z831" s="1695"/>
      <c r="AA831" s="1695"/>
      <c r="AB831" s="1699"/>
      <c r="AC831" s="1695"/>
      <c r="AD831" s="1695"/>
      <c r="AE831" s="1695"/>
      <c r="AF831" s="1695"/>
      <c r="AG831" s="1695"/>
      <c r="AH831" s="1699"/>
      <c r="AI831" s="1695"/>
      <c r="AJ831" s="1695"/>
      <c r="AK831" s="1695"/>
      <c r="AL831" s="1695"/>
      <c r="AM831" s="1695"/>
      <c r="AN831" s="1695"/>
      <c r="AO831" s="1757">
        <v>1.5089999999999999</v>
      </c>
      <c r="AP831" s="1758">
        <v>52.4</v>
      </c>
    </row>
    <row r="832" spans="1:44">
      <c r="A832" s="2488"/>
      <c r="B832" s="1695"/>
      <c r="C832" s="1696"/>
      <c r="D832" s="1696"/>
      <c r="E832" s="1695"/>
      <c r="F832" s="1695"/>
      <c r="G832" s="1745"/>
      <c r="H832" s="1745"/>
      <c r="I832" s="1745"/>
      <c r="J832" s="1745"/>
      <c r="K832" s="1695"/>
      <c r="L832" s="1805"/>
      <c r="M832" s="1699"/>
      <c r="N832" s="1695"/>
      <c r="O832" s="1695"/>
      <c r="P832" s="1745"/>
      <c r="Q832" s="1745"/>
      <c r="R832" s="1745"/>
      <c r="S832" s="1745"/>
      <c r="T832" s="1805"/>
      <c r="U832" s="1733" t="s">
        <v>1697</v>
      </c>
      <c r="V832" s="1699"/>
      <c r="W832" s="1695"/>
      <c r="X832" s="1695"/>
      <c r="Y832" s="1695"/>
      <c r="Z832" s="1695"/>
      <c r="AA832" s="1695"/>
      <c r="AB832" s="1699"/>
      <c r="AC832" s="1695"/>
      <c r="AD832" s="1695"/>
      <c r="AE832" s="1695"/>
      <c r="AF832" s="1695"/>
      <c r="AG832" s="1695"/>
      <c r="AH832" s="1699"/>
      <c r="AI832" s="1695"/>
      <c r="AJ832" s="1695"/>
      <c r="AK832" s="1695"/>
      <c r="AL832" s="1695"/>
      <c r="AM832" s="1695"/>
      <c r="AN832" s="1695"/>
      <c r="AO832" s="1757">
        <v>2.222</v>
      </c>
      <c r="AP832" s="1758">
        <v>52.4</v>
      </c>
    </row>
    <row r="833" spans="1:42">
      <c r="A833" s="2488"/>
      <c r="B833" s="1695"/>
      <c r="C833" s="1696"/>
      <c r="D833" s="1696"/>
      <c r="E833" s="1695"/>
      <c r="F833" s="1695"/>
      <c r="G833" s="1745"/>
      <c r="H833" s="1745"/>
      <c r="I833" s="1745"/>
      <c r="J833" s="1745"/>
      <c r="K833" s="1695"/>
      <c r="L833" s="1805"/>
      <c r="M833" s="1699"/>
      <c r="N833" s="1695"/>
      <c r="O833" s="1695"/>
      <c r="P833" s="1745"/>
      <c r="Q833" s="1745"/>
      <c r="R833" s="1745"/>
      <c r="S833" s="1745"/>
      <c r="T833" s="1805"/>
      <c r="U833" s="1733" t="s">
        <v>1698</v>
      </c>
      <c r="V833" s="1699"/>
      <c r="W833" s="1695"/>
      <c r="X833" s="1695"/>
      <c r="Y833" s="1695"/>
      <c r="Z833" s="1695"/>
      <c r="AA833" s="1695"/>
      <c r="AB833" s="1699"/>
      <c r="AC833" s="1695"/>
      <c r="AD833" s="1695"/>
      <c r="AE833" s="1695"/>
      <c r="AF833" s="1695"/>
      <c r="AG833" s="1695"/>
      <c r="AH833" s="1699"/>
      <c r="AI833" s="1695"/>
      <c r="AJ833" s="1695"/>
      <c r="AK833" s="1695"/>
      <c r="AL833" s="1695"/>
      <c r="AM833" s="1695"/>
      <c r="AN833" s="1695"/>
      <c r="AO833" s="1757">
        <v>2.4239999999999999</v>
      </c>
      <c r="AP833" s="1758">
        <v>52.4</v>
      </c>
    </row>
    <row r="834" spans="1:42">
      <c r="A834" s="2488"/>
      <c r="B834" s="1695"/>
      <c r="C834" s="1696"/>
      <c r="D834" s="1696"/>
      <c r="E834" s="1695"/>
      <c r="F834" s="1695"/>
      <c r="G834" s="1745"/>
      <c r="H834" s="1745"/>
      <c r="I834" s="1745"/>
      <c r="J834" s="1745"/>
      <c r="K834" s="1695"/>
      <c r="L834" s="1805"/>
      <c r="M834" s="1699"/>
      <c r="N834" s="1695"/>
      <c r="O834" s="1695"/>
      <c r="P834" s="1745"/>
      <c r="Q834" s="1745"/>
      <c r="R834" s="1745"/>
      <c r="S834" s="1745"/>
      <c r="T834" s="1805"/>
      <c r="U834" s="1733" t="s">
        <v>1699</v>
      </c>
      <c r="V834" s="1699"/>
      <c r="W834" s="1695"/>
      <c r="X834" s="1695"/>
      <c r="Y834" s="1695"/>
      <c r="Z834" s="1695"/>
      <c r="AA834" s="1695"/>
      <c r="AB834" s="1699"/>
      <c r="AC834" s="1695"/>
      <c r="AD834" s="1695"/>
      <c r="AE834" s="1695"/>
      <c r="AF834" s="1695"/>
      <c r="AG834" s="1695"/>
      <c r="AH834" s="1699"/>
      <c r="AI834" s="1695"/>
      <c r="AJ834" s="1695"/>
      <c r="AK834" s="1695"/>
      <c r="AL834" s="1695"/>
      <c r="AM834" s="1695"/>
      <c r="AN834" s="1695"/>
      <c r="AO834" s="1757">
        <v>2.581</v>
      </c>
      <c r="AP834" s="1758">
        <v>52.4</v>
      </c>
    </row>
    <row r="835" spans="1:42">
      <c r="A835" s="2488"/>
      <c r="B835" s="1695"/>
      <c r="C835" s="1696"/>
      <c r="D835" s="1696"/>
      <c r="E835" s="1695"/>
      <c r="F835" s="1695"/>
      <c r="G835" s="1745"/>
      <c r="H835" s="1745"/>
      <c r="I835" s="1745"/>
      <c r="J835" s="1745"/>
      <c r="K835" s="1695"/>
      <c r="L835" s="1805"/>
      <c r="M835" s="1699"/>
      <c r="N835" s="1695"/>
      <c r="O835" s="1695"/>
      <c r="P835" s="1745"/>
      <c r="Q835" s="1745"/>
      <c r="R835" s="1745"/>
      <c r="S835" s="1745"/>
      <c r="T835" s="1805"/>
      <c r="U835" s="1733" t="s">
        <v>1700</v>
      </c>
      <c r="V835" s="1699"/>
      <c r="W835" s="1695"/>
      <c r="X835" s="1695"/>
      <c r="Y835" s="1695"/>
      <c r="Z835" s="1695"/>
      <c r="AA835" s="1695"/>
      <c r="AB835" s="1699"/>
      <c r="AC835" s="1695"/>
      <c r="AD835" s="1695"/>
      <c r="AE835" s="1695"/>
      <c r="AF835" s="1695"/>
      <c r="AG835" s="1695"/>
      <c r="AH835" s="1699"/>
      <c r="AI835" s="1695"/>
      <c r="AJ835" s="1695"/>
      <c r="AK835" s="1695"/>
      <c r="AL835" s="1695"/>
      <c r="AM835" s="1695"/>
      <c r="AN835" s="1695"/>
      <c r="AO835" s="1757">
        <v>2.5</v>
      </c>
      <c r="AP835" s="1758">
        <v>52.4</v>
      </c>
    </row>
    <row r="836" spans="1:42">
      <c r="A836" s="2488"/>
      <c r="B836" s="1695"/>
      <c r="C836" s="1696"/>
      <c r="D836" s="1696"/>
      <c r="E836" s="1695"/>
      <c r="F836" s="1695"/>
      <c r="G836" s="1745"/>
      <c r="H836" s="1745"/>
      <c r="I836" s="1745"/>
      <c r="J836" s="1745"/>
      <c r="K836" s="1695"/>
      <c r="L836" s="1805"/>
      <c r="M836" s="1699"/>
      <c r="N836" s="1695"/>
      <c r="O836" s="1695"/>
      <c r="P836" s="1745"/>
      <c r="Q836" s="1745"/>
      <c r="R836" s="1745"/>
      <c r="S836" s="1745"/>
      <c r="T836" s="1805"/>
      <c r="U836" s="1733" t="s">
        <v>1701</v>
      </c>
      <c r="V836" s="1699"/>
      <c r="W836" s="1695"/>
      <c r="X836" s="1695"/>
      <c r="Y836" s="1695"/>
      <c r="Z836" s="1695"/>
      <c r="AA836" s="1695"/>
      <c r="AB836" s="1699"/>
      <c r="AC836" s="1695"/>
      <c r="AD836" s="1695"/>
      <c r="AE836" s="1695"/>
      <c r="AF836" s="1695"/>
      <c r="AG836" s="1695"/>
      <c r="AH836" s="1699"/>
      <c r="AI836" s="1695"/>
      <c r="AJ836" s="1695"/>
      <c r="AK836" s="1695"/>
      <c r="AL836" s="1695"/>
      <c r="AM836" s="1695"/>
      <c r="AN836" s="1695"/>
      <c r="AO836" s="1757">
        <v>2.581</v>
      </c>
      <c r="AP836" s="1758">
        <v>52.4</v>
      </c>
    </row>
    <row r="837" spans="1:42">
      <c r="A837" s="2488"/>
      <c r="B837" s="1695"/>
      <c r="C837" s="1696"/>
      <c r="D837" s="1696"/>
      <c r="E837" s="1695"/>
      <c r="F837" s="1695"/>
      <c r="G837" s="1745"/>
      <c r="H837" s="1745"/>
      <c r="I837" s="1745"/>
      <c r="J837" s="1745"/>
      <c r="K837" s="1695"/>
      <c r="L837" s="1805"/>
      <c r="M837" s="1699"/>
      <c r="N837" s="1695"/>
      <c r="O837" s="1695"/>
      <c r="P837" s="1745"/>
      <c r="Q837" s="1745"/>
      <c r="R837" s="1745"/>
      <c r="S837" s="1745"/>
      <c r="T837" s="1805"/>
      <c r="U837" s="1733" t="s">
        <v>1759</v>
      </c>
      <c r="V837" s="2022">
        <v>1</v>
      </c>
      <c r="W837" s="2023">
        <v>69.629629629629633</v>
      </c>
      <c r="X837" s="2024">
        <v>94</v>
      </c>
      <c r="Y837" s="1782">
        <v>750</v>
      </c>
      <c r="Z837" s="2024"/>
      <c r="AA837" s="2025">
        <v>12.3</v>
      </c>
      <c r="AB837" s="1699"/>
      <c r="AC837" s="1695"/>
      <c r="AD837" s="1695"/>
      <c r="AE837" s="1695"/>
      <c r="AF837" s="1695"/>
      <c r="AG837" s="1695"/>
      <c r="AH837" s="1699"/>
      <c r="AI837" s="1695"/>
      <c r="AJ837" s="1695"/>
      <c r="AK837" s="1695"/>
      <c r="AL837" s="1695"/>
      <c r="AM837" s="1695"/>
      <c r="AN837" s="1695"/>
      <c r="AO837" s="1699"/>
      <c r="AP837" s="1729"/>
    </row>
    <row r="838" spans="1:42">
      <c r="A838" s="2488"/>
      <c r="B838" s="1695"/>
      <c r="C838" s="1696"/>
      <c r="D838" s="1696"/>
      <c r="E838" s="1695"/>
      <c r="F838" s="1695"/>
      <c r="G838" s="1745"/>
      <c r="H838" s="1745"/>
      <c r="I838" s="1745"/>
      <c r="J838" s="1745"/>
      <c r="K838" s="1695"/>
      <c r="L838" s="1805"/>
      <c r="M838" s="1699"/>
      <c r="N838" s="1695"/>
      <c r="O838" s="1695"/>
      <c r="P838" s="1745"/>
      <c r="Q838" s="1745"/>
      <c r="R838" s="1745"/>
      <c r="S838" s="1745"/>
      <c r="T838" s="1805"/>
      <c r="U838" s="1733" t="s">
        <v>1760</v>
      </c>
      <c r="V838" s="2014">
        <v>1.5</v>
      </c>
      <c r="W838" s="2015">
        <v>79</v>
      </c>
      <c r="X838" s="1749">
        <v>118.5</v>
      </c>
      <c r="Y838" s="1735">
        <v>1200</v>
      </c>
      <c r="Z838" s="1749"/>
      <c r="AA838" s="2016">
        <v>14.088699999999999</v>
      </c>
      <c r="AB838" s="1699"/>
      <c r="AC838" s="1695"/>
      <c r="AD838" s="1695"/>
      <c r="AE838" s="1695"/>
      <c r="AF838" s="1695"/>
      <c r="AG838" s="1695"/>
      <c r="AH838" s="1699"/>
      <c r="AI838" s="1695"/>
      <c r="AJ838" s="1695"/>
      <c r="AK838" s="1695"/>
      <c r="AL838" s="1695"/>
      <c r="AM838" s="1695"/>
      <c r="AN838" s="1695"/>
      <c r="AO838" s="1699"/>
      <c r="AP838" s="1729"/>
    </row>
    <row r="839" spans="1:42" ht="7.5" customHeight="1">
      <c r="A839" s="2488"/>
      <c r="B839" s="1695"/>
      <c r="C839" s="1696"/>
      <c r="D839" s="1696"/>
      <c r="E839" s="1695"/>
      <c r="F839" s="1695"/>
      <c r="G839" s="1745"/>
      <c r="H839" s="1745"/>
      <c r="I839" s="1745"/>
      <c r="J839" s="1745"/>
      <c r="K839" s="1695"/>
      <c r="L839" s="1805"/>
      <c r="M839" s="1699"/>
      <c r="N839" s="1695"/>
      <c r="O839" s="1695"/>
      <c r="P839" s="1745"/>
      <c r="Q839" s="1745"/>
      <c r="R839" s="1745"/>
      <c r="S839" s="1745"/>
      <c r="T839" s="1805"/>
      <c r="U839" s="1733" t="s">
        <v>1761</v>
      </c>
      <c r="V839" s="2014">
        <v>0.57999999999999996</v>
      </c>
      <c r="W839" s="2015">
        <v>75</v>
      </c>
      <c r="X839" s="1749">
        <v>68.625</v>
      </c>
      <c r="Y839" s="1735">
        <v>450</v>
      </c>
      <c r="Z839" s="1749">
        <v>7.5</v>
      </c>
      <c r="AA839" s="2016">
        <v>9.9450000000000003</v>
      </c>
      <c r="AB839" s="1699"/>
      <c r="AC839" s="1695"/>
      <c r="AD839" s="1695"/>
      <c r="AE839" s="1695"/>
      <c r="AF839" s="1695"/>
      <c r="AG839" s="1695"/>
      <c r="AH839" s="1699"/>
      <c r="AI839" s="1695"/>
      <c r="AJ839" s="1695"/>
      <c r="AK839" s="1695"/>
      <c r="AL839" s="1695"/>
      <c r="AM839" s="1695"/>
      <c r="AN839" s="1695"/>
      <c r="AO839" s="1699"/>
      <c r="AP839" s="1729"/>
    </row>
    <row r="840" spans="1:42" ht="15.75" thickBot="1">
      <c r="A840" s="2489"/>
      <c r="B840" s="1695"/>
      <c r="C840" s="1696"/>
      <c r="D840" s="2028"/>
      <c r="E840" s="2018"/>
      <c r="F840" s="2018"/>
      <c r="G840" s="2019"/>
      <c r="H840" s="2019"/>
      <c r="I840" s="2019"/>
      <c r="J840" s="2019"/>
      <c r="K840" s="2018"/>
      <c r="L840" s="2020"/>
      <c r="M840" s="1730"/>
      <c r="N840" s="2018"/>
      <c r="O840" s="2018"/>
      <c r="P840" s="2019"/>
      <c r="Q840" s="2019"/>
      <c r="R840" s="2019"/>
      <c r="S840" s="2019"/>
      <c r="T840" s="2020"/>
      <c r="U840" s="1733" t="s">
        <v>1762</v>
      </c>
      <c r="V840" s="2014">
        <v>0.75</v>
      </c>
      <c r="W840" s="2015">
        <v>60</v>
      </c>
      <c r="X840" s="1749">
        <v>45</v>
      </c>
      <c r="Y840" s="1735">
        <v>525</v>
      </c>
      <c r="Z840" s="1749">
        <v>5</v>
      </c>
      <c r="AA840" s="2016">
        <v>10.63</v>
      </c>
      <c r="AB840" s="1699"/>
      <c r="AC840" s="1695"/>
      <c r="AD840" s="1695"/>
      <c r="AE840" s="1695"/>
      <c r="AF840" s="1695"/>
      <c r="AG840" s="1695"/>
      <c r="AH840" s="1699"/>
      <c r="AI840" s="1695"/>
      <c r="AJ840" s="1695"/>
      <c r="AK840" s="1695"/>
      <c r="AL840" s="1695"/>
      <c r="AM840" s="1695"/>
      <c r="AN840" s="1695"/>
      <c r="AO840" s="1699"/>
      <c r="AP840" s="1729"/>
    </row>
    <row r="841" spans="1:42" ht="15.75" thickBot="1">
      <c r="A841" s="2005"/>
      <c r="B841" s="1814"/>
      <c r="C841" s="1815"/>
      <c r="D841" s="1815"/>
      <c r="E841" s="1814"/>
      <c r="F841" s="1816"/>
      <c r="G841" s="1817"/>
      <c r="H841" s="1817"/>
      <c r="I841" s="1817"/>
      <c r="J841" s="1817"/>
      <c r="K841" s="1818"/>
      <c r="L841" s="1817"/>
      <c r="M841" s="1819"/>
      <c r="N841" s="1816"/>
      <c r="O841" s="1816"/>
      <c r="P841" s="1820"/>
      <c r="Q841" s="1817"/>
      <c r="R841" s="1817"/>
      <c r="S841" s="1817"/>
      <c r="T841" s="1817"/>
      <c r="U841" s="1819"/>
      <c r="V841" s="1819"/>
      <c r="W841" s="1821"/>
      <c r="X841" s="1821"/>
      <c r="Y841" s="1821"/>
      <c r="Z841" s="1821"/>
      <c r="AA841" s="1821"/>
      <c r="AB841" s="1819"/>
      <c r="AC841" s="1821"/>
      <c r="AD841" s="1821"/>
      <c r="AE841" s="1821"/>
      <c r="AF841" s="1821"/>
      <c r="AG841" s="1821"/>
      <c r="AH841" s="1819"/>
      <c r="AI841" s="1821"/>
      <c r="AJ841" s="1821"/>
      <c r="AK841" s="1821"/>
      <c r="AL841" s="1821"/>
      <c r="AM841" s="1821"/>
      <c r="AN841" s="1816"/>
      <c r="AO841" s="1819"/>
      <c r="AP841" s="1822"/>
    </row>
    <row r="842" spans="1:42">
      <c r="A842" s="2432" t="s">
        <v>1367</v>
      </c>
      <c r="B842" s="1956" t="s">
        <v>1927</v>
      </c>
      <c r="C842" s="1721" t="s">
        <v>1915</v>
      </c>
      <c r="D842" s="1824" t="s">
        <v>1916</v>
      </c>
      <c r="E842" s="1826">
        <f>AVERAGE(V845:V849)</f>
        <v>0.96254134965266291</v>
      </c>
      <c r="F842" s="1962"/>
      <c r="G842" s="2482">
        <f>AVERAGE(W845:W849)*BS30</f>
        <v>56.315229082045434</v>
      </c>
      <c r="H842" s="1724">
        <f>E842*$G$842</f>
        <v>54.205736606630907</v>
      </c>
      <c r="I842" s="1828">
        <f>AVERAGE(Z845:Z849)+AVERAGE(AA845:AA849)</f>
        <v>21.035519999999998</v>
      </c>
      <c r="J842" s="1829"/>
      <c r="K842" s="2426">
        <v>0.34</v>
      </c>
      <c r="L842" s="2483">
        <f>((E842*G842)+(E843*G842)+I842)*(1+K842)</f>
        <v>127.70676633592686</v>
      </c>
      <c r="M842" s="1839" t="s">
        <v>1928</v>
      </c>
      <c r="N842" s="1840"/>
      <c r="O842" s="2029">
        <f>AH842</f>
        <v>0.11336377937908999</v>
      </c>
      <c r="P842" s="1828"/>
      <c r="Q842" s="1726">
        <f>O842*P843</f>
        <v>6.6062209175936548</v>
      </c>
      <c r="R842" s="1726"/>
      <c r="S842" s="1726"/>
      <c r="T842" s="2000">
        <f>Q842</f>
        <v>6.6062209175936548</v>
      </c>
      <c r="U842" s="1733"/>
      <c r="V842" s="1699"/>
      <c r="W842" s="1695"/>
      <c r="X842" s="1695"/>
      <c r="Y842" s="1695"/>
      <c r="Z842" s="1695"/>
      <c r="AA842" s="1695"/>
      <c r="AB842" s="1699"/>
      <c r="AC842" s="1695"/>
      <c r="AD842" s="1695"/>
      <c r="AE842" s="1695"/>
      <c r="AF842" s="1695"/>
      <c r="AG842" s="1695"/>
      <c r="AH842" s="2003">
        <v>0.11336377937908999</v>
      </c>
      <c r="AI842" s="2004">
        <v>2.1675320580773701E-2</v>
      </c>
      <c r="AJ842" s="2004">
        <v>70</v>
      </c>
      <c r="AK842" s="1735"/>
      <c r="AL842" s="1735"/>
      <c r="AM842" s="1735"/>
      <c r="AN842" s="1747"/>
      <c r="AO842" s="1699"/>
      <c r="AP842" s="1729"/>
    </row>
    <row r="843" spans="1:42">
      <c r="A843" s="2433"/>
      <c r="B843" s="1739" t="s">
        <v>1914</v>
      </c>
      <c r="C843" s="1721" t="s">
        <v>1915</v>
      </c>
      <c r="D843" s="1733" t="s">
        <v>1916</v>
      </c>
      <c r="E843" s="1748">
        <f>AVERAGE(AB845,AB847)</f>
        <v>0.35624999999999996</v>
      </c>
      <c r="F843" s="1789"/>
      <c r="G843" s="2421"/>
      <c r="H843" s="1724">
        <f>E843*$G$842</f>
        <v>20.062300360478684</v>
      </c>
      <c r="I843" s="1736"/>
      <c r="J843" s="1842"/>
      <c r="K843" s="2427"/>
      <c r="L843" s="2480"/>
      <c r="M843" s="1757" t="s">
        <v>1952</v>
      </c>
      <c r="N843" s="1735"/>
      <c r="O843" s="1861">
        <f>AVERAGE(AO843:AO844)</f>
        <v>1.756</v>
      </c>
      <c r="P843" s="1738">
        <f>AP843*BQ45</f>
        <v>58.274529605283924</v>
      </c>
      <c r="Q843" s="1737">
        <f>O843*P843</f>
        <v>102.33007398687857</v>
      </c>
      <c r="R843" s="1842"/>
      <c r="S843" s="1842"/>
      <c r="T843" s="1795">
        <f>Q843</f>
        <v>102.33007398687857</v>
      </c>
      <c r="U843" s="1733" t="s">
        <v>1694</v>
      </c>
      <c r="V843" s="1699"/>
      <c r="W843" s="1695"/>
      <c r="X843" s="1695"/>
      <c r="Y843" s="1695"/>
      <c r="Z843" s="1695"/>
      <c r="AA843" s="1695"/>
      <c r="AB843" s="1699"/>
      <c r="AC843" s="1695"/>
      <c r="AD843" s="1695"/>
      <c r="AE843" s="1695"/>
      <c r="AF843" s="1695"/>
      <c r="AG843" s="1695"/>
      <c r="AH843" s="1699"/>
      <c r="AI843" s="1695"/>
      <c r="AJ843" s="1695"/>
      <c r="AK843" s="1695"/>
      <c r="AL843" s="1695"/>
      <c r="AM843" s="1695"/>
      <c r="AN843" s="1695"/>
      <c r="AO843" s="1757">
        <v>1.29</v>
      </c>
      <c r="AP843" s="1758">
        <v>52.4</v>
      </c>
    </row>
    <row r="844" spans="1:42">
      <c r="A844" s="2433"/>
      <c r="B844" s="1695"/>
      <c r="C844" s="1696"/>
      <c r="D844" s="1873"/>
      <c r="E844" s="1741"/>
      <c r="F844" s="1741"/>
      <c r="G844" s="1843"/>
      <c r="H844" s="1843"/>
      <c r="I844" s="1843"/>
      <c r="J844" s="1843"/>
      <c r="K844" s="1741"/>
      <c r="L844" s="1799"/>
      <c r="M844" s="1740"/>
      <c r="N844" s="1741"/>
      <c r="O844" s="1741"/>
      <c r="P844" s="1843"/>
      <c r="Q844" s="1843"/>
      <c r="R844" s="1843"/>
      <c r="S844" s="1843"/>
      <c r="T844" s="1799"/>
      <c r="U844" s="1733" t="s">
        <v>1697</v>
      </c>
      <c r="V844" s="1699"/>
      <c r="W844" s="1695"/>
      <c r="X844" s="1695"/>
      <c r="Y844" s="1695"/>
      <c r="Z844" s="1695"/>
      <c r="AA844" s="1695"/>
      <c r="AB844" s="1699"/>
      <c r="AC844" s="1695"/>
      <c r="AD844" s="1695"/>
      <c r="AE844" s="1695"/>
      <c r="AF844" s="1695"/>
      <c r="AG844" s="1695"/>
      <c r="AH844" s="1699"/>
      <c r="AI844" s="1695"/>
      <c r="AJ844" s="1695"/>
      <c r="AK844" s="1695"/>
      <c r="AL844" s="1695"/>
      <c r="AM844" s="1695"/>
      <c r="AN844" s="1695"/>
      <c r="AO844" s="1757">
        <v>2.222</v>
      </c>
      <c r="AP844" s="1758">
        <v>52.4</v>
      </c>
    </row>
    <row r="845" spans="1:42">
      <c r="A845" s="2433"/>
      <c r="B845" s="1695"/>
      <c r="C845" s="1696"/>
      <c r="D845" s="1696"/>
      <c r="E845" s="1695"/>
      <c r="F845" s="1695"/>
      <c r="G845" s="1745"/>
      <c r="H845" s="1745"/>
      <c r="I845" s="1745"/>
      <c r="J845" s="1745"/>
      <c r="K845" s="1695"/>
      <c r="L845" s="1805"/>
      <c r="M845" s="1699"/>
      <c r="N845" s="1695"/>
      <c r="O845" s="1695"/>
      <c r="P845" s="1745"/>
      <c r="Q845" s="1745"/>
      <c r="R845" s="1745"/>
      <c r="S845" s="1745"/>
      <c r="T845" s="1805"/>
      <c r="U845" s="1733" t="s">
        <v>1754</v>
      </c>
      <c r="V845" s="2022">
        <v>0.65</v>
      </c>
      <c r="W845" s="2023">
        <v>104.21052631578948</v>
      </c>
      <c r="X845" s="2024">
        <v>99</v>
      </c>
      <c r="Y845" s="1782"/>
      <c r="Z845" s="2024">
        <v>5.95</v>
      </c>
      <c r="AA845" s="2025">
        <v>26.5</v>
      </c>
      <c r="AB845" s="2022">
        <v>0.3</v>
      </c>
      <c r="AC845" s="1695"/>
      <c r="AD845" s="1695"/>
      <c r="AE845" s="1695"/>
      <c r="AF845" s="1695"/>
      <c r="AG845" s="1695"/>
      <c r="AH845" s="1699"/>
      <c r="AI845" s="1695"/>
      <c r="AJ845" s="1695"/>
      <c r="AK845" s="1695"/>
      <c r="AL845" s="1695"/>
      <c r="AM845" s="1695"/>
      <c r="AN845" s="1695"/>
      <c r="AO845" s="1699"/>
      <c r="AP845" s="1729"/>
    </row>
    <row r="846" spans="1:42">
      <c r="A846" s="2433"/>
      <c r="B846" s="1695"/>
      <c r="C846" s="1696"/>
      <c r="D846" s="1696"/>
      <c r="E846" s="1695"/>
      <c r="F846" s="1695"/>
      <c r="G846" s="1745"/>
      <c r="H846" s="1745"/>
      <c r="I846" s="1745"/>
      <c r="J846" s="1745"/>
      <c r="K846" s="1695"/>
      <c r="L846" s="1805"/>
      <c r="M846" s="1699"/>
      <c r="N846" s="1695"/>
      <c r="O846" s="1695"/>
      <c r="P846" s="1745"/>
      <c r="Q846" s="1745"/>
      <c r="R846" s="1745"/>
      <c r="S846" s="1745"/>
      <c r="T846" s="1805"/>
      <c r="U846" s="1733" t="s">
        <v>1755</v>
      </c>
      <c r="V846" s="2014">
        <v>1</v>
      </c>
      <c r="W846" s="2015">
        <v>79</v>
      </c>
      <c r="X846" s="1749">
        <v>79</v>
      </c>
      <c r="Y846" s="1735"/>
      <c r="Z846" s="1749"/>
      <c r="AA846" s="2016">
        <v>15.6731</v>
      </c>
      <c r="AB846" s="2014"/>
      <c r="AC846" s="1695"/>
      <c r="AD846" s="1695"/>
      <c r="AE846" s="1695"/>
      <c r="AF846" s="1695"/>
      <c r="AG846" s="1695"/>
      <c r="AH846" s="1699"/>
      <c r="AI846" s="1695"/>
      <c r="AJ846" s="1695"/>
      <c r="AK846" s="1695"/>
      <c r="AL846" s="1695"/>
      <c r="AM846" s="1695"/>
      <c r="AN846" s="1695"/>
      <c r="AO846" s="1699"/>
      <c r="AP846" s="1729"/>
    </row>
    <row r="847" spans="1:42">
      <c r="A847" s="2433"/>
      <c r="B847" s="1695"/>
      <c r="C847" s="1696"/>
      <c r="D847" s="1696"/>
      <c r="E847" s="1695"/>
      <c r="F847" s="1695"/>
      <c r="G847" s="1745"/>
      <c r="H847" s="1745"/>
      <c r="I847" s="1745"/>
      <c r="J847" s="1745"/>
      <c r="K847" s="1695"/>
      <c r="L847" s="1805"/>
      <c r="M847" s="1699"/>
      <c r="N847" s="1695"/>
      <c r="O847" s="1695"/>
      <c r="P847" s="1745"/>
      <c r="Q847" s="1745"/>
      <c r="R847" s="1745"/>
      <c r="S847" s="1745"/>
      <c r="T847" s="1805"/>
      <c r="U847" s="1733" t="s">
        <v>1756</v>
      </c>
      <c r="V847" s="2014">
        <v>0.58750000000000002</v>
      </c>
      <c r="W847" s="2015">
        <v>75</v>
      </c>
      <c r="X847" s="1749">
        <v>75</v>
      </c>
      <c r="Y847" s="1735"/>
      <c r="Z847" s="1749">
        <v>1.26</v>
      </c>
      <c r="AA847" s="2016">
        <v>10.2065</v>
      </c>
      <c r="AB847" s="2014">
        <v>0.41249999999999998</v>
      </c>
      <c r="AC847" s="1695"/>
      <c r="AD847" s="1695"/>
      <c r="AE847" s="1695"/>
      <c r="AF847" s="1695"/>
      <c r="AG847" s="1695"/>
      <c r="AH847" s="1699"/>
      <c r="AI847" s="1695"/>
      <c r="AJ847" s="1695"/>
      <c r="AK847" s="1695"/>
      <c r="AL847" s="1695"/>
      <c r="AM847" s="1695"/>
      <c r="AN847" s="1695"/>
      <c r="AO847" s="1699"/>
      <c r="AP847" s="1729"/>
    </row>
    <row r="848" spans="1:42">
      <c r="A848" s="2433"/>
      <c r="B848" s="1695"/>
      <c r="C848" s="1696"/>
      <c r="D848" s="1696"/>
      <c r="E848" s="1695"/>
      <c r="F848" s="1695"/>
      <c r="G848" s="1745"/>
      <c r="H848" s="1745"/>
      <c r="I848" s="1745"/>
      <c r="J848" s="1745"/>
      <c r="K848" s="1695"/>
      <c r="L848" s="1805"/>
      <c r="M848" s="1699"/>
      <c r="N848" s="1695"/>
      <c r="O848" s="1695"/>
      <c r="P848" s="1745"/>
      <c r="Q848" s="1745"/>
      <c r="R848" s="1745"/>
      <c r="S848" s="1745"/>
      <c r="T848" s="1805"/>
      <c r="U848" s="1733" t="s">
        <v>1757</v>
      </c>
      <c r="V848" s="2014">
        <v>0.75</v>
      </c>
      <c r="W848" s="2015">
        <v>60</v>
      </c>
      <c r="X848" s="1749">
        <v>45</v>
      </c>
      <c r="Y848" s="1735"/>
      <c r="Z848" s="1749">
        <v>2</v>
      </c>
      <c r="AA848" s="2016">
        <v>28.05</v>
      </c>
      <c r="AB848" s="2014"/>
      <c r="AC848" s="1695"/>
      <c r="AD848" s="1695"/>
      <c r="AE848" s="1695"/>
      <c r="AF848" s="1695"/>
      <c r="AG848" s="1695"/>
      <c r="AH848" s="1699"/>
      <c r="AI848" s="1695"/>
      <c r="AJ848" s="1695"/>
      <c r="AK848" s="1695"/>
      <c r="AL848" s="1695"/>
      <c r="AM848" s="1695"/>
      <c r="AN848" s="1695"/>
      <c r="AO848" s="1699"/>
      <c r="AP848" s="1729"/>
    </row>
    <row r="849" spans="1:49">
      <c r="A849" s="2433"/>
      <c r="B849" s="1695"/>
      <c r="C849" s="1696"/>
      <c r="D849" s="1696"/>
      <c r="E849" s="1695"/>
      <c r="F849" s="1695"/>
      <c r="G849" s="1745"/>
      <c r="H849" s="1745"/>
      <c r="I849" s="1745"/>
      <c r="J849" s="1745"/>
      <c r="K849" s="1695"/>
      <c r="L849" s="1805"/>
      <c r="M849" s="1699"/>
      <c r="N849" s="1695"/>
      <c r="O849" s="1695"/>
      <c r="P849" s="1745"/>
      <c r="Q849" s="1745"/>
      <c r="R849" s="1745"/>
      <c r="S849" s="1745"/>
      <c r="T849" s="1805"/>
      <c r="U849" s="1733" t="s">
        <v>1758</v>
      </c>
      <c r="V849" s="2022">
        <v>1.8252067482633145</v>
      </c>
      <c r="W849" s="2023">
        <v>79.55263157894737</v>
      </c>
      <c r="X849" s="2024">
        <v>145.19999999999999</v>
      </c>
      <c r="Y849" s="1782"/>
      <c r="Z849" s="2024">
        <v>0.15</v>
      </c>
      <c r="AA849" s="2025">
        <v>13.047999999999998</v>
      </c>
      <c r="AB849" s="2022"/>
      <c r="AC849" s="1695"/>
      <c r="AD849" s="1695"/>
      <c r="AE849" s="1695"/>
      <c r="AF849" s="1695"/>
      <c r="AG849" s="1695"/>
      <c r="AH849" s="1699"/>
      <c r="AI849" s="1695"/>
      <c r="AJ849" s="1695"/>
      <c r="AK849" s="1695"/>
      <c r="AL849" s="1695"/>
      <c r="AM849" s="1695"/>
      <c r="AN849" s="1695"/>
      <c r="AO849" s="1699"/>
      <c r="AP849" s="1729"/>
    </row>
    <row r="850" spans="1:49" ht="8.25" customHeight="1">
      <c r="A850" s="2433"/>
      <c r="B850" s="1695"/>
      <c r="C850" s="1696"/>
      <c r="D850" s="1696"/>
      <c r="E850" s="1695"/>
      <c r="F850" s="1695"/>
      <c r="G850" s="1745"/>
      <c r="H850" s="1745"/>
      <c r="I850" s="1745"/>
      <c r="J850" s="1745"/>
      <c r="K850" s="1695"/>
      <c r="L850" s="1805"/>
      <c r="M850" s="1699"/>
      <c r="N850" s="1695"/>
      <c r="O850" s="1695"/>
      <c r="P850" s="1745"/>
      <c r="Q850" s="1745"/>
      <c r="R850" s="1745"/>
      <c r="S850" s="1745"/>
      <c r="T850" s="1805"/>
      <c r="U850" s="1699"/>
      <c r="V850" s="1699"/>
      <c r="W850" s="1695"/>
      <c r="X850" s="1695"/>
      <c r="Y850" s="1695"/>
      <c r="Z850" s="1695"/>
      <c r="AA850" s="1695"/>
      <c r="AB850" s="1699"/>
      <c r="AC850" s="1695"/>
      <c r="AD850" s="1695"/>
      <c r="AE850" s="1695"/>
      <c r="AF850" s="1695"/>
      <c r="AG850" s="1695"/>
      <c r="AH850" s="1699"/>
      <c r="AI850" s="1695"/>
      <c r="AJ850" s="1695"/>
      <c r="AK850" s="1695"/>
      <c r="AL850" s="1695"/>
      <c r="AM850" s="1695"/>
      <c r="AN850" s="1695"/>
      <c r="AO850" s="1699"/>
      <c r="AP850" s="1729"/>
    </row>
    <row r="851" spans="1:49" ht="15.75" thickBot="1">
      <c r="A851" s="2433"/>
      <c r="B851" s="1695"/>
      <c r="C851" s="1696"/>
      <c r="D851" s="1696"/>
      <c r="E851" s="1695"/>
      <c r="F851" s="1695"/>
      <c r="G851" s="1745"/>
      <c r="H851" s="1745"/>
      <c r="I851" s="1745"/>
      <c r="J851" s="1745"/>
      <c r="K851" s="1695"/>
      <c r="L851" s="1805"/>
      <c r="M851" s="1699"/>
      <c r="N851" s="1695"/>
      <c r="O851" s="1695"/>
      <c r="P851" s="1745"/>
      <c r="Q851" s="1745"/>
      <c r="R851" s="1745"/>
      <c r="S851" s="1745"/>
      <c r="T851" s="1805"/>
      <c r="U851" s="1699"/>
      <c r="V851" s="1699"/>
      <c r="W851" s="1695"/>
      <c r="X851" s="1695"/>
      <c r="Y851" s="1695"/>
      <c r="Z851" s="1695"/>
      <c r="AA851" s="1695"/>
      <c r="AB851" s="1699"/>
      <c r="AC851" s="1695"/>
      <c r="AD851" s="1695"/>
      <c r="AE851" s="1695"/>
      <c r="AF851" s="1695"/>
      <c r="AG851" s="1695"/>
      <c r="AH851" s="1699"/>
      <c r="AI851" s="1695"/>
      <c r="AJ851" s="1695"/>
      <c r="AK851" s="1695"/>
      <c r="AL851" s="1695"/>
      <c r="AM851" s="1695"/>
      <c r="AN851" s="1695"/>
      <c r="AO851" s="1699"/>
      <c r="AP851" s="1729"/>
      <c r="AR851" s="1687" t="s">
        <v>1918</v>
      </c>
      <c r="AW851" s="1687" t="s">
        <v>2054</v>
      </c>
    </row>
    <row r="852" spans="1:49" ht="15.75" thickBot="1">
      <c r="A852" s="2005"/>
      <c r="B852" s="1814"/>
      <c r="C852" s="1815"/>
      <c r="D852" s="1815"/>
      <c r="E852" s="1814"/>
      <c r="F852" s="1816"/>
      <c r="G852" s="1817"/>
      <c r="H852" s="1817"/>
      <c r="I852" s="1817"/>
      <c r="J852" s="1817"/>
      <c r="K852" s="1818"/>
      <c r="L852" s="1817"/>
      <c r="M852" s="1819"/>
      <c r="N852" s="1816"/>
      <c r="O852" s="1816"/>
      <c r="P852" s="1820"/>
      <c r="Q852" s="1817"/>
      <c r="R852" s="1817"/>
      <c r="S852" s="1817"/>
      <c r="T852" s="1817"/>
      <c r="U852" s="1819"/>
      <c r="V852" s="1819"/>
      <c r="W852" s="1821"/>
      <c r="X852" s="1821"/>
      <c r="Y852" s="1821"/>
      <c r="Z852" s="1821"/>
      <c r="AA852" s="1821"/>
      <c r="AB852" s="1819"/>
      <c r="AC852" s="1821"/>
      <c r="AD852" s="1821"/>
      <c r="AE852" s="1821"/>
      <c r="AF852" s="1821"/>
      <c r="AG852" s="1821"/>
      <c r="AH852" s="1819"/>
      <c r="AI852" s="1821"/>
      <c r="AJ852" s="1821"/>
      <c r="AK852" s="1821"/>
      <c r="AL852" s="1821"/>
      <c r="AM852" s="1821"/>
      <c r="AN852" s="1816"/>
      <c r="AO852" s="1819"/>
      <c r="AP852" s="1822"/>
      <c r="AQ852" s="1687" t="s">
        <v>1837</v>
      </c>
      <c r="AR852" s="1687">
        <f>AVERAGE(AO853:AO868)</f>
        <v>2.8926250000000002</v>
      </c>
      <c r="AU852" s="1687">
        <v>672.01</v>
      </c>
      <c r="AV852" s="1687">
        <v>813.69</v>
      </c>
      <c r="AW852" s="1687">
        <f>AV852/AU852</f>
        <v>1.2108301959792267</v>
      </c>
    </row>
    <row r="853" spans="1:49">
      <c r="A853" s="2423" t="s">
        <v>1366</v>
      </c>
      <c r="B853" s="1823" t="s">
        <v>1930</v>
      </c>
      <c r="C853" s="1824" t="s">
        <v>1915</v>
      </c>
      <c r="D853" s="1824" t="s">
        <v>1916</v>
      </c>
      <c r="E853" s="1826">
        <f>AVERAGE(V869:V872)</f>
        <v>1.3125</v>
      </c>
      <c r="F853" s="1962"/>
      <c r="G853" s="1828">
        <f>AVERAGE(W869:W872)*BS30</f>
        <v>59.767550330172902</v>
      </c>
      <c r="H853" s="1724">
        <f>E853*$G$853</f>
        <v>78.444909808351937</v>
      </c>
      <c r="I853" s="1828">
        <f>AVERAGE(Z869:Z872)+AVERAGE(AA869:AA872)</f>
        <v>29.317266666666665</v>
      </c>
      <c r="J853" s="1829"/>
      <c r="K853" s="2426">
        <v>0.2</v>
      </c>
      <c r="L853" s="2483">
        <f>(E853*G853+I853+I854)*(1+K853)</f>
        <v>155.46861177002231</v>
      </c>
      <c r="M853" s="1839" t="s">
        <v>1929</v>
      </c>
      <c r="N853" s="1840"/>
      <c r="O853" s="2029">
        <f>AR852</f>
        <v>2.8926250000000002</v>
      </c>
      <c r="P853" s="1834">
        <f>AP853*BQ45</f>
        <v>58.274529605283924</v>
      </c>
      <c r="Q853" s="1737">
        <f>O853*P853</f>
        <v>168.56636119948442</v>
      </c>
      <c r="R853" s="2030"/>
      <c r="S853" s="1727"/>
      <c r="T853" s="1995">
        <f>Q853</f>
        <v>168.56636119948442</v>
      </c>
      <c r="U853" s="1733" t="s">
        <v>1702</v>
      </c>
      <c r="V853" s="1699"/>
      <c r="W853" s="1695"/>
      <c r="X853" s="1695"/>
      <c r="Y853" s="1695"/>
      <c r="Z853" s="1695"/>
      <c r="AA853" s="1695"/>
      <c r="AB853" s="1699"/>
      <c r="AC853" s="1695"/>
      <c r="AD853" s="1695"/>
      <c r="AE853" s="1695"/>
      <c r="AF853" s="1695"/>
      <c r="AG853" s="1695"/>
      <c r="AH853" s="1699"/>
      <c r="AI853" s="1695"/>
      <c r="AJ853" s="1695"/>
      <c r="AK853" s="1695"/>
      <c r="AL853" s="1695"/>
      <c r="AM853" s="1695"/>
      <c r="AN853" s="1695"/>
      <c r="AO853" s="1757">
        <v>2.286</v>
      </c>
      <c r="AP853" s="1758">
        <v>52.4</v>
      </c>
      <c r="AQ853" s="1687" t="s">
        <v>1917</v>
      </c>
      <c r="AR853" s="1687">
        <f>STDEV(AO853:AO868)</f>
        <v>0.55663870688266104</v>
      </c>
      <c r="AU853" s="1687">
        <v>694.35</v>
      </c>
      <c r="AV853" s="1687">
        <v>841.61</v>
      </c>
      <c r="AW853" s="1687">
        <f t="shared" ref="AW853:AW867" si="74">AV853/AU853</f>
        <v>1.2120832433210917</v>
      </c>
    </row>
    <row r="854" spans="1:49">
      <c r="A854" s="2424"/>
      <c r="B854" s="1739" t="s">
        <v>1924</v>
      </c>
      <c r="C854" s="1733" t="s">
        <v>1915</v>
      </c>
      <c r="D854" s="1733" t="s">
        <v>1916</v>
      </c>
      <c r="E854" s="1734"/>
      <c r="F854" s="1789"/>
      <c r="G854" s="1736"/>
      <c r="H854" s="1736"/>
      <c r="I854" s="1736">
        <f>AVERAGE(Y869:Y872)/50</f>
        <v>21.795000000000002</v>
      </c>
      <c r="J854" s="1842"/>
      <c r="K854" s="2427"/>
      <c r="L854" s="2480"/>
      <c r="M854" s="1743" t="s">
        <v>1942</v>
      </c>
      <c r="N854" s="1782"/>
      <c r="O854" s="1870" t="s">
        <v>1950</v>
      </c>
      <c r="P854" s="1738">
        <v>67.88</v>
      </c>
      <c r="Q854" s="2031" t="s">
        <v>2049</v>
      </c>
      <c r="R854" s="1842"/>
      <c r="S854" s="1842"/>
      <c r="T854" s="2032" t="str">
        <f>Q854</f>
        <v>$19.01 - $66.52</v>
      </c>
      <c r="U854" s="1733" t="s">
        <v>1703</v>
      </c>
      <c r="V854" s="1699"/>
      <c r="W854" s="1695"/>
      <c r="X854" s="1695"/>
      <c r="Y854" s="1695"/>
      <c r="Z854" s="1695"/>
      <c r="AA854" s="1695"/>
      <c r="AB854" s="1699"/>
      <c r="AC854" s="1695"/>
      <c r="AD854" s="1695"/>
      <c r="AE854" s="1695"/>
      <c r="AF854" s="1695"/>
      <c r="AG854" s="1695"/>
      <c r="AH854" s="1699"/>
      <c r="AI854" s="1695"/>
      <c r="AJ854" s="1695"/>
      <c r="AK854" s="1695"/>
      <c r="AL854" s="1695"/>
      <c r="AM854" s="1695"/>
      <c r="AN854" s="1695"/>
      <c r="AO854" s="1757">
        <v>2.5</v>
      </c>
      <c r="AP854" s="1758">
        <v>52.4</v>
      </c>
      <c r="AU854" s="1687">
        <v>773.86</v>
      </c>
      <c r="AV854" s="1687">
        <v>936.57</v>
      </c>
      <c r="AW854" s="1687">
        <f t="shared" si="74"/>
        <v>1.2102576693458766</v>
      </c>
    </row>
    <row r="855" spans="1:49">
      <c r="A855" s="2424"/>
      <c r="B855" s="1695"/>
      <c r="C855" s="1696"/>
      <c r="D855" s="1696"/>
      <c r="E855" s="1695"/>
      <c r="F855" s="1695"/>
      <c r="G855" s="1745"/>
      <c r="H855" s="1745"/>
      <c r="I855" s="1745"/>
      <c r="J855" s="1745"/>
      <c r="K855" s="1695"/>
      <c r="L855" s="1805"/>
      <c r="M855" s="1699"/>
      <c r="N855" s="1695"/>
      <c r="O855" s="1695"/>
      <c r="P855" s="1745"/>
      <c r="Q855" s="1745"/>
      <c r="R855" s="1745"/>
      <c r="S855" s="1745"/>
      <c r="T855" s="1799"/>
      <c r="U855" s="1733" t="s">
        <v>1704</v>
      </c>
      <c r="V855" s="1699"/>
      <c r="W855" s="1695"/>
      <c r="X855" s="1695"/>
      <c r="Y855" s="1695"/>
      <c r="Z855" s="1695"/>
      <c r="AA855" s="1695"/>
      <c r="AB855" s="1699"/>
      <c r="AC855" s="1695"/>
      <c r="AD855" s="1695"/>
      <c r="AE855" s="1695"/>
      <c r="AF855" s="1695"/>
      <c r="AG855" s="1695"/>
      <c r="AH855" s="1699"/>
      <c r="AI855" s="1695"/>
      <c r="AJ855" s="1695"/>
      <c r="AK855" s="1695"/>
      <c r="AL855" s="1695"/>
      <c r="AM855" s="1695"/>
      <c r="AN855" s="1695"/>
      <c r="AO855" s="1757">
        <v>2.222</v>
      </c>
      <c r="AP855" s="1758">
        <v>52.4</v>
      </c>
      <c r="AU855" s="1687">
        <v>659.84</v>
      </c>
      <c r="AV855" s="1687">
        <v>805.47</v>
      </c>
      <c r="AW855" s="1687">
        <f t="shared" si="74"/>
        <v>1.2207050193986422</v>
      </c>
    </row>
    <row r="856" spans="1:49">
      <c r="A856" s="2424"/>
      <c r="B856" s="1695"/>
      <c r="C856" s="1696"/>
      <c r="D856" s="1696"/>
      <c r="E856" s="1695"/>
      <c r="F856" s="1695"/>
      <c r="G856" s="1745"/>
      <c r="H856" s="1745"/>
      <c r="I856" s="1745"/>
      <c r="J856" s="1745"/>
      <c r="K856" s="1695"/>
      <c r="L856" s="1805"/>
      <c r="M856" s="1699"/>
      <c r="N856" s="1695"/>
      <c r="O856" s="1695"/>
      <c r="P856" s="1745"/>
      <c r="Q856" s="1745"/>
      <c r="R856" s="1745"/>
      <c r="S856" s="1745"/>
      <c r="T856" s="1805"/>
      <c r="U856" s="1733" t="s">
        <v>1705</v>
      </c>
      <c r="V856" s="1699"/>
      <c r="W856" s="1695"/>
      <c r="X856" s="1695"/>
      <c r="Y856" s="1695"/>
      <c r="Z856" s="1695"/>
      <c r="AA856" s="1695"/>
      <c r="AB856" s="1699"/>
      <c r="AC856" s="1695"/>
      <c r="AD856" s="1695"/>
      <c r="AE856" s="1695"/>
      <c r="AF856" s="1695"/>
      <c r="AG856" s="1695"/>
      <c r="AH856" s="1699"/>
      <c r="AI856" s="1695"/>
      <c r="AJ856" s="1695"/>
      <c r="AK856" s="1695"/>
      <c r="AL856" s="1695"/>
      <c r="AM856" s="1695"/>
      <c r="AN856" s="1695"/>
      <c r="AO856" s="1757">
        <v>2.6669999999999998</v>
      </c>
      <c r="AP856" s="1758">
        <v>52.4</v>
      </c>
      <c r="AU856" s="1687">
        <v>687.77</v>
      </c>
      <c r="AV856" s="1687">
        <v>833.39</v>
      </c>
      <c r="AW856" s="1687">
        <f t="shared" si="74"/>
        <v>1.2117277578260175</v>
      </c>
    </row>
    <row r="857" spans="1:49">
      <c r="A857" s="2424"/>
      <c r="B857" s="1695"/>
      <c r="C857" s="1696"/>
      <c r="D857" s="1696"/>
      <c r="E857" s="1695"/>
      <c r="F857" s="1695"/>
      <c r="G857" s="1745"/>
      <c r="H857" s="1745"/>
      <c r="I857" s="1745"/>
      <c r="J857" s="1745"/>
      <c r="K857" s="1695"/>
      <c r="L857" s="1805"/>
      <c r="M857" s="1699"/>
      <c r="N857" s="1695"/>
      <c r="O857" s="1695"/>
      <c r="P857" s="1745"/>
      <c r="Q857" s="1745"/>
      <c r="R857" s="1745"/>
      <c r="S857" s="1745"/>
      <c r="T857" s="1805"/>
      <c r="U857" s="1733" t="s">
        <v>1706</v>
      </c>
      <c r="V857" s="1699"/>
      <c r="W857" s="1695"/>
      <c r="X857" s="1695"/>
      <c r="Y857" s="1695"/>
      <c r="Z857" s="1695"/>
      <c r="AA857" s="1695"/>
      <c r="AB857" s="1699"/>
      <c r="AC857" s="1695"/>
      <c r="AD857" s="1695"/>
      <c r="AE857" s="1695"/>
      <c r="AF857" s="1695"/>
      <c r="AG857" s="1695"/>
      <c r="AH857" s="1699"/>
      <c r="AI857" s="1695"/>
      <c r="AJ857" s="1695"/>
      <c r="AK857" s="1695"/>
      <c r="AL857" s="1695"/>
      <c r="AM857" s="1695"/>
      <c r="AN857" s="1695"/>
      <c r="AO857" s="1757">
        <v>3.3330000000000002</v>
      </c>
      <c r="AP857" s="1758">
        <v>52.4</v>
      </c>
      <c r="AU857" s="1687">
        <v>945.04</v>
      </c>
      <c r="AV857" s="1687">
        <v>1131.0899999999999</v>
      </c>
      <c r="AW857" s="1687">
        <f t="shared" si="74"/>
        <v>1.1968699737577244</v>
      </c>
    </row>
    <row r="858" spans="1:49">
      <c r="A858" s="2424"/>
      <c r="B858" s="1695"/>
      <c r="C858" s="1696"/>
      <c r="D858" s="1696"/>
      <c r="E858" s="1695"/>
      <c r="F858" s="1695"/>
      <c r="G858" s="1745"/>
      <c r="H858" s="1745"/>
      <c r="I858" s="1745"/>
      <c r="J858" s="1745"/>
      <c r="K858" s="1695"/>
      <c r="L858" s="1805"/>
      <c r="M858" s="1699"/>
      <c r="N858" s="1695"/>
      <c r="O858" s="1695"/>
      <c r="P858" s="1745"/>
      <c r="Q858" s="1745"/>
      <c r="R858" s="1745"/>
      <c r="S858" s="1745"/>
      <c r="T858" s="1805"/>
      <c r="U858" s="1733" t="s">
        <v>1707</v>
      </c>
      <c r="V858" s="1699"/>
      <c r="W858" s="1695"/>
      <c r="X858" s="1695"/>
      <c r="Y858" s="1695"/>
      <c r="Z858" s="1695"/>
      <c r="AA858" s="1695"/>
      <c r="AB858" s="1699"/>
      <c r="AC858" s="1695"/>
      <c r="AD858" s="1695"/>
      <c r="AE858" s="1695"/>
      <c r="AF858" s="1695"/>
      <c r="AG858" s="1695"/>
      <c r="AH858" s="1699"/>
      <c r="AI858" s="1695"/>
      <c r="AJ858" s="1695"/>
      <c r="AK858" s="1695"/>
      <c r="AL858" s="1695"/>
      <c r="AM858" s="1695"/>
      <c r="AN858" s="1695"/>
      <c r="AO858" s="1757">
        <v>2.6669999999999998</v>
      </c>
      <c r="AP858" s="1758">
        <v>52.4</v>
      </c>
      <c r="AU858" s="1687">
        <v>1628.1</v>
      </c>
      <c r="AV858" s="1687">
        <v>1909.11</v>
      </c>
      <c r="AW858" s="1687">
        <f t="shared" si="74"/>
        <v>1.1725999631472268</v>
      </c>
    </row>
    <row r="859" spans="1:49">
      <c r="A859" s="2424"/>
      <c r="B859" s="1695"/>
      <c r="C859" s="1696"/>
      <c r="D859" s="1696"/>
      <c r="E859" s="1695"/>
      <c r="F859" s="1695"/>
      <c r="G859" s="1745"/>
      <c r="H859" s="1745"/>
      <c r="I859" s="1745"/>
      <c r="J859" s="1745"/>
      <c r="K859" s="1695"/>
      <c r="L859" s="1805"/>
      <c r="M859" s="1699"/>
      <c r="N859" s="1695"/>
      <c r="O859" s="1695"/>
      <c r="P859" s="1745"/>
      <c r="Q859" s="1745"/>
      <c r="R859" s="1745"/>
      <c r="S859" s="1745"/>
      <c r="T859" s="1805"/>
      <c r="U859" s="1733" t="s">
        <v>1708</v>
      </c>
      <c r="V859" s="1699"/>
      <c r="W859" s="1695"/>
      <c r="X859" s="1695"/>
      <c r="Y859" s="1695"/>
      <c r="Z859" s="1695"/>
      <c r="AA859" s="1695"/>
      <c r="AB859" s="1699"/>
      <c r="AC859" s="1695"/>
      <c r="AD859" s="1695"/>
      <c r="AE859" s="1695"/>
      <c r="AF859" s="1695"/>
      <c r="AG859" s="1695"/>
      <c r="AH859" s="1699"/>
      <c r="AI859" s="1695"/>
      <c r="AJ859" s="1695"/>
      <c r="AK859" s="1695"/>
      <c r="AL859" s="1695"/>
      <c r="AM859" s="1695"/>
      <c r="AN859" s="1695"/>
      <c r="AO859" s="1757">
        <v>2.9630000000000001</v>
      </c>
      <c r="AP859" s="1758">
        <v>52.4</v>
      </c>
      <c r="AU859" s="1687">
        <v>900.36</v>
      </c>
      <c r="AV859" s="1687">
        <v>1080.82</v>
      </c>
      <c r="AW859" s="1687">
        <f t="shared" si="74"/>
        <v>1.2004309387356167</v>
      </c>
    </row>
    <row r="860" spans="1:49">
      <c r="A860" s="2424"/>
      <c r="B860" s="1695"/>
      <c r="C860" s="1696"/>
      <c r="D860" s="1696"/>
      <c r="E860" s="1695"/>
      <c r="F860" s="1695"/>
      <c r="G860" s="1745"/>
      <c r="H860" s="1745"/>
      <c r="I860" s="1745"/>
      <c r="J860" s="1745"/>
      <c r="K860" s="1695"/>
      <c r="L860" s="1805"/>
      <c r="M860" s="1699"/>
      <c r="N860" s="1695"/>
      <c r="O860" s="1695"/>
      <c r="P860" s="1745"/>
      <c r="Q860" s="1745"/>
      <c r="R860" s="1745"/>
      <c r="S860" s="1745"/>
      <c r="T860" s="1805"/>
      <c r="U860" s="1733" t="s">
        <v>1709</v>
      </c>
      <c r="V860" s="1699"/>
      <c r="W860" s="1695"/>
      <c r="X860" s="1695"/>
      <c r="Y860" s="1695"/>
      <c r="Z860" s="1695"/>
      <c r="AA860" s="1695"/>
      <c r="AB860" s="1699"/>
      <c r="AC860" s="1695"/>
      <c r="AD860" s="1695"/>
      <c r="AE860" s="1695"/>
      <c r="AF860" s="1695"/>
      <c r="AG860" s="1695"/>
      <c r="AH860" s="1699"/>
      <c r="AI860" s="1695"/>
      <c r="AJ860" s="1695"/>
      <c r="AK860" s="1695"/>
      <c r="AL860" s="1695"/>
      <c r="AM860" s="1695"/>
      <c r="AN860" s="1695"/>
      <c r="AO860" s="1757">
        <v>3.2</v>
      </c>
      <c r="AP860" s="1758">
        <v>52.4</v>
      </c>
      <c r="AU860" s="1687">
        <v>917.12</v>
      </c>
      <c r="AV860" s="1687">
        <v>1097.58</v>
      </c>
      <c r="AW860" s="1687">
        <f t="shared" si="74"/>
        <v>1.1967681437543614</v>
      </c>
    </row>
    <row r="861" spans="1:49">
      <c r="A861" s="2424"/>
      <c r="B861" s="1695"/>
      <c r="C861" s="1696"/>
      <c r="D861" s="1696"/>
      <c r="E861" s="1695"/>
      <c r="F861" s="1695"/>
      <c r="G861" s="1745"/>
      <c r="H861" s="1745"/>
      <c r="I861" s="1745"/>
      <c r="J861" s="1745"/>
      <c r="K861" s="1695"/>
      <c r="L861" s="1805"/>
      <c r="M861" s="1699"/>
      <c r="N861" s="1695"/>
      <c r="O861" s="1695"/>
      <c r="P861" s="1745"/>
      <c r="Q861" s="1745"/>
      <c r="R861" s="1745"/>
      <c r="S861" s="1745"/>
      <c r="T861" s="1805"/>
      <c r="U861" s="1733" t="s">
        <v>1710</v>
      </c>
      <c r="V861" s="1699"/>
      <c r="W861" s="1695"/>
      <c r="X861" s="1695"/>
      <c r="Y861" s="1695"/>
      <c r="Z861" s="1695"/>
      <c r="AA861" s="1695"/>
      <c r="AB861" s="1699"/>
      <c r="AC861" s="1695"/>
      <c r="AD861" s="1695"/>
      <c r="AE861" s="1695"/>
      <c r="AF861" s="1695"/>
      <c r="AG861" s="1695"/>
      <c r="AH861" s="1699"/>
      <c r="AI861" s="1695"/>
      <c r="AJ861" s="1695"/>
      <c r="AK861" s="1695"/>
      <c r="AL861" s="1695"/>
      <c r="AM861" s="1695"/>
      <c r="AN861" s="1695"/>
      <c r="AO861" s="1757">
        <v>3.3330000000000002</v>
      </c>
      <c r="AP861" s="1758">
        <v>52.4</v>
      </c>
      <c r="AU861" s="1687">
        <v>969.7</v>
      </c>
      <c r="AV861" s="1687">
        <v>1168.9000000000001</v>
      </c>
      <c r="AW861" s="1687">
        <f t="shared" si="74"/>
        <v>1.205424358048881</v>
      </c>
    </row>
    <row r="862" spans="1:49">
      <c r="A862" s="2424"/>
      <c r="B862" s="1695"/>
      <c r="C862" s="1696"/>
      <c r="D862" s="1696"/>
      <c r="E862" s="1695"/>
      <c r="F862" s="1695"/>
      <c r="G862" s="1745"/>
      <c r="H862" s="1745"/>
      <c r="I862" s="1745"/>
      <c r="J862" s="1745"/>
      <c r="K862" s="1695"/>
      <c r="L862" s="1805"/>
      <c r="M862" s="1699"/>
      <c r="N862" s="1695"/>
      <c r="O862" s="1695"/>
      <c r="P862" s="1745"/>
      <c r="Q862" s="1745"/>
      <c r="R862" s="1745"/>
      <c r="S862" s="1745"/>
      <c r="T862" s="1805"/>
      <c r="U862" s="1733" t="s">
        <v>1711</v>
      </c>
      <c r="V862" s="1699"/>
      <c r="W862" s="1695"/>
      <c r="X862" s="1695"/>
      <c r="Y862" s="1695"/>
      <c r="Z862" s="1695"/>
      <c r="AA862" s="1695"/>
      <c r="AB862" s="1699"/>
      <c r="AC862" s="1695"/>
      <c r="AD862" s="1695"/>
      <c r="AE862" s="1695"/>
      <c r="AF862" s="1695"/>
      <c r="AG862" s="1695"/>
      <c r="AH862" s="1699"/>
      <c r="AI862" s="1695"/>
      <c r="AJ862" s="1695"/>
      <c r="AK862" s="1695"/>
      <c r="AL862" s="1695"/>
      <c r="AM862" s="1695"/>
      <c r="AN862" s="1695"/>
      <c r="AO862" s="1757">
        <v>4.444</v>
      </c>
      <c r="AP862" s="1758">
        <v>52.4</v>
      </c>
      <c r="AU862" s="1687">
        <v>878.02</v>
      </c>
      <c r="AV862" s="1687">
        <v>1058.48</v>
      </c>
      <c r="AW862" s="1687">
        <f t="shared" si="74"/>
        <v>1.2055306257260656</v>
      </c>
    </row>
    <row r="863" spans="1:49">
      <c r="A863" s="2424"/>
      <c r="B863" s="1695"/>
      <c r="C863" s="1696"/>
      <c r="D863" s="1696"/>
      <c r="E863" s="1695"/>
      <c r="F863" s="1695"/>
      <c r="G863" s="1745"/>
      <c r="H863" s="1745"/>
      <c r="I863" s="1745"/>
      <c r="J863" s="1745"/>
      <c r="K863" s="1695"/>
      <c r="L863" s="1805"/>
      <c r="M863" s="1699"/>
      <c r="N863" s="1695"/>
      <c r="O863" s="1695"/>
      <c r="P863" s="1745"/>
      <c r="Q863" s="1745"/>
      <c r="R863" s="1745"/>
      <c r="S863" s="1745"/>
      <c r="T863" s="1805"/>
      <c r="U863" s="1733" t="s">
        <v>1712</v>
      </c>
      <c r="V863" s="1699"/>
      <c r="W863" s="1695"/>
      <c r="X863" s="1695"/>
      <c r="Y863" s="1695"/>
      <c r="Z863" s="1695"/>
      <c r="AA863" s="1695"/>
      <c r="AB863" s="1699"/>
      <c r="AC863" s="1695"/>
      <c r="AD863" s="1695"/>
      <c r="AE863" s="1695"/>
      <c r="AF863" s="1695"/>
      <c r="AG863" s="1695"/>
      <c r="AH863" s="1699"/>
      <c r="AI863" s="1695"/>
      <c r="AJ863" s="1695"/>
      <c r="AK863" s="1695"/>
      <c r="AL863" s="1695"/>
      <c r="AM863" s="1695"/>
      <c r="AN863" s="1695"/>
      <c r="AO863" s="1757">
        <v>2.3530000000000002</v>
      </c>
      <c r="AP863" s="1758">
        <v>52.4</v>
      </c>
      <c r="AU863" s="1687">
        <v>917.12</v>
      </c>
      <c r="AV863" s="1687">
        <v>1097.58</v>
      </c>
      <c r="AW863" s="1687">
        <f t="shared" si="74"/>
        <v>1.1967681437543614</v>
      </c>
    </row>
    <row r="864" spans="1:49">
      <c r="A864" s="2424"/>
      <c r="B864" s="1695"/>
      <c r="C864" s="1696"/>
      <c r="D864" s="1696"/>
      <c r="E864" s="1695"/>
      <c r="F864" s="1695"/>
      <c r="G864" s="1745"/>
      <c r="H864" s="1745"/>
      <c r="I864" s="1745"/>
      <c r="J864" s="1745"/>
      <c r="K864" s="1695"/>
      <c r="L864" s="1805"/>
      <c r="M864" s="1699"/>
      <c r="N864" s="1695"/>
      <c r="O864" s="1695"/>
      <c r="P864" s="1745"/>
      <c r="Q864" s="1745"/>
      <c r="R864" s="1745"/>
      <c r="S864" s="1745"/>
      <c r="T864" s="1805"/>
      <c r="U864" s="1733" t="s">
        <v>1713</v>
      </c>
      <c r="V864" s="1699"/>
      <c r="W864" s="1695"/>
      <c r="X864" s="1695"/>
      <c r="Y864" s="1695"/>
      <c r="Z864" s="1695"/>
      <c r="AA864" s="1695"/>
      <c r="AB864" s="1699"/>
      <c r="AC864" s="1695"/>
      <c r="AD864" s="1695"/>
      <c r="AE864" s="1695"/>
      <c r="AF864" s="1695"/>
      <c r="AG864" s="1695"/>
      <c r="AH864" s="1699"/>
      <c r="AI864" s="1695"/>
      <c r="AJ864" s="1695"/>
      <c r="AK864" s="1695"/>
      <c r="AL864" s="1695"/>
      <c r="AM864" s="1695"/>
      <c r="AN864" s="1695"/>
      <c r="AO864" s="1757">
        <v>2.5</v>
      </c>
      <c r="AP864" s="1758">
        <v>52.4</v>
      </c>
      <c r="AU864" s="1687">
        <v>1002.24</v>
      </c>
      <c r="AV864" s="1687">
        <v>1211.3</v>
      </c>
      <c r="AW864" s="1687">
        <f t="shared" si="74"/>
        <v>1.2085927522349935</v>
      </c>
    </row>
    <row r="865" spans="1:49">
      <c r="A865" s="2424"/>
      <c r="B865" s="1695"/>
      <c r="C865" s="1696"/>
      <c r="D865" s="1696"/>
      <c r="E865" s="1695"/>
      <c r="F865" s="1695"/>
      <c r="G865" s="1745"/>
      <c r="H865" s="1745"/>
      <c r="I865" s="1745"/>
      <c r="J865" s="1745"/>
      <c r="K865" s="1695"/>
      <c r="L865" s="1805"/>
      <c r="M865" s="1699"/>
      <c r="N865" s="1695"/>
      <c r="O865" s="1695"/>
      <c r="P865" s="1745"/>
      <c r="Q865" s="1745"/>
      <c r="R865" s="1745"/>
      <c r="S865" s="1745"/>
      <c r="T865" s="1805"/>
      <c r="U865" s="1733" t="s">
        <v>1714</v>
      </c>
      <c r="V865" s="1699"/>
      <c r="W865" s="1695"/>
      <c r="X865" s="1695"/>
      <c r="Y865" s="1695"/>
      <c r="Z865" s="1695"/>
      <c r="AA865" s="1695"/>
      <c r="AB865" s="1699"/>
      <c r="AC865" s="1695"/>
      <c r="AD865" s="1695"/>
      <c r="AE865" s="1695"/>
      <c r="AF865" s="1695"/>
      <c r="AG865" s="1695"/>
      <c r="AH865" s="1699"/>
      <c r="AI865" s="1695"/>
      <c r="AJ865" s="1695"/>
      <c r="AK865" s="1695"/>
      <c r="AL865" s="1695"/>
      <c r="AM865" s="1695"/>
      <c r="AN865" s="1695"/>
      <c r="AO865" s="1757">
        <v>2.7589999999999999</v>
      </c>
      <c r="AP865" s="1758">
        <v>52.4</v>
      </c>
      <c r="AU865" s="1687">
        <v>939.46</v>
      </c>
      <c r="AV865" s="1687">
        <v>1125.5</v>
      </c>
      <c r="AW865" s="1687">
        <f t="shared" si="74"/>
        <v>1.1980286547591168</v>
      </c>
    </row>
    <row r="866" spans="1:49">
      <c r="A866" s="2424"/>
      <c r="B866" s="1695"/>
      <c r="C866" s="1696"/>
      <c r="D866" s="1696"/>
      <c r="E866" s="1695"/>
      <c r="F866" s="1695"/>
      <c r="G866" s="1745"/>
      <c r="H866" s="1745"/>
      <c r="I866" s="1745"/>
      <c r="J866" s="1745"/>
      <c r="K866" s="1695"/>
      <c r="L866" s="1805"/>
      <c r="M866" s="1699"/>
      <c r="N866" s="1695"/>
      <c r="O866" s="1695"/>
      <c r="P866" s="1745"/>
      <c r="Q866" s="1745"/>
      <c r="R866" s="1745"/>
      <c r="S866" s="1745"/>
      <c r="T866" s="1805"/>
      <c r="U866" s="1733" t="s">
        <v>1715</v>
      </c>
      <c r="V866" s="1699"/>
      <c r="W866" s="1695"/>
      <c r="X866" s="1695"/>
      <c r="Y866" s="1695"/>
      <c r="Z866" s="1695"/>
      <c r="AA866" s="1695"/>
      <c r="AB866" s="1699"/>
      <c r="AC866" s="1695"/>
      <c r="AD866" s="1695"/>
      <c r="AE866" s="1695"/>
      <c r="AF866" s="1695"/>
      <c r="AG866" s="1695"/>
      <c r="AH866" s="1699"/>
      <c r="AI866" s="1695"/>
      <c r="AJ866" s="1695"/>
      <c r="AK866" s="1695"/>
      <c r="AL866" s="1695"/>
      <c r="AM866" s="1695"/>
      <c r="AN866" s="1695"/>
      <c r="AO866" s="1757">
        <v>2.7589999999999999</v>
      </c>
      <c r="AP866" s="1758">
        <v>52.4</v>
      </c>
      <c r="AU866" s="1687">
        <v>911.53</v>
      </c>
      <c r="AV866" s="1687">
        <v>1091.99</v>
      </c>
      <c r="AW866" s="1687">
        <f t="shared" si="74"/>
        <v>1.1979748335216613</v>
      </c>
    </row>
    <row r="867" spans="1:49">
      <c r="A867" s="2424"/>
      <c r="B867" s="1695"/>
      <c r="C867" s="1696"/>
      <c r="D867" s="1696"/>
      <c r="E867" s="1695"/>
      <c r="F867" s="1695"/>
      <c r="G867" s="1745"/>
      <c r="H867" s="1745"/>
      <c r="I867" s="1745"/>
      <c r="J867" s="1745"/>
      <c r="K867" s="1695"/>
      <c r="L867" s="1805"/>
      <c r="M867" s="1699"/>
      <c r="N867" s="1695"/>
      <c r="O867" s="1695"/>
      <c r="P867" s="1745"/>
      <c r="Q867" s="1745"/>
      <c r="R867" s="1745"/>
      <c r="S867" s="1745"/>
      <c r="T867" s="1805"/>
      <c r="U867" s="1733" t="s">
        <v>1716</v>
      </c>
      <c r="V867" s="1699"/>
      <c r="W867" s="1695"/>
      <c r="X867" s="1695"/>
      <c r="Y867" s="1695"/>
      <c r="Z867" s="1695"/>
      <c r="AA867" s="1695"/>
      <c r="AB867" s="1699"/>
      <c r="AC867" s="1695"/>
      <c r="AD867" s="1695"/>
      <c r="AE867" s="1695"/>
      <c r="AF867" s="1695"/>
      <c r="AG867" s="1695"/>
      <c r="AH867" s="1699"/>
      <c r="AI867" s="1695"/>
      <c r="AJ867" s="1695"/>
      <c r="AK867" s="1695"/>
      <c r="AL867" s="1695"/>
      <c r="AM867" s="1695"/>
      <c r="AN867" s="1695"/>
      <c r="AO867" s="1757">
        <v>2.9630000000000001</v>
      </c>
      <c r="AP867" s="1758">
        <v>52.4</v>
      </c>
      <c r="AU867" s="1687">
        <v>952.95</v>
      </c>
      <c r="AV867" s="1687">
        <v>1146.56</v>
      </c>
      <c r="AW867" s="1687">
        <f t="shared" si="74"/>
        <v>1.2031691064588907</v>
      </c>
    </row>
    <row r="868" spans="1:49">
      <c r="A868" s="2424"/>
      <c r="B868" s="1695"/>
      <c r="C868" s="1696"/>
      <c r="D868" s="1696"/>
      <c r="E868" s="1695"/>
      <c r="F868" s="1695"/>
      <c r="G868" s="1745"/>
      <c r="H868" s="1745"/>
      <c r="I868" s="1745"/>
      <c r="J868" s="1745"/>
      <c r="K868" s="1695"/>
      <c r="L868" s="1805"/>
      <c r="M868" s="1699"/>
      <c r="N868" s="1695"/>
      <c r="O868" s="1695"/>
      <c r="P868" s="1745"/>
      <c r="Q868" s="1745"/>
      <c r="R868" s="1745"/>
      <c r="S868" s="1745"/>
      <c r="T868" s="1805"/>
      <c r="U868" s="1733" t="s">
        <v>1717</v>
      </c>
      <c r="V868" s="1699"/>
      <c r="W868" s="1695"/>
      <c r="X868" s="1695"/>
      <c r="Y868" s="1695"/>
      <c r="Z868" s="1695"/>
      <c r="AA868" s="1695"/>
      <c r="AB868" s="1699"/>
      <c r="AC868" s="1695"/>
      <c r="AD868" s="1695"/>
      <c r="AE868" s="1695"/>
      <c r="AF868" s="1695"/>
      <c r="AG868" s="1695"/>
      <c r="AH868" s="1699"/>
      <c r="AI868" s="1695"/>
      <c r="AJ868" s="1695"/>
      <c r="AK868" s="1695"/>
      <c r="AL868" s="1695"/>
      <c r="AM868" s="1695"/>
      <c r="AN868" s="1695"/>
      <c r="AO868" s="1757">
        <v>3.3330000000000002</v>
      </c>
      <c r="AP868" s="1758">
        <v>52.4</v>
      </c>
      <c r="AW868" s="1687">
        <f>AVERAGE(AW852:AW867)</f>
        <v>1.2029850862356097</v>
      </c>
    </row>
    <row r="869" spans="1:49">
      <c r="A869" s="2424"/>
      <c r="B869" s="1695"/>
      <c r="C869" s="1696"/>
      <c r="D869" s="1696"/>
      <c r="E869" s="1695"/>
      <c r="F869" s="1695"/>
      <c r="G869" s="1745"/>
      <c r="H869" s="1745"/>
      <c r="I869" s="1745"/>
      <c r="J869" s="1745"/>
      <c r="K869" s="1695"/>
      <c r="L869" s="1805"/>
      <c r="M869" s="1699"/>
      <c r="N869" s="1695"/>
      <c r="O869" s="1695"/>
      <c r="P869" s="1745"/>
      <c r="Q869" s="1745"/>
      <c r="R869" s="1745"/>
      <c r="S869" s="1745"/>
      <c r="T869" s="1805"/>
      <c r="U869" s="1733" t="s">
        <v>1763</v>
      </c>
      <c r="V869" s="2022">
        <v>0.5</v>
      </c>
      <c r="W869" s="2023">
        <v>88.717948717948715</v>
      </c>
      <c r="X869" s="2024">
        <v>69.2</v>
      </c>
      <c r="Y869" s="1782">
        <v>1459</v>
      </c>
      <c r="Z869" s="2024">
        <v>3.76</v>
      </c>
      <c r="AA869" s="2025">
        <v>6.04</v>
      </c>
      <c r="AB869" s="1699"/>
      <c r="AC869" s="1695"/>
      <c r="AD869" s="1695"/>
      <c r="AE869" s="1695"/>
      <c r="AF869" s="1695"/>
      <c r="AG869" s="1695"/>
      <c r="AH869" s="1699"/>
      <c r="AI869" s="1695"/>
      <c r="AJ869" s="1695"/>
      <c r="AK869" s="1695"/>
      <c r="AL869" s="1695"/>
      <c r="AM869" s="1695"/>
      <c r="AN869" s="1695"/>
      <c r="AO869" s="1699"/>
      <c r="AP869" s="1729"/>
    </row>
    <row r="870" spans="1:49">
      <c r="A870" s="2424"/>
      <c r="B870" s="1695"/>
      <c r="C870" s="1696"/>
      <c r="D870" s="1696"/>
      <c r="E870" s="1695"/>
      <c r="F870" s="1695"/>
      <c r="G870" s="1745"/>
      <c r="H870" s="1745"/>
      <c r="I870" s="1745"/>
      <c r="J870" s="1745"/>
      <c r="K870" s="1695"/>
      <c r="L870" s="1805"/>
      <c r="M870" s="1699"/>
      <c r="N870" s="1695"/>
      <c r="O870" s="1695"/>
      <c r="P870" s="1745"/>
      <c r="Q870" s="1745"/>
      <c r="R870" s="1745"/>
      <c r="S870" s="1745"/>
      <c r="T870" s="1805"/>
      <c r="U870" s="1733" t="s">
        <v>1764</v>
      </c>
      <c r="V870" s="2014">
        <v>1</v>
      </c>
      <c r="W870" s="2015">
        <v>79</v>
      </c>
      <c r="X870" s="1749">
        <v>79</v>
      </c>
      <c r="Y870" s="1735">
        <v>1200</v>
      </c>
      <c r="Z870" s="1749"/>
      <c r="AA870" s="2016">
        <v>24.384799999999998</v>
      </c>
      <c r="AB870" s="1699"/>
      <c r="AC870" s="1695"/>
      <c r="AD870" s="1695"/>
      <c r="AE870" s="1695"/>
      <c r="AF870" s="1695"/>
      <c r="AG870" s="1695"/>
      <c r="AH870" s="1699"/>
      <c r="AI870" s="1695"/>
      <c r="AJ870" s="1695"/>
      <c r="AK870" s="1695"/>
      <c r="AL870" s="1695"/>
      <c r="AM870" s="1695"/>
      <c r="AN870" s="1695"/>
      <c r="AO870" s="1699"/>
      <c r="AP870" s="1729"/>
    </row>
    <row r="871" spans="1:49">
      <c r="A871" s="2424"/>
      <c r="B871" s="1695"/>
      <c r="C871" s="1696"/>
      <c r="D871" s="1696"/>
      <c r="E871" s="1695"/>
      <c r="F871" s="1695"/>
      <c r="G871" s="1745"/>
      <c r="H871" s="1745"/>
      <c r="I871" s="1745"/>
      <c r="J871" s="1745"/>
      <c r="K871" s="1695"/>
      <c r="L871" s="1805"/>
      <c r="M871" s="1699"/>
      <c r="N871" s="1695"/>
      <c r="O871" s="1695"/>
      <c r="P871" s="1745"/>
      <c r="Q871" s="1745"/>
      <c r="R871" s="1745"/>
      <c r="S871" s="1745"/>
      <c r="T871" s="1805"/>
      <c r="U871" s="1733" t="s">
        <v>1765</v>
      </c>
      <c r="V871" s="2014">
        <v>0.75</v>
      </c>
      <c r="W871" s="2015">
        <v>75</v>
      </c>
      <c r="X871" s="1749">
        <v>56.25</v>
      </c>
      <c r="Y871" s="1735">
        <v>450</v>
      </c>
      <c r="Z871" s="1749">
        <v>7.1427999999999994</v>
      </c>
      <c r="AA871" s="2016">
        <v>13.0242</v>
      </c>
      <c r="AB871" s="1699"/>
      <c r="AC871" s="1695"/>
      <c r="AD871" s="1695"/>
      <c r="AE871" s="1695"/>
      <c r="AF871" s="1695"/>
      <c r="AG871" s="1695"/>
      <c r="AH871" s="1699"/>
      <c r="AI871" s="1695"/>
      <c r="AJ871" s="1695"/>
      <c r="AK871" s="1695"/>
      <c r="AL871" s="1695"/>
      <c r="AM871" s="1695"/>
      <c r="AN871" s="1695"/>
      <c r="AO871" s="1699"/>
      <c r="AP871" s="1729"/>
      <c r="AV871" s="1687" t="s">
        <v>2053</v>
      </c>
    </row>
    <row r="872" spans="1:49" ht="15.75" thickBot="1">
      <c r="A872" s="2425"/>
      <c r="B872" s="1695"/>
      <c r="C872" s="1696"/>
      <c r="D872" s="1696"/>
      <c r="E872" s="1695"/>
      <c r="F872" s="1695"/>
      <c r="G872" s="1745"/>
      <c r="H872" s="1745"/>
      <c r="I872" s="1745"/>
      <c r="J872" s="1745"/>
      <c r="K872" s="1695"/>
      <c r="L872" s="1805"/>
      <c r="M872" s="1699"/>
      <c r="N872" s="1695"/>
      <c r="O872" s="1695"/>
      <c r="P872" s="1745"/>
      <c r="Q872" s="1745"/>
      <c r="R872" s="1745"/>
      <c r="S872" s="1745"/>
      <c r="T872" s="1805"/>
      <c r="U872" s="1733" t="s">
        <v>1766</v>
      </c>
      <c r="V872" s="2014">
        <v>3</v>
      </c>
      <c r="W872" s="2015">
        <v>95</v>
      </c>
      <c r="X872" s="1749">
        <v>285</v>
      </c>
      <c r="Y872" s="1735">
        <v>1250</v>
      </c>
      <c r="Z872" s="1749">
        <v>33.6</v>
      </c>
      <c r="AA872" s="2016"/>
      <c r="AB872" s="1699"/>
      <c r="AC872" s="1695"/>
      <c r="AD872" s="1695"/>
      <c r="AE872" s="1695"/>
      <c r="AF872" s="1695"/>
      <c r="AG872" s="1695"/>
      <c r="AH872" s="1699"/>
      <c r="AI872" s="1695"/>
      <c r="AJ872" s="1695"/>
      <c r="AK872" s="1695"/>
      <c r="AL872" s="1695"/>
      <c r="AM872" s="1695"/>
      <c r="AN872" s="1695"/>
      <c r="AO872" s="1699"/>
      <c r="AP872" s="1729"/>
      <c r="AT872" s="1687">
        <v>223.74</v>
      </c>
      <c r="AU872" s="1687">
        <v>285.64999999999998</v>
      </c>
      <c r="AV872" s="1687">
        <f>AU872/AT872</f>
        <v>1.2767051041387323</v>
      </c>
    </row>
    <row r="873" spans="1:49" ht="24" thickBot="1">
      <c r="A873" s="1714" t="s">
        <v>1114</v>
      </c>
      <c r="B873" s="1715"/>
      <c r="C873" s="1716"/>
      <c r="D873" s="1716"/>
      <c r="E873" s="1715"/>
      <c r="F873" s="1715"/>
      <c r="G873" s="1717"/>
      <c r="H873" s="1717"/>
      <c r="I873" s="1717"/>
      <c r="J873" s="1717"/>
      <c r="K873" s="1715"/>
      <c r="L873" s="1717"/>
      <c r="M873" s="1718"/>
      <c r="N873" s="1715"/>
      <c r="O873" s="1715"/>
      <c r="P873" s="1717"/>
      <c r="Q873" s="1717"/>
      <c r="R873" s="1717"/>
      <c r="S873" s="1717"/>
      <c r="T873" s="1717"/>
      <c r="U873" s="1718"/>
      <c r="V873" s="1718"/>
      <c r="W873" s="1715"/>
      <c r="X873" s="1715"/>
      <c r="Y873" s="1715"/>
      <c r="Z873" s="1715"/>
      <c r="AA873" s="1715"/>
      <c r="AB873" s="1718"/>
      <c r="AC873" s="1715"/>
      <c r="AD873" s="1715"/>
      <c r="AE873" s="1715"/>
      <c r="AF873" s="1715"/>
      <c r="AG873" s="1715"/>
      <c r="AH873" s="1718"/>
      <c r="AI873" s="1715"/>
      <c r="AJ873" s="1715"/>
      <c r="AK873" s="1715"/>
      <c r="AL873" s="1715"/>
      <c r="AM873" s="1715"/>
      <c r="AN873" s="1715"/>
      <c r="AO873" s="1718"/>
      <c r="AP873" s="1719"/>
      <c r="AT873" s="1687">
        <v>333.91</v>
      </c>
      <c r="AU873" s="1687">
        <v>409.98</v>
      </c>
      <c r="AV873" s="1687">
        <f>AU873/AT873</f>
        <v>1.2278158785301427</v>
      </c>
    </row>
    <row r="874" spans="1:49">
      <c r="A874" s="2432" t="s">
        <v>1375</v>
      </c>
      <c r="B874" s="1844" t="s">
        <v>2651</v>
      </c>
      <c r="C874" s="1721" t="s">
        <v>1931</v>
      </c>
      <c r="D874" s="1940" t="s">
        <v>1916</v>
      </c>
      <c r="E874" s="1845">
        <f>AVERAGE(V876:V878)</f>
        <v>3.1591279543602284</v>
      </c>
      <c r="F874" s="1723"/>
      <c r="G874" s="1724">
        <f>AVERAGE(W876:W881)*BS30</f>
        <v>69.63956504001203</v>
      </c>
      <c r="H874" s="1724">
        <f>E874*G874</f>
        <v>220.00029664738929</v>
      </c>
      <c r="I874" s="1724">
        <f>AVERAGE(AA876:AA878)</f>
        <v>12.69</v>
      </c>
      <c r="J874" s="1726"/>
      <c r="K874" s="1750">
        <v>0.25</v>
      </c>
      <c r="L874" s="2000">
        <f>((E874*G874)+I874)*(1+K874)</f>
        <v>290.8628708092366</v>
      </c>
      <c r="M874" s="1725" t="s">
        <v>1440</v>
      </c>
      <c r="N874" s="1723"/>
      <c r="O874" s="1723">
        <f>AVERAGE(AO874:AO875)</f>
        <v>1.1870000000000001</v>
      </c>
      <c r="P874" s="1724">
        <f>AP874*BQ45</f>
        <v>58.274529605283924</v>
      </c>
      <c r="Q874" s="1737">
        <f>O874*P874</f>
        <v>69.171866641472022</v>
      </c>
      <c r="R874" s="1726"/>
      <c r="S874" s="1726"/>
      <c r="T874" s="1995">
        <f>Q874</f>
        <v>69.171866641472022</v>
      </c>
      <c r="U874" s="1733" t="s">
        <v>1722</v>
      </c>
      <c r="V874" s="1699"/>
      <c r="W874" s="1695"/>
      <c r="X874" s="1695"/>
      <c r="Y874" s="1695"/>
      <c r="Z874" s="1695"/>
      <c r="AA874" s="1695"/>
      <c r="AB874" s="1699"/>
      <c r="AC874" s="1695"/>
      <c r="AD874" s="1695"/>
      <c r="AE874" s="1695"/>
      <c r="AF874" s="1695"/>
      <c r="AG874" s="1695"/>
      <c r="AH874" s="1699"/>
      <c r="AI874" s="1695"/>
      <c r="AJ874" s="1695"/>
      <c r="AK874" s="1695"/>
      <c r="AL874" s="1695"/>
      <c r="AM874" s="1695"/>
      <c r="AN874" s="1695"/>
      <c r="AO874" s="1757">
        <v>1.143</v>
      </c>
      <c r="AP874" s="1758">
        <v>52.4</v>
      </c>
      <c r="AV874" s="1687">
        <f>AVERAGE(AV872:AV873)</f>
        <v>1.2522604913344375</v>
      </c>
    </row>
    <row r="875" spans="1:49">
      <c r="A875" s="2433"/>
      <c r="B875" s="1844" t="s">
        <v>2652</v>
      </c>
      <c r="C875" s="1721" t="s">
        <v>1931</v>
      </c>
      <c r="D875" s="1733" t="s">
        <v>1916</v>
      </c>
      <c r="E875" s="1845">
        <f>AVERAGE(V879:V881)</f>
        <v>1.3860000000000001</v>
      </c>
      <c r="F875" s="1723"/>
      <c r="G875" s="1724">
        <f>AVERAGE(W876:W881)*BS30</f>
        <v>69.63956504001203</v>
      </c>
      <c r="H875" s="1724">
        <f>E875*G875</f>
        <v>96.520437145456683</v>
      </c>
      <c r="I875" s="1724">
        <f>AVERAGE(AA879:AA881)+AVERAGE((Y881+Z881),Z880)</f>
        <v>32.203166666666668</v>
      </c>
      <c r="J875" s="1726"/>
      <c r="K875" s="1750">
        <v>0.25</v>
      </c>
      <c r="L875" s="2000">
        <f>((E875*G875)+I875)*(1+K875)</f>
        <v>160.90450476515417</v>
      </c>
      <c r="M875" s="1740"/>
      <c r="N875" s="1741"/>
      <c r="O875" s="1741"/>
      <c r="P875" s="1843"/>
      <c r="Q875" s="1843"/>
      <c r="R875" s="1843"/>
      <c r="S875" s="1843"/>
      <c r="T875" s="1799"/>
      <c r="U875" s="1733" t="s">
        <v>1723</v>
      </c>
      <c r="V875" s="1699"/>
      <c r="W875" s="1695"/>
      <c r="X875" s="1695"/>
      <c r="Y875" s="1695"/>
      <c r="Z875" s="1695"/>
      <c r="AA875" s="1695"/>
      <c r="AB875" s="1699"/>
      <c r="AC875" s="1695"/>
      <c r="AD875" s="1695"/>
      <c r="AE875" s="1695"/>
      <c r="AF875" s="1695"/>
      <c r="AG875" s="1695"/>
      <c r="AH875" s="1699"/>
      <c r="AI875" s="1695"/>
      <c r="AJ875" s="1695"/>
      <c r="AK875" s="1695"/>
      <c r="AL875" s="1695"/>
      <c r="AM875" s="1695"/>
      <c r="AN875" s="1695"/>
      <c r="AO875" s="1757">
        <v>1.2310000000000001</v>
      </c>
      <c r="AP875" s="1758">
        <v>52.4</v>
      </c>
    </row>
    <row r="876" spans="1:49">
      <c r="A876" s="2433"/>
      <c r="B876" s="1695"/>
      <c r="C876" s="1696"/>
      <c r="D876" s="1696"/>
      <c r="E876" s="1695"/>
      <c r="F876" s="1695"/>
      <c r="G876" s="1745"/>
      <c r="H876" s="1745"/>
      <c r="I876" s="1745"/>
      <c r="J876" s="1745"/>
      <c r="K876" s="1695"/>
      <c r="L876" s="1745"/>
      <c r="M876" s="1699"/>
      <c r="N876" s="1695"/>
      <c r="O876" s="1695"/>
      <c r="P876" s="1745"/>
      <c r="Q876" s="1745"/>
      <c r="R876" s="1745"/>
      <c r="S876" s="1745"/>
      <c r="T876" s="1805"/>
      <c r="U876" s="1733" t="s">
        <v>1750</v>
      </c>
      <c r="V876" s="2022">
        <v>4.25</v>
      </c>
      <c r="W876" s="2023">
        <v>160</v>
      </c>
      <c r="X876" s="2024">
        <v>680</v>
      </c>
      <c r="Y876" s="1782"/>
      <c r="Z876" s="2024"/>
      <c r="AA876" s="2025">
        <v>21</v>
      </c>
      <c r="AB876" s="1699"/>
      <c r="AC876" s="1695"/>
      <c r="AD876" s="1695"/>
      <c r="AE876" s="1695"/>
      <c r="AF876" s="1695"/>
      <c r="AG876" s="1695"/>
      <c r="AH876" s="1699"/>
      <c r="AI876" s="1695"/>
      <c r="AJ876" s="1695"/>
      <c r="AK876" s="1695"/>
      <c r="AL876" s="1695"/>
      <c r="AM876" s="1695"/>
      <c r="AN876" s="1695"/>
      <c r="AO876" s="1699"/>
      <c r="AP876" s="1729"/>
    </row>
    <row r="877" spans="1:49">
      <c r="A877" s="2433"/>
      <c r="B877" s="1695"/>
      <c r="C877" s="1696"/>
      <c r="D877" s="1696"/>
      <c r="E877" s="1695"/>
      <c r="F877" s="1695"/>
      <c r="G877" s="1745"/>
      <c r="H877" s="1745"/>
      <c r="I877" s="1745"/>
      <c r="J877" s="1745"/>
      <c r="K877" s="1695"/>
      <c r="L877" s="1805"/>
      <c r="M877" s="1699"/>
      <c r="N877" s="1695"/>
      <c r="O877" s="1695"/>
      <c r="P877" s="1745"/>
      <c r="Q877" s="1745"/>
      <c r="R877" s="1745"/>
      <c r="S877" s="1745"/>
      <c r="T877" s="1805"/>
      <c r="U877" s="1733" t="s">
        <v>1752</v>
      </c>
      <c r="V877" s="2014">
        <v>2</v>
      </c>
      <c r="W877" s="2015">
        <v>75</v>
      </c>
      <c r="X877" s="1749">
        <v>150</v>
      </c>
      <c r="Y877" s="1735"/>
      <c r="Z877" s="1749"/>
      <c r="AA877" s="2016">
        <v>13.5</v>
      </c>
      <c r="AB877" s="1699"/>
      <c r="AC877" s="1695"/>
      <c r="AD877" s="1695"/>
      <c r="AE877" s="1695"/>
      <c r="AF877" s="1695"/>
      <c r="AG877" s="1695"/>
      <c r="AH877" s="1699"/>
      <c r="AI877" s="1695"/>
      <c r="AJ877" s="1695"/>
      <c r="AK877" s="1695"/>
      <c r="AL877" s="1695"/>
      <c r="AM877" s="1695"/>
      <c r="AN877" s="1695"/>
      <c r="AO877" s="1699"/>
      <c r="AP877" s="1729"/>
    </row>
    <row r="878" spans="1:49">
      <c r="A878" s="2433"/>
      <c r="B878" s="1695"/>
      <c r="C878" s="1696"/>
      <c r="D878" s="1696"/>
      <c r="E878" s="1695"/>
      <c r="F878" s="1695"/>
      <c r="G878" s="1745"/>
      <c r="H878" s="1745"/>
      <c r="I878" s="1745"/>
      <c r="J878" s="1745"/>
      <c r="K878" s="1695"/>
      <c r="L878" s="1805"/>
      <c r="M878" s="1699"/>
      <c r="N878" s="1695"/>
      <c r="O878" s="1695"/>
      <c r="P878" s="1745"/>
      <c r="Q878" s="1745"/>
      <c r="R878" s="1745"/>
      <c r="S878" s="1745"/>
      <c r="T878" s="1805"/>
      <c r="U878" s="1733" t="s">
        <v>1753</v>
      </c>
      <c r="V878" s="2014">
        <v>3.2273838630806848</v>
      </c>
      <c r="W878" s="2015">
        <v>102.25</v>
      </c>
      <c r="X878" s="1749">
        <v>330</v>
      </c>
      <c r="Y878" s="1735"/>
      <c r="Z878" s="1749"/>
      <c r="AA878" s="2016">
        <v>3.57</v>
      </c>
      <c r="AB878" s="1699"/>
      <c r="AC878" s="1695"/>
      <c r="AD878" s="1695"/>
      <c r="AE878" s="1695"/>
      <c r="AF878" s="1695"/>
      <c r="AG878" s="1695"/>
      <c r="AH878" s="1699"/>
      <c r="AI878" s="1695"/>
      <c r="AJ878" s="1695"/>
      <c r="AK878" s="1695"/>
      <c r="AL878" s="1695"/>
      <c r="AM878" s="1695"/>
      <c r="AN878" s="1695"/>
      <c r="AO878" s="1699"/>
      <c r="AP878" s="1729"/>
    </row>
    <row r="879" spans="1:49">
      <c r="A879" s="2433"/>
      <c r="B879" s="1695"/>
      <c r="C879" s="1696"/>
      <c r="D879" s="1696"/>
      <c r="E879" s="1695"/>
      <c r="F879" s="1695"/>
      <c r="G879" s="1745"/>
      <c r="H879" s="1745"/>
      <c r="I879" s="1745"/>
      <c r="J879" s="1745"/>
      <c r="K879" s="1695"/>
      <c r="L879" s="1805"/>
      <c r="M879" s="1699"/>
      <c r="N879" s="1695"/>
      <c r="O879" s="1695"/>
      <c r="P879" s="1745"/>
      <c r="Q879" s="1745"/>
      <c r="R879" s="1745"/>
      <c r="S879" s="1745"/>
      <c r="T879" s="1805"/>
      <c r="U879" s="1733" t="s">
        <v>1750</v>
      </c>
      <c r="V879" s="2022">
        <v>1.94</v>
      </c>
      <c r="W879" s="2015">
        <v>75</v>
      </c>
      <c r="X879" s="2024">
        <f>V879*W879</f>
        <v>145.5</v>
      </c>
      <c r="Y879" s="1782"/>
      <c r="Z879" s="2024"/>
      <c r="AA879" s="2025">
        <v>5.6879999999999997</v>
      </c>
      <c r="AB879" s="1699"/>
      <c r="AC879" s="1695"/>
      <c r="AD879" s="1695"/>
      <c r="AE879" s="1695"/>
      <c r="AF879" s="1695"/>
      <c r="AG879" s="1695"/>
      <c r="AH879" s="1699"/>
      <c r="AI879" s="1695"/>
      <c r="AJ879" s="1695"/>
      <c r="AK879" s="1695"/>
      <c r="AL879" s="1695"/>
      <c r="AM879" s="1695"/>
      <c r="AN879" s="1695"/>
      <c r="AO879" s="1699"/>
      <c r="AP879" s="1729"/>
    </row>
    <row r="880" spans="1:49">
      <c r="A880" s="2433"/>
      <c r="B880" s="1695"/>
      <c r="C880" s="1696"/>
      <c r="D880" s="1696"/>
      <c r="E880" s="1695"/>
      <c r="F880" s="1695"/>
      <c r="G880" s="1745"/>
      <c r="H880" s="1745"/>
      <c r="I880" s="1745"/>
      <c r="J880" s="1745"/>
      <c r="K880" s="1695"/>
      <c r="L880" s="1805"/>
      <c r="M880" s="1699"/>
      <c r="N880" s="1695"/>
      <c r="O880" s="1695"/>
      <c r="P880" s="1745"/>
      <c r="Q880" s="1745"/>
      <c r="R880" s="1745"/>
      <c r="S880" s="1745"/>
      <c r="T880" s="1805"/>
      <c r="U880" s="1733" t="s">
        <v>1751</v>
      </c>
      <c r="V880" s="2014">
        <v>0.55100000000000005</v>
      </c>
      <c r="W880" s="2015">
        <v>83</v>
      </c>
      <c r="X880" s="2024">
        <f t="shared" ref="X880:X881" si="75">V880*W880</f>
        <v>45.733000000000004</v>
      </c>
      <c r="Y880" s="1735"/>
      <c r="Z880" s="2024">
        <v>0.23300000000000001</v>
      </c>
      <c r="AA880" s="2016">
        <v>20.91</v>
      </c>
      <c r="AB880" s="1699"/>
      <c r="AC880" s="1695"/>
      <c r="AD880" s="1695"/>
      <c r="AE880" s="1695"/>
      <c r="AF880" s="1695"/>
      <c r="AG880" s="1695"/>
      <c r="AH880" s="1699"/>
      <c r="AI880" s="1695"/>
      <c r="AJ880" s="1695"/>
      <c r="AK880" s="1695"/>
      <c r="AL880" s="1695"/>
      <c r="AM880" s="1695"/>
      <c r="AN880" s="1695"/>
      <c r="AO880" s="1699"/>
      <c r="AP880" s="1729"/>
    </row>
    <row r="881" spans="1:48">
      <c r="A881" s="2433"/>
      <c r="B881" s="1695"/>
      <c r="C881" s="1696"/>
      <c r="D881" s="1696"/>
      <c r="E881" s="1695"/>
      <c r="F881" s="1695"/>
      <c r="G881" s="1745"/>
      <c r="H881" s="1745"/>
      <c r="I881" s="1745"/>
      <c r="J881" s="1745"/>
      <c r="K881" s="1695"/>
      <c r="L881" s="1805"/>
      <c r="M881" s="1699"/>
      <c r="N881" s="1695"/>
      <c r="O881" s="1695"/>
      <c r="P881" s="1745"/>
      <c r="Q881" s="1745"/>
      <c r="R881" s="1745"/>
      <c r="S881" s="1745"/>
      <c r="T881" s="1805"/>
      <c r="U881" s="1733" t="s">
        <v>1752</v>
      </c>
      <c r="V881" s="2014">
        <v>1.667</v>
      </c>
      <c r="W881" s="2015">
        <v>95</v>
      </c>
      <c r="X881" s="2024">
        <f t="shared" si="75"/>
        <v>158.36500000000001</v>
      </c>
      <c r="Y881" s="1735">
        <v>2.778</v>
      </c>
      <c r="Z881" s="2024">
        <v>11.11</v>
      </c>
      <c r="AA881" s="2016">
        <v>48.83</v>
      </c>
      <c r="AB881" s="1699"/>
      <c r="AC881" s="1695"/>
      <c r="AD881" s="1695"/>
      <c r="AE881" s="1695"/>
      <c r="AF881" s="1695"/>
      <c r="AG881" s="1695"/>
      <c r="AH881" s="1699"/>
      <c r="AI881" s="1695"/>
      <c r="AJ881" s="1695"/>
      <c r="AK881" s="1695"/>
      <c r="AL881" s="1695"/>
      <c r="AM881" s="1695"/>
      <c r="AN881" s="1695"/>
      <c r="AO881" s="1699"/>
      <c r="AP881" s="1729"/>
    </row>
    <row r="882" spans="1:48" ht="9" customHeight="1">
      <c r="A882" s="2433"/>
      <c r="B882" s="1695"/>
      <c r="C882" s="1696"/>
      <c r="D882" s="1696"/>
      <c r="E882" s="1695"/>
      <c r="F882" s="1695"/>
      <c r="G882" s="1745"/>
      <c r="H882" s="1745"/>
      <c r="I882" s="1745"/>
      <c r="J882" s="1745"/>
      <c r="K882" s="1695"/>
      <c r="L882" s="1805"/>
      <c r="M882" s="1699"/>
      <c r="N882" s="1695"/>
      <c r="O882" s="1695"/>
      <c r="P882" s="1745"/>
      <c r="Q882" s="1745"/>
      <c r="R882" s="1745"/>
      <c r="S882" s="1745"/>
      <c r="T882" s="1805"/>
      <c r="U882" s="1873"/>
      <c r="V882" s="1699"/>
      <c r="W882" s="1695"/>
      <c r="X882" s="1695"/>
      <c r="Y882" s="1695"/>
      <c r="Z882" s="1695"/>
      <c r="AA882" s="1695"/>
      <c r="AB882" s="1699"/>
      <c r="AC882" s="1695"/>
      <c r="AD882" s="1695"/>
      <c r="AE882" s="1695"/>
      <c r="AF882" s="1695"/>
      <c r="AG882" s="1695"/>
      <c r="AH882" s="1699"/>
      <c r="AI882" s="1695"/>
      <c r="AJ882" s="1695"/>
      <c r="AK882" s="1695"/>
      <c r="AL882" s="1695"/>
      <c r="AM882" s="1695"/>
      <c r="AN882" s="1695"/>
      <c r="AO882" s="1699"/>
      <c r="AP882" s="1729"/>
    </row>
    <row r="883" spans="1:48" ht="15.75" thickBot="1">
      <c r="A883" s="2433"/>
      <c r="B883" s="1695"/>
      <c r="C883" s="1696"/>
      <c r="D883" s="1696"/>
      <c r="E883" s="1695"/>
      <c r="F883" s="1695"/>
      <c r="G883" s="1745"/>
      <c r="H883" s="1745"/>
      <c r="I883" s="1745"/>
      <c r="J883" s="1745"/>
      <c r="K883" s="1695"/>
      <c r="L883" s="1805"/>
      <c r="M883" s="1699"/>
      <c r="N883" s="1695"/>
      <c r="O883" s="1695"/>
      <c r="P883" s="1745"/>
      <c r="Q883" s="1745"/>
      <c r="R883" s="1745"/>
      <c r="S883" s="1745"/>
      <c r="T883" s="1805"/>
      <c r="U883" s="2028"/>
      <c r="V883" s="2033"/>
      <c r="W883" s="2034"/>
      <c r="X883" s="2035"/>
      <c r="Y883" s="2034"/>
      <c r="Z883" s="2034"/>
      <c r="AA883" s="2036"/>
      <c r="AB883" s="1699"/>
      <c r="AC883" s="1695"/>
      <c r="AD883" s="1695"/>
      <c r="AE883" s="1695"/>
      <c r="AF883" s="1695"/>
      <c r="AG883" s="1695"/>
      <c r="AH883" s="1699"/>
      <c r="AI883" s="1695"/>
      <c r="AJ883" s="1695"/>
      <c r="AK883" s="1695"/>
      <c r="AL883" s="1695"/>
      <c r="AM883" s="1695"/>
      <c r="AN883" s="1695"/>
      <c r="AO883" s="1699"/>
      <c r="AP883" s="1729"/>
      <c r="AV883" s="1687" t="s">
        <v>2053</v>
      </c>
    </row>
    <row r="884" spans="1:48" ht="19.5" thickBot="1">
      <c r="A884" s="1746"/>
      <c r="B884" s="1715"/>
      <c r="C884" s="1716"/>
      <c r="D884" s="1716"/>
      <c r="E884" s="1715"/>
      <c r="F884" s="1715"/>
      <c r="G884" s="1717"/>
      <c r="H884" s="1717"/>
      <c r="I884" s="1717"/>
      <c r="J884" s="1717"/>
      <c r="K884" s="1715"/>
      <c r="L884" s="1717"/>
      <c r="M884" s="1718"/>
      <c r="N884" s="1715"/>
      <c r="O884" s="1715"/>
      <c r="P884" s="1717"/>
      <c r="Q884" s="1717"/>
      <c r="R884" s="1717"/>
      <c r="S884" s="1717"/>
      <c r="T884" s="1717"/>
      <c r="U884" s="1718"/>
      <c r="V884" s="1718"/>
      <c r="W884" s="1715"/>
      <c r="X884" s="1715"/>
      <c r="Y884" s="1715"/>
      <c r="Z884" s="1715"/>
      <c r="AA884" s="1715"/>
      <c r="AB884" s="1718"/>
      <c r="AC884" s="1715"/>
      <c r="AD884" s="1715"/>
      <c r="AE884" s="1715"/>
      <c r="AF884" s="1715"/>
      <c r="AG884" s="1715"/>
      <c r="AH884" s="1718"/>
      <c r="AI884" s="1715"/>
      <c r="AJ884" s="1715"/>
      <c r="AK884" s="1715"/>
      <c r="AL884" s="1715"/>
      <c r="AM884" s="1715"/>
      <c r="AN884" s="1715"/>
      <c r="AO884" s="1718"/>
      <c r="AP884" s="1719"/>
      <c r="AT884" s="1687">
        <v>223.74</v>
      </c>
      <c r="AU884" s="1687">
        <v>285.64999999999998</v>
      </c>
      <c r="AV884" s="1687">
        <f>AU884/AT884</f>
        <v>1.2767051041387323</v>
      </c>
    </row>
    <row r="885" spans="1:48">
      <c r="A885" s="2423" t="s">
        <v>492</v>
      </c>
      <c r="B885" s="1739" t="s">
        <v>1932</v>
      </c>
      <c r="C885" s="1721" t="s">
        <v>1931</v>
      </c>
      <c r="D885" s="1721" t="s">
        <v>1805</v>
      </c>
      <c r="E885" s="1845">
        <f>AH885</f>
        <v>1.1946111009495393</v>
      </c>
      <c r="F885" s="1854"/>
      <c r="G885" s="1724"/>
      <c r="H885" s="1724">
        <f>E885*$G$891</f>
        <v>67.554118704833655</v>
      </c>
      <c r="I885" s="1724"/>
      <c r="J885" s="1726"/>
      <c r="K885" s="2426">
        <v>0.26</v>
      </c>
      <c r="L885" s="2462">
        <f>((E885*$G$891)+I886)*(1+$K$885)</f>
        <v>91.850470368090413</v>
      </c>
      <c r="M885" s="1725" t="s">
        <v>1440</v>
      </c>
      <c r="N885" s="1723"/>
      <c r="O885" s="2011">
        <f>AVERAGE(AO888:AO890)</f>
        <v>1.1723333333333334</v>
      </c>
      <c r="P885" s="1724">
        <f>AP888*BQ45</f>
        <v>58.274529605283924</v>
      </c>
      <c r="Q885" s="1737">
        <f>O885*P885</f>
        <v>68.317173540594524</v>
      </c>
      <c r="R885" s="1726"/>
      <c r="S885" s="1726"/>
      <c r="T885" s="2000">
        <f>Q885</f>
        <v>68.317173540594524</v>
      </c>
      <c r="U885" s="1733" t="s">
        <v>1568</v>
      </c>
      <c r="V885" s="1699"/>
      <c r="W885" s="1695"/>
      <c r="X885" s="1695"/>
      <c r="Y885" s="1695"/>
      <c r="Z885" s="1695"/>
      <c r="AA885" s="1695"/>
      <c r="AB885" s="1699"/>
      <c r="AC885" s="1695"/>
      <c r="AD885" s="1695"/>
      <c r="AE885" s="1695"/>
      <c r="AF885" s="1695"/>
      <c r="AG885" s="1695"/>
      <c r="AH885" s="2003">
        <v>1.1946111009495393</v>
      </c>
      <c r="AI885" s="2004">
        <v>0.10734203793574242</v>
      </c>
      <c r="AJ885" s="2004">
        <v>83</v>
      </c>
      <c r="AK885" s="1735"/>
      <c r="AL885" s="1735"/>
      <c r="AM885" s="1735"/>
      <c r="AN885" s="1747"/>
      <c r="AO885" s="1699"/>
      <c r="AP885" s="1729"/>
      <c r="AT885" s="1687">
        <v>237.15</v>
      </c>
      <c r="AU885" s="1687">
        <v>299.05</v>
      </c>
      <c r="AV885" s="1687">
        <f>AU885/AT885</f>
        <v>1.2610162344507696</v>
      </c>
    </row>
    <row r="886" spans="1:48">
      <c r="A886" s="2424"/>
      <c r="B886" s="1739" t="s">
        <v>2059</v>
      </c>
      <c r="C886" s="1721" t="s">
        <v>1931</v>
      </c>
      <c r="D886" s="1733" t="s">
        <v>1812</v>
      </c>
      <c r="E886" s="1748"/>
      <c r="F886" s="1789"/>
      <c r="G886" s="1736"/>
      <c r="H886" s="1736"/>
      <c r="I886" s="1736">
        <f>AVERAGE(AA892:AA896)+AVERAGE(Z892:Z896)+AVERAGE(Y892:Y896)</f>
        <v>5.3430799999999996</v>
      </c>
      <c r="J886" s="1842"/>
      <c r="K886" s="2445"/>
      <c r="L886" s="2480"/>
      <c r="M886" s="1743" t="s">
        <v>1942</v>
      </c>
      <c r="N886" s="1782"/>
      <c r="O886" s="1870">
        <v>0.65</v>
      </c>
      <c r="P886" s="1738">
        <v>67.88</v>
      </c>
      <c r="Q886" s="1737">
        <f>O886*P886</f>
        <v>44.122</v>
      </c>
      <c r="R886" s="1842"/>
      <c r="S886" s="1842"/>
      <c r="T886" s="1995">
        <f>Q886</f>
        <v>44.122</v>
      </c>
      <c r="U886" s="1733" t="s">
        <v>1569</v>
      </c>
      <c r="V886" s="1699"/>
      <c r="W886" s="1695"/>
      <c r="X886" s="1695"/>
      <c r="Y886" s="1695"/>
      <c r="Z886" s="1695"/>
      <c r="AA886" s="1695"/>
      <c r="AB886" s="1699"/>
      <c r="AC886" s="1695"/>
      <c r="AD886" s="1695"/>
      <c r="AE886" s="1695"/>
      <c r="AF886" s="1695"/>
      <c r="AG886" s="1695"/>
      <c r="AH886" s="2003">
        <v>1.5098190016367143</v>
      </c>
      <c r="AI886" s="2004">
        <v>0.13257328210693867</v>
      </c>
      <c r="AJ886" s="2004">
        <v>84</v>
      </c>
      <c r="AK886" s="1735"/>
      <c r="AL886" s="1735"/>
      <c r="AM886" s="1735"/>
      <c r="AN886" s="1747"/>
      <c r="AO886" s="1699"/>
      <c r="AP886" s="1729"/>
      <c r="AT886" s="1687">
        <v>305.98</v>
      </c>
      <c r="AU886" s="1687">
        <v>378.7</v>
      </c>
      <c r="AV886" s="1687">
        <f>AU886/AT886</f>
        <v>1.2376625923262958</v>
      </c>
    </row>
    <row r="887" spans="1:48">
      <c r="A887" s="2424"/>
      <c r="B887" s="1739" t="s">
        <v>1933</v>
      </c>
      <c r="C887" s="1721" t="s">
        <v>1931</v>
      </c>
      <c r="D887" s="1733" t="s">
        <v>1805</v>
      </c>
      <c r="E887" s="1748">
        <f>AH886</f>
        <v>1.5098190016367143</v>
      </c>
      <c r="F887" s="1789"/>
      <c r="G887" s="1736"/>
      <c r="H887" s="1724">
        <f>E887*$G$891</f>
        <v>85.378824940023989</v>
      </c>
      <c r="I887" s="1736"/>
      <c r="J887" s="1842"/>
      <c r="K887" s="2445"/>
      <c r="L887" s="2462">
        <f>((E887*$G$891)+I888)*(1+$K$885)</f>
        <v>124.10612542443023</v>
      </c>
      <c r="M887" s="1743" t="s">
        <v>2062</v>
      </c>
      <c r="N887" s="1782"/>
      <c r="O887" s="1870">
        <f>AVERAGE(V892:V896)</f>
        <v>0.36149761416589005</v>
      </c>
      <c r="P887" s="1738">
        <v>67.88</v>
      </c>
      <c r="Q887" s="1737">
        <f>O887*P887</f>
        <v>24.538458049580615</v>
      </c>
      <c r="R887" s="1842"/>
      <c r="S887" s="1842"/>
      <c r="T887" s="1995">
        <f>Q887</f>
        <v>24.538458049580615</v>
      </c>
      <c r="U887" s="1733" t="s">
        <v>1570</v>
      </c>
      <c r="V887" s="1699"/>
      <c r="W887" s="1695"/>
      <c r="X887" s="1695"/>
      <c r="Y887" s="1695"/>
      <c r="Z887" s="1695"/>
      <c r="AA887" s="1695"/>
      <c r="AB887" s="1699"/>
      <c r="AC887" s="1695"/>
      <c r="AD887" s="1695"/>
      <c r="AE887" s="1695"/>
      <c r="AF887" s="1695"/>
      <c r="AG887" s="1695"/>
      <c r="AH887" s="2003">
        <v>1.1354784616969078</v>
      </c>
      <c r="AI887" s="2004">
        <v>9.4530446357398962E-2</v>
      </c>
      <c r="AJ887" s="2004">
        <v>79</v>
      </c>
      <c r="AK887" s="1735"/>
      <c r="AL887" s="1735"/>
      <c r="AM887" s="1735"/>
      <c r="AN887" s="1747"/>
      <c r="AO887" s="1699"/>
      <c r="AP887" s="1729"/>
      <c r="AV887" s="1687">
        <f>AVERAGE(AV884:AV886)</f>
        <v>1.2584613103052658</v>
      </c>
    </row>
    <row r="888" spans="1:48">
      <c r="A888" s="2424"/>
      <c r="B888" s="1739" t="s">
        <v>2060</v>
      </c>
      <c r="C888" s="1721" t="s">
        <v>1931</v>
      </c>
      <c r="D888" s="1733" t="s">
        <v>1812</v>
      </c>
      <c r="E888" s="1748"/>
      <c r="F888" s="1789"/>
      <c r="G888" s="1736"/>
      <c r="H888" s="1736"/>
      <c r="I888" s="1736">
        <f>AVERAGE(AA897:AA903)+AVERAGE(Z897:Z903)+AVERAGE(Y897:Y903)</f>
        <v>13.1181</v>
      </c>
      <c r="J888" s="1842"/>
      <c r="K888" s="2445"/>
      <c r="L888" s="2480"/>
      <c r="M888" s="1743" t="s">
        <v>2063</v>
      </c>
      <c r="N888" s="1782"/>
      <c r="O888" s="1870">
        <f>AVERAGE(V897:V903)</f>
        <v>0.85088145896656542</v>
      </c>
      <c r="P888" s="1738">
        <v>67.88</v>
      </c>
      <c r="Q888" s="1737">
        <f>O888*P888</f>
        <v>57.757833434650458</v>
      </c>
      <c r="R888" s="1842"/>
      <c r="S888" s="1842"/>
      <c r="T888" s="1995">
        <f>Q888</f>
        <v>57.757833434650458</v>
      </c>
      <c r="U888" s="1733" t="s">
        <v>1718</v>
      </c>
      <c r="V888" s="1699"/>
      <c r="W888" s="1695"/>
      <c r="X888" s="1695"/>
      <c r="Y888" s="1695"/>
      <c r="Z888" s="1695"/>
      <c r="AA888" s="1695"/>
      <c r="AB888" s="1699"/>
      <c r="AC888" s="1695"/>
      <c r="AD888" s="1695"/>
      <c r="AE888" s="1695"/>
      <c r="AF888" s="1695"/>
      <c r="AG888" s="1695"/>
      <c r="AH888" s="1699"/>
      <c r="AI888" s="1695"/>
      <c r="AJ888" s="1695"/>
      <c r="AK888" s="1695"/>
      <c r="AL888" s="1695"/>
      <c r="AM888" s="1695"/>
      <c r="AN888" s="1695"/>
      <c r="AO888" s="1757">
        <v>1.143</v>
      </c>
      <c r="AP888" s="1758">
        <v>52.4</v>
      </c>
    </row>
    <row r="889" spans="1:48">
      <c r="A889" s="2424"/>
      <c r="B889" s="1739" t="s">
        <v>1934</v>
      </c>
      <c r="C889" s="1721" t="s">
        <v>1931</v>
      </c>
      <c r="D889" s="1733" t="s">
        <v>1805</v>
      </c>
      <c r="E889" s="1748">
        <f>AH887</f>
        <v>1.1354784616969078</v>
      </c>
      <c r="F889" s="1789"/>
      <c r="G889" s="1736"/>
      <c r="H889" s="1724">
        <f>E889*$G$891</f>
        <v>64.210224337681694</v>
      </c>
      <c r="I889" s="1736"/>
      <c r="J889" s="1736"/>
      <c r="K889" s="2445"/>
      <c r="L889" s="2481">
        <f>((E889*$G$891)+I890)*(1+$K$885)</f>
        <v>90.457929665478943</v>
      </c>
      <c r="M889" s="1743" t="s">
        <v>2064</v>
      </c>
      <c r="N889" s="1782"/>
      <c r="O889" s="1870">
        <f>AVERAGE(V904:V909)</f>
        <v>0.52226610365954629</v>
      </c>
      <c r="P889" s="1738">
        <v>67.88</v>
      </c>
      <c r="Q889" s="1737">
        <f>O889*P889</f>
        <v>35.451423116409998</v>
      </c>
      <c r="R889" s="1842"/>
      <c r="S889" s="1842"/>
      <c r="T889" s="1995">
        <f>Q889</f>
        <v>35.451423116409998</v>
      </c>
      <c r="U889" s="1733" t="s">
        <v>1719</v>
      </c>
      <c r="V889" s="1699"/>
      <c r="W889" s="1695"/>
      <c r="X889" s="1695"/>
      <c r="Y889" s="1695"/>
      <c r="Z889" s="1695"/>
      <c r="AA889" s="1695"/>
      <c r="AB889" s="1699"/>
      <c r="AC889" s="1695"/>
      <c r="AD889" s="1695"/>
      <c r="AE889" s="1695"/>
      <c r="AF889" s="1695"/>
      <c r="AG889" s="1695"/>
      <c r="AH889" s="1699"/>
      <c r="AI889" s="1695"/>
      <c r="AJ889" s="1695"/>
      <c r="AK889" s="1695"/>
      <c r="AL889" s="1695"/>
      <c r="AM889" s="1695"/>
      <c r="AN889" s="1695"/>
      <c r="AO889" s="1757">
        <v>1.143</v>
      </c>
      <c r="AP889" s="1758">
        <v>52.4</v>
      </c>
    </row>
    <row r="890" spans="1:48">
      <c r="A890" s="2424"/>
      <c r="B890" s="1739" t="s">
        <v>2061</v>
      </c>
      <c r="C890" s="1721" t="s">
        <v>1931</v>
      </c>
      <c r="D890" s="1733" t="s">
        <v>1812</v>
      </c>
      <c r="E890" s="1734"/>
      <c r="F890" s="1789"/>
      <c r="G890" s="1736"/>
      <c r="H890" s="1736"/>
      <c r="I890" s="1736">
        <f>AVERAGE(AA904:AA909)+AVERAGE(Z904:Z909)+AVERAGE(Y904:Y909)</f>
        <v>7.5817833333333322</v>
      </c>
      <c r="J890" s="1736"/>
      <c r="K890" s="2445"/>
      <c r="L890" s="2462"/>
      <c r="M890" s="1699"/>
      <c r="N890" s="1695"/>
      <c r="O890" s="1695"/>
      <c r="P890" s="1745"/>
      <c r="Q890" s="1745"/>
      <c r="R890" s="1745"/>
      <c r="S890" s="1745"/>
      <c r="T890" s="1805"/>
      <c r="U890" s="1733" t="s">
        <v>1720</v>
      </c>
      <c r="V890" s="1699"/>
      <c r="W890" s="1695"/>
      <c r="X890" s="1695"/>
      <c r="Y890" s="1695"/>
      <c r="Z890" s="1695"/>
      <c r="AA890" s="1695"/>
      <c r="AB890" s="1699"/>
      <c r="AC890" s="1695"/>
      <c r="AD890" s="1695"/>
      <c r="AE890" s="1695"/>
      <c r="AF890" s="1695"/>
      <c r="AG890" s="1695"/>
      <c r="AH890" s="1699"/>
      <c r="AI890" s="1695"/>
      <c r="AJ890" s="1695"/>
      <c r="AK890" s="1695"/>
      <c r="AL890" s="1695"/>
      <c r="AM890" s="1695"/>
      <c r="AN890" s="1695"/>
      <c r="AO890" s="1757">
        <v>1.2310000000000001</v>
      </c>
      <c r="AP890" s="1758">
        <v>52.4</v>
      </c>
    </row>
    <row r="891" spans="1:48">
      <c r="A891" s="2424"/>
      <c r="B891" s="1739" t="s">
        <v>1811</v>
      </c>
      <c r="C891" s="1721" t="s">
        <v>1931</v>
      </c>
      <c r="D891" s="1733" t="s">
        <v>1812</v>
      </c>
      <c r="E891" s="1734"/>
      <c r="F891" s="1789"/>
      <c r="G891" s="1736">
        <f>AVERAGE(W892:W909)*BS30</f>
        <v>56.549046506547711</v>
      </c>
      <c r="H891" s="1736"/>
      <c r="I891" s="1736"/>
      <c r="J891" s="1842"/>
      <c r="K891" s="2427"/>
      <c r="L891" s="2037"/>
      <c r="M891" s="1699"/>
      <c r="N891" s="1695"/>
      <c r="O891" s="1695"/>
      <c r="P891" s="1745"/>
      <c r="Q891" s="1745"/>
      <c r="R891" s="1745"/>
      <c r="S891" s="1745"/>
      <c r="T891" s="1805"/>
      <c r="U891" s="1733" t="s">
        <v>1721</v>
      </c>
      <c r="V891" s="1699"/>
      <c r="W891" s="1695"/>
      <c r="X891" s="1695"/>
      <c r="Y891" s="1695"/>
      <c r="Z891" s="1695"/>
      <c r="AA891" s="1695"/>
      <c r="AB891" s="1699"/>
      <c r="AC891" s="1695"/>
      <c r="AD891" s="1695"/>
      <c r="AE891" s="1695"/>
      <c r="AF891" s="1695"/>
      <c r="AG891" s="1695"/>
      <c r="AH891" s="1699"/>
      <c r="AI891" s="1695"/>
      <c r="AJ891" s="1695"/>
      <c r="AK891" s="1695"/>
      <c r="AL891" s="1695"/>
      <c r="AM891" s="1695"/>
      <c r="AN891" s="1695"/>
      <c r="AO891" s="1757">
        <v>0.33300000000000002</v>
      </c>
      <c r="AP891" s="1758">
        <v>52.4</v>
      </c>
    </row>
    <row r="892" spans="1:48">
      <c r="A892" s="2424"/>
      <c r="B892" s="1695"/>
      <c r="C892" s="1696"/>
      <c r="D892" s="1696"/>
      <c r="E892" s="1695"/>
      <c r="F892" s="1695"/>
      <c r="G892" s="1745"/>
      <c r="H892" s="1745"/>
      <c r="I892" s="1745"/>
      <c r="J892" s="1745"/>
      <c r="K892" s="1695"/>
      <c r="L892" s="1805"/>
      <c r="M892" s="1699"/>
      <c r="N892" s="1695"/>
      <c r="O892" s="1695"/>
      <c r="P892" s="1745"/>
      <c r="Q892" s="1745"/>
      <c r="R892" s="1745"/>
      <c r="S892" s="1745"/>
      <c r="T892" s="1805"/>
      <c r="U892" s="1733" t="s">
        <v>1732</v>
      </c>
      <c r="V892" s="2022">
        <v>0.08</v>
      </c>
      <c r="W892" s="2023">
        <v>95.151515151515156</v>
      </c>
      <c r="X892" s="2024">
        <v>31.4</v>
      </c>
      <c r="Y892" s="1782"/>
      <c r="Z892" s="2024">
        <v>2.15</v>
      </c>
      <c r="AA892" s="2025">
        <v>2.82</v>
      </c>
      <c r="AB892" s="1695"/>
      <c r="AC892" s="1695"/>
      <c r="AD892" s="1695"/>
      <c r="AE892" s="1695"/>
      <c r="AF892" s="1695"/>
      <c r="AG892" s="1695"/>
      <c r="AH892" s="1699"/>
      <c r="AI892" s="1695"/>
      <c r="AJ892" s="1695"/>
      <c r="AK892" s="1695"/>
      <c r="AL892" s="1695"/>
      <c r="AM892" s="1695"/>
      <c r="AN892" s="1695"/>
      <c r="AO892" s="1699"/>
      <c r="AP892" s="1729"/>
    </row>
    <row r="893" spans="1:48">
      <c r="A893" s="2424"/>
      <c r="B893" s="1695"/>
      <c r="C893" s="1696"/>
      <c r="D893" s="1696"/>
      <c r="E893" s="1695"/>
      <c r="F893" s="1695"/>
      <c r="G893" s="1745"/>
      <c r="H893" s="1745"/>
      <c r="I893" s="1745"/>
      <c r="J893" s="1745"/>
      <c r="K893" s="1695"/>
      <c r="L893" s="1805"/>
      <c r="M893" s="1699"/>
      <c r="N893" s="1695"/>
      <c r="O893" s="1695"/>
      <c r="P893" s="1745"/>
      <c r="Q893" s="1745"/>
      <c r="R893" s="1745"/>
      <c r="S893" s="1745"/>
      <c r="T893" s="1805"/>
      <c r="U893" s="1733" t="s">
        <v>1733</v>
      </c>
      <c r="V893" s="2014">
        <v>0.41249999999999998</v>
      </c>
      <c r="W893" s="2015">
        <v>75</v>
      </c>
      <c r="X893" s="1749">
        <v>30.9375</v>
      </c>
      <c r="Y893" s="1735"/>
      <c r="Z893" s="1749"/>
      <c r="AA893" s="2016">
        <v>2.8286000000000002</v>
      </c>
      <c r="AB893" s="1695"/>
      <c r="AC893" s="1695"/>
      <c r="AD893" s="1695"/>
      <c r="AE893" s="1695"/>
      <c r="AF893" s="1695"/>
      <c r="AG893" s="1695"/>
      <c r="AH893" s="1699"/>
      <c r="AI893" s="1695"/>
      <c r="AJ893" s="1695"/>
      <c r="AK893" s="1695"/>
      <c r="AL893" s="1695"/>
      <c r="AM893" s="1695"/>
      <c r="AN893" s="1695"/>
      <c r="AO893" s="1699"/>
      <c r="AP893" s="1729"/>
    </row>
    <row r="894" spans="1:48">
      <c r="A894" s="2424"/>
      <c r="B894" s="1695"/>
      <c r="C894" s="1696"/>
      <c r="D894" s="1696"/>
      <c r="E894" s="1695"/>
      <c r="F894" s="1695"/>
      <c r="G894" s="1745"/>
      <c r="H894" s="1745"/>
      <c r="I894" s="1745"/>
      <c r="J894" s="1745"/>
      <c r="K894" s="1695"/>
      <c r="L894" s="1805"/>
      <c r="M894" s="1699"/>
      <c r="N894" s="1695"/>
      <c r="O894" s="1695"/>
      <c r="P894" s="1745"/>
      <c r="Q894" s="1745"/>
      <c r="R894" s="1745"/>
      <c r="S894" s="1745"/>
      <c r="T894" s="1805"/>
      <c r="U894" s="1733" t="s">
        <v>1734</v>
      </c>
      <c r="V894" s="2014">
        <v>0.5</v>
      </c>
      <c r="W894" s="2015">
        <v>60</v>
      </c>
      <c r="X894" s="1749">
        <v>30</v>
      </c>
      <c r="Y894" s="1735"/>
      <c r="Z894" s="1749">
        <v>1</v>
      </c>
      <c r="AA894" s="2016">
        <v>3.536</v>
      </c>
      <c r="AB894" s="1695"/>
      <c r="AC894" s="1695"/>
      <c r="AD894" s="1695"/>
      <c r="AE894" s="1695"/>
      <c r="AF894" s="1695"/>
      <c r="AG894" s="1695"/>
      <c r="AH894" s="1699"/>
      <c r="AI894" s="1695"/>
      <c r="AJ894" s="1695"/>
      <c r="AK894" s="1695"/>
      <c r="AL894" s="1695"/>
      <c r="AM894" s="1695"/>
      <c r="AN894" s="1695"/>
      <c r="AO894" s="1699"/>
      <c r="AP894" s="1729"/>
    </row>
    <row r="895" spans="1:48">
      <c r="A895" s="2424"/>
      <c r="B895" s="1695"/>
      <c r="C895" s="1696"/>
      <c r="D895" s="1696"/>
      <c r="E895" s="1695"/>
      <c r="F895" s="1695"/>
      <c r="G895" s="1745"/>
      <c r="H895" s="1745"/>
      <c r="I895" s="1745"/>
      <c r="J895" s="1745"/>
      <c r="K895" s="1695"/>
      <c r="L895" s="1805"/>
      <c r="M895" s="1699"/>
      <c r="N895" s="1695"/>
      <c r="O895" s="1695"/>
      <c r="P895" s="1745"/>
      <c r="Q895" s="1745"/>
      <c r="R895" s="1745"/>
      <c r="S895" s="1745"/>
      <c r="T895" s="1805"/>
      <c r="U895" s="1733" t="s">
        <v>1735</v>
      </c>
      <c r="V895" s="2014">
        <v>0.4</v>
      </c>
      <c r="W895" s="2015">
        <v>95</v>
      </c>
      <c r="X895" s="1749">
        <v>38</v>
      </c>
      <c r="Y895" s="1735">
        <v>1.25</v>
      </c>
      <c r="Z895" s="1749">
        <v>1.25</v>
      </c>
      <c r="AA895" s="2016">
        <v>0</v>
      </c>
      <c r="AB895" s="1695"/>
      <c r="AC895" s="1695"/>
      <c r="AD895" s="1695"/>
      <c r="AE895" s="1695"/>
      <c r="AF895" s="1695"/>
      <c r="AG895" s="1695"/>
      <c r="AH895" s="1699"/>
      <c r="AI895" s="1695"/>
      <c r="AJ895" s="1695"/>
      <c r="AK895" s="1695"/>
      <c r="AL895" s="1695"/>
      <c r="AM895" s="1695"/>
      <c r="AN895" s="1695"/>
      <c r="AO895" s="1699"/>
      <c r="AP895" s="1729"/>
    </row>
    <row r="896" spans="1:48">
      <c r="A896" s="2424"/>
      <c r="B896" s="1695"/>
      <c r="C896" s="1696"/>
      <c r="D896" s="1696"/>
      <c r="E896" s="1695"/>
      <c r="F896" s="1695"/>
      <c r="G896" s="1745"/>
      <c r="H896" s="1745"/>
      <c r="I896" s="1745"/>
      <c r="J896" s="1745"/>
      <c r="K896" s="1695"/>
      <c r="L896" s="1805"/>
      <c r="M896" s="1699"/>
      <c r="N896" s="1695"/>
      <c r="O896" s="1695"/>
      <c r="P896" s="1745"/>
      <c r="Q896" s="1745"/>
      <c r="R896" s="1745"/>
      <c r="S896" s="1745"/>
      <c r="T896" s="1805"/>
      <c r="U896" s="1733" t="s">
        <v>1736</v>
      </c>
      <c r="V896" s="2022">
        <v>0.41498807082945016</v>
      </c>
      <c r="W896" s="2023">
        <v>81.287878787878782</v>
      </c>
      <c r="X896" s="2024">
        <v>33.733499999999999</v>
      </c>
      <c r="Y896" s="1782"/>
      <c r="Z896" s="2024">
        <v>2.1</v>
      </c>
      <c r="AA896" s="2025">
        <v>3.1557999999999997</v>
      </c>
      <c r="AB896" s="1695"/>
      <c r="AC896" s="1695"/>
      <c r="AD896" s="1695"/>
      <c r="AE896" s="1695"/>
      <c r="AF896" s="1695"/>
      <c r="AG896" s="1695"/>
      <c r="AH896" s="1699"/>
      <c r="AI896" s="1695"/>
      <c r="AJ896" s="1695"/>
      <c r="AK896" s="1695"/>
      <c r="AL896" s="1695"/>
      <c r="AM896" s="1695"/>
      <c r="AN896" s="1695"/>
      <c r="AO896" s="1699"/>
      <c r="AP896" s="1729"/>
    </row>
    <row r="897" spans="1:42">
      <c r="A897" s="2424"/>
      <c r="B897" s="1695"/>
      <c r="C897" s="1696"/>
      <c r="D897" s="1696"/>
      <c r="E897" s="1695"/>
      <c r="F897" s="1695"/>
      <c r="G897" s="1745"/>
      <c r="H897" s="1745"/>
      <c r="I897" s="1745"/>
      <c r="J897" s="1745"/>
      <c r="K897" s="1695"/>
      <c r="L897" s="1805"/>
      <c r="M897" s="1699"/>
      <c r="N897" s="1695"/>
      <c r="O897" s="1695"/>
      <c r="P897" s="1745"/>
      <c r="Q897" s="1745"/>
      <c r="R897" s="1745"/>
      <c r="S897" s="1745"/>
      <c r="T897" s="1805"/>
      <c r="U897" s="1733" t="s">
        <v>1737</v>
      </c>
      <c r="V897" s="2014">
        <v>1</v>
      </c>
      <c r="W897" s="2015">
        <v>98.5</v>
      </c>
      <c r="X897" s="1749">
        <v>98.5</v>
      </c>
      <c r="Y897" s="1735"/>
      <c r="Z897" s="1749"/>
      <c r="AA897" s="2016">
        <v>13.15</v>
      </c>
      <c r="AB897" s="1695"/>
      <c r="AC897" s="1695"/>
      <c r="AD897" s="1695"/>
      <c r="AE897" s="1695"/>
      <c r="AF897" s="1695"/>
      <c r="AG897" s="1695"/>
      <c r="AH897" s="1699"/>
      <c r="AI897" s="1695"/>
      <c r="AJ897" s="1695"/>
      <c r="AK897" s="1695"/>
      <c r="AL897" s="1695"/>
      <c r="AM897" s="1695"/>
      <c r="AN897" s="1695"/>
      <c r="AO897" s="1699"/>
      <c r="AP897" s="1729"/>
    </row>
    <row r="898" spans="1:42">
      <c r="A898" s="2424"/>
      <c r="B898" s="1695"/>
      <c r="C898" s="1696"/>
      <c r="D898" s="1696"/>
      <c r="E898" s="1695"/>
      <c r="F898" s="1695"/>
      <c r="G898" s="1745"/>
      <c r="H898" s="1745"/>
      <c r="I898" s="1745"/>
      <c r="J898" s="1745"/>
      <c r="K898" s="1695"/>
      <c r="L898" s="1805"/>
      <c r="M898" s="1699"/>
      <c r="N898" s="1695"/>
      <c r="O898" s="1695"/>
      <c r="P898" s="1745"/>
      <c r="Q898" s="1745"/>
      <c r="R898" s="1745"/>
      <c r="S898" s="1745"/>
      <c r="T898" s="1805"/>
      <c r="U898" s="1733" t="s">
        <v>1738</v>
      </c>
      <c r="V898" s="2014">
        <v>1.33</v>
      </c>
      <c r="W898" s="2015">
        <v>78.999999999999986</v>
      </c>
      <c r="X898" s="1749">
        <v>105.06999999999998</v>
      </c>
      <c r="Y898" s="1735"/>
      <c r="Z898" s="2024"/>
      <c r="AA898" s="2016">
        <v>12.7287</v>
      </c>
      <c r="AB898" s="1695"/>
      <c r="AC898" s="1695"/>
      <c r="AD898" s="1695"/>
      <c r="AE898" s="1695"/>
      <c r="AF898" s="1695"/>
      <c r="AG898" s="1695"/>
      <c r="AH898" s="1699"/>
      <c r="AI898" s="1695"/>
      <c r="AJ898" s="1695"/>
      <c r="AK898" s="1695"/>
      <c r="AL898" s="1695"/>
      <c r="AM898" s="1695"/>
      <c r="AN898" s="1695"/>
      <c r="AO898" s="1699"/>
      <c r="AP898" s="1729"/>
    </row>
    <row r="899" spans="1:42">
      <c r="A899" s="2424"/>
      <c r="B899" s="1695"/>
      <c r="C899" s="1696"/>
      <c r="D899" s="1696"/>
      <c r="E899" s="1695"/>
      <c r="F899" s="1695"/>
      <c r="G899" s="1745"/>
      <c r="H899" s="1745"/>
      <c r="I899" s="1745"/>
      <c r="J899" s="1745"/>
      <c r="K899" s="1695"/>
      <c r="L899" s="1805"/>
      <c r="M899" s="1699"/>
      <c r="N899" s="1695"/>
      <c r="O899" s="1695"/>
      <c r="P899" s="1745"/>
      <c r="Q899" s="1745"/>
      <c r="R899" s="1745"/>
      <c r="S899" s="1745"/>
      <c r="T899" s="1805"/>
      <c r="U899" s="1733" t="s">
        <v>1739</v>
      </c>
      <c r="V899" s="2014">
        <v>0.5</v>
      </c>
      <c r="W899" s="2015">
        <v>77.5</v>
      </c>
      <c r="X899" s="1749">
        <v>38.75</v>
      </c>
      <c r="Y899" s="1735"/>
      <c r="Z899" s="2024"/>
      <c r="AA899" s="2016">
        <v>6.7180000000000009</v>
      </c>
      <c r="AB899" s="1695"/>
      <c r="AC899" s="1695"/>
      <c r="AD899" s="1695"/>
      <c r="AE899" s="1695"/>
      <c r="AF899" s="1695"/>
      <c r="AG899" s="1695"/>
      <c r="AH899" s="1699"/>
      <c r="AI899" s="1695"/>
      <c r="AJ899" s="1695"/>
      <c r="AK899" s="1695"/>
      <c r="AL899" s="1695"/>
      <c r="AM899" s="1695"/>
      <c r="AN899" s="1695"/>
      <c r="AO899" s="1699"/>
      <c r="AP899" s="1729"/>
    </row>
    <row r="900" spans="1:42">
      <c r="A900" s="2424"/>
      <c r="B900" s="1695"/>
      <c r="C900" s="1696"/>
      <c r="D900" s="1696"/>
      <c r="E900" s="1695"/>
      <c r="F900" s="1695"/>
      <c r="G900" s="1745"/>
      <c r="H900" s="1745"/>
      <c r="I900" s="1745"/>
      <c r="J900" s="1745"/>
      <c r="K900" s="1695"/>
      <c r="L900" s="1805"/>
      <c r="M900" s="1699"/>
      <c r="N900" s="1695"/>
      <c r="O900" s="1695"/>
      <c r="P900" s="1745"/>
      <c r="Q900" s="1745"/>
      <c r="R900" s="1745"/>
      <c r="S900" s="1745"/>
      <c r="T900" s="1805"/>
      <c r="U900" s="1733" t="s">
        <v>1740</v>
      </c>
      <c r="V900" s="2022">
        <v>0.41666666666666669</v>
      </c>
      <c r="W900" s="2023">
        <v>59.999999999999993</v>
      </c>
      <c r="X900" s="2024">
        <v>25</v>
      </c>
      <c r="Y900" s="1782"/>
      <c r="Z900" s="2024"/>
      <c r="AA900" s="2025">
        <v>13.180000000000001</v>
      </c>
      <c r="AB900" s="1695"/>
      <c r="AC900" s="1695"/>
      <c r="AD900" s="1695"/>
      <c r="AE900" s="1695"/>
      <c r="AF900" s="1695"/>
      <c r="AG900" s="1695"/>
      <c r="AH900" s="1699"/>
      <c r="AI900" s="1695"/>
      <c r="AJ900" s="1695"/>
      <c r="AK900" s="1695"/>
      <c r="AL900" s="1695"/>
      <c r="AM900" s="1695"/>
      <c r="AN900" s="1695"/>
      <c r="AO900" s="1699"/>
      <c r="AP900" s="1729"/>
    </row>
    <row r="901" spans="1:42">
      <c r="A901" s="2424"/>
      <c r="B901" s="1695"/>
      <c r="C901" s="1696"/>
      <c r="D901" s="1696"/>
      <c r="E901" s="1695"/>
      <c r="F901" s="1695"/>
      <c r="G901" s="1745"/>
      <c r="H901" s="1745"/>
      <c r="I901" s="1745"/>
      <c r="J901" s="1745"/>
      <c r="K901" s="1695"/>
      <c r="L901" s="1805"/>
      <c r="M901" s="1699"/>
      <c r="N901" s="1695"/>
      <c r="O901" s="1695"/>
      <c r="P901" s="1745"/>
      <c r="Q901" s="1745"/>
      <c r="R901" s="1745"/>
      <c r="S901" s="1745"/>
      <c r="T901" s="1805"/>
      <c r="U901" s="1733" t="s">
        <v>1741</v>
      </c>
      <c r="V901" s="2014">
        <v>0.33333333333333337</v>
      </c>
      <c r="W901" s="2015">
        <v>60</v>
      </c>
      <c r="X901" s="1749">
        <v>20</v>
      </c>
      <c r="Y901" s="1735"/>
      <c r="Z901" s="1749"/>
      <c r="AA901" s="2016">
        <v>3.19</v>
      </c>
      <c r="AB901" s="1695"/>
      <c r="AC901" s="1695"/>
      <c r="AD901" s="1695"/>
      <c r="AE901" s="1695"/>
      <c r="AF901" s="1695"/>
      <c r="AG901" s="1695"/>
      <c r="AH901" s="1699"/>
      <c r="AI901" s="1695"/>
      <c r="AJ901" s="1695"/>
      <c r="AK901" s="1695"/>
      <c r="AL901" s="1695"/>
      <c r="AM901" s="1695"/>
      <c r="AN901" s="1695"/>
      <c r="AO901" s="1699"/>
      <c r="AP901" s="1729"/>
    </row>
    <row r="902" spans="1:42">
      <c r="A902" s="2424"/>
      <c r="B902" s="1695"/>
      <c r="C902" s="1696"/>
      <c r="D902" s="1696"/>
      <c r="E902" s="1695"/>
      <c r="F902" s="1695"/>
      <c r="G902" s="1745"/>
      <c r="H902" s="1745"/>
      <c r="I902" s="1745"/>
      <c r="J902" s="1745"/>
      <c r="K902" s="1695"/>
      <c r="L902" s="1805"/>
      <c r="M902" s="1699"/>
      <c r="N902" s="1695"/>
      <c r="O902" s="1695"/>
      <c r="P902" s="1745"/>
      <c r="Q902" s="1745"/>
      <c r="R902" s="1745"/>
      <c r="S902" s="1745"/>
      <c r="T902" s="1805"/>
      <c r="U902" s="1733" t="s">
        <v>1742</v>
      </c>
      <c r="V902" s="2014">
        <v>1</v>
      </c>
      <c r="W902" s="2015">
        <v>95</v>
      </c>
      <c r="X902" s="1749">
        <v>95</v>
      </c>
      <c r="Y902" s="1735">
        <v>1.25</v>
      </c>
      <c r="Z902" s="1749">
        <v>1.75</v>
      </c>
      <c r="AA902" s="2016">
        <v>0</v>
      </c>
      <c r="AB902" s="1695"/>
      <c r="AC902" s="1695"/>
      <c r="AD902" s="1695"/>
      <c r="AE902" s="1695"/>
      <c r="AF902" s="1695"/>
      <c r="AG902" s="1695"/>
      <c r="AH902" s="1699"/>
      <c r="AI902" s="1695"/>
      <c r="AJ902" s="1695"/>
      <c r="AK902" s="1695"/>
      <c r="AL902" s="1695"/>
      <c r="AM902" s="1695"/>
      <c r="AN902" s="1695"/>
      <c r="AO902" s="1699"/>
      <c r="AP902" s="1729"/>
    </row>
    <row r="903" spans="1:42">
      <c r="A903" s="2424"/>
      <c r="B903" s="1695"/>
      <c r="C903" s="1696"/>
      <c r="D903" s="1696"/>
      <c r="E903" s="1695"/>
      <c r="F903" s="1695"/>
      <c r="G903" s="1745"/>
      <c r="H903" s="1745"/>
      <c r="I903" s="1745"/>
      <c r="J903" s="1745"/>
      <c r="K903" s="1695"/>
      <c r="L903" s="1805"/>
      <c r="M903" s="1699"/>
      <c r="N903" s="1695"/>
      <c r="O903" s="1695"/>
      <c r="P903" s="1745"/>
      <c r="Q903" s="1745"/>
      <c r="R903" s="1745"/>
      <c r="S903" s="1745"/>
      <c r="T903" s="1805"/>
      <c r="U903" s="1733" t="s">
        <v>1743</v>
      </c>
      <c r="V903" s="2014">
        <v>1.3761702127659574</v>
      </c>
      <c r="W903" s="2015">
        <v>78.333333333333329</v>
      </c>
      <c r="X903" s="1749">
        <v>107.8</v>
      </c>
      <c r="Y903" s="1735"/>
      <c r="Z903" s="1749">
        <v>5.25</v>
      </c>
      <c r="AA903" s="2016">
        <v>9.61</v>
      </c>
      <c r="AB903" s="1695"/>
      <c r="AC903" s="1695"/>
      <c r="AD903" s="1695"/>
      <c r="AE903" s="1695"/>
      <c r="AF903" s="1695"/>
      <c r="AG903" s="1695"/>
      <c r="AH903" s="1699"/>
      <c r="AI903" s="1695"/>
      <c r="AJ903" s="1695"/>
      <c r="AK903" s="1695"/>
      <c r="AL903" s="1695"/>
      <c r="AM903" s="1695"/>
      <c r="AN903" s="1695"/>
      <c r="AO903" s="1699"/>
      <c r="AP903" s="1729"/>
    </row>
    <row r="904" spans="1:42">
      <c r="A904" s="2424"/>
      <c r="B904" s="1695"/>
      <c r="C904" s="1696"/>
      <c r="D904" s="1696"/>
      <c r="E904" s="1695"/>
      <c r="F904" s="1695"/>
      <c r="G904" s="1745"/>
      <c r="H904" s="1745"/>
      <c r="I904" s="1745"/>
      <c r="J904" s="1745"/>
      <c r="K904" s="1695"/>
      <c r="L904" s="1805"/>
      <c r="M904" s="1699"/>
      <c r="N904" s="1695"/>
      <c r="O904" s="1695"/>
      <c r="P904" s="1745"/>
      <c r="Q904" s="1745"/>
      <c r="R904" s="1745"/>
      <c r="S904" s="1745"/>
      <c r="T904" s="1805"/>
      <c r="U904" s="1733" t="s">
        <v>1744</v>
      </c>
      <c r="V904" s="2022">
        <v>0.5</v>
      </c>
      <c r="W904" s="2023">
        <v>93.6</v>
      </c>
      <c r="X904" s="2024">
        <v>46.8</v>
      </c>
      <c r="Y904" s="1782"/>
      <c r="Z904" s="2024"/>
      <c r="AA904" s="2025">
        <v>6.72</v>
      </c>
      <c r="AB904" s="1695"/>
      <c r="AC904" s="1695"/>
      <c r="AD904" s="1695"/>
      <c r="AE904" s="1695"/>
      <c r="AF904" s="1695"/>
      <c r="AG904" s="1695"/>
      <c r="AH904" s="1699"/>
      <c r="AI904" s="1695"/>
      <c r="AJ904" s="1695"/>
      <c r="AK904" s="1695"/>
      <c r="AL904" s="1695"/>
      <c r="AM904" s="1695"/>
      <c r="AN904" s="1695"/>
      <c r="AO904" s="1699"/>
      <c r="AP904" s="1729"/>
    </row>
    <row r="905" spans="1:42">
      <c r="A905" s="2424"/>
      <c r="B905" s="1695"/>
      <c r="C905" s="1696"/>
      <c r="D905" s="1696"/>
      <c r="E905" s="1695"/>
      <c r="F905" s="1695"/>
      <c r="G905" s="1745"/>
      <c r="H905" s="1745"/>
      <c r="I905" s="1745"/>
      <c r="J905" s="1745"/>
      <c r="K905" s="1695"/>
      <c r="L905" s="1805"/>
      <c r="M905" s="1699"/>
      <c r="N905" s="1695"/>
      <c r="O905" s="1695"/>
      <c r="P905" s="1745"/>
      <c r="Q905" s="1745"/>
      <c r="R905" s="1745"/>
      <c r="S905" s="1745"/>
      <c r="T905" s="1805"/>
      <c r="U905" s="1733" t="s">
        <v>1745</v>
      </c>
      <c r="V905" s="2014">
        <v>0.75</v>
      </c>
      <c r="W905" s="2015">
        <v>79</v>
      </c>
      <c r="X905" s="1749">
        <v>59.25</v>
      </c>
      <c r="Y905" s="1735"/>
      <c r="Z905" s="1749"/>
      <c r="AA905" s="2016">
        <v>7.2442999999999991</v>
      </c>
      <c r="AB905" s="1695"/>
      <c r="AC905" s="1695"/>
      <c r="AD905" s="1695"/>
      <c r="AE905" s="1695"/>
      <c r="AF905" s="1695"/>
      <c r="AG905" s="1695"/>
      <c r="AH905" s="1699"/>
      <c r="AI905" s="1695"/>
      <c r="AJ905" s="1695"/>
      <c r="AK905" s="1695"/>
      <c r="AL905" s="1695"/>
      <c r="AM905" s="1695"/>
      <c r="AN905" s="1695"/>
      <c r="AO905" s="1699"/>
      <c r="AP905" s="1729"/>
    </row>
    <row r="906" spans="1:42">
      <c r="A906" s="2424"/>
      <c r="B906" s="1695"/>
      <c r="C906" s="1696"/>
      <c r="D906" s="1696"/>
      <c r="E906" s="1695"/>
      <c r="F906" s="1695"/>
      <c r="G906" s="1745"/>
      <c r="H906" s="1745"/>
      <c r="I906" s="1745"/>
      <c r="J906" s="1745"/>
      <c r="K906" s="1695"/>
      <c r="L906" s="1805"/>
      <c r="M906" s="1699"/>
      <c r="N906" s="1695"/>
      <c r="O906" s="1695"/>
      <c r="P906" s="1745"/>
      <c r="Q906" s="1745"/>
      <c r="R906" s="1745"/>
      <c r="S906" s="1745"/>
      <c r="T906" s="1805"/>
      <c r="U906" s="1733" t="s">
        <v>1746</v>
      </c>
      <c r="V906" s="2014">
        <v>0.41499999999999998</v>
      </c>
      <c r="W906" s="2015">
        <v>75</v>
      </c>
      <c r="X906" s="1749">
        <v>31.125</v>
      </c>
      <c r="Y906" s="1735"/>
      <c r="Z906" s="2024"/>
      <c r="AA906" s="2016">
        <v>3.4714</v>
      </c>
      <c r="AB906" s="1695"/>
      <c r="AC906" s="1695"/>
      <c r="AD906" s="1695"/>
      <c r="AE906" s="1695"/>
      <c r="AF906" s="1695"/>
      <c r="AG906" s="1695"/>
      <c r="AH906" s="1699"/>
      <c r="AI906" s="1695"/>
      <c r="AJ906" s="1695"/>
      <c r="AK906" s="1695"/>
      <c r="AL906" s="1695"/>
      <c r="AM906" s="1695"/>
      <c r="AN906" s="1695"/>
      <c r="AO906" s="1699"/>
      <c r="AP906" s="1729"/>
    </row>
    <row r="907" spans="1:42">
      <c r="A907" s="2424"/>
      <c r="B907" s="1695"/>
      <c r="C907" s="1696"/>
      <c r="D907" s="1696"/>
      <c r="E907" s="1695"/>
      <c r="F907" s="1695"/>
      <c r="G907" s="1745"/>
      <c r="H907" s="1745"/>
      <c r="I907" s="1745"/>
      <c r="J907" s="1745"/>
      <c r="K907" s="1695"/>
      <c r="L907" s="1805"/>
      <c r="M907" s="1699"/>
      <c r="N907" s="1695"/>
      <c r="O907" s="1695"/>
      <c r="P907" s="1745"/>
      <c r="Q907" s="1745"/>
      <c r="R907" s="1745"/>
      <c r="S907" s="1745"/>
      <c r="T907" s="1805"/>
      <c r="U907" s="1733" t="s">
        <v>1747</v>
      </c>
      <c r="V907" s="2014">
        <v>0.5</v>
      </c>
      <c r="W907" s="2015">
        <v>60</v>
      </c>
      <c r="X907" s="1749">
        <v>30</v>
      </c>
      <c r="Y907" s="1735"/>
      <c r="Z907" s="2024"/>
      <c r="AA907" s="2016">
        <v>8.08</v>
      </c>
      <c r="AB907" s="1695"/>
      <c r="AC907" s="1695"/>
      <c r="AD907" s="1695"/>
      <c r="AE907" s="1695"/>
      <c r="AF907" s="1695"/>
      <c r="AG907" s="1695"/>
      <c r="AH907" s="1699"/>
      <c r="AI907" s="1695"/>
      <c r="AJ907" s="1695"/>
      <c r="AK907" s="1695"/>
      <c r="AL907" s="1695"/>
      <c r="AM907" s="1695"/>
      <c r="AN907" s="1695"/>
      <c r="AO907" s="1699"/>
      <c r="AP907" s="1729"/>
    </row>
    <row r="908" spans="1:42" ht="9" customHeight="1">
      <c r="A908" s="2424"/>
      <c r="B908" s="1695"/>
      <c r="C908" s="1696"/>
      <c r="D908" s="1696"/>
      <c r="E908" s="1695"/>
      <c r="F908" s="1695"/>
      <c r="G908" s="1745"/>
      <c r="H908" s="1745"/>
      <c r="I908" s="1745"/>
      <c r="J908" s="1745"/>
      <c r="K908" s="1695"/>
      <c r="L908" s="1805"/>
      <c r="M908" s="1699"/>
      <c r="N908" s="1695"/>
      <c r="O908" s="1695"/>
      <c r="P908" s="1745"/>
      <c r="Q908" s="1745"/>
      <c r="R908" s="1745"/>
      <c r="S908" s="1745"/>
      <c r="T908" s="1805"/>
      <c r="U908" s="1733" t="s">
        <v>1748</v>
      </c>
      <c r="V908" s="2022">
        <v>0.24</v>
      </c>
      <c r="W908" s="2023">
        <v>95</v>
      </c>
      <c r="X908" s="2024">
        <v>22.8</v>
      </c>
      <c r="Y908" s="1782">
        <v>0.5</v>
      </c>
      <c r="Z908" s="2024">
        <v>0.7</v>
      </c>
      <c r="AA908" s="2025">
        <v>0</v>
      </c>
      <c r="AB908" s="1695"/>
      <c r="AC908" s="1695"/>
      <c r="AD908" s="1695"/>
      <c r="AE908" s="1695"/>
      <c r="AF908" s="1695"/>
      <c r="AG908" s="1695"/>
      <c r="AH908" s="1699"/>
      <c r="AI908" s="1695"/>
      <c r="AJ908" s="1695"/>
      <c r="AK908" s="1695"/>
      <c r="AL908" s="1695"/>
      <c r="AM908" s="1695"/>
      <c r="AN908" s="1695"/>
      <c r="AO908" s="1699"/>
      <c r="AP908" s="1729"/>
    </row>
    <row r="909" spans="1:42" ht="15.75" thickBot="1">
      <c r="A909" s="2425"/>
      <c r="B909" s="1695"/>
      <c r="C909" s="1696"/>
      <c r="D909" s="1696"/>
      <c r="E909" s="1695"/>
      <c r="F909" s="1695"/>
      <c r="G909" s="1745"/>
      <c r="H909" s="1745"/>
      <c r="I909" s="1745"/>
      <c r="J909" s="1745"/>
      <c r="K909" s="1695"/>
      <c r="L909" s="1805"/>
      <c r="M909" s="1699"/>
      <c r="N909" s="1695"/>
      <c r="O909" s="1695"/>
      <c r="P909" s="1745"/>
      <c r="Q909" s="1745"/>
      <c r="R909" s="1745"/>
      <c r="S909" s="1745"/>
      <c r="T909" s="1805"/>
      <c r="U909" s="1733" t="s">
        <v>1749</v>
      </c>
      <c r="V909" s="2014">
        <v>0.7285966219572777</v>
      </c>
      <c r="W909" s="2015">
        <v>80.52000000000001</v>
      </c>
      <c r="X909" s="1749">
        <v>58.666599999999995</v>
      </c>
      <c r="Y909" s="1735">
        <v>1.8</v>
      </c>
      <c r="Z909" s="1749">
        <v>2.1</v>
      </c>
      <c r="AA909" s="2016">
        <v>4.6749999999999998</v>
      </c>
      <c r="AB909" s="1695"/>
      <c r="AC909" s="1695"/>
      <c r="AD909" s="1695"/>
      <c r="AE909" s="1695"/>
      <c r="AF909" s="1695"/>
      <c r="AG909" s="1695"/>
      <c r="AH909" s="1699"/>
      <c r="AI909" s="1695"/>
      <c r="AJ909" s="1695"/>
      <c r="AK909" s="1695"/>
      <c r="AL909" s="1695"/>
      <c r="AM909" s="1695"/>
      <c r="AN909" s="1695"/>
      <c r="AO909" s="1699"/>
      <c r="AP909" s="1729"/>
    </row>
    <row r="910" spans="1:42" ht="19.5" thickBot="1">
      <c r="A910" s="1746"/>
      <c r="B910" s="1715"/>
      <c r="C910" s="1716"/>
      <c r="D910" s="1716"/>
      <c r="E910" s="1715"/>
      <c r="F910" s="1715"/>
      <c r="G910" s="1717"/>
      <c r="H910" s="1717"/>
      <c r="I910" s="1717"/>
      <c r="J910" s="1717"/>
      <c r="K910" s="1715"/>
      <c r="L910" s="1717"/>
      <c r="M910" s="1718"/>
      <c r="N910" s="1715"/>
      <c r="O910" s="1715"/>
      <c r="P910" s="1717"/>
      <c r="Q910" s="1717"/>
      <c r="R910" s="1717"/>
      <c r="S910" s="1717"/>
      <c r="T910" s="1717"/>
      <c r="U910" s="1718"/>
      <c r="V910" s="1718"/>
      <c r="W910" s="1715"/>
      <c r="X910" s="1715"/>
      <c r="Y910" s="1715"/>
      <c r="Z910" s="1715"/>
      <c r="AA910" s="1715"/>
      <c r="AB910" s="1718"/>
      <c r="AC910" s="1715"/>
      <c r="AD910" s="1715"/>
      <c r="AE910" s="1715"/>
      <c r="AF910" s="1715"/>
      <c r="AG910" s="1715"/>
      <c r="AH910" s="1718"/>
      <c r="AI910" s="1715"/>
      <c r="AJ910" s="1715"/>
      <c r="AK910" s="1715"/>
      <c r="AL910" s="1715"/>
      <c r="AM910" s="1715"/>
      <c r="AN910" s="1715"/>
      <c r="AO910" s="1718"/>
      <c r="AP910" s="1719"/>
    </row>
  </sheetData>
  <sheetProtection formatCells="0" formatColumns="0" formatRows="0" insertColumns="0" insertRows="0" insertHyperlinks="0" deleteColumns="0" deleteRows="0" sort="0" autoFilter="0" pivotTables="0"/>
  <mergeCells count="128">
    <mergeCell ref="A574:A588"/>
    <mergeCell ref="A590:A600"/>
    <mergeCell ref="A602:A614"/>
    <mergeCell ref="A521:A530"/>
    <mergeCell ref="A314:A333"/>
    <mergeCell ref="A335:A344"/>
    <mergeCell ref="A368:A382"/>
    <mergeCell ref="A384:A393"/>
    <mergeCell ref="A558:A572"/>
    <mergeCell ref="A395:A412"/>
    <mergeCell ref="K731:K734"/>
    <mergeCell ref="K742:K745"/>
    <mergeCell ref="K760:K763"/>
    <mergeCell ref="K778:K781"/>
    <mergeCell ref="K823:K827"/>
    <mergeCell ref="K842:K843"/>
    <mergeCell ref="K853:K854"/>
    <mergeCell ref="K669:K672"/>
    <mergeCell ref="K680:K683"/>
    <mergeCell ref="K691:K694"/>
    <mergeCell ref="K702:K705"/>
    <mergeCell ref="K720:K723"/>
    <mergeCell ref="L887:L888"/>
    <mergeCell ref="L889:L890"/>
    <mergeCell ref="G842:G843"/>
    <mergeCell ref="L842:L843"/>
    <mergeCell ref="A853:A872"/>
    <mergeCell ref="L853:L854"/>
    <mergeCell ref="L885:L886"/>
    <mergeCell ref="L778:L781"/>
    <mergeCell ref="L760:L763"/>
    <mergeCell ref="A842:A851"/>
    <mergeCell ref="A874:A883"/>
    <mergeCell ref="A885:A909"/>
    <mergeCell ref="K885:K891"/>
    <mergeCell ref="A798:A821"/>
    <mergeCell ref="A823:A840"/>
    <mergeCell ref="A760:A776"/>
    <mergeCell ref="A778:A796"/>
    <mergeCell ref="L48:L50"/>
    <mergeCell ref="H156:H157"/>
    <mergeCell ref="H169:H170"/>
    <mergeCell ref="L742:L745"/>
    <mergeCell ref="A2:A3"/>
    <mergeCell ref="B1:L1"/>
    <mergeCell ref="M1:R1"/>
    <mergeCell ref="M2:R2"/>
    <mergeCell ref="U1:AP1"/>
    <mergeCell ref="A169:A188"/>
    <mergeCell ref="A5:A14"/>
    <mergeCell ref="A16:A25"/>
    <mergeCell ref="A28:A44"/>
    <mergeCell ref="A68:A81"/>
    <mergeCell ref="A83:A92"/>
    <mergeCell ref="A94:A103"/>
    <mergeCell ref="A105:A129"/>
    <mergeCell ref="A131:A143"/>
    <mergeCell ref="A145:A154"/>
    <mergeCell ref="A156:A166"/>
    <mergeCell ref="D2:L2"/>
    <mergeCell ref="AH2:AN2"/>
    <mergeCell ref="AO2:AP2"/>
    <mergeCell ref="A431:A446"/>
    <mergeCell ref="K651:K652"/>
    <mergeCell ref="A532:A556"/>
    <mergeCell ref="G357:G358"/>
    <mergeCell ref="K274:K276"/>
    <mergeCell ref="V2:AG2"/>
    <mergeCell ref="L261:L262"/>
    <mergeCell ref="G281:G289"/>
    <mergeCell ref="N281:N284"/>
    <mergeCell ref="P281:P284"/>
    <mergeCell ref="N169:N170"/>
    <mergeCell ref="G190:G195"/>
    <mergeCell ref="G212:G220"/>
    <mergeCell ref="G247:G249"/>
    <mergeCell ref="L5:L6"/>
    <mergeCell ref="T5:T6"/>
    <mergeCell ref="K5:K6"/>
    <mergeCell ref="H5:H6"/>
    <mergeCell ref="H28:H29"/>
    <mergeCell ref="H48:H49"/>
    <mergeCell ref="K83:K84"/>
    <mergeCell ref="K105:K107"/>
    <mergeCell ref="L156:L158"/>
    <mergeCell ref="L169:L171"/>
    <mergeCell ref="L28:L30"/>
    <mergeCell ref="A48:A66"/>
    <mergeCell ref="A212:A245"/>
    <mergeCell ref="A742:A758"/>
    <mergeCell ref="A629:A638"/>
    <mergeCell ref="A640:A649"/>
    <mergeCell ref="A651:A667"/>
    <mergeCell ref="A669:A678"/>
    <mergeCell ref="A680:A689"/>
    <mergeCell ref="A691:A700"/>
    <mergeCell ref="A702:A718"/>
    <mergeCell ref="A414:A423"/>
    <mergeCell ref="A505:A519"/>
    <mergeCell ref="A731:A740"/>
    <mergeCell ref="A616:A626"/>
    <mergeCell ref="A448:A457"/>
    <mergeCell ref="A459:A468"/>
    <mergeCell ref="A470:A488"/>
    <mergeCell ref="A490:A503"/>
    <mergeCell ref="A720:A729"/>
    <mergeCell ref="A346:A353"/>
    <mergeCell ref="A190:A210"/>
    <mergeCell ref="A247:A256"/>
    <mergeCell ref="A261:A272"/>
    <mergeCell ref="A281:A301"/>
    <mergeCell ref="K395:K401"/>
    <mergeCell ref="G303:G306"/>
    <mergeCell ref="K414:K423"/>
    <mergeCell ref="A357:A366"/>
    <mergeCell ref="K357:K358"/>
    <mergeCell ref="K303:K306"/>
    <mergeCell ref="K156:K157"/>
    <mergeCell ref="K169:K170"/>
    <mergeCell ref="K190:K195"/>
    <mergeCell ref="K212:K220"/>
    <mergeCell ref="K247:K249"/>
    <mergeCell ref="K261:K262"/>
    <mergeCell ref="K384:K387"/>
    <mergeCell ref="K368:K369"/>
    <mergeCell ref="K281:K289"/>
    <mergeCell ref="A303:A312"/>
    <mergeCell ref="A274:A279"/>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DV872"/>
  <sheetViews>
    <sheetView zoomScale="85" zoomScaleNormal="85" zoomScaleSheetLayoutView="85" workbookViewId="0">
      <pane ySplit="3" topLeftCell="A165" activePane="bottomLeft" state="frozen"/>
      <selection pane="bottomLeft" activeCell="O166" sqref="O166"/>
    </sheetView>
  </sheetViews>
  <sheetFormatPr defaultRowHeight="15"/>
  <cols>
    <col min="1" max="1" width="23.28515625" style="697" customWidth="1"/>
    <col min="2" max="2" width="18.7109375" style="1363" customWidth="1"/>
    <col min="3" max="3" width="10.42578125" bestFit="1" customWidth="1"/>
    <col min="4" max="4" width="62.28515625" customWidth="1"/>
    <col min="5" max="5" width="13.85546875" style="1299" customWidth="1"/>
    <col min="6" max="6" width="9.28515625" style="1299" bestFit="1" customWidth="1"/>
    <col min="7" max="7" width="8" style="1344" customWidth="1"/>
    <col min="8" max="8" width="12.140625" style="1408" bestFit="1" customWidth="1"/>
    <col min="9" max="9" width="7.140625" style="1442" bestFit="1" customWidth="1"/>
    <col min="10" max="10" width="12.28515625" style="1409" bestFit="1" customWidth="1"/>
    <col min="11" max="11" width="11.7109375" style="1409" bestFit="1" customWidth="1"/>
    <col min="12" max="12" width="12.28515625" style="1537" bestFit="1" customWidth="1"/>
    <col min="13" max="13" width="12" style="1409" customWidth="1"/>
    <col min="14" max="14" width="13.5703125" style="1410" customWidth="1"/>
    <col min="15" max="15" width="14.28515625" style="1408" customWidth="1"/>
    <col min="16" max="16" width="11.28515625" style="1409" hidden="1" customWidth="1"/>
    <col min="17" max="17" width="10" style="1409" customWidth="1"/>
    <col min="18" max="18" width="10.85546875" style="1409" customWidth="1"/>
    <col min="19" max="19" width="14.5703125" style="1409" customWidth="1"/>
    <col min="20" max="20" width="9.42578125" style="1409" customWidth="1"/>
    <col min="21" max="21" width="13" style="1409" customWidth="1"/>
    <col min="22" max="22" width="16" style="1683" customWidth="1"/>
    <col min="23" max="126" width="9.140625" style="1345"/>
  </cols>
  <sheetData>
    <row r="1" spans="1:126" ht="24" thickBot="1">
      <c r="A1" s="1468"/>
      <c r="B1" s="2333" t="s">
        <v>2682</v>
      </c>
      <c r="C1" s="2334"/>
      <c r="D1" s="2334"/>
      <c r="E1" s="2334"/>
      <c r="F1" s="2334"/>
      <c r="G1" s="2347"/>
      <c r="H1" s="2333" t="s">
        <v>2674</v>
      </c>
      <c r="I1" s="2334"/>
      <c r="J1" s="2334"/>
      <c r="K1" s="2334"/>
      <c r="L1" s="2334"/>
      <c r="M1" s="2334"/>
      <c r="N1" s="2347"/>
      <c r="O1" s="2333" t="s">
        <v>2205</v>
      </c>
      <c r="P1" s="2491"/>
      <c r="Q1" s="2491"/>
      <c r="R1" s="2491"/>
      <c r="S1" s="2491"/>
      <c r="T1" s="2491"/>
      <c r="U1" s="2491"/>
      <c r="V1" s="2492"/>
    </row>
    <row r="2" spans="1:126" s="1321" customFormat="1">
      <c r="A2" s="2319" t="s">
        <v>0</v>
      </c>
      <c r="B2" s="2510" t="s">
        <v>55</v>
      </c>
      <c r="C2" s="2508" t="s">
        <v>43</v>
      </c>
      <c r="D2" s="2506" t="s">
        <v>44</v>
      </c>
      <c r="E2" s="2504" t="s">
        <v>2703</v>
      </c>
      <c r="F2" s="2506" t="s">
        <v>2106</v>
      </c>
      <c r="G2" s="2513" t="s">
        <v>2201</v>
      </c>
      <c r="H2" s="2519" t="s">
        <v>2678</v>
      </c>
      <c r="I2" s="2521" t="s">
        <v>2115</v>
      </c>
      <c r="J2" s="2496" t="s">
        <v>2114</v>
      </c>
      <c r="K2" s="2515" t="s">
        <v>1794</v>
      </c>
      <c r="L2" s="2517" t="s">
        <v>2675</v>
      </c>
      <c r="M2" s="2496" t="s">
        <v>2378</v>
      </c>
      <c r="N2" s="2498" t="s">
        <v>2116</v>
      </c>
      <c r="O2" s="2519" t="s">
        <v>2679</v>
      </c>
      <c r="P2" s="2496" t="s">
        <v>1797</v>
      </c>
      <c r="Q2" s="2496" t="s">
        <v>2680</v>
      </c>
      <c r="R2" s="2496" t="s">
        <v>2676</v>
      </c>
      <c r="S2" s="2496" t="s">
        <v>2677</v>
      </c>
      <c r="T2" s="2496" t="s">
        <v>2202</v>
      </c>
      <c r="U2" s="2496" t="s">
        <v>2203</v>
      </c>
      <c r="V2" s="2498" t="s">
        <v>2204</v>
      </c>
      <c r="W2" s="1345"/>
      <c r="X2" s="1345"/>
      <c r="Y2" s="1345"/>
      <c r="Z2" s="1345"/>
      <c r="AA2" s="1345"/>
      <c r="AB2" s="1345"/>
      <c r="AC2" s="1345"/>
      <c r="AD2" s="1345"/>
      <c r="AE2" s="1345"/>
      <c r="AF2" s="1345"/>
      <c r="AG2" s="1345"/>
      <c r="AH2" s="1345"/>
      <c r="AI2" s="1345"/>
      <c r="AJ2" s="1345"/>
      <c r="AK2" s="1345"/>
      <c r="AL2" s="1345"/>
      <c r="AM2" s="1345"/>
      <c r="AN2" s="1345"/>
      <c r="AO2" s="1345"/>
      <c r="AP2" s="1345"/>
      <c r="AQ2" s="1345"/>
      <c r="AR2" s="1345"/>
      <c r="AS2" s="1345"/>
      <c r="AT2" s="1345"/>
      <c r="AU2" s="1345"/>
      <c r="AV2" s="1345"/>
      <c r="AW2" s="1345"/>
      <c r="AX2" s="1345"/>
      <c r="AY2" s="1345"/>
      <c r="AZ2" s="1345"/>
      <c r="BA2" s="1345"/>
      <c r="BB2" s="1345"/>
      <c r="BC2" s="1345"/>
      <c r="BD2" s="1345"/>
      <c r="BE2" s="1345"/>
      <c r="BF2" s="1345"/>
      <c r="BG2" s="1345"/>
      <c r="BH2" s="1345"/>
      <c r="BI2" s="1345"/>
      <c r="BJ2" s="1345"/>
      <c r="BK2" s="1345"/>
      <c r="BL2" s="1345"/>
      <c r="BM2" s="1345"/>
      <c r="BN2" s="1345"/>
      <c r="BO2" s="1345"/>
      <c r="BP2" s="1345"/>
      <c r="BQ2" s="1345"/>
      <c r="BR2" s="1345"/>
      <c r="BS2" s="1345"/>
      <c r="BT2" s="1345"/>
      <c r="BU2" s="1345"/>
      <c r="BV2" s="1345"/>
      <c r="BW2" s="1345"/>
      <c r="BX2" s="1345"/>
      <c r="BY2" s="1345"/>
      <c r="BZ2" s="1345"/>
      <c r="CA2" s="1345"/>
      <c r="CB2" s="1345"/>
      <c r="CC2" s="1345"/>
      <c r="CD2" s="1345"/>
      <c r="CE2" s="1345"/>
      <c r="CF2" s="1345"/>
      <c r="CG2" s="1345"/>
      <c r="CH2" s="1345"/>
      <c r="CI2" s="1345"/>
      <c r="CJ2" s="1345"/>
      <c r="CK2" s="1345"/>
      <c r="CL2" s="1345"/>
      <c r="CM2" s="1345"/>
      <c r="CN2" s="1345"/>
      <c r="CO2" s="1345"/>
      <c r="CP2" s="1345"/>
      <c r="CQ2" s="1345"/>
      <c r="CR2" s="1345"/>
      <c r="CS2" s="1345"/>
      <c r="CT2" s="1345"/>
      <c r="CU2" s="1345"/>
      <c r="CV2" s="1345"/>
      <c r="CW2" s="1345"/>
      <c r="CX2" s="1345"/>
      <c r="CY2" s="1345"/>
      <c r="CZ2" s="1345"/>
      <c r="DA2" s="1345"/>
      <c r="DB2" s="1345"/>
      <c r="DC2" s="1345"/>
      <c r="DD2" s="1345"/>
      <c r="DE2" s="1345"/>
      <c r="DF2" s="1345"/>
      <c r="DG2" s="1345"/>
      <c r="DH2" s="1345"/>
      <c r="DI2" s="1345"/>
      <c r="DJ2" s="1345"/>
      <c r="DK2" s="1345"/>
      <c r="DL2" s="1345"/>
      <c r="DM2" s="1345"/>
      <c r="DN2" s="1345"/>
      <c r="DO2" s="1345"/>
      <c r="DP2" s="1345"/>
      <c r="DQ2" s="1345"/>
      <c r="DR2" s="1345"/>
      <c r="DS2" s="1345"/>
      <c r="DT2" s="1345"/>
      <c r="DU2" s="1345"/>
      <c r="DV2" s="1345"/>
    </row>
    <row r="3" spans="1:126" s="1322" customFormat="1" ht="42.75" customHeight="1" thickBot="1">
      <c r="A3" s="2500"/>
      <c r="B3" s="2511"/>
      <c r="C3" s="2509"/>
      <c r="D3" s="2507"/>
      <c r="E3" s="2505"/>
      <c r="F3" s="2507"/>
      <c r="G3" s="2514"/>
      <c r="H3" s="2520"/>
      <c r="I3" s="2522"/>
      <c r="J3" s="2497"/>
      <c r="K3" s="2516"/>
      <c r="L3" s="2518"/>
      <c r="M3" s="2497"/>
      <c r="N3" s="2499"/>
      <c r="O3" s="2520"/>
      <c r="P3" s="2497"/>
      <c r="Q3" s="2497"/>
      <c r="R3" s="2497"/>
      <c r="S3" s="2497"/>
      <c r="T3" s="2497"/>
      <c r="U3" s="2497"/>
      <c r="V3" s="2499"/>
      <c r="W3" s="1345"/>
      <c r="X3" s="1345"/>
      <c r="Y3" s="1345"/>
      <c r="Z3" s="1345"/>
      <c r="AA3" s="1345"/>
      <c r="AB3" s="1345"/>
      <c r="AC3" s="1345"/>
      <c r="AD3" s="1345"/>
      <c r="AE3" s="1345"/>
      <c r="AF3" s="1345"/>
      <c r="AG3" s="1345"/>
      <c r="AH3" s="1345"/>
      <c r="AI3" s="1345"/>
      <c r="AJ3" s="1345"/>
      <c r="AK3" s="1345"/>
      <c r="AL3" s="1345"/>
      <c r="AM3" s="1345"/>
      <c r="AN3" s="1345"/>
      <c r="AO3" s="1345"/>
      <c r="AP3" s="1345"/>
      <c r="AQ3" s="1345"/>
      <c r="AR3" s="1345"/>
      <c r="AS3" s="1345"/>
      <c r="AT3" s="1345"/>
      <c r="AU3" s="1345"/>
      <c r="AV3" s="1345"/>
      <c r="AW3" s="1345"/>
      <c r="AX3" s="1345"/>
      <c r="AY3" s="1345"/>
      <c r="AZ3" s="1345"/>
      <c r="BA3" s="1345"/>
      <c r="BB3" s="1345"/>
      <c r="BC3" s="1345"/>
      <c r="BD3" s="1345"/>
      <c r="BE3" s="1345"/>
      <c r="BF3" s="1345"/>
      <c r="BG3" s="1345"/>
      <c r="BH3" s="1345"/>
      <c r="BI3" s="1345"/>
      <c r="BJ3" s="1345"/>
      <c r="BK3" s="1345"/>
      <c r="BL3" s="1345"/>
      <c r="BM3" s="1345"/>
      <c r="BN3" s="1345"/>
      <c r="BO3" s="1345"/>
      <c r="BP3" s="1345"/>
      <c r="BQ3" s="1345"/>
      <c r="BR3" s="1345"/>
      <c r="BS3" s="1345"/>
      <c r="BT3" s="1345"/>
      <c r="BU3" s="1345"/>
      <c r="BV3" s="1345"/>
      <c r="BW3" s="1345"/>
      <c r="BX3" s="1345"/>
      <c r="BY3" s="1345"/>
      <c r="BZ3" s="1345"/>
      <c r="CA3" s="1345"/>
      <c r="CB3" s="1345"/>
      <c r="CC3" s="1345"/>
      <c r="CD3" s="1345"/>
      <c r="CE3" s="1345"/>
      <c r="CF3" s="1345"/>
      <c r="CG3" s="1345"/>
      <c r="CH3" s="1345"/>
      <c r="CI3" s="1345"/>
      <c r="CJ3" s="1345"/>
      <c r="CK3" s="1345"/>
      <c r="CL3" s="1345"/>
      <c r="CM3" s="1345"/>
      <c r="CN3" s="1345"/>
      <c r="CO3" s="1345"/>
      <c r="CP3" s="1345"/>
      <c r="CQ3" s="1345"/>
      <c r="CR3" s="1345"/>
      <c r="CS3" s="1345"/>
      <c r="CT3" s="1345"/>
      <c r="CU3" s="1345"/>
      <c r="CV3" s="1345"/>
      <c r="CW3" s="1345"/>
      <c r="CX3" s="1345"/>
      <c r="CY3" s="1345"/>
      <c r="CZ3" s="1345"/>
      <c r="DA3" s="1345"/>
      <c r="DB3" s="1345"/>
      <c r="DC3" s="1345"/>
      <c r="DD3" s="1345"/>
      <c r="DE3" s="1345"/>
      <c r="DF3" s="1345"/>
      <c r="DG3" s="1345"/>
      <c r="DH3" s="1345"/>
      <c r="DI3" s="1345"/>
      <c r="DJ3" s="1345"/>
      <c r="DK3" s="1345"/>
      <c r="DL3" s="1345"/>
      <c r="DM3" s="1345"/>
      <c r="DN3" s="1345"/>
      <c r="DO3" s="1345"/>
      <c r="DP3" s="1345"/>
      <c r="DQ3" s="1345"/>
      <c r="DR3" s="1345"/>
      <c r="DS3" s="1345"/>
      <c r="DT3" s="1345"/>
      <c r="DU3" s="1345"/>
      <c r="DV3" s="1345"/>
    </row>
    <row r="4" spans="1:126" s="1311" customFormat="1" ht="24" thickBot="1">
      <c r="A4" s="1320" t="s">
        <v>1106</v>
      </c>
      <c r="B4" s="1652"/>
      <c r="C4" s="691"/>
      <c r="D4" s="1197"/>
      <c r="E4" s="701"/>
      <c r="F4" s="701"/>
      <c r="G4" s="701"/>
      <c r="H4" s="1400"/>
      <c r="I4" s="1392"/>
      <c r="J4" s="1393"/>
      <c r="K4" s="1393"/>
      <c r="L4" s="1309"/>
      <c r="M4" s="1391"/>
      <c r="N4" s="1452"/>
      <c r="O4" s="1400"/>
      <c r="P4" s="1392"/>
      <c r="Q4" s="1393"/>
      <c r="R4" s="1391"/>
      <c r="S4" s="1391"/>
      <c r="T4" s="1391"/>
      <c r="U4" s="1391"/>
      <c r="V4" s="1675"/>
      <c r="W4" s="1357"/>
      <c r="X4" s="557"/>
      <c r="Y4" s="557"/>
      <c r="Z4" s="557"/>
      <c r="AA4" s="557"/>
      <c r="AB4" s="557"/>
      <c r="AC4" s="1358"/>
      <c r="AD4" s="1358"/>
      <c r="AE4" s="1358"/>
      <c r="AF4" s="1358"/>
      <c r="AG4" s="1358"/>
      <c r="AH4" s="1358"/>
      <c r="AI4" s="1358"/>
      <c r="AJ4" s="1358"/>
      <c r="AK4" s="1358"/>
      <c r="AL4" s="1358"/>
      <c r="AM4" s="1358"/>
      <c r="AN4" s="1358"/>
      <c r="AO4" s="1358"/>
      <c r="AP4" s="1358"/>
      <c r="AQ4" s="1358"/>
      <c r="AR4" s="1358"/>
      <c r="AS4" s="1358"/>
      <c r="AT4" s="1358"/>
      <c r="AU4" s="1358"/>
      <c r="AV4" s="1358"/>
      <c r="AW4" s="1358"/>
      <c r="AX4" s="1358"/>
      <c r="AY4" s="1358"/>
      <c r="AZ4" s="1358"/>
      <c r="BA4" s="1358"/>
      <c r="BB4" s="1358"/>
      <c r="BC4" s="557"/>
      <c r="BD4" s="557"/>
      <c r="BE4" s="557"/>
      <c r="BF4" s="557"/>
      <c r="BG4" s="557"/>
      <c r="BH4" s="557"/>
      <c r="BI4" s="557"/>
      <c r="BJ4" s="557"/>
      <c r="BK4" s="557"/>
      <c r="BL4" s="557"/>
      <c r="BM4" s="557"/>
      <c r="BN4" s="557"/>
      <c r="BO4" s="557"/>
      <c r="BP4" s="557"/>
      <c r="BQ4" s="557"/>
      <c r="BR4" s="557"/>
      <c r="BS4" s="557"/>
      <c r="BT4" s="557"/>
      <c r="BU4" s="557"/>
      <c r="BV4" s="557"/>
      <c r="BW4" s="557"/>
      <c r="BX4" s="557"/>
      <c r="BY4" s="557"/>
      <c r="BZ4" s="557"/>
      <c r="CA4" s="557"/>
      <c r="CB4" s="557"/>
      <c r="CC4" s="557"/>
      <c r="CD4" s="557"/>
      <c r="CE4" s="557"/>
      <c r="CF4" s="557"/>
      <c r="CG4" s="557"/>
      <c r="CH4" s="557"/>
      <c r="CI4" s="557"/>
      <c r="CJ4" s="557"/>
      <c r="CK4" s="557"/>
      <c r="CL4" s="557"/>
      <c r="CM4" s="557"/>
      <c r="CN4" s="557"/>
      <c r="CO4" s="557"/>
      <c r="CP4" s="557"/>
      <c r="CQ4" s="557"/>
      <c r="CR4" s="557"/>
      <c r="CS4" s="557"/>
      <c r="CT4" s="557"/>
      <c r="CU4" s="557"/>
      <c r="CV4" s="557"/>
      <c r="CW4" s="557"/>
      <c r="CX4" s="557"/>
      <c r="CY4" s="557"/>
      <c r="CZ4" s="557"/>
      <c r="DA4" s="557"/>
      <c r="DB4" s="557"/>
      <c r="DC4" s="557"/>
      <c r="DD4" s="557"/>
      <c r="DE4" s="557"/>
      <c r="DF4" s="557"/>
      <c r="DG4" s="557"/>
      <c r="DH4" s="557"/>
      <c r="DI4" s="557"/>
      <c r="DJ4" s="557"/>
      <c r="DK4" s="557"/>
      <c r="DL4" s="557"/>
      <c r="DM4" s="557"/>
      <c r="DN4" s="557"/>
      <c r="DO4" s="557"/>
      <c r="DP4" s="557"/>
      <c r="DQ4" s="557"/>
      <c r="DR4" s="557"/>
      <c r="DS4" s="557"/>
      <c r="DT4" s="557"/>
      <c r="DU4" s="557"/>
      <c r="DV4" s="557"/>
    </row>
    <row r="5" spans="1:126" s="1367" customFormat="1">
      <c r="A5" s="2493" t="s">
        <v>1141</v>
      </c>
      <c r="B5" s="1653" t="s">
        <v>2561</v>
      </c>
      <c r="C5" s="1642" t="s">
        <v>47</v>
      </c>
      <c r="D5" s="1375" t="s">
        <v>2113</v>
      </c>
      <c r="E5" s="1364" t="s">
        <v>2102</v>
      </c>
      <c r="F5" s="1364" t="s">
        <v>2107</v>
      </c>
      <c r="G5" s="1185" t="s">
        <v>2201</v>
      </c>
      <c r="H5" s="1361">
        <f>(573*'Equipment Results Matrix'!$R$24)+(20.75*'Equipment Results Matrix'!$R$7)+'Equipment Results Matrix'!$R$8+'Equipment Results Matrix'!$R$12+'Equipment Results Matrix'!$R$16+'Equipment Results Matrix'!$R$23+'Equipment Results Matrix'!$T$12</f>
        <v>993.50417991762902</v>
      </c>
      <c r="I5" s="1441" t="s">
        <v>15</v>
      </c>
      <c r="J5" s="1401" t="s">
        <v>15</v>
      </c>
      <c r="K5" s="1401" t="s">
        <v>15</v>
      </c>
      <c r="L5" s="1526" t="s">
        <v>15</v>
      </c>
      <c r="M5" s="1372">
        <f>H5</f>
        <v>993.50417991762902</v>
      </c>
      <c r="N5" s="1455" t="s">
        <v>40</v>
      </c>
      <c r="O5" s="1402"/>
      <c r="P5" s="1403"/>
      <c r="Q5" s="1403"/>
      <c r="R5" s="1403"/>
      <c r="S5" s="1403"/>
      <c r="T5" s="1403"/>
      <c r="U5" s="1403"/>
      <c r="V5" s="1676"/>
      <c r="W5" s="1366"/>
      <c r="X5" s="1366"/>
      <c r="Y5" s="1366"/>
      <c r="Z5" s="1366"/>
      <c r="AA5" s="1366"/>
      <c r="AB5" s="1366"/>
      <c r="AC5" s="1366"/>
      <c r="AD5" s="1366"/>
      <c r="AE5" s="1366"/>
      <c r="AF5" s="1366"/>
      <c r="AG5" s="1366"/>
      <c r="AH5" s="1366"/>
      <c r="AI5" s="1366"/>
      <c r="AJ5" s="1366"/>
      <c r="AK5" s="1366"/>
      <c r="AL5" s="1366"/>
      <c r="AM5" s="1366"/>
      <c r="AN5" s="1366"/>
      <c r="AO5" s="1366"/>
      <c r="AP5" s="1366"/>
      <c r="AQ5" s="1366"/>
      <c r="AR5" s="1366"/>
      <c r="AS5" s="1366"/>
      <c r="AT5" s="1366"/>
      <c r="AU5" s="1366"/>
      <c r="AV5" s="1366"/>
      <c r="AW5" s="1366"/>
      <c r="AX5" s="1366"/>
      <c r="AY5" s="1366"/>
      <c r="AZ5" s="1366"/>
      <c r="BA5" s="1366"/>
      <c r="BB5" s="1366"/>
      <c r="BC5" s="1366"/>
      <c r="BD5" s="1366"/>
      <c r="BE5" s="1366"/>
      <c r="BF5" s="1366"/>
      <c r="BG5" s="1366"/>
      <c r="BH5" s="1366"/>
      <c r="BI5" s="1366"/>
      <c r="BJ5" s="1366"/>
      <c r="BK5" s="1366"/>
      <c r="BL5" s="1366"/>
      <c r="BM5" s="1366"/>
      <c r="BN5" s="1366"/>
      <c r="BO5" s="1366"/>
      <c r="BP5" s="1366"/>
      <c r="BQ5" s="1366"/>
      <c r="BR5" s="1366"/>
      <c r="BS5" s="1366"/>
      <c r="BT5" s="1366"/>
      <c r="BU5" s="1366"/>
      <c r="BV5" s="1366"/>
      <c r="BW5" s="1366"/>
      <c r="BX5" s="1366"/>
      <c r="BY5" s="1366"/>
      <c r="BZ5" s="1366"/>
      <c r="CA5" s="1366"/>
      <c r="CB5" s="1366"/>
      <c r="CC5" s="1366"/>
      <c r="CD5" s="1366"/>
      <c r="CE5" s="1366"/>
      <c r="CF5" s="1366"/>
      <c r="CG5" s="1366"/>
      <c r="CH5" s="1366"/>
      <c r="CI5" s="1366"/>
      <c r="CJ5" s="1366"/>
      <c r="CK5" s="1366"/>
      <c r="CL5" s="1366"/>
      <c r="CM5" s="1366"/>
      <c r="CN5" s="1366"/>
      <c r="CO5" s="1366"/>
      <c r="CP5" s="1366"/>
      <c r="CQ5" s="1366"/>
      <c r="CR5" s="1366"/>
      <c r="CS5" s="1366"/>
      <c r="CT5" s="1366"/>
      <c r="CU5" s="1366"/>
      <c r="CV5" s="1366"/>
      <c r="CW5" s="1366"/>
      <c r="CX5" s="1366"/>
      <c r="CY5" s="1366"/>
      <c r="CZ5" s="1366"/>
      <c r="DA5" s="1366"/>
      <c r="DB5" s="1366"/>
      <c r="DC5" s="1366"/>
      <c r="DD5" s="1366"/>
      <c r="DE5" s="1366"/>
      <c r="DF5" s="1366"/>
      <c r="DG5" s="1366"/>
      <c r="DH5" s="1366"/>
      <c r="DI5" s="1366"/>
      <c r="DJ5" s="1366"/>
      <c r="DK5" s="1366"/>
      <c r="DL5" s="1366"/>
      <c r="DM5" s="1366"/>
      <c r="DN5" s="1366"/>
      <c r="DO5" s="1366"/>
      <c r="DP5" s="1366"/>
      <c r="DQ5" s="1366"/>
      <c r="DR5" s="1366"/>
      <c r="DS5" s="1366"/>
      <c r="DT5" s="1366"/>
      <c r="DU5" s="1366"/>
      <c r="DV5" s="1366"/>
    </row>
    <row r="6" spans="1:126" s="1367" customFormat="1" ht="30">
      <c r="A6" s="2494"/>
      <c r="B6" s="1653" t="s">
        <v>2561</v>
      </c>
      <c r="C6" s="1642" t="s">
        <v>49</v>
      </c>
      <c r="D6" s="1375" t="s">
        <v>2103</v>
      </c>
      <c r="E6" s="1364" t="s">
        <v>2102</v>
      </c>
      <c r="F6" s="1364" t="s">
        <v>2107</v>
      </c>
      <c r="G6" s="1185" t="s">
        <v>2201</v>
      </c>
      <c r="H6" s="1361">
        <f>(487*'Equipment Results Matrix'!$R$24)+(20.75*'Equipment Results Matrix'!$R$7)+'Equipment Results Matrix'!$R$8+'Equipment Results Matrix'!$R$12+'Equipment Results Matrix'!$R$16+'Equipment Results Matrix'!$R$23+'Equipment Results Matrix'!$T$12+'Equipment Results Matrix'!$R$5</f>
        <v>1022.3701799176291</v>
      </c>
      <c r="I6" s="1441" t="s">
        <v>15</v>
      </c>
      <c r="J6" s="1401" t="s">
        <v>15</v>
      </c>
      <c r="K6" s="1401" t="s">
        <v>15</v>
      </c>
      <c r="L6" s="1526" t="s">
        <v>15</v>
      </c>
      <c r="M6" s="1372">
        <f>H6</f>
        <v>1022.3701799176291</v>
      </c>
      <c r="N6" s="1458">
        <f>M6-M5</f>
        <v>28.866000000000099</v>
      </c>
      <c r="O6" s="1404"/>
      <c r="P6" s="1405"/>
      <c r="Q6" s="1405"/>
      <c r="R6" s="1405"/>
      <c r="S6" s="1405"/>
      <c r="T6" s="1405"/>
      <c r="U6" s="1405"/>
      <c r="V6" s="1677"/>
      <c r="W6" s="1366"/>
      <c r="X6" s="1366"/>
      <c r="Y6" s="1366"/>
      <c r="Z6" s="1366"/>
      <c r="AA6" s="1366"/>
      <c r="AB6" s="1366"/>
      <c r="AC6" s="1366"/>
      <c r="AD6" s="1366"/>
      <c r="AE6" s="1366"/>
      <c r="AF6" s="1366"/>
      <c r="AG6" s="1366"/>
      <c r="AH6" s="1366"/>
      <c r="AI6" s="1366"/>
      <c r="AJ6" s="1366"/>
      <c r="AK6" s="1366"/>
      <c r="AL6" s="1366"/>
      <c r="AM6" s="1366"/>
      <c r="AN6" s="1366"/>
      <c r="AO6" s="1366"/>
      <c r="AP6" s="1366"/>
      <c r="AQ6" s="1366"/>
      <c r="AR6" s="1366"/>
      <c r="AS6" s="1366"/>
      <c r="AT6" s="1366"/>
      <c r="AU6" s="1366"/>
      <c r="AV6" s="1366"/>
      <c r="AW6" s="1366"/>
      <c r="AX6" s="1366"/>
      <c r="AY6" s="1366"/>
      <c r="AZ6" s="1366"/>
      <c r="BA6" s="1366"/>
      <c r="BB6" s="1366"/>
      <c r="BC6" s="1366"/>
      <c r="BD6" s="1366"/>
      <c r="BE6" s="1366"/>
      <c r="BF6" s="1366"/>
      <c r="BG6" s="1366"/>
      <c r="BH6" s="1366"/>
      <c r="BI6" s="1366"/>
      <c r="BJ6" s="1366"/>
      <c r="BK6" s="1366"/>
      <c r="BL6" s="1366"/>
      <c r="BM6" s="1366"/>
      <c r="BN6" s="1366"/>
      <c r="BO6" s="1366"/>
      <c r="BP6" s="1366"/>
      <c r="BQ6" s="1366"/>
      <c r="BR6" s="1366"/>
      <c r="BS6" s="1366"/>
      <c r="BT6" s="1366"/>
      <c r="BU6" s="1366"/>
      <c r="BV6" s="1366"/>
      <c r="BW6" s="1366"/>
      <c r="BX6" s="1366"/>
      <c r="BY6" s="1366"/>
      <c r="BZ6" s="1366"/>
      <c r="CA6" s="1366"/>
      <c r="CB6" s="1366"/>
      <c r="CC6" s="1366"/>
      <c r="CD6" s="1366"/>
      <c r="CE6" s="1366"/>
      <c r="CF6" s="1366"/>
      <c r="CG6" s="1366"/>
      <c r="CH6" s="1366"/>
      <c r="CI6" s="1366"/>
      <c r="CJ6" s="1366"/>
      <c r="CK6" s="1366"/>
      <c r="CL6" s="1366"/>
      <c r="CM6" s="1366"/>
      <c r="CN6" s="1366"/>
      <c r="CO6" s="1366"/>
      <c r="CP6" s="1366"/>
      <c r="CQ6" s="1366"/>
      <c r="CR6" s="1366"/>
      <c r="CS6" s="1366"/>
      <c r="CT6" s="1366"/>
      <c r="CU6" s="1366"/>
      <c r="CV6" s="1366"/>
      <c r="CW6" s="1366"/>
      <c r="CX6" s="1366"/>
      <c r="CY6" s="1366"/>
      <c r="CZ6" s="1366"/>
      <c r="DA6" s="1366"/>
      <c r="DB6" s="1366"/>
      <c r="DC6" s="1366"/>
      <c r="DD6" s="1366"/>
      <c r="DE6" s="1366"/>
      <c r="DF6" s="1366"/>
      <c r="DG6" s="1366"/>
      <c r="DH6" s="1366"/>
      <c r="DI6" s="1366"/>
      <c r="DJ6" s="1366"/>
      <c r="DK6" s="1366"/>
      <c r="DL6" s="1366"/>
      <c r="DM6" s="1366"/>
      <c r="DN6" s="1366"/>
      <c r="DO6" s="1366"/>
      <c r="DP6" s="1366"/>
      <c r="DQ6" s="1366"/>
      <c r="DR6" s="1366"/>
      <c r="DS6" s="1366"/>
      <c r="DT6" s="1366"/>
      <c r="DU6" s="1366"/>
      <c r="DV6" s="1366"/>
    </row>
    <row r="7" spans="1:126" s="1367" customFormat="1">
      <c r="A7" s="2494"/>
      <c r="B7" s="1653">
        <v>7</v>
      </c>
      <c r="C7" s="1642" t="s">
        <v>47</v>
      </c>
      <c r="D7" s="1375" t="s">
        <v>56</v>
      </c>
      <c r="E7" s="1364" t="s">
        <v>2102</v>
      </c>
      <c r="F7" s="1364" t="s">
        <v>2107</v>
      </c>
      <c r="G7" s="1185" t="s">
        <v>2201</v>
      </c>
      <c r="H7" s="1361">
        <f>(518*'Equipment Results Matrix'!$R$24)+(12.25*'Equipment Results Matrix'!$R$7)+'Equipment Results Matrix'!$R$8+'Equipment Results Matrix'!$R$12+'Equipment Results Matrix'!$R$16+'Equipment Results Matrix'!$R$23+'Equipment Results Matrix'!$T$12+'Equipment Results Matrix'!$R$6</f>
        <v>817.19417991762907</v>
      </c>
      <c r="I7" s="1441" t="s">
        <v>15</v>
      </c>
      <c r="J7" s="1401" t="s">
        <v>15</v>
      </c>
      <c r="K7" s="1401" t="s">
        <v>15</v>
      </c>
      <c r="L7" s="1526" t="s">
        <v>15</v>
      </c>
      <c r="M7" s="1372">
        <f t="shared" ref="M7:M22" si="0">H7</f>
        <v>817.19417991762907</v>
      </c>
      <c r="N7" s="1455" t="s">
        <v>40</v>
      </c>
      <c r="O7" s="1404"/>
      <c r="P7" s="1405"/>
      <c r="Q7" s="1405"/>
      <c r="R7" s="1405"/>
      <c r="S7" s="1405"/>
      <c r="T7" s="1405"/>
      <c r="U7" s="1405"/>
      <c r="V7" s="1677"/>
      <c r="W7" s="1366"/>
      <c r="X7" s="1366"/>
      <c r="Y7" s="1366"/>
      <c r="Z7" s="1366"/>
      <c r="AA7" s="1366"/>
      <c r="AB7" s="1366"/>
      <c r="AC7" s="1366"/>
      <c r="AD7" s="1366"/>
      <c r="AE7" s="1366"/>
      <c r="AF7" s="1366"/>
      <c r="AG7" s="1366"/>
      <c r="AH7" s="1366"/>
      <c r="AI7" s="1366"/>
      <c r="AJ7" s="1366"/>
      <c r="AK7" s="1366"/>
      <c r="AL7" s="1366"/>
      <c r="AM7" s="1366"/>
      <c r="AN7" s="1366"/>
      <c r="AO7" s="1366"/>
      <c r="AP7" s="1366"/>
      <c r="AQ7" s="1366"/>
      <c r="AR7" s="1366"/>
      <c r="AS7" s="1366"/>
      <c r="AT7" s="1366"/>
      <c r="AU7" s="1366"/>
      <c r="AV7" s="1366"/>
      <c r="AW7" s="1366"/>
      <c r="AX7" s="1366"/>
      <c r="AY7" s="1366"/>
      <c r="AZ7" s="1366"/>
      <c r="BA7" s="1366"/>
      <c r="BB7" s="1366"/>
      <c r="BC7" s="1366"/>
      <c r="BD7" s="1366"/>
      <c r="BE7" s="1366"/>
      <c r="BF7" s="1366"/>
      <c r="BG7" s="1366"/>
      <c r="BH7" s="1366"/>
      <c r="BI7" s="1366"/>
      <c r="BJ7" s="1366"/>
      <c r="BK7" s="1366"/>
      <c r="BL7" s="1366"/>
      <c r="BM7" s="1366"/>
      <c r="BN7" s="1366"/>
      <c r="BO7" s="1366"/>
      <c r="BP7" s="1366"/>
      <c r="BQ7" s="1366"/>
      <c r="BR7" s="1366"/>
      <c r="BS7" s="1366"/>
      <c r="BT7" s="1366"/>
      <c r="BU7" s="1366"/>
      <c r="BV7" s="1366"/>
      <c r="BW7" s="1366"/>
      <c r="BX7" s="1366"/>
      <c r="BY7" s="1366"/>
      <c r="BZ7" s="1366"/>
      <c r="CA7" s="1366"/>
      <c r="CB7" s="1366"/>
      <c r="CC7" s="1366"/>
      <c r="CD7" s="1366"/>
      <c r="CE7" s="1366"/>
      <c r="CF7" s="1366"/>
      <c r="CG7" s="1366"/>
      <c r="CH7" s="1366"/>
      <c r="CI7" s="1366"/>
      <c r="CJ7" s="1366"/>
      <c r="CK7" s="1366"/>
      <c r="CL7" s="1366"/>
      <c r="CM7" s="1366"/>
      <c r="CN7" s="1366"/>
      <c r="CO7" s="1366"/>
      <c r="CP7" s="1366"/>
      <c r="CQ7" s="1366"/>
      <c r="CR7" s="1366"/>
      <c r="CS7" s="1366"/>
      <c r="CT7" s="1366"/>
      <c r="CU7" s="1366"/>
      <c r="CV7" s="1366"/>
      <c r="CW7" s="1366"/>
      <c r="CX7" s="1366"/>
      <c r="CY7" s="1366"/>
      <c r="CZ7" s="1366"/>
      <c r="DA7" s="1366"/>
      <c r="DB7" s="1366"/>
      <c r="DC7" s="1366"/>
      <c r="DD7" s="1366"/>
      <c r="DE7" s="1366"/>
      <c r="DF7" s="1366"/>
      <c r="DG7" s="1366"/>
      <c r="DH7" s="1366"/>
      <c r="DI7" s="1366"/>
      <c r="DJ7" s="1366"/>
      <c r="DK7" s="1366"/>
      <c r="DL7" s="1366"/>
      <c r="DM7" s="1366"/>
      <c r="DN7" s="1366"/>
      <c r="DO7" s="1366"/>
      <c r="DP7" s="1366"/>
      <c r="DQ7" s="1366"/>
      <c r="DR7" s="1366"/>
      <c r="DS7" s="1366"/>
      <c r="DT7" s="1366"/>
      <c r="DU7" s="1366"/>
      <c r="DV7" s="1366"/>
    </row>
    <row r="8" spans="1:126" s="1367" customFormat="1" ht="30">
      <c r="A8" s="2494"/>
      <c r="B8" s="1653">
        <v>7</v>
      </c>
      <c r="C8" s="1642" t="s">
        <v>49</v>
      </c>
      <c r="D8" s="1375" t="s">
        <v>57</v>
      </c>
      <c r="E8" s="1364" t="s">
        <v>2102</v>
      </c>
      <c r="F8" s="1364" t="s">
        <v>2107</v>
      </c>
      <c r="G8" s="1185" t="s">
        <v>2201</v>
      </c>
      <c r="H8" s="1361">
        <f>(447*'Equipment Results Matrix'!$R$24)+(12.25*'Equipment Results Matrix'!$R$7)+'Equipment Results Matrix'!$R$8+'Equipment Results Matrix'!$R$12+'Equipment Results Matrix'!$R$16+'Equipment Results Matrix'!$R$23+'Equipment Results Matrix'!$T$12+'Equipment Results Matrix'!$R$5</f>
        <v>838.995179917629</v>
      </c>
      <c r="I8" s="1441" t="s">
        <v>15</v>
      </c>
      <c r="J8" s="1401" t="s">
        <v>15</v>
      </c>
      <c r="K8" s="1401" t="s">
        <v>15</v>
      </c>
      <c r="L8" s="1526" t="s">
        <v>15</v>
      </c>
      <c r="M8" s="1372">
        <f t="shared" si="0"/>
        <v>838.995179917629</v>
      </c>
      <c r="N8" s="1458">
        <f>M8-M7</f>
        <v>21.800999999999931</v>
      </c>
      <c r="O8" s="1404"/>
      <c r="P8" s="1405"/>
      <c r="Q8" s="1405"/>
      <c r="R8" s="1405"/>
      <c r="S8" s="1405"/>
      <c r="T8" s="1405"/>
      <c r="U8" s="1405"/>
      <c r="V8" s="1677"/>
      <c r="W8" s="1366"/>
      <c r="X8" s="1366"/>
      <c r="Y8" s="1366"/>
      <c r="Z8" s="1366"/>
      <c r="AA8" s="1366"/>
      <c r="AB8" s="1366"/>
      <c r="AC8" s="1366"/>
      <c r="AD8" s="1366"/>
      <c r="AE8" s="1366"/>
      <c r="AF8" s="1366"/>
      <c r="AG8" s="1366"/>
      <c r="AH8" s="1366"/>
      <c r="AI8" s="1366"/>
      <c r="AJ8" s="1366"/>
      <c r="AK8" s="1366"/>
      <c r="AL8" s="1366"/>
      <c r="AM8" s="1366"/>
      <c r="AN8" s="1366"/>
      <c r="AO8" s="1366"/>
      <c r="AP8" s="1366"/>
      <c r="AQ8" s="1366"/>
      <c r="AR8" s="1366"/>
      <c r="AS8" s="1366"/>
      <c r="AT8" s="1366"/>
      <c r="AU8" s="1366"/>
      <c r="AV8" s="1366"/>
      <c r="AW8" s="1366"/>
      <c r="AX8" s="1366"/>
      <c r="AY8" s="1366"/>
      <c r="AZ8" s="1366"/>
      <c r="BA8" s="1366"/>
      <c r="BB8" s="1366"/>
      <c r="BC8" s="1366"/>
      <c r="BD8" s="1366"/>
      <c r="BE8" s="1366"/>
      <c r="BF8" s="1366"/>
      <c r="BG8" s="1366"/>
      <c r="BH8" s="1366"/>
      <c r="BI8" s="1366"/>
      <c r="BJ8" s="1366"/>
      <c r="BK8" s="1366"/>
      <c r="BL8" s="1366"/>
      <c r="BM8" s="1366"/>
      <c r="BN8" s="1366"/>
      <c r="BO8" s="1366"/>
      <c r="BP8" s="1366"/>
      <c r="BQ8" s="1366"/>
      <c r="BR8" s="1366"/>
      <c r="BS8" s="1366"/>
      <c r="BT8" s="1366"/>
      <c r="BU8" s="1366"/>
      <c r="BV8" s="1366"/>
      <c r="BW8" s="1366"/>
      <c r="BX8" s="1366"/>
      <c r="BY8" s="1366"/>
      <c r="BZ8" s="1366"/>
      <c r="CA8" s="1366"/>
      <c r="CB8" s="1366"/>
      <c r="CC8" s="1366"/>
      <c r="CD8" s="1366"/>
      <c r="CE8" s="1366"/>
      <c r="CF8" s="1366"/>
      <c r="CG8" s="1366"/>
      <c r="CH8" s="1366"/>
      <c r="CI8" s="1366"/>
      <c r="CJ8" s="1366"/>
      <c r="CK8" s="1366"/>
      <c r="CL8" s="1366"/>
      <c r="CM8" s="1366"/>
      <c r="CN8" s="1366"/>
      <c r="CO8" s="1366"/>
      <c r="CP8" s="1366"/>
      <c r="CQ8" s="1366"/>
      <c r="CR8" s="1366"/>
      <c r="CS8" s="1366"/>
      <c r="CT8" s="1366"/>
      <c r="CU8" s="1366"/>
      <c r="CV8" s="1366"/>
      <c r="CW8" s="1366"/>
      <c r="CX8" s="1366"/>
      <c r="CY8" s="1366"/>
      <c r="CZ8" s="1366"/>
      <c r="DA8" s="1366"/>
      <c r="DB8" s="1366"/>
      <c r="DC8" s="1366"/>
      <c r="DD8" s="1366"/>
      <c r="DE8" s="1366"/>
      <c r="DF8" s="1366"/>
      <c r="DG8" s="1366"/>
      <c r="DH8" s="1366"/>
      <c r="DI8" s="1366"/>
      <c r="DJ8" s="1366"/>
      <c r="DK8" s="1366"/>
      <c r="DL8" s="1366"/>
      <c r="DM8" s="1366"/>
      <c r="DN8" s="1366"/>
      <c r="DO8" s="1366"/>
      <c r="DP8" s="1366"/>
      <c r="DQ8" s="1366"/>
      <c r="DR8" s="1366"/>
      <c r="DS8" s="1366"/>
      <c r="DT8" s="1366"/>
      <c r="DU8" s="1366"/>
      <c r="DV8" s="1366"/>
    </row>
    <row r="9" spans="1:126" s="1367" customFormat="1">
      <c r="A9" s="2494"/>
      <c r="B9" s="1653">
        <v>8</v>
      </c>
      <c r="C9" s="1642" t="s">
        <v>47</v>
      </c>
      <c r="D9" s="1375" t="s">
        <v>59</v>
      </c>
      <c r="E9" s="1364" t="s">
        <v>2097</v>
      </c>
      <c r="F9" s="1364" t="s">
        <v>2107</v>
      </c>
      <c r="G9" s="1185" t="s">
        <v>2201</v>
      </c>
      <c r="H9" s="1361">
        <f>(665*'Equipment Results Matrix'!$R$24)+(27*'Equipment Results Matrix'!$R$7)+'Equipment Results Matrix'!$R$11+'Equipment Results Matrix'!$R$12+'Equipment Results Matrix'!$R$16+'Equipment Results Matrix'!$R$23+'Equipment Results Matrix'!$T$12+'Equipment Results Matrix'!$R$6</f>
        <v>550.56967991762895</v>
      </c>
      <c r="I9" s="1441" t="s">
        <v>15</v>
      </c>
      <c r="J9" s="1401" t="s">
        <v>15</v>
      </c>
      <c r="K9" s="1401" t="s">
        <v>15</v>
      </c>
      <c r="L9" s="1526" t="s">
        <v>15</v>
      </c>
      <c r="M9" s="1372">
        <f t="shared" si="0"/>
        <v>550.56967991762895</v>
      </c>
      <c r="N9" s="1455" t="s">
        <v>40</v>
      </c>
      <c r="O9" s="1404"/>
      <c r="P9" s="1405"/>
      <c r="Q9" s="1405"/>
      <c r="R9" s="1405"/>
      <c r="S9" s="1405"/>
      <c r="T9" s="1405"/>
      <c r="U9" s="1405"/>
      <c r="V9" s="1677"/>
      <c r="W9" s="1366"/>
      <c r="X9" s="1366"/>
      <c r="Y9" s="1366"/>
      <c r="Z9" s="1366"/>
      <c r="AA9" s="1366"/>
      <c r="AB9" s="1366"/>
      <c r="AC9" s="1366"/>
      <c r="AD9" s="1366"/>
      <c r="AE9" s="1366"/>
      <c r="AF9" s="1366"/>
      <c r="AG9" s="1366"/>
      <c r="AH9" s="1366"/>
      <c r="AI9" s="1366"/>
      <c r="AJ9" s="1366"/>
      <c r="AK9" s="1366"/>
      <c r="AL9" s="1366"/>
      <c r="AM9" s="1366"/>
      <c r="AN9" s="1366"/>
      <c r="AO9" s="1366"/>
      <c r="AP9" s="1366"/>
      <c r="AQ9" s="1366"/>
      <c r="AR9" s="1366"/>
      <c r="AS9" s="1366"/>
      <c r="AT9" s="1366"/>
      <c r="AU9" s="1366"/>
      <c r="AV9" s="1366"/>
      <c r="AW9" s="1366"/>
      <c r="AX9" s="1366"/>
      <c r="AY9" s="1366"/>
      <c r="AZ9" s="1366"/>
      <c r="BA9" s="1366"/>
      <c r="BB9" s="1366"/>
      <c r="BC9" s="1366"/>
      <c r="BD9" s="1366"/>
      <c r="BE9" s="1366"/>
      <c r="BF9" s="1366"/>
      <c r="BG9" s="1366"/>
      <c r="BH9" s="1366"/>
      <c r="BI9" s="1366"/>
      <c r="BJ9" s="1366"/>
      <c r="BK9" s="1366"/>
      <c r="BL9" s="1366"/>
      <c r="BM9" s="1366"/>
      <c r="BN9" s="1366"/>
      <c r="BO9" s="1366"/>
      <c r="BP9" s="1366"/>
      <c r="BQ9" s="1366"/>
      <c r="BR9" s="1366"/>
      <c r="BS9" s="1366"/>
      <c r="BT9" s="1366"/>
      <c r="BU9" s="1366"/>
      <c r="BV9" s="1366"/>
      <c r="BW9" s="1366"/>
      <c r="BX9" s="1366"/>
      <c r="BY9" s="1366"/>
      <c r="BZ9" s="1366"/>
      <c r="CA9" s="1366"/>
      <c r="CB9" s="1366"/>
      <c r="CC9" s="1366"/>
      <c r="CD9" s="1366"/>
      <c r="CE9" s="1366"/>
      <c r="CF9" s="1366"/>
      <c r="CG9" s="1366"/>
      <c r="CH9" s="1366"/>
      <c r="CI9" s="1366"/>
      <c r="CJ9" s="1366"/>
      <c r="CK9" s="1366"/>
      <c r="CL9" s="1366"/>
      <c r="CM9" s="1366"/>
      <c r="CN9" s="1366"/>
      <c r="CO9" s="1366"/>
      <c r="CP9" s="1366"/>
      <c r="CQ9" s="1366"/>
      <c r="CR9" s="1366"/>
      <c r="CS9" s="1366"/>
      <c r="CT9" s="1366"/>
      <c r="CU9" s="1366"/>
      <c r="CV9" s="1366"/>
      <c r="CW9" s="1366"/>
      <c r="CX9" s="1366"/>
      <c r="CY9" s="1366"/>
      <c r="CZ9" s="1366"/>
      <c r="DA9" s="1366"/>
      <c r="DB9" s="1366"/>
      <c r="DC9" s="1366"/>
      <c r="DD9" s="1366"/>
      <c r="DE9" s="1366"/>
      <c r="DF9" s="1366"/>
      <c r="DG9" s="1366"/>
      <c r="DH9" s="1366"/>
      <c r="DI9" s="1366"/>
      <c r="DJ9" s="1366"/>
      <c r="DK9" s="1366"/>
      <c r="DL9" s="1366"/>
      <c r="DM9" s="1366"/>
      <c r="DN9" s="1366"/>
      <c r="DO9" s="1366"/>
      <c r="DP9" s="1366"/>
      <c r="DQ9" s="1366"/>
      <c r="DR9" s="1366"/>
      <c r="DS9" s="1366"/>
      <c r="DT9" s="1366"/>
      <c r="DU9" s="1366"/>
      <c r="DV9" s="1366"/>
    </row>
    <row r="10" spans="1:126" s="1367" customFormat="1" ht="30">
      <c r="A10" s="2494"/>
      <c r="B10" s="1653">
        <v>8</v>
      </c>
      <c r="C10" s="1642" t="s">
        <v>49</v>
      </c>
      <c r="D10" s="1375" t="s">
        <v>58</v>
      </c>
      <c r="E10" s="1364" t="s">
        <v>2097</v>
      </c>
      <c r="F10" s="1364" t="s">
        <v>2107</v>
      </c>
      <c r="G10" s="1185" t="s">
        <v>2201</v>
      </c>
      <c r="H10" s="1361">
        <f>(565*'Equipment Results Matrix'!$R$24)+(27*'Equipment Results Matrix'!$R$7)+'Equipment Results Matrix'!$R$11+'Equipment Results Matrix'!$R$12+'Equipment Results Matrix'!$R$16+'Equipment Results Matrix'!$R$23+'Equipment Results Matrix'!$T$12+'Equipment Results Matrix'!$R$5</f>
        <v>586.02967991762898</v>
      </c>
      <c r="I10" s="1441" t="s">
        <v>15</v>
      </c>
      <c r="J10" s="1401" t="s">
        <v>15</v>
      </c>
      <c r="K10" s="1401" t="s">
        <v>15</v>
      </c>
      <c r="L10" s="1526" t="s">
        <v>15</v>
      </c>
      <c r="M10" s="1372">
        <f t="shared" si="0"/>
        <v>586.02967991762898</v>
      </c>
      <c r="N10" s="1458">
        <f>M10-M9</f>
        <v>35.460000000000036</v>
      </c>
      <c r="O10" s="1404"/>
      <c r="P10" s="1405"/>
      <c r="Q10" s="1405"/>
      <c r="R10" s="1405"/>
      <c r="S10" s="1405"/>
      <c r="T10" s="1405"/>
      <c r="U10" s="1405"/>
      <c r="V10" s="1677"/>
      <c r="W10" s="1366"/>
      <c r="X10" s="1366"/>
      <c r="Y10" s="1366"/>
      <c r="Z10" s="1366"/>
      <c r="AA10" s="1366"/>
      <c r="AB10" s="1366"/>
      <c r="AC10" s="1366"/>
      <c r="AD10" s="1366"/>
      <c r="AE10" s="1366"/>
      <c r="AF10" s="1366"/>
      <c r="AG10" s="1366"/>
      <c r="AH10" s="1366"/>
      <c r="AI10" s="1366"/>
      <c r="AJ10" s="1366"/>
      <c r="AK10" s="1366"/>
      <c r="AL10" s="1366"/>
      <c r="AM10" s="1366"/>
      <c r="AN10" s="1366"/>
      <c r="AO10" s="1366"/>
      <c r="AP10" s="1366"/>
      <c r="AQ10" s="1366"/>
      <c r="AR10" s="1366"/>
      <c r="AS10" s="1366"/>
      <c r="AT10" s="1366"/>
      <c r="AU10" s="1366"/>
      <c r="AV10" s="1366"/>
      <c r="AW10" s="1366"/>
      <c r="AX10" s="1366"/>
      <c r="AY10" s="1366"/>
      <c r="AZ10" s="1366"/>
      <c r="BA10" s="1366"/>
      <c r="BB10" s="1366"/>
      <c r="BC10" s="1366"/>
      <c r="BD10" s="1366"/>
      <c r="BE10" s="1366"/>
      <c r="BF10" s="1366"/>
      <c r="BG10" s="1366"/>
      <c r="BH10" s="1366"/>
      <c r="BI10" s="1366"/>
      <c r="BJ10" s="1366"/>
      <c r="BK10" s="1366"/>
      <c r="BL10" s="1366"/>
      <c r="BM10" s="1366"/>
      <c r="BN10" s="1366"/>
      <c r="BO10" s="1366"/>
      <c r="BP10" s="1366"/>
      <c r="BQ10" s="1366"/>
      <c r="BR10" s="1366"/>
      <c r="BS10" s="1366"/>
      <c r="BT10" s="1366"/>
      <c r="BU10" s="1366"/>
      <c r="BV10" s="1366"/>
      <c r="BW10" s="1366"/>
      <c r="BX10" s="1366"/>
      <c r="BY10" s="1366"/>
      <c r="BZ10" s="1366"/>
      <c r="CA10" s="1366"/>
      <c r="CB10" s="1366"/>
      <c r="CC10" s="1366"/>
      <c r="CD10" s="1366"/>
      <c r="CE10" s="1366"/>
      <c r="CF10" s="1366"/>
      <c r="CG10" s="1366"/>
      <c r="CH10" s="1366"/>
      <c r="CI10" s="1366"/>
      <c r="CJ10" s="1366"/>
      <c r="CK10" s="1366"/>
      <c r="CL10" s="1366"/>
      <c r="CM10" s="1366"/>
      <c r="CN10" s="1366"/>
      <c r="CO10" s="1366"/>
      <c r="CP10" s="1366"/>
      <c r="CQ10" s="1366"/>
      <c r="CR10" s="1366"/>
      <c r="CS10" s="1366"/>
      <c r="CT10" s="1366"/>
      <c r="CU10" s="1366"/>
      <c r="CV10" s="1366"/>
      <c r="CW10" s="1366"/>
      <c r="CX10" s="1366"/>
      <c r="CY10" s="1366"/>
      <c r="CZ10" s="1366"/>
      <c r="DA10" s="1366"/>
      <c r="DB10" s="1366"/>
      <c r="DC10" s="1366"/>
      <c r="DD10" s="1366"/>
      <c r="DE10" s="1366"/>
      <c r="DF10" s="1366"/>
      <c r="DG10" s="1366"/>
      <c r="DH10" s="1366"/>
      <c r="DI10" s="1366"/>
      <c r="DJ10" s="1366"/>
      <c r="DK10" s="1366"/>
      <c r="DL10" s="1366"/>
      <c r="DM10" s="1366"/>
      <c r="DN10" s="1366"/>
      <c r="DO10" s="1366"/>
      <c r="DP10" s="1366"/>
      <c r="DQ10" s="1366"/>
      <c r="DR10" s="1366"/>
      <c r="DS10" s="1366"/>
      <c r="DT10" s="1366"/>
      <c r="DU10" s="1366"/>
      <c r="DV10" s="1366"/>
    </row>
    <row r="11" spans="1:126" s="1367" customFormat="1" ht="30">
      <c r="A11" s="2494"/>
      <c r="B11" s="1653">
        <v>9</v>
      </c>
      <c r="C11" s="1642" t="s">
        <v>47</v>
      </c>
      <c r="D11" s="1375" t="s">
        <v>2110</v>
      </c>
      <c r="E11" s="1364" t="s">
        <v>2097</v>
      </c>
      <c r="F11" s="1364" t="s">
        <v>2107</v>
      </c>
      <c r="G11" s="1185" t="s">
        <v>2201</v>
      </c>
      <c r="H11" s="1361">
        <f>(730*'Equipment Results Matrix'!$R$24)+(27*'Equipment Results Matrix'!$R$7)+'Equipment Results Matrix'!$R$11+'Equipment Results Matrix'!$R$12+'Equipment Results Matrix'!$R$16+'Equipment Results Matrix'!$R$22+'Equipment Results Matrix'!$T$12+'Equipment Results Matrix'!$R$6</f>
        <v>1041.4546799176289</v>
      </c>
      <c r="I11" s="1441" t="s">
        <v>15</v>
      </c>
      <c r="J11" s="1401" t="s">
        <v>15</v>
      </c>
      <c r="K11" s="1401" t="s">
        <v>15</v>
      </c>
      <c r="L11" s="1526" t="s">
        <v>15</v>
      </c>
      <c r="M11" s="1372">
        <f t="shared" si="0"/>
        <v>1041.4546799176289</v>
      </c>
      <c r="N11" s="1455" t="s">
        <v>40</v>
      </c>
      <c r="O11" s="1404"/>
      <c r="P11" s="1405"/>
      <c r="Q11" s="1405"/>
      <c r="R11" s="1405"/>
      <c r="S11" s="1405"/>
      <c r="T11" s="1405"/>
      <c r="U11" s="1405"/>
      <c r="V11" s="1677"/>
      <c r="W11" s="1366"/>
      <c r="X11" s="1366"/>
      <c r="Y11" s="1366"/>
      <c r="Z11" s="1366"/>
      <c r="AA11" s="1366"/>
      <c r="AB11" s="1366"/>
      <c r="AC11" s="1366"/>
      <c r="AD11" s="1366"/>
      <c r="AE11" s="1366"/>
      <c r="AF11" s="1366"/>
      <c r="AG11" s="1366"/>
      <c r="AH11" s="1366"/>
      <c r="AI11" s="1366"/>
      <c r="AJ11" s="1366"/>
      <c r="AK11" s="1366"/>
      <c r="AL11" s="1366"/>
      <c r="AM11" s="1366"/>
      <c r="AN11" s="1366"/>
      <c r="AO11" s="1366"/>
      <c r="AP11" s="1366"/>
      <c r="AQ11" s="1366"/>
      <c r="AR11" s="1366"/>
      <c r="AS11" s="1366"/>
      <c r="AT11" s="1366"/>
      <c r="AU11" s="1366"/>
      <c r="AV11" s="1366"/>
      <c r="AW11" s="1366"/>
      <c r="AX11" s="1366"/>
      <c r="AY11" s="1366"/>
      <c r="AZ11" s="1366"/>
      <c r="BA11" s="1366"/>
      <c r="BB11" s="1366"/>
      <c r="BC11" s="1366"/>
      <c r="BD11" s="1366"/>
      <c r="BE11" s="1366"/>
      <c r="BF11" s="1366"/>
      <c r="BG11" s="1366"/>
      <c r="BH11" s="1366"/>
      <c r="BI11" s="1366"/>
      <c r="BJ11" s="1366"/>
      <c r="BK11" s="1366"/>
      <c r="BL11" s="1366"/>
      <c r="BM11" s="1366"/>
      <c r="BN11" s="1366"/>
      <c r="BO11" s="1366"/>
      <c r="BP11" s="1366"/>
      <c r="BQ11" s="1366"/>
      <c r="BR11" s="1366"/>
      <c r="BS11" s="1366"/>
      <c r="BT11" s="1366"/>
      <c r="BU11" s="1366"/>
      <c r="BV11" s="1366"/>
      <c r="BW11" s="1366"/>
      <c r="BX11" s="1366"/>
      <c r="BY11" s="1366"/>
      <c r="BZ11" s="1366"/>
      <c r="CA11" s="1366"/>
      <c r="CB11" s="1366"/>
      <c r="CC11" s="1366"/>
      <c r="CD11" s="1366"/>
      <c r="CE11" s="1366"/>
      <c r="CF11" s="1366"/>
      <c r="CG11" s="1366"/>
      <c r="CH11" s="1366"/>
      <c r="CI11" s="1366"/>
      <c r="CJ11" s="1366"/>
      <c r="CK11" s="1366"/>
      <c r="CL11" s="1366"/>
      <c r="CM11" s="1366"/>
      <c r="CN11" s="1366"/>
      <c r="CO11" s="1366"/>
      <c r="CP11" s="1366"/>
      <c r="CQ11" s="1366"/>
      <c r="CR11" s="1366"/>
      <c r="CS11" s="1366"/>
      <c r="CT11" s="1366"/>
      <c r="CU11" s="1366"/>
      <c r="CV11" s="1366"/>
      <c r="CW11" s="1366"/>
      <c r="CX11" s="1366"/>
      <c r="CY11" s="1366"/>
      <c r="CZ11" s="1366"/>
      <c r="DA11" s="1366"/>
      <c r="DB11" s="1366"/>
      <c r="DC11" s="1366"/>
      <c r="DD11" s="1366"/>
      <c r="DE11" s="1366"/>
      <c r="DF11" s="1366"/>
      <c r="DG11" s="1366"/>
      <c r="DH11" s="1366"/>
      <c r="DI11" s="1366"/>
      <c r="DJ11" s="1366"/>
      <c r="DK11" s="1366"/>
      <c r="DL11" s="1366"/>
      <c r="DM11" s="1366"/>
      <c r="DN11" s="1366"/>
      <c r="DO11" s="1366"/>
      <c r="DP11" s="1366"/>
      <c r="DQ11" s="1366"/>
      <c r="DR11" s="1366"/>
      <c r="DS11" s="1366"/>
      <c r="DT11" s="1366"/>
      <c r="DU11" s="1366"/>
      <c r="DV11" s="1366"/>
    </row>
    <row r="12" spans="1:126" s="1367" customFormat="1" ht="30">
      <c r="A12" s="2494"/>
      <c r="B12" s="1653">
        <v>9</v>
      </c>
      <c r="C12" s="1642" t="s">
        <v>49</v>
      </c>
      <c r="D12" s="1375" t="s">
        <v>2098</v>
      </c>
      <c r="E12" s="1364" t="s">
        <v>2097</v>
      </c>
      <c r="F12" s="1364" t="s">
        <v>2107</v>
      </c>
      <c r="G12" s="1185" t="s">
        <v>2201</v>
      </c>
      <c r="H12" s="1361">
        <f>(620*'Equipment Results Matrix'!$R$24)+(27*'Equipment Results Matrix'!$R$7)+'Equipment Results Matrix'!$R$11+'Equipment Results Matrix'!$R$12+'Equipment Results Matrix'!$R$16+'Equipment Results Matrix'!$R$22+'Equipment Results Matrix'!$T$12+'Equipment Results Matrix'!$R$5</f>
        <v>1081.624679917629</v>
      </c>
      <c r="I12" s="1441" t="s">
        <v>15</v>
      </c>
      <c r="J12" s="1401" t="s">
        <v>15</v>
      </c>
      <c r="K12" s="1401" t="s">
        <v>15</v>
      </c>
      <c r="L12" s="1526" t="s">
        <v>15</v>
      </c>
      <c r="M12" s="1372">
        <f t="shared" si="0"/>
        <v>1081.624679917629</v>
      </c>
      <c r="N12" s="1458">
        <f>M12-M11</f>
        <v>40.170000000000073</v>
      </c>
      <c r="O12" s="1404"/>
      <c r="P12" s="1405"/>
      <c r="Q12" s="1405"/>
      <c r="R12" s="1405"/>
      <c r="S12" s="1405"/>
      <c r="T12" s="1405"/>
      <c r="U12" s="1405"/>
      <c r="V12" s="1677"/>
      <c r="W12" s="1366"/>
      <c r="X12" s="1366"/>
      <c r="Y12" s="1366"/>
      <c r="Z12" s="1366"/>
      <c r="AA12" s="1366"/>
      <c r="AB12" s="1366"/>
      <c r="AC12" s="1366"/>
      <c r="AD12" s="1366"/>
      <c r="AE12" s="1366"/>
      <c r="AF12" s="1366"/>
      <c r="AG12" s="1366"/>
      <c r="AH12" s="1366"/>
      <c r="AI12" s="1366"/>
      <c r="AJ12" s="1366"/>
      <c r="AK12" s="1366"/>
      <c r="AL12" s="1366"/>
      <c r="AM12" s="1366"/>
      <c r="AN12" s="1366"/>
      <c r="AO12" s="1366"/>
      <c r="AP12" s="1366"/>
      <c r="AQ12" s="1366"/>
      <c r="AR12" s="1366"/>
      <c r="AS12" s="1366"/>
      <c r="AT12" s="1366"/>
      <c r="AU12" s="1366"/>
      <c r="AV12" s="1366"/>
      <c r="AW12" s="1366"/>
      <c r="AX12" s="1366"/>
      <c r="AY12" s="1366"/>
      <c r="AZ12" s="1366"/>
      <c r="BA12" s="1366"/>
      <c r="BB12" s="1366"/>
      <c r="BC12" s="1366"/>
      <c r="BD12" s="1366"/>
      <c r="BE12" s="1366"/>
      <c r="BF12" s="1366"/>
      <c r="BG12" s="1366"/>
      <c r="BH12" s="1366"/>
      <c r="BI12" s="1366"/>
      <c r="BJ12" s="1366"/>
      <c r="BK12" s="1366"/>
      <c r="BL12" s="1366"/>
      <c r="BM12" s="1366"/>
      <c r="BN12" s="1366"/>
      <c r="BO12" s="1366"/>
      <c r="BP12" s="1366"/>
      <c r="BQ12" s="1366"/>
      <c r="BR12" s="1366"/>
      <c r="BS12" s="1366"/>
      <c r="BT12" s="1366"/>
      <c r="BU12" s="1366"/>
      <c r="BV12" s="1366"/>
      <c r="BW12" s="1366"/>
      <c r="BX12" s="1366"/>
      <c r="BY12" s="1366"/>
      <c r="BZ12" s="1366"/>
      <c r="CA12" s="1366"/>
      <c r="CB12" s="1366"/>
      <c r="CC12" s="1366"/>
      <c r="CD12" s="1366"/>
      <c r="CE12" s="1366"/>
      <c r="CF12" s="1366"/>
      <c r="CG12" s="1366"/>
      <c r="CH12" s="1366"/>
      <c r="CI12" s="1366"/>
      <c r="CJ12" s="1366"/>
      <c r="CK12" s="1366"/>
      <c r="CL12" s="1366"/>
      <c r="CM12" s="1366"/>
      <c r="CN12" s="1366"/>
      <c r="CO12" s="1366"/>
      <c r="CP12" s="1366"/>
      <c r="CQ12" s="1366"/>
      <c r="CR12" s="1366"/>
      <c r="CS12" s="1366"/>
      <c r="CT12" s="1366"/>
      <c r="CU12" s="1366"/>
      <c r="CV12" s="1366"/>
      <c r="CW12" s="1366"/>
      <c r="CX12" s="1366"/>
      <c r="CY12" s="1366"/>
      <c r="CZ12" s="1366"/>
      <c r="DA12" s="1366"/>
      <c r="DB12" s="1366"/>
      <c r="DC12" s="1366"/>
      <c r="DD12" s="1366"/>
      <c r="DE12" s="1366"/>
      <c r="DF12" s="1366"/>
      <c r="DG12" s="1366"/>
      <c r="DH12" s="1366"/>
      <c r="DI12" s="1366"/>
      <c r="DJ12" s="1366"/>
      <c r="DK12" s="1366"/>
      <c r="DL12" s="1366"/>
      <c r="DM12" s="1366"/>
      <c r="DN12" s="1366"/>
      <c r="DO12" s="1366"/>
      <c r="DP12" s="1366"/>
      <c r="DQ12" s="1366"/>
      <c r="DR12" s="1366"/>
      <c r="DS12" s="1366"/>
      <c r="DT12" s="1366"/>
      <c r="DU12" s="1366"/>
      <c r="DV12" s="1366"/>
    </row>
    <row r="13" spans="1:126" s="1367" customFormat="1">
      <c r="A13" s="2494"/>
      <c r="B13" s="1653">
        <v>10</v>
      </c>
      <c r="C13" s="1642" t="s">
        <v>47</v>
      </c>
      <c r="D13" s="1375" t="s">
        <v>61</v>
      </c>
      <c r="E13" s="1364" t="s">
        <v>2097</v>
      </c>
      <c r="F13" s="1364" t="s">
        <v>2107</v>
      </c>
      <c r="G13" s="1185" t="s">
        <v>2201</v>
      </c>
      <c r="H13" s="1361">
        <f>(620*'Equipment Results Matrix'!$R$24)+(19*'Equipment Results Matrix'!$R$7)+'Equipment Results Matrix'!$R$11+'Equipment Results Matrix'!$R$12+'Equipment Results Matrix'!$R$16+'Equipment Results Matrix'!$R$23+'Equipment Results Matrix'!$T$12+'Equipment Results Matrix'!$R$6</f>
        <v>381.44467991762906</v>
      </c>
      <c r="I13" s="1441" t="s">
        <v>15</v>
      </c>
      <c r="J13" s="1401" t="s">
        <v>15</v>
      </c>
      <c r="K13" s="1401" t="s">
        <v>15</v>
      </c>
      <c r="L13" s="1526" t="s">
        <v>15</v>
      </c>
      <c r="M13" s="1372">
        <f t="shared" si="0"/>
        <v>381.44467991762906</v>
      </c>
      <c r="N13" s="1455" t="s">
        <v>40</v>
      </c>
      <c r="O13" s="1404"/>
      <c r="P13" s="1405"/>
      <c r="Q13" s="1405"/>
      <c r="R13" s="1405"/>
      <c r="S13" s="1405"/>
      <c r="T13" s="1405"/>
      <c r="U13" s="1405"/>
      <c r="V13" s="1677"/>
      <c r="W13" s="1366"/>
      <c r="X13" s="1366"/>
      <c r="Y13" s="1366"/>
      <c r="Z13" s="1366"/>
      <c r="AA13" s="1366"/>
      <c r="AB13" s="1366"/>
      <c r="AC13" s="1366"/>
      <c r="AD13" s="1366"/>
      <c r="AE13" s="1366"/>
      <c r="AF13" s="1366"/>
      <c r="AG13" s="1366"/>
      <c r="AH13" s="1366"/>
      <c r="AI13" s="1366"/>
      <c r="AJ13" s="1366"/>
      <c r="AK13" s="1366"/>
      <c r="AL13" s="1366"/>
      <c r="AM13" s="1366"/>
      <c r="AN13" s="1366"/>
      <c r="AO13" s="1366"/>
      <c r="AP13" s="1366"/>
      <c r="AQ13" s="1366"/>
      <c r="AR13" s="1366"/>
      <c r="AS13" s="1366"/>
      <c r="AT13" s="1366"/>
      <c r="AU13" s="1366"/>
      <c r="AV13" s="1366"/>
      <c r="AW13" s="1366"/>
      <c r="AX13" s="1366"/>
      <c r="AY13" s="1366"/>
      <c r="AZ13" s="1366"/>
      <c r="BA13" s="1366"/>
      <c r="BB13" s="1366"/>
      <c r="BC13" s="1366"/>
      <c r="BD13" s="1366"/>
      <c r="BE13" s="1366"/>
      <c r="BF13" s="1366"/>
      <c r="BG13" s="1366"/>
      <c r="BH13" s="1366"/>
      <c r="BI13" s="1366"/>
      <c r="BJ13" s="1366"/>
      <c r="BK13" s="1366"/>
      <c r="BL13" s="1366"/>
      <c r="BM13" s="1366"/>
      <c r="BN13" s="1366"/>
      <c r="BO13" s="1366"/>
      <c r="BP13" s="1366"/>
      <c r="BQ13" s="1366"/>
      <c r="BR13" s="1366"/>
      <c r="BS13" s="1366"/>
      <c r="BT13" s="1366"/>
      <c r="BU13" s="1366"/>
      <c r="BV13" s="1366"/>
      <c r="BW13" s="1366"/>
      <c r="BX13" s="1366"/>
      <c r="BY13" s="1366"/>
      <c r="BZ13" s="1366"/>
      <c r="CA13" s="1366"/>
      <c r="CB13" s="1366"/>
      <c r="CC13" s="1366"/>
      <c r="CD13" s="1366"/>
      <c r="CE13" s="1366"/>
      <c r="CF13" s="1366"/>
      <c r="CG13" s="1366"/>
      <c r="CH13" s="1366"/>
      <c r="CI13" s="1366"/>
      <c r="CJ13" s="1366"/>
      <c r="CK13" s="1366"/>
      <c r="CL13" s="1366"/>
      <c r="CM13" s="1366"/>
      <c r="CN13" s="1366"/>
      <c r="CO13" s="1366"/>
      <c r="CP13" s="1366"/>
      <c r="CQ13" s="1366"/>
      <c r="CR13" s="1366"/>
      <c r="CS13" s="1366"/>
      <c r="CT13" s="1366"/>
      <c r="CU13" s="1366"/>
      <c r="CV13" s="1366"/>
      <c r="CW13" s="1366"/>
      <c r="CX13" s="1366"/>
      <c r="CY13" s="1366"/>
      <c r="CZ13" s="1366"/>
      <c r="DA13" s="1366"/>
      <c r="DB13" s="1366"/>
      <c r="DC13" s="1366"/>
      <c r="DD13" s="1366"/>
      <c r="DE13" s="1366"/>
      <c r="DF13" s="1366"/>
      <c r="DG13" s="1366"/>
      <c r="DH13" s="1366"/>
      <c r="DI13" s="1366"/>
      <c r="DJ13" s="1366"/>
      <c r="DK13" s="1366"/>
      <c r="DL13" s="1366"/>
      <c r="DM13" s="1366"/>
      <c r="DN13" s="1366"/>
      <c r="DO13" s="1366"/>
      <c r="DP13" s="1366"/>
      <c r="DQ13" s="1366"/>
      <c r="DR13" s="1366"/>
      <c r="DS13" s="1366"/>
      <c r="DT13" s="1366"/>
      <c r="DU13" s="1366"/>
      <c r="DV13" s="1366"/>
    </row>
    <row r="14" spans="1:126" s="1367" customFormat="1" ht="30">
      <c r="A14" s="2494"/>
      <c r="B14" s="1653">
        <v>10</v>
      </c>
      <c r="C14" s="1642" t="s">
        <v>49</v>
      </c>
      <c r="D14" s="1375" t="s">
        <v>60</v>
      </c>
      <c r="E14" s="1364" t="s">
        <v>2097</v>
      </c>
      <c r="F14" s="1364" t="s">
        <v>2107</v>
      </c>
      <c r="G14" s="1185" t="s">
        <v>2201</v>
      </c>
      <c r="H14" s="1361">
        <f>(528*'Equipment Results Matrix'!$R$24)+(19*'Equipment Results Matrix'!$R$7)+'Equipment Results Matrix'!$R$11+'Equipment Results Matrix'!$R$12+'Equipment Results Matrix'!$R$16+'Equipment Results Matrix'!$R$23+'Equipment Results Matrix'!$T$12+'Equipment Results Matrix'!$R$5</f>
        <v>413.13667991762907</v>
      </c>
      <c r="I14" s="1441" t="s">
        <v>15</v>
      </c>
      <c r="J14" s="1401" t="s">
        <v>15</v>
      </c>
      <c r="K14" s="1401" t="s">
        <v>15</v>
      </c>
      <c r="L14" s="1526" t="s">
        <v>15</v>
      </c>
      <c r="M14" s="1372">
        <f t="shared" si="0"/>
        <v>413.13667991762907</v>
      </c>
      <c r="N14" s="1458">
        <f>M14-M13</f>
        <v>31.692000000000007</v>
      </c>
      <c r="O14" s="1404"/>
      <c r="P14" s="1405"/>
      <c r="Q14" s="1405"/>
      <c r="R14" s="1405"/>
      <c r="S14" s="1405"/>
      <c r="T14" s="1405"/>
      <c r="U14" s="1405"/>
      <c r="V14" s="1677"/>
      <c r="W14" s="1366"/>
      <c r="X14" s="1366"/>
      <c r="Y14" s="1366"/>
      <c r="Z14" s="1366"/>
      <c r="AA14" s="1366"/>
      <c r="AB14" s="1366"/>
      <c r="AC14" s="1366"/>
      <c r="AD14" s="1366"/>
      <c r="AE14" s="1366"/>
      <c r="AF14" s="1366"/>
      <c r="AG14" s="1366"/>
      <c r="AH14" s="1366"/>
      <c r="AI14" s="1366"/>
      <c r="AJ14" s="1366"/>
      <c r="AK14" s="1366"/>
      <c r="AL14" s="1366"/>
      <c r="AM14" s="1366"/>
      <c r="AN14" s="1366"/>
      <c r="AO14" s="1366"/>
      <c r="AP14" s="1366"/>
      <c r="AQ14" s="1366"/>
      <c r="AR14" s="1366"/>
      <c r="AS14" s="1366"/>
      <c r="AT14" s="1366"/>
      <c r="AU14" s="1366"/>
      <c r="AV14" s="1366"/>
      <c r="AW14" s="1366"/>
      <c r="AX14" s="1366"/>
      <c r="AY14" s="1366"/>
      <c r="AZ14" s="1366"/>
      <c r="BA14" s="1366"/>
      <c r="BB14" s="1366"/>
      <c r="BC14" s="1366"/>
      <c r="BD14" s="1366"/>
      <c r="BE14" s="1366"/>
      <c r="BF14" s="1366"/>
      <c r="BG14" s="1366"/>
      <c r="BH14" s="1366"/>
      <c r="BI14" s="1366"/>
      <c r="BJ14" s="1366"/>
      <c r="BK14" s="1366"/>
      <c r="BL14" s="1366"/>
      <c r="BM14" s="1366"/>
      <c r="BN14" s="1366"/>
      <c r="BO14" s="1366"/>
      <c r="BP14" s="1366"/>
      <c r="BQ14" s="1366"/>
      <c r="BR14" s="1366"/>
      <c r="BS14" s="1366"/>
      <c r="BT14" s="1366"/>
      <c r="BU14" s="1366"/>
      <c r="BV14" s="1366"/>
      <c r="BW14" s="1366"/>
      <c r="BX14" s="1366"/>
      <c r="BY14" s="1366"/>
      <c r="BZ14" s="1366"/>
      <c r="CA14" s="1366"/>
      <c r="CB14" s="1366"/>
      <c r="CC14" s="1366"/>
      <c r="CD14" s="1366"/>
      <c r="CE14" s="1366"/>
      <c r="CF14" s="1366"/>
      <c r="CG14" s="1366"/>
      <c r="CH14" s="1366"/>
      <c r="CI14" s="1366"/>
      <c r="CJ14" s="1366"/>
      <c r="CK14" s="1366"/>
      <c r="CL14" s="1366"/>
      <c r="CM14" s="1366"/>
      <c r="CN14" s="1366"/>
      <c r="CO14" s="1366"/>
      <c r="CP14" s="1366"/>
      <c r="CQ14" s="1366"/>
      <c r="CR14" s="1366"/>
      <c r="CS14" s="1366"/>
      <c r="CT14" s="1366"/>
      <c r="CU14" s="1366"/>
      <c r="CV14" s="1366"/>
      <c r="CW14" s="1366"/>
      <c r="CX14" s="1366"/>
      <c r="CY14" s="1366"/>
      <c r="CZ14" s="1366"/>
      <c r="DA14" s="1366"/>
      <c r="DB14" s="1366"/>
      <c r="DC14" s="1366"/>
      <c r="DD14" s="1366"/>
      <c r="DE14" s="1366"/>
      <c r="DF14" s="1366"/>
      <c r="DG14" s="1366"/>
      <c r="DH14" s="1366"/>
      <c r="DI14" s="1366"/>
      <c r="DJ14" s="1366"/>
      <c r="DK14" s="1366"/>
      <c r="DL14" s="1366"/>
      <c r="DM14" s="1366"/>
      <c r="DN14" s="1366"/>
      <c r="DO14" s="1366"/>
      <c r="DP14" s="1366"/>
      <c r="DQ14" s="1366"/>
      <c r="DR14" s="1366"/>
      <c r="DS14" s="1366"/>
      <c r="DT14" s="1366"/>
      <c r="DU14" s="1366"/>
      <c r="DV14" s="1366"/>
    </row>
    <row r="15" spans="1:126" s="1367" customFormat="1">
      <c r="A15" s="2494"/>
      <c r="B15" s="1653">
        <v>11</v>
      </c>
      <c r="C15" s="1642" t="s">
        <v>47</v>
      </c>
      <c r="D15" s="1375" t="s">
        <v>63</v>
      </c>
      <c r="E15" s="1364" t="s">
        <v>2097</v>
      </c>
      <c r="F15" s="1364" t="s">
        <v>2107</v>
      </c>
      <c r="G15" s="1185" t="s">
        <v>2201</v>
      </c>
      <c r="H15" s="1361">
        <f>(639*'Equipment Results Matrix'!$R$24)+(19*'Equipment Results Matrix'!$R$7)+'Equipment Results Matrix'!$R$11+'Equipment Results Matrix'!$R$12+'Equipment Results Matrix'!$R$16+'Equipment Results Matrix'!$R$22+'Equipment Results Matrix'!$T$12+'Equipment Results Matrix'!$R$6</f>
        <v>893.9956799176291</v>
      </c>
      <c r="I15" s="1441" t="s">
        <v>15</v>
      </c>
      <c r="J15" s="1401" t="s">
        <v>15</v>
      </c>
      <c r="K15" s="1401" t="s">
        <v>15</v>
      </c>
      <c r="L15" s="1526" t="s">
        <v>15</v>
      </c>
      <c r="M15" s="1372">
        <f t="shared" si="0"/>
        <v>893.9956799176291</v>
      </c>
      <c r="N15" s="1455" t="s">
        <v>40</v>
      </c>
      <c r="O15" s="1404"/>
      <c r="P15" s="1405"/>
      <c r="Q15" s="1405"/>
      <c r="R15" s="1405"/>
      <c r="S15" s="1405"/>
      <c r="T15" s="1405"/>
      <c r="U15" s="1405"/>
      <c r="V15" s="1677"/>
      <c r="W15" s="1366"/>
      <c r="X15" s="1366"/>
      <c r="Y15" s="1366"/>
      <c r="Z15" s="1366"/>
      <c r="AA15" s="1366"/>
      <c r="AB15" s="1366"/>
      <c r="AC15" s="1366"/>
      <c r="AD15" s="1366"/>
      <c r="AE15" s="1366"/>
      <c r="AF15" s="1366"/>
      <c r="AG15" s="1366"/>
      <c r="AH15" s="1366"/>
      <c r="AI15" s="1366"/>
      <c r="AJ15" s="1366"/>
      <c r="AK15" s="1366"/>
      <c r="AL15" s="1366"/>
      <c r="AM15" s="1366"/>
      <c r="AN15" s="1366"/>
      <c r="AO15" s="1366"/>
      <c r="AP15" s="1366"/>
      <c r="AQ15" s="1366"/>
      <c r="AR15" s="1366"/>
      <c r="AS15" s="1366"/>
      <c r="AT15" s="1366"/>
      <c r="AU15" s="1366"/>
      <c r="AV15" s="1366"/>
      <c r="AW15" s="1366"/>
      <c r="AX15" s="1366"/>
      <c r="AY15" s="1366"/>
      <c r="AZ15" s="1366"/>
      <c r="BA15" s="1366"/>
      <c r="BB15" s="1366"/>
      <c r="BC15" s="1366"/>
      <c r="BD15" s="1366"/>
      <c r="BE15" s="1366"/>
      <c r="BF15" s="1366"/>
      <c r="BG15" s="1366"/>
      <c r="BH15" s="1366"/>
      <c r="BI15" s="1366"/>
      <c r="BJ15" s="1366"/>
      <c r="BK15" s="1366"/>
      <c r="BL15" s="1366"/>
      <c r="BM15" s="1366"/>
      <c r="BN15" s="1366"/>
      <c r="BO15" s="1366"/>
      <c r="BP15" s="1366"/>
      <c r="BQ15" s="1366"/>
      <c r="BR15" s="1366"/>
      <c r="BS15" s="1366"/>
      <c r="BT15" s="1366"/>
      <c r="BU15" s="1366"/>
      <c r="BV15" s="1366"/>
      <c r="BW15" s="1366"/>
      <c r="BX15" s="1366"/>
      <c r="BY15" s="1366"/>
      <c r="BZ15" s="1366"/>
      <c r="CA15" s="1366"/>
      <c r="CB15" s="1366"/>
      <c r="CC15" s="1366"/>
      <c r="CD15" s="1366"/>
      <c r="CE15" s="1366"/>
      <c r="CF15" s="1366"/>
      <c r="CG15" s="1366"/>
      <c r="CH15" s="1366"/>
      <c r="CI15" s="1366"/>
      <c r="CJ15" s="1366"/>
      <c r="CK15" s="1366"/>
      <c r="CL15" s="1366"/>
      <c r="CM15" s="1366"/>
      <c r="CN15" s="1366"/>
      <c r="CO15" s="1366"/>
      <c r="CP15" s="1366"/>
      <c r="CQ15" s="1366"/>
      <c r="CR15" s="1366"/>
      <c r="CS15" s="1366"/>
      <c r="CT15" s="1366"/>
      <c r="CU15" s="1366"/>
      <c r="CV15" s="1366"/>
      <c r="CW15" s="1366"/>
      <c r="CX15" s="1366"/>
      <c r="CY15" s="1366"/>
      <c r="CZ15" s="1366"/>
      <c r="DA15" s="1366"/>
      <c r="DB15" s="1366"/>
      <c r="DC15" s="1366"/>
      <c r="DD15" s="1366"/>
      <c r="DE15" s="1366"/>
      <c r="DF15" s="1366"/>
      <c r="DG15" s="1366"/>
      <c r="DH15" s="1366"/>
      <c r="DI15" s="1366"/>
      <c r="DJ15" s="1366"/>
      <c r="DK15" s="1366"/>
      <c r="DL15" s="1366"/>
      <c r="DM15" s="1366"/>
      <c r="DN15" s="1366"/>
      <c r="DO15" s="1366"/>
      <c r="DP15" s="1366"/>
      <c r="DQ15" s="1366"/>
      <c r="DR15" s="1366"/>
      <c r="DS15" s="1366"/>
      <c r="DT15" s="1366"/>
      <c r="DU15" s="1366"/>
      <c r="DV15" s="1366"/>
    </row>
    <row r="16" spans="1:126" s="1367" customFormat="1" ht="30">
      <c r="A16" s="2494"/>
      <c r="B16" s="1653">
        <v>11</v>
      </c>
      <c r="C16" s="1642" t="s">
        <v>49</v>
      </c>
      <c r="D16" s="1375" t="s">
        <v>62</v>
      </c>
      <c r="E16" s="1364" t="s">
        <v>2097</v>
      </c>
      <c r="F16" s="1364" t="s">
        <v>2107</v>
      </c>
      <c r="G16" s="1185" t="s">
        <v>2201</v>
      </c>
      <c r="H16" s="1361">
        <f>(543*'Equipment Results Matrix'!$R$24)+(19*'Equipment Results Matrix'!$R$7)+'Equipment Results Matrix'!$R$11+'Equipment Results Matrix'!$R$12+'Equipment Results Matrix'!$R$16+'Equipment Results Matrix'!$R$22+'Equipment Results Matrix'!$T$12+'Equipment Results Matrix'!$R$5</f>
        <v>927.57167991762901</v>
      </c>
      <c r="I16" s="1441" t="s">
        <v>15</v>
      </c>
      <c r="J16" s="1401" t="s">
        <v>15</v>
      </c>
      <c r="K16" s="1401" t="s">
        <v>15</v>
      </c>
      <c r="L16" s="1526" t="s">
        <v>15</v>
      </c>
      <c r="M16" s="1372">
        <f t="shared" si="0"/>
        <v>927.57167991762901</v>
      </c>
      <c r="N16" s="1458">
        <f>M16-M15</f>
        <v>33.575999999999908</v>
      </c>
      <c r="O16" s="1404"/>
      <c r="P16" s="1405"/>
      <c r="Q16" s="1405"/>
      <c r="R16" s="1405"/>
      <c r="S16" s="1405"/>
      <c r="T16" s="1405"/>
      <c r="U16" s="1405"/>
      <c r="V16" s="1677"/>
      <c r="W16" s="1366"/>
      <c r="X16" s="1366"/>
      <c r="Y16" s="1366"/>
      <c r="Z16" s="1366"/>
      <c r="AA16" s="1366"/>
      <c r="AB16" s="1366"/>
      <c r="AC16" s="1366"/>
      <c r="AD16" s="1366"/>
      <c r="AE16" s="1366"/>
      <c r="AF16" s="1366"/>
      <c r="AG16" s="1366"/>
      <c r="AH16" s="1366"/>
      <c r="AI16" s="1366"/>
      <c r="AJ16" s="1366"/>
      <c r="AK16" s="1366"/>
      <c r="AL16" s="1366"/>
      <c r="AM16" s="1366"/>
      <c r="AN16" s="1366"/>
      <c r="AO16" s="1366"/>
      <c r="AP16" s="1366"/>
      <c r="AQ16" s="1366"/>
      <c r="AR16" s="1366"/>
      <c r="AS16" s="1366"/>
      <c r="AT16" s="1366"/>
      <c r="AU16" s="1366"/>
      <c r="AV16" s="1366"/>
      <c r="AW16" s="1366"/>
      <c r="AX16" s="1366"/>
      <c r="AY16" s="1366"/>
      <c r="AZ16" s="1366"/>
      <c r="BA16" s="1366"/>
      <c r="BB16" s="1366"/>
      <c r="BC16" s="1366"/>
      <c r="BD16" s="1366"/>
      <c r="BE16" s="1366"/>
      <c r="BF16" s="1366"/>
      <c r="BG16" s="1366"/>
      <c r="BH16" s="1366"/>
      <c r="BI16" s="1366"/>
      <c r="BJ16" s="1366"/>
      <c r="BK16" s="1366"/>
      <c r="BL16" s="1366"/>
      <c r="BM16" s="1366"/>
      <c r="BN16" s="1366"/>
      <c r="BO16" s="1366"/>
      <c r="BP16" s="1366"/>
      <c r="BQ16" s="1366"/>
      <c r="BR16" s="1366"/>
      <c r="BS16" s="1366"/>
      <c r="BT16" s="1366"/>
      <c r="BU16" s="1366"/>
      <c r="BV16" s="1366"/>
      <c r="BW16" s="1366"/>
      <c r="BX16" s="1366"/>
      <c r="BY16" s="1366"/>
      <c r="BZ16" s="1366"/>
      <c r="CA16" s="1366"/>
      <c r="CB16" s="1366"/>
      <c r="CC16" s="1366"/>
      <c r="CD16" s="1366"/>
      <c r="CE16" s="1366"/>
      <c r="CF16" s="1366"/>
      <c r="CG16" s="1366"/>
      <c r="CH16" s="1366"/>
      <c r="CI16" s="1366"/>
      <c r="CJ16" s="1366"/>
      <c r="CK16" s="1366"/>
      <c r="CL16" s="1366"/>
      <c r="CM16" s="1366"/>
      <c r="CN16" s="1366"/>
      <c r="CO16" s="1366"/>
      <c r="CP16" s="1366"/>
      <c r="CQ16" s="1366"/>
      <c r="CR16" s="1366"/>
      <c r="CS16" s="1366"/>
      <c r="CT16" s="1366"/>
      <c r="CU16" s="1366"/>
      <c r="CV16" s="1366"/>
      <c r="CW16" s="1366"/>
      <c r="CX16" s="1366"/>
      <c r="CY16" s="1366"/>
      <c r="CZ16" s="1366"/>
      <c r="DA16" s="1366"/>
      <c r="DB16" s="1366"/>
      <c r="DC16" s="1366"/>
      <c r="DD16" s="1366"/>
      <c r="DE16" s="1366"/>
      <c r="DF16" s="1366"/>
      <c r="DG16" s="1366"/>
      <c r="DH16" s="1366"/>
      <c r="DI16" s="1366"/>
      <c r="DJ16" s="1366"/>
      <c r="DK16" s="1366"/>
      <c r="DL16" s="1366"/>
      <c r="DM16" s="1366"/>
      <c r="DN16" s="1366"/>
      <c r="DO16" s="1366"/>
      <c r="DP16" s="1366"/>
      <c r="DQ16" s="1366"/>
      <c r="DR16" s="1366"/>
      <c r="DS16" s="1366"/>
      <c r="DT16" s="1366"/>
      <c r="DU16" s="1366"/>
      <c r="DV16" s="1366"/>
    </row>
    <row r="17" spans="1:126" s="1367" customFormat="1">
      <c r="A17" s="2494"/>
      <c r="B17" s="1653">
        <v>12</v>
      </c>
      <c r="C17" s="1642" t="s">
        <v>47</v>
      </c>
      <c r="D17" s="1375" t="s">
        <v>64</v>
      </c>
      <c r="E17" s="1364" t="s">
        <v>2097</v>
      </c>
      <c r="F17" s="1364" t="s">
        <v>2107</v>
      </c>
      <c r="G17" s="1185" t="s">
        <v>2201</v>
      </c>
      <c r="H17" s="1361">
        <f>(532*'Equipment Results Matrix'!$R$24)+(22.5*'Equipment Results Matrix'!$R$7)+'Equipment Results Matrix'!$R$9+'Equipment Results Matrix'!$R$12+'Equipment Results Matrix'!$R$16+'Equipment Results Matrix'!$R$23+'Equipment Results Matrix'!$T$12+'Equipment Results Matrix'!$R$6</f>
        <v>663.35667991762898</v>
      </c>
      <c r="I17" s="1441" t="s">
        <v>15</v>
      </c>
      <c r="J17" s="1401" t="s">
        <v>15</v>
      </c>
      <c r="K17" s="1401" t="s">
        <v>15</v>
      </c>
      <c r="L17" s="1526" t="s">
        <v>15</v>
      </c>
      <c r="M17" s="1372">
        <f t="shared" si="0"/>
        <v>663.35667991762898</v>
      </c>
      <c r="N17" s="1455" t="s">
        <v>40</v>
      </c>
      <c r="O17" s="1404"/>
      <c r="P17" s="1405"/>
      <c r="Q17" s="1405"/>
      <c r="R17" s="1405"/>
      <c r="S17" s="1405"/>
      <c r="T17" s="1405"/>
      <c r="U17" s="1405"/>
      <c r="V17" s="1677"/>
      <c r="W17" s="1366"/>
      <c r="X17" s="1366"/>
      <c r="Y17" s="1366"/>
      <c r="Z17" s="1366"/>
      <c r="AA17" s="1366"/>
      <c r="AB17" s="1366"/>
      <c r="AC17" s="1366"/>
      <c r="AD17" s="1366"/>
      <c r="AE17" s="1366"/>
      <c r="AF17" s="1366"/>
      <c r="AG17" s="1366"/>
      <c r="AH17" s="1366"/>
      <c r="AI17" s="1366"/>
      <c r="AJ17" s="1366"/>
      <c r="AK17" s="1366"/>
      <c r="AL17" s="1366"/>
      <c r="AM17" s="1366"/>
      <c r="AN17" s="1366"/>
      <c r="AO17" s="1366"/>
      <c r="AP17" s="1366"/>
      <c r="AQ17" s="1366"/>
      <c r="AR17" s="1366"/>
      <c r="AS17" s="1366"/>
      <c r="AT17" s="1366"/>
      <c r="AU17" s="1366"/>
      <c r="AV17" s="1366"/>
      <c r="AW17" s="1366"/>
      <c r="AX17" s="1366"/>
      <c r="AY17" s="1366"/>
      <c r="AZ17" s="1366"/>
      <c r="BA17" s="1366"/>
      <c r="BB17" s="1366"/>
      <c r="BC17" s="1366"/>
      <c r="BD17" s="1366"/>
      <c r="BE17" s="1366"/>
      <c r="BF17" s="1366"/>
      <c r="BG17" s="1366"/>
      <c r="BH17" s="1366"/>
      <c r="BI17" s="1366"/>
      <c r="BJ17" s="1366"/>
      <c r="BK17" s="1366"/>
      <c r="BL17" s="1366"/>
      <c r="BM17" s="1366"/>
      <c r="BN17" s="1366"/>
      <c r="BO17" s="1366"/>
      <c r="BP17" s="1366"/>
      <c r="BQ17" s="1366"/>
      <c r="BR17" s="1366"/>
      <c r="BS17" s="1366"/>
      <c r="BT17" s="1366"/>
      <c r="BU17" s="1366"/>
      <c r="BV17" s="1366"/>
      <c r="BW17" s="1366"/>
      <c r="BX17" s="1366"/>
      <c r="BY17" s="1366"/>
      <c r="BZ17" s="1366"/>
      <c r="CA17" s="1366"/>
      <c r="CB17" s="1366"/>
      <c r="CC17" s="1366"/>
      <c r="CD17" s="1366"/>
      <c r="CE17" s="1366"/>
      <c r="CF17" s="1366"/>
      <c r="CG17" s="1366"/>
      <c r="CH17" s="1366"/>
      <c r="CI17" s="1366"/>
      <c r="CJ17" s="1366"/>
      <c r="CK17" s="1366"/>
      <c r="CL17" s="1366"/>
      <c r="CM17" s="1366"/>
      <c r="CN17" s="1366"/>
      <c r="CO17" s="1366"/>
      <c r="CP17" s="1366"/>
      <c r="CQ17" s="1366"/>
      <c r="CR17" s="1366"/>
      <c r="CS17" s="1366"/>
      <c r="CT17" s="1366"/>
      <c r="CU17" s="1366"/>
      <c r="CV17" s="1366"/>
      <c r="CW17" s="1366"/>
      <c r="CX17" s="1366"/>
      <c r="CY17" s="1366"/>
      <c r="CZ17" s="1366"/>
      <c r="DA17" s="1366"/>
      <c r="DB17" s="1366"/>
      <c r="DC17" s="1366"/>
      <c r="DD17" s="1366"/>
      <c r="DE17" s="1366"/>
      <c r="DF17" s="1366"/>
      <c r="DG17" s="1366"/>
      <c r="DH17" s="1366"/>
      <c r="DI17" s="1366"/>
      <c r="DJ17" s="1366"/>
      <c r="DK17" s="1366"/>
      <c r="DL17" s="1366"/>
      <c r="DM17" s="1366"/>
      <c r="DN17" s="1366"/>
      <c r="DO17" s="1366"/>
      <c r="DP17" s="1366"/>
      <c r="DQ17" s="1366"/>
      <c r="DR17" s="1366"/>
      <c r="DS17" s="1366"/>
      <c r="DT17" s="1366"/>
      <c r="DU17" s="1366"/>
      <c r="DV17" s="1366"/>
    </row>
    <row r="18" spans="1:126" s="1367" customFormat="1" ht="30">
      <c r="A18" s="2494"/>
      <c r="B18" s="1653">
        <v>12</v>
      </c>
      <c r="C18" s="1642" t="s">
        <v>49</v>
      </c>
      <c r="D18" s="1375" t="s">
        <v>65</v>
      </c>
      <c r="E18" s="1364" t="s">
        <v>2097</v>
      </c>
      <c r="F18" s="1364" t="s">
        <v>2107</v>
      </c>
      <c r="G18" s="1185" t="s">
        <v>2201</v>
      </c>
      <c r="H18" s="1361">
        <f>(452*'Equipment Results Matrix'!$R$24)+(22.5*'Equipment Results Matrix'!$R$7)+'Equipment Results Matrix'!$R$9+'Equipment Results Matrix'!$R$12+'Equipment Results Matrix'!$R$16+'Equipment Results Matrix'!$R$23+'Equipment Results Matrix'!$T$12+'Equipment Results Matrix'!$R$5</f>
        <v>689.39667991762894</v>
      </c>
      <c r="I18" s="1441" t="s">
        <v>15</v>
      </c>
      <c r="J18" s="1401" t="s">
        <v>15</v>
      </c>
      <c r="K18" s="1401" t="s">
        <v>15</v>
      </c>
      <c r="L18" s="1526" t="s">
        <v>15</v>
      </c>
      <c r="M18" s="1372">
        <f t="shared" si="0"/>
        <v>689.39667991762894</v>
      </c>
      <c r="N18" s="1458">
        <f>M18-M17</f>
        <v>26.039999999999964</v>
      </c>
      <c r="O18" s="1404"/>
      <c r="P18" s="1405"/>
      <c r="Q18" s="1405"/>
      <c r="R18" s="1405"/>
      <c r="S18" s="1405"/>
      <c r="T18" s="1405"/>
      <c r="U18" s="1405"/>
      <c r="V18" s="1677"/>
      <c r="W18" s="1366"/>
      <c r="X18" s="1366"/>
      <c r="Y18" s="1366"/>
      <c r="Z18" s="1366"/>
      <c r="AA18" s="1366"/>
      <c r="AB18" s="1366"/>
      <c r="AC18" s="1366"/>
      <c r="AD18" s="1366"/>
      <c r="AE18" s="1366"/>
      <c r="AF18" s="1366"/>
      <c r="AG18" s="1366"/>
      <c r="AH18" s="1366"/>
      <c r="AI18" s="1366"/>
      <c r="AJ18" s="1366"/>
      <c r="AK18" s="1366"/>
      <c r="AL18" s="1366"/>
      <c r="AM18" s="1366"/>
      <c r="AN18" s="1366"/>
      <c r="AO18" s="1366"/>
      <c r="AP18" s="1366"/>
      <c r="AQ18" s="1366"/>
      <c r="AR18" s="1366"/>
      <c r="AS18" s="1366"/>
      <c r="AT18" s="1366"/>
      <c r="AU18" s="1366"/>
      <c r="AV18" s="1366"/>
      <c r="AW18" s="1366"/>
      <c r="AX18" s="1366"/>
      <c r="AY18" s="1366"/>
      <c r="AZ18" s="1366"/>
      <c r="BA18" s="1366"/>
      <c r="BB18" s="1366"/>
      <c r="BC18" s="1366"/>
      <c r="BD18" s="1366"/>
      <c r="BE18" s="1366"/>
      <c r="BF18" s="1366"/>
      <c r="BG18" s="1366"/>
      <c r="BH18" s="1366"/>
      <c r="BI18" s="1366"/>
      <c r="BJ18" s="1366"/>
      <c r="BK18" s="1366"/>
      <c r="BL18" s="1366"/>
      <c r="BM18" s="1366"/>
      <c r="BN18" s="1366"/>
      <c r="BO18" s="1366"/>
      <c r="BP18" s="1366"/>
      <c r="BQ18" s="1366"/>
      <c r="BR18" s="1366"/>
      <c r="BS18" s="1366"/>
      <c r="BT18" s="1366"/>
      <c r="BU18" s="1366"/>
      <c r="BV18" s="1366"/>
      <c r="BW18" s="1366"/>
      <c r="BX18" s="1366"/>
      <c r="BY18" s="1366"/>
      <c r="BZ18" s="1366"/>
      <c r="CA18" s="1366"/>
      <c r="CB18" s="1366"/>
      <c r="CC18" s="1366"/>
      <c r="CD18" s="1366"/>
      <c r="CE18" s="1366"/>
      <c r="CF18" s="1366"/>
      <c r="CG18" s="1366"/>
      <c r="CH18" s="1366"/>
      <c r="CI18" s="1366"/>
      <c r="CJ18" s="1366"/>
      <c r="CK18" s="1366"/>
      <c r="CL18" s="1366"/>
      <c r="CM18" s="1366"/>
      <c r="CN18" s="1366"/>
      <c r="CO18" s="1366"/>
      <c r="CP18" s="1366"/>
      <c r="CQ18" s="1366"/>
      <c r="CR18" s="1366"/>
      <c r="CS18" s="1366"/>
      <c r="CT18" s="1366"/>
      <c r="CU18" s="1366"/>
      <c r="CV18" s="1366"/>
      <c r="CW18" s="1366"/>
      <c r="CX18" s="1366"/>
      <c r="CY18" s="1366"/>
      <c r="CZ18" s="1366"/>
      <c r="DA18" s="1366"/>
      <c r="DB18" s="1366"/>
      <c r="DC18" s="1366"/>
      <c r="DD18" s="1366"/>
      <c r="DE18" s="1366"/>
      <c r="DF18" s="1366"/>
      <c r="DG18" s="1366"/>
      <c r="DH18" s="1366"/>
      <c r="DI18" s="1366"/>
      <c r="DJ18" s="1366"/>
      <c r="DK18" s="1366"/>
      <c r="DL18" s="1366"/>
      <c r="DM18" s="1366"/>
      <c r="DN18" s="1366"/>
      <c r="DO18" s="1366"/>
      <c r="DP18" s="1366"/>
      <c r="DQ18" s="1366"/>
      <c r="DR18" s="1366"/>
      <c r="DS18" s="1366"/>
      <c r="DT18" s="1366"/>
      <c r="DU18" s="1366"/>
      <c r="DV18" s="1366"/>
    </row>
    <row r="19" spans="1:126" s="1367" customFormat="1">
      <c r="A19" s="2494"/>
      <c r="B19" s="1653">
        <v>13</v>
      </c>
      <c r="C19" s="1642" t="s">
        <v>47</v>
      </c>
      <c r="D19" s="1375" t="s">
        <v>67</v>
      </c>
      <c r="E19" s="1364" t="s">
        <v>2097</v>
      </c>
      <c r="F19" s="1364" t="s">
        <v>2107</v>
      </c>
      <c r="G19" s="1185" t="s">
        <v>2201</v>
      </c>
      <c r="H19" s="1361">
        <f>(469*'Equipment Results Matrix'!$R$24)+(17.5*'Equipment Results Matrix'!$R$7)+'Equipment Results Matrix'!$R$9+'Equipment Results Matrix'!$R$12+'Equipment Results Matrix'!$R$16+'Equipment Results Matrix'!$R$23+'Equipment Results Matrix'!$T$12+'Equipment Results Matrix'!$R$6</f>
        <v>574.07967991762894</v>
      </c>
      <c r="I19" s="1441" t="s">
        <v>15</v>
      </c>
      <c r="J19" s="1401" t="s">
        <v>15</v>
      </c>
      <c r="K19" s="1401" t="s">
        <v>15</v>
      </c>
      <c r="L19" s="1526" t="s">
        <v>15</v>
      </c>
      <c r="M19" s="1372">
        <f t="shared" si="0"/>
        <v>574.07967991762894</v>
      </c>
      <c r="N19" s="1455" t="s">
        <v>40</v>
      </c>
      <c r="O19" s="1404"/>
      <c r="P19" s="1405"/>
      <c r="Q19" s="1405"/>
      <c r="R19" s="1405"/>
      <c r="S19" s="1405"/>
      <c r="T19" s="1405"/>
      <c r="U19" s="1405"/>
      <c r="V19" s="1677"/>
      <c r="W19" s="1366"/>
      <c r="X19" s="1366"/>
      <c r="Y19" s="1366"/>
      <c r="Z19" s="1366"/>
      <c r="AA19" s="1366"/>
      <c r="AB19" s="1366"/>
      <c r="AC19" s="1366"/>
      <c r="AD19" s="1366"/>
      <c r="AE19" s="1366"/>
      <c r="AF19" s="1366"/>
      <c r="AG19" s="1366"/>
      <c r="AH19" s="1366"/>
      <c r="AI19" s="1366"/>
      <c r="AJ19" s="1366"/>
      <c r="AK19" s="1366"/>
      <c r="AL19" s="1366"/>
      <c r="AM19" s="1366"/>
      <c r="AN19" s="1366"/>
      <c r="AO19" s="1366"/>
      <c r="AP19" s="1366"/>
      <c r="AQ19" s="1366"/>
      <c r="AR19" s="1366"/>
      <c r="AS19" s="1366"/>
      <c r="AT19" s="1366"/>
      <c r="AU19" s="1366"/>
      <c r="AV19" s="1366"/>
      <c r="AW19" s="1366"/>
      <c r="AX19" s="1366"/>
      <c r="AY19" s="1366"/>
      <c r="AZ19" s="1366"/>
      <c r="BA19" s="1366"/>
      <c r="BB19" s="1366"/>
      <c r="BC19" s="1366"/>
      <c r="BD19" s="1366"/>
      <c r="BE19" s="1366"/>
      <c r="BF19" s="1366"/>
      <c r="BG19" s="1366"/>
      <c r="BH19" s="1366"/>
      <c r="BI19" s="1366"/>
      <c r="BJ19" s="1366"/>
      <c r="BK19" s="1366"/>
      <c r="BL19" s="1366"/>
      <c r="BM19" s="1366"/>
      <c r="BN19" s="1366"/>
      <c r="BO19" s="1366"/>
      <c r="BP19" s="1366"/>
      <c r="BQ19" s="1366"/>
      <c r="BR19" s="1366"/>
      <c r="BS19" s="1366"/>
      <c r="BT19" s="1366"/>
      <c r="BU19" s="1366"/>
      <c r="BV19" s="1366"/>
      <c r="BW19" s="1366"/>
      <c r="BX19" s="1366"/>
      <c r="BY19" s="1366"/>
      <c r="BZ19" s="1366"/>
      <c r="CA19" s="1366"/>
      <c r="CB19" s="1366"/>
      <c r="CC19" s="1366"/>
      <c r="CD19" s="1366"/>
      <c r="CE19" s="1366"/>
      <c r="CF19" s="1366"/>
      <c r="CG19" s="1366"/>
      <c r="CH19" s="1366"/>
      <c r="CI19" s="1366"/>
      <c r="CJ19" s="1366"/>
      <c r="CK19" s="1366"/>
      <c r="CL19" s="1366"/>
      <c r="CM19" s="1366"/>
      <c r="CN19" s="1366"/>
      <c r="CO19" s="1366"/>
      <c r="CP19" s="1366"/>
      <c r="CQ19" s="1366"/>
      <c r="CR19" s="1366"/>
      <c r="CS19" s="1366"/>
      <c r="CT19" s="1366"/>
      <c r="CU19" s="1366"/>
      <c r="CV19" s="1366"/>
      <c r="CW19" s="1366"/>
      <c r="CX19" s="1366"/>
      <c r="CY19" s="1366"/>
      <c r="CZ19" s="1366"/>
      <c r="DA19" s="1366"/>
      <c r="DB19" s="1366"/>
      <c r="DC19" s="1366"/>
      <c r="DD19" s="1366"/>
      <c r="DE19" s="1366"/>
      <c r="DF19" s="1366"/>
      <c r="DG19" s="1366"/>
      <c r="DH19" s="1366"/>
      <c r="DI19" s="1366"/>
      <c r="DJ19" s="1366"/>
      <c r="DK19" s="1366"/>
      <c r="DL19" s="1366"/>
      <c r="DM19" s="1366"/>
      <c r="DN19" s="1366"/>
      <c r="DO19" s="1366"/>
      <c r="DP19" s="1366"/>
      <c r="DQ19" s="1366"/>
      <c r="DR19" s="1366"/>
      <c r="DS19" s="1366"/>
      <c r="DT19" s="1366"/>
      <c r="DU19" s="1366"/>
      <c r="DV19" s="1366"/>
    </row>
    <row r="20" spans="1:126" s="1367" customFormat="1" ht="30">
      <c r="A20" s="2494"/>
      <c r="B20" s="1653">
        <v>13</v>
      </c>
      <c r="C20" s="1642" t="s">
        <v>49</v>
      </c>
      <c r="D20" s="1375" t="s">
        <v>66</v>
      </c>
      <c r="E20" s="1364" t="s">
        <v>2097</v>
      </c>
      <c r="F20" s="1364" t="s">
        <v>2107</v>
      </c>
      <c r="G20" s="1185" t="s">
        <v>2201</v>
      </c>
      <c r="H20" s="1361">
        <f>(399*'Equipment Results Matrix'!$R$24)+(17.5*'Equipment Results Matrix'!$R$7)+'Equipment Results Matrix'!$R$9+'Equipment Results Matrix'!$R$12+'Equipment Results Matrix'!$R$16+'Equipment Results Matrix'!$R$23+'Equipment Results Matrix'!$T$12+'Equipment Results Matrix'!$R$5</f>
        <v>595.40967991762898</v>
      </c>
      <c r="I20" s="1441" t="s">
        <v>15</v>
      </c>
      <c r="J20" s="1401" t="s">
        <v>15</v>
      </c>
      <c r="K20" s="1401" t="s">
        <v>15</v>
      </c>
      <c r="L20" s="1526" t="s">
        <v>15</v>
      </c>
      <c r="M20" s="1372">
        <f t="shared" si="0"/>
        <v>595.40967991762898</v>
      </c>
      <c r="N20" s="1458">
        <f>M20-M19</f>
        <v>21.330000000000041</v>
      </c>
      <c r="O20" s="1404"/>
      <c r="P20" s="1405"/>
      <c r="Q20" s="1405"/>
      <c r="R20" s="1405"/>
      <c r="S20" s="1405"/>
      <c r="T20" s="1405"/>
      <c r="U20" s="1405"/>
      <c r="V20" s="1677"/>
      <c r="W20" s="1366"/>
      <c r="X20" s="1366"/>
      <c r="Y20" s="1366"/>
      <c r="Z20" s="1366"/>
      <c r="AA20" s="1366"/>
      <c r="AB20" s="1366"/>
      <c r="AC20" s="1366"/>
      <c r="AD20" s="1366"/>
      <c r="AE20" s="1366"/>
      <c r="AF20" s="1366"/>
      <c r="AG20" s="1366"/>
      <c r="AH20" s="1366"/>
      <c r="AI20" s="1366"/>
      <c r="AJ20" s="1366"/>
      <c r="AK20" s="1366"/>
      <c r="AL20" s="1366"/>
      <c r="AM20" s="1366"/>
      <c r="AN20" s="1366"/>
      <c r="AO20" s="1366"/>
      <c r="AP20" s="1366"/>
      <c r="AQ20" s="1366"/>
      <c r="AR20" s="1366"/>
      <c r="AS20" s="1366"/>
      <c r="AT20" s="1366"/>
      <c r="AU20" s="1366"/>
      <c r="AV20" s="1366"/>
      <c r="AW20" s="1366"/>
      <c r="AX20" s="1366"/>
      <c r="AY20" s="1366"/>
      <c r="AZ20" s="1366"/>
      <c r="BA20" s="1366"/>
      <c r="BB20" s="1366"/>
      <c r="BC20" s="1366"/>
      <c r="BD20" s="1366"/>
      <c r="BE20" s="1366"/>
      <c r="BF20" s="1366"/>
      <c r="BG20" s="1366"/>
      <c r="BH20" s="1366"/>
      <c r="BI20" s="1366"/>
      <c r="BJ20" s="1366"/>
      <c r="BK20" s="1366"/>
      <c r="BL20" s="1366"/>
      <c r="BM20" s="1366"/>
      <c r="BN20" s="1366"/>
      <c r="BO20" s="1366"/>
      <c r="BP20" s="1366"/>
      <c r="BQ20" s="1366"/>
      <c r="BR20" s="1366"/>
      <c r="BS20" s="1366"/>
      <c r="BT20" s="1366"/>
      <c r="BU20" s="1366"/>
      <c r="BV20" s="1366"/>
      <c r="BW20" s="1366"/>
      <c r="BX20" s="1366"/>
      <c r="BY20" s="1366"/>
      <c r="BZ20" s="1366"/>
      <c r="CA20" s="1366"/>
      <c r="CB20" s="1366"/>
      <c r="CC20" s="1366"/>
      <c r="CD20" s="1366"/>
      <c r="CE20" s="1366"/>
      <c r="CF20" s="1366"/>
      <c r="CG20" s="1366"/>
      <c r="CH20" s="1366"/>
      <c r="CI20" s="1366"/>
      <c r="CJ20" s="1366"/>
      <c r="CK20" s="1366"/>
      <c r="CL20" s="1366"/>
      <c r="CM20" s="1366"/>
      <c r="CN20" s="1366"/>
      <c r="CO20" s="1366"/>
      <c r="CP20" s="1366"/>
      <c r="CQ20" s="1366"/>
      <c r="CR20" s="1366"/>
      <c r="CS20" s="1366"/>
      <c r="CT20" s="1366"/>
      <c r="CU20" s="1366"/>
      <c r="CV20" s="1366"/>
      <c r="CW20" s="1366"/>
      <c r="CX20" s="1366"/>
      <c r="CY20" s="1366"/>
      <c r="CZ20" s="1366"/>
      <c r="DA20" s="1366"/>
      <c r="DB20" s="1366"/>
      <c r="DC20" s="1366"/>
      <c r="DD20" s="1366"/>
      <c r="DE20" s="1366"/>
      <c r="DF20" s="1366"/>
      <c r="DG20" s="1366"/>
      <c r="DH20" s="1366"/>
      <c r="DI20" s="1366"/>
      <c r="DJ20" s="1366"/>
      <c r="DK20" s="1366"/>
      <c r="DL20" s="1366"/>
      <c r="DM20" s="1366"/>
      <c r="DN20" s="1366"/>
      <c r="DO20" s="1366"/>
      <c r="DP20" s="1366"/>
      <c r="DQ20" s="1366"/>
      <c r="DR20" s="1366"/>
      <c r="DS20" s="1366"/>
      <c r="DT20" s="1366"/>
      <c r="DU20" s="1366"/>
      <c r="DV20" s="1366"/>
    </row>
    <row r="21" spans="1:126" s="1367" customFormat="1">
      <c r="A21" s="2494"/>
      <c r="B21" s="1653">
        <v>14</v>
      </c>
      <c r="C21" s="1642" t="s">
        <v>47</v>
      </c>
      <c r="D21" s="1375" t="s">
        <v>2111</v>
      </c>
      <c r="E21" s="1364" t="s">
        <v>2097</v>
      </c>
      <c r="F21" s="1364" t="s">
        <v>2107</v>
      </c>
      <c r="G21" s="1185" t="s">
        <v>2201</v>
      </c>
      <c r="H21" s="1361">
        <f>(420*'Equipment Results Matrix'!$R$24)+(12.5*'Equipment Results Matrix'!$R$7)+'Equipment Results Matrix'!$R$9+'Equipment Results Matrix'!$R$12+'Equipment Results Matrix'!$R$16+'Equipment Results Matrix'!$R$23+'Equipment Results Matrix'!$T$12+'Equipment Results Matrix'!$R$6</f>
        <v>478.20867991762901</v>
      </c>
      <c r="I21" s="1441" t="s">
        <v>15</v>
      </c>
      <c r="J21" s="1401" t="s">
        <v>15</v>
      </c>
      <c r="K21" s="1401" t="s">
        <v>15</v>
      </c>
      <c r="L21" s="1526" t="s">
        <v>15</v>
      </c>
      <c r="M21" s="1372">
        <f t="shared" si="0"/>
        <v>478.20867991762901</v>
      </c>
      <c r="N21" s="1455" t="s">
        <v>40</v>
      </c>
      <c r="O21" s="1404"/>
      <c r="P21" s="1405"/>
      <c r="Q21" s="1405"/>
      <c r="R21" s="1405"/>
      <c r="S21" s="1405"/>
      <c r="T21" s="1405"/>
      <c r="U21" s="1405"/>
      <c r="V21" s="1677"/>
      <c r="W21" s="1366"/>
      <c r="X21" s="1366"/>
      <c r="Y21" s="1366"/>
      <c r="Z21" s="1366"/>
      <c r="AA21" s="1366"/>
      <c r="AB21" s="1366"/>
      <c r="AC21" s="1366"/>
      <c r="AD21" s="1366"/>
      <c r="AE21" s="1366"/>
      <c r="AF21" s="1366"/>
      <c r="AG21" s="1366"/>
      <c r="AH21" s="1366"/>
      <c r="AI21" s="1366"/>
      <c r="AJ21" s="1366"/>
      <c r="AK21" s="1366"/>
      <c r="AL21" s="1366"/>
      <c r="AM21" s="1366"/>
      <c r="AN21" s="1366"/>
      <c r="AO21" s="1366"/>
      <c r="AP21" s="1366"/>
      <c r="AQ21" s="1366"/>
      <c r="AR21" s="1366"/>
      <c r="AS21" s="1366"/>
      <c r="AT21" s="1366"/>
      <c r="AU21" s="1366"/>
      <c r="AV21" s="1366"/>
      <c r="AW21" s="1366"/>
      <c r="AX21" s="1366"/>
      <c r="AY21" s="1366"/>
      <c r="AZ21" s="1366"/>
      <c r="BA21" s="1366"/>
      <c r="BB21" s="1366"/>
      <c r="BC21" s="1366"/>
      <c r="BD21" s="1366"/>
      <c r="BE21" s="1366"/>
      <c r="BF21" s="1366"/>
      <c r="BG21" s="1366"/>
      <c r="BH21" s="1366"/>
      <c r="BI21" s="1366"/>
      <c r="BJ21" s="1366"/>
      <c r="BK21" s="1366"/>
      <c r="BL21" s="1366"/>
      <c r="BM21" s="1366"/>
      <c r="BN21" s="1366"/>
      <c r="BO21" s="1366"/>
      <c r="BP21" s="1366"/>
      <c r="BQ21" s="1366"/>
      <c r="BR21" s="1366"/>
      <c r="BS21" s="1366"/>
      <c r="BT21" s="1366"/>
      <c r="BU21" s="1366"/>
      <c r="BV21" s="1366"/>
      <c r="BW21" s="1366"/>
      <c r="BX21" s="1366"/>
      <c r="BY21" s="1366"/>
      <c r="BZ21" s="1366"/>
      <c r="CA21" s="1366"/>
      <c r="CB21" s="1366"/>
      <c r="CC21" s="1366"/>
      <c r="CD21" s="1366"/>
      <c r="CE21" s="1366"/>
      <c r="CF21" s="1366"/>
      <c r="CG21" s="1366"/>
      <c r="CH21" s="1366"/>
      <c r="CI21" s="1366"/>
      <c r="CJ21" s="1366"/>
      <c r="CK21" s="1366"/>
      <c r="CL21" s="1366"/>
      <c r="CM21" s="1366"/>
      <c r="CN21" s="1366"/>
      <c r="CO21" s="1366"/>
      <c r="CP21" s="1366"/>
      <c r="CQ21" s="1366"/>
      <c r="CR21" s="1366"/>
      <c r="CS21" s="1366"/>
      <c r="CT21" s="1366"/>
      <c r="CU21" s="1366"/>
      <c r="CV21" s="1366"/>
      <c r="CW21" s="1366"/>
      <c r="CX21" s="1366"/>
      <c r="CY21" s="1366"/>
      <c r="CZ21" s="1366"/>
      <c r="DA21" s="1366"/>
      <c r="DB21" s="1366"/>
      <c r="DC21" s="1366"/>
      <c r="DD21" s="1366"/>
      <c r="DE21" s="1366"/>
      <c r="DF21" s="1366"/>
      <c r="DG21" s="1366"/>
      <c r="DH21" s="1366"/>
      <c r="DI21" s="1366"/>
      <c r="DJ21" s="1366"/>
      <c r="DK21" s="1366"/>
      <c r="DL21" s="1366"/>
      <c r="DM21" s="1366"/>
      <c r="DN21" s="1366"/>
      <c r="DO21" s="1366"/>
      <c r="DP21" s="1366"/>
      <c r="DQ21" s="1366"/>
      <c r="DR21" s="1366"/>
      <c r="DS21" s="1366"/>
      <c r="DT21" s="1366"/>
      <c r="DU21" s="1366"/>
      <c r="DV21" s="1366"/>
    </row>
    <row r="22" spans="1:126" s="1367" customFormat="1" ht="30">
      <c r="A22" s="2494"/>
      <c r="B22" s="1653">
        <v>14</v>
      </c>
      <c r="C22" s="1642" t="s">
        <v>49</v>
      </c>
      <c r="D22" s="1375" t="s">
        <v>2099</v>
      </c>
      <c r="E22" s="1364" t="s">
        <v>2097</v>
      </c>
      <c r="F22" s="1364" t="s">
        <v>2107</v>
      </c>
      <c r="G22" s="1185" t="s">
        <v>2201</v>
      </c>
      <c r="H22" s="1361">
        <f>(357*'Equipment Results Matrix'!$R$24)+(12.5*'Equipment Results Matrix'!$R$7)+'Equipment Results Matrix'!$R$9+'Equipment Results Matrix'!$R$12+'Equipment Results Matrix'!$R$16+'Equipment Results Matrix'!$R$23+'Equipment Results Matrix'!$T$12+'Equipment Results Matrix'!$R$5</f>
        <v>496.24167991762903</v>
      </c>
      <c r="I22" s="1441" t="s">
        <v>15</v>
      </c>
      <c r="J22" s="1401" t="s">
        <v>15</v>
      </c>
      <c r="K22" s="1401" t="s">
        <v>15</v>
      </c>
      <c r="L22" s="1526" t="s">
        <v>15</v>
      </c>
      <c r="M22" s="1372">
        <f t="shared" si="0"/>
        <v>496.24167991762903</v>
      </c>
      <c r="N22" s="1458">
        <f>M22-M21</f>
        <v>18.033000000000015</v>
      </c>
      <c r="O22" s="1404"/>
      <c r="P22" s="1405"/>
      <c r="Q22" s="1405"/>
      <c r="R22" s="1405"/>
      <c r="S22" s="1405"/>
      <c r="T22" s="1405"/>
      <c r="U22" s="1405"/>
      <c r="V22" s="1677"/>
      <c r="W22" s="1366"/>
      <c r="X22" s="1366"/>
      <c r="Y22" s="1366"/>
      <c r="Z22" s="1366"/>
      <c r="AA22" s="1366"/>
      <c r="AB22" s="1366"/>
      <c r="AC22" s="1366"/>
      <c r="AD22" s="1366"/>
      <c r="AE22" s="1366"/>
      <c r="AF22" s="1366"/>
      <c r="AG22" s="1366"/>
      <c r="AH22" s="1366"/>
      <c r="AI22" s="1366"/>
      <c r="AJ22" s="1366"/>
      <c r="AK22" s="1366"/>
      <c r="AL22" s="1366"/>
      <c r="AM22" s="1366"/>
      <c r="AN22" s="1366"/>
      <c r="AO22" s="1366"/>
      <c r="AP22" s="1366"/>
      <c r="AQ22" s="1366"/>
      <c r="AR22" s="1366"/>
      <c r="AS22" s="1366"/>
      <c r="AT22" s="1366"/>
      <c r="AU22" s="1366"/>
      <c r="AV22" s="1366"/>
      <c r="AW22" s="1366"/>
      <c r="AX22" s="1366"/>
      <c r="AY22" s="1366"/>
      <c r="AZ22" s="1366"/>
      <c r="BA22" s="1366"/>
      <c r="BB22" s="1366"/>
      <c r="BC22" s="1366"/>
      <c r="BD22" s="1366"/>
      <c r="BE22" s="1366"/>
      <c r="BF22" s="1366"/>
      <c r="BG22" s="1366"/>
      <c r="BH22" s="1366"/>
      <c r="BI22" s="1366"/>
      <c r="BJ22" s="1366"/>
      <c r="BK22" s="1366"/>
      <c r="BL22" s="1366"/>
      <c r="BM22" s="1366"/>
      <c r="BN22" s="1366"/>
      <c r="BO22" s="1366"/>
      <c r="BP22" s="1366"/>
      <c r="BQ22" s="1366"/>
      <c r="BR22" s="1366"/>
      <c r="BS22" s="1366"/>
      <c r="BT22" s="1366"/>
      <c r="BU22" s="1366"/>
      <c r="BV22" s="1366"/>
      <c r="BW22" s="1366"/>
      <c r="BX22" s="1366"/>
      <c r="BY22" s="1366"/>
      <c r="BZ22" s="1366"/>
      <c r="CA22" s="1366"/>
      <c r="CB22" s="1366"/>
      <c r="CC22" s="1366"/>
      <c r="CD22" s="1366"/>
      <c r="CE22" s="1366"/>
      <c r="CF22" s="1366"/>
      <c r="CG22" s="1366"/>
      <c r="CH22" s="1366"/>
      <c r="CI22" s="1366"/>
      <c r="CJ22" s="1366"/>
      <c r="CK22" s="1366"/>
      <c r="CL22" s="1366"/>
      <c r="CM22" s="1366"/>
      <c r="CN22" s="1366"/>
      <c r="CO22" s="1366"/>
      <c r="CP22" s="1366"/>
      <c r="CQ22" s="1366"/>
      <c r="CR22" s="1366"/>
      <c r="CS22" s="1366"/>
      <c r="CT22" s="1366"/>
      <c r="CU22" s="1366"/>
      <c r="CV22" s="1366"/>
      <c r="CW22" s="1366"/>
      <c r="CX22" s="1366"/>
      <c r="CY22" s="1366"/>
      <c r="CZ22" s="1366"/>
      <c r="DA22" s="1366"/>
      <c r="DB22" s="1366"/>
      <c r="DC22" s="1366"/>
      <c r="DD22" s="1366"/>
      <c r="DE22" s="1366"/>
      <c r="DF22" s="1366"/>
      <c r="DG22" s="1366"/>
      <c r="DH22" s="1366"/>
      <c r="DI22" s="1366"/>
      <c r="DJ22" s="1366"/>
      <c r="DK22" s="1366"/>
      <c r="DL22" s="1366"/>
      <c r="DM22" s="1366"/>
      <c r="DN22" s="1366"/>
      <c r="DO22" s="1366"/>
      <c r="DP22" s="1366"/>
      <c r="DQ22" s="1366"/>
      <c r="DR22" s="1366"/>
      <c r="DS22" s="1366"/>
      <c r="DT22" s="1366"/>
      <c r="DU22" s="1366"/>
      <c r="DV22" s="1366"/>
    </row>
    <row r="23" spans="1:126" s="1367" customFormat="1" ht="30">
      <c r="A23" s="2494"/>
      <c r="B23" s="1653">
        <v>10023</v>
      </c>
      <c r="C23" s="1642" t="s">
        <v>47</v>
      </c>
      <c r="D23" s="1375" t="s">
        <v>2562</v>
      </c>
      <c r="E23" s="1364" t="s">
        <v>2102</v>
      </c>
      <c r="F23" s="1364" t="s">
        <v>2107</v>
      </c>
      <c r="G23" s="1185" t="s">
        <v>2201</v>
      </c>
      <c r="H23" s="1361">
        <f>(900*'Equipment Results Matrix'!$R$24)+(20.75*'Equipment Results Matrix'!$R$7)+'Equipment Results Matrix'!$R$8+'Equipment Results Matrix'!$R$12+'Equipment Results Matrix'!$R$16+'Equipment Results Matrix'!$R$23+'Equipment Results Matrix'!$T$12</f>
        <v>839.48717991762896</v>
      </c>
      <c r="I23" s="1441" t="s">
        <v>15</v>
      </c>
      <c r="J23" s="1401" t="s">
        <v>15</v>
      </c>
      <c r="K23" s="1401" t="s">
        <v>15</v>
      </c>
      <c r="L23" s="1526" t="s">
        <v>15</v>
      </c>
      <c r="M23" s="1372">
        <f t="shared" ref="M23:M26" si="1">H23</f>
        <v>839.48717991762896</v>
      </c>
      <c r="N23" s="1455" t="s">
        <v>40</v>
      </c>
      <c r="O23" s="1404"/>
      <c r="P23" s="1405"/>
      <c r="Q23" s="1405"/>
      <c r="R23" s="1405"/>
      <c r="S23" s="1405"/>
      <c r="T23" s="1405"/>
      <c r="U23" s="1405"/>
      <c r="V23" s="1677"/>
      <c r="W23" s="1366"/>
      <c r="X23" s="1366"/>
      <c r="Y23" s="1366"/>
      <c r="Z23" s="1366"/>
      <c r="AA23" s="1366"/>
      <c r="AB23" s="1366"/>
      <c r="AC23" s="1366"/>
      <c r="AD23" s="1366"/>
      <c r="AE23" s="1366"/>
      <c r="AF23" s="1366"/>
      <c r="AG23" s="1366"/>
      <c r="AH23" s="1366"/>
      <c r="AI23" s="1366"/>
      <c r="AJ23" s="1366"/>
      <c r="AK23" s="1366"/>
      <c r="AL23" s="1366"/>
      <c r="AM23" s="1366"/>
      <c r="AN23" s="1366"/>
      <c r="AO23" s="1366"/>
      <c r="AP23" s="1366"/>
      <c r="AQ23" s="1366"/>
      <c r="AR23" s="1366"/>
      <c r="AS23" s="1366"/>
      <c r="AT23" s="1366"/>
      <c r="AU23" s="1366"/>
      <c r="AV23" s="1366"/>
      <c r="AW23" s="1366"/>
      <c r="AX23" s="1366"/>
      <c r="AY23" s="1366"/>
      <c r="AZ23" s="1366"/>
      <c r="BA23" s="1366"/>
      <c r="BB23" s="1366"/>
      <c r="BC23" s="1366"/>
      <c r="BD23" s="1366"/>
      <c r="BE23" s="1366"/>
      <c r="BF23" s="1366"/>
      <c r="BG23" s="1366"/>
      <c r="BH23" s="1366"/>
      <c r="BI23" s="1366"/>
      <c r="BJ23" s="1366"/>
      <c r="BK23" s="1366"/>
      <c r="BL23" s="1366"/>
      <c r="BM23" s="1366"/>
      <c r="BN23" s="1366"/>
      <c r="BO23" s="1366"/>
      <c r="BP23" s="1366"/>
      <c r="BQ23" s="1366"/>
      <c r="BR23" s="1366"/>
      <c r="BS23" s="1366"/>
      <c r="BT23" s="1366"/>
      <c r="BU23" s="1366"/>
      <c r="BV23" s="1366"/>
      <c r="BW23" s="1366"/>
      <c r="BX23" s="1366"/>
      <c r="BY23" s="1366"/>
      <c r="BZ23" s="1366"/>
      <c r="CA23" s="1366"/>
      <c r="CB23" s="1366"/>
      <c r="CC23" s="1366"/>
      <c r="CD23" s="1366"/>
      <c r="CE23" s="1366"/>
      <c r="CF23" s="1366"/>
      <c r="CG23" s="1366"/>
      <c r="CH23" s="1366"/>
      <c r="CI23" s="1366"/>
      <c r="CJ23" s="1366"/>
      <c r="CK23" s="1366"/>
      <c r="CL23" s="1366"/>
      <c r="CM23" s="1366"/>
      <c r="CN23" s="1366"/>
      <c r="CO23" s="1366"/>
      <c r="CP23" s="1366"/>
      <c r="CQ23" s="1366"/>
      <c r="CR23" s="1366"/>
      <c r="CS23" s="1366"/>
      <c r="CT23" s="1366"/>
      <c r="CU23" s="1366"/>
      <c r="CV23" s="1366"/>
      <c r="CW23" s="1366"/>
      <c r="CX23" s="1366"/>
      <c r="CY23" s="1366"/>
      <c r="CZ23" s="1366"/>
      <c r="DA23" s="1366"/>
      <c r="DB23" s="1366"/>
      <c r="DC23" s="1366"/>
      <c r="DD23" s="1366"/>
      <c r="DE23" s="1366"/>
      <c r="DF23" s="1366"/>
      <c r="DG23" s="1366"/>
      <c r="DH23" s="1366"/>
      <c r="DI23" s="1366"/>
      <c r="DJ23" s="1366"/>
      <c r="DK23" s="1366"/>
      <c r="DL23" s="1366"/>
      <c r="DM23" s="1366"/>
      <c r="DN23" s="1366"/>
      <c r="DO23" s="1366"/>
      <c r="DP23" s="1366"/>
      <c r="DQ23" s="1366"/>
      <c r="DR23" s="1366"/>
      <c r="DS23" s="1366"/>
      <c r="DT23" s="1366"/>
      <c r="DU23" s="1366"/>
      <c r="DV23" s="1366"/>
    </row>
    <row r="24" spans="1:126" s="1367" customFormat="1" ht="30">
      <c r="A24" s="2494"/>
      <c r="B24" s="1653">
        <v>10023</v>
      </c>
      <c r="C24" s="1642" t="s">
        <v>49</v>
      </c>
      <c r="D24" s="1375" t="s">
        <v>2564</v>
      </c>
      <c r="E24" s="1364" t="s">
        <v>2102</v>
      </c>
      <c r="F24" s="1364" t="s">
        <v>2107</v>
      </c>
      <c r="G24" s="1185" t="s">
        <v>2201</v>
      </c>
      <c r="H24" s="1361">
        <f>(500*'Equipment Results Matrix'!$R$24)+(20.75*'Equipment Results Matrix'!$R$7)+'Equipment Results Matrix'!$R$8+'Equipment Results Matrix'!$R$12+'Equipment Results Matrix'!$R$16+'Equipment Results Matrix'!$R$23+'Equipment Results Matrix'!$T$12+'Equipment Results Matrix'!$R$5</f>
        <v>1016.2471799176291</v>
      </c>
      <c r="I24" s="1441" t="s">
        <v>15</v>
      </c>
      <c r="J24" s="1401" t="s">
        <v>15</v>
      </c>
      <c r="K24" s="1401" t="s">
        <v>15</v>
      </c>
      <c r="L24" s="1526" t="s">
        <v>15</v>
      </c>
      <c r="M24" s="1372">
        <f t="shared" si="1"/>
        <v>1016.2471799176291</v>
      </c>
      <c r="N24" s="1458">
        <f>M24-M23</f>
        <v>176.7600000000001</v>
      </c>
      <c r="O24" s="1404"/>
      <c r="P24" s="1405"/>
      <c r="Q24" s="1405"/>
      <c r="R24" s="1405"/>
      <c r="S24" s="1405"/>
      <c r="T24" s="1405"/>
      <c r="U24" s="1405"/>
      <c r="V24" s="1677"/>
      <c r="W24" s="1366"/>
      <c r="X24" s="1366"/>
      <c r="Y24" s="1366"/>
      <c r="Z24" s="1366"/>
      <c r="AA24" s="1366"/>
      <c r="AB24" s="1366"/>
      <c r="AC24" s="1366"/>
      <c r="AD24" s="1366"/>
      <c r="AE24" s="1366"/>
      <c r="AF24" s="1366"/>
      <c r="AG24" s="1366"/>
      <c r="AH24" s="1366"/>
      <c r="AI24" s="1366"/>
      <c r="AJ24" s="1366"/>
      <c r="AK24" s="1366"/>
      <c r="AL24" s="1366"/>
      <c r="AM24" s="1366"/>
      <c r="AN24" s="1366"/>
      <c r="AO24" s="1366"/>
      <c r="AP24" s="1366"/>
      <c r="AQ24" s="1366"/>
      <c r="AR24" s="1366"/>
      <c r="AS24" s="1366"/>
      <c r="AT24" s="1366"/>
      <c r="AU24" s="1366"/>
      <c r="AV24" s="1366"/>
      <c r="AW24" s="1366"/>
      <c r="AX24" s="1366"/>
      <c r="AY24" s="1366"/>
      <c r="AZ24" s="1366"/>
      <c r="BA24" s="1366"/>
      <c r="BB24" s="1366"/>
      <c r="BC24" s="1366"/>
      <c r="BD24" s="1366"/>
      <c r="BE24" s="1366"/>
      <c r="BF24" s="1366"/>
      <c r="BG24" s="1366"/>
      <c r="BH24" s="1366"/>
      <c r="BI24" s="1366"/>
      <c r="BJ24" s="1366"/>
      <c r="BK24" s="1366"/>
      <c r="BL24" s="1366"/>
      <c r="BM24" s="1366"/>
      <c r="BN24" s="1366"/>
      <c r="BO24" s="1366"/>
      <c r="BP24" s="1366"/>
      <c r="BQ24" s="1366"/>
      <c r="BR24" s="1366"/>
      <c r="BS24" s="1366"/>
      <c r="BT24" s="1366"/>
      <c r="BU24" s="1366"/>
      <c r="BV24" s="1366"/>
      <c r="BW24" s="1366"/>
      <c r="BX24" s="1366"/>
      <c r="BY24" s="1366"/>
      <c r="BZ24" s="1366"/>
      <c r="CA24" s="1366"/>
      <c r="CB24" s="1366"/>
      <c r="CC24" s="1366"/>
      <c r="CD24" s="1366"/>
      <c r="CE24" s="1366"/>
      <c r="CF24" s="1366"/>
      <c r="CG24" s="1366"/>
      <c r="CH24" s="1366"/>
      <c r="CI24" s="1366"/>
      <c r="CJ24" s="1366"/>
      <c r="CK24" s="1366"/>
      <c r="CL24" s="1366"/>
      <c r="CM24" s="1366"/>
      <c r="CN24" s="1366"/>
      <c r="CO24" s="1366"/>
      <c r="CP24" s="1366"/>
      <c r="CQ24" s="1366"/>
      <c r="CR24" s="1366"/>
      <c r="CS24" s="1366"/>
      <c r="CT24" s="1366"/>
      <c r="CU24" s="1366"/>
      <c r="CV24" s="1366"/>
      <c r="CW24" s="1366"/>
      <c r="CX24" s="1366"/>
      <c r="CY24" s="1366"/>
      <c r="CZ24" s="1366"/>
      <c r="DA24" s="1366"/>
      <c r="DB24" s="1366"/>
      <c r="DC24" s="1366"/>
      <c r="DD24" s="1366"/>
      <c r="DE24" s="1366"/>
      <c r="DF24" s="1366"/>
      <c r="DG24" s="1366"/>
      <c r="DH24" s="1366"/>
      <c r="DI24" s="1366"/>
      <c r="DJ24" s="1366"/>
      <c r="DK24" s="1366"/>
      <c r="DL24" s="1366"/>
      <c r="DM24" s="1366"/>
      <c r="DN24" s="1366"/>
      <c r="DO24" s="1366"/>
      <c r="DP24" s="1366"/>
      <c r="DQ24" s="1366"/>
      <c r="DR24" s="1366"/>
      <c r="DS24" s="1366"/>
      <c r="DT24" s="1366"/>
      <c r="DU24" s="1366"/>
      <c r="DV24" s="1366"/>
    </row>
    <row r="25" spans="1:126" s="1367" customFormat="1" ht="30">
      <c r="A25" s="2494"/>
      <c r="B25" s="1653">
        <v>10024</v>
      </c>
      <c r="C25" s="1642" t="s">
        <v>47</v>
      </c>
      <c r="D25" s="1375" t="s">
        <v>2563</v>
      </c>
      <c r="E25" s="1364" t="s">
        <v>2102</v>
      </c>
      <c r="F25" s="1364" t="s">
        <v>2107</v>
      </c>
      <c r="G25" s="1185" t="s">
        <v>2201</v>
      </c>
      <c r="H25" s="1361">
        <f>(1800*'Equipment Results Matrix'!$R$24)+(20.75*'Equipment Results Matrix'!$R$7)+'Equipment Results Matrix'!$R$8+'Equipment Results Matrix'!$R$12+'Equipment Results Matrix'!$R$16+'Equipment Results Matrix'!$R$23+'Equipment Results Matrix'!$T$12</f>
        <v>415.58717991762904</v>
      </c>
      <c r="I25" s="1441" t="s">
        <v>15</v>
      </c>
      <c r="J25" s="1401" t="s">
        <v>15</v>
      </c>
      <c r="K25" s="1401" t="s">
        <v>15</v>
      </c>
      <c r="L25" s="1526" t="s">
        <v>15</v>
      </c>
      <c r="M25" s="1372">
        <f t="shared" si="1"/>
        <v>415.58717991762904</v>
      </c>
      <c r="N25" s="1455" t="s">
        <v>40</v>
      </c>
      <c r="O25" s="1404"/>
      <c r="P25" s="1405"/>
      <c r="Q25" s="1405"/>
      <c r="R25" s="1405"/>
      <c r="S25" s="1405"/>
      <c r="T25" s="1405"/>
      <c r="U25" s="1405"/>
      <c r="V25" s="1677"/>
      <c r="W25" s="1366"/>
      <c r="X25" s="1366"/>
      <c r="Y25" s="1366"/>
      <c r="Z25" s="1366"/>
      <c r="AA25" s="1366"/>
      <c r="AB25" s="1366"/>
      <c r="AC25" s="1366"/>
      <c r="AD25" s="1366"/>
      <c r="AE25" s="1366"/>
      <c r="AF25" s="1366"/>
      <c r="AG25" s="1366"/>
      <c r="AH25" s="1366"/>
      <c r="AI25" s="1366"/>
      <c r="AJ25" s="1366"/>
      <c r="AK25" s="1366"/>
      <c r="AL25" s="1366"/>
      <c r="AM25" s="1366"/>
      <c r="AN25" s="1366"/>
      <c r="AO25" s="1366"/>
      <c r="AP25" s="1366"/>
      <c r="AQ25" s="1366"/>
      <c r="AR25" s="1366"/>
      <c r="AS25" s="1366"/>
      <c r="AT25" s="1366"/>
      <c r="AU25" s="1366"/>
      <c r="AV25" s="1366"/>
      <c r="AW25" s="1366"/>
      <c r="AX25" s="1366"/>
      <c r="AY25" s="1366"/>
      <c r="AZ25" s="1366"/>
      <c r="BA25" s="1366"/>
      <c r="BB25" s="1366"/>
      <c r="BC25" s="1366"/>
      <c r="BD25" s="1366"/>
      <c r="BE25" s="1366"/>
      <c r="BF25" s="1366"/>
      <c r="BG25" s="1366"/>
      <c r="BH25" s="1366"/>
      <c r="BI25" s="1366"/>
      <c r="BJ25" s="1366"/>
      <c r="BK25" s="1366"/>
      <c r="BL25" s="1366"/>
      <c r="BM25" s="1366"/>
      <c r="BN25" s="1366"/>
      <c r="BO25" s="1366"/>
      <c r="BP25" s="1366"/>
      <c r="BQ25" s="1366"/>
      <c r="BR25" s="1366"/>
      <c r="BS25" s="1366"/>
      <c r="BT25" s="1366"/>
      <c r="BU25" s="1366"/>
      <c r="BV25" s="1366"/>
      <c r="BW25" s="1366"/>
      <c r="BX25" s="1366"/>
      <c r="BY25" s="1366"/>
      <c r="BZ25" s="1366"/>
      <c r="CA25" s="1366"/>
      <c r="CB25" s="1366"/>
      <c r="CC25" s="1366"/>
      <c r="CD25" s="1366"/>
      <c r="CE25" s="1366"/>
      <c r="CF25" s="1366"/>
      <c r="CG25" s="1366"/>
      <c r="CH25" s="1366"/>
      <c r="CI25" s="1366"/>
      <c r="CJ25" s="1366"/>
      <c r="CK25" s="1366"/>
      <c r="CL25" s="1366"/>
      <c r="CM25" s="1366"/>
      <c r="CN25" s="1366"/>
      <c r="CO25" s="1366"/>
      <c r="CP25" s="1366"/>
      <c r="CQ25" s="1366"/>
      <c r="CR25" s="1366"/>
      <c r="CS25" s="1366"/>
      <c r="CT25" s="1366"/>
      <c r="CU25" s="1366"/>
      <c r="CV25" s="1366"/>
      <c r="CW25" s="1366"/>
      <c r="CX25" s="1366"/>
      <c r="CY25" s="1366"/>
      <c r="CZ25" s="1366"/>
      <c r="DA25" s="1366"/>
      <c r="DB25" s="1366"/>
      <c r="DC25" s="1366"/>
      <c r="DD25" s="1366"/>
      <c r="DE25" s="1366"/>
      <c r="DF25" s="1366"/>
      <c r="DG25" s="1366"/>
      <c r="DH25" s="1366"/>
      <c r="DI25" s="1366"/>
      <c r="DJ25" s="1366"/>
      <c r="DK25" s="1366"/>
      <c r="DL25" s="1366"/>
      <c r="DM25" s="1366"/>
      <c r="DN25" s="1366"/>
      <c r="DO25" s="1366"/>
      <c r="DP25" s="1366"/>
      <c r="DQ25" s="1366"/>
      <c r="DR25" s="1366"/>
      <c r="DS25" s="1366"/>
      <c r="DT25" s="1366"/>
      <c r="DU25" s="1366"/>
      <c r="DV25" s="1366"/>
    </row>
    <row r="26" spans="1:126" s="1367" customFormat="1" ht="30.75" thickBot="1">
      <c r="A26" s="2495"/>
      <c r="B26" s="1653">
        <v>10024</v>
      </c>
      <c r="C26" s="1642" t="s">
        <v>49</v>
      </c>
      <c r="D26" s="1375" t="s">
        <v>2565</v>
      </c>
      <c r="E26" s="1364" t="s">
        <v>2102</v>
      </c>
      <c r="F26" s="1364" t="s">
        <v>2107</v>
      </c>
      <c r="G26" s="1185" t="s">
        <v>2201</v>
      </c>
      <c r="H26" s="1361">
        <f>(600*'Equipment Results Matrix'!$R$24)+(20.75*'Equipment Results Matrix'!$R$7)+'Equipment Results Matrix'!$R$8+'Equipment Results Matrix'!$R$12+'Equipment Results Matrix'!$R$16+'Equipment Results Matrix'!$R$23+'Equipment Results Matrix'!$T$12+'Equipment Results Matrix'!$R$5</f>
        <v>969.14717991762905</v>
      </c>
      <c r="I26" s="1441" t="s">
        <v>15</v>
      </c>
      <c r="J26" s="1401" t="s">
        <v>15</v>
      </c>
      <c r="K26" s="1401" t="s">
        <v>15</v>
      </c>
      <c r="L26" s="1526" t="s">
        <v>15</v>
      </c>
      <c r="M26" s="1372">
        <f t="shared" si="1"/>
        <v>969.14717991762905</v>
      </c>
      <c r="N26" s="1458">
        <f>M26-M25</f>
        <v>553.55999999999995</v>
      </c>
      <c r="O26" s="1406"/>
      <c r="P26" s="1407"/>
      <c r="Q26" s="1407"/>
      <c r="R26" s="1407"/>
      <c r="S26" s="1407"/>
      <c r="T26" s="1407"/>
      <c r="U26" s="1407"/>
      <c r="V26" s="1678"/>
      <c r="W26" s="1366"/>
      <c r="X26" s="1366"/>
      <c r="Y26" s="1366"/>
      <c r="Z26" s="1366"/>
      <c r="AA26" s="1366"/>
      <c r="AB26" s="1366"/>
      <c r="AC26" s="1366"/>
      <c r="AD26" s="1366"/>
      <c r="AE26" s="1366"/>
      <c r="AF26" s="1366"/>
      <c r="AG26" s="1366"/>
      <c r="AH26" s="1366"/>
      <c r="AI26" s="1366"/>
      <c r="AJ26" s="1366"/>
      <c r="AK26" s="1366"/>
      <c r="AL26" s="1366"/>
      <c r="AM26" s="1366"/>
      <c r="AN26" s="1366"/>
      <c r="AO26" s="1366"/>
      <c r="AP26" s="1366"/>
      <c r="AQ26" s="1366"/>
      <c r="AR26" s="1366"/>
      <c r="AS26" s="1366"/>
      <c r="AT26" s="1366"/>
      <c r="AU26" s="1366"/>
      <c r="AV26" s="1366"/>
      <c r="AW26" s="1366"/>
      <c r="AX26" s="1366"/>
      <c r="AY26" s="1366"/>
      <c r="AZ26" s="1366"/>
      <c r="BA26" s="1366"/>
      <c r="BB26" s="1366"/>
      <c r="BC26" s="1366"/>
      <c r="BD26" s="1366"/>
      <c r="BE26" s="1366"/>
      <c r="BF26" s="1366"/>
      <c r="BG26" s="1366"/>
      <c r="BH26" s="1366"/>
      <c r="BI26" s="1366"/>
      <c r="BJ26" s="1366"/>
      <c r="BK26" s="1366"/>
      <c r="BL26" s="1366"/>
      <c r="BM26" s="1366"/>
      <c r="BN26" s="1366"/>
      <c r="BO26" s="1366"/>
      <c r="BP26" s="1366"/>
      <c r="BQ26" s="1366"/>
      <c r="BR26" s="1366"/>
      <c r="BS26" s="1366"/>
      <c r="BT26" s="1366"/>
      <c r="BU26" s="1366"/>
      <c r="BV26" s="1366"/>
      <c r="BW26" s="1366"/>
      <c r="BX26" s="1366"/>
      <c r="BY26" s="1366"/>
      <c r="BZ26" s="1366"/>
      <c r="CA26" s="1366"/>
      <c r="CB26" s="1366"/>
      <c r="CC26" s="1366"/>
      <c r="CD26" s="1366"/>
      <c r="CE26" s="1366"/>
      <c r="CF26" s="1366"/>
      <c r="CG26" s="1366"/>
      <c r="CH26" s="1366"/>
      <c r="CI26" s="1366"/>
      <c r="CJ26" s="1366"/>
      <c r="CK26" s="1366"/>
      <c r="CL26" s="1366"/>
      <c r="CM26" s="1366"/>
      <c r="CN26" s="1366"/>
      <c r="CO26" s="1366"/>
      <c r="CP26" s="1366"/>
      <c r="CQ26" s="1366"/>
      <c r="CR26" s="1366"/>
      <c r="CS26" s="1366"/>
      <c r="CT26" s="1366"/>
      <c r="CU26" s="1366"/>
      <c r="CV26" s="1366"/>
      <c r="CW26" s="1366"/>
      <c r="CX26" s="1366"/>
      <c r="CY26" s="1366"/>
      <c r="CZ26" s="1366"/>
      <c r="DA26" s="1366"/>
      <c r="DB26" s="1366"/>
      <c r="DC26" s="1366"/>
      <c r="DD26" s="1366"/>
      <c r="DE26" s="1366"/>
      <c r="DF26" s="1366"/>
      <c r="DG26" s="1366"/>
      <c r="DH26" s="1366"/>
      <c r="DI26" s="1366"/>
      <c r="DJ26" s="1366"/>
      <c r="DK26" s="1366"/>
      <c r="DL26" s="1366"/>
      <c r="DM26" s="1366"/>
      <c r="DN26" s="1366"/>
      <c r="DO26" s="1366"/>
      <c r="DP26" s="1366"/>
      <c r="DQ26" s="1366"/>
      <c r="DR26" s="1366"/>
      <c r="DS26" s="1366"/>
      <c r="DT26" s="1366"/>
      <c r="DU26" s="1366"/>
      <c r="DV26" s="1366"/>
    </row>
    <row r="27" spans="1:126" s="1479" customFormat="1" ht="19.5" thickBot="1">
      <c r="A27" s="695"/>
      <c r="B27" s="1654"/>
      <c r="C27" s="1667"/>
      <c r="D27" s="1470"/>
      <c r="E27" s="1471"/>
      <c r="F27" s="1471"/>
      <c r="G27" s="1471"/>
      <c r="H27" s="1472"/>
      <c r="I27" s="1447"/>
      <c r="J27" s="1473"/>
      <c r="K27" s="1473"/>
      <c r="L27" s="1527"/>
      <c r="M27" s="1423"/>
      <c r="N27" s="1474"/>
      <c r="O27" s="1472"/>
      <c r="P27" s="1475"/>
      <c r="Q27" s="1476"/>
      <c r="R27" s="1477"/>
      <c r="S27" s="1477"/>
      <c r="T27" s="1477"/>
      <c r="U27" s="1477"/>
      <c r="V27" s="1503"/>
      <c r="W27" s="1490"/>
      <c r="X27" s="327"/>
      <c r="Y27" s="327"/>
      <c r="Z27" s="327"/>
      <c r="AA27" s="327"/>
      <c r="AB27" s="327"/>
      <c r="AC27" s="1478"/>
      <c r="AD27" s="1478"/>
      <c r="AE27" s="1478"/>
      <c r="AF27" s="1478"/>
      <c r="AG27" s="1478"/>
      <c r="AH27" s="1478"/>
      <c r="AI27" s="1478"/>
      <c r="AJ27" s="1478"/>
      <c r="AK27" s="1478"/>
      <c r="AL27" s="1478"/>
      <c r="AM27" s="1478"/>
      <c r="AN27" s="1478"/>
      <c r="AO27" s="1478"/>
      <c r="AP27" s="1478"/>
      <c r="AQ27" s="1478"/>
      <c r="AR27" s="1478"/>
      <c r="AS27" s="1478"/>
      <c r="AT27" s="1478"/>
      <c r="AU27" s="1478"/>
      <c r="AV27" s="1478"/>
      <c r="AW27" s="1478"/>
      <c r="AX27" s="1478"/>
      <c r="AY27" s="1478"/>
      <c r="AZ27" s="1478"/>
      <c r="BA27" s="1478"/>
      <c r="BB27" s="1478"/>
      <c r="BC27" s="327"/>
      <c r="BD27" s="327"/>
      <c r="BE27" s="327"/>
      <c r="BF27" s="327"/>
      <c r="BG27" s="327"/>
      <c r="BH27" s="327"/>
      <c r="BI27" s="327"/>
      <c r="BJ27" s="327"/>
      <c r="BK27" s="327"/>
      <c r="BL27" s="327"/>
      <c r="BM27" s="327"/>
      <c r="BN27" s="327"/>
      <c r="BO27" s="327"/>
      <c r="BP27" s="327"/>
      <c r="BQ27" s="327"/>
      <c r="BR27" s="327"/>
      <c r="BS27" s="327"/>
      <c r="BT27" s="327"/>
      <c r="BU27" s="327"/>
      <c r="BV27" s="327"/>
      <c r="BW27" s="327"/>
      <c r="BX27" s="327"/>
      <c r="BY27" s="327"/>
      <c r="BZ27" s="327"/>
      <c r="CA27" s="327"/>
      <c r="CB27" s="327"/>
      <c r="CC27" s="327"/>
      <c r="CD27" s="327"/>
      <c r="CE27" s="327"/>
      <c r="CF27" s="327"/>
      <c r="CG27" s="327"/>
      <c r="CH27" s="327"/>
      <c r="CI27" s="327"/>
      <c r="CJ27" s="327"/>
      <c r="CK27" s="327"/>
      <c r="CL27" s="327"/>
      <c r="CM27" s="327"/>
      <c r="CN27" s="327"/>
      <c r="CO27" s="327"/>
      <c r="CP27" s="327"/>
      <c r="CQ27" s="327"/>
      <c r="CR27" s="327"/>
      <c r="CS27" s="327"/>
      <c r="CT27" s="327"/>
      <c r="CU27" s="327"/>
      <c r="CV27" s="327"/>
      <c r="CW27" s="327"/>
      <c r="CX27" s="327"/>
      <c r="CY27" s="327"/>
      <c r="CZ27" s="327"/>
      <c r="DA27" s="327"/>
      <c r="DB27" s="327"/>
      <c r="DC27" s="327"/>
      <c r="DD27" s="327"/>
      <c r="DE27" s="327"/>
      <c r="DF27" s="327"/>
      <c r="DG27" s="327"/>
      <c r="DH27" s="327"/>
      <c r="DI27" s="327"/>
      <c r="DJ27" s="327"/>
      <c r="DK27" s="327"/>
      <c r="DL27" s="327"/>
      <c r="DM27" s="327"/>
      <c r="DN27" s="327"/>
      <c r="DO27" s="327"/>
      <c r="DP27" s="327"/>
      <c r="DQ27" s="327"/>
      <c r="DR27" s="327"/>
      <c r="DS27" s="327"/>
      <c r="DT27" s="327"/>
      <c r="DU27" s="327"/>
      <c r="DV27" s="327"/>
    </row>
    <row r="28" spans="1:126" s="1367" customFormat="1" ht="30" customHeight="1">
      <c r="A28" s="2493" t="s">
        <v>1142</v>
      </c>
      <c r="B28" s="2501" t="str">
        <f>'Equipment Results Matrix'!V28:V35</f>
        <v>Workpaper measures</v>
      </c>
      <c r="C28" s="1538" t="str">
        <f>'Equipment Results Matrix'!W28</f>
        <v>Baseline</v>
      </c>
      <c r="D28" s="1539" t="str">
        <f>'Equipment Results Matrix'!X28</f>
        <v>Top-loading, Title 20 code minimum, MEF=1.26, assumed 3.5 ft3 capacity</v>
      </c>
      <c r="E28" s="383" t="s">
        <v>2102</v>
      </c>
      <c r="F28" s="383" t="s">
        <v>2107</v>
      </c>
      <c r="G28" s="1540" t="s">
        <v>2201</v>
      </c>
      <c r="H28" s="1548">
        <f>'Equipment Results Matrix'!Y28</f>
        <v>466.37384380138769</v>
      </c>
      <c r="I28" s="1549"/>
      <c r="J28" s="1550"/>
      <c r="K28" s="1401" t="s">
        <v>15</v>
      </c>
      <c r="L28" s="1526" t="s">
        <v>15</v>
      </c>
      <c r="M28" s="1551">
        <f>H28</f>
        <v>466.37384380138769</v>
      </c>
      <c r="N28" s="1558" t="str">
        <f>'Equipment Results Matrix'!Z28</f>
        <v>-</v>
      </c>
      <c r="O28" s="1429"/>
      <c r="P28" s="1430"/>
      <c r="Q28" s="1430"/>
      <c r="R28" s="1430"/>
      <c r="S28" s="1430"/>
      <c r="T28" s="1430"/>
      <c r="U28" s="1430"/>
      <c r="V28" s="1679"/>
      <c r="W28" s="1366"/>
      <c r="X28" s="1366"/>
      <c r="Y28" s="1366"/>
      <c r="Z28" s="1366"/>
      <c r="AA28" s="1366"/>
      <c r="AB28" s="1366"/>
      <c r="AC28" s="1366"/>
      <c r="AD28" s="1366"/>
      <c r="AE28" s="1366"/>
      <c r="AF28" s="1366"/>
      <c r="AG28" s="1366"/>
      <c r="AH28" s="1366"/>
      <c r="AI28" s="1366"/>
      <c r="AJ28" s="1366"/>
      <c r="AK28" s="1366"/>
      <c r="AL28" s="1366"/>
      <c r="AM28" s="1366"/>
      <c r="AN28" s="1366"/>
      <c r="AO28" s="1366"/>
      <c r="AP28" s="1366"/>
      <c r="AQ28" s="1366"/>
      <c r="AR28" s="1366"/>
      <c r="AS28" s="1366"/>
      <c r="AT28" s="1366"/>
      <c r="AU28" s="1366"/>
      <c r="AV28" s="1366"/>
      <c r="AW28" s="1366"/>
      <c r="AX28" s="1366"/>
      <c r="AY28" s="1366"/>
      <c r="AZ28" s="1366"/>
      <c r="BA28" s="1366"/>
      <c r="BB28" s="1366"/>
      <c r="BC28" s="1366"/>
      <c r="BD28" s="1366"/>
      <c r="BE28" s="1366"/>
      <c r="BF28" s="1366"/>
      <c r="BG28" s="1366"/>
      <c r="BH28" s="1366"/>
      <c r="BI28" s="1366"/>
      <c r="BJ28" s="1366"/>
      <c r="BK28" s="1366"/>
      <c r="BL28" s="1366"/>
      <c r="BM28" s="1366"/>
      <c r="BN28" s="1366"/>
      <c r="BO28" s="1366"/>
      <c r="BP28" s="1366"/>
      <c r="BQ28" s="1366"/>
      <c r="BR28" s="1366"/>
      <c r="BS28" s="1366"/>
      <c r="BT28" s="1366"/>
      <c r="BU28" s="1366"/>
      <c r="BV28" s="1366"/>
      <c r="BW28" s="1366"/>
      <c r="BX28" s="1366"/>
      <c r="BY28" s="1366"/>
      <c r="BZ28" s="1366"/>
      <c r="CA28" s="1366"/>
      <c r="CB28" s="1366"/>
      <c r="CC28" s="1366"/>
      <c r="CD28" s="1366"/>
      <c r="CE28" s="1366"/>
      <c r="CF28" s="1366"/>
      <c r="CG28" s="1366"/>
      <c r="CH28" s="1366"/>
      <c r="CI28" s="1366"/>
      <c r="CJ28" s="1366"/>
      <c r="CK28" s="1366"/>
      <c r="CL28" s="1366"/>
      <c r="CM28" s="1366"/>
      <c r="CN28" s="1366"/>
      <c r="CO28" s="1366"/>
      <c r="CP28" s="1366"/>
      <c r="CQ28" s="1366"/>
      <c r="CR28" s="1366"/>
      <c r="CS28" s="1366"/>
      <c r="CT28" s="1366"/>
      <c r="CU28" s="1366"/>
      <c r="CV28" s="1366"/>
      <c r="CW28" s="1366"/>
      <c r="CX28" s="1366"/>
      <c r="CY28" s="1366"/>
      <c r="CZ28" s="1366"/>
      <c r="DA28" s="1366"/>
      <c r="DB28" s="1366"/>
      <c r="DC28" s="1366"/>
      <c r="DD28" s="1366"/>
      <c r="DE28" s="1366"/>
      <c r="DF28" s="1366"/>
      <c r="DG28" s="1366"/>
      <c r="DH28" s="1366"/>
      <c r="DI28" s="1366"/>
      <c r="DJ28" s="1366"/>
      <c r="DK28" s="1366"/>
      <c r="DL28" s="1366"/>
      <c r="DM28" s="1366"/>
      <c r="DN28" s="1366"/>
      <c r="DO28" s="1366"/>
      <c r="DP28" s="1366"/>
      <c r="DQ28" s="1366"/>
      <c r="DR28" s="1366"/>
      <c r="DS28" s="1366"/>
      <c r="DT28" s="1366"/>
      <c r="DU28" s="1366"/>
      <c r="DV28" s="1366"/>
    </row>
    <row r="29" spans="1:126" s="1367" customFormat="1" ht="15" customHeight="1">
      <c r="A29" s="2494"/>
      <c r="B29" s="2502"/>
      <c r="C29" s="1541" t="str">
        <f>'Equipment Results Matrix'!W29</f>
        <v>Measure</v>
      </c>
      <c r="D29" s="1542" t="str">
        <f>'Equipment Results Matrix'!X29</f>
        <v>Top-loading, CEE Tier 1, MEF = 2.0, assumed 3.5 ft3 capacity</v>
      </c>
      <c r="E29" s="1364" t="s">
        <v>2102</v>
      </c>
      <c r="F29" s="1364" t="s">
        <v>2107</v>
      </c>
      <c r="G29" s="1543" t="s">
        <v>2201</v>
      </c>
      <c r="H29" s="1361">
        <f>'Equipment Results Matrix'!Y29</f>
        <v>495.16598580138771</v>
      </c>
      <c r="I29" s="1371"/>
      <c r="J29" s="1417"/>
      <c r="K29" s="1401" t="s">
        <v>15</v>
      </c>
      <c r="L29" s="1526" t="s">
        <v>15</v>
      </c>
      <c r="M29" s="1372">
        <f t="shared" ref="M29:M35" si="2">H29</f>
        <v>495.16598580138771</v>
      </c>
      <c r="N29" s="1458">
        <f>'Equipment Results Matrix'!Z29</f>
        <v>28.792142000000013</v>
      </c>
      <c r="O29" s="1429"/>
      <c r="P29" s="1430"/>
      <c r="Q29" s="1430"/>
      <c r="R29" s="1430"/>
      <c r="S29" s="1430"/>
      <c r="T29" s="1430"/>
      <c r="U29" s="1430"/>
      <c r="V29" s="1679"/>
      <c r="W29" s="1366"/>
      <c r="X29" s="1366"/>
      <c r="Y29" s="1366"/>
      <c r="Z29" s="1366"/>
      <c r="AA29" s="1366"/>
      <c r="AB29" s="1366"/>
      <c r="AC29" s="1366"/>
      <c r="AD29" s="1366"/>
      <c r="AE29" s="1366"/>
      <c r="AF29" s="1366"/>
      <c r="AG29" s="1366"/>
      <c r="AH29" s="1366"/>
      <c r="AI29" s="1366"/>
      <c r="AJ29" s="1366"/>
      <c r="AK29" s="1366"/>
      <c r="AL29" s="1366"/>
      <c r="AM29" s="1366"/>
      <c r="AN29" s="1366"/>
      <c r="AO29" s="1366"/>
      <c r="AP29" s="1366"/>
      <c r="AQ29" s="1366"/>
      <c r="AR29" s="1366"/>
      <c r="AS29" s="1366"/>
      <c r="AT29" s="1366"/>
      <c r="AU29" s="1366"/>
      <c r="AV29" s="1366"/>
      <c r="AW29" s="1366"/>
      <c r="AX29" s="1366"/>
      <c r="AY29" s="1366"/>
      <c r="AZ29" s="1366"/>
      <c r="BA29" s="1366"/>
      <c r="BB29" s="1366"/>
      <c r="BC29" s="1366"/>
      <c r="BD29" s="1366"/>
      <c r="BE29" s="1366"/>
      <c r="BF29" s="1366"/>
      <c r="BG29" s="1366"/>
      <c r="BH29" s="1366"/>
      <c r="BI29" s="1366"/>
      <c r="BJ29" s="1366"/>
      <c r="BK29" s="1366"/>
      <c r="BL29" s="1366"/>
      <c r="BM29" s="1366"/>
      <c r="BN29" s="1366"/>
      <c r="BO29" s="1366"/>
      <c r="BP29" s="1366"/>
      <c r="BQ29" s="1366"/>
      <c r="BR29" s="1366"/>
      <c r="BS29" s="1366"/>
      <c r="BT29" s="1366"/>
      <c r="BU29" s="1366"/>
      <c r="BV29" s="1366"/>
      <c r="BW29" s="1366"/>
      <c r="BX29" s="1366"/>
      <c r="BY29" s="1366"/>
      <c r="BZ29" s="1366"/>
      <c r="CA29" s="1366"/>
      <c r="CB29" s="1366"/>
      <c r="CC29" s="1366"/>
      <c r="CD29" s="1366"/>
      <c r="CE29" s="1366"/>
      <c r="CF29" s="1366"/>
      <c r="CG29" s="1366"/>
      <c r="CH29" s="1366"/>
      <c r="CI29" s="1366"/>
      <c r="CJ29" s="1366"/>
      <c r="CK29" s="1366"/>
      <c r="CL29" s="1366"/>
      <c r="CM29" s="1366"/>
      <c r="CN29" s="1366"/>
      <c r="CO29" s="1366"/>
      <c r="CP29" s="1366"/>
      <c r="CQ29" s="1366"/>
      <c r="CR29" s="1366"/>
      <c r="CS29" s="1366"/>
      <c r="CT29" s="1366"/>
      <c r="CU29" s="1366"/>
      <c r="CV29" s="1366"/>
      <c r="CW29" s="1366"/>
      <c r="CX29" s="1366"/>
      <c r="CY29" s="1366"/>
      <c r="CZ29" s="1366"/>
      <c r="DA29" s="1366"/>
      <c r="DB29" s="1366"/>
      <c r="DC29" s="1366"/>
      <c r="DD29" s="1366"/>
      <c r="DE29" s="1366"/>
      <c r="DF29" s="1366"/>
      <c r="DG29" s="1366"/>
      <c r="DH29" s="1366"/>
      <c r="DI29" s="1366"/>
      <c r="DJ29" s="1366"/>
      <c r="DK29" s="1366"/>
      <c r="DL29" s="1366"/>
      <c r="DM29" s="1366"/>
      <c r="DN29" s="1366"/>
      <c r="DO29" s="1366"/>
      <c r="DP29" s="1366"/>
      <c r="DQ29" s="1366"/>
      <c r="DR29" s="1366"/>
      <c r="DS29" s="1366"/>
      <c r="DT29" s="1366"/>
      <c r="DU29" s="1366"/>
      <c r="DV29" s="1366"/>
    </row>
    <row r="30" spans="1:126" s="1367" customFormat="1" ht="15" customHeight="1">
      <c r="A30" s="2494"/>
      <c r="B30" s="2502"/>
      <c r="C30" s="1541" t="str">
        <f>'Equipment Results Matrix'!W30</f>
        <v>Measure</v>
      </c>
      <c r="D30" s="1542" t="str">
        <f>'Equipment Results Matrix'!X30</f>
        <v>Top-loading, CEE Tier 2, MEF = 2.2, assumed 3.5 ft3 capacity</v>
      </c>
      <c r="E30" s="1364" t="s">
        <v>2102</v>
      </c>
      <c r="F30" s="1364" t="s">
        <v>2107</v>
      </c>
      <c r="G30" s="1543" t="s">
        <v>2201</v>
      </c>
      <c r="H30" s="1361">
        <f>'Equipment Results Matrix'!Y30</f>
        <v>502.94764580138769</v>
      </c>
      <c r="I30" s="1371"/>
      <c r="J30" s="1417"/>
      <c r="K30" s="1401" t="s">
        <v>15</v>
      </c>
      <c r="L30" s="1526" t="s">
        <v>15</v>
      </c>
      <c r="M30" s="1372">
        <f t="shared" si="2"/>
        <v>502.94764580138769</v>
      </c>
      <c r="N30" s="1458">
        <f>'Equipment Results Matrix'!Z30</f>
        <v>36.573802000000001</v>
      </c>
      <c r="O30" s="1429"/>
      <c r="P30" s="1430"/>
      <c r="Q30" s="1430"/>
      <c r="R30" s="1430"/>
      <c r="S30" s="1430"/>
      <c r="T30" s="1430"/>
      <c r="U30" s="1430"/>
      <c r="V30" s="1679"/>
      <c r="W30" s="1366"/>
      <c r="X30" s="1366"/>
      <c r="Y30" s="1366"/>
      <c r="Z30" s="1366"/>
      <c r="AA30" s="1366"/>
      <c r="AB30" s="1366"/>
      <c r="AC30" s="1366"/>
      <c r="AD30" s="1366"/>
      <c r="AE30" s="1366"/>
      <c r="AF30" s="1366"/>
      <c r="AG30" s="1366"/>
      <c r="AH30" s="1366"/>
      <c r="AI30" s="1366"/>
      <c r="AJ30" s="1366"/>
      <c r="AK30" s="1366"/>
      <c r="AL30" s="1366"/>
      <c r="AM30" s="1366"/>
      <c r="AN30" s="1366"/>
      <c r="AO30" s="1366"/>
      <c r="AP30" s="1366"/>
      <c r="AQ30" s="1366"/>
      <c r="AR30" s="1366"/>
      <c r="AS30" s="1366"/>
      <c r="AT30" s="1366"/>
      <c r="AU30" s="1366"/>
      <c r="AV30" s="1366"/>
      <c r="AW30" s="1366"/>
      <c r="AX30" s="1366"/>
      <c r="AY30" s="1366"/>
      <c r="AZ30" s="1366"/>
      <c r="BA30" s="1366"/>
      <c r="BB30" s="1366"/>
      <c r="BC30" s="1366"/>
      <c r="BD30" s="1366"/>
      <c r="BE30" s="1366"/>
      <c r="BF30" s="1366"/>
      <c r="BG30" s="1366"/>
      <c r="BH30" s="1366"/>
      <c r="BI30" s="1366"/>
      <c r="BJ30" s="1366"/>
      <c r="BK30" s="1366"/>
      <c r="BL30" s="1366"/>
      <c r="BM30" s="1366"/>
      <c r="BN30" s="1366"/>
      <c r="BO30" s="1366"/>
      <c r="BP30" s="1366"/>
      <c r="BQ30" s="1366"/>
      <c r="BR30" s="1366"/>
      <c r="BS30" s="1366"/>
      <c r="BT30" s="1366"/>
      <c r="BU30" s="1366"/>
      <c r="BV30" s="1366"/>
      <c r="BW30" s="1366"/>
      <c r="BX30" s="1366"/>
      <c r="BY30" s="1366"/>
      <c r="BZ30" s="1366"/>
      <c r="CA30" s="1366"/>
      <c r="CB30" s="1366"/>
      <c r="CC30" s="1366"/>
      <c r="CD30" s="1366"/>
      <c r="CE30" s="1366"/>
      <c r="CF30" s="1366"/>
      <c r="CG30" s="1366"/>
      <c r="CH30" s="1366"/>
      <c r="CI30" s="1366"/>
      <c r="CJ30" s="1366"/>
      <c r="CK30" s="1366"/>
      <c r="CL30" s="1366"/>
      <c r="CM30" s="1366"/>
      <c r="CN30" s="1366"/>
      <c r="CO30" s="1366"/>
      <c r="CP30" s="1366"/>
      <c r="CQ30" s="1366"/>
      <c r="CR30" s="1366"/>
      <c r="CS30" s="1366"/>
      <c r="CT30" s="1366"/>
      <c r="CU30" s="1366"/>
      <c r="CV30" s="1366"/>
      <c r="CW30" s="1366"/>
      <c r="CX30" s="1366"/>
      <c r="CY30" s="1366"/>
      <c r="CZ30" s="1366"/>
      <c r="DA30" s="1366"/>
      <c r="DB30" s="1366"/>
      <c r="DC30" s="1366"/>
      <c r="DD30" s="1366"/>
      <c r="DE30" s="1366"/>
      <c r="DF30" s="1366"/>
      <c r="DG30" s="1366"/>
      <c r="DH30" s="1366"/>
      <c r="DI30" s="1366"/>
      <c r="DJ30" s="1366"/>
      <c r="DK30" s="1366"/>
      <c r="DL30" s="1366"/>
      <c r="DM30" s="1366"/>
      <c r="DN30" s="1366"/>
      <c r="DO30" s="1366"/>
      <c r="DP30" s="1366"/>
      <c r="DQ30" s="1366"/>
      <c r="DR30" s="1366"/>
      <c r="DS30" s="1366"/>
      <c r="DT30" s="1366"/>
      <c r="DU30" s="1366"/>
      <c r="DV30" s="1366"/>
    </row>
    <row r="31" spans="1:126" s="1367" customFormat="1" ht="15" customHeight="1">
      <c r="A31" s="2494"/>
      <c r="B31" s="2502"/>
      <c r="C31" s="1541" t="str">
        <f>'Equipment Results Matrix'!W31</f>
        <v>Measure</v>
      </c>
      <c r="D31" s="1542" t="str">
        <f>'Equipment Results Matrix'!X31</f>
        <v>Top-loading, CEE Tier 3, MEF = 2.4, assumed 3.5 ft3 capacity</v>
      </c>
      <c r="E31" s="1364" t="s">
        <v>2102</v>
      </c>
      <c r="F31" s="1364" t="s">
        <v>2107</v>
      </c>
      <c r="G31" s="1543" t="s">
        <v>2201</v>
      </c>
      <c r="H31" s="1361">
        <f>'Equipment Results Matrix'!Y31</f>
        <v>510.72930580138768</v>
      </c>
      <c r="I31" s="1371"/>
      <c r="J31" s="1417"/>
      <c r="K31" s="1401" t="s">
        <v>15</v>
      </c>
      <c r="L31" s="1526" t="s">
        <v>15</v>
      </c>
      <c r="M31" s="1372">
        <f t="shared" si="2"/>
        <v>510.72930580138768</v>
      </c>
      <c r="N31" s="1458">
        <f>'Equipment Results Matrix'!Z31</f>
        <v>44.355461999999989</v>
      </c>
      <c r="O31" s="1429"/>
      <c r="P31" s="1430"/>
      <c r="Q31" s="1430"/>
      <c r="R31" s="1430"/>
      <c r="S31" s="1430"/>
      <c r="T31" s="1430"/>
      <c r="U31" s="1430"/>
      <c r="V31" s="1679"/>
      <c r="W31" s="1366"/>
      <c r="X31" s="1366"/>
      <c r="Y31" s="1366"/>
      <c r="Z31" s="1366"/>
      <c r="AA31" s="1366"/>
      <c r="AB31" s="1366"/>
      <c r="AC31" s="1366"/>
      <c r="AD31" s="1366"/>
      <c r="AE31" s="1366"/>
      <c r="AF31" s="1366"/>
      <c r="AG31" s="1366"/>
      <c r="AH31" s="1366"/>
      <c r="AI31" s="1366"/>
      <c r="AJ31" s="1366"/>
      <c r="AK31" s="1366"/>
      <c r="AL31" s="1366"/>
      <c r="AM31" s="1366"/>
      <c r="AN31" s="1366"/>
      <c r="AO31" s="1366"/>
      <c r="AP31" s="1366"/>
      <c r="AQ31" s="1366"/>
      <c r="AR31" s="1366"/>
      <c r="AS31" s="1366"/>
      <c r="AT31" s="1366"/>
      <c r="AU31" s="1366"/>
      <c r="AV31" s="1366"/>
      <c r="AW31" s="1366"/>
      <c r="AX31" s="1366"/>
      <c r="AY31" s="1366"/>
      <c r="AZ31" s="1366"/>
      <c r="BA31" s="1366"/>
      <c r="BB31" s="1366"/>
      <c r="BC31" s="1366"/>
      <c r="BD31" s="1366"/>
      <c r="BE31" s="1366"/>
      <c r="BF31" s="1366"/>
      <c r="BG31" s="1366"/>
      <c r="BH31" s="1366"/>
      <c r="BI31" s="1366"/>
      <c r="BJ31" s="1366"/>
      <c r="BK31" s="1366"/>
      <c r="BL31" s="1366"/>
      <c r="BM31" s="1366"/>
      <c r="BN31" s="1366"/>
      <c r="BO31" s="1366"/>
      <c r="BP31" s="1366"/>
      <c r="BQ31" s="1366"/>
      <c r="BR31" s="1366"/>
      <c r="BS31" s="1366"/>
      <c r="BT31" s="1366"/>
      <c r="BU31" s="1366"/>
      <c r="BV31" s="1366"/>
      <c r="BW31" s="1366"/>
      <c r="BX31" s="1366"/>
      <c r="BY31" s="1366"/>
      <c r="BZ31" s="1366"/>
      <c r="CA31" s="1366"/>
      <c r="CB31" s="1366"/>
      <c r="CC31" s="1366"/>
      <c r="CD31" s="1366"/>
      <c r="CE31" s="1366"/>
      <c r="CF31" s="1366"/>
      <c r="CG31" s="1366"/>
      <c r="CH31" s="1366"/>
      <c r="CI31" s="1366"/>
      <c r="CJ31" s="1366"/>
      <c r="CK31" s="1366"/>
      <c r="CL31" s="1366"/>
      <c r="CM31" s="1366"/>
      <c r="CN31" s="1366"/>
      <c r="CO31" s="1366"/>
      <c r="CP31" s="1366"/>
      <c r="CQ31" s="1366"/>
      <c r="CR31" s="1366"/>
      <c r="CS31" s="1366"/>
      <c r="CT31" s="1366"/>
      <c r="CU31" s="1366"/>
      <c r="CV31" s="1366"/>
      <c r="CW31" s="1366"/>
      <c r="CX31" s="1366"/>
      <c r="CY31" s="1366"/>
      <c r="CZ31" s="1366"/>
      <c r="DA31" s="1366"/>
      <c r="DB31" s="1366"/>
      <c r="DC31" s="1366"/>
      <c r="DD31" s="1366"/>
      <c r="DE31" s="1366"/>
      <c r="DF31" s="1366"/>
      <c r="DG31" s="1366"/>
      <c r="DH31" s="1366"/>
      <c r="DI31" s="1366"/>
      <c r="DJ31" s="1366"/>
      <c r="DK31" s="1366"/>
      <c r="DL31" s="1366"/>
      <c r="DM31" s="1366"/>
      <c r="DN31" s="1366"/>
      <c r="DO31" s="1366"/>
      <c r="DP31" s="1366"/>
      <c r="DQ31" s="1366"/>
      <c r="DR31" s="1366"/>
      <c r="DS31" s="1366"/>
      <c r="DT31" s="1366"/>
      <c r="DU31" s="1366"/>
      <c r="DV31" s="1366"/>
    </row>
    <row r="32" spans="1:126" s="1367" customFormat="1" ht="30">
      <c r="A32" s="2494"/>
      <c r="B32" s="2502"/>
      <c r="C32" s="1541" t="str">
        <f>'Equipment Results Matrix'!W32</f>
        <v>Baseline</v>
      </c>
      <c r="D32" s="1542" t="str">
        <f>'Equipment Results Matrix'!X32</f>
        <v>Top-loading, Title 20 code minimum, MEF=1.26, assumed 4.0 ft3 capacity</v>
      </c>
      <c r="E32" s="1364" t="s">
        <v>2102</v>
      </c>
      <c r="F32" s="1364" t="s">
        <v>2107</v>
      </c>
      <c r="G32" s="1543" t="s">
        <v>2201</v>
      </c>
      <c r="H32" s="1361">
        <f>'Equipment Results Matrix'!Y32</f>
        <v>567.83954675138773</v>
      </c>
      <c r="I32" s="1371"/>
      <c r="J32" s="1417"/>
      <c r="K32" s="1401" t="s">
        <v>15</v>
      </c>
      <c r="L32" s="1526" t="s">
        <v>15</v>
      </c>
      <c r="M32" s="1372">
        <f t="shared" si="2"/>
        <v>567.83954675138773</v>
      </c>
      <c r="N32" s="1458" t="str">
        <f>'Equipment Results Matrix'!Z32</f>
        <v>-</v>
      </c>
      <c r="O32" s="1429"/>
      <c r="P32" s="1430"/>
      <c r="Q32" s="1430"/>
      <c r="R32" s="1430"/>
      <c r="S32" s="1430"/>
      <c r="T32" s="1430"/>
      <c r="U32" s="1430"/>
      <c r="V32" s="1679"/>
      <c r="W32" s="1366"/>
      <c r="X32" s="1366"/>
      <c r="Y32" s="1366"/>
      <c r="Z32" s="1366"/>
      <c r="AA32" s="1366"/>
      <c r="AB32" s="1366"/>
      <c r="AC32" s="1366"/>
      <c r="AD32" s="1366"/>
      <c r="AE32" s="1366"/>
      <c r="AF32" s="1366"/>
      <c r="AG32" s="1366"/>
      <c r="AH32" s="1366"/>
      <c r="AI32" s="1366"/>
      <c r="AJ32" s="1366"/>
      <c r="AK32" s="1366"/>
      <c r="AL32" s="1366"/>
      <c r="AM32" s="1366"/>
      <c r="AN32" s="1366"/>
      <c r="AO32" s="1366"/>
      <c r="AP32" s="1366"/>
      <c r="AQ32" s="1366"/>
      <c r="AR32" s="1366"/>
      <c r="AS32" s="1366"/>
      <c r="AT32" s="1366"/>
      <c r="AU32" s="1366"/>
      <c r="AV32" s="1366"/>
      <c r="AW32" s="1366"/>
      <c r="AX32" s="1366"/>
      <c r="AY32" s="1366"/>
      <c r="AZ32" s="1366"/>
      <c r="BA32" s="1366"/>
      <c r="BB32" s="1366"/>
      <c r="BC32" s="1366"/>
      <c r="BD32" s="1366"/>
      <c r="BE32" s="1366"/>
      <c r="BF32" s="1366"/>
      <c r="BG32" s="1366"/>
      <c r="BH32" s="1366"/>
      <c r="BI32" s="1366"/>
      <c r="BJ32" s="1366"/>
      <c r="BK32" s="1366"/>
      <c r="BL32" s="1366"/>
      <c r="BM32" s="1366"/>
      <c r="BN32" s="1366"/>
      <c r="BO32" s="1366"/>
      <c r="BP32" s="1366"/>
      <c r="BQ32" s="1366"/>
      <c r="BR32" s="1366"/>
      <c r="BS32" s="1366"/>
      <c r="BT32" s="1366"/>
      <c r="BU32" s="1366"/>
      <c r="BV32" s="1366"/>
      <c r="BW32" s="1366"/>
      <c r="BX32" s="1366"/>
      <c r="BY32" s="1366"/>
      <c r="BZ32" s="1366"/>
      <c r="CA32" s="1366"/>
      <c r="CB32" s="1366"/>
      <c r="CC32" s="1366"/>
      <c r="CD32" s="1366"/>
      <c r="CE32" s="1366"/>
      <c r="CF32" s="1366"/>
      <c r="CG32" s="1366"/>
      <c r="CH32" s="1366"/>
      <c r="CI32" s="1366"/>
      <c r="CJ32" s="1366"/>
      <c r="CK32" s="1366"/>
      <c r="CL32" s="1366"/>
      <c r="CM32" s="1366"/>
      <c r="CN32" s="1366"/>
      <c r="CO32" s="1366"/>
      <c r="CP32" s="1366"/>
      <c r="CQ32" s="1366"/>
      <c r="CR32" s="1366"/>
      <c r="CS32" s="1366"/>
      <c r="CT32" s="1366"/>
      <c r="CU32" s="1366"/>
      <c r="CV32" s="1366"/>
      <c r="CW32" s="1366"/>
      <c r="CX32" s="1366"/>
      <c r="CY32" s="1366"/>
      <c r="CZ32" s="1366"/>
      <c r="DA32" s="1366"/>
      <c r="DB32" s="1366"/>
      <c r="DC32" s="1366"/>
      <c r="DD32" s="1366"/>
      <c r="DE32" s="1366"/>
      <c r="DF32" s="1366"/>
      <c r="DG32" s="1366"/>
      <c r="DH32" s="1366"/>
      <c r="DI32" s="1366"/>
      <c r="DJ32" s="1366"/>
      <c r="DK32" s="1366"/>
      <c r="DL32" s="1366"/>
      <c r="DM32" s="1366"/>
      <c r="DN32" s="1366"/>
      <c r="DO32" s="1366"/>
      <c r="DP32" s="1366"/>
      <c r="DQ32" s="1366"/>
      <c r="DR32" s="1366"/>
      <c r="DS32" s="1366"/>
      <c r="DT32" s="1366"/>
      <c r="DU32" s="1366"/>
      <c r="DV32" s="1366"/>
    </row>
    <row r="33" spans="1:126" s="1367" customFormat="1" ht="15" customHeight="1">
      <c r="A33" s="2494"/>
      <c r="B33" s="2502"/>
      <c r="C33" s="1541" t="str">
        <f>'Equipment Results Matrix'!W33</f>
        <v>Measure</v>
      </c>
      <c r="D33" s="1542" t="str">
        <f>'Equipment Results Matrix'!X33</f>
        <v>Top-loading, CEE Tier 1, MEF = 2.0, assumed 4.0 ft3 capacity</v>
      </c>
      <c r="E33" s="1364" t="s">
        <v>2102</v>
      </c>
      <c r="F33" s="1364" t="s">
        <v>2107</v>
      </c>
      <c r="G33" s="1543" t="s">
        <v>2201</v>
      </c>
      <c r="H33" s="1361">
        <f>'Equipment Results Matrix'!Y33</f>
        <v>596.63168875138774</v>
      </c>
      <c r="I33" s="1371"/>
      <c r="J33" s="1417"/>
      <c r="K33" s="1401" t="s">
        <v>15</v>
      </c>
      <c r="L33" s="1526" t="s">
        <v>15</v>
      </c>
      <c r="M33" s="1372">
        <f t="shared" si="2"/>
        <v>596.63168875138774</v>
      </c>
      <c r="N33" s="1458">
        <f>'Equipment Results Matrix'!Z33</f>
        <v>28.792142000000013</v>
      </c>
      <c r="O33" s="1429"/>
      <c r="P33" s="1430"/>
      <c r="Q33" s="1430"/>
      <c r="R33" s="1430"/>
      <c r="S33" s="1430"/>
      <c r="T33" s="1430"/>
      <c r="U33" s="1430"/>
      <c r="V33" s="1679"/>
      <c r="W33" s="1480"/>
    </row>
    <row r="34" spans="1:126" s="1367" customFormat="1" ht="15" customHeight="1">
      <c r="A34" s="2494"/>
      <c r="B34" s="2502"/>
      <c r="C34" s="1541" t="str">
        <f>'Equipment Results Matrix'!W34</f>
        <v>Measure</v>
      </c>
      <c r="D34" s="1542" t="str">
        <f>'Equipment Results Matrix'!X34</f>
        <v>Top-loading, CEE Tier 2, MEF = 2.2, assumed 4.0 ft3 capacity</v>
      </c>
      <c r="E34" s="1364" t="s">
        <v>2102</v>
      </c>
      <c r="F34" s="1364" t="s">
        <v>2107</v>
      </c>
      <c r="G34" s="1543" t="s">
        <v>2201</v>
      </c>
      <c r="H34" s="1361">
        <f>'Equipment Results Matrix'!Y34</f>
        <v>604.41334875138773</v>
      </c>
      <c r="I34" s="1371"/>
      <c r="J34" s="1417"/>
      <c r="K34" s="1401" t="s">
        <v>15</v>
      </c>
      <c r="L34" s="1526" t="s">
        <v>15</v>
      </c>
      <c r="M34" s="1372">
        <f t="shared" si="2"/>
        <v>604.41334875138773</v>
      </c>
      <c r="N34" s="1458">
        <f>'Equipment Results Matrix'!Z34</f>
        <v>36.573802000000001</v>
      </c>
      <c r="O34" s="1429"/>
      <c r="P34" s="1430"/>
      <c r="Q34" s="1430"/>
      <c r="R34" s="1430"/>
      <c r="S34" s="1430"/>
      <c r="T34" s="1430"/>
      <c r="U34" s="1430"/>
      <c r="V34" s="1679"/>
      <c r="W34" s="1480"/>
    </row>
    <row r="35" spans="1:126" s="1367" customFormat="1" ht="15" customHeight="1" thickBot="1">
      <c r="A35" s="2495"/>
      <c r="B35" s="2502"/>
      <c r="C35" s="1544" t="str">
        <f>'Equipment Results Matrix'!W35</f>
        <v>Measure</v>
      </c>
      <c r="D35" s="1545" t="str">
        <f>'Equipment Results Matrix'!X35</f>
        <v>Top-loading, CEE Tier 3, MEF = 2.4, assumed 4.0 ft3 capacity</v>
      </c>
      <c r="E35" s="1546" t="s">
        <v>2102</v>
      </c>
      <c r="F35" s="1546" t="s">
        <v>2107</v>
      </c>
      <c r="G35" s="1547" t="s">
        <v>2201</v>
      </c>
      <c r="H35" s="1552">
        <f>'Equipment Results Matrix'!Y35</f>
        <v>612.19500875138772</v>
      </c>
      <c r="I35" s="1553"/>
      <c r="J35" s="1554"/>
      <c r="K35" s="1401" t="s">
        <v>15</v>
      </c>
      <c r="L35" s="1526" t="s">
        <v>15</v>
      </c>
      <c r="M35" s="1555">
        <f t="shared" si="2"/>
        <v>612.19500875138772</v>
      </c>
      <c r="N35" s="1559">
        <f>'Equipment Results Matrix'!Z35</f>
        <v>44.355461999999989</v>
      </c>
      <c r="O35" s="1429"/>
      <c r="P35" s="1430"/>
      <c r="Q35" s="1430"/>
      <c r="R35" s="1430"/>
      <c r="S35" s="1430"/>
      <c r="T35" s="1430"/>
      <c r="U35" s="1430"/>
      <c r="V35" s="1679"/>
      <c r="W35" s="1480"/>
    </row>
    <row r="36" spans="1:126" s="1479" customFormat="1" ht="19.5" thickBot="1">
      <c r="A36" s="695"/>
      <c r="B36" s="1655"/>
      <c r="C36" s="682"/>
      <c r="D36" s="1486"/>
      <c r="E36" s="708"/>
      <c r="F36" s="708"/>
      <c r="G36" s="708"/>
      <c r="H36" s="1487"/>
      <c r="I36" s="1443"/>
      <c r="J36" s="1488"/>
      <c r="K36" s="1488"/>
      <c r="L36" s="1529"/>
      <c r="M36" s="1414"/>
      <c r="N36" s="1474"/>
      <c r="O36" s="1487"/>
      <c r="P36" s="1443"/>
      <c r="Q36" s="1488"/>
      <c r="R36" s="1414"/>
      <c r="S36" s="1414"/>
      <c r="T36" s="1414"/>
      <c r="U36" s="1414"/>
      <c r="V36" s="1489"/>
      <c r="W36" s="1490"/>
      <c r="X36" s="327"/>
      <c r="Y36" s="327"/>
      <c r="Z36" s="327"/>
      <c r="AA36" s="327"/>
      <c r="AB36" s="327"/>
      <c r="AC36" s="1478"/>
      <c r="AD36" s="1478"/>
      <c r="AE36" s="1478"/>
      <c r="AF36" s="1478"/>
      <c r="AG36" s="1478"/>
      <c r="AH36" s="1478"/>
      <c r="AI36" s="1478"/>
      <c r="AJ36" s="1478"/>
      <c r="AK36" s="1478"/>
      <c r="AL36" s="1478"/>
      <c r="AM36" s="1478"/>
      <c r="AN36" s="1478"/>
      <c r="AO36" s="1478"/>
      <c r="AP36" s="1478"/>
      <c r="AQ36" s="1478"/>
      <c r="AR36" s="1478"/>
      <c r="AS36" s="1478"/>
      <c r="AT36" s="1478"/>
      <c r="AU36" s="1478"/>
      <c r="AV36" s="1478"/>
      <c r="AW36" s="1478"/>
      <c r="AX36" s="1478"/>
      <c r="AY36" s="1478"/>
      <c r="AZ36" s="1478"/>
      <c r="BA36" s="1478"/>
      <c r="BB36" s="1478"/>
      <c r="BC36" s="327"/>
      <c r="BD36" s="327"/>
      <c r="BE36" s="327"/>
      <c r="BF36" s="327"/>
      <c r="BG36" s="327"/>
      <c r="BH36" s="327"/>
      <c r="BI36" s="327"/>
      <c r="BJ36" s="327"/>
      <c r="BK36" s="327"/>
      <c r="BL36" s="327"/>
      <c r="BM36" s="327"/>
      <c r="BN36" s="327"/>
      <c r="BO36" s="327"/>
      <c r="BP36" s="327"/>
      <c r="BQ36" s="327"/>
      <c r="BR36" s="327"/>
      <c r="BS36" s="327"/>
      <c r="BT36" s="327"/>
      <c r="BU36" s="327"/>
      <c r="BV36" s="327"/>
      <c r="BW36" s="327"/>
      <c r="BX36" s="327"/>
      <c r="BY36" s="327"/>
      <c r="BZ36" s="327"/>
      <c r="CA36" s="327"/>
      <c r="CB36" s="327"/>
      <c r="CC36" s="327"/>
      <c r="CD36" s="327"/>
      <c r="CE36" s="327"/>
      <c r="CF36" s="327"/>
      <c r="CG36" s="327"/>
      <c r="CH36" s="327"/>
      <c r="CI36" s="327"/>
      <c r="CJ36" s="327"/>
      <c r="CK36" s="327"/>
      <c r="CL36" s="327"/>
      <c r="CM36" s="327"/>
      <c r="CN36" s="327"/>
      <c r="CO36" s="327"/>
      <c r="CP36" s="327"/>
      <c r="CQ36" s="327"/>
      <c r="CR36" s="327"/>
      <c r="CS36" s="327"/>
      <c r="CT36" s="327"/>
      <c r="CU36" s="327"/>
      <c r="CV36" s="327"/>
      <c r="CW36" s="327"/>
      <c r="CX36" s="327"/>
      <c r="CY36" s="327"/>
      <c r="CZ36" s="327"/>
      <c r="DA36" s="327"/>
      <c r="DB36" s="327"/>
      <c r="DC36" s="327"/>
      <c r="DD36" s="327"/>
      <c r="DE36" s="327"/>
      <c r="DF36" s="327"/>
      <c r="DG36" s="327"/>
      <c r="DH36" s="327"/>
      <c r="DI36" s="327"/>
      <c r="DJ36" s="327"/>
      <c r="DK36" s="327"/>
      <c r="DL36" s="327"/>
      <c r="DM36" s="327"/>
      <c r="DN36" s="327"/>
      <c r="DO36" s="327"/>
      <c r="DP36" s="327"/>
      <c r="DQ36" s="327"/>
      <c r="DR36" s="327"/>
      <c r="DS36" s="327"/>
      <c r="DT36" s="327"/>
      <c r="DU36" s="327"/>
      <c r="DV36" s="327"/>
    </row>
    <row r="37" spans="1:126" s="1367" customFormat="1" ht="30" customHeight="1">
      <c r="A37" s="2493" t="s">
        <v>1143</v>
      </c>
      <c r="B37" s="2501" t="str">
        <f>'Equipment Results Matrix'!V56</f>
        <v>Workpaper measures</v>
      </c>
      <c r="C37" s="1538" t="str">
        <f>'Equipment Results Matrix'!W56</f>
        <v>Baseline</v>
      </c>
      <c r="D37" s="1539" t="str">
        <f>'Equipment Results Matrix'!X56</f>
        <v>Top-loading, Title 20 code minimum, MEF=1.26, assumed 3.5 ft3 capacity</v>
      </c>
      <c r="E37" s="383" t="s">
        <v>2102</v>
      </c>
      <c r="F37" s="383" t="s">
        <v>2107</v>
      </c>
      <c r="G37" s="1540" t="s">
        <v>2201</v>
      </c>
      <c r="H37" s="1548">
        <f>'Equipment Results Matrix'!Y56</f>
        <v>466.37384380138769</v>
      </c>
      <c r="I37" s="1549"/>
      <c r="J37" s="1550"/>
      <c r="K37" s="1401" t="s">
        <v>15</v>
      </c>
      <c r="L37" s="1526" t="s">
        <v>15</v>
      </c>
      <c r="M37" s="1551">
        <f>'Equipment Results Matrix'!Y56</f>
        <v>466.37384380138769</v>
      </c>
      <c r="N37" s="1558" t="str">
        <f>'Equipment Results Matrix'!Z56</f>
        <v>-</v>
      </c>
      <c r="O37" s="1429"/>
      <c r="P37" s="1430"/>
      <c r="Q37" s="1430"/>
      <c r="R37" s="1430"/>
      <c r="S37" s="1430"/>
      <c r="T37" s="1430"/>
      <c r="U37" s="1430"/>
      <c r="V37" s="1679"/>
      <c r="W37" s="1366"/>
      <c r="X37" s="1366"/>
      <c r="Y37" s="1366"/>
      <c r="Z37" s="1366"/>
      <c r="AA37" s="1366"/>
      <c r="AB37" s="1366"/>
      <c r="AC37" s="1366"/>
      <c r="AD37" s="1366"/>
      <c r="AE37" s="1366"/>
      <c r="AF37" s="1366"/>
      <c r="AG37" s="1366"/>
      <c r="AH37" s="1366"/>
      <c r="AI37" s="1366"/>
      <c r="AJ37" s="1366"/>
      <c r="AK37" s="1366"/>
      <c r="AL37" s="1366"/>
      <c r="AM37" s="1366"/>
      <c r="AN37" s="1366"/>
      <c r="AO37" s="1366"/>
      <c r="AP37" s="1366"/>
      <c r="AQ37" s="1366"/>
      <c r="AR37" s="1366"/>
      <c r="AS37" s="1366"/>
      <c r="AT37" s="1366"/>
      <c r="AU37" s="1366"/>
      <c r="AV37" s="1366"/>
      <c r="AW37" s="1366"/>
      <c r="AX37" s="1366"/>
      <c r="AY37" s="1366"/>
      <c r="AZ37" s="1366"/>
      <c r="BA37" s="1366"/>
      <c r="BB37" s="1366"/>
      <c r="BC37" s="1366"/>
      <c r="BD37" s="1366"/>
      <c r="BE37" s="1366"/>
      <c r="BF37" s="1366"/>
      <c r="BG37" s="1366"/>
      <c r="BH37" s="1366"/>
      <c r="BI37" s="1366"/>
      <c r="BJ37" s="1366"/>
      <c r="BK37" s="1366"/>
      <c r="BL37" s="1366"/>
      <c r="BM37" s="1366"/>
      <c r="BN37" s="1366"/>
      <c r="BO37" s="1366"/>
      <c r="BP37" s="1366"/>
      <c r="BQ37" s="1366"/>
      <c r="BR37" s="1366"/>
      <c r="BS37" s="1366"/>
      <c r="BT37" s="1366"/>
      <c r="BU37" s="1366"/>
      <c r="BV37" s="1366"/>
      <c r="BW37" s="1366"/>
      <c r="BX37" s="1366"/>
      <c r="BY37" s="1366"/>
      <c r="BZ37" s="1366"/>
      <c r="CA37" s="1366"/>
      <c r="CB37" s="1366"/>
      <c r="CC37" s="1366"/>
      <c r="CD37" s="1366"/>
      <c r="CE37" s="1366"/>
      <c r="CF37" s="1366"/>
      <c r="CG37" s="1366"/>
      <c r="CH37" s="1366"/>
      <c r="CI37" s="1366"/>
      <c r="CJ37" s="1366"/>
      <c r="CK37" s="1366"/>
      <c r="CL37" s="1366"/>
      <c r="CM37" s="1366"/>
      <c r="CN37" s="1366"/>
      <c r="CO37" s="1366"/>
      <c r="CP37" s="1366"/>
      <c r="CQ37" s="1366"/>
      <c r="CR37" s="1366"/>
      <c r="CS37" s="1366"/>
      <c r="CT37" s="1366"/>
      <c r="CU37" s="1366"/>
      <c r="CV37" s="1366"/>
      <c r="CW37" s="1366"/>
      <c r="CX37" s="1366"/>
      <c r="CY37" s="1366"/>
      <c r="CZ37" s="1366"/>
      <c r="DA37" s="1366"/>
      <c r="DB37" s="1366"/>
      <c r="DC37" s="1366"/>
      <c r="DD37" s="1366"/>
      <c r="DE37" s="1366"/>
      <c r="DF37" s="1366"/>
      <c r="DG37" s="1366"/>
      <c r="DH37" s="1366"/>
      <c r="DI37" s="1366"/>
      <c r="DJ37" s="1366"/>
      <c r="DK37" s="1366"/>
      <c r="DL37" s="1366"/>
      <c r="DM37" s="1366"/>
      <c r="DN37" s="1366"/>
      <c r="DO37" s="1366"/>
      <c r="DP37" s="1366"/>
      <c r="DQ37" s="1366"/>
      <c r="DR37" s="1366"/>
      <c r="DS37" s="1366"/>
      <c r="DT37" s="1366"/>
      <c r="DU37" s="1366"/>
      <c r="DV37" s="1366"/>
    </row>
    <row r="38" spans="1:126" s="1367" customFormat="1" ht="15" customHeight="1">
      <c r="A38" s="2494"/>
      <c r="B38" s="2502"/>
      <c r="C38" s="1541" t="str">
        <f>'Equipment Results Matrix'!W57</f>
        <v>Measure</v>
      </c>
      <c r="D38" s="1542" t="str">
        <f>'Equipment Results Matrix'!X57</f>
        <v>Front-loading, CEE Tier 1, MEF = 2.0, assumed 3.5 ft3 capacity</v>
      </c>
      <c r="E38" s="1364" t="s">
        <v>2102</v>
      </c>
      <c r="F38" s="1364" t="s">
        <v>2107</v>
      </c>
      <c r="G38" s="1543" t="s">
        <v>2201</v>
      </c>
      <c r="H38" s="1361">
        <f>'Equipment Results Matrix'!Y57</f>
        <v>676.49543387293215</v>
      </c>
      <c r="I38" s="1371"/>
      <c r="J38" s="1417"/>
      <c r="K38" s="1401" t="s">
        <v>15</v>
      </c>
      <c r="L38" s="1526" t="s">
        <v>15</v>
      </c>
      <c r="M38" s="1372">
        <f>'Equipment Results Matrix'!Y57</f>
        <v>676.49543387293215</v>
      </c>
      <c r="N38" s="1458">
        <f>'Equipment Results Matrix'!Z57</f>
        <v>210.12159007154446</v>
      </c>
      <c r="O38" s="1429"/>
      <c r="P38" s="1430"/>
      <c r="Q38" s="1430"/>
      <c r="R38" s="1430"/>
      <c r="S38" s="1430"/>
      <c r="T38" s="1430"/>
      <c r="U38" s="1430"/>
      <c r="V38" s="1679"/>
      <c r="W38" s="1366"/>
      <c r="X38" s="1366"/>
      <c r="Y38" s="1366"/>
      <c r="Z38" s="1366"/>
      <c r="AA38" s="1366"/>
      <c r="AB38" s="1366"/>
      <c r="AC38" s="1366"/>
      <c r="AD38" s="1366"/>
      <c r="AE38" s="1366"/>
      <c r="AF38" s="1366"/>
      <c r="AG38" s="1366"/>
      <c r="AH38" s="1366"/>
      <c r="AI38" s="1366"/>
      <c r="AJ38" s="1366"/>
      <c r="AK38" s="1366"/>
      <c r="AL38" s="1366"/>
      <c r="AM38" s="1366"/>
      <c r="AN38" s="1366"/>
      <c r="AO38" s="1366"/>
      <c r="AP38" s="1366"/>
      <c r="AQ38" s="1366"/>
      <c r="AR38" s="1366"/>
      <c r="AS38" s="1366"/>
      <c r="AT38" s="1366"/>
      <c r="AU38" s="1366"/>
      <c r="AV38" s="1366"/>
      <c r="AW38" s="1366"/>
      <c r="AX38" s="1366"/>
      <c r="AY38" s="1366"/>
      <c r="AZ38" s="1366"/>
      <c r="BA38" s="1366"/>
      <c r="BB38" s="1366"/>
      <c r="BC38" s="1366"/>
      <c r="BD38" s="1366"/>
      <c r="BE38" s="1366"/>
      <c r="BF38" s="1366"/>
      <c r="BG38" s="1366"/>
      <c r="BH38" s="1366"/>
      <c r="BI38" s="1366"/>
      <c r="BJ38" s="1366"/>
      <c r="BK38" s="1366"/>
      <c r="BL38" s="1366"/>
      <c r="BM38" s="1366"/>
      <c r="BN38" s="1366"/>
      <c r="BO38" s="1366"/>
      <c r="BP38" s="1366"/>
      <c r="BQ38" s="1366"/>
      <c r="BR38" s="1366"/>
      <c r="BS38" s="1366"/>
      <c r="BT38" s="1366"/>
      <c r="BU38" s="1366"/>
      <c r="BV38" s="1366"/>
      <c r="BW38" s="1366"/>
      <c r="BX38" s="1366"/>
      <c r="BY38" s="1366"/>
      <c r="BZ38" s="1366"/>
      <c r="CA38" s="1366"/>
      <c r="CB38" s="1366"/>
      <c r="CC38" s="1366"/>
      <c r="CD38" s="1366"/>
      <c r="CE38" s="1366"/>
      <c r="CF38" s="1366"/>
      <c r="CG38" s="1366"/>
      <c r="CH38" s="1366"/>
      <c r="CI38" s="1366"/>
      <c r="CJ38" s="1366"/>
      <c r="CK38" s="1366"/>
      <c r="CL38" s="1366"/>
      <c r="CM38" s="1366"/>
      <c r="CN38" s="1366"/>
      <c r="CO38" s="1366"/>
      <c r="CP38" s="1366"/>
      <c r="CQ38" s="1366"/>
      <c r="CR38" s="1366"/>
      <c r="CS38" s="1366"/>
      <c r="CT38" s="1366"/>
      <c r="CU38" s="1366"/>
      <c r="CV38" s="1366"/>
      <c r="CW38" s="1366"/>
      <c r="CX38" s="1366"/>
      <c r="CY38" s="1366"/>
      <c r="CZ38" s="1366"/>
      <c r="DA38" s="1366"/>
      <c r="DB38" s="1366"/>
      <c r="DC38" s="1366"/>
      <c r="DD38" s="1366"/>
      <c r="DE38" s="1366"/>
      <c r="DF38" s="1366"/>
      <c r="DG38" s="1366"/>
      <c r="DH38" s="1366"/>
      <c r="DI38" s="1366"/>
      <c r="DJ38" s="1366"/>
      <c r="DK38" s="1366"/>
      <c r="DL38" s="1366"/>
      <c r="DM38" s="1366"/>
      <c r="DN38" s="1366"/>
      <c r="DO38" s="1366"/>
      <c r="DP38" s="1366"/>
      <c r="DQ38" s="1366"/>
      <c r="DR38" s="1366"/>
      <c r="DS38" s="1366"/>
      <c r="DT38" s="1366"/>
      <c r="DU38" s="1366"/>
      <c r="DV38" s="1366"/>
    </row>
    <row r="39" spans="1:126" s="1367" customFormat="1" ht="15" customHeight="1">
      <c r="A39" s="2494"/>
      <c r="B39" s="2502"/>
      <c r="C39" s="1541" t="str">
        <f>'Equipment Results Matrix'!W58</f>
        <v>Measure</v>
      </c>
      <c r="D39" s="1542" t="str">
        <f>'Equipment Results Matrix'!X58</f>
        <v>Front-loading, CEE Tier 2, MEF = 2.2, assumed 3.5 ft3 capacity</v>
      </c>
      <c r="E39" s="1364" t="s">
        <v>2102</v>
      </c>
      <c r="F39" s="1364" t="s">
        <v>2107</v>
      </c>
      <c r="G39" s="1543" t="s">
        <v>2201</v>
      </c>
      <c r="H39" s="1361">
        <f>'Equipment Results Matrix'!Y58</f>
        <v>682.2751919329321</v>
      </c>
      <c r="I39" s="1371"/>
      <c r="J39" s="1417"/>
      <c r="K39" s="1401" t="s">
        <v>15</v>
      </c>
      <c r="L39" s="1526" t="s">
        <v>15</v>
      </c>
      <c r="M39" s="1372">
        <f>'Equipment Results Matrix'!Y58</f>
        <v>682.2751919329321</v>
      </c>
      <c r="N39" s="1458">
        <f>'Equipment Results Matrix'!Z58</f>
        <v>215.90134813154441</v>
      </c>
      <c r="O39" s="1429"/>
      <c r="P39" s="1430"/>
      <c r="Q39" s="1430"/>
      <c r="R39" s="1430"/>
      <c r="S39" s="1430"/>
      <c r="T39" s="1430"/>
      <c r="U39" s="1430"/>
      <c r="V39" s="1679"/>
      <c r="W39" s="1366"/>
      <c r="X39" s="1366"/>
      <c r="Y39" s="1366"/>
      <c r="Z39" s="1366"/>
      <c r="AA39" s="1366"/>
      <c r="AB39" s="1366"/>
      <c r="AC39" s="1366"/>
      <c r="AD39" s="1366"/>
      <c r="AE39" s="1366"/>
      <c r="AF39" s="1366"/>
      <c r="AG39" s="1366"/>
      <c r="AH39" s="1366"/>
      <c r="AI39" s="1366"/>
      <c r="AJ39" s="1366"/>
      <c r="AK39" s="1366"/>
      <c r="AL39" s="1366"/>
      <c r="AM39" s="1366"/>
      <c r="AN39" s="1366"/>
      <c r="AO39" s="1366"/>
      <c r="AP39" s="1366"/>
      <c r="AQ39" s="1366"/>
      <c r="AR39" s="1366"/>
      <c r="AS39" s="1366"/>
      <c r="AT39" s="1366"/>
      <c r="AU39" s="1366"/>
      <c r="AV39" s="1366"/>
      <c r="AW39" s="1366"/>
      <c r="AX39" s="1366"/>
      <c r="AY39" s="1366"/>
      <c r="AZ39" s="1366"/>
      <c r="BA39" s="1366"/>
      <c r="BB39" s="1366"/>
      <c r="BC39" s="1366"/>
      <c r="BD39" s="1366"/>
      <c r="BE39" s="1366"/>
      <c r="BF39" s="1366"/>
      <c r="BG39" s="1366"/>
      <c r="BH39" s="1366"/>
      <c r="BI39" s="1366"/>
      <c r="BJ39" s="1366"/>
      <c r="BK39" s="1366"/>
      <c r="BL39" s="1366"/>
      <c r="BM39" s="1366"/>
      <c r="BN39" s="1366"/>
      <c r="BO39" s="1366"/>
      <c r="BP39" s="1366"/>
      <c r="BQ39" s="1366"/>
      <c r="BR39" s="1366"/>
      <c r="BS39" s="1366"/>
      <c r="BT39" s="1366"/>
      <c r="BU39" s="1366"/>
      <c r="BV39" s="1366"/>
      <c r="BW39" s="1366"/>
      <c r="BX39" s="1366"/>
      <c r="BY39" s="1366"/>
      <c r="BZ39" s="1366"/>
      <c r="CA39" s="1366"/>
      <c r="CB39" s="1366"/>
      <c r="CC39" s="1366"/>
      <c r="CD39" s="1366"/>
      <c r="CE39" s="1366"/>
      <c r="CF39" s="1366"/>
      <c r="CG39" s="1366"/>
      <c r="CH39" s="1366"/>
      <c r="CI39" s="1366"/>
      <c r="CJ39" s="1366"/>
      <c r="CK39" s="1366"/>
      <c r="CL39" s="1366"/>
      <c r="CM39" s="1366"/>
      <c r="CN39" s="1366"/>
      <c r="CO39" s="1366"/>
      <c r="CP39" s="1366"/>
      <c r="CQ39" s="1366"/>
      <c r="CR39" s="1366"/>
      <c r="CS39" s="1366"/>
      <c r="CT39" s="1366"/>
      <c r="CU39" s="1366"/>
      <c r="CV39" s="1366"/>
      <c r="CW39" s="1366"/>
      <c r="CX39" s="1366"/>
      <c r="CY39" s="1366"/>
      <c r="CZ39" s="1366"/>
      <c r="DA39" s="1366"/>
      <c r="DB39" s="1366"/>
      <c r="DC39" s="1366"/>
      <c r="DD39" s="1366"/>
      <c r="DE39" s="1366"/>
      <c r="DF39" s="1366"/>
      <c r="DG39" s="1366"/>
      <c r="DH39" s="1366"/>
      <c r="DI39" s="1366"/>
      <c r="DJ39" s="1366"/>
      <c r="DK39" s="1366"/>
      <c r="DL39" s="1366"/>
      <c r="DM39" s="1366"/>
      <c r="DN39" s="1366"/>
      <c r="DO39" s="1366"/>
      <c r="DP39" s="1366"/>
      <c r="DQ39" s="1366"/>
      <c r="DR39" s="1366"/>
      <c r="DS39" s="1366"/>
      <c r="DT39" s="1366"/>
      <c r="DU39" s="1366"/>
      <c r="DV39" s="1366"/>
    </row>
    <row r="40" spans="1:126" s="1367" customFormat="1" ht="15" customHeight="1">
      <c r="A40" s="2494"/>
      <c r="B40" s="2502"/>
      <c r="C40" s="1541" t="str">
        <f>'Equipment Results Matrix'!W59</f>
        <v>Measure</v>
      </c>
      <c r="D40" s="1542" t="str">
        <f>'Equipment Results Matrix'!X59</f>
        <v>Front-loading, CEE Tier 3, MEF = 2.4, assumed 3.5 ft3 capacity</v>
      </c>
      <c r="E40" s="1364" t="s">
        <v>2102</v>
      </c>
      <c r="F40" s="1364" t="s">
        <v>2107</v>
      </c>
      <c r="G40" s="1543" t="s">
        <v>2201</v>
      </c>
      <c r="H40" s="1361">
        <f>'Equipment Results Matrix'!Y59</f>
        <v>688.05494999293205</v>
      </c>
      <c r="I40" s="1371"/>
      <c r="J40" s="1417"/>
      <c r="K40" s="1401" t="s">
        <v>15</v>
      </c>
      <c r="L40" s="1526" t="s">
        <v>15</v>
      </c>
      <c r="M40" s="1372">
        <f>'Equipment Results Matrix'!Y59</f>
        <v>688.05494999293205</v>
      </c>
      <c r="N40" s="1458">
        <f>'Equipment Results Matrix'!Z59</f>
        <v>221.68110619154436</v>
      </c>
      <c r="O40" s="1429"/>
      <c r="P40" s="1430"/>
      <c r="Q40" s="1430"/>
      <c r="R40" s="1430"/>
      <c r="S40" s="1430"/>
      <c r="T40" s="1430"/>
      <c r="U40" s="1430"/>
      <c r="V40" s="1679"/>
      <c r="W40" s="1366"/>
      <c r="X40" s="1366"/>
      <c r="Y40" s="1366"/>
      <c r="Z40" s="1366"/>
      <c r="AA40" s="1366"/>
      <c r="AB40" s="1366"/>
      <c r="AC40" s="1366"/>
      <c r="AD40" s="1366"/>
      <c r="AE40" s="1366"/>
      <c r="AF40" s="1366"/>
      <c r="AG40" s="1366"/>
      <c r="AH40" s="1366"/>
      <c r="AI40" s="1366"/>
      <c r="AJ40" s="1366"/>
      <c r="AK40" s="1366"/>
      <c r="AL40" s="1366"/>
      <c r="AM40" s="1366"/>
      <c r="AN40" s="1366"/>
      <c r="AO40" s="1366"/>
      <c r="AP40" s="1366"/>
      <c r="AQ40" s="1366"/>
      <c r="AR40" s="1366"/>
      <c r="AS40" s="1366"/>
      <c r="AT40" s="1366"/>
      <c r="AU40" s="1366"/>
      <c r="AV40" s="1366"/>
      <c r="AW40" s="1366"/>
      <c r="AX40" s="1366"/>
      <c r="AY40" s="1366"/>
      <c r="AZ40" s="1366"/>
      <c r="BA40" s="1366"/>
      <c r="BB40" s="1366"/>
      <c r="BC40" s="1366"/>
      <c r="BD40" s="1366"/>
      <c r="BE40" s="1366"/>
      <c r="BF40" s="1366"/>
      <c r="BG40" s="1366"/>
      <c r="BH40" s="1366"/>
      <c r="BI40" s="1366"/>
      <c r="BJ40" s="1366"/>
      <c r="BK40" s="1366"/>
      <c r="BL40" s="1366"/>
      <c r="BM40" s="1366"/>
      <c r="BN40" s="1366"/>
      <c r="BO40" s="1366"/>
      <c r="BP40" s="1366"/>
      <c r="BQ40" s="1366"/>
      <c r="BR40" s="1366"/>
      <c r="BS40" s="1366"/>
      <c r="BT40" s="1366"/>
      <c r="BU40" s="1366"/>
      <c r="BV40" s="1366"/>
      <c r="BW40" s="1366"/>
      <c r="BX40" s="1366"/>
      <c r="BY40" s="1366"/>
      <c r="BZ40" s="1366"/>
      <c r="CA40" s="1366"/>
      <c r="CB40" s="1366"/>
      <c r="CC40" s="1366"/>
      <c r="CD40" s="1366"/>
      <c r="CE40" s="1366"/>
      <c r="CF40" s="1366"/>
      <c r="CG40" s="1366"/>
      <c r="CH40" s="1366"/>
      <c r="CI40" s="1366"/>
      <c r="CJ40" s="1366"/>
      <c r="CK40" s="1366"/>
      <c r="CL40" s="1366"/>
      <c r="CM40" s="1366"/>
      <c r="CN40" s="1366"/>
      <c r="CO40" s="1366"/>
      <c r="CP40" s="1366"/>
      <c r="CQ40" s="1366"/>
      <c r="CR40" s="1366"/>
      <c r="CS40" s="1366"/>
      <c r="CT40" s="1366"/>
      <c r="CU40" s="1366"/>
      <c r="CV40" s="1366"/>
      <c r="CW40" s="1366"/>
      <c r="CX40" s="1366"/>
      <c r="CY40" s="1366"/>
      <c r="CZ40" s="1366"/>
      <c r="DA40" s="1366"/>
      <c r="DB40" s="1366"/>
      <c r="DC40" s="1366"/>
      <c r="DD40" s="1366"/>
      <c r="DE40" s="1366"/>
      <c r="DF40" s="1366"/>
      <c r="DG40" s="1366"/>
      <c r="DH40" s="1366"/>
      <c r="DI40" s="1366"/>
      <c r="DJ40" s="1366"/>
      <c r="DK40" s="1366"/>
      <c r="DL40" s="1366"/>
      <c r="DM40" s="1366"/>
      <c r="DN40" s="1366"/>
      <c r="DO40" s="1366"/>
      <c r="DP40" s="1366"/>
      <c r="DQ40" s="1366"/>
      <c r="DR40" s="1366"/>
      <c r="DS40" s="1366"/>
      <c r="DT40" s="1366"/>
      <c r="DU40" s="1366"/>
      <c r="DV40" s="1366"/>
    </row>
    <row r="41" spans="1:126" s="1367" customFormat="1" ht="30">
      <c r="A41" s="2494"/>
      <c r="B41" s="2502"/>
      <c r="C41" s="1541" t="str">
        <f>'Equipment Results Matrix'!W60</f>
        <v>Baseline</v>
      </c>
      <c r="D41" s="1542" t="str">
        <f>'Equipment Results Matrix'!X60</f>
        <v>Top-loading, Title 20 code minimum, MEF=1.26, assumed 4.0 ft3 capacity</v>
      </c>
      <c r="E41" s="1364" t="s">
        <v>2102</v>
      </c>
      <c r="F41" s="1364" t="s">
        <v>2107</v>
      </c>
      <c r="G41" s="1543" t="s">
        <v>2201</v>
      </c>
      <c r="H41" s="1361">
        <f>'Equipment Results Matrix'!Y60</f>
        <v>567.83954675138773</v>
      </c>
      <c r="I41" s="1371"/>
      <c r="J41" s="1417"/>
      <c r="K41" s="1401" t="s">
        <v>15</v>
      </c>
      <c r="L41" s="1526" t="s">
        <v>15</v>
      </c>
      <c r="M41" s="1372">
        <f>'Equipment Results Matrix'!Y60</f>
        <v>567.83954675138773</v>
      </c>
      <c r="N41" s="1458" t="str">
        <f>'Equipment Results Matrix'!Z60</f>
        <v>-</v>
      </c>
      <c r="O41" s="1429"/>
      <c r="P41" s="1430"/>
      <c r="Q41" s="1430"/>
      <c r="R41" s="1430"/>
      <c r="S41" s="1430"/>
      <c r="T41" s="1430"/>
      <c r="U41" s="1430"/>
      <c r="V41" s="1679"/>
      <c r="W41" s="1366"/>
      <c r="X41" s="1366"/>
      <c r="Y41" s="1366"/>
      <c r="Z41" s="1366"/>
      <c r="AA41" s="1366"/>
      <c r="AB41" s="1366"/>
      <c r="AC41" s="1366"/>
      <c r="AD41" s="1366"/>
      <c r="AE41" s="1366"/>
      <c r="AF41" s="1366"/>
      <c r="AG41" s="1366"/>
      <c r="AH41" s="1366"/>
      <c r="AI41" s="1366"/>
      <c r="AJ41" s="1366"/>
      <c r="AK41" s="1366"/>
      <c r="AL41" s="1366"/>
      <c r="AM41" s="1366"/>
      <c r="AN41" s="1366"/>
      <c r="AO41" s="1366"/>
      <c r="AP41" s="1366"/>
      <c r="AQ41" s="1366"/>
      <c r="AR41" s="1366"/>
      <c r="AS41" s="1366"/>
      <c r="AT41" s="1366"/>
      <c r="AU41" s="1366"/>
      <c r="AV41" s="1366"/>
      <c r="AW41" s="1366"/>
      <c r="AX41" s="1366"/>
      <c r="AY41" s="1366"/>
      <c r="AZ41" s="1366"/>
      <c r="BA41" s="1366"/>
      <c r="BB41" s="1366"/>
      <c r="BC41" s="1366"/>
      <c r="BD41" s="1366"/>
      <c r="BE41" s="1366"/>
      <c r="BF41" s="1366"/>
      <c r="BG41" s="1366"/>
      <c r="BH41" s="1366"/>
      <c r="BI41" s="1366"/>
      <c r="BJ41" s="1366"/>
      <c r="BK41" s="1366"/>
      <c r="BL41" s="1366"/>
      <c r="BM41" s="1366"/>
      <c r="BN41" s="1366"/>
      <c r="BO41" s="1366"/>
      <c r="BP41" s="1366"/>
      <c r="BQ41" s="1366"/>
      <c r="BR41" s="1366"/>
      <c r="BS41" s="1366"/>
      <c r="BT41" s="1366"/>
      <c r="BU41" s="1366"/>
      <c r="BV41" s="1366"/>
      <c r="BW41" s="1366"/>
      <c r="BX41" s="1366"/>
      <c r="BY41" s="1366"/>
      <c r="BZ41" s="1366"/>
      <c r="CA41" s="1366"/>
      <c r="CB41" s="1366"/>
      <c r="CC41" s="1366"/>
      <c r="CD41" s="1366"/>
      <c r="CE41" s="1366"/>
      <c r="CF41" s="1366"/>
      <c r="CG41" s="1366"/>
      <c r="CH41" s="1366"/>
      <c r="CI41" s="1366"/>
      <c r="CJ41" s="1366"/>
      <c r="CK41" s="1366"/>
      <c r="CL41" s="1366"/>
      <c r="CM41" s="1366"/>
      <c r="CN41" s="1366"/>
      <c r="CO41" s="1366"/>
      <c r="CP41" s="1366"/>
      <c r="CQ41" s="1366"/>
      <c r="CR41" s="1366"/>
      <c r="CS41" s="1366"/>
      <c r="CT41" s="1366"/>
      <c r="CU41" s="1366"/>
      <c r="CV41" s="1366"/>
      <c r="CW41" s="1366"/>
      <c r="CX41" s="1366"/>
      <c r="CY41" s="1366"/>
      <c r="CZ41" s="1366"/>
      <c r="DA41" s="1366"/>
      <c r="DB41" s="1366"/>
      <c r="DC41" s="1366"/>
      <c r="DD41" s="1366"/>
      <c r="DE41" s="1366"/>
      <c r="DF41" s="1366"/>
      <c r="DG41" s="1366"/>
      <c r="DH41" s="1366"/>
      <c r="DI41" s="1366"/>
      <c r="DJ41" s="1366"/>
      <c r="DK41" s="1366"/>
      <c r="DL41" s="1366"/>
      <c r="DM41" s="1366"/>
      <c r="DN41" s="1366"/>
      <c r="DO41" s="1366"/>
      <c r="DP41" s="1366"/>
      <c r="DQ41" s="1366"/>
      <c r="DR41" s="1366"/>
      <c r="DS41" s="1366"/>
      <c r="DT41" s="1366"/>
      <c r="DU41" s="1366"/>
      <c r="DV41" s="1366"/>
    </row>
    <row r="42" spans="1:126" s="1367" customFormat="1" ht="15" customHeight="1">
      <c r="A42" s="2494"/>
      <c r="B42" s="2502"/>
      <c r="C42" s="1541" t="str">
        <f>'Equipment Results Matrix'!W61</f>
        <v>Measure</v>
      </c>
      <c r="D42" s="1542" t="str">
        <f>'Equipment Results Matrix'!X61</f>
        <v>Front-loading, CEE Tier 1, MEF = 2.0, assumed 4.0 ft3 capacity</v>
      </c>
      <c r="E42" s="1364" t="s">
        <v>2102</v>
      </c>
      <c r="F42" s="1364" t="s">
        <v>2107</v>
      </c>
      <c r="G42" s="1543" t="s">
        <v>2201</v>
      </c>
      <c r="H42" s="1361">
        <f>'Equipment Results Matrix'!Y61</f>
        <v>676.49543387293215</v>
      </c>
      <c r="I42" s="1371"/>
      <c r="J42" s="1417"/>
      <c r="K42" s="1401" t="s">
        <v>15</v>
      </c>
      <c r="L42" s="1526" t="s">
        <v>15</v>
      </c>
      <c r="M42" s="1372">
        <f>'Equipment Results Matrix'!Y61</f>
        <v>676.49543387293215</v>
      </c>
      <c r="N42" s="1458">
        <f>'Equipment Results Matrix'!Z61</f>
        <v>108.65588712154442</v>
      </c>
      <c r="O42" s="1429"/>
      <c r="P42" s="1430"/>
      <c r="Q42" s="1430"/>
      <c r="R42" s="1430"/>
      <c r="S42" s="1430"/>
      <c r="T42" s="1430"/>
      <c r="U42" s="1430"/>
      <c r="V42" s="1679"/>
      <c r="W42" s="1366"/>
      <c r="X42" s="1366"/>
      <c r="Y42" s="1366"/>
      <c r="Z42" s="1366"/>
      <c r="AA42" s="1366"/>
      <c r="AB42" s="1366"/>
      <c r="AC42" s="1366"/>
      <c r="AD42" s="1366"/>
      <c r="AE42" s="1366"/>
      <c r="AF42" s="1366"/>
      <c r="AG42" s="1366"/>
      <c r="AH42" s="1366"/>
      <c r="AI42" s="1366"/>
      <c r="AJ42" s="1366"/>
      <c r="AK42" s="1366"/>
      <c r="AL42" s="1366"/>
      <c r="AM42" s="1366"/>
      <c r="AN42" s="1366"/>
      <c r="AO42" s="1366"/>
      <c r="AP42" s="1366"/>
      <c r="AQ42" s="1366"/>
      <c r="AR42" s="1366"/>
      <c r="AS42" s="1366"/>
      <c r="AT42" s="1366"/>
      <c r="AU42" s="1366"/>
      <c r="AV42" s="1366"/>
      <c r="AW42" s="1366"/>
      <c r="AX42" s="1366"/>
      <c r="AY42" s="1366"/>
      <c r="AZ42" s="1366"/>
      <c r="BA42" s="1366"/>
      <c r="BB42" s="1366"/>
      <c r="BC42" s="1366"/>
      <c r="BD42" s="1366"/>
      <c r="BE42" s="1366"/>
      <c r="BF42" s="1366"/>
      <c r="BG42" s="1366"/>
      <c r="BH42" s="1366"/>
      <c r="BI42" s="1366"/>
      <c r="BJ42" s="1366"/>
      <c r="BK42" s="1366"/>
      <c r="BL42" s="1366"/>
      <c r="BM42" s="1366"/>
      <c r="BN42" s="1366"/>
      <c r="BO42" s="1366"/>
      <c r="BP42" s="1366"/>
      <c r="BQ42" s="1366"/>
      <c r="BR42" s="1366"/>
      <c r="BS42" s="1366"/>
      <c r="BT42" s="1366"/>
      <c r="BU42" s="1366"/>
      <c r="BV42" s="1366"/>
      <c r="BW42" s="1366"/>
      <c r="BX42" s="1366"/>
      <c r="BY42" s="1366"/>
      <c r="BZ42" s="1366"/>
      <c r="CA42" s="1366"/>
      <c r="CB42" s="1366"/>
      <c r="CC42" s="1366"/>
      <c r="CD42" s="1366"/>
      <c r="CE42" s="1366"/>
      <c r="CF42" s="1366"/>
      <c r="CG42" s="1366"/>
      <c r="CH42" s="1366"/>
      <c r="CI42" s="1366"/>
      <c r="CJ42" s="1366"/>
      <c r="CK42" s="1366"/>
      <c r="CL42" s="1366"/>
      <c r="CM42" s="1366"/>
      <c r="CN42" s="1366"/>
      <c r="CO42" s="1366"/>
      <c r="CP42" s="1366"/>
      <c r="CQ42" s="1366"/>
      <c r="CR42" s="1366"/>
      <c r="CS42" s="1366"/>
      <c r="CT42" s="1366"/>
      <c r="CU42" s="1366"/>
      <c r="CV42" s="1366"/>
      <c r="CW42" s="1366"/>
      <c r="CX42" s="1366"/>
      <c r="CY42" s="1366"/>
      <c r="CZ42" s="1366"/>
      <c r="DA42" s="1366"/>
      <c r="DB42" s="1366"/>
      <c r="DC42" s="1366"/>
      <c r="DD42" s="1366"/>
      <c r="DE42" s="1366"/>
      <c r="DF42" s="1366"/>
      <c r="DG42" s="1366"/>
      <c r="DH42" s="1366"/>
      <c r="DI42" s="1366"/>
      <c r="DJ42" s="1366"/>
      <c r="DK42" s="1366"/>
      <c r="DL42" s="1366"/>
      <c r="DM42" s="1366"/>
      <c r="DN42" s="1366"/>
      <c r="DO42" s="1366"/>
      <c r="DP42" s="1366"/>
      <c r="DQ42" s="1366"/>
      <c r="DR42" s="1366"/>
      <c r="DS42" s="1366"/>
      <c r="DT42" s="1366"/>
      <c r="DU42" s="1366"/>
      <c r="DV42" s="1366"/>
    </row>
    <row r="43" spans="1:126" s="1367" customFormat="1" ht="15" customHeight="1">
      <c r="A43" s="2494"/>
      <c r="B43" s="2502"/>
      <c r="C43" s="1541" t="str">
        <f>'Equipment Results Matrix'!W62</f>
        <v>Measure</v>
      </c>
      <c r="D43" s="1542" t="str">
        <f>'Equipment Results Matrix'!X62</f>
        <v>Front-loading, CEE Tier 2, MEF = 2.2, assumed 4.0 ft3 capacity</v>
      </c>
      <c r="E43" s="1364" t="s">
        <v>2102</v>
      </c>
      <c r="F43" s="1364" t="s">
        <v>2107</v>
      </c>
      <c r="G43" s="1543" t="s">
        <v>2201</v>
      </c>
      <c r="H43" s="1361">
        <f>'Equipment Results Matrix'!Y62</f>
        <v>682.2751919329321</v>
      </c>
      <c r="I43" s="1371"/>
      <c r="J43" s="1417"/>
      <c r="K43" s="1401" t="s">
        <v>15</v>
      </c>
      <c r="L43" s="1526" t="s">
        <v>15</v>
      </c>
      <c r="M43" s="1372">
        <f>'Equipment Results Matrix'!Y62</f>
        <v>682.2751919329321</v>
      </c>
      <c r="N43" s="1458">
        <f>'Equipment Results Matrix'!Z62</f>
        <v>114.43564518154437</v>
      </c>
      <c r="O43" s="1429"/>
      <c r="P43" s="1430"/>
      <c r="Q43" s="1430"/>
      <c r="R43" s="1430"/>
      <c r="S43" s="1430"/>
      <c r="T43" s="1430"/>
      <c r="U43" s="1430"/>
      <c r="V43" s="1679"/>
      <c r="W43" s="1366"/>
      <c r="X43" s="1366"/>
      <c r="Y43" s="1366"/>
      <c r="Z43" s="1366"/>
      <c r="AA43" s="1366"/>
      <c r="AB43" s="1366"/>
      <c r="AC43" s="1366"/>
      <c r="AD43" s="1366"/>
      <c r="AE43" s="1366"/>
      <c r="AF43" s="1366"/>
      <c r="AG43" s="1366"/>
      <c r="AH43" s="1366"/>
      <c r="AI43" s="1366"/>
      <c r="AJ43" s="1366"/>
      <c r="AK43" s="1366"/>
      <c r="AL43" s="1366"/>
      <c r="AM43" s="1366"/>
      <c r="AN43" s="1366"/>
      <c r="AO43" s="1366"/>
      <c r="AP43" s="1366"/>
      <c r="AQ43" s="1366"/>
      <c r="AR43" s="1366"/>
      <c r="AS43" s="1366"/>
      <c r="AT43" s="1366"/>
      <c r="AU43" s="1366"/>
      <c r="AV43" s="1366"/>
      <c r="AW43" s="1366"/>
      <c r="AX43" s="1366"/>
      <c r="AY43" s="1366"/>
      <c r="AZ43" s="1366"/>
      <c r="BA43" s="1366"/>
      <c r="BB43" s="1366"/>
      <c r="BC43" s="1366"/>
      <c r="BD43" s="1366"/>
      <c r="BE43" s="1366"/>
      <c r="BF43" s="1366"/>
      <c r="BG43" s="1366"/>
      <c r="BH43" s="1366"/>
      <c r="BI43" s="1366"/>
      <c r="BJ43" s="1366"/>
      <c r="BK43" s="1366"/>
      <c r="BL43" s="1366"/>
      <c r="BM43" s="1366"/>
      <c r="BN43" s="1366"/>
      <c r="BO43" s="1366"/>
      <c r="BP43" s="1366"/>
      <c r="BQ43" s="1366"/>
      <c r="BR43" s="1366"/>
      <c r="BS43" s="1366"/>
      <c r="BT43" s="1366"/>
      <c r="BU43" s="1366"/>
      <c r="BV43" s="1366"/>
      <c r="BW43" s="1366"/>
      <c r="BX43" s="1366"/>
      <c r="BY43" s="1366"/>
      <c r="BZ43" s="1366"/>
      <c r="CA43" s="1366"/>
      <c r="CB43" s="1366"/>
      <c r="CC43" s="1366"/>
      <c r="CD43" s="1366"/>
      <c r="CE43" s="1366"/>
      <c r="CF43" s="1366"/>
      <c r="CG43" s="1366"/>
      <c r="CH43" s="1366"/>
      <c r="CI43" s="1366"/>
      <c r="CJ43" s="1366"/>
      <c r="CK43" s="1366"/>
      <c r="CL43" s="1366"/>
      <c r="CM43" s="1366"/>
      <c r="CN43" s="1366"/>
      <c r="CO43" s="1366"/>
      <c r="CP43" s="1366"/>
      <c r="CQ43" s="1366"/>
      <c r="CR43" s="1366"/>
      <c r="CS43" s="1366"/>
      <c r="CT43" s="1366"/>
      <c r="CU43" s="1366"/>
      <c r="CV43" s="1366"/>
      <c r="CW43" s="1366"/>
      <c r="CX43" s="1366"/>
      <c r="CY43" s="1366"/>
      <c r="CZ43" s="1366"/>
      <c r="DA43" s="1366"/>
      <c r="DB43" s="1366"/>
      <c r="DC43" s="1366"/>
      <c r="DD43" s="1366"/>
      <c r="DE43" s="1366"/>
      <c r="DF43" s="1366"/>
      <c r="DG43" s="1366"/>
      <c r="DH43" s="1366"/>
      <c r="DI43" s="1366"/>
      <c r="DJ43" s="1366"/>
      <c r="DK43" s="1366"/>
      <c r="DL43" s="1366"/>
      <c r="DM43" s="1366"/>
      <c r="DN43" s="1366"/>
      <c r="DO43" s="1366"/>
      <c r="DP43" s="1366"/>
      <c r="DQ43" s="1366"/>
      <c r="DR43" s="1366"/>
      <c r="DS43" s="1366"/>
      <c r="DT43" s="1366"/>
      <c r="DU43" s="1366"/>
      <c r="DV43" s="1366"/>
    </row>
    <row r="44" spans="1:126" s="1367" customFormat="1" ht="15" customHeight="1" thickBot="1">
      <c r="A44" s="2495"/>
      <c r="B44" s="2502"/>
      <c r="C44" s="1556" t="str">
        <f>'Equipment Results Matrix'!W63</f>
        <v>Measure</v>
      </c>
      <c r="D44" s="1557" t="str">
        <f>'Equipment Results Matrix'!X63</f>
        <v>Front-loading, CEE Tier 3, MEF = 2.4, assumed 4.0 ft3 capacity</v>
      </c>
      <c r="E44" s="1364" t="s">
        <v>2102</v>
      </c>
      <c r="F44" s="1364" t="s">
        <v>2107</v>
      </c>
      <c r="G44" s="1543" t="s">
        <v>2201</v>
      </c>
      <c r="H44" s="1552">
        <f>'Equipment Results Matrix'!Y63</f>
        <v>688.05494999293205</v>
      </c>
      <c r="I44" s="1553"/>
      <c r="J44" s="1554"/>
      <c r="K44" s="1401" t="s">
        <v>15</v>
      </c>
      <c r="L44" s="1526" t="s">
        <v>15</v>
      </c>
      <c r="M44" s="1555">
        <f>'Equipment Results Matrix'!Y63</f>
        <v>688.05494999293205</v>
      </c>
      <c r="N44" s="1559">
        <f>'Equipment Results Matrix'!Z63</f>
        <v>120.21540324154432</v>
      </c>
      <c r="O44" s="1429"/>
      <c r="P44" s="1430"/>
      <c r="Q44" s="1430"/>
      <c r="R44" s="1430"/>
      <c r="S44" s="1430"/>
      <c r="T44" s="1430"/>
      <c r="U44" s="1430"/>
      <c r="V44" s="1679"/>
      <c r="W44" s="1366"/>
      <c r="X44" s="1366"/>
      <c r="Y44" s="1366"/>
      <c r="Z44" s="1366"/>
      <c r="AA44" s="1366"/>
      <c r="AB44" s="1366"/>
      <c r="AC44" s="1366"/>
      <c r="AD44" s="1366"/>
      <c r="AE44" s="1366"/>
      <c r="AF44" s="1366"/>
      <c r="AG44" s="1366"/>
      <c r="AH44" s="1366"/>
      <c r="AI44" s="1366"/>
      <c r="AJ44" s="1366"/>
      <c r="AK44" s="1366"/>
      <c r="AL44" s="1366"/>
      <c r="AM44" s="1366"/>
      <c r="AN44" s="1366"/>
      <c r="AO44" s="1366"/>
      <c r="AP44" s="1366"/>
      <c r="AQ44" s="1366"/>
      <c r="AR44" s="1366"/>
      <c r="AS44" s="1366"/>
      <c r="AT44" s="1366"/>
      <c r="AU44" s="1366"/>
      <c r="AV44" s="1366"/>
      <c r="AW44" s="1366"/>
      <c r="AX44" s="1366"/>
      <c r="AY44" s="1366"/>
      <c r="AZ44" s="1366"/>
      <c r="BA44" s="1366"/>
      <c r="BB44" s="1366"/>
      <c r="BC44" s="1366"/>
      <c r="BD44" s="1366"/>
      <c r="BE44" s="1366"/>
      <c r="BF44" s="1366"/>
      <c r="BG44" s="1366"/>
      <c r="BH44" s="1366"/>
      <c r="BI44" s="1366"/>
      <c r="BJ44" s="1366"/>
      <c r="BK44" s="1366"/>
      <c r="BL44" s="1366"/>
      <c r="BM44" s="1366"/>
      <c r="BN44" s="1366"/>
      <c r="BO44" s="1366"/>
      <c r="BP44" s="1366"/>
      <c r="BQ44" s="1366"/>
      <c r="BR44" s="1366"/>
      <c r="BS44" s="1366"/>
      <c r="BT44" s="1366"/>
      <c r="BU44" s="1366"/>
      <c r="BV44" s="1366"/>
      <c r="BW44" s="1366"/>
      <c r="BX44" s="1366"/>
      <c r="BY44" s="1366"/>
      <c r="BZ44" s="1366"/>
      <c r="CA44" s="1366"/>
      <c r="CB44" s="1366"/>
      <c r="CC44" s="1366"/>
      <c r="CD44" s="1366"/>
      <c r="CE44" s="1366"/>
      <c r="CF44" s="1366"/>
      <c r="CG44" s="1366"/>
      <c r="CH44" s="1366"/>
      <c r="CI44" s="1366"/>
      <c r="CJ44" s="1366"/>
      <c r="CK44" s="1366"/>
      <c r="CL44" s="1366"/>
      <c r="CM44" s="1366"/>
      <c r="CN44" s="1366"/>
      <c r="CO44" s="1366"/>
      <c r="CP44" s="1366"/>
      <c r="CQ44" s="1366"/>
      <c r="CR44" s="1366"/>
      <c r="CS44" s="1366"/>
      <c r="CT44" s="1366"/>
      <c r="CU44" s="1366"/>
      <c r="CV44" s="1366"/>
      <c r="CW44" s="1366"/>
      <c r="CX44" s="1366"/>
      <c r="CY44" s="1366"/>
      <c r="CZ44" s="1366"/>
      <c r="DA44" s="1366"/>
      <c r="DB44" s="1366"/>
      <c r="DC44" s="1366"/>
      <c r="DD44" s="1366"/>
      <c r="DE44" s="1366"/>
      <c r="DF44" s="1366"/>
      <c r="DG44" s="1366"/>
      <c r="DH44" s="1366"/>
      <c r="DI44" s="1366"/>
      <c r="DJ44" s="1366"/>
      <c r="DK44" s="1366"/>
      <c r="DL44" s="1366"/>
      <c r="DM44" s="1366"/>
      <c r="DN44" s="1366"/>
      <c r="DO44" s="1366"/>
      <c r="DP44" s="1366"/>
      <c r="DQ44" s="1366"/>
      <c r="DR44" s="1366"/>
      <c r="DS44" s="1366"/>
      <c r="DT44" s="1366"/>
      <c r="DU44" s="1366"/>
      <c r="DV44" s="1366"/>
    </row>
    <row r="45" spans="1:126" s="1479" customFormat="1" ht="19.5" thickBot="1">
      <c r="A45" s="695"/>
      <c r="B45" s="1655"/>
      <c r="C45" s="1655"/>
      <c r="D45" s="683"/>
      <c r="E45" s="683"/>
      <c r="F45" s="683"/>
      <c r="G45" s="683"/>
      <c r="H45" s="1413"/>
      <c r="I45" s="1443"/>
      <c r="J45" s="1414"/>
      <c r="K45" s="1413"/>
      <c r="L45" s="1529"/>
      <c r="M45" s="1413"/>
      <c r="N45" s="1489"/>
      <c r="O45" s="1413"/>
      <c r="P45" s="1414"/>
      <c r="Q45" s="1414"/>
      <c r="R45" s="1443"/>
      <c r="S45" s="1443"/>
      <c r="T45" s="1488"/>
      <c r="U45" s="1488"/>
      <c r="V45" s="1489"/>
      <c r="W45" s="1490"/>
      <c r="X45" s="1490"/>
      <c r="Y45" s="327"/>
      <c r="Z45" s="327"/>
      <c r="AA45" s="327"/>
      <c r="AB45" s="1490"/>
      <c r="AC45" s="1490"/>
      <c r="AD45" s="1490"/>
      <c r="AE45" s="1490"/>
      <c r="AF45" s="327"/>
      <c r="AG45" s="327"/>
      <c r="AH45" s="327"/>
      <c r="AI45" s="327"/>
      <c r="AJ45" s="327"/>
      <c r="AK45" s="1478"/>
      <c r="AL45" s="1478"/>
      <c r="AM45" s="1478"/>
      <c r="AN45" s="1478"/>
      <c r="AO45" s="1478"/>
      <c r="AP45" s="1478"/>
      <c r="AQ45" s="1478"/>
      <c r="AR45" s="1478"/>
      <c r="AS45" s="1478"/>
      <c r="AT45" s="1478"/>
      <c r="AU45" s="1478"/>
      <c r="AV45" s="1478"/>
      <c r="AW45" s="1478"/>
      <c r="AX45" s="1478"/>
      <c r="AY45" s="1478"/>
      <c r="AZ45" s="1478"/>
      <c r="BA45" s="1478"/>
      <c r="BB45" s="1478"/>
      <c r="BC45" s="1478"/>
      <c r="BD45" s="1478"/>
      <c r="BE45" s="1478"/>
      <c r="BF45" s="1478"/>
      <c r="BG45" s="1478"/>
      <c r="BH45" s="1478"/>
      <c r="BI45" s="1478"/>
      <c r="BJ45" s="1478"/>
      <c r="BK45" s="327"/>
      <c r="BL45" s="327"/>
      <c r="BM45" s="327"/>
      <c r="BN45" s="327"/>
      <c r="BO45" s="327"/>
      <c r="BP45" s="327"/>
      <c r="BQ45" s="327"/>
      <c r="BR45" s="327"/>
      <c r="BS45" s="327"/>
      <c r="BT45" s="327"/>
      <c r="BU45" s="327"/>
      <c r="BV45" s="327"/>
      <c r="BW45" s="327"/>
      <c r="BX45" s="327"/>
      <c r="BY45" s="327"/>
      <c r="BZ45" s="327"/>
      <c r="CA45" s="327"/>
      <c r="CB45" s="327"/>
      <c r="CC45" s="327"/>
      <c r="CD45" s="327"/>
      <c r="CE45" s="327"/>
      <c r="CF45" s="327"/>
      <c r="CG45" s="327"/>
      <c r="CH45" s="327"/>
      <c r="CI45" s="327"/>
      <c r="CJ45" s="327"/>
      <c r="CK45" s="327"/>
      <c r="CL45" s="327"/>
      <c r="CM45" s="327"/>
      <c r="CN45" s="327"/>
      <c r="CO45" s="327"/>
      <c r="CP45" s="327"/>
      <c r="CQ45" s="327"/>
      <c r="CR45" s="327"/>
      <c r="CS45" s="327"/>
      <c r="CT45" s="327"/>
      <c r="CU45" s="327"/>
      <c r="CV45" s="327"/>
      <c r="CW45" s="327"/>
      <c r="CX45" s="327"/>
      <c r="CY45" s="327"/>
      <c r="CZ45" s="327"/>
      <c r="DA45" s="327"/>
      <c r="DB45" s="327"/>
      <c r="DC45" s="327"/>
      <c r="DD45" s="327"/>
      <c r="DE45" s="327"/>
      <c r="DF45" s="327"/>
      <c r="DG45" s="327"/>
      <c r="DH45" s="327"/>
      <c r="DI45" s="327"/>
      <c r="DJ45" s="327"/>
      <c r="DK45" s="327"/>
      <c r="DL45" s="327"/>
      <c r="DM45" s="327"/>
      <c r="DN45" s="327"/>
      <c r="DO45" s="327"/>
      <c r="DP45" s="327"/>
      <c r="DQ45" s="327"/>
      <c r="DR45" s="327"/>
      <c r="DS45" s="327"/>
      <c r="DT45" s="327"/>
      <c r="DU45" s="327"/>
      <c r="DV45" s="327"/>
    </row>
    <row r="46" spans="1:126" s="1367" customFormat="1" ht="30" customHeight="1">
      <c r="A46" s="2493" t="s">
        <v>1279</v>
      </c>
      <c r="B46" s="2501" t="str">
        <f>'Equipment Results Matrix'!V96</f>
        <v>Workpaper measure</v>
      </c>
      <c r="C46" s="623" t="str">
        <f>'Equipment Results Matrix'!W96</f>
        <v>Baseline</v>
      </c>
      <c r="D46" s="1560" t="str">
        <f>'Equipment Results Matrix'!X96</f>
        <v>Title 20 code minimum, 177.4 W on-mode power, 1 W sleep mode power, assumed 1270 in2 screen area</v>
      </c>
      <c r="E46" s="383" t="s">
        <v>2683</v>
      </c>
      <c r="F46" s="1364" t="s">
        <v>2107</v>
      </c>
      <c r="G46" s="1543" t="s">
        <v>2201</v>
      </c>
      <c r="H46" s="1563">
        <f>'Equipment Results Matrix'!Y96</f>
        <v>1564.0473707984781</v>
      </c>
      <c r="I46" s="1564"/>
      <c r="J46" s="1565"/>
      <c r="K46" s="1401" t="s">
        <v>15</v>
      </c>
      <c r="L46" s="1526" t="s">
        <v>15</v>
      </c>
      <c r="M46" s="1566">
        <f>'Equipment Results Matrix'!Y96</f>
        <v>1564.0473707984781</v>
      </c>
      <c r="N46" s="1567" t="str">
        <f>'Equipment Results Matrix'!Z96</f>
        <v>-</v>
      </c>
      <c r="O46" s="1429"/>
      <c r="P46" s="1430"/>
      <c r="Q46" s="1430"/>
      <c r="R46" s="1430"/>
      <c r="S46" s="1430"/>
      <c r="T46" s="1430"/>
      <c r="U46" s="1430"/>
      <c r="V46" s="1679"/>
      <c r="W46" s="1366"/>
      <c r="X46" s="1366"/>
      <c r="Y46" s="1366"/>
      <c r="Z46" s="1366"/>
      <c r="AA46" s="1366"/>
      <c r="AB46" s="1366"/>
      <c r="AC46" s="1366"/>
      <c r="AD46" s="1366"/>
      <c r="AE46" s="1366"/>
      <c r="AF46" s="1366"/>
      <c r="AG46" s="1366"/>
      <c r="AH46" s="1366"/>
      <c r="AI46" s="1366"/>
      <c r="AJ46" s="1366"/>
      <c r="AK46" s="1366"/>
      <c r="AL46" s="1366"/>
      <c r="AM46" s="1366"/>
      <c r="AN46" s="1366"/>
      <c r="AO46" s="1366"/>
      <c r="AP46" s="1366"/>
      <c r="AQ46" s="1366"/>
      <c r="AR46" s="1366"/>
      <c r="AS46" s="1366"/>
      <c r="AT46" s="1366"/>
      <c r="AU46" s="1366"/>
      <c r="AV46" s="1366"/>
      <c r="AW46" s="1366"/>
      <c r="AX46" s="1366"/>
      <c r="AY46" s="1366"/>
      <c r="AZ46" s="1366"/>
      <c r="BA46" s="1366"/>
      <c r="BB46" s="1366"/>
      <c r="BC46" s="1366"/>
      <c r="BD46" s="1366"/>
      <c r="BE46" s="1366"/>
      <c r="BF46" s="1366"/>
      <c r="BG46" s="1366"/>
      <c r="BH46" s="1366"/>
      <c r="BI46" s="1366"/>
      <c r="BJ46" s="1366"/>
      <c r="BK46" s="1366"/>
      <c r="BL46" s="1366"/>
      <c r="BM46" s="1366"/>
      <c r="BN46" s="1366"/>
      <c r="BO46" s="1366"/>
      <c r="BP46" s="1366"/>
      <c r="BQ46" s="1366"/>
      <c r="BR46" s="1366"/>
      <c r="BS46" s="1366"/>
      <c r="BT46" s="1366"/>
      <c r="BU46" s="1366"/>
      <c r="BV46" s="1366"/>
      <c r="BW46" s="1366"/>
      <c r="BX46" s="1366"/>
      <c r="BY46" s="1366"/>
      <c r="BZ46" s="1366"/>
      <c r="CA46" s="1366"/>
      <c r="CB46" s="1366"/>
      <c r="CC46" s="1366"/>
      <c r="CD46" s="1366"/>
      <c r="CE46" s="1366"/>
      <c r="CF46" s="1366"/>
      <c r="CG46" s="1366"/>
      <c r="CH46" s="1366"/>
      <c r="CI46" s="1366"/>
      <c r="CJ46" s="1366"/>
      <c r="CK46" s="1366"/>
      <c r="CL46" s="1366"/>
      <c r="CM46" s="1366"/>
      <c r="CN46" s="1366"/>
      <c r="CO46" s="1366"/>
      <c r="CP46" s="1366"/>
      <c r="CQ46" s="1366"/>
      <c r="CR46" s="1366"/>
      <c r="CS46" s="1366"/>
      <c r="CT46" s="1366"/>
      <c r="CU46" s="1366"/>
      <c r="CV46" s="1366"/>
      <c r="CW46" s="1366"/>
      <c r="CX46" s="1366"/>
      <c r="CY46" s="1366"/>
      <c r="CZ46" s="1366"/>
      <c r="DA46" s="1366"/>
      <c r="DB46" s="1366"/>
      <c r="DC46" s="1366"/>
      <c r="DD46" s="1366"/>
      <c r="DE46" s="1366"/>
      <c r="DF46" s="1366"/>
      <c r="DG46" s="1366"/>
      <c r="DH46" s="1366"/>
      <c r="DI46" s="1366"/>
      <c r="DJ46" s="1366"/>
      <c r="DK46" s="1366"/>
      <c r="DL46" s="1366"/>
      <c r="DM46" s="1366"/>
      <c r="DN46" s="1366"/>
      <c r="DO46" s="1366"/>
      <c r="DP46" s="1366"/>
      <c r="DQ46" s="1366"/>
      <c r="DR46" s="1366"/>
      <c r="DS46" s="1366"/>
      <c r="DT46" s="1366"/>
      <c r="DU46" s="1366"/>
      <c r="DV46" s="1366"/>
    </row>
    <row r="47" spans="1:126" s="1367" customFormat="1" ht="30">
      <c r="A47" s="2494"/>
      <c r="B47" s="2502"/>
      <c r="C47" s="1642" t="str">
        <f>'Equipment Results Matrix'!W97</f>
        <v>Measure</v>
      </c>
      <c r="D47" s="1375" t="str">
        <f>'Equipment Results Matrix'!X97</f>
        <v>Energy Star 5.1 + 20%, 86.4 W on-mode power, assumed 1 W sleep mode power, 1270 in2 screen area</v>
      </c>
      <c r="E47" s="1364" t="s">
        <v>2683</v>
      </c>
      <c r="F47" s="1364" t="s">
        <v>2107</v>
      </c>
      <c r="G47" s="1543" t="s">
        <v>2201</v>
      </c>
      <c r="H47" s="1361">
        <f>'Equipment Results Matrix'!Y97</f>
        <v>1483.339288798478</v>
      </c>
      <c r="I47" s="1371"/>
      <c r="J47" s="1417"/>
      <c r="K47" s="1401" t="s">
        <v>15</v>
      </c>
      <c r="L47" s="1526" t="s">
        <v>15</v>
      </c>
      <c r="M47" s="1372">
        <f>'Equipment Results Matrix'!Y97</f>
        <v>1483.339288798478</v>
      </c>
      <c r="N47" s="1458">
        <f>'Equipment Results Matrix'!Z97</f>
        <v>-80.708082000000104</v>
      </c>
      <c r="O47" s="1429"/>
      <c r="P47" s="1430"/>
      <c r="Q47" s="1430"/>
      <c r="R47" s="1430"/>
      <c r="S47" s="1430"/>
      <c r="T47" s="1430"/>
      <c r="U47" s="1430"/>
      <c r="V47" s="1679"/>
      <c r="W47" s="1480"/>
    </row>
    <row r="48" spans="1:126" s="1367" customFormat="1" ht="30.75" thickBot="1">
      <c r="A48" s="2495"/>
      <c r="B48" s="2502"/>
      <c r="C48" s="1561" t="str">
        <f>'Equipment Results Matrix'!W98</f>
        <v>Measure</v>
      </c>
      <c r="D48" s="1562" t="str">
        <f>'Equipment Results Matrix'!X98</f>
        <v>Energy Star 5.1 + 35%, 70.2 W on-mode power, assumed 1 W sleep mode power, 1270 in2 screen area</v>
      </c>
      <c r="E48" s="1364" t="s">
        <v>2683</v>
      </c>
      <c r="F48" s="1364" t="s">
        <v>2107</v>
      </c>
      <c r="G48" s="1543" t="s">
        <v>2201</v>
      </c>
      <c r="H48" s="1552">
        <f>'Equipment Results Matrix'!Y98</f>
        <v>1468.971476398478</v>
      </c>
      <c r="I48" s="1553"/>
      <c r="J48" s="1554"/>
      <c r="K48" s="1401" t="s">
        <v>15</v>
      </c>
      <c r="L48" s="1526" t="s">
        <v>15</v>
      </c>
      <c r="M48" s="1555">
        <f>'Equipment Results Matrix'!Y98</f>
        <v>1468.971476398478</v>
      </c>
      <c r="N48" s="1559">
        <f>'Equipment Results Matrix'!Z98</f>
        <v>-95.075894400000152</v>
      </c>
      <c r="O48" s="1429"/>
      <c r="P48" s="1430"/>
      <c r="Q48" s="1430"/>
      <c r="R48" s="1430"/>
      <c r="S48" s="1430"/>
      <c r="T48" s="1430"/>
      <c r="U48" s="1430"/>
      <c r="V48" s="1679"/>
      <c r="W48" s="1480"/>
    </row>
    <row r="49" spans="1:126" s="1479" customFormat="1" ht="19.5" thickBot="1">
      <c r="A49" s="695"/>
      <c r="B49" s="1655"/>
      <c r="C49" s="1655"/>
      <c r="D49" s="683"/>
      <c r="E49" s="683"/>
      <c r="F49" s="683"/>
      <c r="G49" s="683"/>
      <c r="H49" s="1413"/>
      <c r="I49" s="1443"/>
      <c r="J49" s="1414"/>
      <c r="K49" s="1413"/>
      <c r="L49" s="1529"/>
      <c r="M49" s="1413"/>
      <c r="N49" s="1489"/>
      <c r="O49" s="1413"/>
      <c r="P49" s="1414"/>
      <c r="Q49" s="1414"/>
      <c r="R49" s="1443"/>
      <c r="S49" s="1443"/>
      <c r="T49" s="1488"/>
      <c r="U49" s="1488"/>
      <c r="V49" s="1489"/>
      <c r="W49" s="1490"/>
      <c r="X49" s="1490"/>
      <c r="Y49" s="327"/>
      <c r="Z49" s="327"/>
      <c r="AA49" s="327"/>
      <c r="AB49" s="1490"/>
      <c r="AC49" s="1490"/>
      <c r="AD49" s="1490"/>
      <c r="AE49" s="1490"/>
      <c r="AF49" s="327"/>
      <c r="AG49" s="327"/>
      <c r="AH49" s="327"/>
      <c r="AI49" s="327"/>
      <c r="AJ49" s="327"/>
      <c r="AK49" s="1478"/>
      <c r="AL49" s="1478"/>
      <c r="AM49" s="1478"/>
      <c r="AN49" s="1478"/>
      <c r="AO49" s="1478"/>
      <c r="AP49" s="1478"/>
      <c r="AQ49" s="1478"/>
      <c r="AR49" s="1478"/>
      <c r="AS49" s="1478"/>
      <c r="AT49" s="1478"/>
      <c r="AU49" s="1478"/>
      <c r="AV49" s="1478"/>
      <c r="AW49" s="1478"/>
      <c r="AX49" s="1478"/>
      <c r="AY49" s="1478"/>
      <c r="AZ49" s="1478"/>
      <c r="BA49" s="1478"/>
      <c r="BB49" s="1478"/>
      <c r="BC49" s="1478"/>
      <c r="BD49" s="1478"/>
      <c r="BE49" s="1478"/>
      <c r="BF49" s="1478"/>
      <c r="BG49" s="1478"/>
      <c r="BH49" s="1478"/>
      <c r="BI49" s="1478"/>
      <c r="BJ49" s="1478"/>
      <c r="BK49" s="327"/>
      <c r="BL49" s="327"/>
      <c r="BM49" s="327"/>
      <c r="BN49" s="327"/>
      <c r="BO49" s="327"/>
      <c r="BP49" s="327"/>
      <c r="BQ49" s="327"/>
      <c r="BR49" s="327"/>
      <c r="BS49" s="327"/>
      <c r="BT49" s="327"/>
      <c r="BU49" s="327"/>
      <c r="BV49" s="327"/>
      <c r="BW49" s="327"/>
      <c r="BX49" s="327"/>
      <c r="BY49" s="327"/>
      <c r="BZ49" s="327"/>
      <c r="CA49" s="327"/>
      <c r="CB49" s="327"/>
      <c r="CC49" s="327"/>
      <c r="CD49" s="327"/>
      <c r="CE49" s="327"/>
      <c r="CF49" s="327"/>
      <c r="CG49" s="327"/>
      <c r="CH49" s="327"/>
      <c r="CI49" s="327"/>
      <c r="CJ49" s="327"/>
      <c r="CK49" s="327"/>
      <c r="CL49" s="327"/>
      <c r="CM49" s="327"/>
      <c r="CN49" s="327"/>
      <c r="CO49" s="327"/>
      <c r="CP49" s="327"/>
      <c r="CQ49" s="327"/>
      <c r="CR49" s="327"/>
      <c r="CS49" s="327"/>
      <c r="CT49" s="327"/>
      <c r="CU49" s="327"/>
      <c r="CV49" s="327"/>
      <c r="CW49" s="327"/>
      <c r="CX49" s="327"/>
      <c r="CY49" s="327"/>
      <c r="CZ49" s="327"/>
      <c r="DA49" s="327"/>
      <c r="DB49" s="327"/>
      <c r="DC49" s="327"/>
      <c r="DD49" s="327"/>
      <c r="DE49" s="327"/>
      <c r="DF49" s="327"/>
      <c r="DG49" s="327"/>
      <c r="DH49" s="327"/>
      <c r="DI49" s="327"/>
      <c r="DJ49" s="327"/>
      <c r="DK49" s="327"/>
      <c r="DL49" s="327"/>
      <c r="DM49" s="327"/>
      <c r="DN49" s="327"/>
      <c r="DO49" s="327"/>
      <c r="DP49" s="327"/>
      <c r="DQ49" s="327"/>
      <c r="DR49" s="327"/>
      <c r="DS49" s="327"/>
      <c r="DT49" s="327"/>
      <c r="DU49" s="327"/>
      <c r="DV49" s="327"/>
    </row>
    <row r="50" spans="1:126" s="1367" customFormat="1" ht="30" customHeight="1">
      <c r="A50" s="2493" t="s">
        <v>1280</v>
      </c>
      <c r="B50" s="2501" t="str">
        <f>'Equipment Results Matrix'!V128</f>
        <v>Workpaper measure</v>
      </c>
      <c r="C50" s="623" t="str">
        <f>'Equipment Results Matrix'!W128</f>
        <v>Baseline</v>
      </c>
      <c r="D50" s="1560" t="str">
        <f>'Equipment Results Matrix'!X128</f>
        <v>Title 20 code minimum, 129.2 W on-mode power, 1 W sleep mode power, assumed 868 in2 screen area</v>
      </c>
      <c r="E50" s="383" t="s">
        <v>2683</v>
      </c>
      <c r="F50" s="383" t="s">
        <v>2107</v>
      </c>
      <c r="G50" s="1540" t="s">
        <v>2201</v>
      </c>
      <c r="H50" s="1563">
        <f>'Equipment Results Matrix'!Y128</f>
        <v>867.11625466795397</v>
      </c>
      <c r="I50" s="1564"/>
      <c r="J50" s="1565"/>
      <c r="K50" s="1568" t="s">
        <v>15</v>
      </c>
      <c r="L50" s="1569" t="s">
        <v>15</v>
      </c>
      <c r="M50" s="1566">
        <f>'Equipment Results Matrix'!Y128</f>
        <v>867.11625466795397</v>
      </c>
      <c r="N50" s="1567" t="str">
        <f>'Equipment Results Matrix'!Z128</f>
        <v>-</v>
      </c>
      <c r="O50" s="1429"/>
      <c r="P50" s="1430"/>
      <c r="Q50" s="1430"/>
      <c r="R50" s="1430"/>
      <c r="S50" s="1430"/>
      <c r="T50" s="1430"/>
      <c r="U50" s="1430"/>
      <c r="V50" s="1679"/>
      <c r="W50" s="1366"/>
      <c r="X50" s="1366"/>
      <c r="Y50" s="1366"/>
      <c r="Z50" s="1366"/>
      <c r="AA50" s="1366"/>
      <c r="AB50" s="1366"/>
      <c r="AC50" s="1366"/>
      <c r="AD50" s="1366"/>
      <c r="AE50" s="1366"/>
      <c r="AF50" s="1366"/>
      <c r="AG50" s="1366"/>
      <c r="AH50" s="1366"/>
      <c r="AI50" s="1366"/>
      <c r="AJ50" s="1366"/>
      <c r="AK50" s="1366"/>
      <c r="AL50" s="1366"/>
      <c r="AM50" s="1366"/>
      <c r="AN50" s="1366"/>
      <c r="AO50" s="1366"/>
      <c r="AP50" s="1366"/>
      <c r="AQ50" s="1366"/>
      <c r="AR50" s="1366"/>
      <c r="AS50" s="1366"/>
      <c r="AT50" s="1366"/>
      <c r="AU50" s="1366"/>
      <c r="AV50" s="1366"/>
      <c r="AW50" s="1366"/>
      <c r="AX50" s="1366"/>
      <c r="AY50" s="1366"/>
      <c r="AZ50" s="1366"/>
      <c r="BA50" s="1366"/>
      <c r="BB50" s="1366"/>
      <c r="BC50" s="1366"/>
      <c r="BD50" s="1366"/>
      <c r="BE50" s="1366"/>
      <c r="BF50" s="1366"/>
      <c r="BG50" s="1366"/>
      <c r="BH50" s="1366"/>
      <c r="BI50" s="1366"/>
      <c r="BJ50" s="1366"/>
      <c r="BK50" s="1366"/>
      <c r="BL50" s="1366"/>
      <c r="BM50" s="1366"/>
      <c r="BN50" s="1366"/>
      <c r="BO50" s="1366"/>
      <c r="BP50" s="1366"/>
      <c r="BQ50" s="1366"/>
      <c r="BR50" s="1366"/>
      <c r="BS50" s="1366"/>
      <c r="BT50" s="1366"/>
      <c r="BU50" s="1366"/>
      <c r="BV50" s="1366"/>
      <c r="BW50" s="1366"/>
      <c r="BX50" s="1366"/>
      <c r="BY50" s="1366"/>
      <c r="BZ50" s="1366"/>
      <c r="CA50" s="1366"/>
      <c r="CB50" s="1366"/>
      <c r="CC50" s="1366"/>
      <c r="CD50" s="1366"/>
      <c r="CE50" s="1366"/>
      <c r="CF50" s="1366"/>
      <c r="CG50" s="1366"/>
      <c r="CH50" s="1366"/>
      <c r="CI50" s="1366"/>
      <c r="CJ50" s="1366"/>
      <c r="CK50" s="1366"/>
      <c r="CL50" s="1366"/>
      <c r="CM50" s="1366"/>
      <c r="CN50" s="1366"/>
      <c r="CO50" s="1366"/>
      <c r="CP50" s="1366"/>
      <c r="CQ50" s="1366"/>
      <c r="CR50" s="1366"/>
      <c r="CS50" s="1366"/>
      <c r="CT50" s="1366"/>
      <c r="CU50" s="1366"/>
      <c r="CV50" s="1366"/>
      <c r="CW50" s="1366"/>
      <c r="CX50" s="1366"/>
      <c r="CY50" s="1366"/>
      <c r="CZ50" s="1366"/>
      <c r="DA50" s="1366"/>
      <c r="DB50" s="1366"/>
      <c r="DC50" s="1366"/>
      <c r="DD50" s="1366"/>
      <c r="DE50" s="1366"/>
      <c r="DF50" s="1366"/>
      <c r="DG50" s="1366"/>
      <c r="DH50" s="1366"/>
      <c r="DI50" s="1366"/>
      <c r="DJ50" s="1366"/>
      <c r="DK50" s="1366"/>
      <c r="DL50" s="1366"/>
      <c r="DM50" s="1366"/>
      <c r="DN50" s="1366"/>
      <c r="DO50" s="1366"/>
      <c r="DP50" s="1366"/>
      <c r="DQ50" s="1366"/>
      <c r="DR50" s="1366"/>
      <c r="DS50" s="1366"/>
      <c r="DT50" s="1366"/>
      <c r="DU50" s="1366"/>
      <c r="DV50" s="1366"/>
    </row>
    <row r="51" spans="1:126" s="1367" customFormat="1" ht="30">
      <c r="A51" s="2494"/>
      <c r="B51" s="2502"/>
      <c r="C51" s="1642" t="str">
        <f>'Equipment Results Matrix'!W129</f>
        <v>Measure</v>
      </c>
      <c r="D51" s="1375" t="str">
        <f>'Equipment Results Matrix'!X129</f>
        <v>Energy Star 5.1 + 20%, 72.7 W on-mode power, assumed 1 W sleep mode power, 868 in2 screen area</v>
      </c>
      <c r="E51" s="1364" t="s">
        <v>2683</v>
      </c>
      <c r="F51" s="1364" t="s">
        <v>2107</v>
      </c>
      <c r="G51" s="1543" t="s">
        <v>2201</v>
      </c>
      <c r="H51" s="1361">
        <f>'Equipment Results Matrix'!Y129</f>
        <v>767.66948031795403</v>
      </c>
      <c r="I51" s="1371"/>
      <c r="J51" s="1417"/>
      <c r="K51" s="1401" t="s">
        <v>15</v>
      </c>
      <c r="L51" s="1526" t="s">
        <v>15</v>
      </c>
      <c r="M51" s="1372">
        <f>'Equipment Results Matrix'!Y129</f>
        <v>767.66948031795403</v>
      </c>
      <c r="N51" s="1458">
        <f>'Equipment Results Matrix'!Z129</f>
        <v>-99.446774349999941</v>
      </c>
      <c r="O51" s="1429"/>
      <c r="P51" s="1430"/>
      <c r="Q51" s="1430"/>
      <c r="R51" s="1430"/>
      <c r="S51" s="1430"/>
      <c r="T51" s="1430"/>
      <c r="U51" s="1430"/>
      <c r="V51" s="1679"/>
      <c r="W51" s="1480"/>
    </row>
    <row r="52" spans="1:126" s="1367" customFormat="1" ht="30.75" thickBot="1">
      <c r="A52" s="2495"/>
      <c r="B52" s="2502"/>
      <c r="C52" s="1577" t="str">
        <f>'Equipment Results Matrix'!W130</f>
        <v>Measure</v>
      </c>
      <c r="D52" s="1578" t="str">
        <f>'Equipment Results Matrix'!X130</f>
        <v>Energy Star 5.1 + 35%, 59.1 W on-mode power, assumed 1 W sleep mode power, 868 in2 screen area</v>
      </c>
      <c r="E52" s="1546" t="s">
        <v>2683</v>
      </c>
      <c r="F52" s="1546" t="s">
        <v>2107</v>
      </c>
      <c r="G52" s="1547" t="s">
        <v>2201</v>
      </c>
      <c r="H52" s="1570">
        <f>'Equipment Results Matrix'!Y130</f>
        <v>743.73184967795396</v>
      </c>
      <c r="I52" s="1571"/>
      <c r="J52" s="1572"/>
      <c r="K52" s="1573" t="s">
        <v>15</v>
      </c>
      <c r="L52" s="1574" t="s">
        <v>15</v>
      </c>
      <c r="M52" s="1575">
        <f>'Equipment Results Matrix'!Y130</f>
        <v>743.73184967795396</v>
      </c>
      <c r="N52" s="1576">
        <f>'Equipment Results Matrix'!Z130</f>
        <v>-123.38440499000001</v>
      </c>
      <c r="O52" s="1429"/>
      <c r="P52" s="1430"/>
      <c r="Q52" s="1430"/>
      <c r="R52" s="1430"/>
      <c r="S52" s="1430"/>
      <c r="T52" s="1430"/>
      <c r="U52" s="1430"/>
      <c r="V52" s="1679"/>
      <c r="W52" s="1480"/>
    </row>
    <row r="53" spans="1:126" s="1479" customFormat="1" ht="19.5" thickBot="1">
      <c r="A53" s="695"/>
      <c r="B53" s="1655"/>
      <c r="C53" s="1655"/>
      <c r="D53" s="683"/>
      <c r="E53" s="683"/>
      <c r="F53" s="683"/>
      <c r="G53" s="683"/>
      <c r="H53" s="1413"/>
      <c r="I53" s="1443"/>
      <c r="J53" s="1414"/>
      <c r="K53" s="1413"/>
      <c r="L53" s="1529"/>
      <c r="M53" s="1413"/>
      <c r="N53" s="1489"/>
      <c r="O53" s="1413"/>
      <c r="P53" s="1414"/>
      <c r="Q53" s="1414"/>
      <c r="R53" s="1443"/>
      <c r="S53" s="1443"/>
      <c r="T53" s="1488"/>
      <c r="U53" s="1488"/>
      <c r="V53" s="1489"/>
      <c r="W53" s="1490"/>
      <c r="X53" s="1490"/>
      <c r="Y53" s="327"/>
      <c r="Z53" s="327"/>
      <c r="AA53" s="327"/>
      <c r="AB53" s="1490"/>
      <c r="AC53" s="1490"/>
      <c r="AD53" s="1490"/>
      <c r="AE53" s="1490"/>
      <c r="AF53" s="327"/>
      <c r="AG53" s="327"/>
      <c r="AH53" s="327"/>
      <c r="AI53" s="327"/>
      <c r="AJ53" s="327"/>
      <c r="AK53" s="1478"/>
      <c r="AL53" s="1478"/>
      <c r="AM53" s="1478"/>
      <c r="AN53" s="1478"/>
      <c r="AO53" s="1478"/>
      <c r="AP53" s="1478"/>
      <c r="AQ53" s="1478"/>
      <c r="AR53" s="1478"/>
      <c r="AS53" s="1478"/>
      <c r="AT53" s="1478"/>
      <c r="AU53" s="1478"/>
      <c r="AV53" s="1478"/>
      <c r="AW53" s="1478"/>
      <c r="AX53" s="1478"/>
      <c r="AY53" s="1478"/>
      <c r="AZ53" s="1478"/>
      <c r="BA53" s="1478"/>
      <c r="BB53" s="1478"/>
      <c r="BC53" s="1478"/>
      <c r="BD53" s="1478"/>
      <c r="BE53" s="1478"/>
      <c r="BF53" s="1478"/>
      <c r="BG53" s="1478"/>
      <c r="BH53" s="1478"/>
      <c r="BI53" s="1478"/>
      <c r="BJ53" s="1478"/>
      <c r="BK53" s="327"/>
      <c r="BL53" s="327"/>
      <c r="BM53" s="327"/>
      <c r="BN53" s="327"/>
      <c r="BO53" s="327"/>
      <c r="BP53" s="327"/>
      <c r="BQ53" s="327"/>
      <c r="BR53" s="327"/>
      <c r="BS53" s="327"/>
      <c r="BT53" s="327"/>
      <c r="BU53" s="327"/>
      <c r="BV53" s="327"/>
      <c r="BW53" s="327"/>
      <c r="BX53" s="327"/>
      <c r="BY53" s="327"/>
      <c r="BZ53" s="327"/>
      <c r="CA53" s="327"/>
      <c r="CB53" s="327"/>
      <c r="CC53" s="327"/>
      <c r="CD53" s="327"/>
      <c r="CE53" s="327"/>
      <c r="CF53" s="327"/>
      <c r="CG53" s="327"/>
      <c r="CH53" s="327"/>
      <c r="CI53" s="327"/>
      <c r="CJ53" s="327"/>
      <c r="CK53" s="327"/>
      <c r="CL53" s="327"/>
      <c r="CM53" s="327"/>
      <c r="CN53" s="327"/>
      <c r="CO53" s="327"/>
      <c r="CP53" s="327"/>
      <c r="CQ53" s="327"/>
      <c r="CR53" s="327"/>
      <c r="CS53" s="327"/>
      <c r="CT53" s="327"/>
      <c r="CU53" s="327"/>
      <c r="CV53" s="327"/>
      <c r="CW53" s="327"/>
      <c r="CX53" s="327"/>
      <c r="CY53" s="327"/>
      <c r="CZ53" s="327"/>
      <c r="DA53" s="327"/>
      <c r="DB53" s="327"/>
      <c r="DC53" s="327"/>
      <c r="DD53" s="327"/>
      <c r="DE53" s="327"/>
      <c r="DF53" s="327"/>
      <c r="DG53" s="327"/>
      <c r="DH53" s="327"/>
      <c r="DI53" s="327"/>
      <c r="DJ53" s="327"/>
      <c r="DK53" s="327"/>
      <c r="DL53" s="327"/>
      <c r="DM53" s="327"/>
      <c r="DN53" s="327"/>
      <c r="DO53" s="327"/>
      <c r="DP53" s="327"/>
      <c r="DQ53" s="327"/>
      <c r="DR53" s="327"/>
      <c r="DS53" s="327"/>
      <c r="DT53" s="327"/>
      <c r="DU53" s="327"/>
      <c r="DV53" s="327"/>
    </row>
    <row r="54" spans="1:126" s="1367" customFormat="1" ht="30" customHeight="1">
      <c r="A54" s="2493" t="s">
        <v>1281</v>
      </c>
      <c r="B54" s="2501" t="str">
        <f>'Equipment Results Matrix'!V163</f>
        <v>Workpaper measure</v>
      </c>
      <c r="C54" s="623" t="str">
        <f>'Equipment Results Matrix'!W163</f>
        <v>Baseline</v>
      </c>
      <c r="D54" s="1560" t="str">
        <f>'Equipment Results Matrix'!X163</f>
        <v>Title 20 code minimum, 106.8 W on-mode power, 1 W sleep mode power, assumed 682 in2 screen area</v>
      </c>
      <c r="E54" s="383" t="s">
        <v>2683</v>
      </c>
      <c r="F54" s="383" t="s">
        <v>2107</v>
      </c>
      <c r="G54" s="1540" t="s">
        <v>2201</v>
      </c>
      <c r="H54" s="1563">
        <f>'Equipment Results Matrix'!Y163</f>
        <v>639.05119676497179</v>
      </c>
      <c r="I54" s="1564"/>
      <c r="J54" s="1565"/>
      <c r="K54" s="1568" t="s">
        <v>15</v>
      </c>
      <c r="L54" s="1569" t="s">
        <v>15</v>
      </c>
      <c r="M54" s="1566">
        <f>'Equipment Results Matrix'!Y163</f>
        <v>639.05119676497179</v>
      </c>
      <c r="N54" s="1567" t="str">
        <f>'Equipment Results Matrix'!Z163</f>
        <v>-</v>
      </c>
      <c r="O54" s="1429"/>
      <c r="P54" s="1430"/>
      <c r="Q54" s="1430"/>
      <c r="R54" s="1430"/>
      <c r="S54" s="1430"/>
      <c r="T54" s="1430"/>
      <c r="U54" s="1430"/>
      <c r="V54" s="1679"/>
      <c r="W54" s="1366"/>
      <c r="X54" s="1366"/>
      <c r="Y54" s="1366"/>
      <c r="Z54" s="1366"/>
      <c r="AA54" s="1366"/>
      <c r="AB54" s="1366"/>
      <c r="AC54" s="1366"/>
      <c r="AD54" s="1366"/>
      <c r="AE54" s="1366"/>
      <c r="AF54" s="1366"/>
      <c r="AG54" s="1366"/>
      <c r="AH54" s="1366"/>
      <c r="AI54" s="1366"/>
      <c r="AJ54" s="1366"/>
      <c r="AK54" s="1366"/>
      <c r="AL54" s="1366"/>
      <c r="AM54" s="1366"/>
      <c r="AN54" s="1366"/>
      <c r="AO54" s="1366"/>
      <c r="AP54" s="1366"/>
      <c r="AQ54" s="1366"/>
      <c r="AR54" s="1366"/>
      <c r="AS54" s="1366"/>
      <c r="AT54" s="1366"/>
      <c r="AU54" s="1366"/>
      <c r="AV54" s="1366"/>
      <c r="AW54" s="1366"/>
      <c r="AX54" s="1366"/>
      <c r="AY54" s="1366"/>
      <c r="AZ54" s="1366"/>
      <c r="BA54" s="1366"/>
      <c r="BB54" s="1366"/>
      <c r="BC54" s="1366"/>
      <c r="BD54" s="1366"/>
      <c r="BE54" s="1366"/>
      <c r="BF54" s="1366"/>
      <c r="BG54" s="1366"/>
      <c r="BH54" s="1366"/>
      <c r="BI54" s="1366"/>
      <c r="BJ54" s="1366"/>
      <c r="BK54" s="1366"/>
      <c r="BL54" s="1366"/>
      <c r="BM54" s="1366"/>
      <c r="BN54" s="1366"/>
      <c r="BO54" s="1366"/>
      <c r="BP54" s="1366"/>
      <c r="BQ54" s="1366"/>
      <c r="BR54" s="1366"/>
      <c r="BS54" s="1366"/>
      <c r="BT54" s="1366"/>
      <c r="BU54" s="1366"/>
      <c r="BV54" s="1366"/>
      <c r="BW54" s="1366"/>
      <c r="BX54" s="1366"/>
      <c r="BY54" s="1366"/>
      <c r="BZ54" s="1366"/>
      <c r="CA54" s="1366"/>
      <c r="CB54" s="1366"/>
      <c r="CC54" s="1366"/>
      <c r="CD54" s="1366"/>
      <c r="CE54" s="1366"/>
      <c r="CF54" s="1366"/>
      <c r="CG54" s="1366"/>
      <c r="CH54" s="1366"/>
      <c r="CI54" s="1366"/>
      <c r="CJ54" s="1366"/>
      <c r="CK54" s="1366"/>
      <c r="CL54" s="1366"/>
      <c r="CM54" s="1366"/>
      <c r="CN54" s="1366"/>
      <c r="CO54" s="1366"/>
      <c r="CP54" s="1366"/>
      <c r="CQ54" s="1366"/>
      <c r="CR54" s="1366"/>
      <c r="CS54" s="1366"/>
      <c r="CT54" s="1366"/>
      <c r="CU54" s="1366"/>
      <c r="CV54" s="1366"/>
      <c r="CW54" s="1366"/>
      <c r="CX54" s="1366"/>
      <c r="CY54" s="1366"/>
      <c r="CZ54" s="1366"/>
      <c r="DA54" s="1366"/>
      <c r="DB54" s="1366"/>
      <c r="DC54" s="1366"/>
      <c r="DD54" s="1366"/>
      <c r="DE54" s="1366"/>
      <c r="DF54" s="1366"/>
      <c r="DG54" s="1366"/>
      <c r="DH54" s="1366"/>
      <c r="DI54" s="1366"/>
      <c r="DJ54" s="1366"/>
      <c r="DK54" s="1366"/>
      <c r="DL54" s="1366"/>
      <c r="DM54" s="1366"/>
      <c r="DN54" s="1366"/>
      <c r="DO54" s="1366"/>
      <c r="DP54" s="1366"/>
      <c r="DQ54" s="1366"/>
      <c r="DR54" s="1366"/>
      <c r="DS54" s="1366"/>
      <c r="DT54" s="1366"/>
      <c r="DU54" s="1366"/>
      <c r="DV54" s="1366"/>
    </row>
    <row r="55" spans="1:126" s="1367" customFormat="1" ht="30">
      <c r="A55" s="2494"/>
      <c r="B55" s="2502"/>
      <c r="C55" s="1642" t="str">
        <f>'Equipment Results Matrix'!W164</f>
        <v>Measure</v>
      </c>
      <c r="D55" s="1375" t="str">
        <f>'Equipment Results Matrix'!X164</f>
        <v>Energy Star 5.1 + 20%, 60.2 W on-mode power, assumed 1 W sleep mode power, 682 in2 screen area</v>
      </c>
      <c r="E55" s="1364" t="s">
        <v>2683</v>
      </c>
      <c r="F55" s="1364" t="s">
        <v>2107</v>
      </c>
      <c r="G55" s="1543" t="s">
        <v>2201</v>
      </c>
      <c r="H55" s="1361">
        <f>'Equipment Results Matrix'!Y164</f>
        <v>480.50165414497189</v>
      </c>
      <c r="I55" s="1371"/>
      <c r="J55" s="1417"/>
      <c r="K55" s="1401" t="s">
        <v>15</v>
      </c>
      <c r="L55" s="1526" t="s">
        <v>15</v>
      </c>
      <c r="M55" s="1372">
        <f>'Equipment Results Matrix'!Y164</f>
        <v>480.50165414497189</v>
      </c>
      <c r="N55" s="1458">
        <f>'Equipment Results Matrix'!Z164</f>
        <v>-158.5495426199999</v>
      </c>
      <c r="O55" s="1429"/>
      <c r="P55" s="1430"/>
      <c r="Q55" s="1430"/>
      <c r="R55" s="1430"/>
      <c r="S55" s="1430"/>
      <c r="T55" s="1430"/>
      <c r="U55" s="1430"/>
      <c r="V55" s="1679"/>
      <c r="W55" s="1366"/>
      <c r="X55" s="1366"/>
      <c r="Y55" s="1366"/>
      <c r="Z55" s="1366"/>
      <c r="AA55" s="1366"/>
      <c r="AB55" s="1366"/>
      <c r="AC55" s="1366"/>
      <c r="AD55" s="1366"/>
      <c r="AE55" s="1366"/>
      <c r="AF55" s="1366"/>
      <c r="AG55" s="1366"/>
      <c r="AH55" s="1366"/>
      <c r="AI55" s="1366"/>
      <c r="AJ55" s="1366"/>
      <c r="AK55" s="1366"/>
      <c r="AL55" s="1366"/>
      <c r="AM55" s="1366"/>
      <c r="AN55" s="1366"/>
      <c r="AO55" s="1366"/>
      <c r="AP55" s="1366"/>
      <c r="AQ55" s="1366"/>
      <c r="AR55" s="1366"/>
      <c r="AS55" s="1366"/>
      <c r="AT55" s="1366"/>
      <c r="AU55" s="1366"/>
      <c r="AV55" s="1366"/>
      <c r="AW55" s="1366"/>
      <c r="AX55" s="1366"/>
      <c r="AY55" s="1366"/>
      <c r="AZ55" s="1366"/>
      <c r="BA55" s="1366"/>
      <c r="BB55" s="1366"/>
      <c r="BC55" s="1366"/>
      <c r="BD55" s="1366"/>
      <c r="BE55" s="1366"/>
      <c r="BF55" s="1366"/>
      <c r="BG55" s="1366"/>
      <c r="BH55" s="1366"/>
      <c r="BI55" s="1366"/>
      <c r="BJ55" s="1366"/>
      <c r="BK55" s="1366"/>
      <c r="BL55" s="1366"/>
      <c r="BM55" s="1366"/>
      <c r="BN55" s="1366"/>
      <c r="BO55" s="1366"/>
      <c r="BP55" s="1366"/>
      <c r="BQ55" s="1366"/>
      <c r="BR55" s="1366"/>
      <c r="BS55" s="1366"/>
      <c r="BT55" s="1366"/>
      <c r="BU55" s="1366"/>
      <c r="BV55" s="1366"/>
      <c r="BW55" s="1366"/>
      <c r="BX55" s="1366"/>
      <c r="BY55" s="1366"/>
      <c r="BZ55" s="1366"/>
      <c r="CA55" s="1366"/>
      <c r="CB55" s="1366"/>
      <c r="CC55" s="1366"/>
      <c r="CD55" s="1366"/>
      <c r="CE55" s="1366"/>
      <c r="CF55" s="1366"/>
      <c r="CG55" s="1366"/>
      <c r="CH55" s="1366"/>
      <c r="CI55" s="1366"/>
      <c r="CJ55" s="1366"/>
      <c r="CK55" s="1366"/>
      <c r="CL55" s="1366"/>
      <c r="CM55" s="1366"/>
      <c r="CN55" s="1366"/>
      <c r="CO55" s="1366"/>
      <c r="CP55" s="1366"/>
      <c r="CQ55" s="1366"/>
      <c r="CR55" s="1366"/>
      <c r="CS55" s="1366"/>
      <c r="CT55" s="1366"/>
      <c r="CU55" s="1366"/>
      <c r="CV55" s="1366"/>
      <c r="CW55" s="1366"/>
      <c r="CX55" s="1366"/>
      <c r="CY55" s="1366"/>
      <c r="CZ55" s="1366"/>
      <c r="DA55" s="1366"/>
      <c r="DB55" s="1366"/>
      <c r="DC55" s="1366"/>
      <c r="DD55" s="1366"/>
      <c r="DE55" s="1366"/>
      <c r="DF55" s="1366"/>
      <c r="DG55" s="1366"/>
      <c r="DH55" s="1366"/>
      <c r="DI55" s="1366"/>
      <c r="DJ55" s="1366"/>
      <c r="DK55" s="1366"/>
      <c r="DL55" s="1366"/>
      <c r="DM55" s="1366"/>
      <c r="DN55" s="1366"/>
      <c r="DO55" s="1366"/>
      <c r="DP55" s="1366"/>
      <c r="DQ55" s="1366"/>
      <c r="DR55" s="1366"/>
      <c r="DS55" s="1366"/>
      <c r="DT55" s="1366"/>
      <c r="DU55" s="1366"/>
      <c r="DV55" s="1366"/>
    </row>
    <row r="56" spans="1:126" s="1367" customFormat="1" ht="30.75" thickBot="1">
      <c r="A56" s="2495"/>
      <c r="B56" s="2502"/>
      <c r="C56" s="1561" t="str">
        <f>'Equipment Results Matrix'!W165</f>
        <v>Measure</v>
      </c>
      <c r="D56" s="1562" t="str">
        <f>'Equipment Results Matrix'!X165</f>
        <v>Energy Star 5.1 + 35%, 49 W on-mode power, assumed 1 W sleep mode power, 682 in2 screen area</v>
      </c>
      <c r="E56" s="1546" t="s">
        <v>2683</v>
      </c>
      <c r="F56" s="1546" t="s">
        <v>2107</v>
      </c>
      <c r="G56" s="1547" t="s">
        <v>2201</v>
      </c>
      <c r="H56" s="1552">
        <f>'Equipment Results Matrix'!Y165</f>
        <v>442.39532630497183</v>
      </c>
      <c r="I56" s="1553"/>
      <c r="J56" s="1554"/>
      <c r="K56" s="1573" t="s">
        <v>15</v>
      </c>
      <c r="L56" s="1574" t="s">
        <v>15</v>
      </c>
      <c r="M56" s="1555">
        <f>'Equipment Results Matrix'!Y165</f>
        <v>442.39532630497183</v>
      </c>
      <c r="N56" s="1559">
        <f>'Equipment Results Matrix'!Z165</f>
        <v>-196.65587045999996</v>
      </c>
      <c r="O56" s="1429"/>
      <c r="P56" s="1430"/>
      <c r="Q56" s="1430"/>
      <c r="R56" s="1430"/>
      <c r="S56" s="1430"/>
      <c r="T56" s="1430"/>
      <c r="U56" s="1430"/>
      <c r="V56" s="1679"/>
      <c r="W56" s="1366"/>
      <c r="X56" s="1366"/>
      <c r="Y56" s="1366"/>
      <c r="Z56" s="1366"/>
      <c r="AA56" s="1366"/>
      <c r="AB56" s="1366"/>
      <c r="AC56" s="1366"/>
      <c r="AD56" s="1366"/>
      <c r="AE56" s="1366"/>
      <c r="AF56" s="1366"/>
      <c r="AG56" s="1366"/>
      <c r="AH56" s="1366"/>
      <c r="AI56" s="1366"/>
      <c r="AJ56" s="1366"/>
      <c r="AK56" s="1366"/>
      <c r="AL56" s="1366"/>
      <c r="AM56" s="1366"/>
      <c r="AN56" s="1366"/>
      <c r="AO56" s="1366"/>
      <c r="AP56" s="1366"/>
      <c r="AQ56" s="1366"/>
      <c r="AR56" s="1366"/>
      <c r="AS56" s="1366"/>
      <c r="AT56" s="1366"/>
      <c r="AU56" s="1366"/>
      <c r="AV56" s="1366"/>
      <c r="AW56" s="1366"/>
      <c r="AX56" s="1366"/>
      <c r="AY56" s="1366"/>
      <c r="AZ56" s="1366"/>
      <c r="BA56" s="1366"/>
      <c r="BB56" s="1366"/>
      <c r="BC56" s="1366"/>
      <c r="BD56" s="1366"/>
      <c r="BE56" s="1366"/>
      <c r="BF56" s="1366"/>
      <c r="BG56" s="1366"/>
      <c r="BH56" s="1366"/>
      <c r="BI56" s="1366"/>
      <c r="BJ56" s="1366"/>
      <c r="BK56" s="1366"/>
      <c r="BL56" s="1366"/>
      <c r="BM56" s="1366"/>
      <c r="BN56" s="1366"/>
      <c r="BO56" s="1366"/>
      <c r="BP56" s="1366"/>
      <c r="BQ56" s="1366"/>
      <c r="BR56" s="1366"/>
      <c r="BS56" s="1366"/>
      <c r="BT56" s="1366"/>
      <c r="BU56" s="1366"/>
      <c r="BV56" s="1366"/>
      <c r="BW56" s="1366"/>
      <c r="BX56" s="1366"/>
      <c r="BY56" s="1366"/>
      <c r="BZ56" s="1366"/>
      <c r="CA56" s="1366"/>
      <c r="CB56" s="1366"/>
      <c r="CC56" s="1366"/>
      <c r="CD56" s="1366"/>
      <c r="CE56" s="1366"/>
      <c r="CF56" s="1366"/>
      <c r="CG56" s="1366"/>
      <c r="CH56" s="1366"/>
      <c r="CI56" s="1366"/>
      <c r="CJ56" s="1366"/>
      <c r="CK56" s="1366"/>
      <c r="CL56" s="1366"/>
      <c r="CM56" s="1366"/>
      <c r="CN56" s="1366"/>
      <c r="CO56" s="1366"/>
      <c r="CP56" s="1366"/>
      <c r="CQ56" s="1366"/>
      <c r="CR56" s="1366"/>
      <c r="CS56" s="1366"/>
      <c r="CT56" s="1366"/>
      <c r="CU56" s="1366"/>
      <c r="CV56" s="1366"/>
      <c r="CW56" s="1366"/>
      <c r="CX56" s="1366"/>
      <c r="CY56" s="1366"/>
      <c r="CZ56" s="1366"/>
      <c r="DA56" s="1366"/>
      <c r="DB56" s="1366"/>
      <c r="DC56" s="1366"/>
      <c r="DD56" s="1366"/>
      <c r="DE56" s="1366"/>
      <c r="DF56" s="1366"/>
      <c r="DG56" s="1366"/>
      <c r="DH56" s="1366"/>
      <c r="DI56" s="1366"/>
      <c r="DJ56" s="1366"/>
      <c r="DK56" s="1366"/>
      <c r="DL56" s="1366"/>
      <c r="DM56" s="1366"/>
      <c r="DN56" s="1366"/>
      <c r="DO56" s="1366"/>
      <c r="DP56" s="1366"/>
      <c r="DQ56" s="1366"/>
      <c r="DR56" s="1366"/>
      <c r="DS56" s="1366"/>
      <c r="DT56" s="1366"/>
      <c r="DU56" s="1366"/>
      <c r="DV56" s="1366"/>
    </row>
    <row r="57" spans="1:126" s="1479" customFormat="1" ht="19.5" thickBot="1">
      <c r="A57" s="695"/>
      <c r="B57" s="1655"/>
      <c r="C57" s="1655"/>
      <c r="D57" s="683"/>
      <c r="E57" s="683"/>
      <c r="F57" s="683"/>
      <c r="G57" s="683"/>
      <c r="H57" s="1413"/>
      <c r="I57" s="1443"/>
      <c r="J57" s="1414"/>
      <c r="K57" s="1413"/>
      <c r="L57" s="1529"/>
      <c r="M57" s="1413"/>
      <c r="N57" s="1489"/>
      <c r="O57" s="1413"/>
      <c r="P57" s="1414"/>
      <c r="Q57" s="1414"/>
      <c r="R57" s="1443"/>
      <c r="S57" s="1443"/>
      <c r="T57" s="1488"/>
      <c r="U57" s="1488"/>
      <c r="V57" s="1489"/>
      <c r="W57" s="1490"/>
      <c r="X57" s="1490"/>
      <c r="Y57" s="327"/>
      <c r="Z57" s="327"/>
      <c r="AA57" s="327"/>
      <c r="AB57" s="1490"/>
      <c r="AC57" s="1490"/>
      <c r="AD57" s="1490"/>
      <c r="AE57" s="1490"/>
      <c r="AF57" s="327"/>
      <c r="AG57" s="327"/>
      <c r="AH57" s="327"/>
      <c r="AI57" s="327"/>
      <c r="AJ57" s="327"/>
      <c r="AK57" s="1478"/>
      <c r="AL57" s="1478"/>
      <c r="AM57" s="1478"/>
      <c r="AN57" s="1478"/>
      <c r="AO57" s="1478"/>
      <c r="AP57" s="1478"/>
      <c r="AQ57" s="1478"/>
      <c r="AR57" s="1478"/>
      <c r="AS57" s="1478"/>
      <c r="AT57" s="1478"/>
      <c r="AU57" s="1478"/>
      <c r="AV57" s="1478"/>
      <c r="AW57" s="1478"/>
      <c r="AX57" s="1478"/>
      <c r="AY57" s="1478"/>
      <c r="AZ57" s="1478"/>
      <c r="BA57" s="1478"/>
      <c r="BB57" s="1478"/>
      <c r="BC57" s="1478"/>
      <c r="BD57" s="1478"/>
      <c r="BE57" s="1478"/>
      <c r="BF57" s="1478"/>
      <c r="BG57" s="1478"/>
      <c r="BH57" s="1478"/>
      <c r="BI57" s="1478"/>
      <c r="BJ57" s="1478"/>
      <c r="BK57" s="327"/>
      <c r="BL57" s="327"/>
      <c r="BM57" s="327"/>
      <c r="BN57" s="327"/>
      <c r="BO57" s="327"/>
      <c r="BP57" s="327"/>
      <c r="BQ57" s="327"/>
      <c r="BR57" s="327"/>
      <c r="BS57" s="327"/>
      <c r="BT57" s="327"/>
      <c r="BU57" s="327"/>
      <c r="BV57" s="327"/>
      <c r="BW57" s="327"/>
      <c r="BX57" s="327"/>
      <c r="BY57" s="327"/>
      <c r="BZ57" s="327"/>
      <c r="CA57" s="327"/>
      <c r="CB57" s="327"/>
      <c r="CC57" s="327"/>
      <c r="CD57" s="327"/>
      <c r="CE57" s="327"/>
      <c r="CF57" s="327"/>
      <c r="CG57" s="327"/>
      <c r="CH57" s="327"/>
      <c r="CI57" s="327"/>
      <c r="CJ57" s="327"/>
      <c r="CK57" s="327"/>
      <c r="CL57" s="327"/>
      <c r="CM57" s="327"/>
      <c r="CN57" s="327"/>
      <c r="CO57" s="327"/>
      <c r="CP57" s="327"/>
      <c r="CQ57" s="327"/>
      <c r="CR57" s="327"/>
      <c r="CS57" s="327"/>
      <c r="CT57" s="327"/>
      <c r="CU57" s="327"/>
      <c r="CV57" s="327"/>
      <c r="CW57" s="327"/>
      <c r="CX57" s="327"/>
      <c r="CY57" s="327"/>
      <c r="CZ57" s="327"/>
      <c r="DA57" s="327"/>
      <c r="DB57" s="327"/>
      <c r="DC57" s="327"/>
      <c r="DD57" s="327"/>
      <c r="DE57" s="327"/>
      <c r="DF57" s="327"/>
      <c r="DG57" s="327"/>
      <c r="DH57" s="327"/>
      <c r="DI57" s="327"/>
      <c r="DJ57" s="327"/>
      <c r="DK57" s="327"/>
      <c r="DL57" s="327"/>
      <c r="DM57" s="327"/>
      <c r="DN57" s="327"/>
      <c r="DO57" s="327"/>
      <c r="DP57" s="327"/>
      <c r="DQ57" s="327"/>
      <c r="DR57" s="327"/>
      <c r="DS57" s="327"/>
      <c r="DT57" s="327"/>
      <c r="DU57" s="327"/>
      <c r="DV57" s="327"/>
    </row>
    <row r="58" spans="1:126" s="1367" customFormat="1" ht="30" customHeight="1">
      <c r="A58" s="2493" t="s">
        <v>1282</v>
      </c>
      <c r="B58" s="2501" t="str">
        <f>'Equipment Results Matrix'!V188</f>
        <v>Workpaper measure</v>
      </c>
      <c r="C58" s="623" t="str">
        <f>'Equipment Results Matrix'!W188</f>
        <v>Baseline</v>
      </c>
      <c r="D58" s="1560" t="str">
        <f>'Equipment Results Matrix'!X188</f>
        <v>Title 20 code minimum, 76 W on-mode power, 1 W sleep mode power, assumed 425 in2 screen area</v>
      </c>
      <c r="E58" s="383" t="s">
        <v>2683</v>
      </c>
      <c r="F58" s="383" t="s">
        <v>2107</v>
      </c>
      <c r="G58" s="1540" t="s">
        <v>2201</v>
      </c>
      <c r="H58" s="1563">
        <f>'Equipment Results Matrix'!Y188</f>
        <v>321.64617665126104</v>
      </c>
      <c r="I58" s="1564"/>
      <c r="J58" s="1565"/>
      <c r="K58" s="1568" t="s">
        <v>15</v>
      </c>
      <c r="L58" s="1569" t="s">
        <v>15</v>
      </c>
      <c r="M58" s="1566">
        <f>'Equipment Results Matrix'!Y188</f>
        <v>321.64617665126104</v>
      </c>
      <c r="N58" s="1567" t="str">
        <f>'Equipment Results Matrix'!Z188</f>
        <v>-</v>
      </c>
      <c r="O58" s="1429"/>
      <c r="P58" s="1430"/>
      <c r="Q58" s="1430"/>
      <c r="R58" s="1430"/>
      <c r="S58" s="1430"/>
      <c r="T58" s="1430"/>
      <c r="U58" s="1430"/>
      <c r="V58" s="1679"/>
      <c r="W58" s="1366"/>
      <c r="X58" s="1366"/>
      <c r="Y58" s="1366"/>
      <c r="Z58" s="1366"/>
      <c r="AA58" s="1366"/>
      <c r="AB58" s="1366"/>
      <c r="AC58" s="1366"/>
      <c r="AD58" s="1366"/>
      <c r="AE58" s="1366"/>
      <c r="AF58" s="1366"/>
      <c r="AG58" s="1366"/>
      <c r="AH58" s="1366"/>
      <c r="AI58" s="1366"/>
      <c r="AJ58" s="1366"/>
      <c r="AK58" s="1366"/>
      <c r="AL58" s="1366"/>
      <c r="AM58" s="1366"/>
      <c r="AN58" s="1366"/>
      <c r="AO58" s="1366"/>
      <c r="AP58" s="1366"/>
      <c r="AQ58" s="1366"/>
      <c r="AR58" s="1366"/>
      <c r="AS58" s="1366"/>
      <c r="AT58" s="1366"/>
      <c r="AU58" s="1366"/>
      <c r="AV58" s="1366"/>
      <c r="AW58" s="1366"/>
      <c r="AX58" s="1366"/>
      <c r="AY58" s="1366"/>
      <c r="AZ58" s="1366"/>
      <c r="BA58" s="1366"/>
      <c r="BB58" s="1366"/>
      <c r="BC58" s="1366"/>
      <c r="BD58" s="1366"/>
      <c r="BE58" s="1366"/>
      <c r="BF58" s="1366"/>
      <c r="BG58" s="1366"/>
      <c r="BH58" s="1366"/>
      <c r="BI58" s="1366"/>
      <c r="BJ58" s="1366"/>
      <c r="BK58" s="1366"/>
      <c r="BL58" s="1366"/>
      <c r="BM58" s="1366"/>
      <c r="BN58" s="1366"/>
      <c r="BO58" s="1366"/>
      <c r="BP58" s="1366"/>
      <c r="BQ58" s="1366"/>
      <c r="BR58" s="1366"/>
      <c r="BS58" s="1366"/>
      <c r="BT58" s="1366"/>
      <c r="BU58" s="1366"/>
      <c r="BV58" s="1366"/>
      <c r="BW58" s="1366"/>
      <c r="BX58" s="1366"/>
      <c r="BY58" s="1366"/>
      <c r="BZ58" s="1366"/>
      <c r="CA58" s="1366"/>
      <c r="CB58" s="1366"/>
      <c r="CC58" s="1366"/>
      <c r="CD58" s="1366"/>
      <c r="CE58" s="1366"/>
      <c r="CF58" s="1366"/>
      <c r="CG58" s="1366"/>
      <c r="CH58" s="1366"/>
      <c r="CI58" s="1366"/>
      <c r="CJ58" s="1366"/>
      <c r="CK58" s="1366"/>
      <c r="CL58" s="1366"/>
      <c r="CM58" s="1366"/>
      <c r="CN58" s="1366"/>
      <c r="CO58" s="1366"/>
      <c r="CP58" s="1366"/>
      <c r="CQ58" s="1366"/>
      <c r="CR58" s="1366"/>
      <c r="CS58" s="1366"/>
      <c r="CT58" s="1366"/>
      <c r="CU58" s="1366"/>
      <c r="CV58" s="1366"/>
      <c r="CW58" s="1366"/>
      <c r="CX58" s="1366"/>
      <c r="CY58" s="1366"/>
      <c r="CZ58" s="1366"/>
      <c r="DA58" s="1366"/>
      <c r="DB58" s="1366"/>
      <c r="DC58" s="1366"/>
      <c r="DD58" s="1366"/>
      <c r="DE58" s="1366"/>
      <c r="DF58" s="1366"/>
      <c r="DG58" s="1366"/>
      <c r="DH58" s="1366"/>
      <c r="DI58" s="1366"/>
      <c r="DJ58" s="1366"/>
      <c r="DK58" s="1366"/>
      <c r="DL58" s="1366"/>
      <c r="DM58" s="1366"/>
      <c r="DN58" s="1366"/>
      <c r="DO58" s="1366"/>
      <c r="DP58" s="1366"/>
      <c r="DQ58" s="1366"/>
      <c r="DR58" s="1366"/>
      <c r="DS58" s="1366"/>
      <c r="DT58" s="1366"/>
      <c r="DU58" s="1366"/>
      <c r="DV58" s="1366"/>
    </row>
    <row r="59" spans="1:126" s="1367" customFormat="1" ht="30">
      <c r="A59" s="2494"/>
      <c r="B59" s="2502"/>
      <c r="C59" s="1642" t="str">
        <f>'Equipment Results Matrix'!W189</f>
        <v>Measure</v>
      </c>
      <c r="D59" s="1375" t="str">
        <f>'Equipment Results Matrix'!X189</f>
        <v>Energy Star 5.1 + 20%, 43 W on-mode power, assumed 1 W sleep mode power, 425 in2 screen area</v>
      </c>
      <c r="E59" s="1364" t="s">
        <v>2683</v>
      </c>
      <c r="F59" s="1364" t="s">
        <v>2107</v>
      </c>
      <c r="G59" s="1543" t="s">
        <v>2201</v>
      </c>
      <c r="H59" s="1361">
        <f>'Equipment Results Matrix'!Y189</f>
        <v>267.24758075126107</v>
      </c>
      <c r="I59" s="1371"/>
      <c r="J59" s="1417"/>
      <c r="K59" s="1401" t="s">
        <v>15</v>
      </c>
      <c r="L59" s="1526" t="s">
        <v>15</v>
      </c>
      <c r="M59" s="1372">
        <f>'Equipment Results Matrix'!Y189</f>
        <v>267.24758075126107</v>
      </c>
      <c r="N59" s="1458">
        <f>'Equipment Results Matrix'!Z189</f>
        <v>-54.398595899999975</v>
      </c>
      <c r="O59" s="1429"/>
      <c r="P59" s="1430"/>
      <c r="Q59" s="1430"/>
      <c r="R59" s="1430"/>
      <c r="S59" s="1430"/>
      <c r="T59" s="1430"/>
      <c r="U59" s="1430"/>
      <c r="V59" s="1679"/>
      <c r="W59" s="1366"/>
      <c r="X59" s="1366"/>
      <c r="Y59" s="1366"/>
      <c r="Z59" s="1366"/>
      <c r="AA59" s="1366"/>
      <c r="AB59" s="1366"/>
      <c r="AC59" s="1366"/>
      <c r="AD59" s="1366"/>
      <c r="AE59" s="1366"/>
      <c r="AF59" s="1366"/>
      <c r="AG59" s="1366"/>
      <c r="AH59" s="1366"/>
      <c r="AI59" s="1366"/>
      <c r="AJ59" s="1366"/>
      <c r="AK59" s="1366"/>
      <c r="AL59" s="1366"/>
      <c r="AM59" s="1366"/>
      <c r="AN59" s="1366"/>
      <c r="AO59" s="1366"/>
      <c r="AP59" s="1366"/>
      <c r="AQ59" s="1366"/>
      <c r="AR59" s="1366"/>
      <c r="AS59" s="1366"/>
      <c r="AT59" s="1366"/>
      <c r="AU59" s="1366"/>
      <c r="AV59" s="1366"/>
      <c r="AW59" s="1366"/>
      <c r="AX59" s="1366"/>
      <c r="AY59" s="1366"/>
      <c r="AZ59" s="1366"/>
      <c r="BA59" s="1366"/>
      <c r="BB59" s="1366"/>
      <c r="BC59" s="1366"/>
      <c r="BD59" s="1366"/>
      <c r="BE59" s="1366"/>
      <c r="BF59" s="1366"/>
      <c r="BG59" s="1366"/>
      <c r="BH59" s="1366"/>
      <c r="BI59" s="1366"/>
      <c r="BJ59" s="1366"/>
      <c r="BK59" s="1366"/>
      <c r="BL59" s="1366"/>
      <c r="BM59" s="1366"/>
      <c r="BN59" s="1366"/>
      <c r="BO59" s="1366"/>
      <c r="BP59" s="1366"/>
      <c r="BQ59" s="1366"/>
      <c r="BR59" s="1366"/>
      <c r="BS59" s="1366"/>
      <c r="BT59" s="1366"/>
      <c r="BU59" s="1366"/>
      <c r="BV59" s="1366"/>
      <c r="BW59" s="1366"/>
      <c r="BX59" s="1366"/>
      <c r="BY59" s="1366"/>
      <c r="BZ59" s="1366"/>
      <c r="CA59" s="1366"/>
      <c r="CB59" s="1366"/>
      <c r="CC59" s="1366"/>
      <c r="CD59" s="1366"/>
      <c r="CE59" s="1366"/>
      <c r="CF59" s="1366"/>
      <c r="CG59" s="1366"/>
      <c r="CH59" s="1366"/>
      <c r="CI59" s="1366"/>
      <c r="CJ59" s="1366"/>
      <c r="CK59" s="1366"/>
      <c r="CL59" s="1366"/>
      <c r="CM59" s="1366"/>
      <c r="CN59" s="1366"/>
      <c r="CO59" s="1366"/>
      <c r="CP59" s="1366"/>
      <c r="CQ59" s="1366"/>
      <c r="CR59" s="1366"/>
      <c r="CS59" s="1366"/>
      <c r="CT59" s="1366"/>
      <c r="CU59" s="1366"/>
      <c r="CV59" s="1366"/>
      <c r="CW59" s="1366"/>
      <c r="CX59" s="1366"/>
      <c r="CY59" s="1366"/>
      <c r="CZ59" s="1366"/>
      <c r="DA59" s="1366"/>
      <c r="DB59" s="1366"/>
      <c r="DC59" s="1366"/>
      <c r="DD59" s="1366"/>
      <c r="DE59" s="1366"/>
      <c r="DF59" s="1366"/>
      <c r="DG59" s="1366"/>
      <c r="DH59" s="1366"/>
      <c r="DI59" s="1366"/>
      <c r="DJ59" s="1366"/>
      <c r="DK59" s="1366"/>
      <c r="DL59" s="1366"/>
      <c r="DM59" s="1366"/>
      <c r="DN59" s="1366"/>
      <c r="DO59" s="1366"/>
      <c r="DP59" s="1366"/>
      <c r="DQ59" s="1366"/>
      <c r="DR59" s="1366"/>
      <c r="DS59" s="1366"/>
      <c r="DT59" s="1366"/>
      <c r="DU59" s="1366"/>
      <c r="DV59" s="1366"/>
    </row>
    <row r="60" spans="1:126" s="1367" customFormat="1" ht="30.75" thickBot="1">
      <c r="A60" s="2495"/>
      <c r="B60" s="2502"/>
      <c r="C60" s="1561" t="str">
        <f>'Equipment Results Matrix'!W190</f>
        <v>Measure</v>
      </c>
      <c r="D60" s="1562" t="str">
        <f>'Equipment Results Matrix'!X190</f>
        <v>Energy Star 5.1 + 35%, 34.9 W on-mode power, assumed 1 W sleep mode power, 425 in2 screen area</v>
      </c>
      <c r="E60" s="1546" t="s">
        <v>2683</v>
      </c>
      <c r="F60" s="1546" t="s">
        <v>2107</v>
      </c>
      <c r="G60" s="1547" t="s">
        <v>2201</v>
      </c>
      <c r="H60" s="1552">
        <f>'Equipment Results Matrix'!Y190</f>
        <v>253.89519812126105</v>
      </c>
      <c r="I60" s="1553"/>
      <c r="J60" s="1554"/>
      <c r="K60" s="1573" t="s">
        <v>15</v>
      </c>
      <c r="L60" s="1574" t="s">
        <v>15</v>
      </c>
      <c r="M60" s="1555">
        <f>'Equipment Results Matrix'!Y190</f>
        <v>253.89519812126105</v>
      </c>
      <c r="N60" s="1559">
        <f>'Equipment Results Matrix'!Z190</f>
        <v>-67.750978529999998</v>
      </c>
      <c r="O60" s="1429"/>
      <c r="P60" s="1430"/>
      <c r="Q60" s="1430"/>
      <c r="R60" s="1430"/>
      <c r="S60" s="1430"/>
      <c r="T60" s="1430"/>
      <c r="U60" s="1430"/>
      <c r="V60" s="1679"/>
      <c r="W60" s="1366"/>
      <c r="X60" s="1366"/>
      <c r="Y60" s="1366"/>
      <c r="Z60" s="1366"/>
      <c r="AA60" s="1366"/>
      <c r="AB60" s="1366"/>
      <c r="AC60" s="1366"/>
      <c r="AD60" s="1366"/>
      <c r="AE60" s="1366"/>
      <c r="AF60" s="1366"/>
      <c r="AG60" s="1366"/>
      <c r="AH60" s="1366"/>
      <c r="AI60" s="1366"/>
      <c r="AJ60" s="1366"/>
      <c r="AK60" s="1366"/>
      <c r="AL60" s="1366"/>
      <c r="AM60" s="1366"/>
      <c r="AN60" s="1366"/>
      <c r="AO60" s="1366"/>
      <c r="AP60" s="1366"/>
      <c r="AQ60" s="1366"/>
      <c r="AR60" s="1366"/>
      <c r="AS60" s="1366"/>
      <c r="AT60" s="1366"/>
      <c r="AU60" s="1366"/>
      <c r="AV60" s="1366"/>
      <c r="AW60" s="1366"/>
      <c r="AX60" s="1366"/>
      <c r="AY60" s="1366"/>
      <c r="AZ60" s="1366"/>
      <c r="BA60" s="1366"/>
      <c r="BB60" s="1366"/>
      <c r="BC60" s="1366"/>
      <c r="BD60" s="1366"/>
      <c r="BE60" s="1366"/>
      <c r="BF60" s="1366"/>
      <c r="BG60" s="1366"/>
      <c r="BH60" s="1366"/>
      <c r="BI60" s="1366"/>
      <c r="BJ60" s="1366"/>
      <c r="BK60" s="1366"/>
      <c r="BL60" s="1366"/>
      <c r="BM60" s="1366"/>
      <c r="BN60" s="1366"/>
      <c r="BO60" s="1366"/>
      <c r="BP60" s="1366"/>
      <c r="BQ60" s="1366"/>
      <c r="BR60" s="1366"/>
      <c r="BS60" s="1366"/>
      <c r="BT60" s="1366"/>
      <c r="BU60" s="1366"/>
      <c r="BV60" s="1366"/>
      <c r="BW60" s="1366"/>
      <c r="BX60" s="1366"/>
      <c r="BY60" s="1366"/>
      <c r="BZ60" s="1366"/>
      <c r="CA60" s="1366"/>
      <c r="CB60" s="1366"/>
      <c r="CC60" s="1366"/>
      <c r="CD60" s="1366"/>
      <c r="CE60" s="1366"/>
      <c r="CF60" s="1366"/>
      <c r="CG60" s="1366"/>
      <c r="CH60" s="1366"/>
      <c r="CI60" s="1366"/>
      <c r="CJ60" s="1366"/>
      <c r="CK60" s="1366"/>
      <c r="CL60" s="1366"/>
      <c r="CM60" s="1366"/>
      <c r="CN60" s="1366"/>
      <c r="CO60" s="1366"/>
      <c r="CP60" s="1366"/>
      <c r="CQ60" s="1366"/>
      <c r="CR60" s="1366"/>
      <c r="CS60" s="1366"/>
      <c r="CT60" s="1366"/>
      <c r="CU60" s="1366"/>
      <c r="CV60" s="1366"/>
      <c r="CW60" s="1366"/>
      <c r="CX60" s="1366"/>
      <c r="CY60" s="1366"/>
      <c r="CZ60" s="1366"/>
      <c r="DA60" s="1366"/>
      <c r="DB60" s="1366"/>
      <c r="DC60" s="1366"/>
      <c r="DD60" s="1366"/>
      <c r="DE60" s="1366"/>
      <c r="DF60" s="1366"/>
      <c r="DG60" s="1366"/>
      <c r="DH60" s="1366"/>
      <c r="DI60" s="1366"/>
      <c r="DJ60" s="1366"/>
      <c r="DK60" s="1366"/>
      <c r="DL60" s="1366"/>
      <c r="DM60" s="1366"/>
      <c r="DN60" s="1366"/>
      <c r="DO60" s="1366"/>
      <c r="DP60" s="1366"/>
      <c r="DQ60" s="1366"/>
      <c r="DR60" s="1366"/>
      <c r="DS60" s="1366"/>
      <c r="DT60" s="1366"/>
      <c r="DU60" s="1366"/>
      <c r="DV60" s="1366"/>
    </row>
    <row r="61" spans="1:126" s="1479" customFormat="1" ht="19.5" thickBot="1">
      <c r="A61" s="695"/>
      <c r="B61" s="1655"/>
      <c r="C61" s="1655"/>
      <c r="D61" s="683"/>
      <c r="E61" s="683"/>
      <c r="F61" s="683"/>
      <c r="G61" s="683"/>
      <c r="H61" s="1413"/>
      <c r="I61" s="1443"/>
      <c r="J61" s="1414"/>
      <c r="K61" s="1413"/>
      <c r="L61" s="1529"/>
      <c r="M61" s="1413"/>
      <c r="N61" s="1489"/>
      <c r="O61" s="1413"/>
      <c r="P61" s="1414"/>
      <c r="Q61" s="1414"/>
      <c r="R61" s="1443"/>
      <c r="S61" s="1443"/>
      <c r="T61" s="1488"/>
      <c r="U61" s="1488"/>
      <c r="V61" s="1489"/>
      <c r="W61" s="1490"/>
      <c r="X61" s="1490"/>
      <c r="Y61" s="327"/>
      <c r="Z61" s="327"/>
      <c r="AA61" s="327"/>
      <c r="AB61" s="1490"/>
      <c r="AC61" s="1490"/>
      <c r="AD61" s="1490"/>
      <c r="AE61" s="1490"/>
      <c r="AF61" s="327"/>
      <c r="AG61" s="327"/>
      <c r="AH61" s="327"/>
      <c r="AI61" s="327"/>
      <c r="AJ61" s="327"/>
      <c r="AK61" s="1478"/>
      <c r="AL61" s="1478"/>
      <c r="AM61" s="1478"/>
      <c r="AN61" s="1478"/>
      <c r="AO61" s="1478"/>
      <c r="AP61" s="1478"/>
      <c r="AQ61" s="1478"/>
      <c r="AR61" s="1478"/>
      <c r="AS61" s="1478"/>
      <c r="AT61" s="1478"/>
      <c r="AU61" s="1478"/>
      <c r="AV61" s="1478"/>
      <c r="AW61" s="1478"/>
      <c r="AX61" s="1478"/>
      <c r="AY61" s="1478"/>
      <c r="AZ61" s="1478"/>
      <c r="BA61" s="1478"/>
      <c r="BB61" s="1478"/>
      <c r="BC61" s="1478"/>
      <c r="BD61" s="1478"/>
      <c r="BE61" s="1478"/>
      <c r="BF61" s="1478"/>
      <c r="BG61" s="1478"/>
      <c r="BH61" s="1478"/>
      <c r="BI61" s="1478"/>
      <c r="BJ61" s="1478"/>
      <c r="BK61" s="327"/>
      <c r="BL61" s="327"/>
      <c r="BM61" s="327"/>
      <c r="BN61" s="327"/>
      <c r="BO61" s="327"/>
      <c r="BP61" s="327"/>
      <c r="BQ61" s="327"/>
      <c r="BR61" s="327"/>
      <c r="BS61" s="327"/>
      <c r="BT61" s="327"/>
      <c r="BU61" s="327"/>
      <c r="BV61" s="327"/>
      <c r="BW61" s="327"/>
      <c r="BX61" s="327"/>
      <c r="BY61" s="327"/>
      <c r="BZ61" s="327"/>
      <c r="CA61" s="327"/>
      <c r="CB61" s="327"/>
      <c r="CC61" s="327"/>
      <c r="CD61" s="327"/>
      <c r="CE61" s="327"/>
      <c r="CF61" s="327"/>
      <c r="CG61" s="327"/>
      <c r="CH61" s="327"/>
      <c r="CI61" s="327"/>
      <c r="CJ61" s="327"/>
      <c r="CK61" s="327"/>
      <c r="CL61" s="327"/>
      <c r="CM61" s="327"/>
      <c r="CN61" s="327"/>
      <c r="CO61" s="327"/>
      <c r="CP61" s="327"/>
      <c r="CQ61" s="327"/>
      <c r="CR61" s="327"/>
      <c r="CS61" s="327"/>
      <c r="CT61" s="327"/>
      <c r="CU61" s="327"/>
      <c r="CV61" s="327"/>
      <c r="CW61" s="327"/>
      <c r="CX61" s="327"/>
      <c r="CY61" s="327"/>
      <c r="CZ61" s="327"/>
      <c r="DA61" s="327"/>
      <c r="DB61" s="327"/>
      <c r="DC61" s="327"/>
      <c r="DD61" s="327"/>
      <c r="DE61" s="327"/>
      <c r="DF61" s="327"/>
      <c r="DG61" s="327"/>
      <c r="DH61" s="327"/>
      <c r="DI61" s="327"/>
      <c r="DJ61" s="327"/>
      <c r="DK61" s="327"/>
      <c r="DL61" s="327"/>
      <c r="DM61" s="327"/>
      <c r="DN61" s="327"/>
      <c r="DO61" s="327"/>
      <c r="DP61" s="327"/>
      <c r="DQ61" s="327"/>
      <c r="DR61" s="327"/>
      <c r="DS61" s="327"/>
      <c r="DT61" s="327"/>
      <c r="DU61" s="327"/>
      <c r="DV61" s="327"/>
    </row>
    <row r="62" spans="1:126" s="1367" customFormat="1" ht="30" customHeight="1">
      <c r="A62" s="2493" t="s">
        <v>1283</v>
      </c>
      <c r="B62" s="2501" t="str">
        <f>'Equipment Results Matrix'!V227</f>
        <v>Workpaper measure</v>
      </c>
      <c r="C62" s="623" t="str">
        <f>'Equipment Results Matrix'!W227</f>
        <v>Baseline</v>
      </c>
      <c r="D62" s="1560" t="str">
        <f>'Equipment Results Matrix'!X227</f>
        <v>Title 20 code minimum, 48.7 W on-mode power, 1 W sleep mode power, assumed 197.5 in2 screen area</v>
      </c>
      <c r="E62" s="383" t="s">
        <v>2683</v>
      </c>
      <c r="F62" s="383" t="s">
        <v>2107</v>
      </c>
      <c r="G62" s="1540" t="s">
        <v>2201</v>
      </c>
      <c r="H62" s="1563">
        <f>'Equipment Results Matrix'!Y227</f>
        <v>153.10765401509099</v>
      </c>
      <c r="I62" s="1564"/>
      <c r="J62" s="1565"/>
      <c r="K62" s="1568" t="s">
        <v>15</v>
      </c>
      <c r="L62" s="1569" t="s">
        <v>15</v>
      </c>
      <c r="M62" s="1566">
        <f>'Equipment Results Matrix'!Y227</f>
        <v>153.10765401509099</v>
      </c>
      <c r="N62" s="1567" t="str">
        <f>'Equipment Results Matrix'!Z227</f>
        <v>-</v>
      </c>
      <c r="O62" s="1429"/>
      <c r="P62" s="1430"/>
      <c r="Q62" s="1430"/>
      <c r="R62" s="1430"/>
      <c r="S62" s="1430"/>
      <c r="T62" s="1430"/>
      <c r="U62" s="1430"/>
      <c r="V62" s="1679"/>
      <c r="W62" s="1366"/>
      <c r="X62" s="1366"/>
      <c r="Y62" s="1366"/>
      <c r="Z62" s="1366"/>
      <c r="AA62" s="1366"/>
      <c r="AB62" s="1366"/>
      <c r="AC62" s="1366"/>
      <c r="AD62" s="1366"/>
      <c r="AE62" s="1366"/>
      <c r="AF62" s="1366"/>
      <c r="AG62" s="1366"/>
      <c r="AH62" s="1366"/>
      <c r="AI62" s="1366"/>
      <c r="AJ62" s="1366"/>
      <c r="AK62" s="1366"/>
      <c r="AL62" s="1366"/>
      <c r="AM62" s="1366"/>
      <c r="AN62" s="1366"/>
      <c r="AO62" s="1366"/>
      <c r="AP62" s="1366"/>
      <c r="AQ62" s="1366"/>
      <c r="AR62" s="1366"/>
      <c r="AS62" s="1366"/>
      <c r="AT62" s="1366"/>
      <c r="AU62" s="1366"/>
      <c r="AV62" s="1366"/>
      <c r="AW62" s="1366"/>
      <c r="AX62" s="1366"/>
      <c r="AY62" s="1366"/>
      <c r="AZ62" s="1366"/>
      <c r="BA62" s="1366"/>
      <c r="BB62" s="1366"/>
      <c r="BC62" s="1366"/>
      <c r="BD62" s="1366"/>
      <c r="BE62" s="1366"/>
      <c r="BF62" s="1366"/>
      <c r="BG62" s="1366"/>
      <c r="BH62" s="1366"/>
      <c r="BI62" s="1366"/>
      <c r="BJ62" s="1366"/>
      <c r="BK62" s="1366"/>
      <c r="BL62" s="1366"/>
      <c r="BM62" s="1366"/>
      <c r="BN62" s="1366"/>
      <c r="BO62" s="1366"/>
      <c r="BP62" s="1366"/>
      <c r="BQ62" s="1366"/>
      <c r="BR62" s="1366"/>
      <c r="BS62" s="1366"/>
      <c r="BT62" s="1366"/>
      <c r="BU62" s="1366"/>
      <c r="BV62" s="1366"/>
      <c r="BW62" s="1366"/>
      <c r="BX62" s="1366"/>
      <c r="BY62" s="1366"/>
      <c r="BZ62" s="1366"/>
      <c r="CA62" s="1366"/>
      <c r="CB62" s="1366"/>
      <c r="CC62" s="1366"/>
      <c r="CD62" s="1366"/>
      <c r="CE62" s="1366"/>
      <c r="CF62" s="1366"/>
      <c r="CG62" s="1366"/>
      <c r="CH62" s="1366"/>
      <c r="CI62" s="1366"/>
      <c r="CJ62" s="1366"/>
      <c r="CK62" s="1366"/>
      <c r="CL62" s="1366"/>
      <c r="CM62" s="1366"/>
      <c r="CN62" s="1366"/>
      <c r="CO62" s="1366"/>
      <c r="CP62" s="1366"/>
      <c r="CQ62" s="1366"/>
      <c r="CR62" s="1366"/>
      <c r="CS62" s="1366"/>
      <c r="CT62" s="1366"/>
      <c r="CU62" s="1366"/>
      <c r="CV62" s="1366"/>
      <c r="CW62" s="1366"/>
      <c r="CX62" s="1366"/>
      <c r="CY62" s="1366"/>
      <c r="CZ62" s="1366"/>
      <c r="DA62" s="1366"/>
      <c r="DB62" s="1366"/>
      <c r="DC62" s="1366"/>
      <c r="DD62" s="1366"/>
      <c r="DE62" s="1366"/>
      <c r="DF62" s="1366"/>
      <c r="DG62" s="1366"/>
      <c r="DH62" s="1366"/>
      <c r="DI62" s="1366"/>
      <c r="DJ62" s="1366"/>
      <c r="DK62" s="1366"/>
      <c r="DL62" s="1366"/>
      <c r="DM62" s="1366"/>
      <c r="DN62" s="1366"/>
      <c r="DO62" s="1366"/>
      <c r="DP62" s="1366"/>
      <c r="DQ62" s="1366"/>
      <c r="DR62" s="1366"/>
      <c r="DS62" s="1366"/>
      <c r="DT62" s="1366"/>
      <c r="DU62" s="1366"/>
      <c r="DV62" s="1366"/>
    </row>
    <row r="63" spans="1:126" s="1367" customFormat="1" ht="30">
      <c r="A63" s="2494"/>
      <c r="B63" s="2502"/>
      <c r="C63" s="1642" t="str">
        <f>'Equipment Results Matrix'!W228</f>
        <v>Measure</v>
      </c>
      <c r="D63" s="1375" t="str">
        <f>'Equipment Results Matrix'!X228</f>
        <v>Energy Star 5.1 + 20%, 24.5 W on-mode power, assumed 1 W sleep mode power, 197.5 in2 screen area</v>
      </c>
      <c r="E63" s="1364" t="s">
        <v>2683</v>
      </c>
      <c r="F63" s="1364" t="s">
        <v>2107</v>
      </c>
      <c r="G63" s="1543" t="s">
        <v>2201</v>
      </c>
      <c r="H63" s="1361">
        <f>'Equipment Results Matrix'!Y228</f>
        <v>126.540044595091</v>
      </c>
      <c r="I63" s="1371"/>
      <c r="J63" s="1417"/>
      <c r="K63" s="1401" t="s">
        <v>15</v>
      </c>
      <c r="L63" s="1526" t="s">
        <v>15</v>
      </c>
      <c r="M63" s="1372">
        <f>'Equipment Results Matrix'!Y228</f>
        <v>126.540044595091</v>
      </c>
      <c r="N63" s="1458">
        <f>'Equipment Results Matrix'!Z228</f>
        <v>-26.567609419999982</v>
      </c>
      <c r="O63" s="1429"/>
      <c r="P63" s="1430"/>
      <c r="Q63" s="1430"/>
      <c r="R63" s="1430"/>
      <c r="S63" s="1430"/>
      <c r="T63" s="1430"/>
      <c r="U63" s="1430"/>
      <c r="V63" s="1679"/>
      <c r="W63" s="1366"/>
      <c r="X63" s="1366"/>
      <c r="Y63" s="1366"/>
      <c r="Z63" s="1366"/>
      <c r="AA63" s="1366"/>
      <c r="AB63" s="1366"/>
      <c r="AC63" s="1366"/>
      <c r="AD63" s="1366"/>
      <c r="AE63" s="1366"/>
      <c r="AF63" s="1366"/>
      <c r="AG63" s="1366"/>
      <c r="AH63" s="1366"/>
      <c r="AI63" s="1366"/>
      <c r="AJ63" s="1366"/>
      <c r="AK63" s="1366"/>
      <c r="AL63" s="1366"/>
      <c r="AM63" s="1366"/>
      <c r="AN63" s="1366"/>
      <c r="AO63" s="1366"/>
      <c r="AP63" s="1366"/>
      <c r="AQ63" s="1366"/>
      <c r="AR63" s="1366"/>
      <c r="AS63" s="1366"/>
      <c r="AT63" s="1366"/>
      <c r="AU63" s="1366"/>
      <c r="AV63" s="1366"/>
      <c r="AW63" s="1366"/>
      <c r="AX63" s="1366"/>
      <c r="AY63" s="1366"/>
      <c r="AZ63" s="1366"/>
      <c r="BA63" s="1366"/>
      <c r="BB63" s="1366"/>
      <c r="BC63" s="1366"/>
      <c r="BD63" s="1366"/>
      <c r="BE63" s="1366"/>
      <c r="BF63" s="1366"/>
      <c r="BG63" s="1366"/>
      <c r="BH63" s="1366"/>
      <c r="BI63" s="1366"/>
      <c r="BJ63" s="1366"/>
      <c r="BK63" s="1366"/>
      <c r="BL63" s="1366"/>
      <c r="BM63" s="1366"/>
      <c r="BN63" s="1366"/>
      <c r="BO63" s="1366"/>
      <c r="BP63" s="1366"/>
      <c r="BQ63" s="1366"/>
      <c r="BR63" s="1366"/>
      <c r="BS63" s="1366"/>
      <c r="BT63" s="1366"/>
      <c r="BU63" s="1366"/>
      <c r="BV63" s="1366"/>
      <c r="BW63" s="1366"/>
      <c r="BX63" s="1366"/>
      <c r="BY63" s="1366"/>
      <c r="BZ63" s="1366"/>
      <c r="CA63" s="1366"/>
      <c r="CB63" s="1366"/>
      <c r="CC63" s="1366"/>
      <c r="CD63" s="1366"/>
      <c r="CE63" s="1366"/>
      <c r="CF63" s="1366"/>
      <c r="CG63" s="1366"/>
      <c r="CH63" s="1366"/>
      <c r="CI63" s="1366"/>
      <c r="CJ63" s="1366"/>
      <c r="CK63" s="1366"/>
      <c r="CL63" s="1366"/>
      <c r="CM63" s="1366"/>
      <c r="CN63" s="1366"/>
      <c r="CO63" s="1366"/>
      <c r="CP63" s="1366"/>
      <c r="CQ63" s="1366"/>
      <c r="CR63" s="1366"/>
      <c r="CS63" s="1366"/>
      <c r="CT63" s="1366"/>
      <c r="CU63" s="1366"/>
      <c r="CV63" s="1366"/>
      <c r="CW63" s="1366"/>
      <c r="CX63" s="1366"/>
      <c r="CY63" s="1366"/>
      <c r="CZ63" s="1366"/>
      <c r="DA63" s="1366"/>
      <c r="DB63" s="1366"/>
      <c r="DC63" s="1366"/>
      <c r="DD63" s="1366"/>
      <c r="DE63" s="1366"/>
      <c r="DF63" s="1366"/>
      <c r="DG63" s="1366"/>
      <c r="DH63" s="1366"/>
      <c r="DI63" s="1366"/>
      <c r="DJ63" s="1366"/>
      <c r="DK63" s="1366"/>
      <c r="DL63" s="1366"/>
      <c r="DM63" s="1366"/>
      <c r="DN63" s="1366"/>
      <c r="DO63" s="1366"/>
      <c r="DP63" s="1366"/>
      <c r="DQ63" s="1366"/>
      <c r="DR63" s="1366"/>
      <c r="DS63" s="1366"/>
      <c r="DT63" s="1366"/>
      <c r="DU63" s="1366"/>
      <c r="DV63" s="1366"/>
    </row>
    <row r="64" spans="1:126" s="1367" customFormat="1" ht="30.75" thickBot="1">
      <c r="A64" s="2495"/>
      <c r="B64" s="2502"/>
      <c r="C64" s="1561" t="str">
        <f>'Equipment Results Matrix'!W229</f>
        <v>Measure</v>
      </c>
      <c r="D64" s="1562" t="str">
        <f>'Equipment Results Matrix'!X229</f>
        <v>Energy Star 5.1 + 35%, 19.9 W on-mode power, assumed 1 W sleep mode power, 425 in2 screen area</v>
      </c>
      <c r="E64" s="1546" t="s">
        <v>2683</v>
      </c>
      <c r="F64" s="1546" t="s">
        <v>2107</v>
      </c>
      <c r="G64" s="1547" t="s">
        <v>2201</v>
      </c>
      <c r="H64" s="1552">
        <f>'Equipment Results Matrix'!Y229</f>
        <v>121.49000313509102</v>
      </c>
      <c r="I64" s="1553"/>
      <c r="J64" s="1554"/>
      <c r="K64" s="1573" t="s">
        <v>15</v>
      </c>
      <c r="L64" s="1574" t="s">
        <v>15</v>
      </c>
      <c r="M64" s="1555">
        <f>'Equipment Results Matrix'!Y229</f>
        <v>121.49000313509102</v>
      </c>
      <c r="N64" s="1559">
        <f>'Equipment Results Matrix'!Z229</f>
        <v>-31.617650879999971</v>
      </c>
      <c r="O64" s="1429"/>
      <c r="P64" s="1430"/>
      <c r="Q64" s="1430"/>
      <c r="R64" s="1430"/>
      <c r="S64" s="1430"/>
      <c r="T64" s="1430"/>
      <c r="U64" s="1430"/>
      <c r="V64" s="1679"/>
      <c r="W64" s="1366"/>
      <c r="X64" s="1366"/>
      <c r="Y64" s="1366"/>
      <c r="Z64" s="1366"/>
      <c r="AA64" s="1366"/>
      <c r="AB64" s="1366"/>
      <c r="AC64" s="1366"/>
      <c r="AD64" s="1366"/>
      <c r="AE64" s="1366"/>
      <c r="AF64" s="1366"/>
      <c r="AG64" s="1366"/>
      <c r="AH64" s="1366"/>
      <c r="AI64" s="1366"/>
      <c r="AJ64" s="1366"/>
      <c r="AK64" s="1366"/>
      <c r="AL64" s="1366"/>
      <c r="AM64" s="1366"/>
      <c r="AN64" s="1366"/>
      <c r="AO64" s="1366"/>
      <c r="AP64" s="1366"/>
      <c r="AQ64" s="1366"/>
      <c r="AR64" s="1366"/>
      <c r="AS64" s="1366"/>
      <c r="AT64" s="1366"/>
      <c r="AU64" s="1366"/>
      <c r="AV64" s="1366"/>
      <c r="AW64" s="1366"/>
      <c r="AX64" s="1366"/>
      <c r="AY64" s="1366"/>
      <c r="AZ64" s="1366"/>
      <c r="BA64" s="1366"/>
      <c r="BB64" s="1366"/>
      <c r="BC64" s="1366"/>
      <c r="BD64" s="1366"/>
      <c r="BE64" s="1366"/>
      <c r="BF64" s="1366"/>
      <c r="BG64" s="1366"/>
      <c r="BH64" s="1366"/>
      <c r="BI64" s="1366"/>
      <c r="BJ64" s="1366"/>
      <c r="BK64" s="1366"/>
      <c r="BL64" s="1366"/>
      <c r="BM64" s="1366"/>
      <c r="BN64" s="1366"/>
      <c r="BO64" s="1366"/>
      <c r="BP64" s="1366"/>
      <c r="BQ64" s="1366"/>
      <c r="BR64" s="1366"/>
      <c r="BS64" s="1366"/>
      <c r="BT64" s="1366"/>
      <c r="BU64" s="1366"/>
      <c r="BV64" s="1366"/>
      <c r="BW64" s="1366"/>
      <c r="BX64" s="1366"/>
      <c r="BY64" s="1366"/>
      <c r="BZ64" s="1366"/>
      <c r="CA64" s="1366"/>
      <c r="CB64" s="1366"/>
      <c r="CC64" s="1366"/>
      <c r="CD64" s="1366"/>
      <c r="CE64" s="1366"/>
      <c r="CF64" s="1366"/>
      <c r="CG64" s="1366"/>
      <c r="CH64" s="1366"/>
      <c r="CI64" s="1366"/>
      <c r="CJ64" s="1366"/>
      <c r="CK64" s="1366"/>
      <c r="CL64" s="1366"/>
      <c r="CM64" s="1366"/>
      <c r="CN64" s="1366"/>
      <c r="CO64" s="1366"/>
      <c r="CP64" s="1366"/>
      <c r="CQ64" s="1366"/>
      <c r="CR64" s="1366"/>
      <c r="CS64" s="1366"/>
      <c r="CT64" s="1366"/>
      <c r="CU64" s="1366"/>
      <c r="CV64" s="1366"/>
      <c r="CW64" s="1366"/>
      <c r="CX64" s="1366"/>
      <c r="CY64" s="1366"/>
      <c r="CZ64" s="1366"/>
      <c r="DA64" s="1366"/>
      <c r="DB64" s="1366"/>
      <c r="DC64" s="1366"/>
      <c r="DD64" s="1366"/>
      <c r="DE64" s="1366"/>
      <c r="DF64" s="1366"/>
      <c r="DG64" s="1366"/>
      <c r="DH64" s="1366"/>
      <c r="DI64" s="1366"/>
      <c r="DJ64" s="1366"/>
      <c r="DK64" s="1366"/>
      <c r="DL64" s="1366"/>
      <c r="DM64" s="1366"/>
      <c r="DN64" s="1366"/>
      <c r="DO64" s="1366"/>
      <c r="DP64" s="1366"/>
      <c r="DQ64" s="1366"/>
      <c r="DR64" s="1366"/>
      <c r="DS64" s="1366"/>
      <c r="DT64" s="1366"/>
      <c r="DU64" s="1366"/>
      <c r="DV64" s="1366"/>
    </row>
    <row r="65" spans="1:126" s="1479" customFormat="1" ht="19.5" thickBot="1">
      <c r="A65" s="695"/>
      <c r="B65" s="1655"/>
      <c r="C65" s="1655"/>
      <c r="D65" s="683"/>
      <c r="E65" s="683"/>
      <c r="F65" s="683"/>
      <c r="G65" s="683"/>
      <c r="H65" s="1413"/>
      <c r="I65" s="1443"/>
      <c r="J65" s="1414"/>
      <c r="K65" s="1413"/>
      <c r="L65" s="1529"/>
      <c r="M65" s="1413"/>
      <c r="N65" s="1489"/>
      <c r="O65" s="1413"/>
      <c r="P65" s="1414"/>
      <c r="Q65" s="1414"/>
      <c r="R65" s="1443"/>
      <c r="S65" s="1443"/>
      <c r="T65" s="1488"/>
      <c r="U65" s="1488"/>
      <c r="V65" s="1489"/>
      <c r="W65" s="1490"/>
      <c r="X65" s="1490"/>
      <c r="Y65" s="327"/>
      <c r="Z65" s="327"/>
      <c r="AA65" s="327"/>
      <c r="AB65" s="1490"/>
      <c r="AC65" s="1490"/>
      <c r="AD65" s="1490"/>
      <c r="AE65" s="1490"/>
      <c r="AF65" s="327"/>
      <c r="AG65" s="327"/>
      <c r="AH65" s="327"/>
      <c r="AI65" s="327"/>
      <c r="AJ65" s="327"/>
      <c r="AK65" s="1478"/>
      <c r="AL65" s="1478"/>
      <c r="AM65" s="1478"/>
      <c r="AN65" s="1478"/>
      <c r="AO65" s="1478"/>
      <c r="AP65" s="1478"/>
      <c r="AQ65" s="1478"/>
      <c r="AR65" s="1478"/>
      <c r="AS65" s="1478"/>
      <c r="AT65" s="1478"/>
      <c r="AU65" s="1478"/>
      <c r="AV65" s="1478"/>
      <c r="AW65" s="1478"/>
      <c r="AX65" s="1478"/>
      <c r="AY65" s="1478"/>
      <c r="AZ65" s="1478"/>
      <c r="BA65" s="1478"/>
      <c r="BB65" s="1478"/>
      <c r="BC65" s="1478"/>
      <c r="BD65" s="1478"/>
      <c r="BE65" s="1478"/>
      <c r="BF65" s="1478"/>
      <c r="BG65" s="1478"/>
      <c r="BH65" s="1478"/>
      <c r="BI65" s="1478"/>
      <c r="BJ65" s="1478"/>
      <c r="BK65" s="327"/>
      <c r="BL65" s="327"/>
      <c r="BM65" s="327"/>
      <c r="BN65" s="327"/>
      <c r="BO65" s="327"/>
      <c r="BP65" s="327"/>
      <c r="BQ65" s="327"/>
      <c r="BR65" s="327"/>
      <c r="BS65" s="327"/>
      <c r="BT65" s="327"/>
      <c r="BU65" s="327"/>
      <c r="BV65" s="327"/>
      <c r="BW65" s="327"/>
      <c r="BX65" s="327"/>
      <c r="BY65" s="327"/>
      <c r="BZ65" s="327"/>
      <c r="CA65" s="327"/>
      <c r="CB65" s="327"/>
      <c r="CC65" s="327"/>
      <c r="CD65" s="327"/>
      <c r="CE65" s="327"/>
      <c r="CF65" s="327"/>
      <c r="CG65" s="327"/>
      <c r="CH65" s="327"/>
      <c r="CI65" s="327"/>
      <c r="CJ65" s="327"/>
      <c r="CK65" s="327"/>
      <c r="CL65" s="327"/>
      <c r="CM65" s="327"/>
      <c r="CN65" s="327"/>
      <c r="CO65" s="327"/>
      <c r="CP65" s="327"/>
      <c r="CQ65" s="327"/>
      <c r="CR65" s="327"/>
      <c r="CS65" s="327"/>
      <c r="CT65" s="327"/>
      <c r="CU65" s="327"/>
      <c r="CV65" s="327"/>
      <c r="CW65" s="327"/>
      <c r="CX65" s="327"/>
      <c r="CY65" s="327"/>
      <c r="CZ65" s="327"/>
      <c r="DA65" s="327"/>
      <c r="DB65" s="327"/>
      <c r="DC65" s="327"/>
      <c r="DD65" s="327"/>
      <c r="DE65" s="327"/>
      <c r="DF65" s="327"/>
      <c r="DG65" s="327"/>
      <c r="DH65" s="327"/>
      <c r="DI65" s="327"/>
      <c r="DJ65" s="327"/>
      <c r="DK65" s="327"/>
      <c r="DL65" s="327"/>
      <c r="DM65" s="327"/>
      <c r="DN65" s="327"/>
      <c r="DO65" s="327"/>
      <c r="DP65" s="327"/>
      <c r="DQ65" s="327"/>
      <c r="DR65" s="327"/>
      <c r="DS65" s="327"/>
      <c r="DT65" s="327"/>
      <c r="DU65" s="327"/>
      <c r="DV65" s="327"/>
    </row>
    <row r="66" spans="1:126" s="1367" customFormat="1" ht="30" customHeight="1">
      <c r="A66" s="2493" t="s">
        <v>1284</v>
      </c>
      <c r="B66" s="2501" t="str">
        <f>'Equipment Results Matrix'!V257</f>
        <v>Workpaper measure</v>
      </c>
      <c r="C66" s="1579" t="str">
        <f>'Equipment Results Matrix'!W257</f>
        <v>Baseline</v>
      </c>
      <c r="D66" s="1560" t="str">
        <f>'Equipment Results Matrix'!X257</f>
        <v>Title 20 code minimum, 42.7 W on-mode power, 1 W sleep mode power, assumed 147 in2 screen area</v>
      </c>
      <c r="E66" s="383" t="s">
        <v>2683</v>
      </c>
      <c r="F66" s="383" t="s">
        <v>2107</v>
      </c>
      <c r="G66" s="1540" t="s">
        <v>2201</v>
      </c>
      <c r="H66" s="1563">
        <f>'Equipment Results Matrix'!Y257</f>
        <v>149.54754381693132</v>
      </c>
      <c r="I66" s="1564"/>
      <c r="J66" s="1565"/>
      <c r="K66" s="1568" t="s">
        <v>15</v>
      </c>
      <c r="L66" s="1569" t="s">
        <v>15</v>
      </c>
      <c r="M66" s="1566">
        <f>'Equipment Results Matrix'!Y257</f>
        <v>149.54754381693132</v>
      </c>
      <c r="N66" s="1567" t="str">
        <f>'Equipment Results Matrix'!Z257</f>
        <v>-</v>
      </c>
      <c r="O66" s="1429"/>
      <c r="P66" s="1430"/>
      <c r="Q66" s="1430"/>
      <c r="R66" s="1430"/>
      <c r="S66" s="1430"/>
      <c r="T66" s="1430"/>
      <c r="U66" s="1430"/>
      <c r="V66" s="1679"/>
      <c r="W66" s="1480"/>
    </row>
    <row r="67" spans="1:126" s="1367" customFormat="1" ht="30">
      <c r="A67" s="2494"/>
      <c r="B67" s="2502"/>
      <c r="C67" s="1580" t="str">
        <f>'Equipment Results Matrix'!W258</f>
        <v>Measure</v>
      </c>
      <c r="D67" s="1375" t="str">
        <f>'Equipment Results Matrix'!X258</f>
        <v>Energy Star 5.1 + 20%, 19.3 W on-mode power, assumed 1 W sleep mode power, 147 in2 screen area</v>
      </c>
      <c r="E67" s="1364" t="s">
        <v>2683</v>
      </c>
      <c r="F67" s="1364" t="s">
        <v>2107</v>
      </c>
      <c r="G67" s="1543" t="s">
        <v>2201</v>
      </c>
      <c r="H67" s="1361">
        <f>'Equipment Results Matrix'!Y258</f>
        <v>125.46890871693132</v>
      </c>
      <c r="I67" s="1371"/>
      <c r="J67" s="1417"/>
      <c r="K67" s="1401" t="s">
        <v>15</v>
      </c>
      <c r="L67" s="1526" t="s">
        <v>15</v>
      </c>
      <c r="M67" s="1372">
        <f>'Equipment Results Matrix'!Y258</f>
        <v>125.46890871693132</v>
      </c>
      <c r="N67" s="1458">
        <f>'Equipment Results Matrix'!Z258</f>
        <v>-24.0786351</v>
      </c>
      <c r="O67" s="1429"/>
      <c r="P67" s="1430"/>
      <c r="Q67" s="1430"/>
      <c r="R67" s="1430"/>
      <c r="S67" s="1430"/>
      <c r="T67" s="1430"/>
      <c r="U67" s="1430"/>
      <c r="V67" s="1679"/>
      <c r="W67" s="1480"/>
    </row>
    <row r="68" spans="1:126" s="1367" customFormat="1" ht="30.75" thickBot="1">
      <c r="A68" s="2495"/>
      <c r="B68" s="2502"/>
      <c r="C68" s="1581" t="str">
        <f>'Equipment Results Matrix'!W259</f>
        <v>Measure</v>
      </c>
      <c r="D68" s="1578" t="str">
        <f>'Equipment Results Matrix'!X259</f>
        <v>Energy Star 5.1 + 35%, 15.7 W on-mode power, assumed 1 W sleep mode power, 147 in2 screen area</v>
      </c>
      <c r="E68" s="1546" t="s">
        <v>2683</v>
      </c>
      <c r="F68" s="1546" t="s">
        <v>2107</v>
      </c>
      <c r="G68" s="1547" t="s">
        <v>2201</v>
      </c>
      <c r="H68" s="1570">
        <f>'Equipment Results Matrix'!Y259</f>
        <v>121.76450331693134</v>
      </c>
      <c r="I68" s="1571"/>
      <c r="J68" s="1572"/>
      <c r="K68" s="1573" t="s">
        <v>15</v>
      </c>
      <c r="L68" s="1574" t="s">
        <v>15</v>
      </c>
      <c r="M68" s="1575">
        <f>'Equipment Results Matrix'!Y259</f>
        <v>121.76450331693134</v>
      </c>
      <c r="N68" s="1576">
        <f>'Equipment Results Matrix'!Z259</f>
        <v>-27.783040499999984</v>
      </c>
      <c r="O68" s="1429"/>
      <c r="P68" s="1430"/>
      <c r="Q68" s="1430"/>
      <c r="R68" s="1430"/>
      <c r="S68" s="1430"/>
      <c r="T68" s="1430"/>
      <c r="U68" s="1430"/>
      <c r="V68" s="1679"/>
      <c r="W68" s="1480"/>
    </row>
    <row r="69" spans="1:126" s="1479" customFormat="1" ht="19.5" thickBot="1">
      <c r="A69" s="695"/>
      <c r="B69" s="1655"/>
      <c r="C69" s="1655"/>
      <c r="D69" s="683"/>
      <c r="E69" s="683"/>
      <c r="F69" s="683"/>
      <c r="G69" s="683"/>
      <c r="H69" s="1413"/>
      <c r="I69" s="1443"/>
      <c r="J69" s="1414"/>
      <c r="K69" s="1413"/>
      <c r="L69" s="1529"/>
      <c r="M69" s="1413"/>
      <c r="N69" s="1489"/>
      <c r="O69" s="1413"/>
      <c r="P69" s="1414"/>
      <c r="Q69" s="1414"/>
      <c r="R69" s="1443"/>
      <c r="S69" s="1443"/>
      <c r="T69" s="1488"/>
      <c r="U69" s="1488"/>
      <c r="V69" s="1489"/>
      <c r="W69" s="1490"/>
      <c r="X69" s="1490"/>
      <c r="Y69" s="327"/>
      <c r="Z69" s="327"/>
      <c r="AA69" s="327"/>
      <c r="AB69" s="1490"/>
      <c r="AC69" s="1490"/>
      <c r="AD69" s="1490"/>
      <c r="AE69" s="1490"/>
      <c r="AF69" s="327"/>
      <c r="AG69" s="327"/>
      <c r="AH69" s="327"/>
      <c r="AI69" s="327"/>
      <c r="AJ69" s="327"/>
      <c r="AK69" s="1478"/>
      <c r="AL69" s="1478"/>
      <c r="AM69" s="1478"/>
      <c r="AN69" s="1478"/>
      <c r="AO69" s="1478"/>
      <c r="AP69" s="1478"/>
      <c r="AQ69" s="1478"/>
      <c r="AR69" s="1478"/>
      <c r="AS69" s="1478"/>
      <c r="AT69" s="1478"/>
      <c r="AU69" s="1478"/>
      <c r="AV69" s="1478"/>
      <c r="AW69" s="1478"/>
      <c r="AX69" s="1478"/>
      <c r="AY69" s="1478"/>
      <c r="AZ69" s="1478"/>
      <c r="BA69" s="1478"/>
      <c r="BB69" s="1478"/>
      <c r="BC69" s="1478"/>
      <c r="BD69" s="1478"/>
      <c r="BE69" s="1478"/>
      <c r="BF69" s="1478"/>
      <c r="BG69" s="1478"/>
      <c r="BH69" s="1478"/>
      <c r="BI69" s="1478"/>
      <c r="BJ69" s="1478"/>
      <c r="BK69" s="327"/>
      <c r="BL69" s="327"/>
      <c r="BM69" s="327"/>
      <c r="BN69" s="327"/>
      <c r="BO69" s="327"/>
      <c r="BP69" s="327"/>
      <c r="BQ69" s="327"/>
      <c r="BR69" s="327"/>
      <c r="BS69" s="327"/>
      <c r="BT69" s="327"/>
      <c r="BU69" s="327"/>
      <c r="BV69" s="327"/>
      <c r="BW69" s="327"/>
      <c r="BX69" s="327"/>
      <c r="BY69" s="327"/>
      <c r="BZ69" s="327"/>
      <c r="CA69" s="327"/>
      <c r="CB69" s="327"/>
      <c r="CC69" s="327"/>
      <c r="CD69" s="327"/>
      <c r="CE69" s="327"/>
      <c r="CF69" s="327"/>
      <c r="CG69" s="327"/>
      <c r="CH69" s="327"/>
      <c r="CI69" s="327"/>
      <c r="CJ69" s="327"/>
      <c r="CK69" s="327"/>
      <c r="CL69" s="327"/>
      <c r="CM69" s="327"/>
      <c r="CN69" s="327"/>
      <c r="CO69" s="327"/>
      <c r="CP69" s="327"/>
      <c r="CQ69" s="327"/>
      <c r="CR69" s="327"/>
      <c r="CS69" s="327"/>
      <c r="CT69" s="327"/>
      <c r="CU69" s="327"/>
      <c r="CV69" s="327"/>
      <c r="CW69" s="327"/>
      <c r="CX69" s="327"/>
      <c r="CY69" s="327"/>
      <c r="CZ69" s="327"/>
      <c r="DA69" s="327"/>
      <c r="DB69" s="327"/>
      <c r="DC69" s="327"/>
      <c r="DD69" s="327"/>
      <c r="DE69" s="327"/>
      <c r="DF69" s="327"/>
      <c r="DG69" s="327"/>
      <c r="DH69" s="327"/>
      <c r="DI69" s="327"/>
      <c r="DJ69" s="327"/>
      <c r="DK69" s="327"/>
      <c r="DL69" s="327"/>
      <c r="DM69" s="327"/>
      <c r="DN69" s="327"/>
      <c r="DO69" s="327"/>
      <c r="DP69" s="327"/>
      <c r="DQ69" s="327"/>
      <c r="DR69" s="327"/>
      <c r="DS69" s="327"/>
      <c r="DT69" s="327"/>
      <c r="DU69" s="327"/>
      <c r="DV69" s="327"/>
    </row>
    <row r="70" spans="1:126" s="1367" customFormat="1" ht="30" customHeight="1">
      <c r="A70" s="2493" t="s">
        <v>1285</v>
      </c>
      <c r="B70" s="2501" t="str">
        <f>'Equipment Results Matrix'!V288</f>
        <v>Workpaper measure</v>
      </c>
      <c r="C70" s="623" t="str">
        <f>'Equipment Results Matrix'!W288</f>
        <v>Baseline</v>
      </c>
      <c r="D70" s="1560" t="str">
        <f>'Equipment Results Matrix'!X288</f>
        <v>Title 20 code minimum, 177.4 W on-mode power, 1 W sleep mode power, assumed 1270 in2 screen area</v>
      </c>
      <c r="E70" s="383" t="s">
        <v>2683</v>
      </c>
      <c r="F70" s="383" t="s">
        <v>2107</v>
      </c>
      <c r="G70" s="1540" t="s">
        <v>2201</v>
      </c>
      <c r="H70" s="1563">
        <f>'Equipment Results Matrix'!Y288</f>
        <v>742.27209103423786</v>
      </c>
      <c r="I70" s="1564"/>
      <c r="J70" s="1565"/>
      <c r="K70" s="1568" t="s">
        <v>15</v>
      </c>
      <c r="L70" s="1569" t="s">
        <v>15</v>
      </c>
      <c r="M70" s="1566">
        <f>'Equipment Results Matrix'!Y288</f>
        <v>742.27209103423786</v>
      </c>
      <c r="N70" s="1567" t="str">
        <f>'Equipment Results Matrix'!Z288</f>
        <v>-</v>
      </c>
      <c r="O70" s="1429"/>
      <c r="P70" s="1430"/>
      <c r="Q70" s="1430"/>
      <c r="R70" s="1430"/>
      <c r="S70" s="1430"/>
      <c r="T70" s="1430"/>
      <c r="U70" s="1430"/>
      <c r="V70" s="1679"/>
      <c r="W70" s="1366"/>
      <c r="X70" s="1366"/>
      <c r="Y70" s="1366"/>
      <c r="Z70" s="1366"/>
      <c r="AA70" s="1366"/>
      <c r="AB70" s="1366"/>
      <c r="AC70" s="1366"/>
      <c r="AD70" s="1366"/>
      <c r="AE70" s="1366"/>
      <c r="AF70" s="1366"/>
      <c r="AG70" s="1366"/>
      <c r="AH70" s="1366"/>
      <c r="AI70" s="1366"/>
      <c r="AJ70" s="1366"/>
      <c r="AK70" s="1366"/>
      <c r="AL70" s="1366"/>
      <c r="AM70" s="1366"/>
      <c r="AN70" s="1366"/>
      <c r="AO70" s="1366"/>
      <c r="AP70" s="1366"/>
      <c r="AQ70" s="1366"/>
      <c r="AR70" s="1366"/>
      <c r="AS70" s="1366"/>
      <c r="AT70" s="1366"/>
      <c r="AU70" s="1366"/>
      <c r="AV70" s="1366"/>
      <c r="AW70" s="1366"/>
      <c r="AX70" s="1366"/>
      <c r="AY70" s="1366"/>
      <c r="AZ70" s="1366"/>
      <c r="BA70" s="1366"/>
      <c r="BB70" s="1366"/>
      <c r="BC70" s="1366"/>
      <c r="BD70" s="1366"/>
      <c r="BE70" s="1366"/>
      <c r="BF70" s="1366"/>
      <c r="BG70" s="1366"/>
      <c r="BH70" s="1366"/>
      <c r="BI70" s="1366"/>
      <c r="BJ70" s="1366"/>
      <c r="BK70" s="1366"/>
      <c r="BL70" s="1366"/>
      <c r="BM70" s="1366"/>
      <c r="BN70" s="1366"/>
      <c r="BO70" s="1366"/>
      <c r="BP70" s="1366"/>
      <c r="BQ70" s="1366"/>
      <c r="BR70" s="1366"/>
      <c r="BS70" s="1366"/>
      <c r="BT70" s="1366"/>
      <c r="BU70" s="1366"/>
      <c r="BV70" s="1366"/>
      <c r="BW70" s="1366"/>
      <c r="BX70" s="1366"/>
      <c r="BY70" s="1366"/>
      <c r="BZ70" s="1366"/>
      <c r="CA70" s="1366"/>
      <c r="CB70" s="1366"/>
      <c r="CC70" s="1366"/>
      <c r="CD70" s="1366"/>
      <c r="CE70" s="1366"/>
      <c r="CF70" s="1366"/>
      <c r="CG70" s="1366"/>
      <c r="CH70" s="1366"/>
      <c r="CI70" s="1366"/>
      <c r="CJ70" s="1366"/>
      <c r="CK70" s="1366"/>
      <c r="CL70" s="1366"/>
      <c r="CM70" s="1366"/>
      <c r="CN70" s="1366"/>
      <c r="CO70" s="1366"/>
      <c r="CP70" s="1366"/>
      <c r="CQ70" s="1366"/>
      <c r="CR70" s="1366"/>
      <c r="CS70" s="1366"/>
      <c r="CT70" s="1366"/>
      <c r="CU70" s="1366"/>
      <c r="CV70" s="1366"/>
      <c r="CW70" s="1366"/>
      <c r="CX70" s="1366"/>
      <c r="CY70" s="1366"/>
      <c r="CZ70" s="1366"/>
      <c r="DA70" s="1366"/>
      <c r="DB70" s="1366"/>
      <c r="DC70" s="1366"/>
      <c r="DD70" s="1366"/>
      <c r="DE70" s="1366"/>
      <c r="DF70" s="1366"/>
      <c r="DG70" s="1366"/>
      <c r="DH70" s="1366"/>
      <c r="DI70" s="1366"/>
      <c r="DJ70" s="1366"/>
      <c r="DK70" s="1366"/>
      <c r="DL70" s="1366"/>
      <c r="DM70" s="1366"/>
      <c r="DN70" s="1366"/>
      <c r="DO70" s="1366"/>
      <c r="DP70" s="1366"/>
      <c r="DQ70" s="1366"/>
      <c r="DR70" s="1366"/>
      <c r="DS70" s="1366"/>
      <c r="DT70" s="1366"/>
      <c r="DU70" s="1366"/>
      <c r="DV70" s="1366"/>
    </row>
    <row r="71" spans="1:126" s="1367" customFormat="1" ht="30">
      <c r="A71" s="2494"/>
      <c r="B71" s="2502"/>
      <c r="C71" s="1642" t="str">
        <f>'Equipment Results Matrix'!W289</f>
        <v>Measure</v>
      </c>
      <c r="D71" s="1375" t="str">
        <f>'Equipment Results Matrix'!X289</f>
        <v>Energy Star 5.1 + 20%, 86.4 W on-mode power, assumed 1 W sleep mode power, 1270 in2 screen area</v>
      </c>
      <c r="E71" s="1364" t="s">
        <v>2683</v>
      </c>
      <c r="F71" s="1364" t="s">
        <v>2107</v>
      </c>
      <c r="G71" s="1543" t="s">
        <v>2201</v>
      </c>
      <c r="H71" s="1361">
        <f>'Equipment Results Matrix'!Y289</f>
        <v>849.56909903423787</v>
      </c>
      <c r="I71" s="1371"/>
      <c r="J71" s="1417"/>
      <c r="K71" s="1401" t="s">
        <v>15</v>
      </c>
      <c r="L71" s="1526" t="s">
        <v>15</v>
      </c>
      <c r="M71" s="1372">
        <f>'Equipment Results Matrix'!Y289</f>
        <v>849.56909903423787</v>
      </c>
      <c r="N71" s="1458">
        <f>'Equipment Results Matrix'!Z289</f>
        <v>107.29700800000001</v>
      </c>
      <c r="O71" s="1429"/>
      <c r="P71" s="1430"/>
      <c r="Q71" s="1430"/>
      <c r="R71" s="1430"/>
      <c r="S71" s="1430"/>
      <c r="T71" s="1430"/>
      <c r="U71" s="1430"/>
      <c r="V71" s="1679"/>
      <c r="W71" s="1480"/>
    </row>
    <row r="72" spans="1:126" s="1367" customFormat="1" ht="30.75" thickBot="1">
      <c r="A72" s="2495"/>
      <c r="B72" s="2502"/>
      <c r="C72" s="1561" t="str">
        <f>'Equipment Results Matrix'!W290</f>
        <v>Measure</v>
      </c>
      <c r="D72" s="1562" t="str">
        <f>'Equipment Results Matrix'!X290</f>
        <v>Energy Star 5.1 + 35%, 70.2 W on-mode power, assumed 1 W sleep mode power, 1270 in2 screen area</v>
      </c>
      <c r="E72" s="1546" t="s">
        <v>2683</v>
      </c>
      <c r="F72" s="1546" t="s">
        <v>2107</v>
      </c>
      <c r="G72" s="1547" t="s">
        <v>2201</v>
      </c>
      <c r="H72" s="1552">
        <f>'Equipment Results Matrix'!Y290</f>
        <v>868.670324634238</v>
      </c>
      <c r="I72" s="1553"/>
      <c r="J72" s="1554"/>
      <c r="K72" s="1573" t="s">
        <v>15</v>
      </c>
      <c r="L72" s="1574" t="s">
        <v>15</v>
      </c>
      <c r="M72" s="1555">
        <f>'Equipment Results Matrix'!Y290</f>
        <v>868.670324634238</v>
      </c>
      <c r="N72" s="1559">
        <f>'Equipment Results Matrix'!Z290</f>
        <v>126.39823360000014</v>
      </c>
      <c r="O72" s="1429"/>
      <c r="P72" s="1430"/>
      <c r="Q72" s="1430"/>
      <c r="R72" s="1430"/>
      <c r="S72" s="1430"/>
      <c r="T72" s="1430"/>
      <c r="U72" s="1430"/>
      <c r="V72" s="1679"/>
      <c r="W72" s="1480"/>
    </row>
    <row r="73" spans="1:126" s="1479" customFormat="1" ht="19.5" thickBot="1">
      <c r="A73" s="695"/>
      <c r="B73" s="1655"/>
      <c r="C73" s="1655"/>
      <c r="D73" s="683"/>
      <c r="E73" s="683"/>
      <c r="F73" s="683"/>
      <c r="G73" s="683"/>
      <c r="H73" s="1413"/>
      <c r="I73" s="1443"/>
      <c r="J73" s="1414"/>
      <c r="K73" s="1413"/>
      <c r="L73" s="1529"/>
      <c r="M73" s="1413"/>
      <c r="N73" s="1489"/>
      <c r="O73" s="1413"/>
      <c r="P73" s="1414"/>
      <c r="Q73" s="1414"/>
      <c r="R73" s="1443"/>
      <c r="S73" s="1443"/>
      <c r="T73" s="1488"/>
      <c r="U73" s="1488"/>
      <c r="V73" s="1489"/>
      <c r="W73" s="1490"/>
      <c r="X73" s="1490"/>
      <c r="Y73" s="327"/>
      <c r="Z73" s="327"/>
      <c r="AA73" s="327"/>
      <c r="AB73" s="1490"/>
      <c r="AC73" s="1490"/>
      <c r="AD73" s="1490"/>
      <c r="AE73" s="1490"/>
      <c r="AF73" s="327"/>
      <c r="AG73" s="327"/>
      <c r="AH73" s="327"/>
      <c r="AI73" s="327"/>
      <c r="AJ73" s="327"/>
      <c r="AK73" s="1478"/>
      <c r="AL73" s="1478"/>
      <c r="AM73" s="1478"/>
      <c r="AN73" s="1478"/>
      <c r="AO73" s="1478"/>
      <c r="AP73" s="1478"/>
      <c r="AQ73" s="1478"/>
      <c r="AR73" s="1478"/>
      <c r="AS73" s="1478"/>
      <c r="AT73" s="1478"/>
      <c r="AU73" s="1478"/>
      <c r="AV73" s="1478"/>
      <c r="AW73" s="1478"/>
      <c r="AX73" s="1478"/>
      <c r="AY73" s="1478"/>
      <c r="AZ73" s="1478"/>
      <c r="BA73" s="1478"/>
      <c r="BB73" s="1478"/>
      <c r="BC73" s="1478"/>
      <c r="BD73" s="1478"/>
      <c r="BE73" s="1478"/>
      <c r="BF73" s="1478"/>
      <c r="BG73" s="1478"/>
      <c r="BH73" s="1478"/>
      <c r="BI73" s="1478"/>
      <c r="BJ73" s="1478"/>
      <c r="BK73" s="327"/>
      <c r="BL73" s="327"/>
      <c r="BM73" s="327"/>
      <c r="BN73" s="327"/>
      <c r="BO73" s="327"/>
      <c r="BP73" s="327"/>
      <c r="BQ73" s="327"/>
      <c r="BR73" s="327"/>
      <c r="BS73" s="327"/>
      <c r="BT73" s="327"/>
      <c r="BU73" s="327"/>
      <c r="BV73" s="327"/>
      <c r="BW73" s="327"/>
      <c r="BX73" s="327"/>
      <c r="BY73" s="327"/>
      <c r="BZ73" s="327"/>
      <c r="CA73" s="327"/>
      <c r="CB73" s="327"/>
      <c r="CC73" s="327"/>
      <c r="CD73" s="327"/>
      <c r="CE73" s="327"/>
      <c r="CF73" s="327"/>
      <c r="CG73" s="327"/>
      <c r="CH73" s="327"/>
      <c r="CI73" s="327"/>
      <c r="CJ73" s="327"/>
      <c r="CK73" s="327"/>
      <c r="CL73" s="327"/>
      <c r="CM73" s="327"/>
      <c r="CN73" s="327"/>
      <c r="CO73" s="327"/>
      <c r="CP73" s="327"/>
      <c r="CQ73" s="327"/>
      <c r="CR73" s="327"/>
      <c r="CS73" s="327"/>
      <c r="CT73" s="327"/>
      <c r="CU73" s="327"/>
      <c r="CV73" s="327"/>
      <c r="CW73" s="327"/>
      <c r="CX73" s="327"/>
      <c r="CY73" s="327"/>
      <c r="CZ73" s="327"/>
      <c r="DA73" s="327"/>
      <c r="DB73" s="327"/>
      <c r="DC73" s="327"/>
      <c r="DD73" s="327"/>
      <c r="DE73" s="327"/>
      <c r="DF73" s="327"/>
      <c r="DG73" s="327"/>
      <c r="DH73" s="327"/>
      <c r="DI73" s="327"/>
      <c r="DJ73" s="327"/>
      <c r="DK73" s="327"/>
      <c r="DL73" s="327"/>
      <c r="DM73" s="327"/>
      <c r="DN73" s="327"/>
      <c r="DO73" s="327"/>
      <c r="DP73" s="327"/>
      <c r="DQ73" s="327"/>
      <c r="DR73" s="327"/>
      <c r="DS73" s="327"/>
      <c r="DT73" s="327"/>
      <c r="DU73" s="327"/>
      <c r="DV73" s="327"/>
    </row>
    <row r="74" spans="1:126" s="1367" customFormat="1" ht="30" customHeight="1">
      <c r="A74" s="2493" t="s">
        <v>1286</v>
      </c>
      <c r="B74" s="2501" t="str">
        <f>'Equipment Results Matrix'!V320</f>
        <v>Workpaper measure</v>
      </c>
      <c r="C74" s="623" t="str">
        <f>'Equipment Results Matrix'!W320</f>
        <v>Baseline</v>
      </c>
      <c r="D74" s="1560" t="str">
        <f>'Equipment Results Matrix'!X320</f>
        <v>Title 20 code minimum, 129.2 W on-mode power, 1 W sleep mode power, assumed 868 in2 screen area</v>
      </c>
      <c r="E74" s="383" t="s">
        <v>2683</v>
      </c>
      <c r="F74" s="383" t="s">
        <v>2107</v>
      </c>
      <c r="G74" s="1540" t="s">
        <v>2201</v>
      </c>
      <c r="H74" s="1563">
        <f>'Equipment Results Matrix'!Y320</f>
        <v>510.03991975918734</v>
      </c>
      <c r="I74" s="1564"/>
      <c r="J74" s="1565"/>
      <c r="K74" s="1568" t="s">
        <v>15</v>
      </c>
      <c r="L74" s="1569" t="s">
        <v>15</v>
      </c>
      <c r="M74" s="1566">
        <f>'Equipment Results Matrix'!Y320</f>
        <v>510.03991975918734</v>
      </c>
      <c r="N74" s="1567" t="str">
        <f>'Equipment Results Matrix'!Z320</f>
        <v>-</v>
      </c>
      <c r="O74" s="1429"/>
      <c r="P74" s="1430"/>
      <c r="Q74" s="1430"/>
      <c r="R74" s="1430"/>
      <c r="S74" s="1430"/>
      <c r="T74" s="1430"/>
      <c r="U74" s="1430"/>
      <c r="V74" s="1679"/>
      <c r="W74" s="1366"/>
      <c r="X74" s="1366"/>
      <c r="Y74" s="1366"/>
      <c r="Z74" s="1366"/>
      <c r="AA74" s="1366"/>
      <c r="AB74" s="1366"/>
      <c r="AC74" s="1366"/>
      <c r="AD74" s="1366"/>
      <c r="AE74" s="1366"/>
      <c r="AF74" s="1366"/>
      <c r="AG74" s="1366"/>
      <c r="AH74" s="1366"/>
      <c r="AI74" s="1366"/>
      <c r="AJ74" s="1366"/>
      <c r="AK74" s="1366"/>
      <c r="AL74" s="1366"/>
      <c r="AM74" s="1366"/>
      <c r="AN74" s="1366"/>
      <c r="AO74" s="1366"/>
      <c r="AP74" s="1366"/>
      <c r="AQ74" s="1366"/>
      <c r="AR74" s="1366"/>
      <c r="AS74" s="1366"/>
      <c r="AT74" s="1366"/>
      <c r="AU74" s="1366"/>
      <c r="AV74" s="1366"/>
      <c r="AW74" s="1366"/>
      <c r="AX74" s="1366"/>
      <c r="AY74" s="1366"/>
      <c r="AZ74" s="1366"/>
      <c r="BA74" s="1366"/>
      <c r="BB74" s="1366"/>
      <c r="BC74" s="1366"/>
      <c r="BD74" s="1366"/>
      <c r="BE74" s="1366"/>
      <c r="BF74" s="1366"/>
      <c r="BG74" s="1366"/>
      <c r="BH74" s="1366"/>
      <c r="BI74" s="1366"/>
      <c r="BJ74" s="1366"/>
      <c r="BK74" s="1366"/>
      <c r="BL74" s="1366"/>
      <c r="BM74" s="1366"/>
      <c r="BN74" s="1366"/>
      <c r="BO74" s="1366"/>
      <c r="BP74" s="1366"/>
      <c r="BQ74" s="1366"/>
      <c r="BR74" s="1366"/>
      <c r="BS74" s="1366"/>
      <c r="BT74" s="1366"/>
      <c r="BU74" s="1366"/>
      <c r="BV74" s="1366"/>
      <c r="BW74" s="1366"/>
      <c r="BX74" s="1366"/>
      <c r="BY74" s="1366"/>
      <c r="BZ74" s="1366"/>
      <c r="CA74" s="1366"/>
      <c r="CB74" s="1366"/>
      <c r="CC74" s="1366"/>
      <c r="CD74" s="1366"/>
      <c r="CE74" s="1366"/>
      <c r="CF74" s="1366"/>
      <c r="CG74" s="1366"/>
      <c r="CH74" s="1366"/>
      <c r="CI74" s="1366"/>
      <c r="CJ74" s="1366"/>
      <c r="CK74" s="1366"/>
      <c r="CL74" s="1366"/>
      <c r="CM74" s="1366"/>
      <c r="CN74" s="1366"/>
      <c r="CO74" s="1366"/>
      <c r="CP74" s="1366"/>
      <c r="CQ74" s="1366"/>
      <c r="CR74" s="1366"/>
      <c r="CS74" s="1366"/>
      <c r="CT74" s="1366"/>
      <c r="CU74" s="1366"/>
      <c r="CV74" s="1366"/>
      <c r="CW74" s="1366"/>
      <c r="CX74" s="1366"/>
      <c r="CY74" s="1366"/>
      <c r="CZ74" s="1366"/>
      <c r="DA74" s="1366"/>
      <c r="DB74" s="1366"/>
      <c r="DC74" s="1366"/>
      <c r="DD74" s="1366"/>
      <c r="DE74" s="1366"/>
      <c r="DF74" s="1366"/>
      <c r="DG74" s="1366"/>
      <c r="DH74" s="1366"/>
      <c r="DI74" s="1366"/>
      <c r="DJ74" s="1366"/>
      <c r="DK74" s="1366"/>
      <c r="DL74" s="1366"/>
      <c r="DM74" s="1366"/>
      <c r="DN74" s="1366"/>
      <c r="DO74" s="1366"/>
      <c r="DP74" s="1366"/>
      <c r="DQ74" s="1366"/>
      <c r="DR74" s="1366"/>
      <c r="DS74" s="1366"/>
      <c r="DT74" s="1366"/>
      <c r="DU74" s="1366"/>
      <c r="DV74" s="1366"/>
    </row>
    <row r="75" spans="1:126" s="1367" customFormat="1" ht="30">
      <c r="A75" s="2494"/>
      <c r="B75" s="2502"/>
      <c r="C75" s="1642" t="str">
        <f>'Equipment Results Matrix'!W321</f>
        <v>Measure</v>
      </c>
      <c r="D75" s="1375" t="str">
        <f>'Equipment Results Matrix'!X321</f>
        <v>Energy Star 5.1 + 20%, 72.7 W on-mode power, assumed 1 W sleep mode power, 868 in2 screen area</v>
      </c>
      <c r="E75" s="1364" t="s">
        <v>2683</v>
      </c>
      <c r="F75" s="1364" t="s">
        <v>2107</v>
      </c>
      <c r="G75" s="1543" t="s">
        <v>2201</v>
      </c>
      <c r="H75" s="1361">
        <f>'Equipment Results Matrix'!Y321</f>
        <v>524.34022230918731</v>
      </c>
      <c r="I75" s="1371"/>
      <c r="J75" s="1417"/>
      <c r="K75" s="1401" t="s">
        <v>15</v>
      </c>
      <c r="L75" s="1526" t="s">
        <v>15</v>
      </c>
      <c r="M75" s="1372">
        <f>'Equipment Results Matrix'!Y321</f>
        <v>524.34022230918731</v>
      </c>
      <c r="N75" s="1458">
        <f>'Equipment Results Matrix'!Z321</f>
        <v>14.300302549999969</v>
      </c>
      <c r="O75" s="1429"/>
      <c r="P75" s="1430"/>
      <c r="Q75" s="1430"/>
      <c r="R75" s="1430"/>
      <c r="S75" s="1430"/>
      <c r="T75" s="1430"/>
      <c r="U75" s="1430"/>
      <c r="V75" s="1679"/>
      <c r="W75" s="1480"/>
    </row>
    <row r="76" spans="1:126" s="1367" customFormat="1" ht="30.75" thickBot="1">
      <c r="A76" s="2495"/>
      <c r="B76" s="2502"/>
      <c r="C76" s="1577" t="str">
        <f>'Equipment Results Matrix'!W322</f>
        <v>Measure</v>
      </c>
      <c r="D76" s="1578" t="str">
        <f>'Equipment Results Matrix'!X322</f>
        <v>Energy Star 5.1 + 35%, 59.1 W on-mode power, assumed 1 W sleep mode power, 868 in2 screen area</v>
      </c>
      <c r="E76" s="1546" t="s">
        <v>2683</v>
      </c>
      <c r="F76" s="1546" t="s">
        <v>2107</v>
      </c>
      <c r="G76" s="1547" t="s">
        <v>2201</v>
      </c>
      <c r="H76" s="1570">
        <f>'Equipment Results Matrix'!Y322</f>
        <v>527.78241902918739</v>
      </c>
      <c r="I76" s="1571"/>
      <c r="J76" s="1572"/>
      <c r="K76" s="1573" t="s">
        <v>15</v>
      </c>
      <c r="L76" s="1574" t="s">
        <v>15</v>
      </c>
      <c r="M76" s="1575">
        <f>'Equipment Results Matrix'!Y322</f>
        <v>527.78241902918739</v>
      </c>
      <c r="N76" s="1576">
        <f>'Equipment Results Matrix'!Z322</f>
        <v>17.742499270000053</v>
      </c>
      <c r="O76" s="1429"/>
      <c r="P76" s="1430"/>
      <c r="Q76" s="1430"/>
      <c r="R76" s="1430"/>
      <c r="S76" s="1430"/>
      <c r="T76" s="1430"/>
      <c r="U76" s="1430"/>
      <c r="V76" s="1679"/>
      <c r="W76" s="1480"/>
    </row>
    <row r="77" spans="1:126" s="1479" customFormat="1" ht="19.5" thickBot="1">
      <c r="A77" s="695"/>
      <c r="B77" s="1655"/>
      <c r="C77" s="1655"/>
      <c r="D77" s="683"/>
      <c r="E77" s="683"/>
      <c r="F77" s="683"/>
      <c r="G77" s="683"/>
      <c r="H77" s="1413"/>
      <c r="I77" s="1443"/>
      <c r="J77" s="1414"/>
      <c r="K77" s="1413"/>
      <c r="L77" s="1529"/>
      <c r="M77" s="1413"/>
      <c r="N77" s="1489"/>
      <c r="O77" s="1413"/>
      <c r="P77" s="1414"/>
      <c r="Q77" s="1414"/>
      <c r="R77" s="1443"/>
      <c r="S77" s="1443"/>
      <c r="T77" s="1488"/>
      <c r="U77" s="1488"/>
      <c r="V77" s="1489"/>
      <c r="W77" s="1490"/>
      <c r="X77" s="1490"/>
      <c r="Y77" s="327"/>
      <c r="Z77" s="327"/>
      <c r="AA77" s="327"/>
      <c r="AB77" s="1490"/>
      <c r="AC77" s="1490"/>
      <c r="AD77" s="1490"/>
      <c r="AE77" s="1490"/>
      <c r="AF77" s="327"/>
      <c r="AG77" s="327"/>
      <c r="AH77" s="327"/>
      <c r="AI77" s="327"/>
      <c r="AJ77" s="327"/>
      <c r="AK77" s="1478"/>
      <c r="AL77" s="1478"/>
      <c r="AM77" s="1478"/>
      <c r="AN77" s="1478"/>
      <c r="AO77" s="1478"/>
      <c r="AP77" s="1478"/>
      <c r="AQ77" s="1478"/>
      <c r="AR77" s="1478"/>
      <c r="AS77" s="1478"/>
      <c r="AT77" s="1478"/>
      <c r="AU77" s="1478"/>
      <c r="AV77" s="1478"/>
      <c r="AW77" s="1478"/>
      <c r="AX77" s="1478"/>
      <c r="AY77" s="1478"/>
      <c r="AZ77" s="1478"/>
      <c r="BA77" s="1478"/>
      <c r="BB77" s="1478"/>
      <c r="BC77" s="1478"/>
      <c r="BD77" s="1478"/>
      <c r="BE77" s="1478"/>
      <c r="BF77" s="1478"/>
      <c r="BG77" s="1478"/>
      <c r="BH77" s="1478"/>
      <c r="BI77" s="1478"/>
      <c r="BJ77" s="1478"/>
      <c r="BK77" s="327"/>
      <c r="BL77" s="327"/>
      <c r="BM77" s="327"/>
      <c r="BN77" s="327"/>
      <c r="BO77" s="327"/>
      <c r="BP77" s="327"/>
      <c r="BQ77" s="327"/>
      <c r="BR77" s="327"/>
      <c r="BS77" s="327"/>
      <c r="BT77" s="327"/>
      <c r="BU77" s="327"/>
      <c r="BV77" s="327"/>
      <c r="BW77" s="327"/>
      <c r="BX77" s="327"/>
      <c r="BY77" s="327"/>
      <c r="BZ77" s="327"/>
      <c r="CA77" s="327"/>
      <c r="CB77" s="327"/>
      <c r="CC77" s="327"/>
      <c r="CD77" s="327"/>
      <c r="CE77" s="327"/>
      <c r="CF77" s="327"/>
      <c r="CG77" s="327"/>
      <c r="CH77" s="327"/>
      <c r="CI77" s="327"/>
      <c r="CJ77" s="327"/>
      <c r="CK77" s="327"/>
      <c r="CL77" s="327"/>
      <c r="CM77" s="327"/>
      <c r="CN77" s="327"/>
      <c r="CO77" s="327"/>
      <c r="CP77" s="327"/>
      <c r="CQ77" s="327"/>
      <c r="CR77" s="327"/>
      <c r="CS77" s="327"/>
      <c r="CT77" s="327"/>
      <c r="CU77" s="327"/>
      <c r="CV77" s="327"/>
      <c r="CW77" s="327"/>
      <c r="CX77" s="327"/>
      <c r="CY77" s="327"/>
      <c r="CZ77" s="327"/>
      <c r="DA77" s="327"/>
      <c r="DB77" s="327"/>
      <c r="DC77" s="327"/>
      <c r="DD77" s="327"/>
      <c r="DE77" s="327"/>
      <c r="DF77" s="327"/>
      <c r="DG77" s="327"/>
      <c r="DH77" s="327"/>
      <c r="DI77" s="327"/>
      <c r="DJ77" s="327"/>
      <c r="DK77" s="327"/>
      <c r="DL77" s="327"/>
      <c r="DM77" s="327"/>
      <c r="DN77" s="327"/>
      <c r="DO77" s="327"/>
      <c r="DP77" s="327"/>
      <c r="DQ77" s="327"/>
      <c r="DR77" s="327"/>
      <c r="DS77" s="327"/>
      <c r="DT77" s="327"/>
      <c r="DU77" s="327"/>
      <c r="DV77" s="327"/>
    </row>
    <row r="78" spans="1:126" s="1367" customFormat="1" ht="30" customHeight="1">
      <c r="A78" s="2493" t="s">
        <v>1287</v>
      </c>
      <c r="B78" s="2501" t="str">
        <f>'Equipment Results Matrix'!V360</f>
        <v>Workpaper measure</v>
      </c>
      <c r="C78" s="1582" t="str">
        <f>'Equipment Results Matrix'!W360</f>
        <v>Baseline</v>
      </c>
      <c r="D78" s="1583" t="str">
        <f>'Equipment Results Matrix'!X360</f>
        <v>Title 20 code minimum, 106.8 W on-mode power, 1 W sleep mode power, assumed 682 in2 screen area</v>
      </c>
      <c r="E78" s="383" t="s">
        <v>2683</v>
      </c>
      <c r="F78" s="383" t="s">
        <v>2107</v>
      </c>
      <c r="G78" s="1540" t="s">
        <v>2201</v>
      </c>
      <c r="H78" s="1563">
        <f>'Equipment Results Matrix'!Y360</f>
        <v>354.00348881650893</v>
      </c>
      <c r="I78" s="1564"/>
      <c r="J78" s="1565"/>
      <c r="K78" s="1568" t="s">
        <v>15</v>
      </c>
      <c r="L78" s="1569" t="s">
        <v>15</v>
      </c>
      <c r="M78" s="1566">
        <f>'Equipment Results Matrix'!Y360</f>
        <v>354.00348881650893</v>
      </c>
      <c r="N78" s="1567" t="str">
        <f>'Equipment Results Matrix'!Z360</f>
        <v>-</v>
      </c>
      <c r="O78" s="1429"/>
      <c r="P78" s="1430"/>
      <c r="Q78" s="1430"/>
      <c r="R78" s="1430"/>
      <c r="S78" s="1430"/>
      <c r="T78" s="1430"/>
      <c r="U78" s="1430"/>
      <c r="V78" s="1679"/>
      <c r="W78" s="1366"/>
      <c r="X78" s="1366"/>
      <c r="Y78" s="1366"/>
      <c r="Z78" s="1366"/>
      <c r="AA78" s="1366"/>
      <c r="AB78" s="1366"/>
      <c r="AC78" s="1366"/>
      <c r="AD78" s="1366"/>
      <c r="AE78" s="1366"/>
      <c r="AF78" s="1366"/>
      <c r="AG78" s="1366"/>
      <c r="AH78" s="1366"/>
      <c r="AI78" s="1366"/>
      <c r="AJ78" s="1366"/>
      <c r="AK78" s="1366"/>
      <c r="AL78" s="1366"/>
      <c r="AM78" s="1366"/>
      <c r="AN78" s="1366"/>
      <c r="AO78" s="1366"/>
      <c r="AP78" s="1366"/>
      <c r="AQ78" s="1366"/>
      <c r="AR78" s="1366"/>
      <c r="AS78" s="1366"/>
      <c r="AT78" s="1366"/>
      <c r="AU78" s="1366"/>
      <c r="AV78" s="1366"/>
      <c r="AW78" s="1366"/>
      <c r="AX78" s="1366"/>
      <c r="AY78" s="1366"/>
      <c r="AZ78" s="1366"/>
      <c r="BA78" s="1366"/>
      <c r="BB78" s="1366"/>
      <c r="BC78" s="1366"/>
      <c r="BD78" s="1366"/>
      <c r="BE78" s="1366"/>
      <c r="BF78" s="1366"/>
      <c r="BG78" s="1366"/>
      <c r="BH78" s="1366"/>
      <c r="BI78" s="1366"/>
      <c r="BJ78" s="1366"/>
      <c r="BK78" s="1366"/>
      <c r="BL78" s="1366"/>
      <c r="BM78" s="1366"/>
      <c r="BN78" s="1366"/>
      <c r="BO78" s="1366"/>
      <c r="BP78" s="1366"/>
      <c r="BQ78" s="1366"/>
      <c r="BR78" s="1366"/>
      <c r="BS78" s="1366"/>
      <c r="BT78" s="1366"/>
      <c r="BU78" s="1366"/>
      <c r="BV78" s="1366"/>
      <c r="BW78" s="1366"/>
      <c r="BX78" s="1366"/>
      <c r="BY78" s="1366"/>
      <c r="BZ78" s="1366"/>
      <c r="CA78" s="1366"/>
      <c r="CB78" s="1366"/>
      <c r="CC78" s="1366"/>
      <c r="CD78" s="1366"/>
      <c r="CE78" s="1366"/>
      <c r="CF78" s="1366"/>
      <c r="CG78" s="1366"/>
      <c r="CH78" s="1366"/>
      <c r="CI78" s="1366"/>
      <c r="CJ78" s="1366"/>
      <c r="CK78" s="1366"/>
      <c r="CL78" s="1366"/>
      <c r="CM78" s="1366"/>
      <c r="CN78" s="1366"/>
      <c r="CO78" s="1366"/>
      <c r="CP78" s="1366"/>
      <c r="CQ78" s="1366"/>
      <c r="CR78" s="1366"/>
      <c r="CS78" s="1366"/>
      <c r="CT78" s="1366"/>
      <c r="CU78" s="1366"/>
      <c r="CV78" s="1366"/>
      <c r="CW78" s="1366"/>
      <c r="CX78" s="1366"/>
      <c r="CY78" s="1366"/>
      <c r="CZ78" s="1366"/>
      <c r="DA78" s="1366"/>
      <c r="DB78" s="1366"/>
      <c r="DC78" s="1366"/>
      <c r="DD78" s="1366"/>
      <c r="DE78" s="1366"/>
      <c r="DF78" s="1366"/>
      <c r="DG78" s="1366"/>
      <c r="DH78" s="1366"/>
      <c r="DI78" s="1366"/>
      <c r="DJ78" s="1366"/>
      <c r="DK78" s="1366"/>
      <c r="DL78" s="1366"/>
      <c r="DM78" s="1366"/>
      <c r="DN78" s="1366"/>
      <c r="DO78" s="1366"/>
      <c r="DP78" s="1366"/>
      <c r="DQ78" s="1366"/>
      <c r="DR78" s="1366"/>
      <c r="DS78" s="1366"/>
      <c r="DT78" s="1366"/>
      <c r="DU78" s="1366"/>
      <c r="DV78" s="1366"/>
    </row>
    <row r="79" spans="1:126" s="1367" customFormat="1" ht="30">
      <c r="A79" s="2494"/>
      <c r="B79" s="2502"/>
      <c r="C79" s="1640" t="str">
        <f>'Equipment Results Matrix'!W361</f>
        <v>Measure</v>
      </c>
      <c r="D79" s="1584" t="str">
        <f>'Equipment Results Matrix'!X361</f>
        <v>Energy Star 5.1 + 20%, 60.2 W on-mode power, assumed 1 W sleep mode power, 682 in2 screen area</v>
      </c>
      <c r="E79" s="1364" t="s">
        <v>2683</v>
      </c>
      <c r="F79" s="1364" t="s">
        <v>2107</v>
      </c>
      <c r="G79" s="1543" t="s">
        <v>2201</v>
      </c>
      <c r="H79" s="1361">
        <f>'Equipment Results Matrix'!Y361</f>
        <v>360.64277721650899</v>
      </c>
      <c r="I79" s="1371"/>
      <c r="J79" s="1417"/>
      <c r="K79" s="1401" t="s">
        <v>15</v>
      </c>
      <c r="L79" s="1526" t="s">
        <v>15</v>
      </c>
      <c r="M79" s="1372">
        <f>'Equipment Results Matrix'!Y361</f>
        <v>360.64277721650899</v>
      </c>
      <c r="N79" s="1458">
        <f>'Equipment Results Matrix'!Z361</f>
        <v>6.6392884000000549</v>
      </c>
      <c r="O79" s="1429"/>
      <c r="P79" s="1430"/>
      <c r="Q79" s="1430"/>
      <c r="R79" s="1430"/>
      <c r="S79" s="1430"/>
      <c r="T79" s="1430"/>
      <c r="U79" s="1430"/>
      <c r="V79" s="1679"/>
      <c r="W79" s="1366"/>
      <c r="X79" s="1366"/>
      <c r="Y79" s="1366"/>
      <c r="Z79" s="1366"/>
      <c r="AA79" s="1366"/>
      <c r="AB79" s="1366"/>
      <c r="AC79" s="1366"/>
      <c r="AD79" s="1366"/>
      <c r="AE79" s="1366"/>
      <c r="AF79" s="1366"/>
      <c r="AG79" s="1366"/>
      <c r="AH79" s="1366"/>
      <c r="AI79" s="1366"/>
      <c r="AJ79" s="1366"/>
      <c r="AK79" s="1366"/>
      <c r="AL79" s="1366"/>
      <c r="AM79" s="1366"/>
      <c r="AN79" s="1366"/>
      <c r="AO79" s="1366"/>
      <c r="AP79" s="1366"/>
      <c r="AQ79" s="1366"/>
      <c r="AR79" s="1366"/>
      <c r="AS79" s="1366"/>
      <c r="AT79" s="1366"/>
      <c r="AU79" s="1366"/>
      <c r="AV79" s="1366"/>
      <c r="AW79" s="1366"/>
      <c r="AX79" s="1366"/>
      <c r="AY79" s="1366"/>
      <c r="AZ79" s="1366"/>
      <c r="BA79" s="1366"/>
      <c r="BB79" s="1366"/>
      <c r="BC79" s="1366"/>
      <c r="BD79" s="1366"/>
      <c r="BE79" s="1366"/>
      <c r="BF79" s="1366"/>
      <c r="BG79" s="1366"/>
      <c r="BH79" s="1366"/>
      <c r="BI79" s="1366"/>
      <c r="BJ79" s="1366"/>
      <c r="BK79" s="1366"/>
      <c r="BL79" s="1366"/>
      <c r="BM79" s="1366"/>
      <c r="BN79" s="1366"/>
      <c r="BO79" s="1366"/>
      <c r="BP79" s="1366"/>
      <c r="BQ79" s="1366"/>
      <c r="BR79" s="1366"/>
      <c r="BS79" s="1366"/>
      <c r="BT79" s="1366"/>
      <c r="BU79" s="1366"/>
      <c r="BV79" s="1366"/>
      <c r="BW79" s="1366"/>
      <c r="BX79" s="1366"/>
      <c r="BY79" s="1366"/>
      <c r="BZ79" s="1366"/>
      <c r="CA79" s="1366"/>
      <c r="CB79" s="1366"/>
      <c r="CC79" s="1366"/>
      <c r="CD79" s="1366"/>
      <c r="CE79" s="1366"/>
      <c r="CF79" s="1366"/>
      <c r="CG79" s="1366"/>
      <c r="CH79" s="1366"/>
      <c r="CI79" s="1366"/>
      <c r="CJ79" s="1366"/>
      <c r="CK79" s="1366"/>
      <c r="CL79" s="1366"/>
      <c r="CM79" s="1366"/>
      <c r="CN79" s="1366"/>
      <c r="CO79" s="1366"/>
      <c r="CP79" s="1366"/>
      <c r="CQ79" s="1366"/>
      <c r="CR79" s="1366"/>
      <c r="CS79" s="1366"/>
      <c r="CT79" s="1366"/>
      <c r="CU79" s="1366"/>
      <c r="CV79" s="1366"/>
      <c r="CW79" s="1366"/>
      <c r="CX79" s="1366"/>
      <c r="CY79" s="1366"/>
      <c r="CZ79" s="1366"/>
      <c r="DA79" s="1366"/>
      <c r="DB79" s="1366"/>
      <c r="DC79" s="1366"/>
      <c r="DD79" s="1366"/>
      <c r="DE79" s="1366"/>
      <c r="DF79" s="1366"/>
      <c r="DG79" s="1366"/>
      <c r="DH79" s="1366"/>
      <c r="DI79" s="1366"/>
      <c r="DJ79" s="1366"/>
      <c r="DK79" s="1366"/>
      <c r="DL79" s="1366"/>
      <c r="DM79" s="1366"/>
      <c r="DN79" s="1366"/>
      <c r="DO79" s="1366"/>
      <c r="DP79" s="1366"/>
      <c r="DQ79" s="1366"/>
      <c r="DR79" s="1366"/>
      <c r="DS79" s="1366"/>
      <c r="DT79" s="1366"/>
      <c r="DU79" s="1366"/>
      <c r="DV79" s="1366"/>
    </row>
    <row r="80" spans="1:126" s="1367" customFormat="1" ht="30.75" thickBot="1">
      <c r="A80" s="2495"/>
      <c r="B80" s="2502"/>
      <c r="C80" s="1585" t="str">
        <f>'Equipment Results Matrix'!W362</f>
        <v>Measure</v>
      </c>
      <c r="D80" s="1586" t="str">
        <f>'Equipment Results Matrix'!X362</f>
        <v>Energy Star 5.1 + 35%, 48.9 W on-mode power, assumed 1 W sleep mode power, 682 in2 screen area</v>
      </c>
      <c r="E80" s="1546" t="s">
        <v>2683</v>
      </c>
      <c r="F80" s="1546" t="s">
        <v>2107</v>
      </c>
      <c r="G80" s="1547" t="s">
        <v>2201</v>
      </c>
      <c r="H80" s="1552">
        <f>'Equipment Results Matrix'!Y362</f>
        <v>362.25273341650893</v>
      </c>
      <c r="I80" s="1553"/>
      <c r="J80" s="1554"/>
      <c r="K80" s="1573" t="s">
        <v>15</v>
      </c>
      <c r="L80" s="1574" t="s">
        <v>15</v>
      </c>
      <c r="M80" s="1555">
        <f>'Equipment Results Matrix'!Y362</f>
        <v>362.25273341650893</v>
      </c>
      <c r="N80" s="1559">
        <f>'Equipment Results Matrix'!Z362</f>
        <v>8.2492445999999973</v>
      </c>
      <c r="O80" s="1429"/>
      <c r="P80" s="1430"/>
      <c r="Q80" s="1430"/>
      <c r="R80" s="1430"/>
      <c r="S80" s="1430"/>
      <c r="T80" s="1430"/>
      <c r="U80" s="1430"/>
      <c r="V80" s="1679"/>
      <c r="W80" s="1366"/>
      <c r="X80" s="1366"/>
      <c r="Y80" s="1366"/>
      <c r="Z80" s="1366"/>
      <c r="AA80" s="1366"/>
      <c r="AB80" s="1366"/>
      <c r="AC80" s="1366"/>
      <c r="AD80" s="1366"/>
      <c r="AE80" s="1366"/>
      <c r="AF80" s="1366"/>
      <c r="AG80" s="1366"/>
      <c r="AH80" s="1366"/>
      <c r="AI80" s="1366"/>
      <c r="AJ80" s="1366"/>
      <c r="AK80" s="1366"/>
      <c r="AL80" s="1366"/>
      <c r="AM80" s="1366"/>
      <c r="AN80" s="1366"/>
      <c r="AO80" s="1366"/>
      <c r="AP80" s="1366"/>
      <c r="AQ80" s="1366"/>
      <c r="AR80" s="1366"/>
      <c r="AS80" s="1366"/>
      <c r="AT80" s="1366"/>
      <c r="AU80" s="1366"/>
      <c r="AV80" s="1366"/>
      <c r="AW80" s="1366"/>
      <c r="AX80" s="1366"/>
      <c r="AY80" s="1366"/>
      <c r="AZ80" s="1366"/>
      <c r="BA80" s="1366"/>
      <c r="BB80" s="1366"/>
      <c r="BC80" s="1366"/>
      <c r="BD80" s="1366"/>
      <c r="BE80" s="1366"/>
      <c r="BF80" s="1366"/>
      <c r="BG80" s="1366"/>
      <c r="BH80" s="1366"/>
      <c r="BI80" s="1366"/>
      <c r="BJ80" s="1366"/>
      <c r="BK80" s="1366"/>
      <c r="BL80" s="1366"/>
      <c r="BM80" s="1366"/>
      <c r="BN80" s="1366"/>
      <c r="BO80" s="1366"/>
      <c r="BP80" s="1366"/>
      <c r="BQ80" s="1366"/>
      <c r="BR80" s="1366"/>
      <c r="BS80" s="1366"/>
      <c r="BT80" s="1366"/>
      <c r="BU80" s="1366"/>
      <c r="BV80" s="1366"/>
      <c r="BW80" s="1366"/>
      <c r="BX80" s="1366"/>
      <c r="BY80" s="1366"/>
      <c r="BZ80" s="1366"/>
      <c r="CA80" s="1366"/>
      <c r="CB80" s="1366"/>
      <c r="CC80" s="1366"/>
      <c r="CD80" s="1366"/>
      <c r="CE80" s="1366"/>
      <c r="CF80" s="1366"/>
      <c r="CG80" s="1366"/>
      <c r="CH80" s="1366"/>
      <c r="CI80" s="1366"/>
      <c r="CJ80" s="1366"/>
      <c r="CK80" s="1366"/>
      <c r="CL80" s="1366"/>
      <c r="CM80" s="1366"/>
      <c r="CN80" s="1366"/>
      <c r="CO80" s="1366"/>
      <c r="CP80" s="1366"/>
      <c r="CQ80" s="1366"/>
      <c r="CR80" s="1366"/>
      <c r="CS80" s="1366"/>
      <c r="CT80" s="1366"/>
      <c r="CU80" s="1366"/>
      <c r="CV80" s="1366"/>
      <c r="CW80" s="1366"/>
      <c r="CX80" s="1366"/>
      <c r="CY80" s="1366"/>
      <c r="CZ80" s="1366"/>
      <c r="DA80" s="1366"/>
      <c r="DB80" s="1366"/>
      <c r="DC80" s="1366"/>
      <c r="DD80" s="1366"/>
      <c r="DE80" s="1366"/>
      <c r="DF80" s="1366"/>
      <c r="DG80" s="1366"/>
      <c r="DH80" s="1366"/>
      <c r="DI80" s="1366"/>
      <c r="DJ80" s="1366"/>
      <c r="DK80" s="1366"/>
      <c r="DL80" s="1366"/>
      <c r="DM80" s="1366"/>
      <c r="DN80" s="1366"/>
      <c r="DO80" s="1366"/>
      <c r="DP80" s="1366"/>
      <c r="DQ80" s="1366"/>
      <c r="DR80" s="1366"/>
      <c r="DS80" s="1366"/>
      <c r="DT80" s="1366"/>
      <c r="DU80" s="1366"/>
      <c r="DV80" s="1366"/>
    </row>
    <row r="81" spans="1:126" s="1479" customFormat="1" ht="19.5" thickBot="1">
      <c r="A81" s="695"/>
      <c r="B81" s="1655"/>
      <c r="C81" s="1655"/>
      <c r="D81" s="683"/>
      <c r="E81" s="683"/>
      <c r="F81" s="683"/>
      <c r="G81" s="683"/>
      <c r="H81" s="1413"/>
      <c r="I81" s="1443"/>
      <c r="J81" s="1414"/>
      <c r="K81" s="1413"/>
      <c r="L81" s="1529"/>
      <c r="M81" s="1413"/>
      <c r="N81" s="1489"/>
      <c r="O81" s="1413"/>
      <c r="P81" s="1414"/>
      <c r="Q81" s="1414"/>
      <c r="R81" s="1443"/>
      <c r="S81" s="1443"/>
      <c r="T81" s="1488"/>
      <c r="U81" s="1488"/>
      <c r="V81" s="1489"/>
      <c r="W81" s="1490"/>
      <c r="X81" s="1490"/>
      <c r="Y81" s="327"/>
      <c r="Z81" s="327"/>
      <c r="AA81" s="327"/>
      <c r="AB81" s="1490"/>
      <c r="AC81" s="1490"/>
      <c r="AD81" s="1490"/>
      <c r="AE81" s="1490"/>
      <c r="AF81" s="327"/>
      <c r="AG81" s="327"/>
      <c r="AH81" s="327"/>
      <c r="AI81" s="327"/>
      <c r="AJ81" s="327"/>
      <c r="AK81" s="1478"/>
      <c r="AL81" s="1478"/>
      <c r="AM81" s="1478"/>
      <c r="AN81" s="1478"/>
      <c r="AO81" s="1478"/>
      <c r="AP81" s="1478"/>
      <c r="AQ81" s="1478"/>
      <c r="AR81" s="1478"/>
      <c r="AS81" s="1478"/>
      <c r="AT81" s="1478"/>
      <c r="AU81" s="1478"/>
      <c r="AV81" s="1478"/>
      <c r="AW81" s="1478"/>
      <c r="AX81" s="1478"/>
      <c r="AY81" s="1478"/>
      <c r="AZ81" s="1478"/>
      <c r="BA81" s="1478"/>
      <c r="BB81" s="1478"/>
      <c r="BC81" s="1478"/>
      <c r="BD81" s="1478"/>
      <c r="BE81" s="1478"/>
      <c r="BF81" s="1478"/>
      <c r="BG81" s="1478"/>
      <c r="BH81" s="1478"/>
      <c r="BI81" s="1478"/>
      <c r="BJ81" s="1478"/>
      <c r="BK81" s="327"/>
      <c r="BL81" s="327"/>
      <c r="BM81" s="327"/>
      <c r="BN81" s="327"/>
      <c r="BO81" s="327"/>
      <c r="BP81" s="327"/>
      <c r="BQ81" s="327"/>
      <c r="BR81" s="327"/>
      <c r="BS81" s="327"/>
      <c r="BT81" s="327"/>
      <c r="BU81" s="327"/>
      <c r="BV81" s="327"/>
      <c r="BW81" s="327"/>
      <c r="BX81" s="327"/>
      <c r="BY81" s="327"/>
      <c r="BZ81" s="327"/>
      <c r="CA81" s="327"/>
      <c r="CB81" s="327"/>
      <c r="CC81" s="327"/>
      <c r="CD81" s="327"/>
      <c r="CE81" s="327"/>
      <c r="CF81" s="327"/>
      <c r="CG81" s="327"/>
      <c r="CH81" s="327"/>
      <c r="CI81" s="327"/>
      <c r="CJ81" s="327"/>
      <c r="CK81" s="327"/>
      <c r="CL81" s="327"/>
      <c r="CM81" s="327"/>
      <c r="CN81" s="327"/>
      <c r="CO81" s="327"/>
      <c r="CP81" s="327"/>
      <c r="CQ81" s="327"/>
      <c r="CR81" s="327"/>
      <c r="CS81" s="327"/>
      <c r="CT81" s="327"/>
      <c r="CU81" s="327"/>
      <c r="CV81" s="327"/>
      <c r="CW81" s="327"/>
      <c r="CX81" s="327"/>
      <c r="CY81" s="327"/>
      <c r="CZ81" s="327"/>
      <c r="DA81" s="327"/>
      <c r="DB81" s="327"/>
      <c r="DC81" s="327"/>
      <c r="DD81" s="327"/>
      <c r="DE81" s="327"/>
      <c r="DF81" s="327"/>
      <c r="DG81" s="327"/>
      <c r="DH81" s="327"/>
      <c r="DI81" s="327"/>
      <c r="DJ81" s="327"/>
      <c r="DK81" s="327"/>
      <c r="DL81" s="327"/>
      <c r="DM81" s="327"/>
      <c r="DN81" s="327"/>
      <c r="DO81" s="327"/>
      <c r="DP81" s="327"/>
      <c r="DQ81" s="327"/>
      <c r="DR81" s="327"/>
      <c r="DS81" s="327"/>
      <c r="DT81" s="327"/>
      <c r="DU81" s="327"/>
      <c r="DV81" s="327"/>
    </row>
    <row r="82" spans="1:126" s="1367" customFormat="1" ht="30" customHeight="1">
      <c r="A82" s="2493" t="s">
        <v>1288</v>
      </c>
      <c r="B82" s="2501" t="str">
        <f>'Equipment Results Matrix'!V396</f>
        <v>Workpaper measure</v>
      </c>
      <c r="C82" s="623" t="str">
        <f>'Equipment Results Matrix'!W396</f>
        <v>Baseline</v>
      </c>
      <c r="D82" s="1560" t="str">
        <f>'Equipment Results Matrix'!X396</f>
        <v>Title 20 code minimum, 76 W on-mode power, 1 W sleep mode power, assumed 425 in2 screen area</v>
      </c>
      <c r="E82" s="383" t="s">
        <v>2683</v>
      </c>
      <c r="F82" s="383" t="s">
        <v>2107</v>
      </c>
      <c r="G82" s="1540" t="s">
        <v>2201</v>
      </c>
      <c r="H82" s="1563">
        <f>'Equipment Results Matrix'!Y396</f>
        <v>200.89141833753786</v>
      </c>
      <c r="I82" s="1564"/>
      <c r="J82" s="1565"/>
      <c r="K82" s="1568" t="s">
        <v>15</v>
      </c>
      <c r="L82" s="1569" t="s">
        <v>15</v>
      </c>
      <c r="M82" s="1566">
        <f>'Equipment Results Matrix'!Y396</f>
        <v>200.89141833753786</v>
      </c>
      <c r="N82" s="1567" t="str">
        <f>'Equipment Results Matrix'!Z396</f>
        <v>-</v>
      </c>
      <c r="O82" s="1429"/>
      <c r="P82" s="1430"/>
      <c r="Q82" s="1430"/>
      <c r="R82" s="1430"/>
      <c r="S82" s="1430"/>
      <c r="T82" s="1430"/>
      <c r="U82" s="1430"/>
      <c r="V82" s="1679"/>
      <c r="W82" s="1366"/>
      <c r="X82" s="1366"/>
      <c r="Y82" s="1366"/>
      <c r="Z82" s="1366"/>
      <c r="AA82" s="1366"/>
      <c r="AB82" s="1366"/>
      <c r="AC82" s="1366"/>
      <c r="AD82" s="1366"/>
      <c r="AE82" s="1366"/>
      <c r="AF82" s="1366"/>
      <c r="AG82" s="1366"/>
      <c r="AH82" s="1366"/>
      <c r="AI82" s="1366"/>
      <c r="AJ82" s="1366"/>
      <c r="AK82" s="1366"/>
      <c r="AL82" s="1366"/>
      <c r="AM82" s="1366"/>
      <c r="AN82" s="1366"/>
      <c r="AO82" s="1366"/>
      <c r="AP82" s="1366"/>
      <c r="AQ82" s="1366"/>
      <c r="AR82" s="1366"/>
      <c r="AS82" s="1366"/>
      <c r="AT82" s="1366"/>
      <c r="AU82" s="1366"/>
      <c r="AV82" s="1366"/>
      <c r="AW82" s="1366"/>
      <c r="AX82" s="1366"/>
      <c r="AY82" s="1366"/>
      <c r="AZ82" s="1366"/>
      <c r="BA82" s="1366"/>
      <c r="BB82" s="1366"/>
      <c r="BC82" s="1366"/>
      <c r="BD82" s="1366"/>
      <c r="BE82" s="1366"/>
      <c r="BF82" s="1366"/>
      <c r="BG82" s="1366"/>
      <c r="BH82" s="1366"/>
      <c r="BI82" s="1366"/>
      <c r="BJ82" s="1366"/>
      <c r="BK82" s="1366"/>
      <c r="BL82" s="1366"/>
      <c r="BM82" s="1366"/>
      <c r="BN82" s="1366"/>
      <c r="BO82" s="1366"/>
      <c r="BP82" s="1366"/>
      <c r="BQ82" s="1366"/>
      <c r="BR82" s="1366"/>
      <c r="BS82" s="1366"/>
      <c r="BT82" s="1366"/>
      <c r="BU82" s="1366"/>
      <c r="BV82" s="1366"/>
      <c r="BW82" s="1366"/>
      <c r="BX82" s="1366"/>
      <c r="BY82" s="1366"/>
      <c r="BZ82" s="1366"/>
      <c r="CA82" s="1366"/>
      <c r="CB82" s="1366"/>
      <c r="CC82" s="1366"/>
      <c r="CD82" s="1366"/>
      <c r="CE82" s="1366"/>
      <c r="CF82" s="1366"/>
      <c r="CG82" s="1366"/>
      <c r="CH82" s="1366"/>
      <c r="CI82" s="1366"/>
      <c r="CJ82" s="1366"/>
      <c r="CK82" s="1366"/>
      <c r="CL82" s="1366"/>
      <c r="CM82" s="1366"/>
      <c r="CN82" s="1366"/>
      <c r="CO82" s="1366"/>
      <c r="CP82" s="1366"/>
      <c r="CQ82" s="1366"/>
      <c r="CR82" s="1366"/>
      <c r="CS82" s="1366"/>
      <c r="CT82" s="1366"/>
      <c r="CU82" s="1366"/>
      <c r="CV82" s="1366"/>
      <c r="CW82" s="1366"/>
      <c r="CX82" s="1366"/>
      <c r="CY82" s="1366"/>
      <c r="CZ82" s="1366"/>
      <c r="DA82" s="1366"/>
      <c r="DB82" s="1366"/>
      <c r="DC82" s="1366"/>
      <c r="DD82" s="1366"/>
      <c r="DE82" s="1366"/>
      <c r="DF82" s="1366"/>
      <c r="DG82" s="1366"/>
      <c r="DH82" s="1366"/>
      <c r="DI82" s="1366"/>
      <c r="DJ82" s="1366"/>
      <c r="DK82" s="1366"/>
      <c r="DL82" s="1366"/>
      <c r="DM82" s="1366"/>
      <c r="DN82" s="1366"/>
      <c r="DO82" s="1366"/>
      <c r="DP82" s="1366"/>
      <c r="DQ82" s="1366"/>
      <c r="DR82" s="1366"/>
      <c r="DS82" s="1366"/>
      <c r="DT82" s="1366"/>
      <c r="DU82" s="1366"/>
      <c r="DV82" s="1366"/>
    </row>
    <row r="83" spans="1:126" s="1367" customFormat="1" ht="30">
      <c r="A83" s="2494"/>
      <c r="B83" s="2502"/>
      <c r="C83" s="1642" t="str">
        <f>'Equipment Results Matrix'!W397</f>
        <v>Measure</v>
      </c>
      <c r="D83" s="1375" t="str">
        <f>'Equipment Results Matrix'!X397</f>
        <v>Energy Star 5.1 + 20%, 43 W on-mode power, assumed 1 W sleep mode power, 425 in2 screen area</v>
      </c>
      <c r="E83" s="1364" t="s">
        <v>2683</v>
      </c>
      <c r="F83" s="1364" t="s">
        <v>2107</v>
      </c>
      <c r="G83" s="1543" t="s">
        <v>2201</v>
      </c>
      <c r="H83" s="1361">
        <f>'Equipment Results Matrix'!Y397</f>
        <v>156.80850033753785</v>
      </c>
      <c r="I83" s="1371"/>
      <c r="J83" s="1417"/>
      <c r="K83" s="1401" t="s">
        <v>15</v>
      </c>
      <c r="L83" s="1526" t="s">
        <v>15</v>
      </c>
      <c r="M83" s="1372">
        <f>'Equipment Results Matrix'!Y397</f>
        <v>156.80850033753785</v>
      </c>
      <c r="N83" s="1458">
        <f>'Equipment Results Matrix'!Z397</f>
        <v>-44.082918000000006</v>
      </c>
      <c r="O83" s="1429"/>
      <c r="P83" s="1430"/>
      <c r="Q83" s="1430"/>
      <c r="R83" s="1430"/>
      <c r="S83" s="1430"/>
      <c r="T83" s="1430"/>
      <c r="U83" s="1430"/>
      <c r="V83" s="1679"/>
      <c r="W83" s="1366"/>
      <c r="X83" s="1366"/>
      <c r="Y83" s="1366"/>
      <c r="Z83" s="1366"/>
      <c r="AA83" s="1366"/>
      <c r="AB83" s="1366"/>
      <c r="AC83" s="1366"/>
      <c r="AD83" s="1366"/>
      <c r="AE83" s="1366"/>
      <c r="AF83" s="1366"/>
      <c r="AG83" s="1366"/>
      <c r="AH83" s="1366"/>
      <c r="AI83" s="1366"/>
      <c r="AJ83" s="1366"/>
      <c r="AK83" s="1366"/>
      <c r="AL83" s="1366"/>
      <c r="AM83" s="1366"/>
      <c r="AN83" s="1366"/>
      <c r="AO83" s="1366"/>
      <c r="AP83" s="1366"/>
      <c r="AQ83" s="1366"/>
      <c r="AR83" s="1366"/>
      <c r="AS83" s="1366"/>
      <c r="AT83" s="1366"/>
      <c r="AU83" s="1366"/>
      <c r="AV83" s="1366"/>
      <c r="AW83" s="1366"/>
      <c r="AX83" s="1366"/>
      <c r="AY83" s="1366"/>
      <c r="AZ83" s="1366"/>
      <c r="BA83" s="1366"/>
      <c r="BB83" s="1366"/>
      <c r="BC83" s="1366"/>
      <c r="BD83" s="1366"/>
      <c r="BE83" s="1366"/>
      <c r="BF83" s="1366"/>
      <c r="BG83" s="1366"/>
      <c r="BH83" s="1366"/>
      <c r="BI83" s="1366"/>
      <c r="BJ83" s="1366"/>
      <c r="BK83" s="1366"/>
      <c r="BL83" s="1366"/>
      <c r="BM83" s="1366"/>
      <c r="BN83" s="1366"/>
      <c r="BO83" s="1366"/>
      <c r="BP83" s="1366"/>
      <c r="BQ83" s="1366"/>
      <c r="BR83" s="1366"/>
      <c r="BS83" s="1366"/>
      <c r="BT83" s="1366"/>
      <c r="BU83" s="1366"/>
      <c r="BV83" s="1366"/>
      <c r="BW83" s="1366"/>
      <c r="BX83" s="1366"/>
      <c r="BY83" s="1366"/>
      <c r="BZ83" s="1366"/>
      <c r="CA83" s="1366"/>
      <c r="CB83" s="1366"/>
      <c r="CC83" s="1366"/>
      <c r="CD83" s="1366"/>
      <c r="CE83" s="1366"/>
      <c r="CF83" s="1366"/>
      <c r="CG83" s="1366"/>
      <c r="CH83" s="1366"/>
      <c r="CI83" s="1366"/>
      <c r="CJ83" s="1366"/>
      <c r="CK83" s="1366"/>
      <c r="CL83" s="1366"/>
      <c r="CM83" s="1366"/>
      <c r="CN83" s="1366"/>
      <c r="CO83" s="1366"/>
      <c r="CP83" s="1366"/>
      <c r="CQ83" s="1366"/>
      <c r="CR83" s="1366"/>
      <c r="CS83" s="1366"/>
      <c r="CT83" s="1366"/>
      <c r="CU83" s="1366"/>
      <c r="CV83" s="1366"/>
      <c r="CW83" s="1366"/>
      <c r="CX83" s="1366"/>
      <c r="CY83" s="1366"/>
      <c r="CZ83" s="1366"/>
      <c r="DA83" s="1366"/>
      <c r="DB83" s="1366"/>
      <c r="DC83" s="1366"/>
      <c r="DD83" s="1366"/>
      <c r="DE83" s="1366"/>
      <c r="DF83" s="1366"/>
      <c r="DG83" s="1366"/>
      <c r="DH83" s="1366"/>
      <c r="DI83" s="1366"/>
      <c r="DJ83" s="1366"/>
      <c r="DK83" s="1366"/>
      <c r="DL83" s="1366"/>
      <c r="DM83" s="1366"/>
      <c r="DN83" s="1366"/>
      <c r="DO83" s="1366"/>
      <c r="DP83" s="1366"/>
      <c r="DQ83" s="1366"/>
      <c r="DR83" s="1366"/>
      <c r="DS83" s="1366"/>
      <c r="DT83" s="1366"/>
      <c r="DU83" s="1366"/>
      <c r="DV83" s="1366"/>
    </row>
    <row r="84" spans="1:126" s="1367" customFormat="1" ht="30.75" thickBot="1">
      <c r="A84" s="2495"/>
      <c r="B84" s="2502"/>
      <c r="C84" s="1561" t="str">
        <f>'Equipment Results Matrix'!W398</f>
        <v>Measure</v>
      </c>
      <c r="D84" s="1562" t="str">
        <f>'Equipment Results Matrix'!X398</f>
        <v>Energy Star 5.1 + 35%, 34.9 W on-mode power, assumed 1 W sleep mode power, 425 in2 screen area</v>
      </c>
      <c r="E84" s="1546" t="s">
        <v>2683</v>
      </c>
      <c r="F84" s="1546" t="s">
        <v>2107</v>
      </c>
      <c r="G84" s="1547" t="s">
        <v>2201</v>
      </c>
      <c r="H84" s="1552">
        <f>'Equipment Results Matrix'!Y398</f>
        <v>145.98814773753784</v>
      </c>
      <c r="I84" s="1553"/>
      <c r="J84" s="1554"/>
      <c r="K84" s="1573" t="s">
        <v>15</v>
      </c>
      <c r="L84" s="1574" t="s">
        <v>15</v>
      </c>
      <c r="M84" s="1555">
        <f>'Equipment Results Matrix'!Y398</f>
        <v>145.98814773753784</v>
      </c>
      <c r="N84" s="1559">
        <f>'Equipment Results Matrix'!Z398</f>
        <v>-54.903270600000013</v>
      </c>
      <c r="O84" s="1429"/>
      <c r="P84" s="1430"/>
      <c r="Q84" s="1430"/>
      <c r="R84" s="1430"/>
      <c r="S84" s="1430"/>
      <c r="T84" s="1430"/>
      <c r="U84" s="1430"/>
      <c r="V84" s="1679"/>
      <c r="W84" s="1366"/>
      <c r="X84" s="1366"/>
      <c r="Y84" s="1366"/>
      <c r="Z84" s="1366"/>
      <c r="AA84" s="1366"/>
      <c r="AB84" s="1366"/>
      <c r="AC84" s="1366"/>
      <c r="AD84" s="1366"/>
      <c r="AE84" s="1366"/>
      <c r="AF84" s="1366"/>
      <c r="AG84" s="1366"/>
      <c r="AH84" s="1366"/>
      <c r="AI84" s="1366"/>
      <c r="AJ84" s="1366"/>
      <c r="AK84" s="1366"/>
      <c r="AL84" s="1366"/>
      <c r="AM84" s="1366"/>
      <c r="AN84" s="1366"/>
      <c r="AO84" s="1366"/>
      <c r="AP84" s="1366"/>
      <c r="AQ84" s="1366"/>
      <c r="AR84" s="1366"/>
      <c r="AS84" s="1366"/>
      <c r="AT84" s="1366"/>
      <c r="AU84" s="1366"/>
      <c r="AV84" s="1366"/>
      <c r="AW84" s="1366"/>
      <c r="AX84" s="1366"/>
      <c r="AY84" s="1366"/>
      <c r="AZ84" s="1366"/>
      <c r="BA84" s="1366"/>
      <c r="BB84" s="1366"/>
      <c r="BC84" s="1366"/>
      <c r="BD84" s="1366"/>
      <c r="BE84" s="1366"/>
      <c r="BF84" s="1366"/>
      <c r="BG84" s="1366"/>
      <c r="BH84" s="1366"/>
      <c r="BI84" s="1366"/>
      <c r="BJ84" s="1366"/>
      <c r="BK84" s="1366"/>
      <c r="BL84" s="1366"/>
      <c r="BM84" s="1366"/>
      <c r="BN84" s="1366"/>
      <c r="BO84" s="1366"/>
      <c r="BP84" s="1366"/>
      <c r="BQ84" s="1366"/>
      <c r="BR84" s="1366"/>
      <c r="BS84" s="1366"/>
      <c r="BT84" s="1366"/>
      <c r="BU84" s="1366"/>
      <c r="BV84" s="1366"/>
      <c r="BW84" s="1366"/>
      <c r="BX84" s="1366"/>
      <c r="BY84" s="1366"/>
      <c r="BZ84" s="1366"/>
      <c r="CA84" s="1366"/>
      <c r="CB84" s="1366"/>
      <c r="CC84" s="1366"/>
      <c r="CD84" s="1366"/>
      <c r="CE84" s="1366"/>
      <c r="CF84" s="1366"/>
      <c r="CG84" s="1366"/>
      <c r="CH84" s="1366"/>
      <c r="CI84" s="1366"/>
      <c r="CJ84" s="1366"/>
      <c r="CK84" s="1366"/>
      <c r="CL84" s="1366"/>
      <c r="CM84" s="1366"/>
      <c r="CN84" s="1366"/>
      <c r="CO84" s="1366"/>
      <c r="CP84" s="1366"/>
      <c r="CQ84" s="1366"/>
      <c r="CR84" s="1366"/>
      <c r="CS84" s="1366"/>
      <c r="CT84" s="1366"/>
      <c r="CU84" s="1366"/>
      <c r="CV84" s="1366"/>
      <c r="CW84" s="1366"/>
      <c r="CX84" s="1366"/>
      <c r="CY84" s="1366"/>
      <c r="CZ84" s="1366"/>
      <c r="DA84" s="1366"/>
      <c r="DB84" s="1366"/>
      <c r="DC84" s="1366"/>
      <c r="DD84" s="1366"/>
      <c r="DE84" s="1366"/>
      <c r="DF84" s="1366"/>
      <c r="DG84" s="1366"/>
      <c r="DH84" s="1366"/>
      <c r="DI84" s="1366"/>
      <c r="DJ84" s="1366"/>
      <c r="DK84" s="1366"/>
      <c r="DL84" s="1366"/>
      <c r="DM84" s="1366"/>
      <c r="DN84" s="1366"/>
      <c r="DO84" s="1366"/>
      <c r="DP84" s="1366"/>
      <c r="DQ84" s="1366"/>
      <c r="DR84" s="1366"/>
      <c r="DS84" s="1366"/>
      <c r="DT84" s="1366"/>
      <c r="DU84" s="1366"/>
      <c r="DV84" s="1366"/>
    </row>
    <row r="85" spans="1:126" s="1479" customFormat="1" ht="19.5" thickBot="1">
      <c r="A85" s="695"/>
      <c r="B85" s="1655"/>
      <c r="C85" s="1655"/>
      <c r="D85" s="683"/>
      <c r="E85" s="683"/>
      <c r="F85" s="683"/>
      <c r="G85" s="683"/>
      <c r="H85" s="1413"/>
      <c r="I85" s="1443"/>
      <c r="J85" s="1414"/>
      <c r="K85" s="1413"/>
      <c r="L85" s="1529"/>
      <c r="M85" s="1413"/>
      <c r="N85" s="1489"/>
      <c r="O85" s="1413"/>
      <c r="P85" s="1414"/>
      <c r="Q85" s="1414"/>
      <c r="R85" s="1443"/>
      <c r="S85" s="1443"/>
      <c r="T85" s="1488"/>
      <c r="U85" s="1488"/>
      <c r="V85" s="1489"/>
      <c r="W85" s="1490"/>
      <c r="X85" s="1490"/>
      <c r="Y85" s="327"/>
      <c r="Z85" s="327"/>
      <c r="AA85" s="327"/>
      <c r="AB85" s="1490"/>
      <c r="AC85" s="1490"/>
      <c r="AD85" s="1490"/>
      <c r="AE85" s="1490"/>
      <c r="AF85" s="327"/>
      <c r="AG85" s="327"/>
      <c r="AH85" s="327"/>
      <c r="AI85" s="327"/>
      <c r="AJ85" s="327"/>
      <c r="AK85" s="1478"/>
      <c r="AL85" s="1478"/>
      <c r="AM85" s="1478"/>
      <c r="AN85" s="1478"/>
      <c r="AO85" s="1478"/>
      <c r="AP85" s="1478"/>
      <c r="AQ85" s="1478"/>
      <c r="AR85" s="1478"/>
      <c r="AS85" s="1478"/>
      <c r="AT85" s="1478"/>
      <c r="AU85" s="1478"/>
      <c r="AV85" s="1478"/>
      <c r="AW85" s="1478"/>
      <c r="AX85" s="1478"/>
      <c r="AY85" s="1478"/>
      <c r="AZ85" s="1478"/>
      <c r="BA85" s="1478"/>
      <c r="BB85" s="1478"/>
      <c r="BC85" s="1478"/>
      <c r="BD85" s="1478"/>
      <c r="BE85" s="1478"/>
      <c r="BF85" s="1478"/>
      <c r="BG85" s="1478"/>
      <c r="BH85" s="1478"/>
      <c r="BI85" s="1478"/>
      <c r="BJ85" s="1478"/>
      <c r="BK85" s="327"/>
      <c r="BL85" s="327"/>
      <c r="BM85" s="327"/>
      <c r="BN85" s="327"/>
      <c r="BO85" s="327"/>
      <c r="BP85" s="327"/>
      <c r="BQ85" s="327"/>
      <c r="BR85" s="327"/>
      <c r="BS85" s="327"/>
      <c r="BT85" s="327"/>
      <c r="BU85" s="327"/>
      <c r="BV85" s="327"/>
      <c r="BW85" s="327"/>
      <c r="BX85" s="327"/>
      <c r="BY85" s="327"/>
      <c r="BZ85" s="327"/>
      <c r="CA85" s="327"/>
      <c r="CB85" s="327"/>
      <c r="CC85" s="327"/>
      <c r="CD85" s="327"/>
      <c r="CE85" s="327"/>
      <c r="CF85" s="327"/>
      <c r="CG85" s="327"/>
      <c r="CH85" s="327"/>
      <c r="CI85" s="327"/>
      <c r="CJ85" s="327"/>
      <c r="CK85" s="327"/>
      <c r="CL85" s="327"/>
      <c r="CM85" s="327"/>
      <c r="CN85" s="327"/>
      <c r="CO85" s="327"/>
      <c r="CP85" s="327"/>
      <c r="CQ85" s="327"/>
      <c r="CR85" s="327"/>
      <c r="CS85" s="327"/>
      <c r="CT85" s="327"/>
      <c r="CU85" s="327"/>
      <c r="CV85" s="327"/>
      <c r="CW85" s="327"/>
      <c r="CX85" s="327"/>
      <c r="CY85" s="327"/>
      <c r="CZ85" s="327"/>
      <c r="DA85" s="327"/>
      <c r="DB85" s="327"/>
      <c r="DC85" s="327"/>
      <c r="DD85" s="327"/>
      <c r="DE85" s="327"/>
      <c r="DF85" s="327"/>
      <c r="DG85" s="327"/>
      <c r="DH85" s="327"/>
      <c r="DI85" s="327"/>
      <c r="DJ85" s="327"/>
      <c r="DK85" s="327"/>
      <c r="DL85" s="327"/>
      <c r="DM85" s="327"/>
      <c r="DN85" s="327"/>
      <c r="DO85" s="327"/>
      <c r="DP85" s="327"/>
      <c r="DQ85" s="327"/>
      <c r="DR85" s="327"/>
      <c r="DS85" s="327"/>
      <c r="DT85" s="327"/>
      <c r="DU85" s="327"/>
      <c r="DV85" s="327"/>
    </row>
    <row r="86" spans="1:126" s="1367" customFormat="1" ht="30" customHeight="1">
      <c r="A86" s="2493" t="s">
        <v>1289</v>
      </c>
      <c r="B86" s="2501" t="str">
        <f>'Equipment Results Matrix'!V442</f>
        <v>Workpaper measure</v>
      </c>
      <c r="C86" s="623" t="str">
        <f>'Equipment Results Matrix'!W442</f>
        <v>Baseline</v>
      </c>
      <c r="D86" s="1560" t="str">
        <f>'Equipment Results Matrix'!X442</f>
        <v>Title 20 code minimum, 48.7 W on-mode power, 1 W sleep mode power, assumed 197.5 in2 screen area</v>
      </c>
      <c r="E86" s="383" t="s">
        <v>2683</v>
      </c>
      <c r="F86" s="383" t="s">
        <v>2107</v>
      </c>
      <c r="G86" s="1540" t="s">
        <v>2201</v>
      </c>
      <c r="H86" s="1563">
        <f>'Equipment Results Matrix'!Y442</f>
        <v>94.421586771437205</v>
      </c>
      <c r="I86" s="1564"/>
      <c r="J86" s="1565"/>
      <c r="K86" s="1568" t="s">
        <v>15</v>
      </c>
      <c r="L86" s="1569" t="s">
        <v>15</v>
      </c>
      <c r="M86" s="1566">
        <f>'Equipment Results Matrix'!Y442</f>
        <v>94.421586771437205</v>
      </c>
      <c r="N86" s="1567" t="str">
        <f>'Equipment Results Matrix'!Z442</f>
        <v>-</v>
      </c>
      <c r="O86" s="1429"/>
      <c r="P86" s="1430"/>
      <c r="Q86" s="1430"/>
      <c r="R86" s="1430"/>
      <c r="S86" s="1430"/>
      <c r="T86" s="1430"/>
      <c r="U86" s="1430"/>
      <c r="V86" s="1679"/>
      <c r="W86" s="1366"/>
      <c r="X86" s="1366"/>
      <c r="Y86" s="1366"/>
      <c r="Z86" s="1366"/>
      <c r="AA86" s="1366"/>
      <c r="AB86" s="1366"/>
      <c r="AC86" s="1366"/>
      <c r="AD86" s="1366"/>
      <c r="AE86" s="1366"/>
      <c r="AF86" s="1366"/>
      <c r="AG86" s="1366"/>
      <c r="AH86" s="1366"/>
      <c r="AI86" s="1366"/>
      <c r="AJ86" s="1366"/>
      <c r="AK86" s="1366"/>
      <c r="AL86" s="1366"/>
      <c r="AM86" s="1366"/>
      <c r="AN86" s="1366"/>
      <c r="AO86" s="1366"/>
      <c r="AP86" s="1366"/>
      <c r="AQ86" s="1366"/>
      <c r="AR86" s="1366"/>
      <c r="AS86" s="1366"/>
      <c r="AT86" s="1366"/>
      <c r="AU86" s="1366"/>
      <c r="AV86" s="1366"/>
      <c r="AW86" s="1366"/>
      <c r="AX86" s="1366"/>
      <c r="AY86" s="1366"/>
      <c r="AZ86" s="1366"/>
      <c r="BA86" s="1366"/>
      <c r="BB86" s="1366"/>
      <c r="BC86" s="1366"/>
      <c r="BD86" s="1366"/>
      <c r="BE86" s="1366"/>
      <c r="BF86" s="1366"/>
      <c r="BG86" s="1366"/>
      <c r="BH86" s="1366"/>
      <c r="BI86" s="1366"/>
      <c r="BJ86" s="1366"/>
      <c r="BK86" s="1366"/>
      <c r="BL86" s="1366"/>
      <c r="BM86" s="1366"/>
      <c r="BN86" s="1366"/>
      <c r="BO86" s="1366"/>
      <c r="BP86" s="1366"/>
      <c r="BQ86" s="1366"/>
      <c r="BR86" s="1366"/>
      <c r="BS86" s="1366"/>
      <c r="BT86" s="1366"/>
      <c r="BU86" s="1366"/>
      <c r="BV86" s="1366"/>
      <c r="BW86" s="1366"/>
      <c r="BX86" s="1366"/>
      <c r="BY86" s="1366"/>
      <c r="BZ86" s="1366"/>
      <c r="CA86" s="1366"/>
      <c r="CB86" s="1366"/>
      <c r="CC86" s="1366"/>
      <c r="CD86" s="1366"/>
      <c r="CE86" s="1366"/>
      <c r="CF86" s="1366"/>
      <c r="CG86" s="1366"/>
      <c r="CH86" s="1366"/>
      <c r="CI86" s="1366"/>
      <c r="CJ86" s="1366"/>
      <c r="CK86" s="1366"/>
      <c r="CL86" s="1366"/>
      <c r="CM86" s="1366"/>
      <c r="CN86" s="1366"/>
      <c r="CO86" s="1366"/>
      <c r="CP86" s="1366"/>
      <c r="CQ86" s="1366"/>
      <c r="CR86" s="1366"/>
      <c r="CS86" s="1366"/>
      <c r="CT86" s="1366"/>
      <c r="CU86" s="1366"/>
      <c r="CV86" s="1366"/>
      <c r="CW86" s="1366"/>
      <c r="CX86" s="1366"/>
      <c r="CY86" s="1366"/>
      <c r="CZ86" s="1366"/>
      <c r="DA86" s="1366"/>
      <c r="DB86" s="1366"/>
      <c r="DC86" s="1366"/>
      <c r="DD86" s="1366"/>
      <c r="DE86" s="1366"/>
      <c r="DF86" s="1366"/>
      <c r="DG86" s="1366"/>
      <c r="DH86" s="1366"/>
      <c r="DI86" s="1366"/>
      <c r="DJ86" s="1366"/>
      <c r="DK86" s="1366"/>
      <c r="DL86" s="1366"/>
      <c r="DM86" s="1366"/>
      <c r="DN86" s="1366"/>
      <c r="DO86" s="1366"/>
      <c r="DP86" s="1366"/>
      <c r="DQ86" s="1366"/>
      <c r="DR86" s="1366"/>
      <c r="DS86" s="1366"/>
      <c r="DT86" s="1366"/>
      <c r="DU86" s="1366"/>
      <c r="DV86" s="1366"/>
    </row>
    <row r="87" spans="1:126" s="1367" customFormat="1" ht="30">
      <c r="A87" s="2494"/>
      <c r="B87" s="2502"/>
      <c r="C87" s="1642" t="str">
        <f>'Equipment Results Matrix'!W443</f>
        <v>Measure</v>
      </c>
      <c r="D87" s="1375" t="str">
        <f>'Equipment Results Matrix'!X443</f>
        <v>Energy Star 5.1 + 20%, 24.5 W on-mode power, assumed 1 W sleep mode power, 197.5 in2 screen area</v>
      </c>
      <c r="E87" s="1364" t="s">
        <v>2683</v>
      </c>
      <c r="F87" s="1364" t="s">
        <v>2107</v>
      </c>
      <c r="G87" s="1543" t="s">
        <v>2201</v>
      </c>
      <c r="H87" s="1361">
        <f>'Equipment Results Matrix'!Y443</f>
        <v>107.6932588114372</v>
      </c>
      <c r="I87" s="1371"/>
      <c r="J87" s="1417"/>
      <c r="K87" s="1401" t="s">
        <v>15</v>
      </c>
      <c r="L87" s="1526" t="s">
        <v>15</v>
      </c>
      <c r="M87" s="1372">
        <f>'Equipment Results Matrix'!Y443</f>
        <v>107.6932588114372</v>
      </c>
      <c r="N87" s="1458">
        <f>'Equipment Results Matrix'!Z443</f>
        <v>13.271672039999999</v>
      </c>
      <c r="O87" s="1429"/>
      <c r="P87" s="1430"/>
      <c r="Q87" s="1430"/>
      <c r="R87" s="1430"/>
      <c r="S87" s="1430"/>
      <c r="T87" s="1430"/>
      <c r="U87" s="1430"/>
      <c r="V87" s="1679"/>
      <c r="W87" s="1366"/>
      <c r="X87" s="1366"/>
      <c r="Y87" s="1366"/>
      <c r="Z87" s="1366"/>
      <c r="AA87" s="1366"/>
      <c r="AB87" s="1366"/>
      <c r="AC87" s="1366"/>
      <c r="AD87" s="1366"/>
      <c r="AE87" s="1366"/>
      <c r="AF87" s="1366"/>
      <c r="AG87" s="1366"/>
      <c r="AH87" s="1366"/>
      <c r="AI87" s="1366"/>
      <c r="AJ87" s="1366"/>
      <c r="AK87" s="1366"/>
      <c r="AL87" s="1366"/>
      <c r="AM87" s="1366"/>
      <c r="AN87" s="1366"/>
      <c r="AO87" s="1366"/>
      <c r="AP87" s="1366"/>
      <c r="AQ87" s="1366"/>
      <c r="AR87" s="1366"/>
      <c r="AS87" s="1366"/>
      <c r="AT87" s="1366"/>
      <c r="AU87" s="1366"/>
      <c r="AV87" s="1366"/>
      <c r="AW87" s="1366"/>
      <c r="AX87" s="1366"/>
      <c r="AY87" s="1366"/>
      <c r="AZ87" s="1366"/>
      <c r="BA87" s="1366"/>
      <c r="BB87" s="1366"/>
      <c r="BC87" s="1366"/>
      <c r="BD87" s="1366"/>
      <c r="BE87" s="1366"/>
      <c r="BF87" s="1366"/>
      <c r="BG87" s="1366"/>
      <c r="BH87" s="1366"/>
      <c r="BI87" s="1366"/>
      <c r="BJ87" s="1366"/>
      <c r="BK87" s="1366"/>
      <c r="BL87" s="1366"/>
      <c r="BM87" s="1366"/>
      <c r="BN87" s="1366"/>
      <c r="BO87" s="1366"/>
      <c r="BP87" s="1366"/>
      <c r="BQ87" s="1366"/>
      <c r="BR87" s="1366"/>
      <c r="BS87" s="1366"/>
      <c r="BT87" s="1366"/>
      <c r="BU87" s="1366"/>
      <c r="BV87" s="1366"/>
      <c r="BW87" s="1366"/>
      <c r="BX87" s="1366"/>
      <c r="BY87" s="1366"/>
      <c r="BZ87" s="1366"/>
      <c r="CA87" s="1366"/>
      <c r="CB87" s="1366"/>
      <c r="CC87" s="1366"/>
      <c r="CD87" s="1366"/>
      <c r="CE87" s="1366"/>
      <c r="CF87" s="1366"/>
      <c r="CG87" s="1366"/>
      <c r="CH87" s="1366"/>
      <c r="CI87" s="1366"/>
      <c r="CJ87" s="1366"/>
      <c r="CK87" s="1366"/>
      <c r="CL87" s="1366"/>
      <c r="CM87" s="1366"/>
      <c r="CN87" s="1366"/>
      <c r="CO87" s="1366"/>
      <c r="CP87" s="1366"/>
      <c r="CQ87" s="1366"/>
      <c r="CR87" s="1366"/>
      <c r="CS87" s="1366"/>
      <c r="CT87" s="1366"/>
      <c r="CU87" s="1366"/>
      <c r="CV87" s="1366"/>
      <c r="CW87" s="1366"/>
      <c r="CX87" s="1366"/>
      <c r="CY87" s="1366"/>
      <c r="CZ87" s="1366"/>
      <c r="DA87" s="1366"/>
      <c r="DB87" s="1366"/>
      <c r="DC87" s="1366"/>
      <c r="DD87" s="1366"/>
      <c r="DE87" s="1366"/>
      <c r="DF87" s="1366"/>
      <c r="DG87" s="1366"/>
      <c r="DH87" s="1366"/>
      <c r="DI87" s="1366"/>
      <c r="DJ87" s="1366"/>
      <c r="DK87" s="1366"/>
      <c r="DL87" s="1366"/>
      <c r="DM87" s="1366"/>
      <c r="DN87" s="1366"/>
      <c r="DO87" s="1366"/>
      <c r="DP87" s="1366"/>
      <c r="DQ87" s="1366"/>
      <c r="DR87" s="1366"/>
      <c r="DS87" s="1366"/>
      <c r="DT87" s="1366"/>
      <c r="DU87" s="1366"/>
      <c r="DV87" s="1366"/>
    </row>
    <row r="88" spans="1:126" s="1367" customFormat="1" ht="30.75" thickBot="1">
      <c r="A88" s="2495"/>
      <c r="B88" s="2502"/>
      <c r="C88" s="1561" t="str">
        <f>'Equipment Results Matrix'!W444</f>
        <v>Measure</v>
      </c>
      <c r="D88" s="1562" t="str">
        <f>'Equipment Results Matrix'!X444</f>
        <v>Energy Star 5.1 + 35%, 19.9 W on-mode power, assumed 1 W sleep mode power, 425 in2 screen area</v>
      </c>
      <c r="E88" s="1546" t="s">
        <v>2683</v>
      </c>
      <c r="F88" s="1546" t="s">
        <v>2107</v>
      </c>
      <c r="G88" s="1547" t="s">
        <v>2201</v>
      </c>
      <c r="H88" s="1552">
        <f>'Equipment Results Matrix'!Y444</f>
        <v>110.2159733314372</v>
      </c>
      <c r="I88" s="1553"/>
      <c r="J88" s="1554"/>
      <c r="K88" s="1573" t="s">
        <v>15</v>
      </c>
      <c r="L88" s="1574" t="s">
        <v>15</v>
      </c>
      <c r="M88" s="1555">
        <f>'Equipment Results Matrix'!Y444</f>
        <v>110.2159733314372</v>
      </c>
      <c r="N88" s="1559">
        <f>'Equipment Results Matrix'!Z444</f>
        <v>15.794386559999992</v>
      </c>
      <c r="O88" s="1429"/>
      <c r="P88" s="1430"/>
      <c r="Q88" s="1430"/>
      <c r="R88" s="1430"/>
      <c r="S88" s="1430"/>
      <c r="T88" s="1430"/>
      <c r="U88" s="1430"/>
      <c r="V88" s="1679"/>
      <c r="W88" s="1366"/>
      <c r="X88" s="1366"/>
      <c r="Y88" s="1366"/>
      <c r="Z88" s="1366"/>
      <c r="AA88" s="1366"/>
      <c r="AB88" s="1366"/>
      <c r="AC88" s="1366"/>
      <c r="AD88" s="1366"/>
      <c r="AE88" s="1366"/>
      <c r="AF88" s="1366"/>
      <c r="AG88" s="1366"/>
      <c r="AH88" s="1366"/>
      <c r="AI88" s="1366"/>
      <c r="AJ88" s="1366"/>
      <c r="AK88" s="1366"/>
      <c r="AL88" s="1366"/>
      <c r="AM88" s="1366"/>
      <c r="AN88" s="1366"/>
      <c r="AO88" s="1366"/>
      <c r="AP88" s="1366"/>
      <c r="AQ88" s="1366"/>
      <c r="AR88" s="1366"/>
      <c r="AS88" s="1366"/>
      <c r="AT88" s="1366"/>
      <c r="AU88" s="1366"/>
      <c r="AV88" s="1366"/>
      <c r="AW88" s="1366"/>
      <c r="AX88" s="1366"/>
      <c r="AY88" s="1366"/>
      <c r="AZ88" s="1366"/>
      <c r="BA88" s="1366"/>
      <c r="BB88" s="1366"/>
      <c r="BC88" s="1366"/>
      <c r="BD88" s="1366"/>
      <c r="BE88" s="1366"/>
      <c r="BF88" s="1366"/>
      <c r="BG88" s="1366"/>
      <c r="BH88" s="1366"/>
      <c r="BI88" s="1366"/>
      <c r="BJ88" s="1366"/>
      <c r="BK88" s="1366"/>
      <c r="BL88" s="1366"/>
      <c r="BM88" s="1366"/>
      <c r="BN88" s="1366"/>
      <c r="BO88" s="1366"/>
      <c r="BP88" s="1366"/>
      <c r="BQ88" s="1366"/>
      <c r="BR88" s="1366"/>
      <c r="BS88" s="1366"/>
      <c r="BT88" s="1366"/>
      <c r="BU88" s="1366"/>
      <c r="BV88" s="1366"/>
      <c r="BW88" s="1366"/>
      <c r="BX88" s="1366"/>
      <c r="BY88" s="1366"/>
      <c r="BZ88" s="1366"/>
      <c r="CA88" s="1366"/>
      <c r="CB88" s="1366"/>
      <c r="CC88" s="1366"/>
      <c r="CD88" s="1366"/>
      <c r="CE88" s="1366"/>
      <c r="CF88" s="1366"/>
      <c r="CG88" s="1366"/>
      <c r="CH88" s="1366"/>
      <c r="CI88" s="1366"/>
      <c r="CJ88" s="1366"/>
      <c r="CK88" s="1366"/>
      <c r="CL88" s="1366"/>
      <c r="CM88" s="1366"/>
      <c r="CN88" s="1366"/>
      <c r="CO88" s="1366"/>
      <c r="CP88" s="1366"/>
      <c r="CQ88" s="1366"/>
      <c r="CR88" s="1366"/>
      <c r="CS88" s="1366"/>
      <c r="CT88" s="1366"/>
      <c r="CU88" s="1366"/>
      <c r="CV88" s="1366"/>
      <c r="CW88" s="1366"/>
      <c r="CX88" s="1366"/>
      <c r="CY88" s="1366"/>
      <c r="CZ88" s="1366"/>
      <c r="DA88" s="1366"/>
      <c r="DB88" s="1366"/>
      <c r="DC88" s="1366"/>
      <c r="DD88" s="1366"/>
      <c r="DE88" s="1366"/>
      <c r="DF88" s="1366"/>
      <c r="DG88" s="1366"/>
      <c r="DH88" s="1366"/>
      <c r="DI88" s="1366"/>
      <c r="DJ88" s="1366"/>
      <c r="DK88" s="1366"/>
      <c r="DL88" s="1366"/>
      <c r="DM88" s="1366"/>
      <c r="DN88" s="1366"/>
      <c r="DO88" s="1366"/>
      <c r="DP88" s="1366"/>
      <c r="DQ88" s="1366"/>
      <c r="DR88" s="1366"/>
      <c r="DS88" s="1366"/>
      <c r="DT88" s="1366"/>
      <c r="DU88" s="1366"/>
      <c r="DV88" s="1366"/>
    </row>
    <row r="89" spans="1:126" s="1479" customFormat="1" ht="19.5" thickBot="1">
      <c r="A89" s="695"/>
      <c r="B89" s="1655"/>
      <c r="C89" s="1655"/>
      <c r="D89" s="683"/>
      <c r="E89" s="683"/>
      <c r="F89" s="683"/>
      <c r="G89" s="683"/>
      <c r="H89" s="1413"/>
      <c r="I89" s="1443"/>
      <c r="J89" s="1414"/>
      <c r="K89" s="1413"/>
      <c r="L89" s="1529"/>
      <c r="M89" s="1413"/>
      <c r="N89" s="1489"/>
      <c r="O89" s="1413"/>
      <c r="P89" s="1414"/>
      <c r="Q89" s="1414"/>
      <c r="R89" s="1443"/>
      <c r="S89" s="1443"/>
      <c r="T89" s="1488"/>
      <c r="U89" s="1488"/>
      <c r="V89" s="1489"/>
      <c r="W89" s="1490"/>
      <c r="X89" s="1490"/>
      <c r="Y89" s="327"/>
      <c r="Z89" s="327"/>
      <c r="AA89" s="327"/>
      <c r="AB89" s="1490"/>
      <c r="AC89" s="1490"/>
      <c r="AD89" s="1490"/>
      <c r="AE89" s="1490"/>
      <c r="AF89" s="327"/>
      <c r="AG89" s="327"/>
      <c r="AH89" s="327"/>
      <c r="AI89" s="327"/>
      <c r="AJ89" s="327"/>
      <c r="AK89" s="1478"/>
      <c r="AL89" s="1478"/>
      <c r="AM89" s="1478"/>
      <c r="AN89" s="1478"/>
      <c r="AO89" s="1478"/>
      <c r="AP89" s="1478"/>
      <c r="AQ89" s="1478"/>
      <c r="AR89" s="1478"/>
      <c r="AS89" s="1478"/>
      <c r="AT89" s="1478"/>
      <c r="AU89" s="1478"/>
      <c r="AV89" s="1478"/>
      <c r="AW89" s="1478"/>
      <c r="AX89" s="1478"/>
      <c r="AY89" s="1478"/>
      <c r="AZ89" s="1478"/>
      <c r="BA89" s="1478"/>
      <c r="BB89" s="1478"/>
      <c r="BC89" s="1478"/>
      <c r="BD89" s="1478"/>
      <c r="BE89" s="1478"/>
      <c r="BF89" s="1478"/>
      <c r="BG89" s="1478"/>
      <c r="BH89" s="1478"/>
      <c r="BI89" s="1478"/>
      <c r="BJ89" s="1478"/>
      <c r="BK89" s="327"/>
      <c r="BL89" s="327"/>
      <c r="BM89" s="327"/>
      <c r="BN89" s="327"/>
      <c r="BO89" s="327"/>
      <c r="BP89" s="327"/>
      <c r="BQ89" s="327"/>
      <c r="BR89" s="327"/>
      <c r="BS89" s="327"/>
      <c r="BT89" s="327"/>
      <c r="BU89" s="327"/>
      <c r="BV89" s="327"/>
      <c r="BW89" s="327"/>
      <c r="BX89" s="327"/>
      <c r="BY89" s="327"/>
      <c r="BZ89" s="327"/>
      <c r="CA89" s="327"/>
      <c r="CB89" s="327"/>
      <c r="CC89" s="327"/>
      <c r="CD89" s="327"/>
      <c r="CE89" s="327"/>
      <c r="CF89" s="327"/>
      <c r="CG89" s="327"/>
      <c r="CH89" s="327"/>
      <c r="CI89" s="327"/>
      <c r="CJ89" s="327"/>
      <c r="CK89" s="327"/>
      <c r="CL89" s="327"/>
      <c r="CM89" s="327"/>
      <c r="CN89" s="327"/>
      <c r="CO89" s="327"/>
      <c r="CP89" s="327"/>
      <c r="CQ89" s="327"/>
      <c r="CR89" s="327"/>
      <c r="CS89" s="327"/>
      <c r="CT89" s="327"/>
      <c r="CU89" s="327"/>
      <c r="CV89" s="327"/>
      <c r="CW89" s="327"/>
      <c r="CX89" s="327"/>
      <c r="CY89" s="327"/>
      <c r="CZ89" s="327"/>
      <c r="DA89" s="327"/>
      <c r="DB89" s="327"/>
      <c r="DC89" s="327"/>
      <c r="DD89" s="327"/>
      <c r="DE89" s="327"/>
      <c r="DF89" s="327"/>
      <c r="DG89" s="327"/>
      <c r="DH89" s="327"/>
      <c r="DI89" s="327"/>
      <c r="DJ89" s="327"/>
      <c r="DK89" s="327"/>
      <c r="DL89" s="327"/>
      <c r="DM89" s="327"/>
      <c r="DN89" s="327"/>
      <c r="DO89" s="327"/>
      <c r="DP89" s="327"/>
      <c r="DQ89" s="327"/>
      <c r="DR89" s="327"/>
      <c r="DS89" s="327"/>
      <c r="DT89" s="327"/>
      <c r="DU89" s="327"/>
      <c r="DV89" s="327"/>
    </row>
    <row r="90" spans="1:126" s="1367" customFormat="1" ht="30" customHeight="1">
      <c r="A90" s="2493" t="s">
        <v>1290</v>
      </c>
      <c r="B90" s="2501" t="str">
        <f>'Equipment Results Matrix'!V470</f>
        <v>Workpaper measure</v>
      </c>
      <c r="C90" s="623" t="str">
        <f>'Equipment Results Matrix'!W470</f>
        <v>Baseline</v>
      </c>
      <c r="D90" s="1560" t="str">
        <f>'Equipment Results Matrix'!X470</f>
        <v>Title 20 code minimum, 42.7 W on-mode power, 1 W sleep mode power, assumed 147 in2 screen area</v>
      </c>
      <c r="E90" s="383" t="s">
        <v>2683</v>
      </c>
      <c r="F90" s="383" t="s">
        <v>2107</v>
      </c>
      <c r="G90" s="1540" t="s">
        <v>2201</v>
      </c>
      <c r="H90" s="1563">
        <f>'Equipment Results Matrix'!Y470</f>
        <v>183.09753995142026</v>
      </c>
      <c r="I90" s="1564"/>
      <c r="J90" s="1565"/>
      <c r="K90" s="1568" t="s">
        <v>15</v>
      </c>
      <c r="L90" s="1569" t="s">
        <v>15</v>
      </c>
      <c r="M90" s="1566">
        <f>'Equipment Results Matrix'!Y470</f>
        <v>183.09753995142026</v>
      </c>
      <c r="N90" s="1567" t="str">
        <f>'Equipment Results Matrix'!Z470</f>
        <v>-</v>
      </c>
      <c r="O90" s="1429"/>
      <c r="P90" s="1430"/>
      <c r="Q90" s="1430"/>
      <c r="R90" s="1430"/>
      <c r="S90" s="1430"/>
      <c r="T90" s="1430"/>
      <c r="U90" s="1430"/>
      <c r="V90" s="1679"/>
      <c r="W90" s="1366"/>
      <c r="X90" s="1366"/>
      <c r="Y90" s="1366"/>
      <c r="Z90" s="1366"/>
      <c r="AA90" s="1366"/>
      <c r="AB90" s="1366"/>
      <c r="AC90" s="1366"/>
      <c r="AD90" s="1366"/>
      <c r="AE90" s="1366"/>
      <c r="AF90" s="1366"/>
      <c r="AG90" s="1366"/>
      <c r="AH90" s="1366"/>
      <c r="AI90" s="1366"/>
      <c r="AJ90" s="1366"/>
      <c r="AK90" s="1366"/>
      <c r="AL90" s="1366"/>
      <c r="AM90" s="1366"/>
      <c r="AN90" s="1366"/>
      <c r="AO90" s="1366"/>
      <c r="AP90" s="1366"/>
      <c r="AQ90" s="1366"/>
      <c r="AR90" s="1366"/>
      <c r="AS90" s="1366"/>
      <c r="AT90" s="1366"/>
      <c r="AU90" s="1366"/>
      <c r="AV90" s="1366"/>
      <c r="AW90" s="1366"/>
      <c r="AX90" s="1366"/>
      <c r="AY90" s="1366"/>
      <c r="AZ90" s="1366"/>
      <c r="BA90" s="1366"/>
      <c r="BB90" s="1366"/>
      <c r="BC90" s="1366"/>
      <c r="BD90" s="1366"/>
      <c r="BE90" s="1366"/>
      <c r="BF90" s="1366"/>
      <c r="BG90" s="1366"/>
      <c r="BH90" s="1366"/>
      <c r="BI90" s="1366"/>
      <c r="BJ90" s="1366"/>
      <c r="BK90" s="1366"/>
      <c r="BL90" s="1366"/>
      <c r="BM90" s="1366"/>
      <c r="BN90" s="1366"/>
      <c r="BO90" s="1366"/>
      <c r="BP90" s="1366"/>
      <c r="BQ90" s="1366"/>
      <c r="BR90" s="1366"/>
      <c r="BS90" s="1366"/>
      <c r="BT90" s="1366"/>
      <c r="BU90" s="1366"/>
      <c r="BV90" s="1366"/>
      <c r="BW90" s="1366"/>
      <c r="BX90" s="1366"/>
      <c r="BY90" s="1366"/>
      <c r="BZ90" s="1366"/>
      <c r="CA90" s="1366"/>
      <c r="CB90" s="1366"/>
      <c r="CC90" s="1366"/>
      <c r="CD90" s="1366"/>
      <c r="CE90" s="1366"/>
      <c r="CF90" s="1366"/>
      <c r="CG90" s="1366"/>
      <c r="CH90" s="1366"/>
      <c r="CI90" s="1366"/>
      <c r="CJ90" s="1366"/>
      <c r="CK90" s="1366"/>
      <c r="CL90" s="1366"/>
      <c r="CM90" s="1366"/>
      <c r="CN90" s="1366"/>
      <c r="CO90" s="1366"/>
      <c r="CP90" s="1366"/>
      <c r="CQ90" s="1366"/>
      <c r="CR90" s="1366"/>
      <c r="CS90" s="1366"/>
      <c r="CT90" s="1366"/>
      <c r="CU90" s="1366"/>
      <c r="CV90" s="1366"/>
      <c r="CW90" s="1366"/>
      <c r="CX90" s="1366"/>
      <c r="CY90" s="1366"/>
      <c r="CZ90" s="1366"/>
      <c r="DA90" s="1366"/>
      <c r="DB90" s="1366"/>
      <c r="DC90" s="1366"/>
      <c r="DD90" s="1366"/>
      <c r="DE90" s="1366"/>
      <c r="DF90" s="1366"/>
      <c r="DG90" s="1366"/>
      <c r="DH90" s="1366"/>
      <c r="DI90" s="1366"/>
      <c r="DJ90" s="1366"/>
      <c r="DK90" s="1366"/>
      <c r="DL90" s="1366"/>
      <c r="DM90" s="1366"/>
      <c r="DN90" s="1366"/>
      <c r="DO90" s="1366"/>
      <c r="DP90" s="1366"/>
      <c r="DQ90" s="1366"/>
      <c r="DR90" s="1366"/>
      <c r="DS90" s="1366"/>
      <c r="DT90" s="1366"/>
      <c r="DU90" s="1366"/>
      <c r="DV90" s="1366"/>
    </row>
    <row r="91" spans="1:126" s="1367" customFormat="1" ht="30" customHeight="1">
      <c r="A91" s="2494"/>
      <c r="B91" s="2502"/>
      <c r="C91" s="1642" t="str">
        <f>'Equipment Results Matrix'!W471</f>
        <v>Measure</v>
      </c>
      <c r="D91" s="1375" t="str">
        <f>'Equipment Results Matrix'!X471</f>
        <v>Energy Star 5.1 + 20%, 19.3 W on-mode power, assumed 1 W sleep mode power, 147 in2 screen area</v>
      </c>
      <c r="E91" s="1364" t="s">
        <v>2683</v>
      </c>
      <c r="F91" s="1364" t="s">
        <v>2107</v>
      </c>
      <c r="G91" s="1543" t="s">
        <v>2201</v>
      </c>
      <c r="H91" s="1361">
        <f>'Equipment Results Matrix'!Y471</f>
        <v>134.06327753142028</v>
      </c>
      <c r="I91" s="1371"/>
      <c r="J91" s="1417"/>
      <c r="K91" s="1401" t="s">
        <v>15</v>
      </c>
      <c r="L91" s="1526" t="s">
        <v>15</v>
      </c>
      <c r="M91" s="1372">
        <f>'Equipment Results Matrix'!Y471</f>
        <v>134.06327753142028</v>
      </c>
      <c r="N91" s="1458">
        <f>'Equipment Results Matrix'!Z471</f>
        <v>-49.034262419999976</v>
      </c>
      <c r="O91" s="1429"/>
      <c r="P91" s="1430"/>
      <c r="Q91" s="1430"/>
      <c r="R91" s="1430"/>
      <c r="S91" s="1430"/>
      <c r="T91" s="1430"/>
      <c r="U91" s="1430"/>
      <c r="V91" s="1679"/>
      <c r="W91" s="1366"/>
      <c r="X91" s="1366"/>
      <c r="Y91" s="1366"/>
      <c r="Z91" s="1366"/>
      <c r="AA91" s="1366"/>
      <c r="AB91" s="1366"/>
      <c r="AC91" s="1366"/>
      <c r="AD91" s="1366"/>
      <c r="AE91" s="1366"/>
      <c r="AF91" s="1366"/>
      <c r="AG91" s="1366"/>
      <c r="AH91" s="1366"/>
      <c r="AI91" s="1366"/>
      <c r="AJ91" s="1366"/>
      <c r="AK91" s="1366"/>
      <c r="AL91" s="1366"/>
      <c r="AM91" s="1366"/>
      <c r="AN91" s="1366"/>
      <c r="AO91" s="1366"/>
      <c r="AP91" s="1366"/>
      <c r="AQ91" s="1366"/>
      <c r="AR91" s="1366"/>
      <c r="AS91" s="1366"/>
      <c r="AT91" s="1366"/>
      <c r="AU91" s="1366"/>
      <c r="AV91" s="1366"/>
      <c r="AW91" s="1366"/>
      <c r="AX91" s="1366"/>
      <c r="AY91" s="1366"/>
      <c r="AZ91" s="1366"/>
      <c r="BA91" s="1366"/>
      <c r="BB91" s="1366"/>
      <c r="BC91" s="1366"/>
      <c r="BD91" s="1366"/>
      <c r="BE91" s="1366"/>
      <c r="BF91" s="1366"/>
      <c r="BG91" s="1366"/>
      <c r="BH91" s="1366"/>
      <c r="BI91" s="1366"/>
      <c r="BJ91" s="1366"/>
      <c r="BK91" s="1366"/>
      <c r="BL91" s="1366"/>
      <c r="BM91" s="1366"/>
      <c r="BN91" s="1366"/>
      <c r="BO91" s="1366"/>
      <c r="BP91" s="1366"/>
      <c r="BQ91" s="1366"/>
      <c r="BR91" s="1366"/>
      <c r="BS91" s="1366"/>
      <c r="BT91" s="1366"/>
      <c r="BU91" s="1366"/>
      <c r="BV91" s="1366"/>
      <c r="BW91" s="1366"/>
      <c r="BX91" s="1366"/>
      <c r="BY91" s="1366"/>
      <c r="BZ91" s="1366"/>
      <c r="CA91" s="1366"/>
      <c r="CB91" s="1366"/>
      <c r="CC91" s="1366"/>
      <c r="CD91" s="1366"/>
      <c r="CE91" s="1366"/>
      <c r="CF91" s="1366"/>
      <c r="CG91" s="1366"/>
      <c r="CH91" s="1366"/>
      <c r="CI91" s="1366"/>
      <c r="CJ91" s="1366"/>
      <c r="CK91" s="1366"/>
      <c r="CL91" s="1366"/>
      <c r="CM91" s="1366"/>
      <c r="CN91" s="1366"/>
      <c r="CO91" s="1366"/>
      <c r="CP91" s="1366"/>
      <c r="CQ91" s="1366"/>
      <c r="CR91" s="1366"/>
      <c r="CS91" s="1366"/>
      <c r="CT91" s="1366"/>
      <c r="CU91" s="1366"/>
      <c r="CV91" s="1366"/>
      <c r="CW91" s="1366"/>
      <c r="CX91" s="1366"/>
      <c r="CY91" s="1366"/>
      <c r="CZ91" s="1366"/>
      <c r="DA91" s="1366"/>
      <c r="DB91" s="1366"/>
      <c r="DC91" s="1366"/>
      <c r="DD91" s="1366"/>
      <c r="DE91" s="1366"/>
      <c r="DF91" s="1366"/>
      <c r="DG91" s="1366"/>
      <c r="DH91" s="1366"/>
      <c r="DI91" s="1366"/>
      <c r="DJ91" s="1366"/>
      <c r="DK91" s="1366"/>
      <c r="DL91" s="1366"/>
      <c r="DM91" s="1366"/>
      <c r="DN91" s="1366"/>
      <c r="DO91" s="1366"/>
      <c r="DP91" s="1366"/>
      <c r="DQ91" s="1366"/>
      <c r="DR91" s="1366"/>
      <c r="DS91" s="1366"/>
      <c r="DT91" s="1366"/>
      <c r="DU91" s="1366"/>
      <c r="DV91" s="1366"/>
    </row>
    <row r="92" spans="1:126" s="1367" customFormat="1" ht="30" customHeight="1" thickBot="1">
      <c r="A92" s="2495"/>
      <c r="B92" s="2502"/>
      <c r="C92" s="1561" t="str">
        <f>'Equipment Results Matrix'!W472</f>
        <v>Measure</v>
      </c>
      <c r="D92" s="1562" t="str">
        <f>'Equipment Results Matrix'!X472</f>
        <v>Energy Star 5.1 + 35%, 15.7 W on-mode power, assumed 1 W sleep mode power, 147 in2 screen area</v>
      </c>
      <c r="E92" s="1546" t="s">
        <v>2683</v>
      </c>
      <c r="F92" s="1546" t="s">
        <v>2107</v>
      </c>
      <c r="G92" s="1547" t="s">
        <v>2201</v>
      </c>
      <c r="H92" s="1552">
        <f>'Equipment Results Matrix'!Y472</f>
        <v>126.51954485142028</v>
      </c>
      <c r="I92" s="1553"/>
      <c r="J92" s="1554"/>
      <c r="K92" s="1573" t="s">
        <v>15</v>
      </c>
      <c r="L92" s="1574" t="s">
        <v>15</v>
      </c>
      <c r="M92" s="1555">
        <f>'Equipment Results Matrix'!Y472</f>
        <v>126.51954485142028</v>
      </c>
      <c r="N92" s="1559">
        <f>'Equipment Results Matrix'!Z472</f>
        <v>-56.577995099999981</v>
      </c>
      <c r="O92" s="1429"/>
      <c r="P92" s="1430"/>
      <c r="Q92" s="1430"/>
      <c r="R92" s="1430"/>
      <c r="S92" s="1430"/>
      <c r="T92" s="1430"/>
      <c r="U92" s="1430"/>
      <c r="V92" s="1679"/>
      <c r="W92" s="1366"/>
      <c r="X92" s="1366"/>
      <c r="Y92" s="1366"/>
      <c r="Z92" s="1366"/>
      <c r="AA92" s="1366"/>
      <c r="AB92" s="1366"/>
      <c r="AC92" s="1366"/>
      <c r="AD92" s="1366"/>
      <c r="AE92" s="1366"/>
      <c r="AF92" s="1366"/>
      <c r="AG92" s="1366"/>
      <c r="AH92" s="1366"/>
      <c r="AI92" s="1366"/>
      <c r="AJ92" s="1366"/>
      <c r="AK92" s="1366"/>
      <c r="AL92" s="1366"/>
      <c r="AM92" s="1366"/>
      <c r="AN92" s="1366"/>
      <c r="AO92" s="1366"/>
      <c r="AP92" s="1366"/>
      <c r="AQ92" s="1366"/>
      <c r="AR92" s="1366"/>
      <c r="AS92" s="1366"/>
      <c r="AT92" s="1366"/>
      <c r="AU92" s="1366"/>
      <c r="AV92" s="1366"/>
      <c r="AW92" s="1366"/>
      <c r="AX92" s="1366"/>
      <c r="AY92" s="1366"/>
      <c r="AZ92" s="1366"/>
      <c r="BA92" s="1366"/>
      <c r="BB92" s="1366"/>
      <c r="BC92" s="1366"/>
      <c r="BD92" s="1366"/>
      <c r="BE92" s="1366"/>
      <c r="BF92" s="1366"/>
      <c r="BG92" s="1366"/>
      <c r="BH92" s="1366"/>
      <c r="BI92" s="1366"/>
      <c r="BJ92" s="1366"/>
      <c r="BK92" s="1366"/>
      <c r="BL92" s="1366"/>
      <c r="BM92" s="1366"/>
      <c r="BN92" s="1366"/>
      <c r="BO92" s="1366"/>
      <c r="BP92" s="1366"/>
      <c r="BQ92" s="1366"/>
      <c r="BR92" s="1366"/>
      <c r="BS92" s="1366"/>
      <c r="BT92" s="1366"/>
      <c r="BU92" s="1366"/>
      <c r="BV92" s="1366"/>
      <c r="BW92" s="1366"/>
      <c r="BX92" s="1366"/>
      <c r="BY92" s="1366"/>
      <c r="BZ92" s="1366"/>
      <c r="CA92" s="1366"/>
      <c r="CB92" s="1366"/>
      <c r="CC92" s="1366"/>
      <c r="CD92" s="1366"/>
      <c r="CE92" s="1366"/>
      <c r="CF92" s="1366"/>
      <c r="CG92" s="1366"/>
      <c r="CH92" s="1366"/>
      <c r="CI92" s="1366"/>
      <c r="CJ92" s="1366"/>
      <c r="CK92" s="1366"/>
      <c r="CL92" s="1366"/>
      <c r="CM92" s="1366"/>
      <c r="CN92" s="1366"/>
      <c r="CO92" s="1366"/>
      <c r="CP92" s="1366"/>
      <c r="CQ92" s="1366"/>
      <c r="CR92" s="1366"/>
      <c r="CS92" s="1366"/>
      <c r="CT92" s="1366"/>
      <c r="CU92" s="1366"/>
      <c r="CV92" s="1366"/>
      <c r="CW92" s="1366"/>
      <c r="CX92" s="1366"/>
      <c r="CY92" s="1366"/>
      <c r="CZ92" s="1366"/>
      <c r="DA92" s="1366"/>
      <c r="DB92" s="1366"/>
      <c r="DC92" s="1366"/>
      <c r="DD92" s="1366"/>
      <c r="DE92" s="1366"/>
      <c r="DF92" s="1366"/>
      <c r="DG92" s="1366"/>
      <c r="DH92" s="1366"/>
      <c r="DI92" s="1366"/>
      <c r="DJ92" s="1366"/>
      <c r="DK92" s="1366"/>
      <c r="DL92" s="1366"/>
      <c r="DM92" s="1366"/>
      <c r="DN92" s="1366"/>
      <c r="DO92" s="1366"/>
      <c r="DP92" s="1366"/>
      <c r="DQ92" s="1366"/>
      <c r="DR92" s="1366"/>
      <c r="DS92" s="1366"/>
      <c r="DT92" s="1366"/>
      <c r="DU92" s="1366"/>
      <c r="DV92" s="1366"/>
    </row>
    <row r="93" spans="1:126" s="1479" customFormat="1" ht="19.5" thickBot="1">
      <c r="A93" s="695"/>
      <c r="B93" s="1655"/>
      <c r="C93" s="1655"/>
      <c r="D93" s="683"/>
      <c r="E93" s="683"/>
      <c r="F93" s="683"/>
      <c r="G93" s="683"/>
      <c r="H93" s="1413"/>
      <c r="I93" s="1443"/>
      <c r="J93" s="1414"/>
      <c r="K93" s="1413"/>
      <c r="L93" s="1529"/>
      <c r="M93" s="1413"/>
      <c r="N93" s="1489"/>
      <c r="O93" s="1413"/>
      <c r="P93" s="1414"/>
      <c r="Q93" s="1414"/>
      <c r="R93" s="1443"/>
      <c r="S93" s="1443"/>
      <c r="T93" s="1488"/>
      <c r="U93" s="1488"/>
      <c r="V93" s="1489"/>
      <c r="W93" s="1490"/>
      <c r="X93" s="1490"/>
      <c r="Y93" s="327"/>
      <c r="Z93" s="327"/>
      <c r="AA93" s="327"/>
      <c r="AB93" s="1490"/>
      <c r="AC93" s="1490"/>
      <c r="AD93" s="1490"/>
      <c r="AE93" s="1490"/>
      <c r="AF93" s="327"/>
      <c r="AG93" s="327"/>
      <c r="AH93" s="327"/>
      <c r="AI93" s="327"/>
      <c r="AJ93" s="327"/>
      <c r="AK93" s="1478"/>
      <c r="AL93" s="1478"/>
      <c r="AM93" s="1478"/>
      <c r="AN93" s="1478"/>
      <c r="AO93" s="1478"/>
      <c r="AP93" s="1478"/>
      <c r="AQ93" s="1478"/>
      <c r="AR93" s="1478"/>
      <c r="AS93" s="1478"/>
      <c r="AT93" s="1478"/>
      <c r="AU93" s="1478"/>
      <c r="AV93" s="1478"/>
      <c r="AW93" s="1478"/>
      <c r="AX93" s="1478"/>
      <c r="AY93" s="1478"/>
      <c r="AZ93" s="1478"/>
      <c r="BA93" s="1478"/>
      <c r="BB93" s="1478"/>
      <c r="BC93" s="1478"/>
      <c r="BD93" s="1478"/>
      <c r="BE93" s="1478"/>
      <c r="BF93" s="1478"/>
      <c r="BG93" s="1478"/>
      <c r="BH93" s="1478"/>
      <c r="BI93" s="1478"/>
      <c r="BJ93" s="1478"/>
      <c r="BK93" s="327"/>
      <c r="BL93" s="327"/>
      <c r="BM93" s="327"/>
      <c r="BN93" s="327"/>
      <c r="BO93" s="327"/>
      <c r="BP93" s="327"/>
      <c r="BQ93" s="327"/>
      <c r="BR93" s="327"/>
      <c r="BS93" s="327"/>
      <c r="BT93" s="327"/>
      <c r="BU93" s="327"/>
      <c r="BV93" s="327"/>
      <c r="BW93" s="327"/>
      <c r="BX93" s="327"/>
      <c r="BY93" s="327"/>
      <c r="BZ93" s="327"/>
      <c r="CA93" s="327"/>
      <c r="CB93" s="327"/>
      <c r="CC93" s="327"/>
      <c r="CD93" s="327"/>
      <c r="CE93" s="327"/>
      <c r="CF93" s="327"/>
      <c r="CG93" s="327"/>
      <c r="CH93" s="327"/>
      <c r="CI93" s="327"/>
      <c r="CJ93" s="327"/>
      <c r="CK93" s="327"/>
      <c r="CL93" s="327"/>
      <c r="CM93" s="327"/>
      <c r="CN93" s="327"/>
      <c r="CO93" s="327"/>
      <c r="CP93" s="327"/>
      <c r="CQ93" s="327"/>
      <c r="CR93" s="327"/>
      <c r="CS93" s="327"/>
      <c r="CT93" s="327"/>
      <c r="CU93" s="327"/>
      <c r="CV93" s="327"/>
      <c r="CW93" s="327"/>
      <c r="CX93" s="327"/>
      <c r="CY93" s="327"/>
      <c r="CZ93" s="327"/>
      <c r="DA93" s="327"/>
      <c r="DB93" s="327"/>
      <c r="DC93" s="327"/>
      <c r="DD93" s="327"/>
      <c r="DE93" s="327"/>
      <c r="DF93" s="327"/>
      <c r="DG93" s="327"/>
      <c r="DH93" s="327"/>
      <c r="DI93" s="327"/>
      <c r="DJ93" s="327"/>
      <c r="DK93" s="327"/>
      <c r="DL93" s="327"/>
      <c r="DM93" s="327"/>
      <c r="DN93" s="327"/>
      <c r="DO93" s="327"/>
      <c r="DP93" s="327"/>
      <c r="DQ93" s="327"/>
      <c r="DR93" s="327"/>
      <c r="DS93" s="327"/>
      <c r="DT93" s="327"/>
      <c r="DU93" s="327"/>
      <c r="DV93" s="327"/>
    </row>
    <row r="94" spans="1:126" s="1367" customFormat="1" ht="30" customHeight="1">
      <c r="A94" s="2493" t="s">
        <v>1276</v>
      </c>
      <c r="B94" s="2501" t="str">
        <f>'Equipment Results Matrix'!V495</f>
        <v>Workpaper measure</v>
      </c>
      <c r="C94" s="623" t="str">
        <f>'Equipment Results Matrix'!W495</f>
        <v>Baseline</v>
      </c>
      <c r="D94" s="1560" t="str">
        <f>'Equipment Results Matrix'!X495</f>
        <v>Title 20 code minimum, 146.7 W on-mode power, 1 W sleep mode power, assumed 1014 in2 screen area</v>
      </c>
      <c r="E94" s="383" t="s">
        <v>2683</v>
      </c>
      <c r="F94" s="383" t="s">
        <v>2107</v>
      </c>
      <c r="G94" s="1540" t="s">
        <v>2201</v>
      </c>
      <c r="H94" s="1563">
        <f>'Equipment Results Matrix'!Y495</f>
        <v>2571.1478735302585</v>
      </c>
      <c r="I94" s="1564"/>
      <c r="J94" s="1565"/>
      <c r="K94" s="1568" t="s">
        <v>15</v>
      </c>
      <c r="L94" s="1569" t="s">
        <v>15</v>
      </c>
      <c r="M94" s="1566">
        <f>'Equipment Results Matrix'!Y495</f>
        <v>2571.1478735302585</v>
      </c>
      <c r="N94" s="1567" t="str">
        <f>'Equipment Results Matrix'!Z495</f>
        <v>-</v>
      </c>
      <c r="O94" s="1429"/>
      <c r="P94" s="1430"/>
      <c r="Q94" s="1430"/>
      <c r="R94" s="1430"/>
      <c r="S94" s="1430"/>
      <c r="T94" s="1430"/>
      <c r="U94" s="1430"/>
      <c r="V94" s="1679"/>
      <c r="W94" s="1366"/>
      <c r="X94" s="1366"/>
      <c r="Y94" s="1366"/>
      <c r="Z94" s="1366"/>
      <c r="AA94" s="1366"/>
      <c r="AB94" s="1366"/>
      <c r="AC94" s="1366"/>
      <c r="AD94" s="1366"/>
      <c r="AE94" s="1366"/>
      <c r="AF94" s="1366"/>
      <c r="AG94" s="1366"/>
      <c r="AH94" s="1366"/>
      <c r="AI94" s="1366"/>
      <c r="AJ94" s="1366"/>
      <c r="AK94" s="1366"/>
      <c r="AL94" s="1366"/>
      <c r="AM94" s="1366"/>
      <c r="AN94" s="1366"/>
      <c r="AO94" s="1366"/>
      <c r="AP94" s="1366"/>
      <c r="AQ94" s="1366"/>
      <c r="AR94" s="1366"/>
      <c r="AS94" s="1366"/>
      <c r="AT94" s="1366"/>
      <c r="AU94" s="1366"/>
      <c r="AV94" s="1366"/>
      <c r="AW94" s="1366"/>
      <c r="AX94" s="1366"/>
      <c r="AY94" s="1366"/>
      <c r="AZ94" s="1366"/>
      <c r="BA94" s="1366"/>
      <c r="BB94" s="1366"/>
      <c r="BC94" s="1366"/>
      <c r="BD94" s="1366"/>
      <c r="BE94" s="1366"/>
      <c r="BF94" s="1366"/>
      <c r="BG94" s="1366"/>
      <c r="BH94" s="1366"/>
      <c r="BI94" s="1366"/>
      <c r="BJ94" s="1366"/>
      <c r="BK94" s="1366"/>
      <c r="BL94" s="1366"/>
      <c r="BM94" s="1366"/>
      <c r="BN94" s="1366"/>
      <c r="BO94" s="1366"/>
      <c r="BP94" s="1366"/>
      <c r="BQ94" s="1366"/>
      <c r="BR94" s="1366"/>
      <c r="BS94" s="1366"/>
      <c r="BT94" s="1366"/>
      <c r="BU94" s="1366"/>
      <c r="BV94" s="1366"/>
      <c r="BW94" s="1366"/>
      <c r="BX94" s="1366"/>
      <c r="BY94" s="1366"/>
      <c r="BZ94" s="1366"/>
      <c r="CA94" s="1366"/>
      <c r="CB94" s="1366"/>
      <c r="CC94" s="1366"/>
      <c r="CD94" s="1366"/>
      <c r="CE94" s="1366"/>
      <c r="CF94" s="1366"/>
      <c r="CG94" s="1366"/>
      <c r="CH94" s="1366"/>
      <c r="CI94" s="1366"/>
      <c r="CJ94" s="1366"/>
      <c r="CK94" s="1366"/>
      <c r="CL94" s="1366"/>
      <c r="CM94" s="1366"/>
      <c r="CN94" s="1366"/>
      <c r="CO94" s="1366"/>
      <c r="CP94" s="1366"/>
      <c r="CQ94" s="1366"/>
      <c r="CR94" s="1366"/>
      <c r="CS94" s="1366"/>
      <c r="CT94" s="1366"/>
      <c r="CU94" s="1366"/>
      <c r="CV94" s="1366"/>
      <c r="CW94" s="1366"/>
      <c r="CX94" s="1366"/>
      <c r="CY94" s="1366"/>
      <c r="CZ94" s="1366"/>
      <c r="DA94" s="1366"/>
      <c r="DB94" s="1366"/>
      <c r="DC94" s="1366"/>
      <c r="DD94" s="1366"/>
      <c r="DE94" s="1366"/>
      <c r="DF94" s="1366"/>
      <c r="DG94" s="1366"/>
      <c r="DH94" s="1366"/>
      <c r="DI94" s="1366"/>
      <c r="DJ94" s="1366"/>
      <c r="DK94" s="1366"/>
      <c r="DL94" s="1366"/>
      <c r="DM94" s="1366"/>
      <c r="DN94" s="1366"/>
      <c r="DO94" s="1366"/>
      <c r="DP94" s="1366"/>
      <c r="DQ94" s="1366"/>
      <c r="DR94" s="1366"/>
      <c r="DS94" s="1366"/>
      <c r="DT94" s="1366"/>
      <c r="DU94" s="1366"/>
      <c r="DV94" s="1366"/>
    </row>
    <row r="95" spans="1:126" s="1367" customFormat="1" ht="30">
      <c r="A95" s="2494"/>
      <c r="B95" s="2502"/>
      <c r="C95" s="1642" t="str">
        <f>'Equipment Results Matrix'!W496</f>
        <v>Measure</v>
      </c>
      <c r="D95" s="1375" t="str">
        <f>'Equipment Results Matrix'!X496</f>
        <v>Energy Star 5.1 + 20%, 82.5 W on-mode power, assumed 1 W sleep mode power, 868 in2 screen area</v>
      </c>
      <c r="E95" s="1364" t="s">
        <v>2683</v>
      </c>
      <c r="F95" s="1364" t="s">
        <v>2107</v>
      </c>
      <c r="G95" s="1543" t="s">
        <v>2201</v>
      </c>
      <c r="H95" s="1361">
        <f>'Equipment Results Matrix'!Y496</f>
        <v>948.94959233025838</v>
      </c>
      <c r="I95" s="1371"/>
      <c r="J95" s="1417"/>
      <c r="K95" s="1401" t="s">
        <v>15</v>
      </c>
      <c r="L95" s="1526" t="s">
        <v>15</v>
      </c>
      <c r="M95" s="1372">
        <f>'Equipment Results Matrix'!Y496</f>
        <v>948.94959233025838</v>
      </c>
      <c r="N95" s="1458">
        <f>'Equipment Results Matrix'!Z496</f>
        <v>-1622.1982812000001</v>
      </c>
      <c r="O95" s="1429"/>
      <c r="P95" s="1430"/>
      <c r="Q95" s="1430"/>
      <c r="R95" s="1430"/>
      <c r="S95" s="1430"/>
      <c r="T95" s="1430"/>
      <c r="U95" s="1430"/>
      <c r="V95" s="1679"/>
      <c r="W95" s="1366"/>
      <c r="X95" s="1366"/>
      <c r="Y95" s="1366"/>
      <c r="Z95" s="1366"/>
      <c r="AA95" s="1366"/>
      <c r="AB95" s="1366"/>
      <c r="AC95" s="1366"/>
      <c r="AD95" s="1366"/>
      <c r="AE95" s="1366"/>
      <c r="AF95" s="1366"/>
      <c r="AG95" s="1366"/>
      <c r="AH95" s="1366"/>
      <c r="AI95" s="1366"/>
      <c r="AJ95" s="1366"/>
      <c r="AK95" s="1366"/>
      <c r="AL95" s="1366"/>
      <c r="AM95" s="1366"/>
      <c r="AN95" s="1366"/>
      <c r="AO95" s="1366"/>
      <c r="AP95" s="1366"/>
      <c r="AQ95" s="1366"/>
      <c r="AR95" s="1366"/>
      <c r="AS95" s="1366"/>
      <c r="AT95" s="1366"/>
      <c r="AU95" s="1366"/>
      <c r="AV95" s="1366"/>
      <c r="AW95" s="1366"/>
      <c r="AX95" s="1366"/>
      <c r="AY95" s="1366"/>
      <c r="AZ95" s="1366"/>
      <c r="BA95" s="1366"/>
      <c r="BB95" s="1366"/>
      <c r="BC95" s="1366"/>
      <c r="BD95" s="1366"/>
      <c r="BE95" s="1366"/>
      <c r="BF95" s="1366"/>
      <c r="BG95" s="1366"/>
      <c r="BH95" s="1366"/>
      <c r="BI95" s="1366"/>
      <c r="BJ95" s="1366"/>
      <c r="BK95" s="1366"/>
      <c r="BL95" s="1366"/>
      <c r="BM95" s="1366"/>
      <c r="BN95" s="1366"/>
      <c r="BO95" s="1366"/>
      <c r="BP95" s="1366"/>
      <c r="BQ95" s="1366"/>
      <c r="BR95" s="1366"/>
      <c r="BS95" s="1366"/>
      <c r="BT95" s="1366"/>
      <c r="BU95" s="1366"/>
      <c r="BV95" s="1366"/>
      <c r="BW95" s="1366"/>
      <c r="BX95" s="1366"/>
      <c r="BY95" s="1366"/>
      <c r="BZ95" s="1366"/>
      <c r="CA95" s="1366"/>
      <c r="CB95" s="1366"/>
      <c r="CC95" s="1366"/>
      <c r="CD95" s="1366"/>
      <c r="CE95" s="1366"/>
      <c r="CF95" s="1366"/>
      <c r="CG95" s="1366"/>
      <c r="CH95" s="1366"/>
      <c r="CI95" s="1366"/>
      <c r="CJ95" s="1366"/>
      <c r="CK95" s="1366"/>
      <c r="CL95" s="1366"/>
      <c r="CM95" s="1366"/>
      <c r="CN95" s="1366"/>
      <c r="CO95" s="1366"/>
      <c r="CP95" s="1366"/>
      <c r="CQ95" s="1366"/>
      <c r="CR95" s="1366"/>
      <c r="CS95" s="1366"/>
      <c r="CT95" s="1366"/>
      <c r="CU95" s="1366"/>
      <c r="CV95" s="1366"/>
      <c r="CW95" s="1366"/>
      <c r="CX95" s="1366"/>
      <c r="CY95" s="1366"/>
      <c r="CZ95" s="1366"/>
      <c r="DA95" s="1366"/>
      <c r="DB95" s="1366"/>
      <c r="DC95" s="1366"/>
      <c r="DD95" s="1366"/>
      <c r="DE95" s="1366"/>
      <c r="DF95" s="1366"/>
      <c r="DG95" s="1366"/>
      <c r="DH95" s="1366"/>
      <c r="DI95" s="1366"/>
      <c r="DJ95" s="1366"/>
      <c r="DK95" s="1366"/>
      <c r="DL95" s="1366"/>
      <c r="DM95" s="1366"/>
      <c r="DN95" s="1366"/>
      <c r="DO95" s="1366"/>
      <c r="DP95" s="1366"/>
      <c r="DQ95" s="1366"/>
      <c r="DR95" s="1366"/>
      <c r="DS95" s="1366"/>
      <c r="DT95" s="1366"/>
      <c r="DU95" s="1366"/>
      <c r="DV95" s="1366"/>
    </row>
    <row r="96" spans="1:126" s="1367" customFormat="1" ht="30.75" thickBot="1">
      <c r="A96" s="2495"/>
      <c r="B96" s="2502"/>
      <c r="C96" s="1561" t="str">
        <f>'Equipment Results Matrix'!W497</f>
        <v>Measure</v>
      </c>
      <c r="D96" s="1562" t="str">
        <f>'Equipment Results Matrix'!X497</f>
        <v>Energy Star 5.1 + 35%, 67.1 W on-mode power, assumed 1 W sleep mode power, 868 in2 screen area</v>
      </c>
      <c r="E96" s="1546" t="s">
        <v>2683</v>
      </c>
      <c r="F96" s="1546" t="s">
        <v>2107</v>
      </c>
      <c r="G96" s="1547" t="s">
        <v>2201</v>
      </c>
      <c r="H96" s="1552">
        <f>'Equipment Results Matrix'!Y497</f>
        <v>559.8241479302585</v>
      </c>
      <c r="I96" s="1553"/>
      <c r="J96" s="1554"/>
      <c r="K96" s="1573" t="s">
        <v>15</v>
      </c>
      <c r="L96" s="1574" t="s">
        <v>15</v>
      </c>
      <c r="M96" s="1555">
        <f>'Equipment Results Matrix'!Y497</f>
        <v>559.8241479302585</v>
      </c>
      <c r="N96" s="1559">
        <f>'Equipment Results Matrix'!Z497</f>
        <v>-2011.3237256</v>
      </c>
      <c r="O96" s="1429"/>
      <c r="P96" s="1430"/>
      <c r="Q96" s="1430"/>
      <c r="R96" s="1430"/>
      <c r="S96" s="1430"/>
      <c r="T96" s="1430"/>
      <c r="U96" s="1430"/>
      <c r="V96" s="1679"/>
      <c r="W96" s="1480"/>
    </row>
    <row r="97" spans="1:126" s="1367" customFormat="1" ht="24" thickBot="1">
      <c r="A97" s="721" t="s">
        <v>1107</v>
      </c>
      <c r="B97" s="721"/>
      <c r="C97" s="721"/>
      <c r="D97" s="721"/>
      <c r="E97" s="721"/>
      <c r="F97" s="721"/>
      <c r="G97" s="721"/>
      <c r="H97" s="1415"/>
      <c r="I97" s="1444"/>
      <c r="J97" s="1415"/>
      <c r="K97" s="1415"/>
      <c r="L97" s="1530"/>
      <c r="M97" s="1415"/>
      <c r="N97" s="1454"/>
      <c r="O97" s="1415"/>
      <c r="P97" s="1415"/>
      <c r="Q97" s="1415"/>
      <c r="R97" s="1415"/>
      <c r="S97" s="1415"/>
      <c r="T97" s="1415"/>
      <c r="U97" s="1415"/>
      <c r="V97" s="1454"/>
      <c r="W97" s="1480"/>
    </row>
    <row r="98" spans="1:126" s="1367" customFormat="1" ht="15" customHeight="1">
      <c r="A98" s="2493" t="s">
        <v>1131</v>
      </c>
      <c r="B98" s="2501" t="str">
        <f>'Equipment Results Matrix'!V517</f>
        <v>Workpaper measures</v>
      </c>
      <c r="C98" s="623" t="str">
        <f>'Equipment Results Matrix'!W517</f>
        <v>Baseline</v>
      </c>
      <c r="D98" s="383" t="str">
        <f>'Equipment Results Matrix'!X517</f>
        <v>Non-Energy Star with louvered sides 6,000 btuh 9.7 EER</v>
      </c>
      <c r="E98" s="383" t="s">
        <v>2102</v>
      </c>
      <c r="F98" s="383" t="s">
        <v>2107</v>
      </c>
      <c r="G98" s="1540" t="s">
        <v>2201</v>
      </c>
      <c r="H98" s="1563">
        <f>'Equipment Results Matrix'!Y517</f>
        <v>147.06192100687099</v>
      </c>
      <c r="I98" s="1564"/>
      <c r="J98" s="1565"/>
      <c r="K98" s="1568" t="s">
        <v>15</v>
      </c>
      <c r="L98" s="1569" t="s">
        <v>15</v>
      </c>
      <c r="M98" s="1566">
        <f>'Equipment Results Matrix'!Y517</f>
        <v>147.06192100687099</v>
      </c>
      <c r="N98" s="1567" t="s">
        <v>40</v>
      </c>
      <c r="O98" s="1429"/>
      <c r="P98" s="1430"/>
      <c r="Q98" s="1430"/>
      <c r="R98" s="1430"/>
      <c r="S98" s="1430"/>
      <c r="T98" s="1430"/>
      <c r="U98" s="1430"/>
      <c r="V98" s="1679"/>
      <c r="W98" s="1480"/>
    </row>
    <row r="99" spans="1:126" s="1367" customFormat="1" ht="15" customHeight="1">
      <c r="A99" s="2494"/>
      <c r="B99" s="2502"/>
      <c r="C99" s="1642" t="str">
        <f>'Equipment Results Matrix'!W518</f>
        <v>Measure</v>
      </c>
      <c r="D99" s="1364" t="str">
        <f>'Equipment Results Matrix'!X518</f>
        <v>Energy Star with louvered sides 6,000 btuh 10.7 EER</v>
      </c>
      <c r="E99" s="1364" t="s">
        <v>2102</v>
      </c>
      <c r="F99" s="1364" t="s">
        <v>2107</v>
      </c>
      <c r="G99" s="1543" t="s">
        <v>2201</v>
      </c>
      <c r="H99" s="1361">
        <f>'Equipment Results Matrix'!Y518</f>
        <v>164.35192100687101</v>
      </c>
      <c r="I99" s="1371"/>
      <c r="J99" s="1417"/>
      <c r="K99" s="1401" t="s">
        <v>15</v>
      </c>
      <c r="L99" s="1526" t="s">
        <v>15</v>
      </c>
      <c r="M99" s="1372">
        <f>'Equipment Results Matrix'!Y518</f>
        <v>164.35192100687101</v>
      </c>
      <c r="N99" s="1458">
        <f>M99-M98</f>
        <v>17.29000000000002</v>
      </c>
      <c r="O99" s="1429"/>
      <c r="P99" s="1430"/>
      <c r="Q99" s="1430"/>
      <c r="R99" s="1430"/>
      <c r="S99" s="1430"/>
      <c r="T99" s="1430"/>
      <c r="U99" s="1430"/>
      <c r="V99" s="1679"/>
      <c r="W99" s="1480"/>
    </row>
    <row r="100" spans="1:126" s="1367" customFormat="1" ht="15" customHeight="1">
      <c r="A100" s="2494"/>
      <c r="B100" s="2502"/>
      <c r="C100" s="1642" t="str">
        <f>'Equipment Results Matrix'!W519</f>
        <v>Baseline</v>
      </c>
      <c r="D100" s="1364" t="str">
        <f>'Equipment Results Matrix'!X519</f>
        <v>Non-Energy Star without louvered sides 6,000 btuh 9.0 EER</v>
      </c>
      <c r="E100" s="1364" t="s">
        <v>2102</v>
      </c>
      <c r="F100" s="1364" t="s">
        <v>2107</v>
      </c>
      <c r="G100" s="1543" t="s">
        <v>2201</v>
      </c>
      <c r="H100" s="1361">
        <f>'Equipment Results Matrix'!Y519</f>
        <v>127.78392100687097</v>
      </c>
      <c r="I100" s="1371"/>
      <c r="J100" s="1417"/>
      <c r="K100" s="1401" t="s">
        <v>15</v>
      </c>
      <c r="L100" s="1526" t="s">
        <v>15</v>
      </c>
      <c r="M100" s="1372">
        <f>'Equipment Results Matrix'!Y519</f>
        <v>127.78392100687097</v>
      </c>
      <c r="N100" s="1458" t="s">
        <v>40</v>
      </c>
      <c r="O100" s="1429"/>
      <c r="P100" s="1430"/>
      <c r="Q100" s="1430"/>
      <c r="R100" s="1430"/>
      <c r="S100" s="1430"/>
      <c r="T100" s="1430"/>
      <c r="U100" s="1430"/>
      <c r="V100" s="1679"/>
      <c r="W100" s="1480"/>
    </row>
    <row r="101" spans="1:126" s="1367" customFormat="1" ht="15" customHeight="1">
      <c r="A101" s="2494"/>
      <c r="B101" s="2502"/>
      <c r="C101" s="1642" t="str">
        <f>'Equipment Results Matrix'!W520</f>
        <v>Measure</v>
      </c>
      <c r="D101" s="1364" t="str">
        <f>'Equipment Results Matrix'!X520</f>
        <v>Energy Star without louvered sides 6,000 btuh 9.9 EER</v>
      </c>
      <c r="E101" s="1364" t="s">
        <v>2102</v>
      </c>
      <c r="F101" s="1364" t="s">
        <v>2107</v>
      </c>
      <c r="G101" s="1543" t="s">
        <v>2201</v>
      </c>
      <c r="H101" s="1361">
        <f>'Equipment Results Matrix'!Y520</f>
        <v>142.31992100687103</v>
      </c>
      <c r="I101" s="1371"/>
      <c r="J101" s="1417"/>
      <c r="K101" s="1401" t="s">
        <v>15</v>
      </c>
      <c r="L101" s="1526" t="s">
        <v>15</v>
      </c>
      <c r="M101" s="1372">
        <f>'Equipment Results Matrix'!Y520</f>
        <v>142.31992100687103</v>
      </c>
      <c r="N101" s="1458">
        <f>M101-M100</f>
        <v>14.536000000000058</v>
      </c>
      <c r="O101" s="1429"/>
      <c r="P101" s="1430"/>
      <c r="Q101" s="1430"/>
      <c r="R101" s="1430"/>
      <c r="S101" s="1430"/>
      <c r="T101" s="1430"/>
      <c r="U101" s="1430"/>
      <c r="V101" s="1679"/>
      <c r="W101" s="1480"/>
    </row>
    <row r="102" spans="1:126" s="1367" customFormat="1" ht="15" customHeight="1">
      <c r="A102" s="2494"/>
      <c r="B102" s="2502"/>
      <c r="C102" s="1642" t="str">
        <f>'Equipment Results Matrix'!W521</f>
        <v>Baseline</v>
      </c>
      <c r="D102" s="1364" t="str">
        <f>'Equipment Results Matrix'!X521</f>
        <v>Non-Energy Star with louvered sides 8,000 btuh 9.8 EER</v>
      </c>
      <c r="E102" s="1364" t="s">
        <v>2102</v>
      </c>
      <c r="F102" s="1364" t="s">
        <v>2107</v>
      </c>
      <c r="G102" s="1543" t="s">
        <v>2201</v>
      </c>
      <c r="H102" s="1361">
        <f>'Equipment Results Matrix'!Y521</f>
        <v>195.81592100687101</v>
      </c>
      <c r="I102" s="1371"/>
      <c r="J102" s="1417"/>
      <c r="K102" s="1401" t="s">
        <v>15</v>
      </c>
      <c r="L102" s="1526" t="s">
        <v>15</v>
      </c>
      <c r="M102" s="1372">
        <f>'Equipment Results Matrix'!Y521</f>
        <v>195.81592100687101</v>
      </c>
      <c r="N102" s="1458" t="s">
        <v>40</v>
      </c>
      <c r="O102" s="1429"/>
      <c r="P102" s="1430"/>
      <c r="Q102" s="1430"/>
      <c r="R102" s="1430"/>
      <c r="S102" s="1430"/>
      <c r="T102" s="1430"/>
      <c r="U102" s="1430"/>
      <c r="V102" s="1679"/>
      <c r="W102" s="1480"/>
    </row>
    <row r="103" spans="1:126" s="1367" customFormat="1" ht="15" customHeight="1">
      <c r="A103" s="2494"/>
      <c r="B103" s="2502"/>
      <c r="C103" s="1642" t="str">
        <f>'Equipment Results Matrix'!W522</f>
        <v>Measure</v>
      </c>
      <c r="D103" s="1364" t="str">
        <f>'Equipment Results Matrix'!X522</f>
        <v>Energy Star with louvered sides 8,000 btuh 10.8 EER</v>
      </c>
      <c r="E103" s="1364" t="s">
        <v>2102</v>
      </c>
      <c r="F103" s="1364" t="s">
        <v>2107</v>
      </c>
      <c r="G103" s="1543" t="s">
        <v>2201</v>
      </c>
      <c r="H103" s="1361">
        <f>'Equipment Results Matrix'!Y522</f>
        <v>213.10592100687103</v>
      </c>
      <c r="I103" s="1371"/>
      <c r="J103" s="1417"/>
      <c r="K103" s="1401" t="s">
        <v>15</v>
      </c>
      <c r="L103" s="1526" t="s">
        <v>15</v>
      </c>
      <c r="M103" s="1372">
        <f>'Equipment Results Matrix'!Y522</f>
        <v>213.10592100687103</v>
      </c>
      <c r="N103" s="1458">
        <f>M103-M102</f>
        <v>17.29000000000002</v>
      </c>
      <c r="O103" s="1429"/>
      <c r="P103" s="1430"/>
      <c r="Q103" s="1430"/>
      <c r="R103" s="1430"/>
      <c r="S103" s="1430"/>
      <c r="T103" s="1430"/>
      <c r="U103" s="1430"/>
      <c r="V103" s="1679"/>
      <c r="W103" s="1480"/>
    </row>
    <row r="104" spans="1:126" s="1367" customFormat="1" ht="15" customHeight="1">
      <c r="A104" s="2494"/>
      <c r="B104" s="2502"/>
      <c r="C104" s="1642" t="str">
        <f>'Equipment Results Matrix'!W523</f>
        <v>Baseline</v>
      </c>
      <c r="D104" s="1364" t="str">
        <f>'Equipment Results Matrix'!X523</f>
        <v>Non-Energy Star with louvered sides 14,000 btuh 9.7 EER</v>
      </c>
      <c r="E104" s="1364" t="s">
        <v>2102</v>
      </c>
      <c r="F104" s="1364" t="s">
        <v>2107</v>
      </c>
      <c r="G104" s="1543" t="s">
        <v>2201</v>
      </c>
      <c r="H104" s="1361">
        <f>'Equipment Results Matrix'!Y523</f>
        <v>331.06192100687099</v>
      </c>
      <c r="I104" s="1371"/>
      <c r="J104" s="1417"/>
      <c r="K104" s="1401" t="s">
        <v>15</v>
      </c>
      <c r="L104" s="1526" t="s">
        <v>15</v>
      </c>
      <c r="M104" s="1372">
        <f>'Equipment Results Matrix'!Y523</f>
        <v>331.06192100687099</v>
      </c>
      <c r="N104" s="1458" t="s">
        <v>40</v>
      </c>
      <c r="O104" s="1429"/>
      <c r="P104" s="1430"/>
      <c r="Q104" s="1430"/>
      <c r="R104" s="1430"/>
      <c r="S104" s="1430"/>
      <c r="T104" s="1430"/>
      <c r="U104" s="1430"/>
      <c r="V104" s="1679"/>
      <c r="W104" s="1480"/>
    </row>
    <row r="105" spans="1:126" s="1367" customFormat="1" ht="15" customHeight="1">
      <c r="A105" s="2494"/>
      <c r="B105" s="2502"/>
      <c r="C105" s="1642" t="str">
        <f>'Equipment Results Matrix'!W524</f>
        <v>Measure</v>
      </c>
      <c r="D105" s="1364" t="str">
        <f>'Equipment Results Matrix'!X524</f>
        <v>Energy Star with louvered sides 14,000 btuh 10.7 EER</v>
      </c>
      <c r="E105" s="1364" t="s">
        <v>2102</v>
      </c>
      <c r="F105" s="1364" t="s">
        <v>2107</v>
      </c>
      <c r="G105" s="1543" t="s">
        <v>2201</v>
      </c>
      <c r="H105" s="1361">
        <f>'Equipment Results Matrix'!Y524</f>
        <v>348.35192100687107</v>
      </c>
      <c r="I105" s="1371"/>
      <c r="J105" s="1417"/>
      <c r="K105" s="1401" t="s">
        <v>15</v>
      </c>
      <c r="L105" s="1526" t="s">
        <v>15</v>
      </c>
      <c r="M105" s="1372">
        <f>'Equipment Results Matrix'!Y524</f>
        <v>348.35192100687107</v>
      </c>
      <c r="N105" s="1458">
        <f>M105-M104</f>
        <v>17.290000000000077</v>
      </c>
      <c r="O105" s="1429"/>
      <c r="P105" s="1430"/>
      <c r="Q105" s="1430"/>
      <c r="R105" s="1430"/>
      <c r="S105" s="1430"/>
      <c r="T105" s="1430"/>
      <c r="U105" s="1430"/>
      <c r="V105" s="1679"/>
      <c r="W105" s="1480"/>
    </row>
    <row r="106" spans="1:126" s="1367" customFormat="1" ht="15" customHeight="1">
      <c r="A106" s="2494"/>
      <c r="B106" s="2502"/>
      <c r="C106" s="1642" t="str">
        <f>'Equipment Results Matrix'!W525</f>
        <v>Baseline</v>
      </c>
      <c r="D106" s="1364" t="str">
        <f>'Equipment Results Matrix'!X525</f>
        <v>Non-Energy Star with louvered sides 20,000 btuh 8.5 EER</v>
      </c>
      <c r="E106" s="1364" t="s">
        <v>2102</v>
      </c>
      <c r="F106" s="1364" t="s">
        <v>2107</v>
      </c>
      <c r="G106" s="1543" t="s">
        <v>2201</v>
      </c>
      <c r="H106" s="1361">
        <f>'Equipment Results Matrix'!Y525</f>
        <v>436.01392100687099</v>
      </c>
      <c r="I106" s="1371"/>
      <c r="J106" s="1417"/>
      <c r="K106" s="1401" t="s">
        <v>15</v>
      </c>
      <c r="L106" s="1526" t="s">
        <v>15</v>
      </c>
      <c r="M106" s="1372">
        <f>'Equipment Results Matrix'!Y525</f>
        <v>436.01392100687099</v>
      </c>
      <c r="N106" s="1458" t="s">
        <v>40</v>
      </c>
      <c r="O106" s="1429"/>
      <c r="P106" s="1430"/>
      <c r="Q106" s="1430"/>
      <c r="R106" s="1430"/>
      <c r="S106" s="1430"/>
      <c r="T106" s="1430"/>
      <c r="U106" s="1430"/>
      <c r="V106" s="1679"/>
      <c r="W106" s="1480"/>
    </row>
    <row r="107" spans="1:126" s="1367" customFormat="1" ht="15.75" customHeight="1" thickBot="1">
      <c r="A107" s="2495"/>
      <c r="B107" s="2502"/>
      <c r="C107" s="1561" t="str">
        <f>'Equipment Results Matrix'!W526</f>
        <v>Measure</v>
      </c>
      <c r="D107" s="1587" t="str">
        <f>'Equipment Results Matrix'!X526</f>
        <v>Energy Star with louvered sides 20,000 btuh 9.4 EER</v>
      </c>
      <c r="E107" s="1587" t="s">
        <v>2102</v>
      </c>
      <c r="F107" s="1546" t="s">
        <v>2107</v>
      </c>
      <c r="G107" s="1547" t="s">
        <v>2201</v>
      </c>
      <c r="H107" s="1552">
        <f>'Equipment Results Matrix'!Y526</f>
        <v>450.54992100687093</v>
      </c>
      <c r="I107" s="1553"/>
      <c r="J107" s="1554"/>
      <c r="K107" s="1573" t="s">
        <v>15</v>
      </c>
      <c r="L107" s="1574" t="s">
        <v>15</v>
      </c>
      <c r="M107" s="1555">
        <f>'Equipment Results Matrix'!Y526</f>
        <v>450.54992100687093</v>
      </c>
      <c r="N107" s="1559">
        <f>M107-M106</f>
        <v>14.535999999999945</v>
      </c>
      <c r="O107" s="1429"/>
      <c r="P107" s="1430"/>
      <c r="Q107" s="1430"/>
      <c r="R107" s="1430"/>
      <c r="S107" s="1430"/>
      <c r="T107" s="1430"/>
      <c r="U107" s="1430"/>
      <c r="V107" s="1679"/>
      <c r="W107" s="1480"/>
    </row>
    <row r="108" spans="1:126" s="1479" customFormat="1" ht="19.5" thickBot="1">
      <c r="A108" s="695"/>
      <c r="B108" s="1655"/>
      <c r="C108" s="1655"/>
      <c r="D108" s="683"/>
      <c r="E108" s="699"/>
      <c r="F108" s="699"/>
      <c r="G108" s="699"/>
      <c r="H108" s="1386"/>
      <c r="I108" s="1445"/>
      <c r="J108" s="1387"/>
      <c r="K108" s="1386"/>
      <c r="L108" s="1531"/>
      <c r="M108" s="1386"/>
      <c r="N108" s="1491"/>
      <c r="O108" s="1386"/>
      <c r="P108" s="1387"/>
      <c r="Q108" s="1387"/>
      <c r="R108" s="1445"/>
      <c r="S108" s="1445"/>
      <c r="T108" s="1492"/>
      <c r="U108" s="1492"/>
      <c r="V108" s="1491"/>
      <c r="W108" s="1490"/>
      <c r="X108" s="1490"/>
      <c r="Y108" s="327"/>
      <c r="Z108" s="327"/>
      <c r="AA108" s="327"/>
      <c r="AB108" s="1490"/>
      <c r="AC108" s="1490"/>
      <c r="AD108" s="1490"/>
      <c r="AE108" s="1490"/>
      <c r="AF108" s="327"/>
      <c r="AG108" s="327"/>
      <c r="AH108" s="327"/>
      <c r="AI108" s="327"/>
      <c r="AJ108" s="327"/>
      <c r="AK108" s="1478"/>
      <c r="AL108" s="1478"/>
      <c r="AM108" s="1478"/>
      <c r="AN108" s="1478"/>
      <c r="AO108" s="1478"/>
      <c r="AP108" s="1478"/>
      <c r="AQ108" s="1478"/>
      <c r="AR108" s="1478"/>
      <c r="AS108" s="1478"/>
      <c r="AT108" s="1478"/>
      <c r="AU108" s="1478"/>
      <c r="AV108" s="1478"/>
      <c r="AW108" s="1478"/>
      <c r="AX108" s="1478"/>
      <c r="AY108" s="1478"/>
      <c r="AZ108" s="1478"/>
      <c r="BA108" s="1478"/>
      <c r="BB108" s="1478"/>
      <c r="BC108" s="1478"/>
      <c r="BD108" s="1478"/>
      <c r="BE108" s="1478"/>
      <c r="BF108" s="1478"/>
      <c r="BG108" s="1478"/>
      <c r="BH108" s="1478"/>
      <c r="BI108" s="1478"/>
      <c r="BJ108" s="1478"/>
      <c r="BK108" s="327"/>
      <c r="BL108" s="327"/>
      <c r="BM108" s="327"/>
      <c r="BN108" s="327"/>
      <c r="BO108" s="327"/>
      <c r="BP108" s="327"/>
      <c r="BQ108" s="327"/>
      <c r="BR108" s="327"/>
      <c r="BS108" s="327"/>
      <c r="BT108" s="327"/>
      <c r="BU108" s="327"/>
      <c r="BV108" s="327"/>
      <c r="BW108" s="327"/>
      <c r="BX108" s="327"/>
      <c r="BY108" s="327"/>
      <c r="BZ108" s="327"/>
      <c r="CA108" s="327"/>
      <c r="CB108" s="327"/>
      <c r="CC108" s="327"/>
      <c r="CD108" s="327"/>
      <c r="CE108" s="327"/>
      <c r="CF108" s="327"/>
      <c r="CG108" s="327"/>
      <c r="CH108" s="327"/>
      <c r="CI108" s="327"/>
      <c r="CJ108" s="327"/>
      <c r="CK108" s="327"/>
      <c r="CL108" s="327"/>
      <c r="CM108" s="327"/>
      <c r="CN108" s="327"/>
      <c r="CO108" s="327"/>
      <c r="CP108" s="327"/>
      <c r="CQ108" s="327"/>
      <c r="CR108" s="327"/>
      <c r="CS108" s="327"/>
      <c r="CT108" s="327"/>
      <c r="CU108" s="327"/>
      <c r="CV108" s="327"/>
      <c r="CW108" s="327"/>
      <c r="CX108" s="327"/>
      <c r="CY108" s="327"/>
      <c r="CZ108" s="327"/>
      <c r="DA108" s="327"/>
      <c r="DB108" s="327"/>
      <c r="DC108" s="327"/>
      <c r="DD108" s="327"/>
      <c r="DE108" s="327"/>
      <c r="DF108" s="327"/>
      <c r="DG108" s="327"/>
      <c r="DH108" s="327"/>
      <c r="DI108" s="327"/>
      <c r="DJ108" s="327"/>
      <c r="DK108" s="327"/>
      <c r="DL108" s="327"/>
      <c r="DM108" s="327"/>
      <c r="DN108" s="327"/>
      <c r="DO108" s="327"/>
      <c r="DP108" s="327"/>
      <c r="DQ108" s="327"/>
      <c r="DR108" s="327"/>
      <c r="DS108" s="327"/>
      <c r="DT108" s="327"/>
      <c r="DU108" s="327"/>
      <c r="DV108" s="327"/>
    </row>
    <row r="109" spans="1:126" s="1367" customFormat="1" ht="30">
      <c r="A109" s="2512" t="s">
        <v>1132</v>
      </c>
      <c r="B109" s="1656" t="s">
        <v>2138</v>
      </c>
      <c r="C109" s="1641" t="s">
        <v>47</v>
      </c>
      <c r="D109" s="1364" t="s">
        <v>2122</v>
      </c>
      <c r="E109" s="1364" t="s">
        <v>2097</v>
      </c>
      <c r="F109" s="1364" t="s">
        <v>2107</v>
      </c>
      <c r="G109" s="1185" t="s">
        <v>1796</v>
      </c>
      <c r="H109" s="1361">
        <f>((60000*'Equipment Results Matrix'!$R$546)+(0.8*'Equipment Results Matrix'!$R$545)+('Equipment Results Matrix'!$R$547*0)+'Equipment Results Matrix'!$R$549+'Equipment Results Matrix'!$T$552)*(1+'Equipment Results Matrix'!$T$554)</f>
        <v>640.5121818480003</v>
      </c>
      <c r="I109" s="1371">
        <f xml:space="preserve"> 0.017*60 + 3.2398</f>
        <v>4.2598000000000003</v>
      </c>
      <c r="J109" s="1372">
        <f>'Labor Results Matrix'!$G$16*(1+'Labor Results Matrix'!$K$16)</f>
        <v>68.342490675118952</v>
      </c>
      <c r="K109" s="1372">
        <f>(J109*I109)</f>
        <v>291.12534177787171</v>
      </c>
      <c r="L109" s="1388">
        <v>0</v>
      </c>
      <c r="M109" s="1372">
        <f t="shared" ref="M109:M130" si="3">H109+K109</f>
        <v>931.63752362587206</v>
      </c>
      <c r="N109" s="1455" t="s">
        <v>40</v>
      </c>
      <c r="O109" s="1374">
        <f>H109/60</f>
        <v>10.675203030800004</v>
      </c>
      <c r="P109" s="1371">
        <f>I109/60</f>
        <v>7.0996666666666666E-2</v>
      </c>
      <c r="Q109" s="1372">
        <f>K109/60</f>
        <v>4.8520890296311956</v>
      </c>
      <c r="R109" s="1373">
        <v>0</v>
      </c>
      <c r="S109" s="1373">
        <v>0</v>
      </c>
      <c r="T109" s="1372">
        <f>M109/60</f>
        <v>15.527292060431201</v>
      </c>
      <c r="U109" s="1372" t="s">
        <v>40</v>
      </c>
      <c r="V109" s="1462" t="s">
        <v>40</v>
      </c>
      <c r="W109" s="1366"/>
      <c r="X109" s="1366"/>
      <c r="Y109" s="1366"/>
      <c r="Z109" s="1366"/>
      <c r="AA109" s="1366"/>
      <c r="AB109" s="1366"/>
      <c r="AC109" s="1366"/>
      <c r="AD109" s="1366"/>
      <c r="AE109" s="1366"/>
      <c r="AF109" s="1366"/>
      <c r="AG109" s="1366"/>
      <c r="AH109" s="1366"/>
      <c r="AI109" s="1366"/>
      <c r="AJ109" s="1366"/>
      <c r="AK109" s="1366"/>
      <c r="AL109" s="1366"/>
      <c r="AM109" s="1366"/>
      <c r="AN109" s="1366"/>
      <c r="AO109" s="1366"/>
      <c r="AP109" s="1366"/>
      <c r="AQ109" s="1366"/>
      <c r="AR109" s="1366"/>
      <c r="AS109" s="1366"/>
      <c r="AT109" s="1366"/>
      <c r="AU109" s="1366"/>
      <c r="AV109" s="1366"/>
      <c r="AW109" s="1366"/>
      <c r="AX109" s="1366"/>
      <c r="AY109" s="1366"/>
      <c r="AZ109" s="1366"/>
      <c r="BA109" s="1366"/>
      <c r="BB109" s="1366"/>
      <c r="BC109" s="1366"/>
      <c r="BD109" s="1366"/>
      <c r="BE109" s="1366"/>
      <c r="BF109" s="1366"/>
      <c r="BG109" s="1366"/>
      <c r="BH109" s="1366"/>
      <c r="BI109" s="1366"/>
      <c r="BJ109" s="1366"/>
      <c r="BK109" s="1366"/>
      <c r="BL109" s="1366"/>
      <c r="BM109" s="1366"/>
      <c r="BN109" s="1366"/>
      <c r="BO109" s="1366"/>
      <c r="BP109" s="1366"/>
      <c r="BQ109" s="1366"/>
      <c r="BR109" s="1366"/>
      <c r="BS109" s="1366"/>
      <c r="BT109" s="1366"/>
      <c r="BU109" s="1366"/>
      <c r="BV109" s="1366"/>
      <c r="BW109" s="1366"/>
      <c r="BX109" s="1366"/>
      <c r="BY109" s="1366"/>
      <c r="BZ109" s="1366"/>
      <c r="CA109" s="1366"/>
      <c r="CB109" s="1366"/>
      <c r="CC109" s="1366"/>
      <c r="CD109" s="1366"/>
      <c r="CE109" s="1366"/>
      <c r="CF109" s="1366"/>
      <c r="CG109" s="1366"/>
      <c r="CH109" s="1366"/>
      <c r="CI109" s="1366"/>
      <c r="CJ109" s="1366"/>
      <c r="CK109" s="1366"/>
      <c r="CL109" s="1366"/>
      <c r="CM109" s="1366"/>
      <c r="CN109" s="1366"/>
      <c r="CO109" s="1366"/>
      <c r="CP109" s="1366"/>
      <c r="CQ109" s="1366"/>
      <c r="CR109" s="1366"/>
      <c r="CS109" s="1366"/>
      <c r="CT109" s="1366"/>
      <c r="CU109" s="1366"/>
      <c r="CV109" s="1366"/>
      <c r="CW109" s="1366"/>
      <c r="CX109" s="1366"/>
      <c r="CY109" s="1366"/>
      <c r="CZ109" s="1366"/>
      <c r="DA109" s="1366"/>
      <c r="DB109" s="1366"/>
      <c r="DC109" s="1366"/>
      <c r="DD109" s="1366"/>
      <c r="DE109" s="1366"/>
      <c r="DF109" s="1366"/>
      <c r="DG109" s="1366"/>
      <c r="DH109" s="1366"/>
      <c r="DI109" s="1366"/>
      <c r="DJ109" s="1366"/>
      <c r="DK109" s="1366"/>
      <c r="DL109" s="1366"/>
      <c r="DM109" s="1366"/>
      <c r="DN109" s="1366"/>
      <c r="DO109" s="1366"/>
      <c r="DP109" s="1366"/>
      <c r="DQ109" s="1366"/>
      <c r="DR109" s="1366"/>
      <c r="DS109" s="1366"/>
      <c r="DT109" s="1366"/>
      <c r="DU109" s="1366"/>
      <c r="DV109" s="1366"/>
    </row>
    <row r="110" spans="1:126" s="1367" customFormat="1" ht="30">
      <c r="A110" s="2494"/>
      <c r="B110" s="1653" t="s">
        <v>2133</v>
      </c>
      <c r="C110" s="658" t="s">
        <v>49</v>
      </c>
      <c r="D110" s="1375" t="s">
        <v>2123</v>
      </c>
      <c r="E110" s="1364" t="s">
        <v>2097</v>
      </c>
      <c r="F110" s="1364" t="s">
        <v>2107</v>
      </c>
      <c r="G110" s="1185" t="s">
        <v>1796</v>
      </c>
      <c r="H110" s="1361">
        <f>((60000*'Equipment Results Matrix'!$R$546)+(0.81*'Equipment Results Matrix'!$R$545)+('Equipment Results Matrix'!$R$547*0)+'Equipment Results Matrix'!$R$549+'Equipment Results Matrix'!$T$552)*(1+'Equipment Results Matrix'!$T$554)</f>
        <v>667.6522280736001</v>
      </c>
      <c r="I110" s="1371">
        <f t="shared" ref="I110:I119" si="4" xml:space="preserve"> 0.017*60 + 3.2398</f>
        <v>4.2598000000000003</v>
      </c>
      <c r="J110" s="1372">
        <f>'Labor Results Matrix'!$G$16*(1+'Labor Results Matrix'!$K$16)</f>
        <v>68.342490675118952</v>
      </c>
      <c r="K110" s="1372">
        <f t="shared" ref="K110:K120" si="5">(J110*I110)</f>
        <v>291.12534177787171</v>
      </c>
      <c r="L110" s="1388">
        <v>0</v>
      </c>
      <c r="M110" s="1372">
        <f t="shared" si="3"/>
        <v>958.77756985147175</v>
      </c>
      <c r="N110" s="1458">
        <f>M110-$M$109</f>
        <v>27.14004622559969</v>
      </c>
      <c r="O110" s="1374">
        <f t="shared" ref="O110:O119" si="6">H110/60</f>
        <v>11.127537134560002</v>
      </c>
      <c r="P110" s="1371">
        <f t="shared" ref="P110:P119" si="7">I110/60</f>
        <v>7.0996666666666666E-2</v>
      </c>
      <c r="Q110" s="1372">
        <f t="shared" ref="Q110:Q119" si="8">K110/60</f>
        <v>4.8520890296311956</v>
      </c>
      <c r="R110" s="1373">
        <v>0</v>
      </c>
      <c r="S110" s="1373">
        <v>0</v>
      </c>
      <c r="T110" s="1372">
        <f t="shared" ref="T110:U119" si="9">M110/60</f>
        <v>15.979626164191195</v>
      </c>
      <c r="U110" s="1372">
        <f t="shared" si="9"/>
        <v>0.45233410375999483</v>
      </c>
      <c r="V110" s="1462">
        <v>0</v>
      </c>
      <c r="W110" s="1366"/>
      <c r="X110" s="1366"/>
      <c r="Y110" s="1366"/>
      <c r="Z110" s="1366"/>
      <c r="AA110" s="1366"/>
      <c r="AB110" s="1366"/>
      <c r="AC110" s="1366"/>
      <c r="AD110" s="1366"/>
      <c r="AE110" s="1366"/>
      <c r="AF110" s="1366"/>
      <c r="AG110" s="1366"/>
      <c r="AH110" s="1366"/>
      <c r="AI110" s="1366"/>
      <c r="AJ110" s="1366"/>
      <c r="AK110" s="1366"/>
      <c r="AL110" s="1366"/>
      <c r="AM110" s="1366"/>
      <c r="AN110" s="1366"/>
      <c r="AO110" s="1366"/>
      <c r="AP110" s="1366"/>
      <c r="AQ110" s="1366"/>
      <c r="AR110" s="1366"/>
      <c r="AS110" s="1366"/>
      <c r="AT110" s="1366"/>
      <c r="AU110" s="1366"/>
      <c r="AV110" s="1366"/>
      <c r="AW110" s="1366"/>
      <c r="AX110" s="1366"/>
      <c r="AY110" s="1366"/>
      <c r="AZ110" s="1366"/>
      <c r="BA110" s="1366"/>
      <c r="BB110" s="1366"/>
      <c r="BC110" s="1366"/>
      <c r="BD110" s="1366"/>
      <c r="BE110" s="1366"/>
      <c r="BF110" s="1366"/>
      <c r="BG110" s="1366"/>
      <c r="BH110" s="1366"/>
      <c r="BI110" s="1366"/>
      <c r="BJ110" s="1366"/>
      <c r="BK110" s="1366"/>
      <c r="BL110" s="1366"/>
      <c r="BM110" s="1366"/>
      <c r="BN110" s="1366"/>
      <c r="BO110" s="1366"/>
      <c r="BP110" s="1366"/>
      <c r="BQ110" s="1366"/>
      <c r="BR110" s="1366"/>
      <c r="BS110" s="1366"/>
      <c r="BT110" s="1366"/>
      <c r="BU110" s="1366"/>
      <c r="BV110" s="1366"/>
      <c r="BW110" s="1366"/>
      <c r="BX110" s="1366"/>
      <c r="BY110" s="1366"/>
      <c r="BZ110" s="1366"/>
      <c r="CA110" s="1366"/>
      <c r="CB110" s="1366"/>
      <c r="CC110" s="1366"/>
      <c r="CD110" s="1366"/>
      <c r="CE110" s="1366"/>
      <c r="CF110" s="1366"/>
      <c r="CG110" s="1366"/>
      <c r="CH110" s="1366"/>
      <c r="CI110" s="1366"/>
      <c r="CJ110" s="1366"/>
      <c r="CK110" s="1366"/>
      <c r="CL110" s="1366"/>
      <c r="CM110" s="1366"/>
      <c r="CN110" s="1366"/>
      <c r="CO110" s="1366"/>
      <c r="CP110" s="1366"/>
      <c r="CQ110" s="1366"/>
      <c r="CR110" s="1366"/>
      <c r="CS110" s="1366"/>
      <c r="CT110" s="1366"/>
      <c r="CU110" s="1366"/>
      <c r="CV110" s="1366"/>
      <c r="CW110" s="1366"/>
      <c r="CX110" s="1366"/>
      <c r="CY110" s="1366"/>
      <c r="CZ110" s="1366"/>
      <c r="DA110" s="1366"/>
      <c r="DB110" s="1366"/>
      <c r="DC110" s="1366"/>
      <c r="DD110" s="1366"/>
      <c r="DE110" s="1366"/>
      <c r="DF110" s="1366"/>
      <c r="DG110" s="1366"/>
      <c r="DH110" s="1366"/>
      <c r="DI110" s="1366"/>
      <c r="DJ110" s="1366"/>
      <c r="DK110" s="1366"/>
      <c r="DL110" s="1366"/>
      <c r="DM110" s="1366"/>
      <c r="DN110" s="1366"/>
      <c r="DO110" s="1366"/>
      <c r="DP110" s="1366"/>
      <c r="DQ110" s="1366"/>
      <c r="DR110" s="1366"/>
      <c r="DS110" s="1366"/>
      <c r="DT110" s="1366"/>
      <c r="DU110" s="1366"/>
      <c r="DV110" s="1366"/>
    </row>
    <row r="111" spans="1:126" s="1367" customFormat="1" ht="30">
      <c r="A111" s="2494"/>
      <c r="B111" s="1653" t="s">
        <v>2134</v>
      </c>
      <c r="C111" s="658" t="s">
        <v>49</v>
      </c>
      <c r="D111" s="1375" t="s">
        <v>2124</v>
      </c>
      <c r="E111" s="1364" t="s">
        <v>2097</v>
      </c>
      <c r="F111" s="1364" t="s">
        <v>2107</v>
      </c>
      <c r="G111" s="1185" t="s">
        <v>1796</v>
      </c>
      <c r="H111" s="1361">
        <f>((60000*'Equipment Results Matrix'!$R$546)+(0.9*'Equipment Results Matrix'!$R$545)+('Equipment Results Matrix'!$R$547*0)+'Equipment Results Matrix'!$R$549+'Equipment Results Matrix'!$T$552)*(1+'Equipment Results Matrix'!$T$554)</f>
        <v>911.91264410400004</v>
      </c>
      <c r="I111" s="1371">
        <f t="shared" si="4"/>
        <v>4.2598000000000003</v>
      </c>
      <c r="J111" s="1372">
        <f>'Labor Results Matrix'!$G$16*(1+'Labor Results Matrix'!$K$16)</f>
        <v>68.342490675118952</v>
      </c>
      <c r="K111" s="1372">
        <f t="shared" si="5"/>
        <v>291.12534177787171</v>
      </c>
      <c r="L111" s="1388">
        <v>0</v>
      </c>
      <c r="M111" s="1372">
        <f t="shared" si="3"/>
        <v>1203.0379858818717</v>
      </c>
      <c r="N111" s="1458">
        <f t="shared" ref="N111:N119" si="10">M111-$M$109</f>
        <v>271.40046225599963</v>
      </c>
      <c r="O111" s="1374">
        <f t="shared" si="6"/>
        <v>15.1985440684</v>
      </c>
      <c r="P111" s="1371">
        <f t="shared" si="7"/>
        <v>7.0996666666666666E-2</v>
      </c>
      <c r="Q111" s="1372">
        <f t="shared" si="8"/>
        <v>4.8520890296311956</v>
      </c>
      <c r="R111" s="1373">
        <v>0</v>
      </c>
      <c r="S111" s="1373">
        <v>0</v>
      </c>
      <c r="T111" s="1372">
        <f t="shared" si="9"/>
        <v>20.050633098031195</v>
      </c>
      <c r="U111" s="1372">
        <f t="shared" si="9"/>
        <v>4.5233410375999936</v>
      </c>
      <c r="V111" s="1462">
        <v>0</v>
      </c>
      <c r="W111" s="1366"/>
      <c r="X111" s="1366"/>
      <c r="Y111" s="1366"/>
      <c r="Z111" s="1366"/>
      <c r="AA111" s="1366"/>
      <c r="AB111" s="1366"/>
      <c r="AC111" s="1366"/>
      <c r="AD111" s="1366"/>
      <c r="AE111" s="1366"/>
      <c r="AF111" s="1366"/>
      <c r="AG111" s="1366"/>
      <c r="AH111" s="1366"/>
      <c r="AI111" s="1366"/>
      <c r="AJ111" s="1366"/>
      <c r="AK111" s="1366"/>
      <c r="AL111" s="1366"/>
      <c r="AM111" s="1366"/>
      <c r="AN111" s="1366"/>
      <c r="AO111" s="1366"/>
      <c r="AP111" s="1366"/>
      <c r="AQ111" s="1366"/>
      <c r="AR111" s="1366"/>
      <c r="AS111" s="1366"/>
      <c r="AT111" s="1366"/>
      <c r="AU111" s="1366"/>
      <c r="AV111" s="1366"/>
      <c r="AW111" s="1366"/>
      <c r="AX111" s="1366"/>
      <c r="AY111" s="1366"/>
      <c r="AZ111" s="1366"/>
      <c r="BA111" s="1366"/>
      <c r="BB111" s="1366"/>
      <c r="BC111" s="1366"/>
      <c r="BD111" s="1366"/>
      <c r="BE111" s="1366"/>
      <c r="BF111" s="1366"/>
      <c r="BG111" s="1366"/>
      <c r="BH111" s="1366"/>
      <c r="BI111" s="1366"/>
      <c r="BJ111" s="1366"/>
      <c r="BK111" s="1366"/>
      <c r="BL111" s="1366"/>
      <c r="BM111" s="1366"/>
      <c r="BN111" s="1366"/>
      <c r="BO111" s="1366"/>
      <c r="BP111" s="1366"/>
      <c r="BQ111" s="1366"/>
      <c r="BR111" s="1366"/>
      <c r="BS111" s="1366"/>
      <c r="BT111" s="1366"/>
      <c r="BU111" s="1366"/>
      <c r="BV111" s="1366"/>
      <c r="BW111" s="1366"/>
      <c r="BX111" s="1366"/>
      <c r="BY111" s="1366"/>
      <c r="BZ111" s="1366"/>
      <c r="CA111" s="1366"/>
      <c r="CB111" s="1366"/>
      <c r="CC111" s="1366"/>
      <c r="CD111" s="1366"/>
      <c r="CE111" s="1366"/>
      <c r="CF111" s="1366"/>
      <c r="CG111" s="1366"/>
      <c r="CH111" s="1366"/>
      <c r="CI111" s="1366"/>
      <c r="CJ111" s="1366"/>
      <c r="CK111" s="1366"/>
      <c r="CL111" s="1366"/>
      <c r="CM111" s="1366"/>
      <c r="CN111" s="1366"/>
      <c r="CO111" s="1366"/>
      <c r="CP111" s="1366"/>
      <c r="CQ111" s="1366"/>
      <c r="CR111" s="1366"/>
      <c r="CS111" s="1366"/>
      <c r="CT111" s="1366"/>
      <c r="CU111" s="1366"/>
      <c r="CV111" s="1366"/>
      <c r="CW111" s="1366"/>
      <c r="CX111" s="1366"/>
      <c r="CY111" s="1366"/>
      <c r="CZ111" s="1366"/>
      <c r="DA111" s="1366"/>
      <c r="DB111" s="1366"/>
      <c r="DC111" s="1366"/>
      <c r="DD111" s="1366"/>
      <c r="DE111" s="1366"/>
      <c r="DF111" s="1366"/>
      <c r="DG111" s="1366"/>
      <c r="DH111" s="1366"/>
      <c r="DI111" s="1366"/>
      <c r="DJ111" s="1366"/>
      <c r="DK111" s="1366"/>
      <c r="DL111" s="1366"/>
      <c r="DM111" s="1366"/>
      <c r="DN111" s="1366"/>
      <c r="DO111" s="1366"/>
      <c r="DP111" s="1366"/>
      <c r="DQ111" s="1366"/>
      <c r="DR111" s="1366"/>
      <c r="DS111" s="1366"/>
      <c r="DT111" s="1366"/>
      <c r="DU111" s="1366"/>
      <c r="DV111" s="1366"/>
    </row>
    <row r="112" spans="1:126" s="1367" customFormat="1" ht="30">
      <c r="A112" s="2494"/>
      <c r="B112" s="1653">
        <v>147</v>
      </c>
      <c r="C112" s="658" t="s">
        <v>49</v>
      </c>
      <c r="D112" s="1375" t="s">
        <v>2125</v>
      </c>
      <c r="E112" s="1364" t="s">
        <v>2097</v>
      </c>
      <c r="F112" s="1364" t="s">
        <v>2107</v>
      </c>
      <c r="G112" s="1185" t="s">
        <v>1796</v>
      </c>
      <c r="H112" s="1361">
        <f>((60000*'Equipment Results Matrix'!$R$546)+(0.91*'Equipment Results Matrix'!$R$545)+('Equipment Results Matrix'!$R$547*0)+'Equipment Results Matrix'!$R$549+'Equipment Results Matrix'!$T$552)*(1+'Equipment Results Matrix'!$T$554)</f>
        <v>939.05269032960075</v>
      </c>
      <c r="I112" s="1371">
        <f t="shared" si="4"/>
        <v>4.2598000000000003</v>
      </c>
      <c r="J112" s="1372">
        <f>'Labor Results Matrix'!$G$16*(1+'Labor Results Matrix'!$K$16)</f>
        <v>68.342490675118952</v>
      </c>
      <c r="K112" s="1372">
        <f t="shared" si="5"/>
        <v>291.12534177787171</v>
      </c>
      <c r="L112" s="1388">
        <v>0</v>
      </c>
      <c r="M112" s="1372">
        <f t="shared" si="3"/>
        <v>1230.1780321074725</v>
      </c>
      <c r="N112" s="1458">
        <f t="shared" si="10"/>
        <v>298.54050848160045</v>
      </c>
      <c r="O112" s="1374">
        <f t="shared" si="6"/>
        <v>15.650878172160013</v>
      </c>
      <c r="P112" s="1371">
        <f t="shared" si="7"/>
        <v>7.0996666666666666E-2</v>
      </c>
      <c r="Q112" s="1372">
        <f t="shared" si="8"/>
        <v>4.8520890296311956</v>
      </c>
      <c r="R112" s="1373">
        <v>0</v>
      </c>
      <c r="S112" s="1373">
        <v>0</v>
      </c>
      <c r="T112" s="1372">
        <f t="shared" si="9"/>
        <v>20.502967201791208</v>
      </c>
      <c r="U112" s="1372">
        <f t="shared" si="9"/>
        <v>4.975675141360008</v>
      </c>
      <c r="V112" s="1462">
        <v>0</v>
      </c>
      <c r="W112" s="1366"/>
      <c r="X112" s="1366"/>
      <c r="Y112" s="1366"/>
      <c r="Z112" s="1366"/>
      <c r="AA112" s="1366"/>
      <c r="AB112" s="1366"/>
      <c r="AC112" s="1366"/>
      <c r="AD112" s="1366"/>
      <c r="AE112" s="1366"/>
      <c r="AF112" s="1366"/>
      <c r="AG112" s="1366"/>
      <c r="AH112" s="1366"/>
      <c r="AI112" s="1366"/>
      <c r="AJ112" s="1366"/>
      <c r="AK112" s="1366"/>
      <c r="AL112" s="1366"/>
      <c r="AM112" s="1366"/>
      <c r="AN112" s="1366"/>
      <c r="AO112" s="1366"/>
      <c r="AP112" s="1366"/>
      <c r="AQ112" s="1366"/>
      <c r="AR112" s="1366"/>
      <c r="AS112" s="1366"/>
      <c r="AT112" s="1366"/>
      <c r="AU112" s="1366"/>
      <c r="AV112" s="1366"/>
      <c r="AW112" s="1366"/>
      <c r="AX112" s="1366"/>
      <c r="AY112" s="1366"/>
      <c r="AZ112" s="1366"/>
      <c r="BA112" s="1366"/>
      <c r="BB112" s="1366"/>
      <c r="BC112" s="1366"/>
      <c r="BD112" s="1366"/>
      <c r="BE112" s="1366"/>
      <c r="BF112" s="1366"/>
      <c r="BG112" s="1366"/>
      <c r="BH112" s="1366"/>
      <c r="BI112" s="1366"/>
      <c r="BJ112" s="1366"/>
      <c r="BK112" s="1366"/>
      <c r="BL112" s="1366"/>
      <c r="BM112" s="1366"/>
      <c r="BN112" s="1366"/>
      <c r="BO112" s="1366"/>
      <c r="BP112" s="1366"/>
      <c r="BQ112" s="1366"/>
      <c r="BR112" s="1366"/>
      <c r="BS112" s="1366"/>
      <c r="BT112" s="1366"/>
      <c r="BU112" s="1366"/>
      <c r="BV112" s="1366"/>
      <c r="BW112" s="1366"/>
      <c r="BX112" s="1366"/>
      <c r="BY112" s="1366"/>
      <c r="BZ112" s="1366"/>
      <c r="CA112" s="1366"/>
      <c r="CB112" s="1366"/>
      <c r="CC112" s="1366"/>
      <c r="CD112" s="1366"/>
      <c r="CE112" s="1366"/>
      <c r="CF112" s="1366"/>
      <c r="CG112" s="1366"/>
      <c r="CH112" s="1366"/>
      <c r="CI112" s="1366"/>
      <c r="CJ112" s="1366"/>
      <c r="CK112" s="1366"/>
      <c r="CL112" s="1366"/>
      <c r="CM112" s="1366"/>
      <c r="CN112" s="1366"/>
      <c r="CO112" s="1366"/>
      <c r="CP112" s="1366"/>
      <c r="CQ112" s="1366"/>
      <c r="CR112" s="1366"/>
      <c r="CS112" s="1366"/>
      <c r="CT112" s="1366"/>
      <c r="CU112" s="1366"/>
      <c r="CV112" s="1366"/>
      <c r="CW112" s="1366"/>
      <c r="CX112" s="1366"/>
      <c r="CY112" s="1366"/>
      <c r="CZ112" s="1366"/>
      <c r="DA112" s="1366"/>
      <c r="DB112" s="1366"/>
      <c r="DC112" s="1366"/>
      <c r="DD112" s="1366"/>
      <c r="DE112" s="1366"/>
      <c r="DF112" s="1366"/>
      <c r="DG112" s="1366"/>
      <c r="DH112" s="1366"/>
      <c r="DI112" s="1366"/>
      <c r="DJ112" s="1366"/>
      <c r="DK112" s="1366"/>
      <c r="DL112" s="1366"/>
      <c r="DM112" s="1366"/>
      <c r="DN112" s="1366"/>
      <c r="DO112" s="1366"/>
      <c r="DP112" s="1366"/>
      <c r="DQ112" s="1366"/>
      <c r="DR112" s="1366"/>
      <c r="DS112" s="1366"/>
      <c r="DT112" s="1366"/>
      <c r="DU112" s="1366"/>
      <c r="DV112" s="1366"/>
    </row>
    <row r="113" spans="1:126" s="1367" customFormat="1" ht="30">
      <c r="A113" s="2494"/>
      <c r="B113" s="1653" t="s">
        <v>2135</v>
      </c>
      <c r="C113" s="658" t="s">
        <v>49</v>
      </c>
      <c r="D113" s="1375" t="s">
        <v>2126</v>
      </c>
      <c r="E113" s="1364" t="s">
        <v>2097</v>
      </c>
      <c r="F113" s="1364" t="s">
        <v>2107</v>
      </c>
      <c r="G113" s="1185" t="s">
        <v>1796</v>
      </c>
      <c r="H113" s="1361">
        <f>((60000*'Equipment Results Matrix'!$R$546)+(0.92*'Equipment Results Matrix'!$R$545)+('Equipment Results Matrix'!$R$547*1)+'Equipment Results Matrix'!$R$549+'Equipment Results Matrix'!$T$552)*(1+'Equipment Results Matrix'!$T$554)</f>
        <v>1086.1794818028011</v>
      </c>
      <c r="I113" s="1371">
        <f t="shared" si="4"/>
        <v>4.2598000000000003</v>
      </c>
      <c r="J113" s="1372">
        <f>'Labor Results Matrix'!$G$16*(1+'Labor Results Matrix'!$K$16)</f>
        <v>68.342490675118952</v>
      </c>
      <c r="K113" s="1372">
        <f t="shared" si="5"/>
        <v>291.12534177787171</v>
      </c>
      <c r="L113" s="1388">
        <v>0</v>
      </c>
      <c r="M113" s="1372">
        <f t="shared" si="3"/>
        <v>1377.3048235806727</v>
      </c>
      <c r="N113" s="1458">
        <f t="shared" si="10"/>
        <v>445.66729995480068</v>
      </c>
      <c r="O113" s="1374">
        <f t="shared" si="6"/>
        <v>18.102991363380017</v>
      </c>
      <c r="P113" s="1371">
        <f t="shared" si="7"/>
        <v>7.0996666666666666E-2</v>
      </c>
      <c r="Q113" s="1372">
        <f t="shared" si="8"/>
        <v>4.8520890296311956</v>
      </c>
      <c r="R113" s="1373">
        <v>0</v>
      </c>
      <c r="S113" s="1373">
        <v>0</v>
      </c>
      <c r="T113" s="1372">
        <f t="shared" si="9"/>
        <v>22.955080393011212</v>
      </c>
      <c r="U113" s="1372">
        <f t="shared" si="9"/>
        <v>7.4277883325800111</v>
      </c>
      <c r="V113" s="1462">
        <v>0</v>
      </c>
      <c r="W113" s="1366"/>
      <c r="X113" s="1366"/>
      <c r="Y113" s="1366"/>
      <c r="Z113" s="1366"/>
      <c r="AA113" s="1366"/>
      <c r="AB113" s="1366"/>
      <c r="AC113" s="1366"/>
      <c r="AD113" s="1366"/>
      <c r="AE113" s="1366"/>
      <c r="AF113" s="1366"/>
      <c r="AG113" s="1366"/>
      <c r="AH113" s="1366"/>
      <c r="AI113" s="1366"/>
      <c r="AJ113" s="1366"/>
      <c r="AK113" s="1366"/>
      <c r="AL113" s="1366"/>
      <c r="AM113" s="1366"/>
      <c r="AN113" s="1366"/>
      <c r="AO113" s="1366"/>
      <c r="AP113" s="1366"/>
      <c r="AQ113" s="1366"/>
      <c r="AR113" s="1366"/>
      <c r="AS113" s="1366"/>
      <c r="AT113" s="1366"/>
      <c r="AU113" s="1366"/>
      <c r="AV113" s="1366"/>
      <c r="AW113" s="1366"/>
      <c r="AX113" s="1366"/>
      <c r="AY113" s="1366"/>
      <c r="AZ113" s="1366"/>
      <c r="BA113" s="1366"/>
      <c r="BB113" s="1366"/>
      <c r="BC113" s="1366"/>
      <c r="BD113" s="1366"/>
      <c r="BE113" s="1366"/>
      <c r="BF113" s="1366"/>
      <c r="BG113" s="1366"/>
      <c r="BH113" s="1366"/>
      <c r="BI113" s="1366"/>
      <c r="BJ113" s="1366"/>
      <c r="BK113" s="1366"/>
      <c r="BL113" s="1366"/>
      <c r="BM113" s="1366"/>
      <c r="BN113" s="1366"/>
      <c r="BO113" s="1366"/>
      <c r="BP113" s="1366"/>
      <c r="BQ113" s="1366"/>
      <c r="BR113" s="1366"/>
      <c r="BS113" s="1366"/>
      <c r="BT113" s="1366"/>
      <c r="BU113" s="1366"/>
      <c r="BV113" s="1366"/>
      <c r="BW113" s="1366"/>
      <c r="BX113" s="1366"/>
      <c r="BY113" s="1366"/>
      <c r="BZ113" s="1366"/>
      <c r="CA113" s="1366"/>
      <c r="CB113" s="1366"/>
      <c r="CC113" s="1366"/>
      <c r="CD113" s="1366"/>
      <c r="CE113" s="1366"/>
      <c r="CF113" s="1366"/>
      <c r="CG113" s="1366"/>
      <c r="CH113" s="1366"/>
      <c r="CI113" s="1366"/>
      <c r="CJ113" s="1366"/>
      <c r="CK113" s="1366"/>
      <c r="CL113" s="1366"/>
      <c r="CM113" s="1366"/>
      <c r="CN113" s="1366"/>
      <c r="CO113" s="1366"/>
      <c r="CP113" s="1366"/>
      <c r="CQ113" s="1366"/>
      <c r="CR113" s="1366"/>
      <c r="CS113" s="1366"/>
      <c r="CT113" s="1366"/>
      <c r="CU113" s="1366"/>
      <c r="CV113" s="1366"/>
      <c r="CW113" s="1366"/>
      <c r="CX113" s="1366"/>
      <c r="CY113" s="1366"/>
      <c r="CZ113" s="1366"/>
      <c r="DA113" s="1366"/>
      <c r="DB113" s="1366"/>
      <c r="DC113" s="1366"/>
      <c r="DD113" s="1366"/>
      <c r="DE113" s="1366"/>
      <c r="DF113" s="1366"/>
      <c r="DG113" s="1366"/>
      <c r="DH113" s="1366"/>
      <c r="DI113" s="1366"/>
      <c r="DJ113" s="1366"/>
      <c r="DK113" s="1366"/>
      <c r="DL113" s="1366"/>
      <c r="DM113" s="1366"/>
      <c r="DN113" s="1366"/>
      <c r="DO113" s="1366"/>
      <c r="DP113" s="1366"/>
      <c r="DQ113" s="1366"/>
      <c r="DR113" s="1366"/>
      <c r="DS113" s="1366"/>
      <c r="DT113" s="1366"/>
      <c r="DU113" s="1366"/>
      <c r="DV113" s="1366"/>
    </row>
    <row r="114" spans="1:126" s="1367" customFormat="1" ht="30">
      <c r="A114" s="2494"/>
      <c r="B114" s="1653">
        <v>149</v>
      </c>
      <c r="C114" s="658" t="s">
        <v>49</v>
      </c>
      <c r="D114" s="1375" t="s">
        <v>2127</v>
      </c>
      <c r="E114" s="1364" t="s">
        <v>2097</v>
      </c>
      <c r="F114" s="1364" t="s">
        <v>2107</v>
      </c>
      <c r="G114" s="1185" t="s">
        <v>1796</v>
      </c>
      <c r="H114" s="1361">
        <f>((60000*'Equipment Results Matrix'!$R$546)+(0.93*'Equipment Results Matrix'!$R$545)+('Equipment Results Matrix'!$R$547*1)+'Equipment Results Matrix'!$R$549+'Equipment Results Matrix'!$T$552)*(1+'Equipment Results Matrix'!$T$554)</f>
        <v>1113.3195280284006</v>
      </c>
      <c r="I114" s="1371">
        <f t="shared" si="4"/>
        <v>4.2598000000000003</v>
      </c>
      <c r="J114" s="1372">
        <f>'Labor Results Matrix'!$G$16*(1+'Labor Results Matrix'!$K$16)</f>
        <v>68.342490675118952</v>
      </c>
      <c r="K114" s="1372">
        <f t="shared" si="5"/>
        <v>291.12534177787171</v>
      </c>
      <c r="L114" s="1388">
        <v>0</v>
      </c>
      <c r="M114" s="1372">
        <f t="shared" si="3"/>
        <v>1404.4448698062722</v>
      </c>
      <c r="N114" s="1458">
        <f t="shared" si="10"/>
        <v>472.80734618040015</v>
      </c>
      <c r="O114" s="1374">
        <f t="shared" si="6"/>
        <v>18.555325467140008</v>
      </c>
      <c r="P114" s="1371">
        <f t="shared" si="7"/>
        <v>7.0996666666666666E-2</v>
      </c>
      <c r="Q114" s="1372">
        <f t="shared" si="8"/>
        <v>4.8520890296311956</v>
      </c>
      <c r="R114" s="1373">
        <v>0</v>
      </c>
      <c r="S114" s="1373">
        <v>0</v>
      </c>
      <c r="T114" s="1372">
        <f t="shared" si="9"/>
        <v>23.407414496771203</v>
      </c>
      <c r="U114" s="1372">
        <f t="shared" si="9"/>
        <v>7.8801224363400024</v>
      </c>
      <c r="V114" s="1462">
        <v>0</v>
      </c>
      <c r="W114" s="1366"/>
      <c r="X114" s="1366"/>
      <c r="Y114" s="1366"/>
      <c r="Z114" s="1366"/>
      <c r="AA114" s="1366"/>
      <c r="AB114" s="1366"/>
      <c r="AC114" s="1366"/>
      <c r="AD114" s="1366"/>
      <c r="AE114" s="1366"/>
      <c r="AF114" s="1366"/>
      <c r="AG114" s="1366"/>
      <c r="AH114" s="1366"/>
      <c r="AI114" s="1366"/>
      <c r="AJ114" s="1366"/>
      <c r="AK114" s="1366"/>
      <c r="AL114" s="1366"/>
      <c r="AM114" s="1366"/>
      <c r="AN114" s="1366"/>
      <c r="AO114" s="1366"/>
      <c r="AP114" s="1366"/>
      <c r="AQ114" s="1366"/>
      <c r="AR114" s="1366"/>
      <c r="AS114" s="1366"/>
      <c r="AT114" s="1366"/>
      <c r="AU114" s="1366"/>
      <c r="AV114" s="1366"/>
      <c r="AW114" s="1366"/>
      <c r="AX114" s="1366"/>
      <c r="AY114" s="1366"/>
      <c r="AZ114" s="1366"/>
      <c r="BA114" s="1366"/>
      <c r="BB114" s="1366"/>
      <c r="BC114" s="1366"/>
      <c r="BD114" s="1366"/>
      <c r="BE114" s="1366"/>
      <c r="BF114" s="1366"/>
      <c r="BG114" s="1366"/>
      <c r="BH114" s="1366"/>
      <c r="BI114" s="1366"/>
      <c r="BJ114" s="1366"/>
      <c r="BK114" s="1366"/>
      <c r="BL114" s="1366"/>
      <c r="BM114" s="1366"/>
      <c r="BN114" s="1366"/>
      <c r="BO114" s="1366"/>
      <c r="BP114" s="1366"/>
      <c r="BQ114" s="1366"/>
      <c r="BR114" s="1366"/>
      <c r="BS114" s="1366"/>
      <c r="BT114" s="1366"/>
      <c r="BU114" s="1366"/>
      <c r="BV114" s="1366"/>
      <c r="BW114" s="1366"/>
      <c r="BX114" s="1366"/>
      <c r="BY114" s="1366"/>
      <c r="BZ114" s="1366"/>
      <c r="CA114" s="1366"/>
      <c r="CB114" s="1366"/>
      <c r="CC114" s="1366"/>
      <c r="CD114" s="1366"/>
      <c r="CE114" s="1366"/>
      <c r="CF114" s="1366"/>
      <c r="CG114" s="1366"/>
      <c r="CH114" s="1366"/>
      <c r="CI114" s="1366"/>
      <c r="CJ114" s="1366"/>
      <c r="CK114" s="1366"/>
      <c r="CL114" s="1366"/>
      <c r="CM114" s="1366"/>
      <c r="CN114" s="1366"/>
      <c r="CO114" s="1366"/>
      <c r="CP114" s="1366"/>
      <c r="CQ114" s="1366"/>
      <c r="CR114" s="1366"/>
      <c r="CS114" s="1366"/>
      <c r="CT114" s="1366"/>
      <c r="CU114" s="1366"/>
      <c r="CV114" s="1366"/>
      <c r="CW114" s="1366"/>
      <c r="CX114" s="1366"/>
      <c r="CY114" s="1366"/>
      <c r="CZ114" s="1366"/>
      <c r="DA114" s="1366"/>
      <c r="DB114" s="1366"/>
      <c r="DC114" s="1366"/>
      <c r="DD114" s="1366"/>
      <c r="DE114" s="1366"/>
      <c r="DF114" s="1366"/>
      <c r="DG114" s="1366"/>
      <c r="DH114" s="1366"/>
      <c r="DI114" s="1366"/>
      <c r="DJ114" s="1366"/>
      <c r="DK114" s="1366"/>
      <c r="DL114" s="1366"/>
      <c r="DM114" s="1366"/>
      <c r="DN114" s="1366"/>
      <c r="DO114" s="1366"/>
      <c r="DP114" s="1366"/>
      <c r="DQ114" s="1366"/>
      <c r="DR114" s="1366"/>
      <c r="DS114" s="1366"/>
      <c r="DT114" s="1366"/>
      <c r="DU114" s="1366"/>
      <c r="DV114" s="1366"/>
    </row>
    <row r="115" spans="1:126" s="1367" customFormat="1" ht="30">
      <c r="A115" s="2494"/>
      <c r="B115" s="1653" t="s">
        <v>2136</v>
      </c>
      <c r="C115" s="658" t="s">
        <v>49</v>
      </c>
      <c r="D115" s="1375" t="s">
        <v>2128</v>
      </c>
      <c r="E115" s="1364" t="s">
        <v>2097</v>
      </c>
      <c r="F115" s="1364" t="s">
        <v>2107</v>
      </c>
      <c r="G115" s="1185" t="s">
        <v>1796</v>
      </c>
      <c r="H115" s="1361">
        <f>((60000*'Equipment Results Matrix'!$R$546)+(0.94*'Equipment Results Matrix'!$R$545)+('Equipment Results Matrix'!$R$547*1)+'Equipment Results Matrix'!$R$549+'Equipment Results Matrix'!$T$552)*(1+'Equipment Results Matrix'!$T$554)</f>
        <v>1140.4595742540007</v>
      </c>
      <c r="I115" s="1371">
        <f t="shared" si="4"/>
        <v>4.2598000000000003</v>
      </c>
      <c r="J115" s="1372">
        <f>'Labor Results Matrix'!$G$16*(1+'Labor Results Matrix'!$K$16)</f>
        <v>68.342490675118952</v>
      </c>
      <c r="K115" s="1372">
        <f t="shared" si="5"/>
        <v>291.12534177787171</v>
      </c>
      <c r="L115" s="1388">
        <v>0</v>
      </c>
      <c r="M115" s="1372">
        <f t="shared" si="3"/>
        <v>1431.5849160318724</v>
      </c>
      <c r="N115" s="1458">
        <f t="shared" si="10"/>
        <v>499.94739240600029</v>
      </c>
      <c r="O115" s="1374">
        <f t="shared" si="6"/>
        <v>19.00765957090001</v>
      </c>
      <c r="P115" s="1371">
        <f t="shared" si="7"/>
        <v>7.0996666666666666E-2</v>
      </c>
      <c r="Q115" s="1372">
        <f t="shared" si="8"/>
        <v>4.8520890296311956</v>
      </c>
      <c r="R115" s="1373">
        <v>0</v>
      </c>
      <c r="S115" s="1373">
        <v>0</v>
      </c>
      <c r="T115" s="1372">
        <f t="shared" si="9"/>
        <v>23.859748600531205</v>
      </c>
      <c r="U115" s="1372">
        <f t="shared" si="9"/>
        <v>8.3324565401000044</v>
      </c>
      <c r="V115" s="1462">
        <v>0</v>
      </c>
      <c r="W115" s="1366"/>
      <c r="X115" s="1366"/>
      <c r="Y115" s="1366"/>
      <c r="Z115" s="1366"/>
      <c r="AA115" s="1366"/>
      <c r="AB115" s="1366"/>
      <c r="AC115" s="1366"/>
      <c r="AD115" s="1366"/>
      <c r="AE115" s="1366"/>
      <c r="AF115" s="1366"/>
      <c r="AG115" s="1366"/>
      <c r="AH115" s="1366"/>
      <c r="AI115" s="1366"/>
      <c r="AJ115" s="1366"/>
      <c r="AK115" s="1366"/>
      <c r="AL115" s="1366"/>
      <c r="AM115" s="1366"/>
      <c r="AN115" s="1366"/>
      <c r="AO115" s="1366"/>
      <c r="AP115" s="1366"/>
      <c r="AQ115" s="1366"/>
      <c r="AR115" s="1366"/>
      <c r="AS115" s="1366"/>
      <c r="AT115" s="1366"/>
      <c r="AU115" s="1366"/>
      <c r="AV115" s="1366"/>
      <c r="AW115" s="1366"/>
      <c r="AX115" s="1366"/>
      <c r="AY115" s="1366"/>
      <c r="AZ115" s="1366"/>
      <c r="BA115" s="1366"/>
      <c r="BB115" s="1366"/>
      <c r="BC115" s="1366"/>
      <c r="BD115" s="1366"/>
      <c r="BE115" s="1366"/>
      <c r="BF115" s="1366"/>
      <c r="BG115" s="1366"/>
      <c r="BH115" s="1366"/>
      <c r="BI115" s="1366"/>
      <c r="BJ115" s="1366"/>
      <c r="BK115" s="1366"/>
      <c r="BL115" s="1366"/>
      <c r="BM115" s="1366"/>
      <c r="BN115" s="1366"/>
      <c r="BO115" s="1366"/>
      <c r="BP115" s="1366"/>
      <c r="BQ115" s="1366"/>
      <c r="BR115" s="1366"/>
      <c r="BS115" s="1366"/>
      <c r="BT115" s="1366"/>
      <c r="BU115" s="1366"/>
      <c r="BV115" s="1366"/>
      <c r="BW115" s="1366"/>
      <c r="BX115" s="1366"/>
      <c r="BY115" s="1366"/>
      <c r="BZ115" s="1366"/>
      <c r="CA115" s="1366"/>
      <c r="CB115" s="1366"/>
      <c r="CC115" s="1366"/>
      <c r="CD115" s="1366"/>
      <c r="CE115" s="1366"/>
      <c r="CF115" s="1366"/>
      <c r="CG115" s="1366"/>
      <c r="CH115" s="1366"/>
      <c r="CI115" s="1366"/>
      <c r="CJ115" s="1366"/>
      <c r="CK115" s="1366"/>
      <c r="CL115" s="1366"/>
      <c r="CM115" s="1366"/>
      <c r="CN115" s="1366"/>
      <c r="CO115" s="1366"/>
      <c r="CP115" s="1366"/>
      <c r="CQ115" s="1366"/>
      <c r="CR115" s="1366"/>
      <c r="CS115" s="1366"/>
      <c r="CT115" s="1366"/>
      <c r="CU115" s="1366"/>
      <c r="CV115" s="1366"/>
      <c r="CW115" s="1366"/>
      <c r="CX115" s="1366"/>
      <c r="CY115" s="1366"/>
      <c r="CZ115" s="1366"/>
      <c r="DA115" s="1366"/>
      <c r="DB115" s="1366"/>
      <c r="DC115" s="1366"/>
      <c r="DD115" s="1366"/>
      <c r="DE115" s="1366"/>
      <c r="DF115" s="1366"/>
      <c r="DG115" s="1366"/>
      <c r="DH115" s="1366"/>
      <c r="DI115" s="1366"/>
      <c r="DJ115" s="1366"/>
      <c r="DK115" s="1366"/>
      <c r="DL115" s="1366"/>
      <c r="DM115" s="1366"/>
      <c r="DN115" s="1366"/>
      <c r="DO115" s="1366"/>
      <c r="DP115" s="1366"/>
      <c r="DQ115" s="1366"/>
      <c r="DR115" s="1366"/>
      <c r="DS115" s="1366"/>
      <c r="DT115" s="1366"/>
      <c r="DU115" s="1366"/>
      <c r="DV115" s="1366"/>
    </row>
    <row r="116" spans="1:126" s="1367" customFormat="1" ht="30">
      <c r="A116" s="2494"/>
      <c r="B116" s="1653">
        <v>151</v>
      </c>
      <c r="C116" s="658" t="s">
        <v>49</v>
      </c>
      <c r="D116" s="1375" t="s">
        <v>2129</v>
      </c>
      <c r="E116" s="1364" t="s">
        <v>2097</v>
      </c>
      <c r="F116" s="1364" t="s">
        <v>2107</v>
      </c>
      <c r="G116" s="1185" t="s">
        <v>1796</v>
      </c>
      <c r="H116" s="1361">
        <f>((60000*'Equipment Results Matrix'!$R$546)+(0.95*'Equipment Results Matrix'!$R$545)+('Equipment Results Matrix'!$R$547*1)+'Equipment Results Matrix'!$R$549+'Equipment Results Matrix'!$T$552)*(1+'Equipment Results Matrix'!$T$554)</f>
        <v>1167.5996204796008</v>
      </c>
      <c r="I116" s="1371">
        <f t="shared" si="4"/>
        <v>4.2598000000000003</v>
      </c>
      <c r="J116" s="1372">
        <f>'Labor Results Matrix'!$G$16*(1+'Labor Results Matrix'!$K$16)</f>
        <v>68.342490675118952</v>
      </c>
      <c r="K116" s="1372">
        <f t="shared" si="5"/>
        <v>291.12534177787171</v>
      </c>
      <c r="L116" s="1388">
        <v>0</v>
      </c>
      <c r="M116" s="1372">
        <f t="shared" si="3"/>
        <v>1458.7249622574725</v>
      </c>
      <c r="N116" s="1458">
        <f t="shared" si="10"/>
        <v>527.08743863160043</v>
      </c>
      <c r="O116" s="1374">
        <f t="shared" si="6"/>
        <v>19.459993674660016</v>
      </c>
      <c r="P116" s="1371">
        <f t="shared" si="7"/>
        <v>7.0996666666666666E-2</v>
      </c>
      <c r="Q116" s="1372">
        <f t="shared" si="8"/>
        <v>4.8520890296311956</v>
      </c>
      <c r="R116" s="1373">
        <v>0</v>
      </c>
      <c r="S116" s="1373">
        <v>0</v>
      </c>
      <c r="T116" s="1372">
        <f t="shared" si="9"/>
        <v>24.312082704291207</v>
      </c>
      <c r="U116" s="1372">
        <f t="shared" si="9"/>
        <v>8.7847906438600081</v>
      </c>
      <c r="V116" s="1462">
        <v>0</v>
      </c>
      <c r="W116" s="1366"/>
      <c r="X116" s="1366"/>
      <c r="Y116" s="1366"/>
      <c r="Z116" s="1366"/>
      <c r="AA116" s="1366"/>
      <c r="AB116" s="1366"/>
      <c r="AC116" s="1366"/>
      <c r="AD116" s="1366"/>
      <c r="AE116" s="1366"/>
      <c r="AF116" s="1366"/>
      <c r="AG116" s="1366"/>
      <c r="AH116" s="1366"/>
      <c r="AI116" s="1366"/>
      <c r="AJ116" s="1366"/>
      <c r="AK116" s="1366"/>
      <c r="AL116" s="1366"/>
      <c r="AM116" s="1366"/>
      <c r="AN116" s="1366"/>
      <c r="AO116" s="1366"/>
      <c r="AP116" s="1366"/>
      <c r="AQ116" s="1366"/>
      <c r="AR116" s="1366"/>
      <c r="AS116" s="1366"/>
      <c r="AT116" s="1366"/>
      <c r="AU116" s="1366"/>
      <c r="AV116" s="1366"/>
      <c r="AW116" s="1366"/>
      <c r="AX116" s="1366"/>
      <c r="AY116" s="1366"/>
      <c r="AZ116" s="1366"/>
      <c r="BA116" s="1366"/>
      <c r="BB116" s="1366"/>
      <c r="BC116" s="1366"/>
      <c r="BD116" s="1366"/>
      <c r="BE116" s="1366"/>
      <c r="BF116" s="1366"/>
      <c r="BG116" s="1366"/>
      <c r="BH116" s="1366"/>
      <c r="BI116" s="1366"/>
      <c r="BJ116" s="1366"/>
      <c r="BK116" s="1366"/>
      <c r="BL116" s="1366"/>
      <c r="BM116" s="1366"/>
      <c r="BN116" s="1366"/>
      <c r="BO116" s="1366"/>
      <c r="BP116" s="1366"/>
      <c r="BQ116" s="1366"/>
      <c r="BR116" s="1366"/>
      <c r="BS116" s="1366"/>
      <c r="BT116" s="1366"/>
      <c r="BU116" s="1366"/>
      <c r="BV116" s="1366"/>
      <c r="BW116" s="1366"/>
      <c r="BX116" s="1366"/>
      <c r="BY116" s="1366"/>
      <c r="BZ116" s="1366"/>
      <c r="CA116" s="1366"/>
      <c r="CB116" s="1366"/>
      <c r="CC116" s="1366"/>
      <c r="CD116" s="1366"/>
      <c r="CE116" s="1366"/>
      <c r="CF116" s="1366"/>
      <c r="CG116" s="1366"/>
      <c r="CH116" s="1366"/>
      <c r="CI116" s="1366"/>
      <c r="CJ116" s="1366"/>
      <c r="CK116" s="1366"/>
      <c r="CL116" s="1366"/>
      <c r="CM116" s="1366"/>
      <c r="CN116" s="1366"/>
      <c r="CO116" s="1366"/>
      <c r="CP116" s="1366"/>
      <c r="CQ116" s="1366"/>
      <c r="CR116" s="1366"/>
      <c r="CS116" s="1366"/>
      <c r="CT116" s="1366"/>
      <c r="CU116" s="1366"/>
      <c r="CV116" s="1366"/>
      <c r="CW116" s="1366"/>
      <c r="CX116" s="1366"/>
      <c r="CY116" s="1366"/>
      <c r="CZ116" s="1366"/>
      <c r="DA116" s="1366"/>
      <c r="DB116" s="1366"/>
      <c r="DC116" s="1366"/>
      <c r="DD116" s="1366"/>
      <c r="DE116" s="1366"/>
      <c r="DF116" s="1366"/>
      <c r="DG116" s="1366"/>
      <c r="DH116" s="1366"/>
      <c r="DI116" s="1366"/>
      <c r="DJ116" s="1366"/>
      <c r="DK116" s="1366"/>
      <c r="DL116" s="1366"/>
      <c r="DM116" s="1366"/>
      <c r="DN116" s="1366"/>
      <c r="DO116" s="1366"/>
      <c r="DP116" s="1366"/>
      <c r="DQ116" s="1366"/>
      <c r="DR116" s="1366"/>
      <c r="DS116" s="1366"/>
      <c r="DT116" s="1366"/>
      <c r="DU116" s="1366"/>
      <c r="DV116" s="1366"/>
    </row>
    <row r="117" spans="1:126" s="1367" customFormat="1" ht="30">
      <c r="A117" s="2494"/>
      <c r="B117" s="1653" t="s">
        <v>2137</v>
      </c>
      <c r="C117" s="658" t="s">
        <v>49</v>
      </c>
      <c r="D117" s="1375" t="s">
        <v>2130</v>
      </c>
      <c r="E117" s="1364" t="s">
        <v>2097</v>
      </c>
      <c r="F117" s="1364" t="s">
        <v>2107</v>
      </c>
      <c r="G117" s="1185" t="s">
        <v>1796</v>
      </c>
      <c r="H117" s="1361">
        <f>((60000*'Equipment Results Matrix'!$R$546)+(0.96*'Equipment Results Matrix'!$R$545)+('Equipment Results Matrix'!$R$547*0)+'Equipment Results Matrix'!$R$549+'Equipment Results Matrix'!$T$552)*(1+'Equipment Results Matrix'!$T$554)</f>
        <v>1074.7529214576002</v>
      </c>
      <c r="I117" s="1371">
        <f t="shared" si="4"/>
        <v>4.2598000000000003</v>
      </c>
      <c r="J117" s="1372">
        <f>'Labor Results Matrix'!$G$16*(1+'Labor Results Matrix'!$K$16)</f>
        <v>68.342490675118952</v>
      </c>
      <c r="K117" s="1372">
        <f t="shared" si="5"/>
        <v>291.12534177787171</v>
      </c>
      <c r="L117" s="1388">
        <v>0</v>
      </c>
      <c r="M117" s="1372">
        <f t="shared" si="3"/>
        <v>1365.8782632354719</v>
      </c>
      <c r="N117" s="1458">
        <f t="shared" si="10"/>
        <v>434.24073960959981</v>
      </c>
      <c r="O117" s="1374">
        <f t="shared" si="6"/>
        <v>17.912548690960005</v>
      </c>
      <c r="P117" s="1371">
        <f t="shared" si="7"/>
        <v>7.0996666666666666E-2</v>
      </c>
      <c r="Q117" s="1372">
        <f t="shared" si="8"/>
        <v>4.8520890296311956</v>
      </c>
      <c r="R117" s="1373">
        <v>0</v>
      </c>
      <c r="S117" s="1373">
        <v>0</v>
      </c>
      <c r="T117" s="1372">
        <f t="shared" si="9"/>
        <v>22.7646377205912</v>
      </c>
      <c r="U117" s="1372">
        <f t="shared" si="9"/>
        <v>7.2373456601599973</v>
      </c>
      <c r="V117" s="1462">
        <v>0</v>
      </c>
      <c r="W117" s="1366"/>
      <c r="X117" s="1366"/>
      <c r="Y117" s="1366"/>
      <c r="Z117" s="1366"/>
      <c r="AA117" s="1366"/>
      <c r="AB117" s="1366"/>
      <c r="AC117" s="1366"/>
      <c r="AD117" s="1366"/>
      <c r="AE117" s="1366"/>
      <c r="AF117" s="1366"/>
      <c r="AG117" s="1366"/>
      <c r="AH117" s="1366"/>
      <c r="AI117" s="1366"/>
      <c r="AJ117" s="1366"/>
      <c r="AK117" s="1366"/>
      <c r="AL117" s="1366"/>
      <c r="AM117" s="1366"/>
      <c r="AN117" s="1366"/>
      <c r="AO117" s="1366"/>
      <c r="AP117" s="1366"/>
      <c r="AQ117" s="1366"/>
      <c r="AR117" s="1366"/>
      <c r="AS117" s="1366"/>
      <c r="AT117" s="1366"/>
      <c r="AU117" s="1366"/>
      <c r="AV117" s="1366"/>
      <c r="AW117" s="1366"/>
      <c r="AX117" s="1366"/>
      <c r="AY117" s="1366"/>
      <c r="AZ117" s="1366"/>
      <c r="BA117" s="1366"/>
      <c r="BB117" s="1366"/>
      <c r="BC117" s="1366"/>
      <c r="BD117" s="1366"/>
      <c r="BE117" s="1366"/>
      <c r="BF117" s="1366"/>
      <c r="BG117" s="1366"/>
      <c r="BH117" s="1366"/>
      <c r="BI117" s="1366"/>
      <c r="BJ117" s="1366"/>
      <c r="BK117" s="1366"/>
      <c r="BL117" s="1366"/>
      <c r="BM117" s="1366"/>
      <c r="BN117" s="1366"/>
      <c r="BO117" s="1366"/>
      <c r="BP117" s="1366"/>
      <c r="BQ117" s="1366"/>
      <c r="BR117" s="1366"/>
      <c r="BS117" s="1366"/>
      <c r="BT117" s="1366"/>
      <c r="BU117" s="1366"/>
      <c r="BV117" s="1366"/>
      <c r="BW117" s="1366"/>
      <c r="BX117" s="1366"/>
      <c r="BY117" s="1366"/>
      <c r="BZ117" s="1366"/>
      <c r="CA117" s="1366"/>
      <c r="CB117" s="1366"/>
      <c r="CC117" s="1366"/>
      <c r="CD117" s="1366"/>
      <c r="CE117" s="1366"/>
      <c r="CF117" s="1366"/>
      <c r="CG117" s="1366"/>
      <c r="CH117" s="1366"/>
      <c r="CI117" s="1366"/>
      <c r="CJ117" s="1366"/>
      <c r="CK117" s="1366"/>
      <c r="CL117" s="1366"/>
      <c r="CM117" s="1366"/>
      <c r="CN117" s="1366"/>
      <c r="CO117" s="1366"/>
      <c r="CP117" s="1366"/>
      <c r="CQ117" s="1366"/>
      <c r="CR117" s="1366"/>
      <c r="CS117" s="1366"/>
      <c r="CT117" s="1366"/>
      <c r="CU117" s="1366"/>
      <c r="CV117" s="1366"/>
      <c r="CW117" s="1366"/>
      <c r="CX117" s="1366"/>
      <c r="CY117" s="1366"/>
      <c r="CZ117" s="1366"/>
      <c r="DA117" s="1366"/>
      <c r="DB117" s="1366"/>
      <c r="DC117" s="1366"/>
      <c r="DD117" s="1366"/>
      <c r="DE117" s="1366"/>
      <c r="DF117" s="1366"/>
      <c r="DG117" s="1366"/>
      <c r="DH117" s="1366"/>
      <c r="DI117" s="1366"/>
      <c r="DJ117" s="1366"/>
      <c r="DK117" s="1366"/>
      <c r="DL117" s="1366"/>
      <c r="DM117" s="1366"/>
      <c r="DN117" s="1366"/>
      <c r="DO117" s="1366"/>
      <c r="DP117" s="1366"/>
      <c r="DQ117" s="1366"/>
      <c r="DR117" s="1366"/>
      <c r="DS117" s="1366"/>
      <c r="DT117" s="1366"/>
      <c r="DU117" s="1366"/>
      <c r="DV117" s="1366"/>
    </row>
    <row r="118" spans="1:126" s="1367" customFormat="1" ht="30">
      <c r="A118" s="2494"/>
      <c r="B118" s="1653">
        <v>153</v>
      </c>
      <c r="C118" s="658" t="s">
        <v>49</v>
      </c>
      <c r="D118" s="1375" t="s">
        <v>2131</v>
      </c>
      <c r="E118" s="1364" t="s">
        <v>2097</v>
      </c>
      <c r="F118" s="1364" t="s">
        <v>2107</v>
      </c>
      <c r="G118" s="1185" t="s">
        <v>1796</v>
      </c>
      <c r="H118" s="1361">
        <f>((60000*'Equipment Results Matrix'!$R$546)+(0.97*'Equipment Results Matrix'!$R$545)+('Equipment Results Matrix'!$R$547*1)+'Equipment Results Matrix'!$R$549+'Equipment Results Matrix'!$T$552)*(1+'Equipment Results Matrix'!$T$554)</f>
        <v>1221.8797129308005</v>
      </c>
      <c r="I118" s="1371">
        <f t="shared" si="4"/>
        <v>4.2598000000000003</v>
      </c>
      <c r="J118" s="1372">
        <f>'Labor Results Matrix'!$G$16*(1+'Labor Results Matrix'!$K$16)</f>
        <v>68.342490675118952</v>
      </c>
      <c r="K118" s="1372">
        <f t="shared" si="5"/>
        <v>291.12534177787171</v>
      </c>
      <c r="L118" s="1388">
        <v>0</v>
      </c>
      <c r="M118" s="1372">
        <f t="shared" si="3"/>
        <v>1513.0050547086721</v>
      </c>
      <c r="N118" s="1458">
        <f t="shared" si="10"/>
        <v>581.36753108280004</v>
      </c>
      <c r="O118" s="1374">
        <f t="shared" si="6"/>
        <v>20.364661882180009</v>
      </c>
      <c r="P118" s="1371">
        <f t="shared" si="7"/>
        <v>7.0996666666666666E-2</v>
      </c>
      <c r="Q118" s="1372">
        <f t="shared" si="8"/>
        <v>4.8520890296311956</v>
      </c>
      <c r="R118" s="1373">
        <v>0</v>
      </c>
      <c r="S118" s="1373">
        <v>0</v>
      </c>
      <c r="T118" s="1372">
        <f t="shared" si="9"/>
        <v>25.2167509118112</v>
      </c>
      <c r="U118" s="1372">
        <f t="shared" si="9"/>
        <v>9.6894588513800013</v>
      </c>
      <c r="V118" s="1462">
        <v>0</v>
      </c>
      <c r="W118" s="1366"/>
      <c r="X118" s="1366"/>
      <c r="Y118" s="1366"/>
      <c r="Z118" s="1366"/>
      <c r="AA118" s="1366"/>
      <c r="AB118" s="1366"/>
      <c r="AC118" s="1366"/>
      <c r="AD118" s="1366"/>
      <c r="AE118" s="1366"/>
      <c r="AF118" s="1366"/>
      <c r="AG118" s="1366"/>
      <c r="AH118" s="1366"/>
      <c r="AI118" s="1366"/>
      <c r="AJ118" s="1366"/>
      <c r="AK118" s="1366"/>
      <c r="AL118" s="1366"/>
      <c r="AM118" s="1366"/>
      <c r="AN118" s="1366"/>
      <c r="AO118" s="1366"/>
      <c r="AP118" s="1366"/>
      <c r="AQ118" s="1366"/>
      <c r="AR118" s="1366"/>
      <c r="AS118" s="1366"/>
      <c r="AT118" s="1366"/>
      <c r="AU118" s="1366"/>
      <c r="AV118" s="1366"/>
      <c r="AW118" s="1366"/>
      <c r="AX118" s="1366"/>
      <c r="AY118" s="1366"/>
      <c r="AZ118" s="1366"/>
      <c r="BA118" s="1366"/>
      <c r="BB118" s="1366"/>
      <c r="BC118" s="1366"/>
      <c r="BD118" s="1366"/>
      <c r="BE118" s="1366"/>
      <c r="BF118" s="1366"/>
      <c r="BG118" s="1366"/>
      <c r="BH118" s="1366"/>
      <c r="BI118" s="1366"/>
      <c r="BJ118" s="1366"/>
      <c r="BK118" s="1366"/>
      <c r="BL118" s="1366"/>
      <c r="BM118" s="1366"/>
      <c r="BN118" s="1366"/>
      <c r="BO118" s="1366"/>
      <c r="BP118" s="1366"/>
      <c r="BQ118" s="1366"/>
      <c r="BR118" s="1366"/>
      <c r="BS118" s="1366"/>
      <c r="BT118" s="1366"/>
      <c r="BU118" s="1366"/>
      <c r="BV118" s="1366"/>
      <c r="BW118" s="1366"/>
      <c r="BX118" s="1366"/>
      <c r="BY118" s="1366"/>
      <c r="BZ118" s="1366"/>
      <c r="CA118" s="1366"/>
      <c r="CB118" s="1366"/>
      <c r="CC118" s="1366"/>
      <c r="CD118" s="1366"/>
      <c r="CE118" s="1366"/>
      <c r="CF118" s="1366"/>
      <c r="CG118" s="1366"/>
      <c r="CH118" s="1366"/>
      <c r="CI118" s="1366"/>
      <c r="CJ118" s="1366"/>
      <c r="CK118" s="1366"/>
      <c r="CL118" s="1366"/>
      <c r="CM118" s="1366"/>
      <c r="CN118" s="1366"/>
      <c r="CO118" s="1366"/>
      <c r="CP118" s="1366"/>
      <c r="CQ118" s="1366"/>
      <c r="CR118" s="1366"/>
      <c r="CS118" s="1366"/>
      <c r="CT118" s="1366"/>
      <c r="CU118" s="1366"/>
      <c r="CV118" s="1366"/>
      <c r="CW118" s="1366"/>
      <c r="CX118" s="1366"/>
      <c r="CY118" s="1366"/>
      <c r="CZ118" s="1366"/>
      <c r="DA118" s="1366"/>
      <c r="DB118" s="1366"/>
      <c r="DC118" s="1366"/>
      <c r="DD118" s="1366"/>
      <c r="DE118" s="1366"/>
      <c r="DF118" s="1366"/>
      <c r="DG118" s="1366"/>
      <c r="DH118" s="1366"/>
      <c r="DI118" s="1366"/>
      <c r="DJ118" s="1366"/>
      <c r="DK118" s="1366"/>
      <c r="DL118" s="1366"/>
      <c r="DM118" s="1366"/>
      <c r="DN118" s="1366"/>
      <c r="DO118" s="1366"/>
      <c r="DP118" s="1366"/>
      <c r="DQ118" s="1366"/>
      <c r="DR118" s="1366"/>
      <c r="DS118" s="1366"/>
      <c r="DT118" s="1366"/>
      <c r="DU118" s="1366"/>
      <c r="DV118" s="1366"/>
    </row>
    <row r="119" spans="1:126" s="1367" customFormat="1" ht="30">
      <c r="A119" s="2494"/>
      <c r="B119" s="1653">
        <v>154</v>
      </c>
      <c r="C119" s="658" t="s">
        <v>49</v>
      </c>
      <c r="D119" s="1375" t="s">
        <v>2132</v>
      </c>
      <c r="E119" s="1364" t="s">
        <v>2097</v>
      </c>
      <c r="F119" s="1364" t="s">
        <v>2107</v>
      </c>
      <c r="G119" s="1185" t="s">
        <v>1796</v>
      </c>
      <c r="H119" s="1361">
        <f>((60000*'Equipment Results Matrix'!$R$546)+(0.98*'Equipment Results Matrix'!$R$545)+('Equipment Results Matrix'!$R$547*1)+'Equipment Results Matrix'!$R$549+'Equipment Results Matrix'!$T$552)*(1+'Equipment Results Matrix'!$T$554)</f>
        <v>1249.0197591564006</v>
      </c>
      <c r="I119" s="1371">
        <f t="shared" si="4"/>
        <v>4.2598000000000003</v>
      </c>
      <c r="J119" s="1372">
        <f>'Labor Results Matrix'!$G$16*(1+'Labor Results Matrix'!$K$16)</f>
        <v>68.342490675118952</v>
      </c>
      <c r="K119" s="1372">
        <f t="shared" si="5"/>
        <v>291.12534177787171</v>
      </c>
      <c r="L119" s="1388">
        <v>0</v>
      </c>
      <c r="M119" s="1372">
        <f t="shared" si="3"/>
        <v>1540.1451009342723</v>
      </c>
      <c r="N119" s="1458">
        <f t="shared" si="10"/>
        <v>608.50757730840019</v>
      </c>
      <c r="O119" s="1374">
        <f t="shared" si="6"/>
        <v>20.816995985940011</v>
      </c>
      <c r="P119" s="1371">
        <f t="shared" si="7"/>
        <v>7.0996666666666666E-2</v>
      </c>
      <c r="Q119" s="1372">
        <f t="shared" si="8"/>
        <v>4.8520890296311956</v>
      </c>
      <c r="R119" s="1373">
        <v>0</v>
      </c>
      <c r="S119" s="1373">
        <v>0</v>
      </c>
      <c r="T119" s="1372">
        <f t="shared" si="9"/>
        <v>25.669085015571206</v>
      </c>
      <c r="U119" s="1372">
        <f t="shared" si="9"/>
        <v>10.141792955140003</v>
      </c>
      <c r="V119" s="1462">
        <v>0</v>
      </c>
      <c r="W119" s="1366"/>
      <c r="X119" s="1366"/>
      <c r="Y119" s="1366"/>
      <c r="Z119" s="1366"/>
      <c r="AA119" s="1366"/>
      <c r="AB119" s="1366"/>
      <c r="AC119" s="1366"/>
      <c r="AD119" s="1366"/>
      <c r="AE119" s="1366"/>
      <c r="AF119" s="1366"/>
      <c r="AG119" s="1366"/>
      <c r="AH119" s="1366"/>
      <c r="AI119" s="1366"/>
      <c r="AJ119" s="1366"/>
      <c r="AK119" s="1366"/>
      <c r="AL119" s="1366"/>
      <c r="AM119" s="1366"/>
      <c r="AN119" s="1366"/>
      <c r="AO119" s="1366"/>
      <c r="AP119" s="1366"/>
      <c r="AQ119" s="1366"/>
      <c r="AR119" s="1366"/>
      <c r="AS119" s="1366"/>
      <c r="AT119" s="1366"/>
      <c r="AU119" s="1366"/>
      <c r="AV119" s="1366"/>
      <c r="AW119" s="1366"/>
      <c r="AX119" s="1366"/>
      <c r="AY119" s="1366"/>
      <c r="AZ119" s="1366"/>
      <c r="BA119" s="1366"/>
      <c r="BB119" s="1366"/>
      <c r="BC119" s="1366"/>
      <c r="BD119" s="1366"/>
      <c r="BE119" s="1366"/>
      <c r="BF119" s="1366"/>
      <c r="BG119" s="1366"/>
      <c r="BH119" s="1366"/>
      <c r="BI119" s="1366"/>
      <c r="BJ119" s="1366"/>
      <c r="BK119" s="1366"/>
      <c r="BL119" s="1366"/>
      <c r="BM119" s="1366"/>
      <c r="BN119" s="1366"/>
      <c r="BO119" s="1366"/>
      <c r="BP119" s="1366"/>
      <c r="BQ119" s="1366"/>
      <c r="BR119" s="1366"/>
      <c r="BS119" s="1366"/>
      <c r="BT119" s="1366"/>
      <c r="BU119" s="1366"/>
      <c r="BV119" s="1366"/>
      <c r="BW119" s="1366"/>
      <c r="BX119" s="1366"/>
      <c r="BY119" s="1366"/>
      <c r="BZ119" s="1366"/>
      <c r="CA119" s="1366"/>
      <c r="CB119" s="1366"/>
      <c r="CC119" s="1366"/>
      <c r="CD119" s="1366"/>
      <c r="CE119" s="1366"/>
      <c r="CF119" s="1366"/>
      <c r="CG119" s="1366"/>
      <c r="CH119" s="1366"/>
      <c r="CI119" s="1366"/>
      <c r="CJ119" s="1366"/>
      <c r="CK119" s="1366"/>
      <c r="CL119" s="1366"/>
      <c r="CM119" s="1366"/>
      <c r="CN119" s="1366"/>
      <c r="CO119" s="1366"/>
      <c r="CP119" s="1366"/>
      <c r="CQ119" s="1366"/>
      <c r="CR119" s="1366"/>
      <c r="CS119" s="1366"/>
      <c r="CT119" s="1366"/>
      <c r="CU119" s="1366"/>
      <c r="CV119" s="1366"/>
      <c r="CW119" s="1366"/>
      <c r="CX119" s="1366"/>
      <c r="CY119" s="1366"/>
      <c r="CZ119" s="1366"/>
      <c r="DA119" s="1366"/>
      <c r="DB119" s="1366"/>
      <c r="DC119" s="1366"/>
      <c r="DD119" s="1366"/>
      <c r="DE119" s="1366"/>
      <c r="DF119" s="1366"/>
      <c r="DG119" s="1366"/>
      <c r="DH119" s="1366"/>
      <c r="DI119" s="1366"/>
      <c r="DJ119" s="1366"/>
      <c r="DK119" s="1366"/>
      <c r="DL119" s="1366"/>
      <c r="DM119" s="1366"/>
      <c r="DN119" s="1366"/>
      <c r="DO119" s="1366"/>
      <c r="DP119" s="1366"/>
      <c r="DQ119" s="1366"/>
      <c r="DR119" s="1366"/>
      <c r="DS119" s="1366"/>
      <c r="DT119" s="1366"/>
      <c r="DU119" s="1366"/>
      <c r="DV119" s="1366"/>
    </row>
    <row r="120" spans="1:126" s="1370" customFormat="1" ht="30">
      <c r="A120" s="2494"/>
      <c r="B120" s="1656" t="s">
        <v>2138</v>
      </c>
      <c r="C120" s="619" t="s">
        <v>47</v>
      </c>
      <c r="D120" s="1467" t="s">
        <v>2139</v>
      </c>
      <c r="E120" s="1368" t="s">
        <v>2097</v>
      </c>
      <c r="F120" s="1368" t="s">
        <v>2107</v>
      </c>
      <c r="G120" s="222" t="s">
        <v>1796</v>
      </c>
      <c r="H120" s="1361">
        <f>((150000*'Equipment Results Matrix'!$R$546)+(0.8*'Equipment Results Matrix'!$R$545)+('Equipment Results Matrix'!$R$547*0)+'Equipment Results Matrix'!$R$549+'Equipment Results Matrix'!$T$552)*(1+'Equipment Results Matrix'!$T$554)</f>
        <v>1026.2557818480007</v>
      </c>
      <c r="I120" s="1371">
        <f xml:space="preserve"> 0.017*150 + 3.2398</f>
        <v>5.7897999999999996</v>
      </c>
      <c r="J120" s="1372">
        <f>'Labor Results Matrix'!$G$16*(1+'Labor Results Matrix'!$K$16)</f>
        <v>68.342490675118952</v>
      </c>
      <c r="K120" s="1372">
        <f t="shared" si="5"/>
        <v>395.6893525108037</v>
      </c>
      <c r="L120" s="1388">
        <v>0</v>
      </c>
      <c r="M120" s="1372">
        <f t="shared" si="3"/>
        <v>1421.9451343588044</v>
      </c>
      <c r="N120" s="1455" t="s">
        <v>40</v>
      </c>
      <c r="O120" s="1374">
        <f>H120/150</f>
        <v>6.8417052123200044</v>
      </c>
      <c r="P120" s="1371">
        <f>I120/150</f>
        <v>3.8598666666666663E-2</v>
      </c>
      <c r="Q120" s="1372">
        <f>K120/150</f>
        <v>2.6379290167386915</v>
      </c>
      <c r="R120" s="1373">
        <v>0</v>
      </c>
      <c r="S120" s="1373">
        <v>0</v>
      </c>
      <c r="T120" s="1372">
        <f>M120/150</f>
        <v>9.4796342290586963</v>
      </c>
      <c r="U120" s="1372" t="s">
        <v>40</v>
      </c>
      <c r="V120" s="1462" t="s">
        <v>40</v>
      </c>
      <c r="W120" s="1369"/>
      <c r="X120" s="1369"/>
      <c r="Y120" s="1369"/>
      <c r="Z120" s="1369"/>
      <c r="AA120" s="1369"/>
      <c r="AB120" s="1369"/>
      <c r="AC120" s="1369"/>
      <c r="AD120" s="1369"/>
      <c r="AE120" s="1369"/>
      <c r="AF120" s="1369"/>
      <c r="AG120" s="1369"/>
      <c r="AH120" s="1369"/>
      <c r="AI120" s="1369"/>
      <c r="AJ120" s="1369"/>
      <c r="AK120" s="1369"/>
      <c r="AL120" s="1369"/>
      <c r="AM120" s="1369"/>
      <c r="AN120" s="1369"/>
      <c r="AO120" s="1369"/>
      <c r="AP120" s="1369"/>
      <c r="AQ120" s="1369"/>
      <c r="AR120" s="1369"/>
      <c r="AS120" s="1369"/>
      <c r="AT120" s="1369"/>
      <c r="AU120" s="1369"/>
      <c r="AV120" s="1369"/>
      <c r="AW120" s="1369"/>
      <c r="AX120" s="1369"/>
      <c r="AY120" s="1369"/>
      <c r="AZ120" s="1369"/>
      <c r="BA120" s="1369"/>
      <c r="BB120" s="1369"/>
      <c r="BC120" s="1369"/>
      <c r="BD120" s="1369"/>
      <c r="BE120" s="1369"/>
      <c r="BF120" s="1369"/>
      <c r="BG120" s="1369"/>
      <c r="BH120" s="1369"/>
      <c r="BI120" s="1369"/>
      <c r="BJ120" s="1369"/>
      <c r="BK120" s="1369"/>
      <c r="BL120" s="1369"/>
      <c r="BM120" s="1369"/>
      <c r="BN120" s="1369"/>
      <c r="BO120" s="1369"/>
      <c r="BP120" s="1369"/>
      <c r="BQ120" s="1369"/>
      <c r="BR120" s="1369"/>
      <c r="BS120" s="1369"/>
      <c r="BT120" s="1369"/>
      <c r="BU120" s="1369"/>
      <c r="BV120" s="1369"/>
      <c r="BW120" s="1369"/>
      <c r="BX120" s="1369"/>
      <c r="BY120" s="1369"/>
      <c r="BZ120" s="1369"/>
      <c r="CA120" s="1369"/>
      <c r="CB120" s="1369"/>
      <c r="CC120" s="1369"/>
      <c r="CD120" s="1369"/>
      <c r="CE120" s="1369"/>
      <c r="CF120" s="1369"/>
      <c r="CG120" s="1369"/>
      <c r="CH120" s="1369"/>
      <c r="CI120" s="1369"/>
      <c r="CJ120" s="1369"/>
      <c r="CK120" s="1369"/>
      <c r="CL120" s="1369"/>
      <c r="CM120" s="1369"/>
      <c r="CN120" s="1369"/>
      <c r="CO120" s="1369"/>
      <c r="CP120" s="1369"/>
      <c r="CQ120" s="1369"/>
      <c r="CR120" s="1369"/>
      <c r="CS120" s="1369"/>
      <c r="CT120" s="1369"/>
      <c r="CU120" s="1369"/>
      <c r="CV120" s="1369"/>
      <c r="CW120" s="1369"/>
      <c r="CX120" s="1369"/>
      <c r="CY120" s="1369"/>
      <c r="CZ120" s="1369"/>
      <c r="DA120" s="1369"/>
      <c r="DB120" s="1369"/>
      <c r="DC120" s="1369"/>
      <c r="DD120" s="1369"/>
      <c r="DE120" s="1369"/>
      <c r="DF120" s="1369"/>
      <c r="DG120" s="1369"/>
      <c r="DH120" s="1369"/>
      <c r="DI120" s="1369"/>
      <c r="DJ120" s="1369"/>
      <c r="DK120" s="1369"/>
      <c r="DL120" s="1369"/>
      <c r="DM120" s="1369"/>
      <c r="DN120" s="1369"/>
      <c r="DO120" s="1369"/>
      <c r="DP120" s="1369"/>
      <c r="DQ120" s="1369"/>
      <c r="DR120" s="1369"/>
      <c r="DS120" s="1369"/>
      <c r="DT120" s="1369"/>
      <c r="DU120" s="1369"/>
      <c r="DV120" s="1369"/>
    </row>
    <row r="121" spans="1:126" s="1367" customFormat="1" ht="30">
      <c r="A121" s="2494"/>
      <c r="B121" s="1653" t="s">
        <v>2133</v>
      </c>
      <c r="C121" s="658" t="s">
        <v>49</v>
      </c>
      <c r="D121" s="1379" t="s">
        <v>2149</v>
      </c>
      <c r="E121" s="1364" t="s">
        <v>2097</v>
      </c>
      <c r="F121" s="1364" t="s">
        <v>2107</v>
      </c>
      <c r="G121" s="1185" t="s">
        <v>1796</v>
      </c>
      <c r="H121" s="1361">
        <f>((150000*'Equipment Results Matrix'!$R$546)+(0.81*'Equipment Results Matrix'!$R$545)+('Equipment Results Matrix'!$R$547*0)+'Equipment Results Matrix'!$R$549+'Equipment Results Matrix'!$T$552)*(1+'Equipment Results Matrix'!$T$554)</f>
        <v>1053.3958280736001</v>
      </c>
      <c r="I121" s="1371">
        <f xml:space="preserve"> 0.017*150 + 3.2398</f>
        <v>5.7897999999999996</v>
      </c>
      <c r="J121" s="1372">
        <f>'Labor Results Matrix'!$G$16*(1+'Labor Results Matrix'!$K$16)</f>
        <v>68.342490675118952</v>
      </c>
      <c r="K121" s="1372">
        <f>(J121*I121)</f>
        <v>395.6893525108037</v>
      </c>
      <c r="L121" s="1388">
        <v>0</v>
      </c>
      <c r="M121" s="1372">
        <f t="shared" si="3"/>
        <v>1449.0851805844038</v>
      </c>
      <c r="N121" s="1458">
        <f>M121-$M$120</f>
        <v>27.140046225599463</v>
      </c>
      <c r="O121" s="1374">
        <f t="shared" ref="O121:O130" si="11">H121/150</f>
        <v>7.0226388538240005</v>
      </c>
      <c r="P121" s="1371">
        <f t="shared" ref="P121:P130" si="12">I121/150</f>
        <v>3.8598666666666663E-2</v>
      </c>
      <c r="Q121" s="1372">
        <f t="shared" ref="Q121:Q130" si="13">K121/150</f>
        <v>2.6379290167386915</v>
      </c>
      <c r="R121" s="1373">
        <v>0</v>
      </c>
      <c r="S121" s="1373">
        <v>0</v>
      </c>
      <c r="T121" s="1372">
        <f t="shared" ref="T121:U130" si="14">M121/150</f>
        <v>9.6605678705626925</v>
      </c>
      <c r="U121" s="1372">
        <f t="shared" si="14"/>
        <v>0.18093364150399641</v>
      </c>
      <c r="V121" s="1462">
        <v>0</v>
      </c>
      <c r="W121" s="1366"/>
      <c r="X121" s="1366"/>
      <c r="Y121" s="1366"/>
      <c r="Z121" s="1366"/>
      <c r="AA121" s="1366"/>
      <c r="AB121" s="1366"/>
      <c r="AC121" s="1366"/>
      <c r="AD121" s="1366"/>
      <c r="AE121" s="1366"/>
      <c r="AF121" s="1366"/>
      <c r="AG121" s="1366"/>
      <c r="AH121" s="1366"/>
      <c r="AI121" s="1366"/>
      <c r="AJ121" s="1366"/>
      <c r="AK121" s="1366"/>
      <c r="AL121" s="1366"/>
      <c r="AM121" s="1366"/>
      <c r="AN121" s="1366"/>
      <c r="AO121" s="1366"/>
      <c r="AP121" s="1366"/>
      <c r="AQ121" s="1366"/>
      <c r="AR121" s="1366"/>
      <c r="AS121" s="1366"/>
      <c r="AT121" s="1366"/>
      <c r="AU121" s="1366"/>
      <c r="AV121" s="1366"/>
      <c r="AW121" s="1366"/>
      <c r="AX121" s="1366"/>
      <c r="AY121" s="1366"/>
      <c r="AZ121" s="1366"/>
      <c r="BA121" s="1366"/>
      <c r="BB121" s="1366"/>
      <c r="BC121" s="1366"/>
      <c r="BD121" s="1366"/>
      <c r="BE121" s="1366"/>
      <c r="BF121" s="1366"/>
      <c r="BG121" s="1366"/>
      <c r="BH121" s="1366"/>
      <c r="BI121" s="1366"/>
      <c r="BJ121" s="1366"/>
      <c r="BK121" s="1366"/>
      <c r="BL121" s="1366"/>
      <c r="BM121" s="1366"/>
      <c r="BN121" s="1366"/>
      <c r="BO121" s="1366"/>
      <c r="BP121" s="1366"/>
      <c r="BQ121" s="1366"/>
      <c r="BR121" s="1366"/>
      <c r="BS121" s="1366"/>
      <c r="BT121" s="1366"/>
      <c r="BU121" s="1366"/>
      <c r="BV121" s="1366"/>
      <c r="BW121" s="1366"/>
      <c r="BX121" s="1366"/>
      <c r="BY121" s="1366"/>
      <c r="BZ121" s="1366"/>
      <c r="CA121" s="1366"/>
      <c r="CB121" s="1366"/>
      <c r="CC121" s="1366"/>
      <c r="CD121" s="1366"/>
      <c r="CE121" s="1366"/>
      <c r="CF121" s="1366"/>
      <c r="CG121" s="1366"/>
      <c r="CH121" s="1366"/>
      <c r="CI121" s="1366"/>
      <c r="CJ121" s="1366"/>
      <c r="CK121" s="1366"/>
      <c r="CL121" s="1366"/>
      <c r="CM121" s="1366"/>
      <c r="CN121" s="1366"/>
      <c r="CO121" s="1366"/>
      <c r="CP121" s="1366"/>
      <c r="CQ121" s="1366"/>
      <c r="CR121" s="1366"/>
      <c r="CS121" s="1366"/>
      <c r="CT121" s="1366"/>
      <c r="CU121" s="1366"/>
      <c r="CV121" s="1366"/>
      <c r="CW121" s="1366"/>
      <c r="CX121" s="1366"/>
      <c r="CY121" s="1366"/>
      <c r="CZ121" s="1366"/>
      <c r="DA121" s="1366"/>
      <c r="DB121" s="1366"/>
      <c r="DC121" s="1366"/>
      <c r="DD121" s="1366"/>
      <c r="DE121" s="1366"/>
      <c r="DF121" s="1366"/>
      <c r="DG121" s="1366"/>
      <c r="DH121" s="1366"/>
      <c r="DI121" s="1366"/>
      <c r="DJ121" s="1366"/>
      <c r="DK121" s="1366"/>
      <c r="DL121" s="1366"/>
      <c r="DM121" s="1366"/>
      <c r="DN121" s="1366"/>
      <c r="DO121" s="1366"/>
      <c r="DP121" s="1366"/>
      <c r="DQ121" s="1366"/>
      <c r="DR121" s="1366"/>
      <c r="DS121" s="1366"/>
      <c r="DT121" s="1366"/>
      <c r="DU121" s="1366"/>
      <c r="DV121" s="1366"/>
    </row>
    <row r="122" spans="1:126" s="1367" customFormat="1" ht="30">
      <c r="A122" s="2494"/>
      <c r="B122" s="1653" t="s">
        <v>2134</v>
      </c>
      <c r="C122" s="658" t="s">
        <v>49</v>
      </c>
      <c r="D122" s="1379" t="s">
        <v>2140</v>
      </c>
      <c r="E122" s="1364" t="s">
        <v>2097</v>
      </c>
      <c r="F122" s="1364" t="s">
        <v>2107</v>
      </c>
      <c r="G122" s="1185" t="s">
        <v>1796</v>
      </c>
      <c r="H122" s="1361">
        <f>((150000*'Equipment Results Matrix'!$R$546)+(0.9*'Equipment Results Matrix'!$R$545)+('Equipment Results Matrix'!$R$547*0)+'Equipment Results Matrix'!$R$549+'Equipment Results Matrix'!$T$552)*(1+'Equipment Results Matrix'!$T$554)</f>
        <v>1297.6562441040001</v>
      </c>
      <c r="I122" s="1371">
        <f t="shared" ref="I122:I130" si="15" xml:space="preserve"> 0.017*150 + 3.2398</f>
        <v>5.7897999999999996</v>
      </c>
      <c r="J122" s="1372">
        <f>'Labor Results Matrix'!$G$16*(1+'Labor Results Matrix'!$K$16)</f>
        <v>68.342490675118952</v>
      </c>
      <c r="K122" s="1372">
        <f t="shared" ref="K122:K132" si="16">(J122*I122)</f>
        <v>395.6893525108037</v>
      </c>
      <c r="L122" s="1388">
        <v>0</v>
      </c>
      <c r="M122" s="1372">
        <f t="shared" si="3"/>
        <v>1693.3455966148038</v>
      </c>
      <c r="N122" s="1458">
        <f>M122-$M$120</f>
        <v>271.4004622559994</v>
      </c>
      <c r="O122" s="1374">
        <f t="shared" si="11"/>
        <v>8.6510416273599997</v>
      </c>
      <c r="P122" s="1371">
        <f t="shared" si="12"/>
        <v>3.8598666666666663E-2</v>
      </c>
      <c r="Q122" s="1372">
        <f t="shared" si="13"/>
        <v>2.6379290167386915</v>
      </c>
      <c r="R122" s="1373">
        <v>0</v>
      </c>
      <c r="S122" s="1373">
        <v>0</v>
      </c>
      <c r="T122" s="1372">
        <f t="shared" si="14"/>
        <v>11.288970644098692</v>
      </c>
      <c r="U122" s="1372">
        <f t="shared" si="14"/>
        <v>1.809336415039996</v>
      </c>
      <c r="V122" s="1462">
        <v>0</v>
      </c>
      <c r="W122" s="1366"/>
      <c r="X122" s="1366"/>
      <c r="Y122" s="1366"/>
      <c r="Z122" s="1366"/>
      <c r="AA122" s="1366"/>
      <c r="AB122" s="1366"/>
      <c r="AC122" s="1366"/>
      <c r="AD122" s="1366"/>
      <c r="AE122" s="1366"/>
      <c r="AF122" s="1366"/>
      <c r="AG122" s="1366"/>
      <c r="AH122" s="1366"/>
      <c r="AI122" s="1366"/>
      <c r="AJ122" s="1366"/>
      <c r="AK122" s="1366"/>
      <c r="AL122" s="1366"/>
      <c r="AM122" s="1366"/>
      <c r="AN122" s="1366"/>
      <c r="AO122" s="1366"/>
      <c r="AP122" s="1366"/>
      <c r="AQ122" s="1366"/>
      <c r="AR122" s="1366"/>
      <c r="AS122" s="1366"/>
      <c r="AT122" s="1366"/>
      <c r="AU122" s="1366"/>
      <c r="AV122" s="1366"/>
      <c r="AW122" s="1366"/>
      <c r="AX122" s="1366"/>
      <c r="AY122" s="1366"/>
      <c r="AZ122" s="1366"/>
      <c r="BA122" s="1366"/>
      <c r="BB122" s="1366"/>
      <c r="BC122" s="1366"/>
      <c r="BD122" s="1366"/>
      <c r="BE122" s="1366"/>
      <c r="BF122" s="1366"/>
      <c r="BG122" s="1366"/>
      <c r="BH122" s="1366"/>
      <c r="BI122" s="1366"/>
      <c r="BJ122" s="1366"/>
      <c r="BK122" s="1366"/>
      <c r="BL122" s="1366"/>
      <c r="BM122" s="1366"/>
      <c r="BN122" s="1366"/>
      <c r="BO122" s="1366"/>
      <c r="BP122" s="1366"/>
      <c r="BQ122" s="1366"/>
      <c r="BR122" s="1366"/>
      <c r="BS122" s="1366"/>
      <c r="BT122" s="1366"/>
      <c r="BU122" s="1366"/>
      <c r="BV122" s="1366"/>
      <c r="BW122" s="1366"/>
      <c r="BX122" s="1366"/>
      <c r="BY122" s="1366"/>
      <c r="BZ122" s="1366"/>
      <c r="CA122" s="1366"/>
      <c r="CB122" s="1366"/>
      <c r="CC122" s="1366"/>
      <c r="CD122" s="1366"/>
      <c r="CE122" s="1366"/>
      <c r="CF122" s="1366"/>
      <c r="CG122" s="1366"/>
      <c r="CH122" s="1366"/>
      <c r="CI122" s="1366"/>
      <c r="CJ122" s="1366"/>
      <c r="CK122" s="1366"/>
      <c r="CL122" s="1366"/>
      <c r="CM122" s="1366"/>
      <c r="CN122" s="1366"/>
      <c r="CO122" s="1366"/>
      <c r="CP122" s="1366"/>
      <c r="CQ122" s="1366"/>
      <c r="CR122" s="1366"/>
      <c r="CS122" s="1366"/>
      <c r="CT122" s="1366"/>
      <c r="CU122" s="1366"/>
      <c r="CV122" s="1366"/>
      <c r="CW122" s="1366"/>
      <c r="CX122" s="1366"/>
      <c r="CY122" s="1366"/>
      <c r="CZ122" s="1366"/>
      <c r="DA122" s="1366"/>
      <c r="DB122" s="1366"/>
      <c r="DC122" s="1366"/>
      <c r="DD122" s="1366"/>
      <c r="DE122" s="1366"/>
      <c r="DF122" s="1366"/>
      <c r="DG122" s="1366"/>
      <c r="DH122" s="1366"/>
      <c r="DI122" s="1366"/>
      <c r="DJ122" s="1366"/>
      <c r="DK122" s="1366"/>
      <c r="DL122" s="1366"/>
      <c r="DM122" s="1366"/>
      <c r="DN122" s="1366"/>
      <c r="DO122" s="1366"/>
      <c r="DP122" s="1366"/>
      <c r="DQ122" s="1366"/>
      <c r="DR122" s="1366"/>
      <c r="DS122" s="1366"/>
      <c r="DT122" s="1366"/>
      <c r="DU122" s="1366"/>
      <c r="DV122" s="1366"/>
    </row>
    <row r="123" spans="1:126" s="1367" customFormat="1" ht="30">
      <c r="A123" s="2494"/>
      <c r="B123" s="1653">
        <v>147</v>
      </c>
      <c r="C123" s="658" t="s">
        <v>49</v>
      </c>
      <c r="D123" s="1379" t="s">
        <v>2141</v>
      </c>
      <c r="E123" s="1364" t="s">
        <v>2097</v>
      </c>
      <c r="F123" s="1364" t="s">
        <v>2107</v>
      </c>
      <c r="G123" s="1185" t="s">
        <v>1796</v>
      </c>
      <c r="H123" s="1361">
        <f>((150000*'Equipment Results Matrix'!$R$546)+(0.91*'Equipment Results Matrix'!$R$545)+('Equipment Results Matrix'!$R$547*0)+'Equipment Results Matrix'!$R$549+'Equipment Results Matrix'!$T$552)*(1+'Equipment Results Matrix'!$T$554)</f>
        <v>1324.7962903296002</v>
      </c>
      <c r="I123" s="1371">
        <f t="shared" si="15"/>
        <v>5.7897999999999996</v>
      </c>
      <c r="J123" s="1372">
        <f>'Labor Results Matrix'!$G$16*(1+'Labor Results Matrix'!$K$16)</f>
        <v>68.342490675118952</v>
      </c>
      <c r="K123" s="1372">
        <f t="shared" si="16"/>
        <v>395.6893525108037</v>
      </c>
      <c r="L123" s="1388">
        <v>0</v>
      </c>
      <c r="M123" s="1372">
        <f t="shared" si="3"/>
        <v>1720.4856428404039</v>
      </c>
      <c r="N123" s="1458">
        <f t="shared" ref="N123:N130" si="17">M123-$M$120</f>
        <v>298.54050848159955</v>
      </c>
      <c r="O123" s="1374">
        <f t="shared" si="11"/>
        <v>8.8319752688640012</v>
      </c>
      <c r="P123" s="1371">
        <f t="shared" si="12"/>
        <v>3.8598666666666663E-2</v>
      </c>
      <c r="Q123" s="1372">
        <f t="shared" si="13"/>
        <v>2.6379290167386915</v>
      </c>
      <c r="R123" s="1373">
        <v>0</v>
      </c>
      <c r="S123" s="1373">
        <v>0</v>
      </c>
      <c r="T123" s="1372">
        <f t="shared" si="14"/>
        <v>11.469904285602693</v>
      </c>
      <c r="U123" s="1372">
        <f t="shared" si="14"/>
        <v>1.990270056543997</v>
      </c>
      <c r="V123" s="1462">
        <v>0</v>
      </c>
      <c r="W123" s="1366"/>
      <c r="X123" s="1366"/>
      <c r="Y123" s="1366"/>
      <c r="Z123" s="1366"/>
      <c r="AA123" s="1366"/>
      <c r="AB123" s="1366"/>
      <c r="AC123" s="1366"/>
      <c r="AD123" s="1366"/>
      <c r="AE123" s="1366"/>
      <c r="AF123" s="1366"/>
      <c r="AG123" s="1366"/>
      <c r="AH123" s="1366"/>
      <c r="AI123" s="1366"/>
      <c r="AJ123" s="1366"/>
      <c r="AK123" s="1366"/>
      <c r="AL123" s="1366"/>
      <c r="AM123" s="1366"/>
      <c r="AN123" s="1366"/>
      <c r="AO123" s="1366"/>
      <c r="AP123" s="1366"/>
      <c r="AQ123" s="1366"/>
      <c r="AR123" s="1366"/>
      <c r="AS123" s="1366"/>
      <c r="AT123" s="1366"/>
      <c r="AU123" s="1366"/>
      <c r="AV123" s="1366"/>
      <c r="AW123" s="1366"/>
      <c r="AX123" s="1366"/>
      <c r="AY123" s="1366"/>
      <c r="AZ123" s="1366"/>
      <c r="BA123" s="1366"/>
      <c r="BB123" s="1366"/>
      <c r="BC123" s="1366"/>
      <c r="BD123" s="1366"/>
      <c r="BE123" s="1366"/>
      <c r="BF123" s="1366"/>
      <c r="BG123" s="1366"/>
      <c r="BH123" s="1366"/>
      <c r="BI123" s="1366"/>
      <c r="BJ123" s="1366"/>
      <c r="BK123" s="1366"/>
      <c r="BL123" s="1366"/>
      <c r="BM123" s="1366"/>
      <c r="BN123" s="1366"/>
      <c r="BO123" s="1366"/>
      <c r="BP123" s="1366"/>
      <c r="BQ123" s="1366"/>
      <c r="BR123" s="1366"/>
      <c r="BS123" s="1366"/>
      <c r="BT123" s="1366"/>
      <c r="BU123" s="1366"/>
      <c r="BV123" s="1366"/>
      <c r="BW123" s="1366"/>
      <c r="BX123" s="1366"/>
      <c r="BY123" s="1366"/>
      <c r="BZ123" s="1366"/>
      <c r="CA123" s="1366"/>
      <c r="CB123" s="1366"/>
      <c r="CC123" s="1366"/>
      <c r="CD123" s="1366"/>
      <c r="CE123" s="1366"/>
      <c r="CF123" s="1366"/>
      <c r="CG123" s="1366"/>
      <c r="CH123" s="1366"/>
      <c r="CI123" s="1366"/>
      <c r="CJ123" s="1366"/>
      <c r="CK123" s="1366"/>
      <c r="CL123" s="1366"/>
      <c r="CM123" s="1366"/>
      <c r="CN123" s="1366"/>
      <c r="CO123" s="1366"/>
      <c r="CP123" s="1366"/>
      <c r="CQ123" s="1366"/>
      <c r="CR123" s="1366"/>
      <c r="CS123" s="1366"/>
      <c r="CT123" s="1366"/>
      <c r="CU123" s="1366"/>
      <c r="CV123" s="1366"/>
      <c r="CW123" s="1366"/>
      <c r="CX123" s="1366"/>
      <c r="CY123" s="1366"/>
      <c r="CZ123" s="1366"/>
      <c r="DA123" s="1366"/>
      <c r="DB123" s="1366"/>
      <c r="DC123" s="1366"/>
      <c r="DD123" s="1366"/>
      <c r="DE123" s="1366"/>
      <c r="DF123" s="1366"/>
      <c r="DG123" s="1366"/>
      <c r="DH123" s="1366"/>
      <c r="DI123" s="1366"/>
      <c r="DJ123" s="1366"/>
      <c r="DK123" s="1366"/>
      <c r="DL123" s="1366"/>
      <c r="DM123" s="1366"/>
      <c r="DN123" s="1366"/>
      <c r="DO123" s="1366"/>
      <c r="DP123" s="1366"/>
      <c r="DQ123" s="1366"/>
      <c r="DR123" s="1366"/>
      <c r="DS123" s="1366"/>
      <c r="DT123" s="1366"/>
      <c r="DU123" s="1366"/>
      <c r="DV123" s="1366"/>
    </row>
    <row r="124" spans="1:126" s="1367" customFormat="1" ht="30">
      <c r="A124" s="2494"/>
      <c r="B124" s="1653" t="s">
        <v>2135</v>
      </c>
      <c r="C124" s="658" t="s">
        <v>49</v>
      </c>
      <c r="D124" s="1379" t="s">
        <v>2142</v>
      </c>
      <c r="E124" s="1364" t="s">
        <v>2097</v>
      </c>
      <c r="F124" s="1364" t="s">
        <v>2107</v>
      </c>
      <c r="G124" s="1185" t="s">
        <v>1796</v>
      </c>
      <c r="H124" s="1361">
        <f>((150000*'Equipment Results Matrix'!$R$546)+(0.92*'Equipment Results Matrix'!$R$545)+('Equipment Results Matrix'!$R$547*1)+'Equipment Results Matrix'!$R$549+'Equipment Results Matrix'!$T$552)*(1+'Equipment Results Matrix'!$T$554)</f>
        <v>1471.9230818028004</v>
      </c>
      <c r="I124" s="1371">
        <f t="shared" si="15"/>
        <v>5.7897999999999996</v>
      </c>
      <c r="J124" s="1372">
        <f>'Labor Results Matrix'!$G$16*(1+'Labor Results Matrix'!$K$16)</f>
        <v>68.342490675118952</v>
      </c>
      <c r="K124" s="1372">
        <f t="shared" si="16"/>
        <v>395.6893525108037</v>
      </c>
      <c r="L124" s="1388">
        <v>0</v>
      </c>
      <c r="M124" s="1372">
        <f t="shared" si="3"/>
        <v>1867.6124343136041</v>
      </c>
      <c r="N124" s="1458">
        <f t="shared" si="17"/>
        <v>445.66729995479977</v>
      </c>
      <c r="O124" s="1374">
        <f t="shared" si="11"/>
        <v>9.8128205453520021</v>
      </c>
      <c r="P124" s="1371">
        <f t="shared" si="12"/>
        <v>3.8598666666666663E-2</v>
      </c>
      <c r="Q124" s="1372">
        <f t="shared" si="13"/>
        <v>2.6379290167386915</v>
      </c>
      <c r="R124" s="1373">
        <v>0</v>
      </c>
      <c r="S124" s="1373">
        <v>0</v>
      </c>
      <c r="T124" s="1372">
        <f t="shared" si="14"/>
        <v>12.450749562090694</v>
      </c>
      <c r="U124" s="1372">
        <f t="shared" si="14"/>
        <v>2.9711153330319986</v>
      </c>
      <c r="V124" s="1462">
        <v>0</v>
      </c>
      <c r="W124" s="1366"/>
      <c r="X124" s="1366"/>
      <c r="Y124" s="1366"/>
      <c r="Z124" s="1366"/>
      <c r="AA124" s="1366"/>
      <c r="AB124" s="1366"/>
      <c r="AC124" s="1366"/>
      <c r="AD124" s="1366"/>
      <c r="AE124" s="1366"/>
      <c r="AF124" s="1366"/>
      <c r="AG124" s="1366"/>
      <c r="AH124" s="1366"/>
      <c r="AI124" s="1366"/>
      <c r="AJ124" s="1366"/>
      <c r="AK124" s="1366"/>
      <c r="AL124" s="1366"/>
      <c r="AM124" s="1366"/>
      <c r="AN124" s="1366"/>
      <c r="AO124" s="1366"/>
      <c r="AP124" s="1366"/>
      <c r="AQ124" s="1366"/>
      <c r="AR124" s="1366"/>
      <c r="AS124" s="1366"/>
      <c r="AT124" s="1366"/>
      <c r="AU124" s="1366"/>
      <c r="AV124" s="1366"/>
      <c r="AW124" s="1366"/>
      <c r="AX124" s="1366"/>
      <c r="AY124" s="1366"/>
      <c r="AZ124" s="1366"/>
      <c r="BA124" s="1366"/>
      <c r="BB124" s="1366"/>
      <c r="BC124" s="1366"/>
      <c r="BD124" s="1366"/>
      <c r="BE124" s="1366"/>
      <c r="BF124" s="1366"/>
      <c r="BG124" s="1366"/>
      <c r="BH124" s="1366"/>
      <c r="BI124" s="1366"/>
      <c r="BJ124" s="1366"/>
      <c r="BK124" s="1366"/>
      <c r="BL124" s="1366"/>
      <c r="BM124" s="1366"/>
      <c r="BN124" s="1366"/>
      <c r="BO124" s="1366"/>
      <c r="BP124" s="1366"/>
      <c r="BQ124" s="1366"/>
      <c r="BR124" s="1366"/>
      <c r="BS124" s="1366"/>
      <c r="BT124" s="1366"/>
      <c r="BU124" s="1366"/>
      <c r="BV124" s="1366"/>
      <c r="BW124" s="1366"/>
      <c r="BX124" s="1366"/>
      <c r="BY124" s="1366"/>
      <c r="BZ124" s="1366"/>
      <c r="CA124" s="1366"/>
      <c r="CB124" s="1366"/>
      <c r="CC124" s="1366"/>
      <c r="CD124" s="1366"/>
      <c r="CE124" s="1366"/>
      <c r="CF124" s="1366"/>
      <c r="CG124" s="1366"/>
      <c r="CH124" s="1366"/>
      <c r="CI124" s="1366"/>
      <c r="CJ124" s="1366"/>
      <c r="CK124" s="1366"/>
      <c r="CL124" s="1366"/>
      <c r="CM124" s="1366"/>
      <c r="CN124" s="1366"/>
      <c r="CO124" s="1366"/>
      <c r="CP124" s="1366"/>
      <c r="CQ124" s="1366"/>
      <c r="CR124" s="1366"/>
      <c r="CS124" s="1366"/>
      <c r="CT124" s="1366"/>
      <c r="CU124" s="1366"/>
      <c r="CV124" s="1366"/>
      <c r="CW124" s="1366"/>
      <c r="CX124" s="1366"/>
      <c r="CY124" s="1366"/>
      <c r="CZ124" s="1366"/>
      <c r="DA124" s="1366"/>
      <c r="DB124" s="1366"/>
      <c r="DC124" s="1366"/>
      <c r="DD124" s="1366"/>
      <c r="DE124" s="1366"/>
      <c r="DF124" s="1366"/>
      <c r="DG124" s="1366"/>
      <c r="DH124" s="1366"/>
      <c r="DI124" s="1366"/>
      <c r="DJ124" s="1366"/>
      <c r="DK124" s="1366"/>
      <c r="DL124" s="1366"/>
      <c r="DM124" s="1366"/>
      <c r="DN124" s="1366"/>
      <c r="DO124" s="1366"/>
      <c r="DP124" s="1366"/>
      <c r="DQ124" s="1366"/>
      <c r="DR124" s="1366"/>
      <c r="DS124" s="1366"/>
      <c r="DT124" s="1366"/>
      <c r="DU124" s="1366"/>
      <c r="DV124" s="1366"/>
    </row>
    <row r="125" spans="1:126" s="1367" customFormat="1" ht="30">
      <c r="A125" s="2494"/>
      <c r="B125" s="1653">
        <v>149</v>
      </c>
      <c r="C125" s="658" t="s">
        <v>49</v>
      </c>
      <c r="D125" s="1379" t="s">
        <v>2143</v>
      </c>
      <c r="E125" s="1364" t="s">
        <v>2097</v>
      </c>
      <c r="F125" s="1364" t="s">
        <v>2107</v>
      </c>
      <c r="G125" s="1185" t="s">
        <v>1796</v>
      </c>
      <c r="H125" s="1361">
        <f>((150000*'Equipment Results Matrix'!$R$546)+(0.93*'Equipment Results Matrix'!$R$545)+('Equipment Results Matrix'!$R$547*1)+'Equipment Results Matrix'!$R$549+'Equipment Results Matrix'!$T$552)*(1+'Equipment Results Matrix'!$T$554)</f>
        <v>1499.0631280284006</v>
      </c>
      <c r="I125" s="1371">
        <f t="shared" si="15"/>
        <v>5.7897999999999996</v>
      </c>
      <c r="J125" s="1372">
        <f>'Labor Results Matrix'!$G$16*(1+'Labor Results Matrix'!$K$16)</f>
        <v>68.342490675118952</v>
      </c>
      <c r="K125" s="1372">
        <f t="shared" si="16"/>
        <v>395.6893525108037</v>
      </c>
      <c r="L125" s="1388">
        <v>0</v>
      </c>
      <c r="M125" s="1372">
        <f t="shared" si="3"/>
        <v>1894.7524805392043</v>
      </c>
      <c r="N125" s="1458">
        <f t="shared" si="17"/>
        <v>472.80734618039992</v>
      </c>
      <c r="O125" s="1374">
        <f t="shared" si="11"/>
        <v>9.9937541868560036</v>
      </c>
      <c r="P125" s="1371">
        <f t="shared" si="12"/>
        <v>3.8598666666666663E-2</v>
      </c>
      <c r="Q125" s="1372">
        <f t="shared" si="13"/>
        <v>2.6379290167386915</v>
      </c>
      <c r="R125" s="1373">
        <v>0</v>
      </c>
      <c r="S125" s="1373">
        <v>0</v>
      </c>
      <c r="T125" s="1372">
        <f t="shared" si="14"/>
        <v>12.631683203594696</v>
      </c>
      <c r="U125" s="1372">
        <f t="shared" si="14"/>
        <v>3.1520489745359996</v>
      </c>
      <c r="V125" s="1462">
        <v>0</v>
      </c>
      <c r="W125" s="1366"/>
      <c r="X125" s="1366"/>
      <c r="Y125" s="1366"/>
      <c r="Z125" s="1366"/>
      <c r="AA125" s="1366"/>
      <c r="AB125" s="1366"/>
      <c r="AC125" s="1366"/>
      <c r="AD125" s="1366"/>
      <c r="AE125" s="1366"/>
      <c r="AF125" s="1366"/>
      <c r="AG125" s="1366"/>
      <c r="AH125" s="1366"/>
      <c r="AI125" s="1366"/>
      <c r="AJ125" s="1366"/>
      <c r="AK125" s="1366"/>
      <c r="AL125" s="1366"/>
      <c r="AM125" s="1366"/>
      <c r="AN125" s="1366"/>
      <c r="AO125" s="1366"/>
      <c r="AP125" s="1366"/>
      <c r="AQ125" s="1366"/>
      <c r="AR125" s="1366"/>
      <c r="AS125" s="1366"/>
      <c r="AT125" s="1366"/>
      <c r="AU125" s="1366"/>
      <c r="AV125" s="1366"/>
      <c r="AW125" s="1366"/>
      <c r="AX125" s="1366"/>
      <c r="AY125" s="1366"/>
      <c r="AZ125" s="1366"/>
      <c r="BA125" s="1366"/>
      <c r="BB125" s="1366"/>
      <c r="BC125" s="1366"/>
      <c r="BD125" s="1366"/>
      <c r="BE125" s="1366"/>
      <c r="BF125" s="1366"/>
      <c r="BG125" s="1366"/>
      <c r="BH125" s="1366"/>
      <c r="BI125" s="1366"/>
      <c r="BJ125" s="1366"/>
      <c r="BK125" s="1366"/>
      <c r="BL125" s="1366"/>
      <c r="BM125" s="1366"/>
      <c r="BN125" s="1366"/>
      <c r="BO125" s="1366"/>
      <c r="BP125" s="1366"/>
      <c r="BQ125" s="1366"/>
      <c r="BR125" s="1366"/>
      <c r="BS125" s="1366"/>
      <c r="BT125" s="1366"/>
      <c r="BU125" s="1366"/>
      <c r="BV125" s="1366"/>
      <c r="BW125" s="1366"/>
      <c r="BX125" s="1366"/>
      <c r="BY125" s="1366"/>
      <c r="BZ125" s="1366"/>
      <c r="CA125" s="1366"/>
      <c r="CB125" s="1366"/>
      <c r="CC125" s="1366"/>
      <c r="CD125" s="1366"/>
      <c r="CE125" s="1366"/>
      <c r="CF125" s="1366"/>
      <c r="CG125" s="1366"/>
      <c r="CH125" s="1366"/>
      <c r="CI125" s="1366"/>
      <c r="CJ125" s="1366"/>
      <c r="CK125" s="1366"/>
      <c r="CL125" s="1366"/>
      <c r="CM125" s="1366"/>
      <c r="CN125" s="1366"/>
      <c r="CO125" s="1366"/>
      <c r="CP125" s="1366"/>
      <c r="CQ125" s="1366"/>
      <c r="CR125" s="1366"/>
      <c r="CS125" s="1366"/>
      <c r="CT125" s="1366"/>
      <c r="CU125" s="1366"/>
      <c r="CV125" s="1366"/>
      <c r="CW125" s="1366"/>
      <c r="CX125" s="1366"/>
      <c r="CY125" s="1366"/>
      <c r="CZ125" s="1366"/>
      <c r="DA125" s="1366"/>
      <c r="DB125" s="1366"/>
      <c r="DC125" s="1366"/>
      <c r="DD125" s="1366"/>
      <c r="DE125" s="1366"/>
      <c r="DF125" s="1366"/>
      <c r="DG125" s="1366"/>
      <c r="DH125" s="1366"/>
      <c r="DI125" s="1366"/>
      <c r="DJ125" s="1366"/>
      <c r="DK125" s="1366"/>
      <c r="DL125" s="1366"/>
      <c r="DM125" s="1366"/>
      <c r="DN125" s="1366"/>
      <c r="DO125" s="1366"/>
      <c r="DP125" s="1366"/>
      <c r="DQ125" s="1366"/>
      <c r="DR125" s="1366"/>
      <c r="DS125" s="1366"/>
      <c r="DT125" s="1366"/>
      <c r="DU125" s="1366"/>
      <c r="DV125" s="1366"/>
    </row>
    <row r="126" spans="1:126" s="1367" customFormat="1" ht="30">
      <c r="A126" s="2494"/>
      <c r="B126" s="1653" t="s">
        <v>2136</v>
      </c>
      <c r="C126" s="658" t="s">
        <v>49</v>
      </c>
      <c r="D126" s="1379" t="s">
        <v>2144</v>
      </c>
      <c r="E126" s="1364" t="s">
        <v>2097</v>
      </c>
      <c r="F126" s="1364" t="s">
        <v>2107</v>
      </c>
      <c r="G126" s="1185" t="s">
        <v>1796</v>
      </c>
      <c r="H126" s="1361">
        <f>((150000*'Equipment Results Matrix'!$R$546)+(0.94*'Equipment Results Matrix'!$R$545)+('Equipment Results Matrix'!$R$547*0)+'Equipment Results Matrix'!$R$549+'Equipment Results Matrix'!$T$552)*(1+'Equipment Results Matrix'!$T$554)</f>
        <v>1406.2164290064006</v>
      </c>
      <c r="I126" s="1371">
        <f t="shared" si="15"/>
        <v>5.7897999999999996</v>
      </c>
      <c r="J126" s="1372">
        <f>'Labor Results Matrix'!$G$16*(1+'Labor Results Matrix'!$K$16)</f>
        <v>68.342490675118952</v>
      </c>
      <c r="K126" s="1372">
        <f t="shared" si="16"/>
        <v>395.6893525108037</v>
      </c>
      <c r="L126" s="1388">
        <v>0</v>
      </c>
      <c r="M126" s="1372">
        <f t="shared" si="3"/>
        <v>1801.9057815172043</v>
      </c>
      <c r="N126" s="1458">
        <f t="shared" si="17"/>
        <v>379.96064715839998</v>
      </c>
      <c r="O126" s="1374">
        <f t="shared" si="11"/>
        <v>9.3747761933760039</v>
      </c>
      <c r="P126" s="1371">
        <f t="shared" si="12"/>
        <v>3.8598666666666663E-2</v>
      </c>
      <c r="Q126" s="1372">
        <f t="shared" si="13"/>
        <v>2.6379290167386915</v>
      </c>
      <c r="R126" s="1373">
        <v>0</v>
      </c>
      <c r="S126" s="1373">
        <v>0</v>
      </c>
      <c r="T126" s="1372">
        <f t="shared" si="14"/>
        <v>12.012705210114696</v>
      </c>
      <c r="U126" s="1372">
        <f t="shared" si="14"/>
        <v>2.5330709810559999</v>
      </c>
      <c r="V126" s="1462">
        <v>0</v>
      </c>
      <c r="W126" s="1366"/>
      <c r="X126" s="1366"/>
      <c r="Y126" s="1366"/>
      <c r="Z126" s="1366"/>
      <c r="AA126" s="1366"/>
      <c r="AB126" s="1366"/>
      <c r="AC126" s="1366"/>
      <c r="AD126" s="1366"/>
      <c r="AE126" s="1366"/>
      <c r="AF126" s="1366"/>
      <c r="AG126" s="1366"/>
      <c r="AH126" s="1366"/>
      <c r="AI126" s="1366"/>
      <c r="AJ126" s="1366"/>
      <c r="AK126" s="1366"/>
      <c r="AL126" s="1366"/>
      <c r="AM126" s="1366"/>
      <c r="AN126" s="1366"/>
      <c r="AO126" s="1366"/>
      <c r="AP126" s="1366"/>
      <c r="AQ126" s="1366"/>
      <c r="AR126" s="1366"/>
      <c r="AS126" s="1366"/>
      <c r="AT126" s="1366"/>
      <c r="AU126" s="1366"/>
      <c r="AV126" s="1366"/>
      <c r="AW126" s="1366"/>
      <c r="AX126" s="1366"/>
      <c r="AY126" s="1366"/>
      <c r="AZ126" s="1366"/>
      <c r="BA126" s="1366"/>
      <c r="BB126" s="1366"/>
      <c r="BC126" s="1366"/>
      <c r="BD126" s="1366"/>
      <c r="BE126" s="1366"/>
      <c r="BF126" s="1366"/>
      <c r="BG126" s="1366"/>
      <c r="BH126" s="1366"/>
      <c r="BI126" s="1366"/>
      <c r="BJ126" s="1366"/>
      <c r="BK126" s="1366"/>
      <c r="BL126" s="1366"/>
      <c r="BM126" s="1366"/>
      <c r="BN126" s="1366"/>
      <c r="BO126" s="1366"/>
      <c r="BP126" s="1366"/>
      <c r="BQ126" s="1366"/>
      <c r="BR126" s="1366"/>
      <c r="BS126" s="1366"/>
      <c r="BT126" s="1366"/>
      <c r="BU126" s="1366"/>
      <c r="BV126" s="1366"/>
      <c r="BW126" s="1366"/>
      <c r="BX126" s="1366"/>
      <c r="BY126" s="1366"/>
      <c r="BZ126" s="1366"/>
      <c r="CA126" s="1366"/>
      <c r="CB126" s="1366"/>
      <c r="CC126" s="1366"/>
      <c r="CD126" s="1366"/>
      <c r="CE126" s="1366"/>
      <c r="CF126" s="1366"/>
      <c r="CG126" s="1366"/>
      <c r="CH126" s="1366"/>
      <c r="CI126" s="1366"/>
      <c r="CJ126" s="1366"/>
      <c r="CK126" s="1366"/>
      <c r="CL126" s="1366"/>
      <c r="CM126" s="1366"/>
      <c r="CN126" s="1366"/>
      <c r="CO126" s="1366"/>
      <c r="CP126" s="1366"/>
      <c r="CQ126" s="1366"/>
      <c r="CR126" s="1366"/>
      <c r="CS126" s="1366"/>
      <c r="CT126" s="1366"/>
      <c r="CU126" s="1366"/>
      <c r="CV126" s="1366"/>
      <c r="CW126" s="1366"/>
      <c r="CX126" s="1366"/>
      <c r="CY126" s="1366"/>
      <c r="CZ126" s="1366"/>
      <c r="DA126" s="1366"/>
      <c r="DB126" s="1366"/>
      <c r="DC126" s="1366"/>
      <c r="DD126" s="1366"/>
      <c r="DE126" s="1366"/>
      <c r="DF126" s="1366"/>
      <c r="DG126" s="1366"/>
      <c r="DH126" s="1366"/>
      <c r="DI126" s="1366"/>
      <c r="DJ126" s="1366"/>
      <c r="DK126" s="1366"/>
      <c r="DL126" s="1366"/>
      <c r="DM126" s="1366"/>
      <c r="DN126" s="1366"/>
      <c r="DO126" s="1366"/>
      <c r="DP126" s="1366"/>
      <c r="DQ126" s="1366"/>
      <c r="DR126" s="1366"/>
      <c r="DS126" s="1366"/>
      <c r="DT126" s="1366"/>
      <c r="DU126" s="1366"/>
      <c r="DV126" s="1366"/>
    </row>
    <row r="127" spans="1:126" s="1367" customFormat="1" ht="30">
      <c r="A127" s="2494"/>
      <c r="B127" s="1653">
        <v>151</v>
      </c>
      <c r="C127" s="658" t="s">
        <v>49</v>
      </c>
      <c r="D127" s="1379" t="s">
        <v>2145</v>
      </c>
      <c r="E127" s="1364" t="s">
        <v>2097</v>
      </c>
      <c r="F127" s="1364" t="s">
        <v>2107</v>
      </c>
      <c r="G127" s="1185" t="s">
        <v>1796</v>
      </c>
      <c r="H127" s="1361">
        <f>((150000*'Equipment Results Matrix'!$R$546)+(0.95*'Equipment Results Matrix'!$R$545)+('Equipment Results Matrix'!$R$547*1)+'Equipment Results Matrix'!$R$549+'Equipment Results Matrix'!$T$552)*(1+'Equipment Results Matrix'!$T$554)</f>
        <v>1553.3432204796009</v>
      </c>
      <c r="I127" s="1371">
        <f t="shared" si="15"/>
        <v>5.7897999999999996</v>
      </c>
      <c r="J127" s="1372">
        <f>'Labor Results Matrix'!$G$16*(1+'Labor Results Matrix'!$K$16)</f>
        <v>68.342490675118952</v>
      </c>
      <c r="K127" s="1372">
        <f t="shared" si="16"/>
        <v>395.6893525108037</v>
      </c>
      <c r="L127" s="1388">
        <v>0</v>
      </c>
      <c r="M127" s="1372">
        <f t="shared" si="3"/>
        <v>1949.0325729904046</v>
      </c>
      <c r="N127" s="1458">
        <f t="shared" si="17"/>
        <v>527.08743863160021</v>
      </c>
      <c r="O127" s="1374">
        <f t="shared" si="11"/>
        <v>10.355621469864007</v>
      </c>
      <c r="P127" s="1371">
        <f t="shared" si="12"/>
        <v>3.8598666666666663E-2</v>
      </c>
      <c r="Q127" s="1372">
        <f t="shared" si="13"/>
        <v>2.6379290167386915</v>
      </c>
      <c r="R127" s="1373">
        <v>0</v>
      </c>
      <c r="S127" s="1373">
        <v>0</v>
      </c>
      <c r="T127" s="1372">
        <f t="shared" si="14"/>
        <v>12.993550486602697</v>
      </c>
      <c r="U127" s="1372">
        <f t="shared" si="14"/>
        <v>3.5139162575440013</v>
      </c>
      <c r="V127" s="1462">
        <v>0</v>
      </c>
      <c r="W127" s="1366"/>
      <c r="X127" s="1366"/>
      <c r="Y127" s="1366"/>
      <c r="Z127" s="1366"/>
      <c r="AA127" s="1366"/>
      <c r="AB127" s="1366"/>
      <c r="AC127" s="1366"/>
      <c r="AD127" s="1366"/>
      <c r="AE127" s="1366"/>
      <c r="AF127" s="1366"/>
      <c r="AG127" s="1366"/>
      <c r="AH127" s="1366"/>
      <c r="AI127" s="1366"/>
      <c r="AJ127" s="1366"/>
      <c r="AK127" s="1366"/>
      <c r="AL127" s="1366"/>
      <c r="AM127" s="1366"/>
      <c r="AN127" s="1366"/>
      <c r="AO127" s="1366"/>
      <c r="AP127" s="1366"/>
      <c r="AQ127" s="1366"/>
      <c r="AR127" s="1366"/>
      <c r="AS127" s="1366"/>
      <c r="AT127" s="1366"/>
      <c r="AU127" s="1366"/>
      <c r="AV127" s="1366"/>
      <c r="AW127" s="1366"/>
      <c r="AX127" s="1366"/>
      <c r="AY127" s="1366"/>
      <c r="AZ127" s="1366"/>
      <c r="BA127" s="1366"/>
      <c r="BB127" s="1366"/>
      <c r="BC127" s="1366"/>
      <c r="BD127" s="1366"/>
      <c r="BE127" s="1366"/>
      <c r="BF127" s="1366"/>
      <c r="BG127" s="1366"/>
      <c r="BH127" s="1366"/>
      <c r="BI127" s="1366"/>
      <c r="BJ127" s="1366"/>
      <c r="BK127" s="1366"/>
      <c r="BL127" s="1366"/>
      <c r="BM127" s="1366"/>
      <c r="BN127" s="1366"/>
      <c r="BO127" s="1366"/>
      <c r="BP127" s="1366"/>
      <c r="BQ127" s="1366"/>
      <c r="BR127" s="1366"/>
      <c r="BS127" s="1366"/>
      <c r="BT127" s="1366"/>
      <c r="BU127" s="1366"/>
      <c r="BV127" s="1366"/>
      <c r="BW127" s="1366"/>
      <c r="BX127" s="1366"/>
      <c r="BY127" s="1366"/>
      <c r="BZ127" s="1366"/>
      <c r="CA127" s="1366"/>
      <c r="CB127" s="1366"/>
      <c r="CC127" s="1366"/>
      <c r="CD127" s="1366"/>
      <c r="CE127" s="1366"/>
      <c r="CF127" s="1366"/>
      <c r="CG127" s="1366"/>
      <c r="CH127" s="1366"/>
      <c r="CI127" s="1366"/>
      <c r="CJ127" s="1366"/>
      <c r="CK127" s="1366"/>
      <c r="CL127" s="1366"/>
      <c r="CM127" s="1366"/>
      <c r="CN127" s="1366"/>
      <c r="CO127" s="1366"/>
      <c r="CP127" s="1366"/>
      <c r="CQ127" s="1366"/>
      <c r="CR127" s="1366"/>
      <c r="CS127" s="1366"/>
      <c r="CT127" s="1366"/>
      <c r="CU127" s="1366"/>
      <c r="CV127" s="1366"/>
      <c r="CW127" s="1366"/>
      <c r="CX127" s="1366"/>
      <c r="CY127" s="1366"/>
      <c r="CZ127" s="1366"/>
      <c r="DA127" s="1366"/>
      <c r="DB127" s="1366"/>
      <c r="DC127" s="1366"/>
      <c r="DD127" s="1366"/>
      <c r="DE127" s="1366"/>
      <c r="DF127" s="1366"/>
      <c r="DG127" s="1366"/>
      <c r="DH127" s="1366"/>
      <c r="DI127" s="1366"/>
      <c r="DJ127" s="1366"/>
      <c r="DK127" s="1366"/>
      <c r="DL127" s="1366"/>
      <c r="DM127" s="1366"/>
      <c r="DN127" s="1366"/>
      <c r="DO127" s="1366"/>
      <c r="DP127" s="1366"/>
      <c r="DQ127" s="1366"/>
      <c r="DR127" s="1366"/>
      <c r="DS127" s="1366"/>
      <c r="DT127" s="1366"/>
      <c r="DU127" s="1366"/>
      <c r="DV127" s="1366"/>
    </row>
    <row r="128" spans="1:126" s="1367" customFormat="1" ht="30">
      <c r="A128" s="2494"/>
      <c r="B128" s="1653" t="s">
        <v>2137</v>
      </c>
      <c r="C128" s="658" t="s">
        <v>49</v>
      </c>
      <c r="D128" s="1379" t="s">
        <v>2146</v>
      </c>
      <c r="E128" s="1364" t="s">
        <v>2097</v>
      </c>
      <c r="F128" s="1364" t="s">
        <v>2107</v>
      </c>
      <c r="G128" s="1185" t="s">
        <v>1796</v>
      </c>
      <c r="H128" s="1361">
        <f>((150000*'Equipment Results Matrix'!$R$546)+(0.96*'Equipment Results Matrix'!$R$545)+('Equipment Results Matrix'!$R$547*1)+'Equipment Results Matrix'!$R$549+'Equipment Results Matrix'!$T$552)*(1+'Equipment Results Matrix'!$T$554)</f>
        <v>1580.4832667052003</v>
      </c>
      <c r="I128" s="1371">
        <f t="shared" si="15"/>
        <v>5.7897999999999996</v>
      </c>
      <c r="J128" s="1372">
        <f>'Labor Results Matrix'!$G$16*(1+'Labor Results Matrix'!$K$16)</f>
        <v>68.342490675118952</v>
      </c>
      <c r="K128" s="1372">
        <f t="shared" si="16"/>
        <v>395.6893525108037</v>
      </c>
      <c r="L128" s="1388">
        <v>0</v>
      </c>
      <c r="M128" s="1372">
        <f t="shared" si="3"/>
        <v>1976.172619216004</v>
      </c>
      <c r="N128" s="1458">
        <f t="shared" si="17"/>
        <v>554.22748485719967</v>
      </c>
      <c r="O128" s="1374">
        <f t="shared" si="11"/>
        <v>10.536555111368003</v>
      </c>
      <c r="P128" s="1371">
        <f t="shared" si="12"/>
        <v>3.8598666666666663E-2</v>
      </c>
      <c r="Q128" s="1372">
        <f t="shared" si="13"/>
        <v>2.6379290167386915</v>
      </c>
      <c r="R128" s="1373">
        <v>0</v>
      </c>
      <c r="S128" s="1373">
        <v>0</v>
      </c>
      <c r="T128" s="1372">
        <f t="shared" si="14"/>
        <v>13.174484128106693</v>
      </c>
      <c r="U128" s="1372">
        <f t="shared" si="14"/>
        <v>3.6948498990479979</v>
      </c>
      <c r="V128" s="1462">
        <v>0</v>
      </c>
      <c r="W128" s="1366"/>
      <c r="X128" s="1366"/>
      <c r="Y128" s="1366"/>
      <c r="Z128" s="1366"/>
      <c r="AA128" s="1366"/>
      <c r="AB128" s="1366"/>
      <c r="AC128" s="1366"/>
      <c r="AD128" s="1366"/>
      <c r="AE128" s="1366"/>
      <c r="AF128" s="1366"/>
      <c r="AG128" s="1366"/>
      <c r="AH128" s="1366"/>
      <c r="AI128" s="1366"/>
      <c r="AJ128" s="1366"/>
      <c r="AK128" s="1366"/>
      <c r="AL128" s="1366"/>
      <c r="AM128" s="1366"/>
      <c r="AN128" s="1366"/>
      <c r="AO128" s="1366"/>
      <c r="AP128" s="1366"/>
      <c r="AQ128" s="1366"/>
      <c r="AR128" s="1366"/>
      <c r="AS128" s="1366"/>
      <c r="AT128" s="1366"/>
      <c r="AU128" s="1366"/>
      <c r="AV128" s="1366"/>
      <c r="AW128" s="1366"/>
      <c r="AX128" s="1366"/>
      <c r="AY128" s="1366"/>
      <c r="AZ128" s="1366"/>
      <c r="BA128" s="1366"/>
      <c r="BB128" s="1366"/>
      <c r="BC128" s="1366"/>
      <c r="BD128" s="1366"/>
      <c r="BE128" s="1366"/>
      <c r="BF128" s="1366"/>
      <c r="BG128" s="1366"/>
      <c r="BH128" s="1366"/>
      <c r="BI128" s="1366"/>
      <c r="BJ128" s="1366"/>
      <c r="BK128" s="1366"/>
      <c r="BL128" s="1366"/>
      <c r="BM128" s="1366"/>
      <c r="BN128" s="1366"/>
      <c r="BO128" s="1366"/>
      <c r="BP128" s="1366"/>
      <c r="BQ128" s="1366"/>
      <c r="BR128" s="1366"/>
      <c r="BS128" s="1366"/>
      <c r="BT128" s="1366"/>
      <c r="BU128" s="1366"/>
      <c r="BV128" s="1366"/>
      <c r="BW128" s="1366"/>
      <c r="BX128" s="1366"/>
      <c r="BY128" s="1366"/>
      <c r="BZ128" s="1366"/>
      <c r="CA128" s="1366"/>
      <c r="CB128" s="1366"/>
      <c r="CC128" s="1366"/>
      <c r="CD128" s="1366"/>
      <c r="CE128" s="1366"/>
      <c r="CF128" s="1366"/>
      <c r="CG128" s="1366"/>
      <c r="CH128" s="1366"/>
      <c r="CI128" s="1366"/>
      <c r="CJ128" s="1366"/>
      <c r="CK128" s="1366"/>
      <c r="CL128" s="1366"/>
      <c r="CM128" s="1366"/>
      <c r="CN128" s="1366"/>
      <c r="CO128" s="1366"/>
      <c r="CP128" s="1366"/>
      <c r="CQ128" s="1366"/>
      <c r="CR128" s="1366"/>
      <c r="CS128" s="1366"/>
      <c r="CT128" s="1366"/>
      <c r="CU128" s="1366"/>
      <c r="CV128" s="1366"/>
      <c r="CW128" s="1366"/>
      <c r="CX128" s="1366"/>
      <c r="CY128" s="1366"/>
      <c r="CZ128" s="1366"/>
      <c r="DA128" s="1366"/>
      <c r="DB128" s="1366"/>
      <c r="DC128" s="1366"/>
      <c r="DD128" s="1366"/>
      <c r="DE128" s="1366"/>
      <c r="DF128" s="1366"/>
      <c r="DG128" s="1366"/>
      <c r="DH128" s="1366"/>
      <c r="DI128" s="1366"/>
      <c r="DJ128" s="1366"/>
      <c r="DK128" s="1366"/>
      <c r="DL128" s="1366"/>
      <c r="DM128" s="1366"/>
      <c r="DN128" s="1366"/>
      <c r="DO128" s="1366"/>
      <c r="DP128" s="1366"/>
      <c r="DQ128" s="1366"/>
      <c r="DR128" s="1366"/>
      <c r="DS128" s="1366"/>
      <c r="DT128" s="1366"/>
      <c r="DU128" s="1366"/>
      <c r="DV128" s="1366"/>
    </row>
    <row r="129" spans="1:126" s="1367" customFormat="1" ht="30">
      <c r="A129" s="2494"/>
      <c r="B129" s="1653">
        <v>153</v>
      </c>
      <c r="C129" s="658" t="s">
        <v>49</v>
      </c>
      <c r="D129" s="1379" t="s">
        <v>2147</v>
      </c>
      <c r="E129" s="1364" t="s">
        <v>2097</v>
      </c>
      <c r="F129" s="1364" t="s">
        <v>2107</v>
      </c>
      <c r="G129" s="1185" t="s">
        <v>1796</v>
      </c>
      <c r="H129" s="1361">
        <f>((150000*'Equipment Results Matrix'!$R$546)+(0.97*'Equipment Results Matrix'!$R$545)+('Equipment Results Matrix'!$R$547*1)+'Equipment Results Matrix'!$R$549+'Equipment Results Matrix'!$T$552)*(1+'Equipment Results Matrix'!$T$554)</f>
        <v>1607.6233129308005</v>
      </c>
      <c r="I129" s="1371">
        <f t="shared" si="15"/>
        <v>5.7897999999999996</v>
      </c>
      <c r="J129" s="1372">
        <f>'Labor Results Matrix'!$G$16*(1+'Labor Results Matrix'!$K$16)</f>
        <v>68.342490675118952</v>
      </c>
      <c r="K129" s="1372">
        <f t="shared" si="16"/>
        <v>395.6893525108037</v>
      </c>
      <c r="L129" s="1388">
        <v>0</v>
      </c>
      <c r="M129" s="1372">
        <f t="shared" si="3"/>
        <v>2003.3126654416042</v>
      </c>
      <c r="N129" s="1458">
        <f t="shared" si="17"/>
        <v>581.36753108279981</v>
      </c>
      <c r="O129" s="1374">
        <f t="shared" si="11"/>
        <v>10.717488752872002</v>
      </c>
      <c r="P129" s="1371">
        <f t="shared" si="12"/>
        <v>3.8598666666666663E-2</v>
      </c>
      <c r="Q129" s="1372">
        <f t="shared" si="13"/>
        <v>2.6379290167386915</v>
      </c>
      <c r="R129" s="1373">
        <v>0</v>
      </c>
      <c r="S129" s="1373">
        <v>0</v>
      </c>
      <c r="T129" s="1372">
        <f t="shared" si="14"/>
        <v>13.355417769610694</v>
      </c>
      <c r="U129" s="1372">
        <f t="shared" si="14"/>
        <v>3.8757835405519989</v>
      </c>
      <c r="V129" s="1462">
        <v>0</v>
      </c>
      <c r="W129" s="1366"/>
      <c r="X129" s="1366"/>
      <c r="Y129" s="1366"/>
      <c r="Z129" s="1366"/>
      <c r="AA129" s="1366"/>
      <c r="AB129" s="1366"/>
      <c r="AC129" s="1366"/>
      <c r="AD129" s="1366"/>
      <c r="AE129" s="1366"/>
      <c r="AF129" s="1366"/>
      <c r="AG129" s="1366"/>
      <c r="AH129" s="1366"/>
      <c r="AI129" s="1366"/>
      <c r="AJ129" s="1366"/>
      <c r="AK129" s="1366"/>
      <c r="AL129" s="1366"/>
      <c r="AM129" s="1366"/>
      <c r="AN129" s="1366"/>
      <c r="AO129" s="1366"/>
      <c r="AP129" s="1366"/>
      <c r="AQ129" s="1366"/>
      <c r="AR129" s="1366"/>
      <c r="AS129" s="1366"/>
      <c r="AT129" s="1366"/>
      <c r="AU129" s="1366"/>
      <c r="AV129" s="1366"/>
      <c r="AW129" s="1366"/>
      <c r="AX129" s="1366"/>
      <c r="AY129" s="1366"/>
      <c r="AZ129" s="1366"/>
      <c r="BA129" s="1366"/>
      <c r="BB129" s="1366"/>
      <c r="BC129" s="1366"/>
      <c r="BD129" s="1366"/>
      <c r="BE129" s="1366"/>
      <c r="BF129" s="1366"/>
      <c r="BG129" s="1366"/>
      <c r="BH129" s="1366"/>
      <c r="BI129" s="1366"/>
      <c r="BJ129" s="1366"/>
      <c r="BK129" s="1366"/>
      <c r="BL129" s="1366"/>
      <c r="BM129" s="1366"/>
      <c r="BN129" s="1366"/>
      <c r="BO129" s="1366"/>
      <c r="BP129" s="1366"/>
      <c r="BQ129" s="1366"/>
      <c r="BR129" s="1366"/>
      <c r="BS129" s="1366"/>
      <c r="BT129" s="1366"/>
      <c r="BU129" s="1366"/>
      <c r="BV129" s="1366"/>
      <c r="BW129" s="1366"/>
      <c r="BX129" s="1366"/>
      <c r="BY129" s="1366"/>
      <c r="BZ129" s="1366"/>
      <c r="CA129" s="1366"/>
      <c r="CB129" s="1366"/>
      <c r="CC129" s="1366"/>
      <c r="CD129" s="1366"/>
      <c r="CE129" s="1366"/>
      <c r="CF129" s="1366"/>
      <c r="CG129" s="1366"/>
      <c r="CH129" s="1366"/>
      <c r="CI129" s="1366"/>
      <c r="CJ129" s="1366"/>
      <c r="CK129" s="1366"/>
      <c r="CL129" s="1366"/>
      <c r="CM129" s="1366"/>
      <c r="CN129" s="1366"/>
      <c r="CO129" s="1366"/>
      <c r="CP129" s="1366"/>
      <c r="CQ129" s="1366"/>
      <c r="CR129" s="1366"/>
      <c r="CS129" s="1366"/>
      <c r="CT129" s="1366"/>
      <c r="CU129" s="1366"/>
      <c r="CV129" s="1366"/>
      <c r="CW129" s="1366"/>
      <c r="CX129" s="1366"/>
      <c r="CY129" s="1366"/>
      <c r="CZ129" s="1366"/>
      <c r="DA129" s="1366"/>
      <c r="DB129" s="1366"/>
      <c r="DC129" s="1366"/>
      <c r="DD129" s="1366"/>
      <c r="DE129" s="1366"/>
      <c r="DF129" s="1366"/>
      <c r="DG129" s="1366"/>
      <c r="DH129" s="1366"/>
      <c r="DI129" s="1366"/>
      <c r="DJ129" s="1366"/>
      <c r="DK129" s="1366"/>
      <c r="DL129" s="1366"/>
      <c r="DM129" s="1366"/>
      <c r="DN129" s="1366"/>
      <c r="DO129" s="1366"/>
      <c r="DP129" s="1366"/>
      <c r="DQ129" s="1366"/>
      <c r="DR129" s="1366"/>
      <c r="DS129" s="1366"/>
      <c r="DT129" s="1366"/>
      <c r="DU129" s="1366"/>
      <c r="DV129" s="1366"/>
    </row>
    <row r="130" spans="1:126" s="1367" customFormat="1" ht="30">
      <c r="A130" s="1469"/>
      <c r="B130" s="1653">
        <v>154</v>
      </c>
      <c r="C130" s="658" t="s">
        <v>49</v>
      </c>
      <c r="D130" s="1379" t="s">
        <v>2148</v>
      </c>
      <c r="E130" s="1364" t="s">
        <v>2097</v>
      </c>
      <c r="F130" s="1364" t="s">
        <v>2107</v>
      </c>
      <c r="G130" s="1185" t="s">
        <v>1796</v>
      </c>
      <c r="H130" s="1361">
        <f>((150000*'Equipment Results Matrix'!$R$546)+(0.98*'Equipment Results Matrix'!$R$545)+('Equipment Results Matrix'!$R$547*1)+'Equipment Results Matrix'!$R$549+'Equipment Results Matrix'!$T$552)*(1+'Equipment Results Matrix'!$T$554)</f>
        <v>1634.7633591564006</v>
      </c>
      <c r="I130" s="1371">
        <f t="shared" si="15"/>
        <v>5.7897999999999996</v>
      </c>
      <c r="J130" s="1372">
        <f>'Labor Results Matrix'!$G$16*(1+'Labor Results Matrix'!$K$16)</f>
        <v>68.342490675118952</v>
      </c>
      <c r="K130" s="1372">
        <f t="shared" si="16"/>
        <v>395.6893525108037</v>
      </c>
      <c r="L130" s="1388">
        <v>0</v>
      </c>
      <c r="M130" s="1372">
        <f t="shared" si="3"/>
        <v>2030.4527116672043</v>
      </c>
      <c r="N130" s="1458">
        <f t="shared" si="17"/>
        <v>608.50757730839996</v>
      </c>
      <c r="O130" s="1374">
        <f t="shared" si="11"/>
        <v>10.898422394376004</v>
      </c>
      <c r="P130" s="1371">
        <f t="shared" si="12"/>
        <v>3.8598666666666663E-2</v>
      </c>
      <c r="Q130" s="1372">
        <f t="shared" si="13"/>
        <v>2.6379290167386915</v>
      </c>
      <c r="R130" s="1373">
        <v>0</v>
      </c>
      <c r="S130" s="1373">
        <v>0</v>
      </c>
      <c r="T130" s="1372">
        <f t="shared" si="14"/>
        <v>13.536351411114696</v>
      </c>
      <c r="U130" s="1372">
        <f t="shared" si="14"/>
        <v>4.0567171820559995</v>
      </c>
      <c r="V130" s="1462">
        <v>0</v>
      </c>
      <c r="W130" s="1366"/>
      <c r="X130" s="1366"/>
      <c r="Y130" s="1366"/>
      <c r="Z130" s="1366"/>
      <c r="AA130" s="1366"/>
      <c r="AB130" s="1366"/>
      <c r="AC130" s="1366"/>
      <c r="AD130" s="1366"/>
      <c r="AE130" s="1366"/>
      <c r="AF130" s="1366"/>
      <c r="AG130" s="1366"/>
      <c r="AH130" s="1366"/>
      <c r="AI130" s="1366"/>
      <c r="AJ130" s="1366"/>
      <c r="AK130" s="1366"/>
      <c r="AL130" s="1366"/>
      <c r="AM130" s="1366"/>
      <c r="AN130" s="1366"/>
      <c r="AO130" s="1366"/>
      <c r="AP130" s="1366"/>
      <c r="AQ130" s="1366"/>
      <c r="AR130" s="1366"/>
      <c r="AS130" s="1366"/>
      <c r="AT130" s="1366"/>
      <c r="AU130" s="1366"/>
      <c r="AV130" s="1366"/>
      <c r="AW130" s="1366"/>
      <c r="AX130" s="1366"/>
      <c r="AY130" s="1366"/>
      <c r="AZ130" s="1366"/>
      <c r="BA130" s="1366"/>
      <c r="BB130" s="1366"/>
      <c r="BC130" s="1366"/>
      <c r="BD130" s="1366"/>
      <c r="BE130" s="1366"/>
      <c r="BF130" s="1366"/>
      <c r="BG130" s="1366"/>
      <c r="BH130" s="1366"/>
      <c r="BI130" s="1366"/>
      <c r="BJ130" s="1366"/>
      <c r="BK130" s="1366"/>
      <c r="BL130" s="1366"/>
      <c r="BM130" s="1366"/>
      <c r="BN130" s="1366"/>
      <c r="BO130" s="1366"/>
      <c r="BP130" s="1366"/>
      <c r="BQ130" s="1366"/>
      <c r="BR130" s="1366"/>
      <c r="BS130" s="1366"/>
      <c r="BT130" s="1366"/>
      <c r="BU130" s="1366"/>
      <c r="BV130" s="1366"/>
      <c r="BW130" s="1366"/>
      <c r="BX130" s="1366"/>
      <c r="BY130" s="1366"/>
      <c r="BZ130" s="1366"/>
      <c r="CA130" s="1366"/>
      <c r="CB130" s="1366"/>
      <c r="CC130" s="1366"/>
      <c r="CD130" s="1366"/>
      <c r="CE130" s="1366"/>
      <c r="CF130" s="1366"/>
      <c r="CG130" s="1366"/>
      <c r="CH130" s="1366"/>
      <c r="CI130" s="1366"/>
      <c r="CJ130" s="1366"/>
      <c r="CK130" s="1366"/>
      <c r="CL130" s="1366"/>
      <c r="CM130" s="1366"/>
      <c r="CN130" s="1366"/>
      <c r="CO130" s="1366"/>
      <c r="CP130" s="1366"/>
      <c r="CQ130" s="1366"/>
      <c r="CR130" s="1366"/>
      <c r="CS130" s="1366"/>
      <c r="CT130" s="1366"/>
      <c r="CU130" s="1366"/>
      <c r="CV130" s="1366"/>
      <c r="CW130" s="1366"/>
      <c r="CX130" s="1366"/>
      <c r="CY130" s="1366"/>
      <c r="CZ130" s="1366"/>
      <c r="DA130" s="1366"/>
      <c r="DB130" s="1366"/>
      <c r="DC130" s="1366"/>
      <c r="DD130" s="1366"/>
      <c r="DE130" s="1366"/>
      <c r="DF130" s="1366"/>
      <c r="DG130" s="1366"/>
      <c r="DH130" s="1366"/>
      <c r="DI130" s="1366"/>
      <c r="DJ130" s="1366"/>
      <c r="DK130" s="1366"/>
      <c r="DL130" s="1366"/>
      <c r="DM130" s="1366"/>
      <c r="DN130" s="1366"/>
      <c r="DO130" s="1366"/>
      <c r="DP130" s="1366"/>
      <c r="DQ130" s="1366"/>
      <c r="DR130" s="1366"/>
      <c r="DS130" s="1366"/>
      <c r="DT130" s="1366"/>
      <c r="DU130" s="1366"/>
      <c r="DV130" s="1366"/>
    </row>
    <row r="131" spans="1:126" s="1367" customFormat="1" ht="18.75">
      <c r="A131" s="1469"/>
      <c r="B131" s="1657">
        <v>9053</v>
      </c>
      <c r="C131" s="1641" t="s">
        <v>47</v>
      </c>
      <c r="D131" s="1379" t="s">
        <v>2556</v>
      </c>
      <c r="E131" s="1364" t="s">
        <v>2102</v>
      </c>
      <c r="F131" s="1364" t="s">
        <v>2108</v>
      </c>
      <c r="G131" s="1185" t="s">
        <v>1796</v>
      </c>
      <c r="H131" s="1361">
        <f>((150000*'Equipment Results Matrix'!$R$546)+(0.78*'Equipment Results Matrix'!$R$545)+('Equipment Results Matrix'!$R$547*0)+'Equipment Results Matrix'!$R$549+'Equipment Results Matrix'!$T$552)*(1+'Equipment Results Matrix'!$T$554)</f>
        <v>971.97568939680036</v>
      </c>
      <c r="I131" s="1371">
        <f xml:space="preserve"> 0.017*150 + 3.2398</f>
        <v>5.7897999999999996</v>
      </c>
      <c r="J131" s="1372">
        <f>'Labor Results Matrix'!$G$16*(1+'Labor Results Matrix'!$K$16)</f>
        <v>68.342490675118952</v>
      </c>
      <c r="K131" s="1372">
        <f t="shared" si="16"/>
        <v>395.6893525108037</v>
      </c>
      <c r="L131" s="1388">
        <v>0</v>
      </c>
      <c r="M131" s="1372">
        <f t="shared" ref="M131" si="18">H131+K131</f>
        <v>1367.6650419076041</v>
      </c>
      <c r="N131" s="1455" t="s">
        <v>40</v>
      </c>
      <c r="O131" s="1361">
        <f>H131/150</f>
        <v>6.4798379293120023</v>
      </c>
      <c r="P131" s="1371">
        <f>I131/150</f>
        <v>3.8598666666666663E-2</v>
      </c>
      <c r="Q131" s="1372">
        <f>K131/150</f>
        <v>2.6379290167386915</v>
      </c>
      <c r="R131" s="1373">
        <v>0</v>
      </c>
      <c r="S131" s="1373">
        <v>0</v>
      </c>
      <c r="T131" s="1372">
        <f>M131/150</f>
        <v>9.1177669460506934</v>
      </c>
      <c r="U131" s="1372" t="s">
        <v>40</v>
      </c>
      <c r="V131" s="1462" t="s">
        <v>40</v>
      </c>
      <c r="W131" s="1366"/>
      <c r="X131" s="1366"/>
      <c r="Y131" s="1366"/>
      <c r="Z131" s="1366"/>
      <c r="AA131" s="1366"/>
      <c r="AB131" s="1366"/>
      <c r="AC131" s="1366"/>
      <c r="AD131" s="1366"/>
      <c r="AE131" s="1366"/>
      <c r="AF131" s="1366"/>
      <c r="AG131" s="1366"/>
      <c r="AH131" s="1366"/>
      <c r="AI131" s="1366"/>
      <c r="AJ131" s="1366"/>
      <c r="AK131" s="1366"/>
      <c r="AL131" s="1366"/>
      <c r="AM131" s="1366"/>
      <c r="AN131" s="1366"/>
      <c r="AO131" s="1366"/>
      <c r="AP131" s="1366"/>
      <c r="AQ131" s="1366"/>
      <c r="AR131" s="1366"/>
      <c r="AS131" s="1366"/>
      <c r="AT131" s="1366"/>
      <c r="AU131" s="1366"/>
      <c r="AV131" s="1366"/>
      <c r="AW131" s="1366"/>
      <c r="AX131" s="1366"/>
      <c r="AY131" s="1366"/>
      <c r="AZ131" s="1366"/>
      <c r="BA131" s="1366"/>
      <c r="BB131" s="1366"/>
      <c r="BC131" s="1366"/>
      <c r="BD131" s="1366"/>
      <c r="BE131" s="1366"/>
      <c r="BF131" s="1366"/>
      <c r="BG131" s="1366"/>
      <c r="BH131" s="1366"/>
      <c r="BI131" s="1366"/>
      <c r="BJ131" s="1366"/>
      <c r="BK131" s="1366"/>
      <c r="BL131" s="1366"/>
      <c r="BM131" s="1366"/>
      <c r="BN131" s="1366"/>
      <c r="BO131" s="1366"/>
      <c r="BP131" s="1366"/>
      <c r="BQ131" s="1366"/>
      <c r="BR131" s="1366"/>
      <c r="BS131" s="1366"/>
      <c r="BT131" s="1366"/>
      <c r="BU131" s="1366"/>
      <c r="BV131" s="1366"/>
      <c r="BW131" s="1366"/>
      <c r="BX131" s="1366"/>
      <c r="BY131" s="1366"/>
      <c r="BZ131" s="1366"/>
      <c r="CA131" s="1366"/>
      <c r="CB131" s="1366"/>
      <c r="CC131" s="1366"/>
      <c r="CD131" s="1366"/>
      <c r="CE131" s="1366"/>
      <c r="CF131" s="1366"/>
      <c r="CG131" s="1366"/>
      <c r="CH131" s="1366"/>
      <c r="CI131" s="1366"/>
      <c r="CJ131" s="1366"/>
      <c r="CK131" s="1366"/>
      <c r="CL131" s="1366"/>
      <c r="CM131" s="1366"/>
      <c r="CN131" s="1366"/>
      <c r="CO131" s="1366"/>
      <c r="CP131" s="1366"/>
      <c r="CQ131" s="1366"/>
      <c r="CR131" s="1366"/>
      <c r="CS131" s="1366"/>
      <c r="CT131" s="1366"/>
      <c r="CU131" s="1366"/>
      <c r="CV131" s="1366"/>
      <c r="CW131" s="1366"/>
      <c r="CX131" s="1366"/>
      <c r="CY131" s="1366"/>
      <c r="CZ131" s="1366"/>
      <c r="DA131" s="1366"/>
      <c r="DB131" s="1366"/>
      <c r="DC131" s="1366"/>
      <c r="DD131" s="1366"/>
      <c r="DE131" s="1366"/>
      <c r="DF131" s="1366"/>
      <c r="DG131" s="1366"/>
      <c r="DH131" s="1366"/>
      <c r="DI131" s="1366"/>
      <c r="DJ131" s="1366"/>
      <c r="DK131" s="1366"/>
      <c r="DL131" s="1366"/>
      <c r="DM131" s="1366"/>
      <c r="DN131" s="1366"/>
      <c r="DO131" s="1366"/>
      <c r="DP131" s="1366"/>
      <c r="DQ131" s="1366"/>
      <c r="DR131" s="1366"/>
      <c r="DS131" s="1366"/>
      <c r="DT131" s="1366"/>
      <c r="DU131" s="1366"/>
      <c r="DV131" s="1366"/>
    </row>
    <row r="132" spans="1:126" s="1367" customFormat="1" ht="30.75" thickBot="1">
      <c r="A132" s="1469"/>
      <c r="B132" s="1657">
        <v>9053</v>
      </c>
      <c r="C132" s="658" t="s">
        <v>49</v>
      </c>
      <c r="D132" s="1375" t="s">
        <v>2555</v>
      </c>
      <c r="E132" s="1364" t="s">
        <v>2102</v>
      </c>
      <c r="F132" s="1364" t="s">
        <v>2108</v>
      </c>
      <c r="G132" s="1185" t="s">
        <v>1796</v>
      </c>
      <c r="H132" s="1361">
        <f>H126</f>
        <v>1406.2164290064006</v>
      </c>
      <c r="I132" s="1371">
        <f t="shared" ref="I132:T132" si="19">I126</f>
        <v>5.7897999999999996</v>
      </c>
      <c r="J132" s="1372">
        <f>'Labor Results Matrix'!$G$16*(1+'Labor Results Matrix'!$K$16)</f>
        <v>68.342490675118952</v>
      </c>
      <c r="K132" s="1372">
        <f t="shared" si="16"/>
        <v>395.6893525108037</v>
      </c>
      <c r="L132" s="1372">
        <f t="shared" si="19"/>
        <v>0</v>
      </c>
      <c r="M132" s="1372">
        <f t="shared" si="19"/>
        <v>1801.9057815172043</v>
      </c>
      <c r="N132" s="1458">
        <f>M132-M131</f>
        <v>434.24073960960027</v>
      </c>
      <c r="O132" s="1361">
        <f t="shared" si="19"/>
        <v>9.3747761933760039</v>
      </c>
      <c r="P132" s="1372">
        <f t="shared" si="19"/>
        <v>3.8598666666666663E-2</v>
      </c>
      <c r="Q132" s="1372">
        <f t="shared" si="19"/>
        <v>2.6379290167386915</v>
      </c>
      <c r="R132" s="1372">
        <f t="shared" si="19"/>
        <v>0</v>
      </c>
      <c r="S132" s="1372">
        <f t="shared" si="19"/>
        <v>0</v>
      </c>
      <c r="T132" s="1372">
        <f t="shared" si="19"/>
        <v>12.012705210114696</v>
      </c>
      <c r="U132" s="1372">
        <f>T132-T131</f>
        <v>2.8949382640640025</v>
      </c>
      <c r="V132" s="1458">
        <v>0</v>
      </c>
      <c r="W132" s="1366"/>
      <c r="X132" s="1366"/>
      <c r="Y132" s="1366"/>
      <c r="Z132" s="1366"/>
      <c r="AA132" s="1366"/>
      <c r="AB132" s="1366"/>
      <c r="AC132" s="1366"/>
      <c r="AD132" s="1366"/>
      <c r="AE132" s="1366"/>
      <c r="AF132" s="1366"/>
      <c r="AG132" s="1366"/>
      <c r="AH132" s="1366"/>
      <c r="AI132" s="1366"/>
      <c r="AJ132" s="1366"/>
      <c r="AK132" s="1366"/>
      <c r="AL132" s="1366"/>
      <c r="AM132" s="1366"/>
      <c r="AN132" s="1366"/>
      <c r="AO132" s="1366"/>
      <c r="AP132" s="1366"/>
      <c r="AQ132" s="1366"/>
      <c r="AR132" s="1366"/>
      <c r="AS132" s="1366"/>
      <c r="AT132" s="1366"/>
      <c r="AU132" s="1366"/>
      <c r="AV132" s="1366"/>
      <c r="AW132" s="1366"/>
      <c r="AX132" s="1366"/>
      <c r="AY132" s="1366"/>
      <c r="AZ132" s="1366"/>
      <c r="BA132" s="1366"/>
      <c r="BB132" s="1366"/>
      <c r="BC132" s="1366"/>
      <c r="BD132" s="1366"/>
      <c r="BE132" s="1366"/>
      <c r="BF132" s="1366"/>
      <c r="BG132" s="1366"/>
      <c r="BH132" s="1366"/>
      <c r="BI132" s="1366"/>
      <c r="BJ132" s="1366"/>
      <c r="BK132" s="1366"/>
      <c r="BL132" s="1366"/>
      <c r="BM132" s="1366"/>
      <c r="BN132" s="1366"/>
      <c r="BO132" s="1366"/>
      <c r="BP132" s="1366"/>
      <c r="BQ132" s="1366"/>
      <c r="BR132" s="1366"/>
      <c r="BS132" s="1366"/>
      <c r="BT132" s="1366"/>
      <c r="BU132" s="1366"/>
      <c r="BV132" s="1366"/>
      <c r="BW132" s="1366"/>
      <c r="BX132" s="1366"/>
      <c r="BY132" s="1366"/>
      <c r="BZ132" s="1366"/>
      <c r="CA132" s="1366"/>
      <c r="CB132" s="1366"/>
      <c r="CC132" s="1366"/>
      <c r="CD132" s="1366"/>
      <c r="CE132" s="1366"/>
      <c r="CF132" s="1366"/>
      <c r="CG132" s="1366"/>
      <c r="CH132" s="1366"/>
      <c r="CI132" s="1366"/>
      <c r="CJ132" s="1366"/>
      <c r="CK132" s="1366"/>
      <c r="CL132" s="1366"/>
      <c r="CM132" s="1366"/>
      <c r="CN132" s="1366"/>
      <c r="CO132" s="1366"/>
      <c r="CP132" s="1366"/>
      <c r="CQ132" s="1366"/>
      <c r="CR132" s="1366"/>
      <c r="CS132" s="1366"/>
      <c r="CT132" s="1366"/>
      <c r="CU132" s="1366"/>
      <c r="CV132" s="1366"/>
      <c r="CW132" s="1366"/>
      <c r="CX132" s="1366"/>
      <c r="CY132" s="1366"/>
      <c r="CZ132" s="1366"/>
      <c r="DA132" s="1366"/>
      <c r="DB132" s="1366"/>
      <c r="DC132" s="1366"/>
      <c r="DD132" s="1366"/>
      <c r="DE132" s="1366"/>
      <c r="DF132" s="1366"/>
      <c r="DG132" s="1366"/>
      <c r="DH132" s="1366"/>
      <c r="DI132" s="1366"/>
      <c r="DJ132" s="1366"/>
      <c r="DK132" s="1366"/>
      <c r="DL132" s="1366"/>
      <c r="DM132" s="1366"/>
      <c r="DN132" s="1366"/>
      <c r="DO132" s="1366"/>
      <c r="DP132" s="1366"/>
      <c r="DQ132" s="1366"/>
      <c r="DR132" s="1366"/>
      <c r="DS132" s="1366"/>
      <c r="DT132" s="1366"/>
      <c r="DU132" s="1366"/>
      <c r="DV132" s="1366"/>
    </row>
    <row r="133" spans="1:126" s="1479" customFormat="1" ht="19.5" thickBot="1">
      <c r="A133" s="695"/>
      <c r="B133" s="1652"/>
      <c r="C133" s="1298"/>
      <c r="D133" s="1499"/>
      <c r="E133" s="1500"/>
      <c r="F133" s="1500"/>
      <c r="G133" s="1500"/>
      <c r="H133" s="1501"/>
      <c r="I133" s="1446"/>
      <c r="J133" s="1446"/>
      <c r="K133" s="1498"/>
      <c r="L133" s="1532"/>
      <c r="M133" s="1390"/>
      <c r="N133" s="1497"/>
      <c r="O133" s="1501"/>
      <c r="P133" s="1446"/>
      <c r="Q133" s="1498"/>
      <c r="R133" s="1502"/>
      <c r="S133" s="1390"/>
      <c r="T133" s="1390"/>
      <c r="U133" s="1390"/>
      <c r="V133" s="1497"/>
      <c r="W133" s="1490"/>
      <c r="X133" s="1490"/>
      <c r="Y133" s="327"/>
      <c r="Z133" s="327"/>
      <c r="AA133" s="327"/>
      <c r="AB133" s="327"/>
      <c r="AC133" s="327"/>
      <c r="AD133" s="1478"/>
      <c r="AE133" s="1478"/>
      <c r="AF133" s="1478"/>
      <c r="AG133" s="1478"/>
      <c r="AH133" s="1478"/>
      <c r="AI133" s="1478"/>
      <c r="AJ133" s="1478"/>
      <c r="AK133" s="1478"/>
      <c r="AL133" s="1478"/>
      <c r="AM133" s="1478"/>
      <c r="AN133" s="1478"/>
      <c r="AO133" s="1478"/>
      <c r="AP133" s="1478"/>
      <c r="AQ133" s="1478"/>
      <c r="AR133" s="1478"/>
      <c r="AS133" s="1478"/>
      <c r="AT133" s="1478"/>
      <c r="AU133" s="1478"/>
      <c r="AV133" s="1478"/>
      <c r="AW133" s="1478"/>
      <c r="AX133" s="1478"/>
      <c r="AY133" s="1478"/>
      <c r="AZ133" s="1478"/>
      <c r="BA133" s="1478"/>
      <c r="BB133" s="1478"/>
      <c r="BC133" s="1478"/>
      <c r="BD133" s="327"/>
      <c r="BE133" s="327"/>
      <c r="BF133" s="327"/>
      <c r="BG133" s="327"/>
      <c r="BH133" s="327"/>
      <c r="BI133" s="327"/>
      <c r="BJ133" s="327"/>
      <c r="BK133" s="327"/>
      <c r="BL133" s="327"/>
      <c r="BM133" s="327"/>
      <c r="BN133" s="327"/>
      <c r="BO133" s="327"/>
      <c r="BP133" s="327"/>
      <c r="BQ133" s="327"/>
      <c r="BR133" s="327"/>
      <c r="BS133" s="327"/>
      <c r="BT133" s="327"/>
      <c r="BU133" s="327"/>
      <c r="BV133" s="327"/>
      <c r="BW133" s="327"/>
      <c r="BX133" s="327"/>
      <c r="BY133" s="327"/>
      <c r="BZ133" s="327"/>
      <c r="CA133" s="327"/>
      <c r="CB133" s="327"/>
      <c r="CC133" s="327"/>
      <c r="CD133" s="327"/>
      <c r="CE133" s="327"/>
      <c r="CF133" s="327"/>
      <c r="CG133" s="327"/>
      <c r="CH133" s="327"/>
      <c r="CI133" s="327"/>
      <c r="CJ133" s="327"/>
      <c r="CK133" s="327"/>
      <c r="CL133" s="327"/>
      <c r="CM133" s="327"/>
      <c r="CN133" s="327"/>
      <c r="CO133" s="327"/>
      <c r="CP133" s="327"/>
      <c r="CQ133" s="327"/>
      <c r="CR133" s="327"/>
      <c r="CS133" s="327"/>
      <c r="CT133" s="327"/>
      <c r="CU133" s="327"/>
      <c r="CV133" s="327"/>
      <c r="CW133" s="327"/>
      <c r="CX133" s="327"/>
      <c r="CY133" s="327"/>
      <c r="CZ133" s="327"/>
      <c r="DA133" s="327"/>
      <c r="DB133" s="327"/>
      <c r="DC133" s="327"/>
      <c r="DD133" s="327"/>
      <c r="DE133" s="327"/>
      <c r="DF133" s="327"/>
      <c r="DG133" s="327"/>
      <c r="DH133" s="327"/>
      <c r="DI133" s="327"/>
      <c r="DJ133" s="327"/>
      <c r="DK133" s="327"/>
      <c r="DL133" s="327"/>
      <c r="DM133" s="327"/>
      <c r="DN133" s="327"/>
      <c r="DO133" s="327"/>
      <c r="DP133" s="327"/>
      <c r="DQ133" s="327"/>
      <c r="DR133" s="327"/>
      <c r="DS133" s="327"/>
      <c r="DT133" s="327"/>
      <c r="DU133" s="327"/>
      <c r="DV133" s="327"/>
    </row>
    <row r="134" spans="1:126" s="1367" customFormat="1">
      <c r="A134" s="2493" t="s">
        <v>1307</v>
      </c>
      <c r="B134" s="1653" t="s">
        <v>2150</v>
      </c>
      <c r="C134" s="1641" t="s">
        <v>47</v>
      </c>
      <c r="D134" s="1365" t="s">
        <v>2151</v>
      </c>
      <c r="E134" s="1364" t="s">
        <v>2097</v>
      </c>
      <c r="F134" s="1364" t="s">
        <v>2108</v>
      </c>
      <c r="G134" s="2088" t="s">
        <v>1796</v>
      </c>
      <c r="H134" s="1361">
        <f>((13*'Equipment Results Matrix'!$R$558)+(36000*'Equipment Results Matrix'!$R$557)+'Equipment Results Matrix'!$R$559+'Equipment Results Matrix'!$T$564)*(1+'Equipment Results Matrix'!$T$566)</f>
        <v>1784.6171814540007</v>
      </c>
      <c r="I134" s="1371">
        <f>'Labor Results Matrix'!$E$28</f>
        <v>31.353832233535051</v>
      </c>
      <c r="J134" s="1372">
        <f>'Labor Results Matrix'!$G$29*(1+'Labor Results Matrix'!$K$29)</f>
        <v>90.902727788816378</v>
      </c>
      <c r="K134" s="1372">
        <f>J134*I134</f>
        <v>2850.1488766612533</v>
      </c>
      <c r="L134" s="1372">
        <f>((('Labor Results Matrix'!$I$28+'Labor Results Matrix'!$I$30))+'Labor Results Matrix'!$J$28)*(1+'Labor Results Matrix'!$K$29)</f>
        <v>3045.4810622846508</v>
      </c>
      <c r="M134" s="1372">
        <f t="shared" ref="M134:M150" si="20">H134+K134+L134</f>
        <v>7680.2471203999048</v>
      </c>
      <c r="N134" s="1455" t="s">
        <v>40</v>
      </c>
      <c r="O134" s="2092"/>
      <c r="P134" s="2093"/>
      <c r="Q134" s="2093"/>
      <c r="R134" s="2093"/>
      <c r="S134" s="2093"/>
      <c r="T134" s="2093"/>
      <c r="U134" s="2093"/>
      <c r="V134" s="2096"/>
      <c r="W134" s="1366"/>
      <c r="X134" s="1366"/>
      <c r="Y134" s="1366"/>
      <c r="Z134" s="1366"/>
      <c r="AA134" s="1366"/>
      <c r="AB134" s="1366"/>
      <c r="AC134" s="1366"/>
      <c r="AD134" s="1366"/>
      <c r="AE134" s="1366"/>
      <c r="AF134" s="1366"/>
      <c r="AG134" s="1366"/>
      <c r="AH134" s="1366"/>
      <c r="AI134" s="1366"/>
      <c r="AJ134" s="1366"/>
      <c r="AK134" s="1366"/>
      <c r="AL134" s="1366"/>
      <c r="AM134" s="1366"/>
      <c r="AN134" s="1366"/>
      <c r="AO134" s="1366"/>
      <c r="AP134" s="1366"/>
      <c r="AQ134" s="1366"/>
      <c r="AR134" s="1366"/>
      <c r="AS134" s="1366"/>
      <c r="AT134" s="1366"/>
      <c r="AU134" s="1366"/>
      <c r="AV134" s="1366"/>
      <c r="AW134" s="1366"/>
      <c r="AX134" s="1366"/>
      <c r="AY134" s="1366"/>
      <c r="AZ134" s="1366"/>
      <c r="BA134" s="1366"/>
      <c r="BB134" s="1366"/>
      <c r="BC134" s="1366"/>
      <c r="BD134" s="1366"/>
      <c r="BE134" s="1366"/>
      <c r="BF134" s="1366"/>
      <c r="BG134" s="1366"/>
      <c r="BH134" s="1366"/>
      <c r="BI134" s="1366"/>
      <c r="BJ134" s="1366"/>
      <c r="BK134" s="1366"/>
      <c r="BL134" s="1366"/>
      <c r="BM134" s="1366"/>
      <c r="BN134" s="1366"/>
      <c r="BO134" s="1366"/>
      <c r="BP134" s="1366"/>
      <c r="BQ134" s="1366"/>
      <c r="BR134" s="1366"/>
      <c r="BS134" s="1366"/>
      <c r="BT134" s="1366"/>
      <c r="BU134" s="1366"/>
      <c r="BV134" s="1366"/>
      <c r="BW134" s="1366"/>
      <c r="BX134" s="1366"/>
      <c r="BY134" s="1366"/>
      <c r="BZ134" s="1366"/>
      <c r="CA134" s="1366"/>
      <c r="CB134" s="1366"/>
      <c r="CC134" s="1366"/>
      <c r="CD134" s="1366"/>
      <c r="CE134" s="1366"/>
      <c r="CF134" s="1366"/>
      <c r="CG134" s="1366"/>
      <c r="CH134" s="1366"/>
      <c r="CI134" s="1366"/>
      <c r="CJ134" s="1366"/>
      <c r="CK134" s="1366"/>
      <c r="CL134" s="1366"/>
      <c r="CM134" s="1366"/>
      <c r="CN134" s="1366"/>
      <c r="CO134" s="1366"/>
      <c r="CP134" s="1366"/>
      <c r="CQ134" s="1366"/>
      <c r="CR134" s="1366"/>
      <c r="CS134" s="1366"/>
      <c r="CT134" s="1366"/>
      <c r="CU134" s="1366"/>
      <c r="CV134" s="1366"/>
      <c r="CW134" s="1366"/>
      <c r="CX134" s="1366"/>
      <c r="CY134" s="1366"/>
      <c r="CZ134" s="1366"/>
      <c r="DA134" s="1366"/>
      <c r="DB134" s="1366"/>
      <c r="DC134" s="1366"/>
      <c r="DD134" s="1366"/>
      <c r="DE134" s="1366"/>
      <c r="DF134" s="1366"/>
      <c r="DG134" s="1366"/>
      <c r="DH134" s="1366"/>
      <c r="DI134" s="1366"/>
      <c r="DJ134" s="1366"/>
      <c r="DK134" s="1366"/>
      <c r="DL134" s="1366"/>
      <c r="DM134" s="1366"/>
      <c r="DN134" s="1366"/>
      <c r="DO134" s="1366"/>
      <c r="DP134" s="1366"/>
      <c r="DQ134" s="1366"/>
      <c r="DR134" s="1366"/>
      <c r="DS134" s="1366"/>
      <c r="DT134" s="1366"/>
      <c r="DU134" s="1366"/>
      <c r="DV134" s="1366"/>
    </row>
    <row r="135" spans="1:126" s="1367" customFormat="1" ht="30">
      <c r="A135" s="2494"/>
      <c r="B135" s="1653">
        <v>61</v>
      </c>
      <c r="C135" s="658" t="s">
        <v>49</v>
      </c>
      <c r="D135" s="1375" t="s">
        <v>2152</v>
      </c>
      <c r="E135" s="1364" t="s">
        <v>2097</v>
      </c>
      <c r="F135" s="1364" t="s">
        <v>2108</v>
      </c>
      <c r="G135" s="2088" t="s">
        <v>1796</v>
      </c>
      <c r="H135" s="1361">
        <f>((14*'Equipment Results Matrix'!$R$558)+(36000*'Equipment Results Matrix'!$R$557)+'Equipment Results Matrix'!$R$559+'Equipment Results Matrix'!$T$564)*(1+'Equipment Results Matrix'!$T$566)</f>
        <v>2332.907335853999</v>
      </c>
      <c r="I135" s="2089">
        <f>'Labor Results Matrix'!$E$28</f>
        <v>31.353832233535051</v>
      </c>
      <c r="J135" s="1372">
        <f>'Labor Results Matrix'!$G$29*(1+'Labor Results Matrix'!$K$29)</f>
        <v>90.902727788816378</v>
      </c>
      <c r="K135" s="1372">
        <f t="shared" ref="K135:K150" si="21">J135*I135</f>
        <v>2850.1488766612533</v>
      </c>
      <c r="L135" s="2090">
        <f>((('Labor Results Matrix'!$I$28+'Labor Results Matrix'!$I$30))+'Labor Results Matrix'!$J$28)*(1+'Labor Results Matrix'!$K$29)</f>
        <v>3045.4810622846508</v>
      </c>
      <c r="M135" s="1372">
        <f t="shared" si="20"/>
        <v>8228.5372747999027</v>
      </c>
      <c r="N135" s="1458">
        <f>M135-$M$134</f>
        <v>548.29015439999785</v>
      </c>
      <c r="O135" s="2092"/>
      <c r="P135" s="2093"/>
      <c r="Q135" s="2093"/>
      <c r="R135" s="2093"/>
      <c r="S135" s="2093"/>
      <c r="T135" s="2093"/>
      <c r="U135" s="2093"/>
      <c r="V135" s="2096"/>
      <c r="W135" s="1366"/>
      <c r="X135" s="1366"/>
      <c r="Y135" s="1366"/>
      <c r="Z135" s="1366"/>
      <c r="AA135" s="1366"/>
      <c r="AB135" s="1366"/>
      <c r="AC135" s="1366"/>
      <c r="AD135" s="1366"/>
      <c r="AE135" s="1366"/>
      <c r="AF135" s="1366"/>
      <c r="AG135" s="1366"/>
      <c r="AH135" s="1366"/>
      <c r="AI135" s="1366"/>
      <c r="AJ135" s="1366"/>
      <c r="AK135" s="1366"/>
      <c r="AL135" s="1366"/>
      <c r="AM135" s="1366"/>
      <c r="AN135" s="1366"/>
      <c r="AO135" s="1366"/>
      <c r="AP135" s="1366"/>
      <c r="AQ135" s="1366"/>
      <c r="AR135" s="1366"/>
      <c r="AS135" s="1366"/>
      <c r="AT135" s="1366"/>
      <c r="AU135" s="1366"/>
      <c r="AV135" s="1366"/>
      <c r="AW135" s="1366"/>
      <c r="AX135" s="1366"/>
      <c r="AY135" s="1366"/>
      <c r="AZ135" s="1366"/>
      <c r="BA135" s="1366"/>
      <c r="BB135" s="1366"/>
      <c r="BC135" s="1366"/>
      <c r="BD135" s="1366"/>
      <c r="BE135" s="1366"/>
      <c r="BF135" s="1366"/>
      <c r="BG135" s="1366"/>
      <c r="BH135" s="1366"/>
      <c r="BI135" s="1366"/>
      <c r="BJ135" s="1366"/>
      <c r="BK135" s="1366"/>
      <c r="BL135" s="1366"/>
      <c r="BM135" s="1366"/>
      <c r="BN135" s="1366"/>
      <c r="BO135" s="1366"/>
      <c r="BP135" s="1366"/>
      <c r="BQ135" s="1366"/>
      <c r="BR135" s="1366"/>
      <c r="BS135" s="1366"/>
      <c r="BT135" s="1366"/>
      <c r="BU135" s="1366"/>
      <c r="BV135" s="1366"/>
      <c r="BW135" s="1366"/>
      <c r="BX135" s="1366"/>
      <c r="BY135" s="1366"/>
      <c r="BZ135" s="1366"/>
      <c r="CA135" s="1366"/>
      <c r="CB135" s="1366"/>
      <c r="CC135" s="1366"/>
      <c r="CD135" s="1366"/>
      <c r="CE135" s="1366"/>
      <c r="CF135" s="1366"/>
      <c r="CG135" s="1366"/>
      <c r="CH135" s="1366"/>
      <c r="CI135" s="1366"/>
      <c r="CJ135" s="1366"/>
      <c r="CK135" s="1366"/>
      <c r="CL135" s="1366"/>
      <c r="CM135" s="1366"/>
      <c r="CN135" s="1366"/>
      <c r="CO135" s="1366"/>
      <c r="CP135" s="1366"/>
      <c r="CQ135" s="1366"/>
      <c r="CR135" s="1366"/>
      <c r="CS135" s="1366"/>
      <c r="CT135" s="1366"/>
      <c r="CU135" s="1366"/>
      <c r="CV135" s="1366"/>
      <c r="CW135" s="1366"/>
      <c r="CX135" s="1366"/>
      <c r="CY135" s="1366"/>
      <c r="CZ135" s="1366"/>
      <c r="DA135" s="1366"/>
      <c r="DB135" s="1366"/>
      <c r="DC135" s="1366"/>
      <c r="DD135" s="1366"/>
      <c r="DE135" s="1366"/>
      <c r="DF135" s="1366"/>
      <c r="DG135" s="1366"/>
      <c r="DH135" s="1366"/>
      <c r="DI135" s="1366"/>
      <c r="DJ135" s="1366"/>
      <c r="DK135" s="1366"/>
      <c r="DL135" s="1366"/>
      <c r="DM135" s="1366"/>
      <c r="DN135" s="1366"/>
      <c r="DO135" s="1366"/>
      <c r="DP135" s="1366"/>
      <c r="DQ135" s="1366"/>
      <c r="DR135" s="1366"/>
      <c r="DS135" s="1366"/>
      <c r="DT135" s="1366"/>
      <c r="DU135" s="1366"/>
      <c r="DV135" s="1366"/>
    </row>
    <row r="136" spans="1:126" s="1367" customFormat="1" ht="30">
      <c r="A136" s="2494"/>
      <c r="B136" s="1653">
        <v>62</v>
      </c>
      <c r="C136" s="658" t="s">
        <v>49</v>
      </c>
      <c r="D136" s="1375" t="s">
        <v>2153</v>
      </c>
      <c r="E136" s="1364" t="s">
        <v>2097</v>
      </c>
      <c r="F136" s="1364" t="s">
        <v>2108</v>
      </c>
      <c r="G136" s="2088" t="s">
        <v>1796</v>
      </c>
      <c r="H136" s="1361">
        <f>((13*'Equipment Results Matrix'!$R$558)+(36000*'Equipment Results Matrix'!$R$557)+'Equipment Results Matrix'!$R$559+'Equipment Results Matrix'!$T$564)*(1+'Equipment Results Matrix'!$T$566)</f>
        <v>1784.6171814540007</v>
      </c>
      <c r="I136" s="2089">
        <f>'Labor Results Matrix'!$E$28</f>
        <v>31.353832233535051</v>
      </c>
      <c r="J136" s="1372">
        <f>'Labor Results Matrix'!$G$29*(1+'Labor Results Matrix'!$K$29)</f>
        <v>90.902727788816378</v>
      </c>
      <c r="K136" s="1372">
        <f t="shared" si="21"/>
        <v>2850.1488766612533</v>
      </c>
      <c r="L136" s="2090">
        <f>((('Labor Results Matrix'!$I$28+'Labor Results Matrix'!$I$30))+'Labor Results Matrix'!$J$28)*(1+'Labor Results Matrix'!$K$29)</f>
        <v>3045.4810622846508</v>
      </c>
      <c r="M136" s="1372">
        <f t="shared" si="20"/>
        <v>7680.2471203999048</v>
      </c>
      <c r="N136" s="1458">
        <f t="shared" ref="N136:N138" si="22">M136-$M$134</f>
        <v>0</v>
      </c>
      <c r="O136" s="2092"/>
      <c r="P136" s="2093"/>
      <c r="Q136" s="2093"/>
      <c r="R136" s="2093"/>
      <c r="S136" s="2093"/>
      <c r="T136" s="2093"/>
      <c r="U136" s="2093"/>
      <c r="V136" s="2096"/>
      <c r="W136" s="1366"/>
      <c r="X136" s="1366"/>
      <c r="Y136" s="1366"/>
      <c r="Z136" s="1366"/>
      <c r="AA136" s="1366"/>
      <c r="AB136" s="1366"/>
      <c r="AC136" s="1366"/>
      <c r="AD136" s="1366"/>
      <c r="AE136" s="1366"/>
      <c r="AF136" s="1366"/>
      <c r="AG136" s="1366"/>
      <c r="AH136" s="1366"/>
      <c r="AI136" s="1366"/>
      <c r="AJ136" s="1366"/>
      <c r="AK136" s="1366"/>
      <c r="AL136" s="1366"/>
      <c r="AM136" s="1366"/>
      <c r="AN136" s="1366"/>
      <c r="AO136" s="1366"/>
      <c r="AP136" s="1366"/>
      <c r="AQ136" s="1366"/>
      <c r="AR136" s="1366"/>
      <c r="AS136" s="1366"/>
      <c r="AT136" s="1366"/>
      <c r="AU136" s="1366"/>
      <c r="AV136" s="1366"/>
      <c r="AW136" s="1366"/>
      <c r="AX136" s="1366"/>
      <c r="AY136" s="1366"/>
      <c r="AZ136" s="1366"/>
      <c r="BA136" s="1366"/>
      <c r="BB136" s="1366"/>
      <c r="BC136" s="1366"/>
      <c r="BD136" s="1366"/>
      <c r="BE136" s="1366"/>
      <c r="BF136" s="1366"/>
      <c r="BG136" s="1366"/>
      <c r="BH136" s="1366"/>
      <c r="BI136" s="1366"/>
      <c r="BJ136" s="1366"/>
      <c r="BK136" s="1366"/>
      <c r="BL136" s="1366"/>
      <c r="BM136" s="1366"/>
      <c r="BN136" s="1366"/>
      <c r="BO136" s="1366"/>
      <c r="BP136" s="1366"/>
      <c r="BQ136" s="1366"/>
      <c r="BR136" s="1366"/>
      <c r="BS136" s="1366"/>
      <c r="BT136" s="1366"/>
      <c r="BU136" s="1366"/>
      <c r="BV136" s="1366"/>
      <c r="BW136" s="1366"/>
      <c r="BX136" s="1366"/>
      <c r="BY136" s="1366"/>
      <c r="BZ136" s="1366"/>
      <c r="CA136" s="1366"/>
      <c r="CB136" s="1366"/>
      <c r="CC136" s="1366"/>
      <c r="CD136" s="1366"/>
      <c r="CE136" s="1366"/>
      <c r="CF136" s="1366"/>
      <c r="CG136" s="1366"/>
      <c r="CH136" s="1366"/>
      <c r="CI136" s="1366"/>
      <c r="CJ136" s="1366"/>
      <c r="CK136" s="1366"/>
      <c r="CL136" s="1366"/>
      <c r="CM136" s="1366"/>
      <c r="CN136" s="1366"/>
      <c r="CO136" s="1366"/>
      <c r="CP136" s="1366"/>
      <c r="CQ136" s="1366"/>
      <c r="CR136" s="1366"/>
      <c r="CS136" s="1366"/>
      <c r="CT136" s="1366"/>
      <c r="CU136" s="1366"/>
      <c r="CV136" s="1366"/>
      <c r="CW136" s="1366"/>
      <c r="CX136" s="1366"/>
      <c r="CY136" s="1366"/>
      <c r="CZ136" s="1366"/>
      <c r="DA136" s="1366"/>
      <c r="DB136" s="1366"/>
      <c r="DC136" s="1366"/>
      <c r="DD136" s="1366"/>
      <c r="DE136" s="1366"/>
      <c r="DF136" s="1366"/>
      <c r="DG136" s="1366"/>
      <c r="DH136" s="1366"/>
      <c r="DI136" s="1366"/>
      <c r="DJ136" s="1366"/>
      <c r="DK136" s="1366"/>
      <c r="DL136" s="1366"/>
      <c r="DM136" s="1366"/>
      <c r="DN136" s="1366"/>
      <c r="DO136" s="1366"/>
      <c r="DP136" s="1366"/>
      <c r="DQ136" s="1366"/>
      <c r="DR136" s="1366"/>
      <c r="DS136" s="1366"/>
      <c r="DT136" s="1366"/>
      <c r="DU136" s="1366"/>
      <c r="DV136" s="1366"/>
    </row>
    <row r="137" spans="1:126" s="1367" customFormat="1" ht="30">
      <c r="A137" s="2494"/>
      <c r="B137" s="1653">
        <v>63</v>
      </c>
      <c r="C137" s="658" t="s">
        <v>49</v>
      </c>
      <c r="D137" s="1375" t="s">
        <v>2154</v>
      </c>
      <c r="E137" s="1364" t="s">
        <v>2097</v>
      </c>
      <c r="F137" s="1364" t="s">
        <v>2108</v>
      </c>
      <c r="G137" s="2088" t="s">
        <v>1796</v>
      </c>
      <c r="H137" s="1361">
        <f>((14*'Equipment Results Matrix'!$R$558)+(36000*'Equipment Results Matrix'!$R$557)+'Equipment Results Matrix'!$R$559+'Equipment Results Matrix'!$T$564)*(1+'Equipment Results Matrix'!$T$566)</f>
        <v>2332.907335853999</v>
      </c>
      <c r="I137" s="2089">
        <f>'Labor Results Matrix'!$E$28</f>
        <v>31.353832233535051</v>
      </c>
      <c r="J137" s="1372">
        <f>'Labor Results Matrix'!$G$29*(1+'Labor Results Matrix'!$K$29)</f>
        <v>90.902727788816378</v>
      </c>
      <c r="K137" s="1372">
        <f t="shared" si="21"/>
        <v>2850.1488766612533</v>
      </c>
      <c r="L137" s="2090">
        <f>((('Labor Results Matrix'!$I$28+'Labor Results Matrix'!$I$30))+'Labor Results Matrix'!$J$28)*(1+'Labor Results Matrix'!$K$29)</f>
        <v>3045.4810622846508</v>
      </c>
      <c r="M137" s="1372">
        <f t="shared" si="20"/>
        <v>8228.5372747999027</v>
      </c>
      <c r="N137" s="1458">
        <f t="shared" si="22"/>
        <v>548.29015439999785</v>
      </c>
      <c r="O137" s="2092"/>
      <c r="P137" s="2093"/>
      <c r="Q137" s="2093"/>
      <c r="R137" s="2093"/>
      <c r="S137" s="2093"/>
      <c r="T137" s="2093"/>
      <c r="U137" s="2093"/>
      <c r="V137" s="2096"/>
      <c r="W137" s="1366"/>
      <c r="X137" s="1366"/>
      <c r="Y137" s="1366"/>
      <c r="Z137" s="1366"/>
      <c r="AA137" s="1366"/>
      <c r="AB137" s="1366"/>
      <c r="AC137" s="1366"/>
      <c r="AD137" s="1366"/>
      <c r="AE137" s="1366"/>
      <c r="AF137" s="1366"/>
      <c r="AG137" s="1366"/>
      <c r="AH137" s="1366"/>
      <c r="AI137" s="1366"/>
      <c r="AJ137" s="1366"/>
      <c r="AK137" s="1366"/>
      <c r="AL137" s="1366"/>
      <c r="AM137" s="1366"/>
      <c r="AN137" s="1366"/>
      <c r="AO137" s="1366"/>
      <c r="AP137" s="1366"/>
      <c r="AQ137" s="1366"/>
      <c r="AR137" s="1366"/>
      <c r="AS137" s="1366"/>
      <c r="AT137" s="1366"/>
      <c r="AU137" s="1366"/>
      <c r="AV137" s="1366"/>
      <c r="AW137" s="1366"/>
      <c r="AX137" s="1366"/>
      <c r="AY137" s="1366"/>
      <c r="AZ137" s="1366"/>
      <c r="BA137" s="1366"/>
      <c r="BB137" s="1366"/>
      <c r="BC137" s="1366"/>
      <c r="BD137" s="1366"/>
      <c r="BE137" s="1366"/>
      <c r="BF137" s="1366"/>
      <c r="BG137" s="1366"/>
      <c r="BH137" s="1366"/>
      <c r="BI137" s="1366"/>
      <c r="BJ137" s="1366"/>
      <c r="BK137" s="1366"/>
      <c r="BL137" s="1366"/>
      <c r="BM137" s="1366"/>
      <c r="BN137" s="1366"/>
      <c r="BO137" s="1366"/>
      <c r="BP137" s="1366"/>
      <c r="BQ137" s="1366"/>
      <c r="BR137" s="1366"/>
      <c r="BS137" s="1366"/>
      <c r="BT137" s="1366"/>
      <c r="BU137" s="1366"/>
      <c r="BV137" s="1366"/>
      <c r="BW137" s="1366"/>
      <c r="BX137" s="1366"/>
      <c r="BY137" s="1366"/>
      <c r="BZ137" s="1366"/>
      <c r="CA137" s="1366"/>
      <c r="CB137" s="1366"/>
      <c r="CC137" s="1366"/>
      <c r="CD137" s="1366"/>
      <c r="CE137" s="1366"/>
      <c r="CF137" s="1366"/>
      <c r="CG137" s="1366"/>
      <c r="CH137" s="1366"/>
      <c r="CI137" s="1366"/>
      <c r="CJ137" s="1366"/>
      <c r="CK137" s="1366"/>
      <c r="CL137" s="1366"/>
      <c r="CM137" s="1366"/>
      <c r="CN137" s="1366"/>
      <c r="CO137" s="1366"/>
      <c r="CP137" s="1366"/>
      <c r="CQ137" s="1366"/>
      <c r="CR137" s="1366"/>
      <c r="CS137" s="1366"/>
      <c r="CT137" s="1366"/>
      <c r="CU137" s="1366"/>
      <c r="CV137" s="1366"/>
      <c r="CW137" s="1366"/>
      <c r="CX137" s="1366"/>
      <c r="CY137" s="1366"/>
      <c r="CZ137" s="1366"/>
      <c r="DA137" s="1366"/>
      <c r="DB137" s="1366"/>
      <c r="DC137" s="1366"/>
      <c r="DD137" s="1366"/>
      <c r="DE137" s="1366"/>
      <c r="DF137" s="1366"/>
      <c r="DG137" s="1366"/>
      <c r="DH137" s="1366"/>
      <c r="DI137" s="1366"/>
      <c r="DJ137" s="1366"/>
      <c r="DK137" s="1366"/>
      <c r="DL137" s="1366"/>
      <c r="DM137" s="1366"/>
      <c r="DN137" s="1366"/>
      <c r="DO137" s="1366"/>
      <c r="DP137" s="1366"/>
      <c r="DQ137" s="1366"/>
      <c r="DR137" s="1366"/>
      <c r="DS137" s="1366"/>
      <c r="DT137" s="1366"/>
      <c r="DU137" s="1366"/>
      <c r="DV137" s="1366"/>
    </row>
    <row r="138" spans="1:126" s="1367" customFormat="1" ht="30">
      <c r="A138" s="2494"/>
      <c r="B138" s="1653">
        <v>64</v>
      </c>
      <c r="C138" s="658" t="s">
        <v>49</v>
      </c>
      <c r="D138" s="1375" t="s">
        <v>2155</v>
      </c>
      <c r="E138" s="1364" t="s">
        <v>2097</v>
      </c>
      <c r="F138" s="1364" t="s">
        <v>2108</v>
      </c>
      <c r="G138" s="2088" t="s">
        <v>1796</v>
      </c>
      <c r="H138" s="1361">
        <f>((15*'Equipment Results Matrix'!$R$558)+(36000*'Equipment Results Matrix'!$R$557)+'Equipment Results Matrix'!$R$559+'Equipment Results Matrix'!$T$564)*(1+'Equipment Results Matrix'!$T$566)</f>
        <v>2881.1974902539982</v>
      </c>
      <c r="I138" s="2089">
        <f>'Labor Results Matrix'!$E$28</f>
        <v>31.353832233535051</v>
      </c>
      <c r="J138" s="1372">
        <f>'Labor Results Matrix'!$G$29*(1+'Labor Results Matrix'!$K$29)</f>
        <v>90.902727788816378</v>
      </c>
      <c r="K138" s="1372">
        <f t="shared" si="21"/>
        <v>2850.1488766612533</v>
      </c>
      <c r="L138" s="2090">
        <f>((('Labor Results Matrix'!$I$28+'Labor Results Matrix'!$I$30))+'Labor Results Matrix'!$J$28)*(1+'Labor Results Matrix'!$K$29)</f>
        <v>3045.4810622846508</v>
      </c>
      <c r="M138" s="1372">
        <f t="shared" si="20"/>
        <v>8776.8274291999023</v>
      </c>
      <c r="N138" s="1458">
        <f t="shared" si="22"/>
        <v>1096.5803087999975</v>
      </c>
      <c r="O138" s="2092"/>
      <c r="P138" s="2093"/>
      <c r="Q138" s="2093"/>
      <c r="R138" s="2093"/>
      <c r="S138" s="2093"/>
      <c r="T138" s="2093"/>
      <c r="U138" s="2093"/>
      <c r="V138" s="2096"/>
      <c r="W138" s="1366"/>
      <c r="X138" s="1366"/>
      <c r="Y138" s="1366"/>
      <c r="Z138" s="1366"/>
      <c r="AA138" s="1366"/>
      <c r="AB138" s="1366"/>
      <c r="AC138" s="1366"/>
      <c r="AD138" s="1366"/>
      <c r="AE138" s="1366"/>
      <c r="AF138" s="1366"/>
      <c r="AG138" s="1366"/>
      <c r="AH138" s="1366"/>
      <c r="AI138" s="1366"/>
      <c r="AJ138" s="1366"/>
      <c r="AK138" s="1366"/>
      <c r="AL138" s="1366"/>
      <c r="AM138" s="1366"/>
      <c r="AN138" s="1366"/>
      <c r="AO138" s="1366"/>
      <c r="AP138" s="1366"/>
      <c r="AQ138" s="1366"/>
      <c r="AR138" s="1366"/>
      <c r="AS138" s="1366"/>
      <c r="AT138" s="1366"/>
      <c r="AU138" s="1366"/>
      <c r="AV138" s="1366"/>
      <c r="AW138" s="1366"/>
      <c r="AX138" s="1366"/>
      <c r="AY138" s="1366"/>
      <c r="AZ138" s="1366"/>
      <c r="BA138" s="1366"/>
      <c r="BB138" s="1366"/>
      <c r="BC138" s="1366"/>
      <c r="BD138" s="1366"/>
      <c r="BE138" s="1366"/>
      <c r="BF138" s="1366"/>
      <c r="BG138" s="1366"/>
      <c r="BH138" s="1366"/>
      <c r="BI138" s="1366"/>
      <c r="BJ138" s="1366"/>
      <c r="BK138" s="1366"/>
      <c r="BL138" s="1366"/>
      <c r="BM138" s="1366"/>
      <c r="BN138" s="1366"/>
      <c r="BO138" s="1366"/>
      <c r="BP138" s="1366"/>
      <c r="BQ138" s="1366"/>
      <c r="BR138" s="1366"/>
      <c r="BS138" s="1366"/>
      <c r="BT138" s="1366"/>
      <c r="BU138" s="1366"/>
      <c r="BV138" s="1366"/>
      <c r="BW138" s="1366"/>
      <c r="BX138" s="1366"/>
      <c r="BY138" s="1366"/>
      <c r="BZ138" s="1366"/>
      <c r="CA138" s="1366"/>
      <c r="CB138" s="1366"/>
      <c r="CC138" s="1366"/>
      <c r="CD138" s="1366"/>
      <c r="CE138" s="1366"/>
      <c r="CF138" s="1366"/>
      <c r="CG138" s="1366"/>
      <c r="CH138" s="1366"/>
      <c r="CI138" s="1366"/>
      <c r="CJ138" s="1366"/>
      <c r="CK138" s="1366"/>
      <c r="CL138" s="1366"/>
      <c r="CM138" s="1366"/>
      <c r="CN138" s="1366"/>
      <c r="CO138" s="1366"/>
      <c r="CP138" s="1366"/>
      <c r="CQ138" s="1366"/>
      <c r="CR138" s="1366"/>
      <c r="CS138" s="1366"/>
      <c r="CT138" s="1366"/>
      <c r="CU138" s="1366"/>
      <c r="CV138" s="1366"/>
      <c r="CW138" s="1366"/>
      <c r="CX138" s="1366"/>
      <c r="CY138" s="1366"/>
      <c r="CZ138" s="1366"/>
      <c r="DA138" s="1366"/>
      <c r="DB138" s="1366"/>
      <c r="DC138" s="1366"/>
      <c r="DD138" s="1366"/>
      <c r="DE138" s="1366"/>
      <c r="DF138" s="1366"/>
      <c r="DG138" s="1366"/>
      <c r="DH138" s="1366"/>
      <c r="DI138" s="1366"/>
      <c r="DJ138" s="1366"/>
      <c r="DK138" s="1366"/>
      <c r="DL138" s="1366"/>
      <c r="DM138" s="1366"/>
      <c r="DN138" s="1366"/>
      <c r="DO138" s="1366"/>
      <c r="DP138" s="1366"/>
      <c r="DQ138" s="1366"/>
      <c r="DR138" s="1366"/>
      <c r="DS138" s="1366"/>
      <c r="DT138" s="1366"/>
      <c r="DU138" s="1366"/>
      <c r="DV138" s="1366"/>
    </row>
    <row r="139" spans="1:126" s="1367" customFormat="1">
      <c r="A139" s="2494"/>
      <c r="B139" s="1653" t="s">
        <v>2657</v>
      </c>
      <c r="C139" s="1641" t="s">
        <v>47</v>
      </c>
      <c r="D139" s="1379" t="s">
        <v>2156</v>
      </c>
      <c r="E139" s="1364" t="s">
        <v>2097</v>
      </c>
      <c r="F139" s="1364" t="s">
        <v>2108</v>
      </c>
      <c r="G139" s="2088" t="s">
        <v>1796</v>
      </c>
      <c r="H139" s="1361">
        <f>((13*'Equipment Results Matrix'!$R$558)+(59000*'Equipment Results Matrix'!$R$557)+'Equipment Results Matrix'!$R$559+'Equipment Results Matrix'!$T$564)*(1+'Equipment Results Matrix'!$T$566)</f>
        <v>2924.1935814539984</v>
      </c>
      <c r="I139" s="2089">
        <f>'Labor Results Matrix'!$E$28</f>
        <v>31.353832233535051</v>
      </c>
      <c r="J139" s="1372">
        <f>'Labor Results Matrix'!$G$29*(1+'Labor Results Matrix'!$K$29)</f>
        <v>90.902727788816378</v>
      </c>
      <c r="K139" s="1372">
        <f t="shared" si="21"/>
        <v>2850.1488766612533</v>
      </c>
      <c r="L139" s="2090">
        <f>((('Labor Results Matrix'!$I$28+'Labor Results Matrix'!$I$30))+'Labor Results Matrix'!$J$28)*(1+'Labor Results Matrix'!$K$29)</f>
        <v>3045.4810622846508</v>
      </c>
      <c r="M139" s="1372">
        <f t="shared" si="20"/>
        <v>8819.8235203999029</v>
      </c>
      <c r="N139" s="1455" t="s">
        <v>40</v>
      </c>
      <c r="O139" s="2092"/>
      <c r="P139" s="2093"/>
      <c r="Q139" s="2093"/>
      <c r="R139" s="2093"/>
      <c r="S139" s="2093"/>
      <c r="T139" s="2093"/>
      <c r="U139" s="2093"/>
      <c r="V139" s="2096"/>
      <c r="W139" s="1366"/>
      <c r="X139" s="1366"/>
      <c r="Y139" s="1366"/>
      <c r="Z139" s="1366"/>
      <c r="AA139" s="1366"/>
      <c r="AB139" s="1366"/>
      <c r="AC139" s="1366"/>
      <c r="AD139" s="1366"/>
      <c r="AE139" s="1366"/>
      <c r="AF139" s="1366"/>
      <c r="AG139" s="1366"/>
      <c r="AH139" s="1366"/>
      <c r="AI139" s="1366"/>
      <c r="AJ139" s="1366"/>
      <c r="AK139" s="1366"/>
      <c r="AL139" s="1366"/>
      <c r="AM139" s="1366"/>
      <c r="AN139" s="1366"/>
      <c r="AO139" s="1366"/>
      <c r="AP139" s="1366"/>
      <c r="AQ139" s="1366"/>
      <c r="AR139" s="1366"/>
      <c r="AS139" s="1366"/>
      <c r="AT139" s="1366"/>
      <c r="AU139" s="1366"/>
      <c r="AV139" s="1366"/>
      <c r="AW139" s="1366"/>
      <c r="AX139" s="1366"/>
      <c r="AY139" s="1366"/>
      <c r="AZ139" s="1366"/>
      <c r="BA139" s="1366"/>
      <c r="BB139" s="1366"/>
      <c r="BC139" s="1366"/>
      <c r="BD139" s="1366"/>
      <c r="BE139" s="1366"/>
      <c r="BF139" s="1366"/>
      <c r="BG139" s="1366"/>
      <c r="BH139" s="1366"/>
      <c r="BI139" s="1366"/>
      <c r="BJ139" s="1366"/>
      <c r="BK139" s="1366"/>
      <c r="BL139" s="1366"/>
      <c r="BM139" s="1366"/>
      <c r="BN139" s="1366"/>
      <c r="BO139" s="1366"/>
      <c r="BP139" s="1366"/>
      <c r="BQ139" s="1366"/>
      <c r="BR139" s="1366"/>
      <c r="BS139" s="1366"/>
      <c r="BT139" s="1366"/>
      <c r="BU139" s="1366"/>
      <c r="BV139" s="1366"/>
      <c r="BW139" s="1366"/>
      <c r="BX139" s="1366"/>
      <c r="BY139" s="1366"/>
      <c r="BZ139" s="1366"/>
      <c r="CA139" s="1366"/>
      <c r="CB139" s="1366"/>
      <c r="CC139" s="1366"/>
      <c r="CD139" s="1366"/>
      <c r="CE139" s="1366"/>
      <c r="CF139" s="1366"/>
      <c r="CG139" s="1366"/>
      <c r="CH139" s="1366"/>
      <c r="CI139" s="1366"/>
      <c r="CJ139" s="1366"/>
      <c r="CK139" s="1366"/>
      <c r="CL139" s="1366"/>
      <c r="CM139" s="1366"/>
      <c r="CN139" s="1366"/>
      <c r="CO139" s="1366"/>
      <c r="CP139" s="1366"/>
      <c r="CQ139" s="1366"/>
      <c r="CR139" s="1366"/>
      <c r="CS139" s="1366"/>
      <c r="CT139" s="1366"/>
      <c r="CU139" s="1366"/>
      <c r="CV139" s="1366"/>
      <c r="CW139" s="1366"/>
      <c r="CX139" s="1366"/>
      <c r="CY139" s="1366"/>
      <c r="CZ139" s="1366"/>
      <c r="DA139" s="1366"/>
      <c r="DB139" s="1366"/>
      <c r="DC139" s="1366"/>
      <c r="DD139" s="1366"/>
      <c r="DE139" s="1366"/>
      <c r="DF139" s="1366"/>
      <c r="DG139" s="1366"/>
      <c r="DH139" s="1366"/>
      <c r="DI139" s="1366"/>
      <c r="DJ139" s="1366"/>
      <c r="DK139" s="1366"/>
      <c r="DL139" s="1366"/>
      <c r="DM139" s="1366"/>
      <c r="DN139" s="1366"/>
      <c r="DO139" s="1366"/>
      <c r="DP139" s="1366"/>
      <c r="DQ139" s="1366"/>
      <c r="DR139" s="1366"/>
      <c r="DS139" s="1366"/>
      <c r="DT139" s="1366"/>
      <c r="DU139" s="1366"/>
      <c r="DV139" s="1366"/>
    </row>
    <row r="140" spans="1:126" s="1367" customFormat="1" ht="30">
      <c r="A140" s="2494"/>
      <c r="B140" s="1653">
        <v>65</v>
      </c>
      <c r="C140" s="658" t="s">
        <v>49</v>
      </c>
      <c r="D140" s="1375" t="s">
        <v>2157</v>
      </c>
      <c r="E140" s="1364" t="s">
        <v>2097</v>
      </c>
      <c r="F140" s="1364" t="s">
        <v>2108</v>
      </c>
      <c r="G140" s="2088" t="s">
        <v>1796</v>
      </c>
      <c r="H140" s="1361">
        <f>((14*'Equipment Results Matrix'!$R$558)+(59000*'Equipment Results Matrix'!$R$557)+'Equipment Results Matrix'!$R$559+'Equipment Results Matrix'!$T$564)*(1+'Equipment Results Matrix'!$T$566)</f>
        <v>3472.4837358539999</v>
      </c>
      <c r="I140" s="2089">
        <f>'Labor Results Matrix'!$E$28</f>
        <v>31.353832233535051</v>
      </c>
      <c r="J140" s="1372">
        <f>'Labor Results Matrix'!$G$29*(1+'Labor Results Matrix'!$K$29)</f>
        <v>90.902727788816378</v>
      </c>
      <c r="K140" s="1372">
        <f t="shared" si="21"/>
        <v>2850.1488766612533</v>
      </c>
      <c r="L140" s="2090">
        <f>((('Labor Results Matrix'!$I$28+'Labor Results Matrix'!$I$30))+'Labor Results Matrix'!$J$28)*(1+'Labor Results Matrix'!$K$29)</f>
        <v>3045.4810622846508</v>
      </c>
      <c r="M140" s="1372">
        <f t="shared" si="20"/>
        <v>9368.1136747999044</v>
      </c>
      <c r="N140" s="1458">
        <f>M140-$M$139</f>
        <v>548.29015440000148</v>
      </c>
      <c r="O140" s="2092"/>
      <c r="P140" s="2093"/>
      <c r="Q140" s="2093"/>
      <c r="R140" s="2093"/>
      <c r="S140" s="2093"/>
      <c r="T140" s="2093"/>
      <c r="U140" s="2093"/>
      <c r="V140" s="2096"/>
      <c r="W140" s="1366"/>
      <c r="X140" s="1366"/>
      <c r="Y140" s="1366"/>
      <c r="Z140" s="1366"/>
      <c r="AA140" s="1366"/>
      <c r="AB140" s="1366"/>
      <c r="AC140" s="1366"/>
      <c r="AD140" s="1366"/>
      <c r="AE140" s="1366"/>
      <c r="AF140" s="1366"/>
      <c r="AG140" s="1366"/>
      <c r="AH140" s="1366"/>
      <c r="AI140" s="1366"/>
      <c r="AJ140" s="1366"/>
      <c r="AK140" s="1366"/>
      <c r="AL140" s="1366"/>
      <c r="AM140" s="1366"/>
      <c r="AN140" s="1366"/>
      <c r="AO140" s="1366"/>
      <c r="AP140" s="1366"/>
      <c r="AQ140" s="1366"/>
      <c r="AR140" s="1366"/>
      <c r="AS140" s="1366"/>
      <c r="AT140" s="1366"/>
      <c r="AU140" s="1366"/>
      <c r="AV140" s="1366"/>
      <c r="AW140" s="1366"/>
      <c r="AX140" s="1366"/>
      <c r="AY140" s="1366"/>
      <c r="AZ140" s="1366"/>
      <c r="BA140" s="1366"/>
      <c r="BB140" s="1366"/>
      <c r="BC140" s="1366"/>
      <c r="BD140" s="1366"/>
      <c r="BE140" s="1366"/>
      <c r="BF140" s="1366"/>
      <c r="BG140" s="1366"/>
      <c r="BH140" s="1366"/>
      <c r="BI140" s="1366"/>
      <c r="BJ140" s="1366"/>
      <c r="BK140" s="1366"/>
      <c r="BL140" s="1366"/>
      <c r="BM140" s="1366"/>
      <c r="BN140" s="1366"/>
      <c r="BO140" s="1366"/>
      <c r="BP140" s="1366"/>
      <c r="BQ140" s="1366"/>
      <c r="BR140" s="1366"/>
      <c r="BS140" s="1366"/>
      <c r="BT140" s="1366"/>
      <c r="BU140" s="1366"/>
      <c r="BV140" s="1366"/>
      <c r="BW140" s="1366"/>
      <c r="BX140" s="1366"/>
      <c r="BY140" s="1366"/>
      <c r="BZ140" s="1366"/>
      <c r="CA140" s="1366"/>
      <c r="CB140" s="1366"/>
      <c r="CC140" s="1366"/>
      <c r="CD140" s="1366"/>
      <c r="CE140" s="1366"/>
      <c r="CF140" s="1366"/>
      <c r="CG140" s="1366"/>
      <c r="CH140" s="1366"/>
      <c r="CI140" s="1366"/>
      <c r="CJ140" s="1366"/>
      <c r="CK140" s="1366"/>
      <c r="CL140" s="1366"/>
      <c r="CM140" s="1366"/>
      <c r="CN140" s="1366"/>
      <c r="CO140" s="1366"/>
      <c r="CP140" s="1366"/>
      <c r="CQ140" s="1366"/>
      <c r="CR140" s="1366"/>
      <c r="CS140" s="1366"/>
      <c r="CT140" s="1366"/>
      <c r="CU140" s="1366"/>
      <c r="CV140" s="1366"/>
      <c r="CW140" s="1366"/>
      <c r="CX140" s="1366"/>
      <c r="CY140" s="1366"/>
      <c r="CZ140" s="1366"/>
      <c r="DA140" s="1366"/>
      <c r="DB140" s="1366"/>
      <c r="DC140" s="1366"/>
      <c r="DD140" s="1366"/>
      <c r="DE140" s="1366"/>
      <c r="DF140" s="1366"/>
      <c r="DG140" s="1366"/>
      <c r="DH140" s="1366"/>
      <c r="DI140" s="1366"/>
      <c r="DJ140" s="1366"/>
      <c r="DK140" s="1366"/>
      <c r="DL140" s="1366"/>
      <c r="DM140" s="1366"/>
      <c r="DN140" s="1366"/>
      <c r="DO140" s="1366"/>
      <c r="DP140" s="1366"/>
      <c r="DQ140" s="1366"/>
      <c r="DR140" s="1366"/>
      <c r="DS140" s="1366"/>
      <c r="DT140" s="1366"/>
      <c r="DU140" s="1366"/>
      <c r="DV140" s="1366"/>
    </row>
    <row r="141" spans="1:126" s="1367" customFormat="1" ht="30">
      <c r="A141" s="2494"/>
      <c r="B141" s="1653">
        <v>68</v>
      </c>
      <c r="C141" s="658" t="s">
        <v>49</v>
      </c>
      <c r="D141" s="1375" t="s">
        <v>2158</v>
      </c>
      <c r="E141" s="1364" t="s">
        <v>2097</v>
      </c>
      <c r="F141" s="1364" t="s">
        <v>2108</v>
      </c>
      <c r="G141" s="2088" t="s">
        <v>1796</v>
      </c>
      <c r="H141" s="1361">
        <f>((15*'Equipment Results Matrix'!$R$558)+(59000*'Equipment Results Matrix'!$R$557)+'Equipment Results Matrix'!$R$559+'Equipment Results Matrix'!$T$564)*(1+'Equipment Results Matrix'!$T$566)</f>
        <v>4020.7738902539991</v>
      </c>
      <c r="I141" s="2089">
        <f>'Labor Results Matrix'!$E$28</f>
        <v>31.353832233535051</v>
      </c>
      <c r="J141" s="1372">
        <f>'Labor Results Matrix'!$G$29*(1+'Labor Results Matrix'!$K$29)</f>
        <v>90.902727788816378</v>
      </c>
      <c r="K141" s="1372">
        <f t="shared" si="21"/>
        <v>2850.1488766612533</v>
      </c>
      <c r="L141" s="2090">
        <f>((('Labor Results Matrix'!$I$28+'Labor Results Matrix'!$I$30))+'Labor Results Matrix'!$J$28)*(1+'Labor Results Matrix'!$K$29)</f>
        <v>3045.4810622846508</v>
      </c>
      <c r="M141" s="1372">
        <f t="shared" si="20"/>
        <v>9916.4038291999022</v>
      </c>
      <c r="N141" s="1458">
        <f>M141-$M$139</f>
        <v>1096.5803087999993</v>
      </c>
      <c r="O141" s="2092"/>
      <c r="P141" s="2093"/>
      <c r="Q141" s="2093"/>
      <c r="R141" s="2093"/>
      <c r="S141" s="2093"/>
      <c r="T141" s="2093"/>
      <c r="U141" s="2093"/>
      <c r="V141" s="2096"/>
      <c r="W141" s="1366"/>
      <c r="X141" s="1366"/>
      <c r="Y141" s="1366"/>
      <c r="Z141" s="1366"/>
      <c r="AA141" s="1366"/>
      <c r="AB141" s="1366"/>
      <c r="AC141" s="1366"/>
      <c r="AD141" s="1366"/>
      <c r="AE141" s="1366"/>
      <c r="AF141" s="1366"/>
      <c r="AG141" s="1366"/>
      <c r="AH141" s="1366"/>
      <c r="AI141" s="1366"/>
      <c r="AJ141" s="1366"/>
      <c r="AK141" s="1366"/>
      <c r="AL141" s="1366"/>
      <c r="AM141" s="1366"/>
      <c r="AN141" s="1366"/>
      <c r="AO141" s="1366"/>
      <c r="AP141" s="1366"/>
      <c r="AQ141" s="1366"/>
      <c r="AR141" s="1366"/>
      <c r="AS141" s="1366"/>
      <c r="AT141" s="1366"/>
      <c r="AU141" s="1366"/>
      <c r="AV141" s="1366"/>
      <c r="AW141" s="1366"/>
      <c r="AX141" s="1366"/>
      <c r="AY141" s="1366"/>
      <c r="AZ141" s="1366"/>
      <c r="BA141" s="1366"/>
      <c r="BB141" s="1366"/>
      <c r="BC141" s="1366"/>
      <c r="BD141" s="1366"/>
      <c r="BE141" s="1366"/>
      <c r="BF141" s="1366"/>
      <c r="BG141" s="1366"/>
      <c r="BH141" s="1366"/>
      <c r="BI141" s="1366"/>
      <c r="BJ141" s="1366"/>
      <c r="BK141" s="1366"/>
      <c r="BL141" s="1366"/>
      <c r="BM141" s="1366"/>
      <c r="BN141" s="1366"/>
      <c r="BO141" s="1366"/>
      <c r="BP141" s="1366"/>
      <c r="BQ141" s="1366"/>
      <c r="BR141" s="1366"/>
      <c r="BS141" s="1366"/>
      <c r="BT141" s="1366"/>
      <c r="BU141" s="1366"/>
      <c r="BV141" s="1366"/>
      <c r="BW141" s="1366"/>
      <c r="BX141" s="1366"/>
      <c r="BY141" s="1366"/>
      <c r="BZ141" s="1366"/>
      <c r="CA141" s="1366"/>
      <c r="CB141" s="1366"/>
      <c r="CC141" s="1366"/>
      <c r="CD141" s="1366"/>
      <c r="CE141" s="1366"/>
      <c r="CF141" s="1366"/>
      <c r="CG141" s="1366"/>
      <c r="CH141" s="1366"/>
      <c r="CI141" s="1366"/>
      <c r="CJ141" s="1366"/>
      <c r="CK141" s="1366"/>
      <c r="CL141" s="1366"/>
      <c r="CM141" s="1366"/>
      <c r="CN141" s="1366"/>
      <c r="CO141" s="1366"/>
      <c r="CP141" s="1366"/>
      <c r="CQ141" s="1366"/>
      <c r="CR141" s="1366"/>
      <c r="CS141" s="1366"/>
      <c r="CT141" s="1366"/>
      <c r="CU141" s="1366"/>
      <c r="CV141" s="1366"/>
      <c r="CW141" s="1366"/>
      <c r="CX141" s="1366"/>
      <c r="CY141" s="1366"/>
      <c r="CZ141" s="1366"/>
      <c r="DA141" s="1366"/>
      <c r="DB141" s="1366"/>
      <c r="DC141" s="1366"/>
      <c r="DD141" s="1366"/>
      <c r="DE141" s="1366"/>
      <c r="DF141" s="1366"/>
      <c r="DG141" s="1366"/>
      <c r="DH141" s="1366"/>
      <c r="DI141" s="1366"/>
      <c r="DJ141" s="1366"/>
      <c r="DK141" s="1366"/>
      <c r="DL141" s="1366"/>
      <c r="DM141" s="1366"/>
      <c r="DN141" s="1366"/>
      <c r="DO141" s="1366"/>
      <c r="DP141" s="1366"/>
      <c r="DQ141" s="1366"/>
      <c r="DR141" s="1366"/>
      <c r="DS141" s="1366"/>
      <c r="DT141" s="1366"/>
      <c r="DU141" s="1366"/>
      <c r="DV141" s="1366"/>
    </row>
    <row r="142" spans="1:126" s="1378" customFormat="1" ht="30">
      <c r="A142" s="2494"/>
      <c r="B142" s="1658">
        <v>69</v>
      </c>
      <c r="C142" s="1668" t="s">
        <v>49</v>
      </c>
      <c r="D142" s="1396" t="s">
        <v>2194</v>
      </c>
      <c r="E142" s="1376" t="s">
        <v>2097</v>
      </c>
      <c r="F142" s="1376" t="s">
        <v>2108</v>
      </c>
      <c r="G142" s="2091" t="s">
        <v>1796</v>
      </c>
      <c r="H142" s="1418">
        <f>((13*'Equipment Results Matrix'!$R$558)+(59000*'Equipment Results Matrix'!$R$557)+'Equipment Results Matrix'!$R$559+'Equipment Results Matrix'!$T$564)*(1+'Equipment Results Matrix'!$T$566)</f>
        <v>2924.1935814539984</v>
      </c>
      <c r="I142" s="2094">
        <f>'Labor Results Matrix'!$E$28</f>
        <v>31.353832233535051</v>
      </c>
      <c r="J142" s="1420">
        <f>'Labor Results Matrix'!$G$29*(1+'Labor Results Matrix'!$K$29)</f>
        <v>90.902727788816378</v>
      </c>
      <c r="K142" s="1420">
        <f t="shared" si="21"/>
        <v>2850.1488766612533</v>
      </c>
      <c r="L142" s="2095">
        <f>((('Labor Results Matrix'!$I$28+'Labor Results Matrix'!$I$30))+'Labor Results Matrix'!$J$28)*(1+'Labor Results Matrix'!$K$29)</f>
        <v>3045.4810622846508</v>
      </c>
      <c r="M142" s="1420">
        <f t="shared" si="20"/>
        <v>8819.8235203999029</v>
      </c>
      <c r="N142" s="1456">
        <f>M142-$M$139</f>
        <v>0</v>
      </c>
      <c r="O142" s="2092"/>
      <c r="P142" s="2093"/>
      <c r="Q142" s="2093"/>
      <c r="R142" s="2093"/>
      <c r="S142" s="2093"/>
      <c r="T142" s="2093"/>
      <c r="U142" s="2093"/>
      <c r="V142" s="2096"/>
      <c r="W142" s="1366"/>
      <c r="X142" s="1366"/>
      <c r="Y142" s="1366"/>
      <c r="Z142" s="1366"/>
      <c r="AA142" s="1366"/>
      <c r="AB142" s="1366"/>
      <c r="AC142" s="1366"/>
      <c r="AD142" s="1366"/>
      <c r="AE142" s="1366"/>
      <c r="AF142" s="1366"/>
      <c r="AG142" s="1366"/>
      <c r="AH142" s="1366"/>
      <c r="AI142" s="1366"/>
      <c r="AJ142" s="1366"/>
      <c r="AK142" s="1366"/>
      <c r="AL142" s="1366"/>
      <c r="AM142" s="1366"/>
      <c r="AN142" s="1366"/>
      <c r="AO142" s="1366"/>
      <c r="AP142" s="1366"/>
      <c r="AQ142" s="1366"/>
      <c r="AR142" s="1366"/>
      <c r="AS142" s="1366"/>
      <c r="AT142" s="1366"/>
      <c r="AU142" s="1366"/>
      <c r="AV142" s="1366"/>
      <c r="AW142" s="1366"/>
      <c r="AX142" s="1366"/>
      <c r="AY142" s="1366"/>
      <c r="AZ142" s="1366"/>
      <c r="BA142" s="1366"/>
      <c r="BB142" s="1366"/>
      <c r="BC142" s="1366"/>
      <c r="BD142" s="1366"/>
      <c r="BE142" s="1366"/>
      <c r="BF142" s="1366"/>
      <c r="BG142" s="1366"/>
      <c r="BH142" s="1366"/>
      <c r="BI142" s="1366"/>
      <c r="BJ142" s="1366"/>
      <c r="BK142" s="1366"/>
      <c r="BL142" s="1366"/>
      <c r="BM142" s="1366"/>
      <c r="BN142" s="1366"/>
      <c r="BO142" s="1366"/>
      <c r="BP142" s="1366"/>
      <c r="BQ142" s="1366"/>
      <c r="BR142" s="1366"/>
      <c r="BS142" s="1366"/>
      <c r="BT142" s="1366"/>
      <c r="BU142" s="1366"/>
      <c r="BV142" s="1366"/>
      <c r="BW142" s="1366"/>
      <c r="BX142" s="1366"/>
      <c r="BY142" s="1366"/>
      <c r="BZ142" s="1366"/>
      <c r="CA142" s="1366"/>
      <c r="CB142" s="1366"/>
      <c r="CC142" s="1366"/>
      <c r="CD142" s="1366"/>
      <c r="CE142" s="1366"/>
      <c r="CF142" s="1366"/>
      <c r="CG142" s="1366"/>
      <c r="CH142" s="1366"/>
      <c r="CI142" s="1366"/>
      <c r="CJ142" s="1366"/>
      <c r="CK142" s="1366"/>
      <c r="CL142" s="1366"/>
      <c r="CM142" s="1366"/>
      <c r="CN142" s="1366"/>
      <c r="CO142" s="1366"/>
      <c r="CP142" s="1366"/>
      <c r="CQ142" s="1366"/>
      <c r="CR142" s="1366"/>
      <c r="CS142" s="1366"/>
      <c r="CT142" s="1366"/>
      <c r="CU142" s="1366"/>
      <c r="CV142" s="1366"/>
      <c r="CW142" s="1366"/>
      <c r="CX142" s="1366"/>
      <c r="CY142" s="1366"/>
      <c r="CZ142" s="1366"/>
      <c r="DA142" s="1366"/>
      <c r="DB142" s="1366"/>
      <c r="DC142" s="1366"/>
      <c r="DD142" s="1366"/>
      <c r="DE142" s="1366"/>
      <c r="DF142" s="1366"/>
      <c r="DG142" s="1366"/>
      <c r="DH142" s="1366"/>
      <c r="DI142" s="1366"/>
      <c r="DJ142" s="1366"/>
      <c r="DK142" s="1366"/>
      <c r="DL142" s="1366"/>
      <c r="DM142" s="1366"/>
      <c r="DN142" s="1366"/>
      <c r="DO142" s="1366"/>
      <c r="DP142" s="1366"/>
      <c r="DQ142" s="1366"/>
      <c r="DR142" s="1366"/>
      <c r="DS142" s="1366"/>
      <c r="DT142" s="1366"/>
      <c r="DU142" s="1366"/>
      <c r="DV142" s="1366"/>
    </row>
    <row r="143" spans="1:126" s="1382" customFormat="1" ht="30">
      <c r="A143" s="2494"/>
      <c r="B143" s="1657">
        <v>70</v>
      </c>
      <c r="C143" s="1641" t="s">
        <v>49</v>
      </c>
      <c r="D143" s="1379" t="s">
        <v>2191</v>
      </c>
      <c r="E143" s="1365" t="s">
        <v>2097</v>
      </c>
      <c r="F143" s="1365" t="s">
        <v>2108</v>
      </c>
      <c r="G143" s="2088" t="s">
        <v>1796</v>
      </c>
      <c r="H143" s="1361">
        <f>((14*'Equipment Results Matrix'!$R$558)+(59000*'Equipment Results Matrix'!$R$557)+'Equipment Results Matrix'!$R$559+'Equipment Results Matrix'!$T$564)*(1+'Equipment Results Matrix'!$T$566)</f>
        <v>3472.4837358539999</v>
      </c>
      <c r="I143" s="2089">
        <f>'Labor Results Matrix'!$E$28</f>
        <v>31.353832233535051</v>
      </c>
      <c r="J143" s="1372">
        <f>'Labor Results Matrix'!$G$29*(1+'Labor Results Matrix'!$K$29)</f>
        <v>90.902727788816378</v>
      </c>
      <c r="K143" s="1372">
        <f t="shared" si="21"/>
        <v>2850.1488766612533</v>
      </c>
      <c r="L143" s="2090">
        <f>((('Labor Results Matrix'!$I$28+'Labor Results Matrix'!$I$30))+'Labor Results Matrix'!$J$28)*(1+'Labor Results Matrix'!$K$29)</f>
        <v>3045.4810622846508</v>
      </c>
      <c r="M143" s="1372">
        <f t="shared" si="20"/>
        <v>9368.1136747999044</v>
      </c>
      <c r="N143" s="1458">
        <f t="shared" ref="N143:N145" si="23">M143-$M$139</f>
        <v>548.29015440000148</v>
      </c>
      <c r="O143" s="2092"/>
      <c r="P143" s="2093"/>
      <c r="Q143" s="2093"/>
      <c r="R143" s="2093"/>
      <c r="S143" s="2093"/>
      <c r="T143" s="2093"/>
      <c r="U143" s="2093"/>
      <c r="V143" s="2096"/>
      <c r="W143" s="1366"/>
      <c r="X143" s="1366"/>
      <c r="Y143" s="1366"/>
      <c r="Z143" s="1366"/>
      <c r="AA143" s="1366"/>
      <c r="AB143" s="1366"/>
      <c r="AC143" s="1366"/>
      <c r="AD143" s="1366"/>
      <c r="AE143" s="1366"/>
      <c r="AF143" s="1366"/>
      <c r="AG143" s="1366"/>
      <c r="AH143" s="1366"/>
      <c r="AI143" s="1366"/>
      <c r="AJ143" s="1366"/>
      <c r="AK143" s="1366"/>
      <c r="AL143" s="1366"/>
      <c r="AM143" s="1366"/>
      <c r="AN143" s="1366"/>
      <c r="AO143" s="1366"/>
      <c r="AP143" s="1366"/>
      <c r="AQ143" s="1366"/>
      <c r="AR143" s="1366"/>
      <c r="AS143" s="1366"/>
      <c r="AT143" s="1366"/>
      <c r="AU143" s="1366"/>
      <c r="AV143" s="1366"/>
      <c r="AW143" s="1366"/>
      <c r="AX143" s="1366"/>
      <c r="AY143" s="1366"/>
      <c r="AZ143" s="1366"/>
      <c r="BA143" s="1366"/>
      <c r="BB143" s="1366"/>
      <c r="BC143" s="1366"/>
      <c r="BD143" s="1366"/>
      <c r="BE143" s="1366"/>
      <c r="BF143" s="1366"/>
      <c r="BG143" s="1366"/>
      <c r="BH143" s="1366"/>
      <c r="BI143" s="1366"/>
      <c r="BJ143" s="1366"/>
      <c r="BK143" s="1366"/>
      <c r="BL143" s="1366"/>
      <c r="BM143" s="1366"/>
      <c r="BN143" s="1366"/>
      <c r="BO143" s="1366"/>
      <c r="BP143" s="1366"/>
      <c r="BQ143" s="1366"/>
      <c r="BR143" s="1366"/>
      <c r="BS143" s="1366"/>
      <c r="BT143" s="1366"/>
      <c r="BU143" s="1366"/>
      <c r="BV143" s="1366"/>
      <c r="BW143" s="1366"/>
      <c r="BX143" s="1366"/>
      <c r="BY143" s="1366"/>
      <c r="BZ143" s="1366"/>
      <c r="CA143" s="1366"/>
      <c r="CB143" s="1366"/>
      <c r="CC143" s="1366"/>
      <c r="CD143" s="1366"/>
      <c r="CE143" s="1366"/>
      <c r="CF143" s="1366"/>
      <c r="CG143" s="1366"/>
      <c r="CH143" s="1366"/>
      <c r="CI143" s="1366"/>
      <c r="CJ143" s="1366"/>
      <c r="CK143" s="1366"/>
      <c r="CL143" s="1366"/>
      <c r="CM143" s="1366"/>
      <c r="CN143" s="1366"/>
      <c r="CO143" s="1366"/>
      <c r="CP143" s="1366"/>
      <c r="CQ143" s="1366"/>
      <c r="CR143" s="1366"/>
      <c r="CS143" s="1366"/>
      <c r="CT143" s="1366"/>
      <c r="CU143" s="1366"/>
      <c r="CV143" s="1366"/>
      <c r="CW143" s="1366"/>
      <c r="CX143" s="1366"/>
      <c r="CY143" s="1366"/>
      <c r="CZ143" s="1366"/>
      <c r="DA143" s="1366"/>
      <c r="DB143" s="1366"/>
      <c r="DC143" s="1366"/>
      <c r="DD143" s="1366"/>
      <c r="DE143" s="1366"/>
      <c r="DF143" s="1366"/>
      <c r="DG143" s="1366"/>
      <c r="DH143" s="1366"/>
      <c r="DI143" s="1366"/>
      <c r="DJ143" s="1366"/>
      <c r="DK143" s="1366"/>
      <c r="DL143" s="1366"/>
      <c r="DM143" s="1366"/>
      <c r="DN143" s="1366"/>
      <c r="DO143" s="1366"/>
      <c r="DP143" s="1366"/>
      <c r="DQ143" s="1366"/>
      <c r="DR143" s="1366"/>
      <c r="DS143" s="1366"/>
      <c r="DT143" s="1366"/>
      <c r="DU143" s="1366"/>
      <c r="DV143" s="1366"/>
    </row>
    <row r="144" spans="1:126" s="1382" customFormat="1" ht="30">
      <c r="A144" s="2494"/>
      <c r="B144" s="1657">
        <v>71</v>
      </c>
      <c r="C144" s="1641" t="s">
        <v>49</v>
      </c>
      <c r="D144" s="1379" t="s">
        <v>2192</v>
      </c>
      <c r="E144" s="1365" t="s">
        <v>2097</v>
      </c>
      <c r="F144" s="1365" t="s">
        <v>2108</v>
      </c>
      <c r="G144" s="2088" t="s">
        <v>1796</v>
      </c>
      <c r="H144" s="1361">
        <f>((14.5*'Equipment Results Matrix'!$R$558)+(59000*'Equipment Results Matrix'!$R$557)+'Equipment Results Matrix'!$R$559+'Equipment Results Matrix'!$T$564)*(1+'Equipment Results Matrix'!$T$566)</f>
        <v>3746.6288130539997</v>
      </c>
      <c r="I144" s="2089">
        <f>'Labor Results Matrix'!$E$28</f>
        <v>31.353832233535051</v>
      </c>
      <c r="J144" s="1372">
        <f>'Labor Results Matrix'!$G$29*(1+'Labor Results Matrix'!$K$29)</f>
        <v>90.902727788816378</v>
      </c>
      <c r="K144" s="1372">
        <f t="shared" si="21"/>
        <v>2850.1488766612533</v>
      </c>
      <c r="L144" s="2090">
        <f>((('Labor Results Matrix'!$I$28+'Labor Results Matrix'!$I$30))+'Labor Results Matrix'!$J$28)*(1+'Labor Results Matrix'!$K$29)</f>
        <v>3045.4810622846508</v>
      </c>
      <c r="M144" s="1372">
        <f t="shared" si="20"/>
        <v>9642.2587519999033</v>
      </c>
      <c r="N144" s="1458">
        <f t="shared" si="23"/>
        <v>822.43523160000041</v>
      </c>
      <c r="O144" s="2092"/>
      <c r="P144" s="2093"/>
      <c r="Q144" s="2093"/>
      <c r="R144" s="2093"/>
      <c r="S144" s="2093"/>
      <c r="T144" s="2093"/>
      <c r="U144" s="2093"/>
      <c r="V144" s="2096"/>
      <c r="W144" s="1366"/>
      <c r="X144" s="1366"/>
      <c r="Y144" s="1366"/>
      <c r="Z144" s="1366"/>
      <c r="AA144" s="1366"/>
      <c r="AB144" s="1366"/>
      <c r="AC144" s="1366"/>
      <c r="AD144" s="1366"/>
      <c r="AE144" s="1366"/>
      <c r="AF144" s="1366"/>
      <c r="AG144" s="1366"/>
      <c r="AH144" s="1366"/>
      <c r="AI144" s="1366"/>
      <c r="AJ144" s="1366"/>
      <c r="AK144" s="1366"/>
      <c r="AL144" s="1366"/>
      <c r="AM144" s="1366"/>
      <c r="AN144" s="1366"/>
      <c r="AO144" s="1366"/>
      <c r="AP144" s="1366"/>
      <c r="AQ144" s="1366"/>
      <c r="AR144" s="1366"/>
      <c r="AS144" s="1366"/>
      <c r="AT144" s="1366"/>
      <c r="AU144" s="1366"/>
      <c r="AV144" s="1366"/>
      <c r="AW144" s="1366"/>
      <c r="AX144" s="1366"/>
      <c r="AY144" s="1366"/>
      <c r="AZ144" s="1366"/>
      <c r="BA144" s="1366"/>
      <c r="BB144" s="1366"/>
      <c r="BC144" s="1366"/>
      <c r="BD144" s="1366"/>
      <c r="BE144" s="1366"/>
      <c r="BF144" s="1366"/>
      <c r="BG144" s="1366"/>
      <c r="BH144" s="1366"/>
      <c r="BI144" s="1366"/>
      <c r="BJ144" s="1366"/>
      <c r="BK144" s="1366"/>
      <c r="BL144" s="1366"/>
      <c r="BM144" s="1366"/>
      <c r="BN144" s="1366"/>
      <c r="BO144" s="1366"/>
      <c r="BP144" s="1366"/>
      <c r="BQ144" s="1366"/>
      <c r="BR144" s="1366"/>
      <c r="BS144" s="1366"/>
      <c r="BT144" s="1366"/>
      <c r="BU144" s="1366"/>
      <c r="BV144" s="1366"/>
      <c r="BW144" s="1366"/>
      <c r="BX144" s="1366"/>
      <c r="BY144" s="1366"/>
      <c r="BZ144" s="1366"/>
      <c r="CA144" s="1366"/>
      <c r="CB144" s="1366"/>
      <c r="CC144" s="1366"/>
      <c r="CD144" s="1366"/>
      <c r="CE144" s="1366"/>
      <c r="CF144" s="1366"/>
      <c r="CG144" s="1366"/>
      <c r="CH144" s="1366"/>
      <c r="CI144" s="1366"/>
      <c r="CJ144" s="1366"/>
      <c r="CK144" s="1366"/>
      <c r="CL144" s="1366"/>
      <c r="CM144" s="1366"/>
      <c r="CN144" s="1366"/>
      <c r="CO144" s="1366"/>
      <c r="CP144" s="1366"/>
      <c r="CQ144" s="1366"/>
      <c r="CR144" s="1366"/>
      <c r="CS144" s="1366"/>
      <c r="CT144" s="1366"/>
      <c r="CU144" s="1366"/>
      <c r="CV144" s="1366"/>
      <c r="CW144" s="1366"/>
      <c r="CX144" s="1366"/>
      <c r="CY144" s="1366"/>
      <c r="CZ144" s="1366"/>
      <c r="DA144" s="1366"/>
      <c r="DB144" s="1366"/>
      <c r="DC144" s="1366"/>
      <c r="DD144" s="1366"/>
      <c r="DE144" s="1366"/>
      <c r="DF144" s="1366"/>
      <c r="DG144" s="1366"/>
      <c r="DH144" s="1366"/>
      <c r="DI144" s="1366"/>
      <c r="DJ144" s="1366"/>
      <c r="DK144" s="1366"/>
      <c r="DL144" s="1366"/>
      <c r="DM144" s="1366"/>
      <c r="DN144" s="1366"/>
      <c r="DO144" s="1366"/>
      <c r="DP144" s="1366"/>
      <c r="DQ144" s="1366"/>
      <c r="DR144" s="1366"/>
      <c r="DS144" s="1366"/>
      <c r="DT144" s="1366"/>
      <c r="DU144" s="1366"/>
      <c r="DV144" s="1366"/>
    </row>
    <row r="145" spans="1:126" s="1382" customFormat="1" ht="30">
      <c r="A145" s="2494"/>
      <c r="B145" s="1657">
        <v>72</v>
      </c>
      <c r="C145" s="1641" t="s">
        <v>49</v>
      </c>
      <c r="D145" s="1379" t="s">
        <v>2193</v>
      </c>
      <c r="E145" s="1365" t="s">
        <v>2097</v>
      </c>
      <c r="F145" s="1365" t="s">
        <v>2108</v>
      </c>
      <c r="G145" s="2088" t="s">
        <v>1796</v>
      </c>
      <c r="H145" s="1361">
        <f>((15*'Equipment Results Matrix'!$R$558)+(59000*'Equipment Results Matrix'!$R$557)+'Equipment Results Matrix'!$R$559+'Equipment Results Matrix'!$T$564)*(1+'Equipment Results Matrix'!$T$566)</f>
        <v>4020.7738902539991</v>
      </c>
      <c r="I145" s="2089">
        <f>'Labor Results Matrix'!$E$28</f>
        <v>31.353832233535051</v>
      </c>
      <c r="J145" s="1372">
        <f>'Labor Results Matrix'!$G$29*(1+'Labor Results Matrix'!$K$29)</f>
        <v>90.902727788816378</v>
      </c>
      <c r="K145" s="1372">
        <f t="shared" si="21"/>
        <v>2850.1488766612533</v>
      </c>
      <c r="L145" s="2090">
        <f>((('Labor Results Matrix'!$I$28+'Labor Results Matrix'!$I$30))+'Labor Results Matrix'!$J$28)*(1+'Labor Results Matrix'!$K$29)</f>
        <v>3045.4810622846508</v>
      </c>
      <c r="M145" s="1372">
        <f t="shared" si="20"/>
        <v>9916.4038291999022</v>
      </c>
      <c r="N145" s="1458">
        <f t="shared" si="23"/>
        <v>1096.5803087999993</v>
      </c>
      <c r="O145" s="2092"/>
      <c r="P145" s="2093"/>
      <c r="Q145" s="2093"/>
      <c r="R145" s="2093"/>
      <c r="S145" s="2093"/>
      <c r="T145" s="2093"/>
      <c r="U145" s="2093"/>
      <c r="V145" s="2096"/>
      <c r="W145" s="1366"/>
      <c r="X145" s="1366"/>
      <c r="Y145" s="1366"/>
      <c r="Z145" s="1366"/>
      <c r="AA145" s="1366"/>
      <c r="AB145" s="1366"/>
      <c r="AC145" s="1366"/>
      <c r="AD145" s="1366"/>
      <c r="AE145" s="1366"/>
      <c r="AF145" s="1366"/>
      <c r="AG145" s="1366"/>
      <c r="AH145" s="1366"/>
      <c r="AI145" s="1366"/>
      <c r="AJ145" s="1366"/>
      <c r="AK145" s="1366"/>
      <c r="AL145" s="1366"/>
      <c r="AM145" s="1366"/>
      <c r="AN145" s="1366"/>
      <c r="AO145" s="1366"/>
      <c r="AP145" s="1366"/>
      <c r="AQ145" s="1366"/>
      <c r="AR145" s="1366"/>
      <c r="AS145" s="1366"/>
      <c r="AT145" s="1366"/>
      <c r="AU145" s="1366"/>
      <c r="AV145" s="1366"/>
      <c r="AW145" s="1366"/>
      <c r="AX145" s="1366"/>
      <c r="AY145" s="1366"/>
      <c r="AZ145" s="1366"/>
      <c r="BA145" s="1366"/>
      <c r="BB145" s="1366"/>
      <c r="BC145" s="1366"/>
      <c r="BD145" s="1366"/>
      <c r="BE145" s="1366"/>
      <c r="BF145" s="1366"/>
      <c r="BG145" s="1366"/>
      <c r="BH145" s="1366"/>
      <c r="BI145" s="1366"/>
      <c r="BJ145" s="1366"/>
      <c r="BK145" s="1366"/>
      <c r="BL145" s="1366"/>
      <c r="BM145" s="1366"/>
      <c r="BN145" s="1366"/>
      <c r="BO145" s="1366"/>
      <c r="BP145" s="1366"/>
      <c r="BQ145" s="1366"/>
      <c r="BR145" s="1366"/>
      <c r="BS145" s="1366"/>
      <c r="BT145" s="1366"/>
      <c r="BU145" s="1366"/>
      <c r="BV145" s="1366"/>
      <c r="BW145" s="1366"/>
      <c r="BX145" s="1366"/>
      <c r="BY145" s="1366"/>
      <c r="BZ145" s="1366"/>
      <c r="CA145" s="1366"/>
      <c r="CB145" s="1366"/>
      <c r="CC145" s="1366"/>
      <c r="CD145" s="1366"/>
      <c r="CE145" s="1366"/>
      <c r="CF145" s="1366"/>
      <c r="CG145" s="1366"/>
      <c r="CH145" s="1366"/>
      <c r="CI145" s="1366"/>
      <c r="CJ145" s="1366"/>
      <c r="CK145" s="1366"/>
      <c r="CL145" s="1366"/>
      <c r="CM145" s="1366"/>
      <c r="CN145" s="1366"/>
      <c r="CO145" s="1366"/>
      <c r="CP145" s="1366"/>
      <c r="CQ145" s="1366"/>
      <c r="CR145" s="1366"/>
      <c r="CS145" s="1366"/>
      <c r="CT145" s="1366"/>
      <c r="CU145" s="1366"/>
      <c r="CV145" s="1366"/>
      <c r="CW145" s="1366"/>
      <c r="CX145" s="1366"/>
      <c r="CY145" s="1366"/>
      <c r="CZ145" s="1366"/>
      <c r="DA145" s="1366"/>
      <c r="DB145" s="1366"/>
      <c r="DC145" s="1366"/>
      <c r="DD145" s="1366"/>
      <c r="DE145" s="1366"/>
      <c r="DF145" s="1366"/>
      <c r="DG145" s="1366"/>
      <c r="DH145" s="1366"/>
      <c r="DI145" s="1366"/>
      <c r="DJ145" s="1366"/>
      <c r="DK145" s="1366"/>
      <c r="DL145" s="1366"/>
      <c r="DM145" s="1366"/>
      <c r="DN145" s="1366"/>
      <c r="DO145" s="1366"/>
      <c r="DP145" s="1366"/>
      <c r="DQ145" s="1366"/>
      <c r="DR145" s="1366"/>
      <c r="DS145" s="1366"/>
      <c r="DT145" s="1366"/>
      <c r="DU145" s="1366"/>
      <c r="DV145" s="1366"/>
    </row>
    <row r="146" spans="1:126" s="1367" customFormat="1">
      <c r="A146" s="2494"/>
      <c r="B146" s="1653" t="s">
        <v>2658</v>
      </c>
      <c r="C146" s="1641" t="s">
        <v>47</v>
      </c>
      <c r="D146" s="1379" t="s">
        <v>2159</v>
      </c>
      <c r="E146" s="1364" t="s">
        <v>2097</v>
      </c>
      <c r="F146" s="1364" t="s">
        <v>2107</v>
      </c>
      <c r="G146" s="2088" t="s">
        <v>1796</v>
      </c>
      <c r="H146" s="1361">
        <f>((13*'Equipment Results Matrix'!$R$558)+(24000*'Equipment Results Matrix'!$R$557)+'Equipment Results Matrix'!$R$559+'Equipment Results Matrix'!$T$564)*(1+'Equipment Results Matrix'!$T$566)</f>
        <v>1190.0555814539998</v>
      </c>
      <c r="I146" s="1371">
        <f>'Labor Results Matrix'!$E$31</f>
        <v>8.0043472588676003</v>
      </c>
      <c r="J146" s="1372">
        <f>'Labor Results Matrix'!$G$29*(1+'Labor Results Matrix'!$K$29)</f>
        <v>90.902727788816378</v>
      </c>
      <c r="K146" s="1372">
        <f t="shared" si="21"/>
        <v>727.61699999999996</v>
      </c>
      <c r="L146" s="1372">
        <v>0</v>
      </c>
      <c r="M146" s="1372">
        <f t="shared" si="20"/>
        <v>1917.6725814539998</v>
      </c>
      <c r="N146" s="1455" t="s">
        <v>40</v>
      </c>
      <c r="O146" s="2092"/>
      <c r="P146" s="2093"/>
      <c r="Q146" s="2093"/>
      <c r="R146" s="2093"/>
      <c r="S146" s="2093"/>
      <c r="T146" s="2093"/>
      <c r="U146" s="2093"/>
      <c r="V146" s="2096"/>
      <c r="W146" s="1366"/>
      <c r="X146" s="1366"/>
      <c r="Y146" s="1366"/>
      <c r="Z146" s="1366"/>
      <c r="AA146" s="1366"/>
      <c r="AB146" s="1366"/>
      <c r="AC146" s="1366"/>
      <c r="AD146" s="1366"/>
      <c r="AE146" s="1366"/>
      <c r="AF146" s="1366"/>
      <c r="AG146" s="1366"/>
      <c r="AH146" s="1366"/>
      <c r="AI146" s="1366"/>
      <c r="AJ146" s="1366"/>
      <c r="AK146" s="1366"/>
      <c r="AL146" s="1366"/>
      <c r="AM146" s="1366"/>
      <c r="AN146" s="1366"/>
      <c r="AO146" s="1366"/>
      <c r="AP146" s="1366"/>
      <c r="AQ146" s="1366"/>
      <c r="AR146" s="1366"/>
      <c r="AS146" s="1366"/>
      <c r="AT146" s="1366"/>
      <c r="AU146" s="1366"/>
      <c r="AV146" s="1366"/>
      <c r="AW146" s="1366"/>
      <c r="AX146" s="1366"/>
      <c r="AY146" s="1366"/>
      <c r="AZ146" s="1366"/>
      <c r="BA146" s="1366"/>
      <c r="BB146" s="1366"/>
      <c r="BC146" s="1366"/>
      <c r="BD146" s="1366"/>
      <c r="BE146" s="1366"/>
      <c r="BF146" s="1366"/>
      <c r="BG146" s="1366"/>
      <c r="BH146" s="1366"/>
      <c r="BI146" s="1366"/>
      <c r="BJ146" s="1366"/>
      <c r="BK146" s="1366"/>
      <c r="BL146" s="1366"/>
      <c r="BM146" s="1366"/>
      <c r="BN146" s="1366"/>
      <c r="BO146" s="1366"/>
      <c r="BP146" s="1366"/>
      <c r="BQ146" s="1366"/>
      <c r="BR146" s="1366"/>
      <c r="BS146" s="1366"/>
      <c r="BT146" s="1366"/>
      <c r="BU146" s="1366"/>
      <c r="BV146" s="1366"/>
      <c r="BW146" s="1366"/>
      <c r="BX146" s="1366"/>
      <c r="BY146" s="1366"/>
      <c r="BZ146" s="1366"/>
      <c r="CA146" s="1366"/>
      <c r="CB146" s="1366"/>
      <c r="CC146" s="1366"/>
      <c r="CD146" s="1366"/>
      <c r="CE146" s="1366"/>
      <c r="CF146" s="1366"/>
      <c r="CG146" s="1366"/>
      <c r="CH146" s="1366"/>
      <c r="CI146" s="1366"/>
      <c r="CJ146" s="1366"/>
      <c r="CK146" s="1366"/>
      <c r="CL146" s="1366"/>
      <c r="CM146" s="1366"/>
      <c r="CN146" s="1366"/>
      <c r="CO146" s="1366"/>
      <c r="CP146" s="1366"/>
      <c r="CQ146" s="1366"/>
      <c r="CR146" s="1366"/>
      <c r="CS146" s="1366"/>
      <c r="CT146" s="1366"/>
      <c r="CU146" s="1366"/>
      <c r="CV146" s="1366"/>
      <c r="CW146" s="1366"/>
      <c r="CX146" s="1366"/>
      <c r="CY146" s="1366"/>
      <c r="CZ146" s="1366"/>
      <c r="DA146" s="1366"/>
      <c r="DB146" s="1366"/>
      <c r="DC146" s="1366"/>
      <c r="DD146" s="1366"/>
      <c r="DE146" s="1366"/>
      <c r="DF146" s="1366"/>
      <c r="DG146" s="1366"/>
      <c r="DH146" s="1366"/>
      <c r="DI146" s="1366"/>
      <c r="DJ146" s="1366"/>
      <c r="DK146" s="1366"/>
      <c r="DL146" s="1366"/>
      <c r="DM146" s="1366"/>
      <c r="DN146" s="1366"/>
      <c r="DO146" s="1366"/>
      <c r="DP146" s="1366"/>
      <c r="DQ146" s="1366"/>
      <c r="DR146" s="1366"/>
      <c r="DS146" s="1366"/>
      <c r="DT146" s="1366"/>
      <c r="DU146" s="1366"/>
      <c r="DV146" s="1366"/>
    </row>
    <row r="147" spans="1:126" s="1378" customFormat="1" ht="30">
      <c r="A147" s="2494"/>
      <c r="B147" s="1659">
        <v>73</v>
      </c>
      <c r="C147" s="1668" t="s">
        <v>49</v>
      </c>
      <c r="D147" s="1396" t="s">
        <v>2195</v>
      </c>
      <c r="E147" s="1376" t="s">
        <v>2097</v>
      </c>
      <c r="F147" s="1376" t="s">
        <v>2107</v>
      </c>
      <c r="G147" s="2091" t="s">
        <v>1796</v>
      </c>
      <c r="H147" s="1418">
        <f>((13*'Equipment Results Matrix'!$R$558)+(24000*'Equipment Results Matrix'!$R$557)+'Equipment Results Matrix'!$R$559+'Equipment Results Matrix'!$T$564)*(1+'Equipment Results Matrix'!$T$566)</f>
        <v>1190.0555814539998</v>
      </c>
      <c r="I147" s="2094">
        <f>'Labor Results Matrix'!$E$31</f>
        <v>8.0043472588676003</v>
      </c>
      <c r="J147" s="1420">
        <f>'Labor Results Matrix'!$G$29*(1+'Labor Results Matrix'!$K$29)</f>
        <v>90.902727788816378</v>
      </c>
      <c r="K147" s="1420">
        <f t="shared" si="21"/>
        <v>727.61699999999996</v>
      </c>
      <c r="L147" s="1420">
        <v>0</v>
      </c>
      <c r="M147" s="1420">
        <f t="shared" si="20"/>
        <v>1917.6725814539998</v>
      </c>
      <c r="N147" s="1456">
        <f>M147-$M$146</f>
        <v>0</v>
      </c>
      <c r="O147" s="2092"/>
      <c r="P147" s="2093"/>
      <c r="Q147" s="2093"/>
      <c r="R147" s="2093"/>
      <c r="S147" s="2093"/>
      <c r="T147" s="2093"/>
      <c r="U147" s="2093"/>
      <c r="V147" s="2096"/>
      <c r="W147" s="1366"/>
      <c r="X147" s="1366"/>
      <c r="Y147" s="1366"/>
      <c r="Z147" s="1366"/>
      <c r="AA147" s="1366"/>
      <c r="AB147" s="1366"/>
      <c r="AC147" s="1366"/>
      <c r="AD147" s="1366"/>
      <c r="AE147" s="1366"/>
      <c r="AF147" s="1366"/>
      <c r="AG147" s="1366"/>
      <c r="AH147" s="1366"/>
      <c r="AI147" s="1366"/>
      <c r="AJ147" s="1366"/>
      <c r="AK147" s="1366"/>
      <c r="AL147" s="1366"/>
      <c r="AM147" s="1366"/>
      <c r="AN147" s="1366"/>
      <c r="AO147" s="1366"/>
      <c r="AP147" s="1366"/>
      <c r="AQ147" s="1366"/>
      <c r="AR147" s="1366"/>
      <c r="AS147" s="1366"/>
      <c r="AT147" s="1366"/>
      <c r="AU147" s="1366"/>
      <c r="AV147" s="1366"/>
      <c r="AW147" s="1366"/>
      <c r="AX147" s="1366"/>
      <c r="AY147" s="1366"/>
      <c r="AZ147" s="1366"/>
      <c r="BA147" s="1366"/>
      <c r="BB147" s="1366"/>
      <c r="BC147" s="1366"/>
      <c r="BD147" s="1366"/>
      <c r="BE147" s="1366"/>
      <c r="BF147" s="1366"/>
      <c r="BG147" s="1366"/>
      <c r="BH147" s="1366"/>
      <c r="BI147" s="1366"/>
      <c r="BJ147" s="1366"/>
      <c r="BK147" s="1366"/>
      <c r="BL147" s="1366"/>
      <c r="BM147" s="1366"/>
      <c r="BN147" s="1366"/>
      <c r="BO147" s="1366"/>
      <c r="BP147" s="1366"/>
      <c r="BQ147" s="1366"/>
      <c r="BR147" s="1366"/>
      <c r="BS147" s="1366"/>
      <c r="BT147" s="1366"/>
      <c r="BU147" s="1366"/>
      <c r="BV147" s="1366"/>
      <c r="BW147" s="1366"/>
      <c r="BX147" s="1366"/>
      <c r="BY147" s="1366"/>
      <c r="BZ147" s="1366"/>
      <c r="CA147" s="1366"/>
      <c r="CB147" s="1366"/>
      <c r="CC147" s="1366"/>
      <c r="CD147" s="1366"/>
      <c r="CE147" s="1366"/>
      <c r="CF147" s="1366"/>
      <c r="CG147" s="1366"/>
      <c r="CH147" s="1366"/>
      <c r="CI147" s="1366"/>
      <c r="CJ147" s="1366"/>
      <c r="CK147" s="1366"/>
      <c r="CL147" s="1366"/>
      <c r="CM147" s="1366"/>
      <c r="CN147" s="1366"/>
      <c r="CO147" s="1366"/>
      <c r="CP147" s="1366"/>
      <c r="CQ147" s="1366"/>
      <c r="CR147" s="1366"/>
      <c r="CS147" s="1366"/>
      <c r="CT147" s="1366"/>
      <c r="CU147" s="1366"/>
      <c r="CV147" s="1366"/>
      <c r="CW147" s="1366"/>
      <c r="CX147" s="1366"/>
      <c r="CY147" s="1366"/>
      <c r="CZ147" s="1366"/>
      <c r="DA147" s="1366"/>
      <c r="DB147" s="1366"/>
      <c r="DC147" s="1366"/>
      <c r="DD147" s="1366"/>
      <c r="DE147" s="1366"/>
      <c r="DF147" s="1366"/>
      <c r="DG147" s="1366"/>
      <c r="DH147" s="1366"/>
      <c r="DI147" s="1366"/>
      <c r="DJ147" s="1366"/>
      <c r="DK147" s="1366"/>
      <c r="DL147" s="1366"/>
      <c r="DM147" s="1366"/>
      <c r="DN147" s="1366"/>
      <c r="DO147" s="1366"/>
      <c r="DP147" s="1366"/>
      <c r="DQ147" s="1366"/>
      <c r="DR147" s="1366"/>
      <c r="DS147" s="1366"/>
      <c r="DT147" s="1366"/>
      <c r="DU147" s="1366"/>
      <c r="DV147" s="1366"/>
    </row>
    <row r="148" spans="1:126" s="1367" customFormat="1">
      <c r="A148" s="2494"/>
      <c r="B148" s="1653">
        <v>74</v>
      </c>
      <c r="C148" s="658" t="s">
        <v>49</v>
      </c>
      <c r="D148" s="1375" t="s">
        <v>2160</v>
      </c>
      <c r="E148" s="1364" t="s">
        <v>2097</v>
      </c>
      <c r="F148" s="1364" t="s">
        <v>2107</v>
      </c>
      <c r="G148" s="2088" t="s">
        <v>1796</v>
      </c>
      <c r="H148" s="1361">
        <f>((14*'Equipment Results Matrix'!$R$558)+(24000*'Equipment Results Matrix'!$R$557)+'Equipment Results Matrix'!$R$559+'Equipment Results Matrix'!$T$564)*(1+'Equipment Results Matrix'!$T$566)</f>
        <v>1738.3457358540002</v>
      </c>
      <c r="I148" s="2089">
        <f>'Labor Results Matrix'!$E$31</f>
        <v>8.0043472588676003</v>
      </c>
      <c r="J148" s="1372">
        <f>'Labor Results Matrix'!$G$29*(1+'Labor Results Matrix'!$K$29)</f>
        <v>90.902727788816378</v>
      </c>
      <c r="K148" s="1372">
        <f t="shared" si="21"/>
        <v>727.61699999999996</v>
      </c>
      <c r="L148" s="1372">
        <v>0</v>
      </c>
      <c r="M148" s="1372">
        <f t="shared" si="20"/>
        <v>2465.9627358540001</v>
      </c>
      <c r="N148" s="1458">
        <f>M148-$M$146</f>
        <v>548.29015440000035</v>
      </c>
      <c r="O148" s="2092"/>
      <c r="P148" s="2093"/>
      <c r="Q148" s="2093"/>
      <c r="R148" s="2093"/>
      <c r="S148" s="2093"/>
      <c r="T148" s="2093"/>
      <c r="U148" s="2093"/>
      <c r="V148" s="2096"/>
      <c r="W148" s="1366"/>
      <c r="X148" s="1366"/>
      <c r="Y148" s="1366"/>
      <c r="Z148" s="1366"/>
      <c r="AA148" s="1366"/>
      <c r="AB148" s="1366"/>
      <c r="AC148" s="1366"/>
      <c r="AD148" s="1366"/>
      <c r="AE148" s="1366"/>
      <c r="AF148" s="1366"/>
      <c r="AG148" s="1366"/>
      <c r="AH148" s="1366"/>
      <c r="AI148" s="1366"/>
      <c r="AJ148" s="1366"/>
      <c r="AK148" s="1366"/>
      <c r="AL148" s="1366"/>
      <c r="AM148" s="1366"/>
      <c r="AN148" s="1366"/>
      <c r="AO148" s="1366"/>
      <c r="AP148" s="1366"/>
      <c r="AQ148" s="1366"/>
      <c r="AR148" s="1366"/>
      <c r="AS148" s="1366"/>
      <c r="AT148" s="1366"/>
      <c r="AU148" s="1366"/>
      <c r="AV148" s="1366"/>
      <c r="AW148" s="1366"/>
      <c r="AX148" s="1366"/>
      <c r="AY148" s="1366"/>
      <c r="AZ148" s="1366"/>
      <c r="BA148" s="1366"/>
      <c r="BB148" s="1366"/>
      <c r="BC148" s="1366"/>
      <c r="BD148" s="1366"/>
      <c r="BE148" s="1366"/>
      <c r="BF148" s="1366"/>
      <c r="BG148" s="1366"/>
      <c r="BH148" s="1366"/>
      <c r="BI148" s="1366"/>
      <c r="BJ148" s="1366"/>
      <c r="BK148" s="1366"/>
      <c r="BL148" s="1366"/>
      <c r="BM148" s="1366"/>
      <c r="BN148" s="1366"/>
      <c r="BO148" s="1366"/>
      <c r="BP148" s="1366"/>
      <c r="BQ148" s="1366"/>
      <c r="BR148" s="1366"/>
      <c r="BS148" s="1366"/>
      <c r="BT148" s="1366"/>
      <c r="BU148" s="1366"/>
      <c r="BV148" s="1366"/>
      <c r="BW148" s="1366"/>
      <c r="BX148" s="1366"/>
      <c r="BY148" s="1366"/>
      <c r="BZ148" s="1366"/>
      <c r="CA148" s="1366"/>
      <c r="CB148" s="1366"/>
      <c r="CC148" s="1366"/>
      <c r="CD148" s="1366"/>
      <c r="CE148" s="1366"/>
      <c r="CF148" s="1366"/>
      <c r="CG148" s="1366"/>
      <c r="CH148" s="1366"/>
      <c r="CI148" s="1366"/>
      <c r="CJ148" s="1366"/>
      <c r="CK148" s="1366"/>
      <c r="CL148" s="1366"/>
      <c r="CM148" s="1366"/>
      <c r="CN148" s="1366"/>
      <c r="CO148" s="1366"/>
      <c r="CP148" s="1366"/>
      <c r="CQ148" s="1366"/>
      <c r="CR148" s="1366"/>
      <c r="CS148" s="1366"/>
      <c r="CT148" s="1366"/>
      <c r="CU148" s="1366"/>
      <c r="CV148" s="1366"/>
      <c r="CW148" s="1366"/>
      <c r="CX148" s="1366"/>
      <c r="CY148" s="1366"/>
      <c r="CZ148" s="1366"/>
      <c r="DA148" s="1366"/>
      <c r="DB148" s="1366"/>
      <c r="DC148" s="1366"/>
      <c r="DD148" s="1366"/>
      <c r="DE148" s="1366"/>
      <c r="DF148" s="1366"/>
      <c r="DG148" s="1366"/>
      <c r="DH148" s="1366"/>
      <c r="DI148" s="1366"/>
      <c r="DJ148" s="1366"/>
      <c r="DK148" s="1366"/>
      <c r="DL148" s="1366"/>
      <c r="DM148" s="1366"/>
      <c r="DN148" s="1366"/>
      <c r="DO148" s="1366"/>
      <c r="DP148" s="1366"/>
      <c r="DQ148" s="1366"/>
      <c r="DR148" s="1366"/>
      <c r="DS148" s="1366"/>
      <c r="DT148" s="1366"/>
      <c r="DU148" s="1366"/>
      <c r="DV148" s="1366"/>
    </row>
    <row r="149" spans="1:126" s="1367" customFormat="1">
      <c r="A149" s="2494"/>
      <c r="B149" s="1653">
        <v>75</v>
      </c>
      <c r="C149" s="658" t="s">
        <v>49</v>
      </c>
      <c r="D149" s="1375" t="s">
        <v>2161</v>
      </c>
      <c r="E149" s="1364" t="s">
        <v>2097</v>
      </c>
      <c r="F149" s="1364" t="s">
        <v>2107</v>
      </c>
      <c r="G149" s="2088" t="s">
        <v>1796</v>
      </c>
      <c r="H149" s="1361">
        <f>((15*'Equipment Results Matrix'!$R$558)+(24000*'Equipment Results Matrix'!$R$557)+'Equipment Results Matrix'!$R$559+'Equipment Results Matrix'!$T$564)*(1+'Equipment Results Matrix'!$T$566)</f>
        <v>2286.6358902539996</v>
      </c>
      <c r="I149" s="2089">
        <f>'Labor Results Matrix'!$E$31</f>
        <v>8.0043472588676003</v>
      </c>
      <c r="J149" s="1372">
        <f>'Labor Results Matrix'!$G$29*(1+'Labor Results Matrix'!$K$29)</f>
        <v>90.902727788816378</v>
      </c>
      <c r="K149" s="1372">
        <f t="shared" si="21"/>
        <v>727.61699999999996</v>
      </c>
      <c r="L149" s="1372">
        <v>0</v>
      </c>
      <c r="M149" s="1372">
        <f t="shared" si="20"/>
        <v>3014.2528902539998</v>
      </c>
      <c r="N149" s="1458">
        <f t="shared" ref="N149:N150" si="24">M149-$M$146</f>
        <v>1096.5803088</v>
      </c>
      <c r="O149" s="2092"/>
      <c r="P149" s="2093"/>
      <c r="Q149" s="2093"/>
      <c r="R149" s="2093"/>
      <c r="S149" s="2093"/>
      <c r="T149" s="2093"/>
      <c r="U149" s="2093"/>
      <c r="V149" s="2096"/>
      <c r="W149" s="1366"/>
      <c r="X149" s="1366"/>
      <c r="Y149" s="1366"/>
      <c r="Z149" s="1366"/>
      <c r="AA149" s="1366"/>
      <c r="AB149" s="1366"/>
      <c r="AC149" s="1366"/>
      <c r="AD149" s="1366"/>
      <c r="AE149" s="1366"/>
      <c r="AF149" s="1366"/>
      <c r="AG149" s="1366"/>
      <c r="AH149" s="1366"/>
      <c r="AI149" s="1366"/>
      <c r="AJ149" s="1366"/>
      <c r="AK149" s="1366"/>
      <c r="AL149" s="1366"/>
      <c r="AM149" s="1366"/>
      <c r="AN149" s="1366"/>
      <c r="AO149" s="1366"/>
      <c r="AP149" s="1366"/>
      <c r="AQ149" s="1366"/>
      <c r="AR149" s="1366"/>
      <c r="AS149" s="1366"/>
      <c r="AT149" s="1366"/>
      <c r="AU149" s="1366"/>
      <c r="AV149" s="1366"/>
      <c r="AW149" s="1366"/>
      <c r="AX149" s="1366"/>
      <c r="AY149" s="1366"/>
      <c r="AZ149" s="1366"/>
      <c r="BA149" s="1366"/>
      <c r="BB149" s="1366"/>
      <c r="BC149" s="1366"/>
      <c r="BD149" s="1366"/>
      <c r="BE149" s="1366"/>
      <c r="BF149" s="1366"/>
      <c r="BG149" s="1366"/>
      <c r="BH149" s="1366"/>
      <c r="BI149" s="1366"/>
      <c r="BJ149" s="1366"/>
      <c r="BK149" s="1366"/>
      <c r="BL149" s="1366"/>
      <c r="BM149" s="1366"/>
      <c r="BN149" s="1366"/>
      <c r="BO149" s="1366"/>
      <c r="BP149" s="1366"/>
      <c r="BQ149" s="1366"/>
      <c r="BR149" s="1366"/>
      <c r="BS149" s="1366"/>
      <c r="BT149" s="1366"/>
      <c r="BU149" s="1366"/>
      <c r="BV149" s="1366"/>
      <c r="BW149" s="1366"/>
      <c r="BX149" s="1366"/>
      <c r="BY149" s="1366"/>
      <c r="BZ149" s="1366"/>
      <c r="CA149" s="1366"/>
      <c r="CB149" s="1366"/>
      <c r="CC149" s="1366"/>
      <c r="CD149" s="1366"/>
      <c r="CE149" s="1366"/>
      <c r="CF149" s="1366"/>
      <c r="CG149" s="1366"/>
      <c r="CH149" s="1366"/>
      <c r="CI149" s="1366"/>
      <c r="CJ149" s="1366"/>
      <c r="CK149" s="1366"/>
      <c r="CL149" s="1366"/>
      <c r="CM149" s="1366"/>
      <c r="CN149" s="1366"/>
      <c r="CO149" s="1366"/>
      <c r="CP149" s="1366"/>
      <c r="CQ149" s="1366"/>
      <c r="CR149" s="1366"/>
      <c r="CS149" s="1366"/>
      <c r="CT149" s="1366"/>
      <c r="CU149" s="1366"/>
      <c r="CV149" s="1366"/>
      <c r="CW149" s="1366"/>
      <c r="CX149" s="1366"/>
      <c r="CY149" s="1366"/>
      <c r="CZ149" s="1366"/>
      <c r="DA149" s="1366"/>
      <c r="DB149" s="1366"/>
      <c r="DC149" s="1366"/>
      <c r="DD149" s="1366"/>
      <c r="DE149" s="1366"/>
      <c r="DF149" s="1366"/>
      <c r="DG149" s="1366"/>
      <c r="DH149" s="1366"/>
      <c r="DI149" s="1366"/>
      <c r="DJ149" s="1366"/>
      <c r="DK149" s="1366"/>
      <c r="DL149" s="1366"/>
      <c r="DM149" s="1366"/>
      <c r="DN149" s="1366"/>
      <c r="DO149" s="1366"/>
      <c r="DP149" s="1366"/>
      <c r="DQ149" s="1366"/>
      <c r="DR149" s="1366"/>
      <c r="DS149" s="1366"/>
      <c r="DT149" s="1366"/>
      <c r="DU149" s="1366"/>
      <c r="DV149" s="1366"/>
    </row>
    <row r="150" spans="1:126" s="1367" customFormat="1" ht="15.75" thickBot="1">
      <c r="A150" s="2495"/>
      <c r="B150" s="1653">
        <v>76</v>
      </c>
      <c r="C150" s="658" t="s">
        <v>49</v>
      </c>
      <c r="D150" s="1375" t="s">
        <v>2162</v>
      </c>
      <c r="E150" s="1364" t="s">
        <v>2097</v>
      </c>
      <c r="F150" s="1364" t="s">
        <v>2107</v>
      </c>
      <c r="G150" s="2088" t="s">
        <v>1796</v>
      </c>
      <c r="H150" s="1361">
        <f>((16*'Equipment Results Matrix'!$R$558)+(24000*'Equipment Results Matrix'!$R$557)+'Equipment Results Matrix'!$R$559+'Equipment Results Matrix'!$T$564)*(1+'Equipment Results Matrix'!$T$566)</f>
        <v>2834.9260446539988</v>
      </c>
      <c r="I150" s="2089">
        <f>'Labor Results Matrix'!$E$31</f>
        <v>8.0043472588676003</v>
      </c>
      <c r="J150" s="1372">
        <f>'Labor Results Matrix'!$G$29*(1+'Labor Results Matrix'!$K$29)</f>
        <v>90.902727788816378</v>
      </c>
      <c r="K150" s="1372">
        <f t="shared" si="21"/>
        <v>727.61699999999996</v>
      </c>
      <c r="L150" s="1372">
        <v>0</v>
      </c>
      <c r="M150" s="1372">
        <f t="shared" si="20"/>
        <v>3562.5430446539985</v>
      </c>
      <c r="N150" s="1458">
        <f t="shared" si="24"/>
        <v>1644.8704631999988</v>
      </c>
      <c r="O150" s="2092"/>
      <c r="P150" s="2093"/>
      <c r="Q150" s="2093"/>
      <c r="R150" s="2093"/>
      <c r="S150" s="2093"/>
      <c r="T150" s="2093"/>
      <c r="U150" s="2093"/>
      <c r="V150" s="2096"/>
      <c r="W150" s="1366"/>
      <c r="X150" s="1366"/>
      <c r="Y150" s="1366"/>
      <c r="Z150" s="1366"/>
      <c r="AA150" s="1366"/>
      <c r="AB150" s="1366"/>
      <c r="AC150" s="1366"/>
      <c r="AD150" s="1366"/>
      <c r="AE150" s="1366"/>
      <c r="AF150" s="1366"/>
      <c r="AG150" s="1366"/>
      <c r="AH150" s="1366"/>
      <c r="AI150" s="1366"/>
      <c r="AJ150" s="1366"/>
      <c r="AK150" s="1366"/>
      <c r="AL150" s="1366"/>
      <c r="AM150" s="1366"/>
      <c r="AN150" s="1366"/>
      <c r="AO150" s="1366"/>
      <c r="AP150" s="1366"/>
      <c r="AQ150" s="1366"/>
      <c r="AR150" s="1366"/>
      <c r="AS150" s="1366"/>
      <c r="AT150" s="1366"/>
      <c r="AU150" s="1366"/>
      <c r="AV150" s="1366"/>
      <c r="AW150" s="1366"/>
      <c r="AX150" s="1366"/>
      <c r="AY150" s="1366"/>
      <c r="AZ150" s="1366"/>
      <c r="BA150" s="1366"/>
      <c r="BB150" s="1366"/>
      <c r="BC150" s="1366"/>
      <c r="BD150" s="1366"/>
      <c r="BE150" s="1366"/>
      <c r="BF150" s="1366"/>
      <c r="BG150" s="1366"/>
      <c r="BH150" s="1366"/>
      <c r="BI150" s="1366"/>
      <c r="BJ150" s="1366"/>
      <c r="BK150" s="1366"/>
      <c r="BL150" s="1366"/>
      <c r="BM150" s="1366"/>
      <c r="BN150" s="1366"/>
      <c r="BO150" s="1366"/>
      <c r="BP150" s="1366"/>
      <c r="BQ150" s="1366"/>
      <c r="BR150" s="1366"/>
      <c r="BS150" s="1366"/>
      <c r="BT150" s="1366"/>
      <c r="BU150" s="1366"/>
      <c r="BV150" s="1366"/>
      <c r="BW150" s="1366"/>
      <c r="BX150" s="1366"/>
      <c r="BY150" s="1366"/>
      <c r="BZ150" s="1366"/>
      <c r="CA150" s="1366"/>
      <c r="CB150" s="1366"/>
      <c r="CC150" s="1366"/>
      <c r="CD150" s="1366"/>
      <c r="CE150" s="1366"/>
      <c r="CF150" s="1366"/>
      <c r="CG150" s="1366"/>
      <c r="CH150" s="1366"/>
      <c r="CI150" s="1366"/>
      <c r="CJ150" s="1366"/>
      <c r="CK150" s="1366"/>
      <c r="CL150" s="1366"/>
      <c r="CM150" s="1366"/>
      <c r="CN150" s="1366"/>
      <c r="CO150" s="1366"/>
      <c r="CP150" s="1366"/>
      <c r="CQ150" s="1366"/>
      <c r="CR150" s="1366"/>
      <c r="CS150" s="1366"/>
      <c r="CT150" s="1366"/>
      <c r="CU150" s="1366"/>
      <c r="CV150" s="1366"/>
      <c r="CW150" s="1366"/>
      <c r="CX150" s="1366"/>
      <c r="CY150" s="1366"/>
      <c r="CZ150" s="1366"/>
      <c r="DA150" s="1366"/>
      <c r="DB150" s="1366"/>
      <c r="DC150" s="1366"/>
      <c r="DD150" s="1366"/>
      <c r="DE150" s="1366"/>
      <c r="DF150" s="1366"/>
      <c r="DG150" s="1366"/>
      <c r="DH150" s="1366"/>
      <c r="DI150" s="1366"/>
      <c r="DJ150" s="1366"/>
      <c r="DK150" s="1366"/>
      <c r="DL150" s="1366"/>
      <c r="DM150" s="1366"/>
      <c r="DN150" s="1366"/>
      <c r="DO150" s="1366"/>
      <c r="DP150" s="1366"/>
      <c r="DQ150" s="1366"/>
      <c r="DR150" s="1366"/>
      <c r="DS150" s="1366"/>
      <c r="DT150" s="1366"/>
      <c r="DU150" s="1366"/>
      <c r="DV150" s="1366"/>
    </row>
    <row r="151" spans="1:126" s="1479" customFormat="1" ht="19.5" thickBot="1">
      <c r="A151" s="695"/>
      <c r="B151" s="1652"/>
      <c r="C151" s="1298"/>
      <c r="D151" s="1499"/>
      <c r="E151" s="1500"/>
      <c r="F151" s="1500"/>
      <c r="G151" s="1500"/>
      <c r="H151" s="1501"/>
      <c r="I151" s="1446"/>
      <c r="J151" s="1446"/>
      <c r="K151" s="1498"/>
      <c r="L151" s="1532"/>
      <c r="M151" s="1390"/>
      <c r="N151" s="1497"/>
      <c r="O151" s="1501"/>
      <c r="P151" s="1446"/>
      <c r="Q151" s="1498"/>
      <c r="R151" s="1502"/>
      <c r="S151" s="1390"/>
      <c r="T151" s="1390"/>
      <c r="U151" s="1390"/>
      <c r="V151" s="1497"/>
      <c r="W151" s="1490"/>
      <c r="X151" s="1490"/>
      <c r="Y151" s="327"/>
      <c r="Z151" s="327"/>
      <c r="AA151" s="327"/>
      <c r="AB151" s="327"/>
      <c r="AC151" s="327"/>
      <c r="AD151" s="1478"/>
      <c r="AE151" s="1478"/>
      <c r="AF151" s="1478"/>
      <c r="AG151" s="1478"/>
      <c r="AH151" s="1478"/>
      <c r="AI151" s="1478"/>
      <c r="AJ151" s="1478"/>
      <c r="AK151" s="1478"/>
      <c r="AL151" s="1478"/>
      <c r="AM151" s="1478"/>
      <c r="AN151" s="1478"/>
      <c r="AO151" s="1478"/>
      <c r="AP151" s="1478"/>
      <c r="AQ151" s="1478"/>
      <c r="AR151" s="1478"/>
      <c r="AS151" s="1478"/>
      <c r="AT151" s="1478"/>
      <c r="AU151" s="1478"/>
      <c r="AV151" s="1478"/>
      <c r="AW151" s="1478"/>
      <c r="AX151" s="1478"/>
      <c r="AY151" s="1478"/>
      <c r="AZ151" s="1478"/>
      <c r="BA151" s="1478"/>
      <c r="BB151" s="1478"/>
      <c r="BC151" s="1478"/>
      <c r="BD151" s="327"/>
      <c r="BE151" s="327"/>
      <c r="BF151" s="327"/>
      <c r="BG151" s="327"/>
      <c r="BH151" s="327"/>
      <c r="BI151" s="327"/>
      <c r="BJ151" s="327"/>
      <c r="BK151" s="327"/>
      <c r="BL151" s="327"/>
      <c r="BM151" s="327"/>
      <c r="BN151" s="327"/>
      <c r="BO151" s="327"/>
      <c r="BP151" s="327"/>
      <c r="BQ151" s="327"/>
      <c r="BR151" s="327"/>
      <c r="BS151" s="327"/>
      <c r="BT151" s="327"/>
      <c r="BU151" s="327"/>
      <c r="BV151" s="327"/>
      <c r="BW151" s="327"/>
      <c r="BX151" s="327"/>
      <c r="BY151" s="327"/>
      <c r="BZ151" s="327"/>
      <c r="CA151" s="327"/>
      <c r="CB151" s="327"/>
      <c r="CC151" s="327"/>
      <c r="CD151" s="327"/>
      <c r="CE151" s="327"/>
      <c r="CF151" s="327"/>
      <c r="CG151" s="327"/>
      <c r="CH151" s="327"/>
      <c r="CI151" s="327"/>
      <c r="CJ151" s="327"/>
      <c r="CK151" s="327"/>
      <c r="CL151" s="327"/>
      <c r="CM151" s="327"/>
      <c r="CN151" s="327"/>
      <c r="CO151" s="327"/>
      <c r="CP151" s="327"/>
      <c r="CQ151" s="327"/>
      <c r="CR151" s="327"/>
      <c r="CS151" s="327"/>
      <c r="CT151" s="327"/>
      <c r="CU151" s="327"/>
      <c r="CV151" s="327"/>
      <c r="CW151" s="327"/>
      <c r="CX151" s="327"/>
      <c r="CY151" s="327"/>
      <c r="CZ151" s="327"/>
      <c r="DA151" s="327"/>
      <c r="DB151" s="327"/>
      <c r="DC151" s="327"/>
      <c r="DD151" s="327"/>
      <c r="DE151" s="327"/>
      <c r="DF151" s="327"/>
      <c r="DG151" s="327"/>
      <c r="DH151" s="327"/>
      <c r="DI151" s="327"/>
      <c r="DJ151" s="327"/>
      <c r="DK151" s="327"/>
      <c r="DL151" s="327"/>
      <c r="DM151" s="327"/>
      <c r="DN151" s="327"/>
      <c r="DO151" s="327"/>
      <c r="DP151" s="327"/>
      <c r="DQ151" s="327"/>
      <c r="DR151" s="327"/>
      <c r="DS151" s="327"/>
      <c r="DT151" s="327"/>
      <c r="DU151" s="327"/>
      <c r="DV151" s="327"/>
    </row>
    <row r="152" spans="1:126" s="1367" customFormat="1" ht="30">
      <c r="A152" s="2493" t="s">
        <v>1308</v>
      </c>
      <c r="B152" s="1653">
        <v>125</v>
      </c>
      <c r="C152" s="1641" t="s">
        <v>47</v>
      </c>
      <c r="D152" s="1375" t="s">
        <v>2196</v>
      </c>
      <c r="E152" s="1364" t="s">
        <v>2100</v>
      </c>
      <c r="F152" s="1364" t="s">
        <v>2108</v>
      </c>
      <c r="G152" s="2088" t="s">
        <v>1796</v>
      </c>
      <c r="H152" s="1361">
        <f>((13*'Equipment Results Matrix'!$R$577)+'Equipment Results Matrix'!$T$583+('Equipment Results Matrix'!$R$576*24000)+'Equipment Results Matrix'!$R$578)*(1+'Equipment Results Matrix'!$T$585)</f>
        <v>937.33645506506014</v>
      </c>
      <c r="I152" s="1371">
        <f>'Labor Results Matrix'!$E$48</f>
        <v>31.353832233535051</v>
      </c>
      <c r="J152" s="1372">
        <f>'Labor Results Matrix'!$G$49*(1+'Labor Results Matrix'!$K$49)</f>
        <v>91.344003166431989</v>
      </c>
      <c r="K152" s="1416">
        <f>I152*J152</f>
        <v>2863.9845508198032</v>
      </c>
      <c r="L152" s="1372">
        <f>((('Labor Results Matrix'!$I$48+'Labor Results Matrix'!$I$50))+'Labor Results Matrix'!$J$48)*(1+'Labor Results Matrix'!$K$49)</f>
        <v>3700.1935622846499</v>
      </c>
      <c r="M152" s="1372">
        <f t="shared" ref="M152:M175" si="25">H152+K152+L152</f>
        <v>7501.514568169514</v>
      </c>
      <c r="N152" s="1455" t="s">
        <v>40</v>
      </c>
      <c r="O152" s="2092"/>
      <c r="P152" s="2093"/>
      <c r="Q152" s="2093"/>
      <c r="R152" s="2093"/>
      <c r="S152" s="2093"/>
      <c r="T152" s="2093"/>
      <c r="U152" s="2093"/>
      <c r="V152" s="2096"/>
      <c r="W152" s="1366"/>
      <c r="X152" s="1366"/>
      <c r="Y152" s="1366"/>
      <c r="Z152" s="1366"/>
      <c r="AA152" s="1366"/>
      <c r="AB152" s="1366"/>
      <c r="AC152" s="1366"/>
      <c r="AD152" s="1366"/>
      <c r="AE152" s="1366"/>
      <c r="AF152" s="1366"/>
      <c r="AG152" s="1366"/>
      <c r="AH152" s="1366"/>
      <c r="AI152" s="1366"/>
      <c r="AJ152" s="1366"/>
      <c r="AK152" s="1366"/>
      <c r="AL152" s="1366"/>
      <c r="AM152" s="1366"/>
      <c r="AN152" s="1366"/>
      <c r="AO152" s="1366"/>
      <c r="AP152" s="1366"/>
      <c r="AQ152" s="1366"/>
      <c r="AR152" s="1366"/>
      <c r="AS152" s="1366"/>
      <c r="AT152" s="1366"/>
      <c r="AU152" s="1366"/>
      <c r="AV152" s="1366"/>
      <c r="AW152" s="1366"/>
      <c r="AX152" s="1366"/>
      <c r="AY152" s="1366"/>
      <c r="AZ152" s="1366"/>
      <c r="BA152" s="1366"/>
      <c r="BB152" s="1366"/>
      <c r="BC152" s="1366"/>
      <c r="BD152" s="1366"/>
      <c r="BE152" s="1366"/>
      <c r="BF152" s="1366"/>
      <c r="BG152" s="1366"/>
      <c r="BH152" s="1366"/>
      <c r="BI152" s="1366"/>
      <c r="BJ152" s="1366"/>
      <c r="BK152" s="1366"/>
      <c r="BL152" s="1366"/>
      <c r="BM152" s="1366"/>
      <c r="BN152" s="1366"/>
      <c r="BO152" s="1366"/>
      <c r="BP152" s="1366"/>
      <c r="BQ152" s="1366"/>
      <c r="BR152" s="1366"/>
      <c r="BS152" s="1366"/>
      <c r="BT152" s="1366"/>
      <c r="BU152" s="1366"/>
      <c r="BV152" s="1366"/>
      <c r="BW152" s="1366"/>
      <c r="BX152" s="1366"/>
      <c r="BY152" s="1366"/>
      <c r="BZ152" s="1366"/>
      <c r="CA152" s="1366"/>
      <c r="CB152" s="1366"/>
      <c r="CC152" s="1366"/>
      <c r="CD152" s="1366"/>
      <c r="CE152" s="1366"/>
      <c r="CF152" s="1366"/>
      <c r="CG152" s="1366"/>
      <c r="CH152" s="1366"/>
      <c r="CI152" s="1366"/>
      <c r="CJ152" s="1366"/>
      <c r="CK152" s="1366"/>
      <c r="CL152" s="1366"/>
      <c r="CM152" s="1366"/>
      <c r="CN152" s="1366"/>
      <c r="CO152" s="1366"/>
      <c r="CP152" s="1366"/>
      <c r="CQ152" s="1366"/>
      <c r="CR152" s="1366"/>
      <c r="CS152" s="1366"/>
      <c r="CT152" s="1366"/>
      <c r="CU152" s="1366"/>
      <c r="CV152" s="1366"/>
      <c r="CW152" s="1366"/>
      <c r="CX152" s="1366"/>
      <c r="CY152" s="1366"/>
      <c r="CZ152" s="1366"/>
      <c r="DA152" s="1366"/>
      <c r="DB152" s="1366"/>
      <c r="DC152" s="1366"/>
      <c r="DD152" s="1366"/>
      <c r="DE152" s="1366"/>
      <c r="DF152" s="1366"/>
      <c r="DG152" s="1366"/>
      <c r="DH152" s="1366"/>
      <c r="DI152" s="1366"/>
      <c r="DJ152" s="1366"/>
      <c r="DK152" s="1366"/>
      <c r="DL152" s="1366"/>
      <c r="DM152" s="1366"/>
      <c r="DN152" s="1366"/>
      <c r="DO152" s="1366"/>
      <c r="DP152" s="1366"/>
      <c r="DQ152" s="1366"/>
      <c r="DR152" s="1366"/>
      <c r="DS152" s="1366"/>
      <c r="DT152" s="1366"/>
      <c r="DU152" s="1366"/>
      <c r="DV152" s="1366"/>
    </row>
    <row r="153" spans="1:126" s="1378" customFormat="1" ht="45">
      <c r="A153" s="2494"/>
      <c r="B153" s="1659">
        <v>124</v>
      </c>
      <c r="C153" s="1668" t="s">
        <v>49</v>
      </c>
      <c r="D153" s="1396" t="s">
        <v>2715</v>
      </c>
      <c r="E153" s="1376" t="s">
        <v>2100</v>
      </c>
      <c r="F153" s="1376" t="s">
        <v>2108</v>
      </c>
      <c r="G153" s="2091" t="s">
        <v>1796</v>
      </c>
      <c r="H153" s="1418">
        <f>((13*'Equipment Results Matrix'!$R$577)+'Equipment Results Matrix'!$T$583+('Equipment Results Matrix'!$R$576*24000)+'Equipment Results Matrix'!$R$578)*(1+'Equipment Results Matrix'!$T$585)</f>
        <v>937.33645506506014</v>
      </c>
      <c r="I153" s="2094">
        <f>'Labor Results Matrix'!$E$48</f>
        <v>31.353832233535051</v>
      </c>
      <c r="J153" s="1420">
        <f>'Labor Results Matrix'!$G$49*(1+'Labor Results Matrix'!$K$49)</f>
        <v>91.344003166431989</v>
      </c>
      <c r="K153" s="1421">
        <f t="shared" ref="K153:K159" si="26">I153*J153</f>
        <v>2863.9845508198032</v>
      </c>
      <c r="L153" s="1420">
        <f>((('Labor Results Matrix'!$I$48+'Labor Results Matrix'!$I$50))+'Labor Results Matrix'!$J$48)*(1+'Labor Results Matrix'!$K$49)</f>
        <v>3700.1935622846499</v>
      </c>
      <c r="M153" s="1420">
        <f t="shared" si="25"/>
        <v>7501.514568169514</v>
      </c>
      <c r="N153" s="1456">
        <f>M153-$M$152</f>
        <v>0</v>
      </c>
      <c r="O153" s="2092"/>
      <c r="P153" s="2093"/>
      <c r="Q153" s="2093"/>
      <c r="R153" s="2093"/>
      <c r="S153" s="2093"/>
      <c r="T153" s="2093"/>
      <c r="U153" s="2093"/>
      <c r="V153" s="2096"/>
      <c r="W153" s="1366"/>
      <c r="X153" s="1366"/>
      <c r="Y153" s="1366"/>
      <c r="Z153" s="1366"/>
      <c r="AA153" s="1366"/>
      <c r="AB153" s="1366"/>
      <c r="AC153" s="1366"/>
      <c r="AD153" s="1366"/>
      <c r="AE153" s="1366"/>
      <c r="AF153" s="1366"/>
      <c r="AG153" s="1366"/>
      <c r="AH153" s="1366"/>
      <c r="AI153" s="1366"/>
      <c r="AJ153" s="1366"/>
      <c r="AK153" s="1366"/>
      <c r="AL153" s="1366"/>
      <c r="AM153" s="1366"/>
      <c r="AN153" s="1366"/>
      <c r="AO153" s="1366"/>
      <c r="AP153" s="1366"/>
      <c r="AQ153" s="1366"/>
      <c r="AR153" s="1366"/>
      <c r="AS153" s="1366"/>
      <c r="AT153" s="1366"/>
      <c r="AU153" s="1366"/>
      <c r="AV153" s="1366"/>
      <c r="AW153" s="1366"/>
      <c r="AX153" s="1366"/>
      <c r="AY153" s="1366"/>
      <c r="AZ153" s="1366"/>
      <c r="BA153" s="1366"/>
      <c r="BB153" s="1366"/>
      <c r="BC153" s="1366"/>
      <c r="BD153" s="1366"/>
      <c r="BE153" s="1366"/>
      <c r="BF153" s="1366"/>
      <c r="BG153" s="1366"/>
      <c r="BH153" s="1366"/>
      <c r="BI153" s="1366"/>
      <c r="BJ153" s="1366"/>
      <c r="BK153" s="1366"/>
      <c r="BL153" s="1366"/>
      <c r="BM153" s="1366"/>
      <c r="BN153" s="1366"/>
      <c r="BO153" s="1366"/>
      <c r="BP153" s="1366"/>
      <c r="BQ153" s="1366"/>
      <c r="BR153" s="1366"/>
      <c r="BS153" s="1366"/>
      <c r="BT153" s="1366"/>
      <c r="BU153" s="1366"/>
      <c r="BV153" s="1366"/>
      <c r="BW153" s="1366"/>
      <c r="BX153" s="1366"/>
      <c r="BY153" s="1366"/>
      <c r="BZ153" s="1366"/>
      <c r="CA153" s="1366"/>
      <c r="CB153" s="1366"/>
      <c r="CC153" s="1366"/>
      <c r="CD153" s="1366"/>
      <c r="CE153" s="1366"/>
      <c r="CF153" s="1366"/>
      <c r="CG153" s="1366"/>
      <c r="CH153" s="1366"/>
      <c r="CI153" s="1366"/>
      <c r="CJ153" s="1366"/>
      <c r="CK153" s="1366"/>
      <c r="CL153" s="1366"/>
      <c r="CM153" s="1366"/>
      <c r="CN153" s="1366"/>
      <c r="CO153" s="1366"/>
      <c r="CP153" s="1366"/>
      <c r="CQ153" s="1366"/>
      <c r="CR153" s="1366"/>
      <c r="CS153" s="1366"/>
      <c r="CT153" s="1366"/>
      <c r="CU153" s="1366"/>
      <c r="CV153" s="1366"/>
      <c r="CW153" s="1366"/>
      <c r="CX153" s="1366"/>
      <c r="CY153" s="1366"/>
      <c r="CZ153" s="1366"/>
      <c r="DA153" s="1366"/>
      <c r="DB153" s="1366"/>
      <c r="DC153" s="1366"/>
      <c r="DD153" s="1366"/>
      <c r="DE153" s="1366"/>
      <c r="DF153" s="1366"/>
      <c r="DG153" s="1366"/>
      <c r="DH153" s="1366"/>
      <c r="DI153" s="1366"/>
      <c r="DJ153" s="1366"/>
      <c r="DK153" s="1366"/>
      <c r="DL153" s="1366"/>
      <c r="DM153" s="1366"/>
      <c r="DN153" s="1366"/>
      <c r="DO153" s="1366"/>
      <c r="DP153" s="1366"/>
      <c r="DQ153" s="1366"/>
      <c r="DR153" s="1366"/>
      <c r="DS153" s="1366"/>
      <c r="DT153" s="1366"/>
      <c r="DU153" s="1366"/>
      <c r="DV153" s="1366"/>
    </row>
    <row r="154" spans="1:126" s="1367" customFormat="1" ht="45">
      <c r="A154" s="2494"/>
      <c r="B154" s="1653">
        <v>125</v>
      </c>
      <c r="C154" s="658" t="s">
        <v>49</v>
      </c>
      <c r="D154" s="1375" t="s">
        <v>2197</v>
      </c>
      <c r="E154" s="1364" t="s">
        <v>2100</v>
      </c>
      <c r="F154" s="1364" t="s">
        <v>2108</v>
      </c>
      <c r="G154" s="2088" t="s">
        <v>1796</v>
      </c>
      <c r="H154" s="1361">
        <f>((14*'Equipment Results Matrix'!$R$577)+'Equipment Results Matrix'!$T$583+('Equipment Results Matrix'!$R$576*24000)+'Equipment Results Matrix'!$R$578)*(1+'Equipment Results Matrix'!$T$585)</f>
        <v>1213.7168142650601</v>
      </c>
      <c r="I154" s="2089">
        <f>'Labor Results Matrix'!$E$48</f>
        <v>31.353832233535051</v>
      </c>
      <c r="J154" s="1372">
        <f>'Labor Results Matrix'!$G$49*(1+'Labor Results Matrix'!$K$49)</f>
        <v>91.344003166431989</v>
      </c>
      <c r="K154" s="1416">
        <f t="shared" si="26"/>
        <v>2863.9845508198032</v>
      </c>
      <c r="L154" s="2090">
        <f>((('Labor Results Matrix'!$I$48+'Labor Results Matrix'!$I$50))+'Labor Results Matrix'!$J$48)*(1+'Labor Results Matrix'!$K$49)</f>
        <v>3700.1935622846499</v>
      </c>
      <c r="M154" s="1372">
        <f t="shared" si="25"/>
        <v>7777.8949273695125</v>
      </c>
      <c r="N154" s="1457">
        <f>M154-$M$152</f>
        <v>276.38035919999857</v>
      </c>
      <c r="O154" s="2092"/>
      <c r="P154" s="2093"/>
      <c r="Q154" s="2093"/>
      <c r="R154" s="2093"/>
      <c r="S154" s="2093"/>
      <c r="T154" s="2093"/>
      <c r="U154" s="2093"/>
      <c r="V154" s="2096"/>
      <c r="W154" s="1366"/>
      <c r="X154" s="1366"/>
      <c r="Y154" s="1366"/>
      <c r="Z154" s="1366"/>
      <c r="AA154" s="1366"/>
      <c r="AB154" s="1366"/>
      <c r="AC154" s="1366"/>
      <c r="AD154" s="1366"/>
      <c r="AE154" s="1366"/>
      <c r="AF154" s="1366"/>
      <c r="AG154" s="1366"/>
      <c r="AH154" s="1366"/>
      <c r="AI154" s="1366"/>
      <c r="AJ154" s="1366"/>
      <c r="AK154" s="1366"/>
      <c r="AL154" s="1366"/>
      <c r="AM154" s="1366"/>
      <c r="AN154" s="1366"/>
      <c r="AO154" s="1366"/>
      <c r="AP154" s="1366"/>
      <c r="AQ154" s="1366"/>
      <c r="AR154" s="1366"/>
      <c r="AS154" s="1366"/>
      <c r="AT154" s="1366"/>
      <c r="AU154" s="1366"/>
      <c r="AV154" s="1366"/>
      <c r="AW154" s="1366"/>
      <c r="AX154" s="1366"/>
      <c r="AY154" s="1366"/>
      <c r="AZ154" s="1366"/>
      <c r="BA154" s="1366"/>
      <c r="BB154" s="1366"/>
      <c r="BC154" s="1366"/>
      <c r="BD154" s="1366"/>
      <c r="BE154" s="1366"/>
      <c r="BF154" s="1366"/>
      <c r="BG154" s="1366"/>
      <c r="BH154" s="1366"/>
      <c r="BI154" s="1366"/>
      <c r="BJ154" s="1366"/>
      <c r="BK154" s="1366"/>
      <c r="BL154" s="1366"/>
      <c r="BM154" s="1366"/>
      <c r="BN154" s="1366"/>
      <c r="BO154" s="1366"/>
      <c r="BP154" s="1366"/>
      <c r="BQ154" s="1366"/>
      <c r="BR154" s="1366"/>
      <c r="BS154" s="1366"/>
      <c r="BT154" s="1366"/>
      <c r="BU154" s="1366"/>
      <c r="BV154" s="1366"/>
      <c r="BW154" s="1366"/>
      <c r="BX154" s="1366"/>
      <c r="BY154" s="1366"/>
      <c r="BZ154" s="1366"/>
      <c r="CA154" s="1366"/>
      <c r="CB154" s="1366"/>
      <c r="CC154" s="1366"/>
      <c r="CD154" s="1366"/>
      <c r="CE154" s="1366"/>
      <c r="CF154" s="1366"/>
      <c r="CG154" s="1366"/>
      <c r="CH154" s="1366"/>
      <c r="CI154" s="1366"/>
      <c r="CJ154" s="1366"/>
      <c r="CK154" s="1366"/>
      <c r="CL154" s="1366"/>
      <c r="CM154" s="1366"/>
      <c r="CN154" s="1366"/>
      <c r="CO154" s="1366"/>
      <c r="CP154" s="1366"/>
      <c r="CQ154" s="1366"/>
      <c r="CR154" s="1366"/>
      <c r="CS154" s="1366"/>
      <c r="CT154" s="1366"/>
      <c r="CU154" s="1366"/>
      <c r="CV154" s="1366"/>
      <c r="CW154" s="1366"/>
      <c r="CX154" s="1366"/>
      <c r="CY154" s="1366"/>
      <c r="CZ154" s="1366"/>
      <c r="DA154" s="1366"/>
      <c r="DB154" s="1366"/>
      <c r="DC154" s="1366"/>
      <c r="DD154" s="1366"/>
      <c r="DE154" s="1366"/>
      <c r="DF154" s="1366"/>
      <c r="DG154" s="1366"/>
      <c r="DH154" s="1366"/>
      <c r="DI154" s="1366"/>
      <c r="DJ154" s="1366"/>
      <c r="DK154" s="1366"/>
      <c r="DL154" s="1366"/>
      <c r="DM154" s="1366"/>
      <c r="DN154" s="1366"/>
      <c r="DO154" s="1366"/>
      <c r="DP154" s="1366"/>
      <c r="DQ154" s="1366"/>
      <c r="DR154" s="1366"/>
      <c r="DS154" s="1366"/>
      <c r="DT154" s="1366"/>
      <c r="DU154" s="1366"/>
      <c r="DV154" s="1366"/>
    </row>
    <row r="155" spans="1:126" s="1367" customFormat="1" ht="30">
      <c r="A155" s="2494"/>
      <c r="B155" s="1653" t="s">
        <v>2659</v>
      </c>
      <c r="C155" s="1641" t="s">
        <v>47</v>
      </c>
      <c r="D155" s="1375" t="s">
        <v>2179</v>
      </c>
      <c r="E155" s="1364" t="s">
        <v>2097</v>
      </c>
      <c r="F155" s="1364" t="s">
        <v>2108</v>
      </c>
      <c r="G155" s="2088" t="s">
        <v>1796</v>
      </c>
      <c r="H155" s="1361">
        <f>((13*'Equipment Results Matrix'!$R$577)+'Equipment Results Matrix'!$T$583+('Equipment Results Matrix'!$R$576*54000)+'Equipment Results Matrix'!$R$578)*(1+'Equipment Results Matrix'!$T$585)</f>
        <v>1765.3724550650604</v>
      </c>
      <c r="I155" s="2089">
        <f>'Labor Results Matrix'!$E$48</f>
        <v>31.353832233535051</v>
      </c>
      <c r="J155" s="1372">
        <f>'Labor Results Matrix'!$G$49*(1+'Labor Results Matrix'!$K$49)</f>
        <v>91.344003166431989</v>
      </c>
      <c r="K155" s="1416">
        <f t="shared" si="26"/>
        <v>2863.9845508198032</v>
      </c>
      <c r="L155" s="2090">
        <f>((('Labor Results Matrix'!$I$48+'Labor Results Matrix'!$I$50))+'Labor Results Matrix'!$J$48)*(1+'Labor Results Matrix'!$K$49)</f>
        <v>3700.1935622846499</v>
      </c>
      <c r="M155" s="1372">
        <f t="shared" si="25"/>
        <v>8329.550568169514</v>
      </c>
      <c r="N155" s="1455" t="s">
        <v>40</v>
      </c>
      <c r="O155" s="2092"/>
      <c r="P155" s="2093"/>
      <c r="Q155" s="2093"/>
      <c r="R155" s="2093"/>
      <c r="S155" s="2093"/>
      <c r="T155" s="2093"/>
      <c r="U155" s="2093"/>
      <c r="V155" s="2096"/>
      <c r="W155" s="1366"/>
      <c r="X155" s="1366"/>
      <c r="Y155" s="1366"/>
      <c r="Z155" s="1366"/>
      <c r="AA155" s="1366"/>
      <c r="AB155" s="1366"/>
      <c r="AC155" s="1366"/>
      <c r="AD155" s="1366"/>
      <c r="AE155" s="1366"/>
      <c r="AF155" s="1366"/>
      <c r="AG155" s="1366"/>
      <c r="AH155" s="1366"/>
      <c r="AI155" s="1366"/>
      <c r="AJ155" s="1366"/>
      <c r="AK155" s="1366"/>
      <c r="AL155" s="1366"/>
      <c r="AM155" s="1366"/>
      <c r="AN155" s="1366"/>
      <c r="AO155" s="1366"/>
      <c r="AP155" s="1366"/>
      <c r="AQ155" s="1366"/>
      <c r="AR155" s="1366"/>
      <c r="AS155" s="1366"/>
      <c r="AT155" s="1366"/>
      <c r="AU155" s="1366"/>
      <c r="AV155" s="1366"/>
      <c r="AW155" s="1366"/>
      <c r="AX155" s="1366"/>
      <c r="AY155" s="1366"/>
      <c r="AZ155" s="1366"/>
      <c r="BA155" s="1366"/>
      <c r="BB155" s="1366"/>
      <c r="BC155" s="1366"/>
      <c r="BD155" s="1366"/>
      <c r="BE155" s="1366"/>
      <c r="BF155" s="1366"/>
      <c r="BG155" s="1366"/>
      <c r="BH155" s="1366"/>
      <c r="BI155" s="1366"/>
      <c r="BJ155" s="1366"/>
      <c r="BK155" s="1366"/>
      <c r="BL155" s="1366"/>
      <c r="BM155" s="1366"/>
      <c r="BN155" s="1366"/>
      <c r="BO155" s="1366"/>
      <c r="BP155" s="1366"/>
      <c r="BQ155" s="1366"/>
      <c r="BR155" s="1366"/>
      <c r="BS155" s="1366"/>
      <c r="BT155" s="1366"/>
      <c r="BU155" s="1366"/>
      <c r="BV155" s="1366"/>
      <c r="BW155" s="1366"/>
      <c r="BX155" s="1366"/>
      <c r="BY155" s="1366"/>
      <c r="BZ155" s="1366"/>
      <c r="CA155" s="1366"/>
      <c r="CB155" s="1366"/>
      <c r="CC155" s="1366"/>
      <c r="CD155" s="1366"/>
      <c r="CE155" s="1366"/>
      <c r="CF155" s="1366"/>
      <c r="CG155" s="1366"/>
      <c r="CH155" s="1366"/>
      <c r="CI155" s="1366"/>
      <c r="CJ155" s="1366"/>
      <c r="CK155" s="1366"/>
      <c r="CL155" s="1366"/>
      <c r="CM155" s="1366"/>
      <c r="CN155" s="1366"/>
      <c r="CO155" s="1366"/>
      <c r="CP155" s="1366"/>
      <c r="CQ155" s="1366"/>
      <c r="CR155" s="1366"/>
      <c r="CS155" s="1366"/>
      <c r="CT155" s="1366"/>
      <c r="CU155" s="1366"/>
      <c r="CV155" s="1366"/>
      <c r="CW155" s="1366"/>
      <c r="CX155" s="1366"/>
      <c r="CY155" s="1366"/>
      <c r="CZ155" s="1366"/>
      <c r="DA155" s="1366"/>
      <c r="DB155" s="1366"/>
      <c r="DC155" s="1366"/>
      <c r="DD155" s="1366"/>
      <c r="DE155" s="1366"/>
      <c r="DF155" s="1366"/>
      <c r="DG155" s="1366"/>
      <c r="DH155" s="1366"/>
      <c r="DI155" s="1366"/>
      <c r="DJ155" s="1366"/>
      <c r="DK155" s="1366"/>
      <c r="DL155" s="1366"/>
      <c r="DM155" s="1366"/>
      <c r="DN155" s="1366"/>
      <c r="DO155" s="1366"/>
      <c r="DP155" s="1366"/>
      <c r="DQ155" s="1366"/>
      <c r="DR155" s="1366"/>
      <c r="DS155" s="1366"/>
      <c r="DT155" s="1366"/>
      <c r="DU155" s="1366"/>
      <c r="DV155" s="1366"/>
    </row>
    <row r="156" spans="1:126" s="1378" customFormat="1" ht="30">
      <c r="A156" s="2494"/>
      <c r="B156" s="1659">
        <v>126</v>
      </c>
      <c r="C156" s="1668" t="s">
        <v>49</v>
      </c>
      <c r="D156" s="1396" t="s">
        <v>2716</v>
      </c>
      <c r="E156" s="1376" t="s">
        <v>2100</v>
      </c>
      <c r="F156" s="1376" t="s">
        <v>2108</v>
      </c>
      <c r="G156" s="2091" t="s">
        <v>1796</v>
      </c>
      <c r="H156" s="1418">
        <f>((13*'Equipment Results Matrix'!$R$577)+'Equipment Results Matrix'!$T$583+('Equipment Results Matrix'!$R$576*54000)+'Equipment Results Matrix'!$R$578)*(1+'Equipment Results Matrix'!$T$585)</f>
        <v>1765.3724550650604</v>
      </c>
      <c r="I156" s="2094">
        <f>'Labor Results Matrix'!$E$48</f>
        <v>31.353832233535051</v>
      </c>
      <c r="J156" s="1420">
        <f>'Labor Results Matrix'!$G$49*(1+'Labor Results Matrix'!$K$49)</f>
        <v>91.344003166431989</v>
      </c>
      <c r="K156" s="1421">
        <f t="shared" si="26"/>
        <v>2863.9845508198032</v>
      </c>
      <c r="L156" s="2095">
        <f>((('Labor Results Matrix'!$I$48+'Labor Results Matrix'!$I$50))+'Labor Results Matrix'!$J$48)*(1+'Labor Results Matrix'!$K$49)</f>
        <v>3700.1935622846499</v>
      </c>
      <c r="M156" s="1420">
        <f t="shared" si="25"/>
        <v>8329.550568169514</v>
      </c>
      <c r="N156" s="1456">
        <f>M156-M155</f>
        <v>0</v>
      </c>
      <c r="O156" s="2092"/>
      <c r="P156" s="2093"/>
      <c r="Q156" s="2093"/>
      <c r="R156" s="2093"/>
      <c r="S156" s="2093"/>
      <c r="T156" s="2093"/>
      <c r="U156" s="2093"/>
      <c r="V156" s="2096"/>
      <c r="W156" s="1366"/>
      <c r="X156" s="1366"/>
      <c r="Y156" s="1366"/>
      <c r="Z156" s="1366"/>
      <c r="AA156" s="1366"/>
      <c r="AB156" s="1366"/>
      <c r="AC156" s="1366"/>
      <c r="AD156" s="1366"/>
      <c r="AE156" s="1366"/>
      <c r="AF156" s="1366"/>
      <c r="AG156" s="1366"/>
      <c r="AH156" s="1366"/>
      <c r="AI156" s="1366"/>
      <c r="AJ156" s="1366"/>
      <c r="AK156" s="1366"/>
      <c r="AL156" s="1366"/>
      <c r="AM156" s="1366"/>
      <c r="AN156" s="1366"/>
      <c r="AO156" s="1366"/>
      <c r="AP156" s="1366"/>
      <c r="AQ156" s="1366"/>
      <c r="AR156" s="1366"/>
      <c r="AS156" s="1366"/>
      <c r="AT156" s="1366"/>
      <c r="AU156" s="1366"/>
      <c r="AV156" s="1366"/>
      <c r="AW156" s="1366"/>
      <c r="AX156" s="1366"/>
      <c r="AY156" s="1366"/>
      <c r="AZ156" s="1366"/>
      <c r="BA156" s="1366"/>
      <c r="BB156" s="1366"/>
      <c r="BC156" s="1366"/>
      <c r="BD156" s="1366"/>
      <c r="BE156" s="1366"/>
      <c r="BF156" s="1366"/>
      <c r="BG156" s="1366"/>
      <c r="BH156" s="1366"/>
      <c r="BI156" s="1366"/>
      <c r="BJ156" s="1366"/>
      <c r="BK156" s="1366"/>
      <c r="BL156" s="1366"/>
      <c r="BM156" s="1366"/>
      <c r="BN156" s="1366"/>
      <c r="BO156" s="1366"/>
      <c r="BP156" s="1366"/>
      <c r="BQ156" s="1366"/>
      <c r="BR156" s="1366"/>
      <c r="BS156" s="1366"/>
      <c r="BT156" s="1366"/>
      <c r="BU156" s="1366"/>
      <c r="BV156" s="1366"/>
      <c r="BW156" s="1366"/>
      <c r="BX156" s="1366"/>
      <c r="BY156" s="1366"/>
      <c r="BZ156" s="1366"/>
      <c r="CA156" s="1366"/>
      <c r="CB156" s="1366"/>
      <c r="CC156" s="1366"/>
      <c r="CD156" s="1366"/>
      <c r="CE156" s="1366"/>
      <c r="CF156" s="1366"/>
      <c r="CG156" s="1366"/>
      <c r="CH156" s="1366"/>
      <c r="CI156" s="1366"/>
      <c r="CJ156" s="1366"/>
      <c r="CK156" s="1366"/>
      <c r="CL156" s="1366"/>
      <c r="CM156" s="1366"/>
      <c r="CN156" s="1366"/>
      <c r="CO156" s="1366"/>
      <c r="CP156" s="1366"/>
      <c r="CQ156" s="1366"/>
      <c r="CR156" s="1366"/>
      <c r="CS156" s="1366"/>
      <c r="CT156" s="1366"/>
      <c r="CU156" s="1366"/>
      <c r="CV156" s="1366"/>
      <c r="CW156" s="1366"/>
      <c r="CX156" s="1366"/>
      <c r="CY156" s="1366"/>
      <c r="CZ156" s="1366"/>
      <c r="DA156" s="1366"/>
      <c r="DB156" s="1366"/>
      <c r="DC156" s="1366"/>
      <c r="DD156" s="1366"/>
      <c r="DE156" s="1366"/>
      <c r="DF156" s="1366"/>
      <c r="DG156" s="1366"/>
      <c r="DH156" s="1366"/>
      <c r="DI156" s="1366"/>
      <c r="DJ156" s="1366"/>
      <c r="DK156" s="1366"/>
      <c r="DL156" s="1366"/>
      <c r="DM156" s="1366"/>
      <c r="DN156" s="1366"/>
      <c r="DO156" s="1366"/>
      <c r="DP156" s="1366"/>
      <c r="DQ156" s="1366"/>
      <c r="DR156" s="1366"/>
      <c r="DS156" s="1366"/>
      <c r="DT156" s="1366"/>
      <c r="DU156" s="1366"/>
      <c r="DV156" s="1366"/>
    </row>
    <row r="157" spans="1:126" s="1367" customFormat="1" ht="30">
      <c r="A157" s="2494"/>
      <c r="B157" s="1653">
        <v>127</v>
      </c>
      <c r="C157" s="658" t="s">
        <v>49</v>
      </c>
      <c r="D157" s="1375" t="s">
        <v>2180</v>
      </c>
      <c r="E157" s="1364" t="s">
        <v>2097</v>
      </c>
      <c r="F157" s="1364" t="s">
        <v>2108</v>
      </c>
      <c r="G157" s="2088" t="s">
        <v>1796</v>
      </c>
      <c r="H157" s="1361">
        <f>((14*'Equipment Results Matrix'!$R$577)+'Equipment Results Matrix'!$T$583+('Equipment Results Matrix'!$R$576*54000)+'Equipment Results Matrix'!$R$578)*(1+'Equipment Results Matrix'!$T$585)</f>
        <v>2041.7528142650601</v>
      </c>
      <c r="I157" s="2089">
        <f>'Labor Results Matrix'!$E$48</f>
        <v>31.353832233535051</v>
      </c>
      <c r="J157" s="1372">
        <f>'Labor Results Matrix'!$G$49*(1+'Labor Results Matrix'!$K$49)</f>
        <v>91.344003166431989</v>
      </c>
      <c r="K157" s="1416">
        <f t="shared" si="26"/>
        <v>2863.9845508198032</v>
      </c>
      <c r="L157" s="2090">
        <f>((('Labor Results Matrix'!$I$48+'Labor Results Matrix'!$I$50))+'Labor Results Matrix'!$J$48)*(1+'Labor Results Matrix'!$K$49)</f>
        <v>3700.1935622846499</v>
      </c>
      <c r="M157" s="1372">
        <f t="shared" si="25"/>
        <v>8605.9309273695126</v>
      </c>
      <c r="N157" s="1458">
        <f>M157-$M$155</f>
        <v>276.38035919999857</v>
      </c>
      <c r="O157" s="2092"/>
      <c r="P157" s="2093"/>
      <c r="Q157" s="2093"/>
      <c r="R157" s="2093"/>
      <c r="S157" s="2093"/>
      <c r="T157" s="2093"/>
      <c r="U157" s="2093"/>
      <c r="V157" s="2096"/>
      <c r="W157" s="1366"/>
      <c r="X157" s="1366"/>
      <c r="Y157" s="1366"/>
      <c r="Z157" s="1366"/>
      <c r="AA157" s="1366"/>
      <c r="AB157" s="1366"/>
      <c r="AC157" s="1366"/>
      <c r="AD157" s="1366"/>
      <c r="AE157" s="1366"/>
      <c r="AF157" s="1366"/>
      <c r="AG157" s="1366"/>
      <c r="AH157" s="1366"/>
      <c r="AI157" s="1366"/>
      <c r="AJ157" s="1366"/>
      <c r="AK157" s="1366"/>
      <c r="AL157" s="1366"/>
      <c r="AM157" s="1366"/>
      <c r="AN157" s="1366"/>
      <c r="AO157" s="1366"/>
      <c r="AP157" s="1366"/>
      <c r="AQ157" s="1366"/>
      <c r="AR157" s="1366"/>
      <c r="AS157" s="1366"/>
      <c r="AT157" s="1366"/>
      <c r="AU157" s="1366"/>
      <c r="AV157" s="1366"/>
      <c r="AW157" s="1366"/>
      <c r="AX157" s="1366"/>
      <c r="AY157" s="1366"/>
      <c r="AZ157" s="1366"/>
      <c r="BA157" s="1366"/>
      <c r="BB157" s="1366"/>
      <c r="BC157" s="1366"/>
      <c r="BD157" s="1366"/>
      <c r="BE157" s="1366"/>
      <c r="BF157" s="1366"/>
      <c r="BG157" s="1366"/>
      <c r="BH157" s="1366"/>
      <c r="BI157" s="1366"/>
      <c r="BJ157" s="1366"/>
      <c r="BK157" s="1366"/>
      <c r="BL157" s="1366"/>
      <c r="BM157" s="1366"/>
      <c r="BN157" s="1366"/>
      <c r="BO157" s="1366"/>
      <c r="BP157" s="1366"/>
      <c r="BQ157" s="1366"/>
      <c r="BR157" s="1366"/>
      <c r="BS157" s="1366"/>
      <c r="BT157" s="1366"/>
      <c r="BU157" s="1366"/>
      <c r="BV157" s="1366"/>
      <c r="BW157" s="1366"/>
      <c r="BX157" s="1366"/>
      <c r="BY157" s="1366"/>
      <c r="BZ157" s="1366"/>
      <c r="CA157" s="1366"/>
      <c r="CB157" s="1366"/>
      <c r="CC157" s="1366"/>
      <c r="CD157" s="1366"/>
      <c r="CE157" s="1366"/>
      <c r="CF157" s="1366"/>
      <c r="CG157" s="1366"/>
      <c r="CH157" s="1366"/>
      <c r="CI157" s="1366"/>
      <c r="CJ157" s="1366"/>
      <c r="CK157" s="1366"/>
      <c r="CL157" s="1366"/>
      <c r="CM157" s="1366"/>
      <c r="CN157" s="1366"/>
      <c r="CO157" s="1366"/>
      <c r="CP157" s="1366"/>
      <c r="CQ157" s="1366"/>
      <c r="CR157" s="1366"/>
      <c r="CS157" s="1366"/>
      <c r="CT157" s="1366"/>
      <c r="CU157" s="1366"/>
      <c r="CV157" s="1366"/>
      <c r="CW157" s="1366"/>
      <c r="CX157" s="1366"/>
      <c r="CY157" s="1366"/>
      <c r="CZ157" s="1366"/>
      <c r="DA157" s="1366"/>
      <c r="DB157" s="1366"/>
      <c r="DC157" s="1366"/>
      <c r="DD157" s="1366"/>
      <c r="DE157" s="1366"/>
      <c r="DF157" s="1366"/>
      <c r="DG157" s="1366"/>
      <c r="DH157" s="1366"/>
      <c r="DI157" s="1366"/>
      <c r="DJ157" s="1366"/>
      <c r="DK157" s="1366"/>
      <c r="DL157" s="1366"/>
      <c r="DM157" s="1366"/>
      <c r="DN157" s="1366"/>
      <c r="DO157" s="1366"/>
      <c r="DP157" s="1366"/>
      <c r="DQ157" s="1366"/>
      <c r="DR157" s="1366"/>
      <c r="DS157" s="1366"/>
      <c r="DT157" s="1366"/>
      <c r="DU157" s="1366"/>
      <c r="DV157" s="1366"/>
    </row>
    <row r="158" spans="1:126" s="1378" customFormat="1" ht="30">
      <c r="A158" s="2494"/>
      <c r="B158" s="1659">
        <v>128</v>
      </c>
      <c r="C158" s="1668" t="s">
        <v>49</v>
      </c>
      <c r="D158" s="1396" t="s">
        <v>2773</v>
      </c>
      <c r="E158" s="1376" t="s">
        <v>2100</v>
      </c>
      <c r="F158" s="1376" t="s">
        <v>2108</v>
      </c>
      <c r="G158" s="2091" t="s">
        <v>1796</v>
      </c>
      <c r="H158" s="1418">
        <f>((12*'Equipment Results Matrix'!$R$577)+'Equipment Results Matrix'!$T$583+('Equipment Results Matrix'!$R$576*54000)+'Equipment Results Matrix'!$R$578)*(1+'Equipment Results Matrix'!$T$585)</f>
        <v>1488.9920958650605</v>
      </c>
      <c r="I158" s="2094">
        <f>'Labor Results Matrix'!$E$48</f>
        <v>31.353832233535051</v>
      </c>
      <c r="J158" s="1420">
        <f>'Labor Results Matrix'!$G$49*(1+'Labor Results Matrix'!$K$49)</f>
        <v>91.344003166431989</v>
      </c>
      <c r="K158" s="1421">
        <f t="shared" si="26"/>
        <v>2863.9845508198032</v>
      </c>
      <c r="L158" s="2095">
        <f>((('Labor Results Matrix'!$I$48+'Labor Results Matrix'!$I$50))+'Labor Results Matrix'!$J$48)*(1+'Labor Results Matrix'!$K$49)</f>
        <v>3700.1935622846499</v>
      </c>
      <c r="M158" s="1420">
        <f t="shared" si="25"/>
        <v>8053.1702089695136</v>
      </c>
      <c r="N158" s="1456">
        <f t="shared" ref="N158:N159" si="27">M158-$M$155</f>
        <v>-276.38035920000038</v>
      </c>
      <c r="O158" s="2092"/>
      <c r="P158" s="2093"/>
      <c r="Q158" s="2093"/>
      <c r="R158" s="2093"/>
      <c r="S158" s="2093"/>
      <c r="T158" s="2093"/>
      <c r="U158" s="2093"/>
      <c r="V158" s="2096"/>
      <c r="W158" s="1366"/>
      <c r="X158" s="1366"/>
      <c r="Y158" s="1366"/>
      <c r="Z158" s="1366"/>
      <c r="AA158" s="1366"/>
      <c r="AB158" s="1366"/>
      <c r="AC158" s="1366"/>
      <c r="AD158" s="1366"/>
      <c r="AE158" s="1366"/>
      <c r="AF158" s="1366"/>
      <c r="AG158" s="1366"/>
      <c r="AH158" s="1366"/>
      <c r="AI158" s="1366"/>
      <c r="AJ158" s="1366"/>
      <c r="AK158" s="1366"/>
      <c r="AL158" s="1366"/>
      <c r="AM158" s="1366"/>
      <c r="AN158" s="1366"/>
      <c r="AO158" s="1366"/>
      <c r="AP158" s="1366"/>
      <c r="AQ158" s="1366"/>
      <c r="AR158" s="1366"/>
      <c r="AS158" s="1366"/>
      <c r="AT158" s="1366"/>
      <c r="AU158" s="1366"/>
      <c r="AV158" s="1366"/>
      <c r="AW158" s="1366"/>
      <c r="AX158" s="1366"/>
      <c r="AY158" s="1366"/>
      <c r="AZ158" s="1366"/>
      <c r="BA158" s="1366"/>
      <c r="BB158" s="1366"/>
      <c r="BC158" s="1366"/>
      <c r="BD158" s="1366"/>
      <c r="BE158" s="1366"/>
      <c r="BF158" s="1366"/>
      <c r="BG158" s="1366"/>
      <c r="BH158" s="1366"/>
      <c r="BI158" s="1366"/>
      <c r="BJ158" s="1366"/>
      <c r="BK158" s="1366"/>
      <c r="BL158" s="1366"/>
      <c r="BM158" s="1366"/>
      <c r="BN158" s="1366"/>
      <c r="BO158" s="1366"/>
      <c r="BP158" s="1366"/>
      <c r="BQ158" s="1366"/>
      <c r="BR158" s="1366"/>
      <c r="BS158" s="1366"/>
      <c r="BT158" s="1366"/>
      <c r="BU158" s="1366"/>
      <c r="BV158" s="1366"/>
      <c r="BW158" s="1366"/>
      <c r="BX158" s="1366"/>
      <c r="BY158" s="1366"/>
      <c r="BZ158" s="1366"/>
      <c r="CA158" s="1366"/>
      <c r="CB158" s="1366"/>
      <c r="CC158" s="1366"/>
      <c r="CD158" s="1366"/>
      <c r="CE158" s="1366"/>
      <c r="CF158" s="1366"/>
      <c r="CG158" s="1366"/>
      <c r="CH158" s="1366"/>
      <c r="CI158" s="1366"/>
      <c r="CJ158" s="1366"/>
      <c r="CK158" s="1366"/>
      <c r="CL158" s="1366"/>
      <c r="CM158" s="1366"/>
      <c r="CN158" s="1366"/>
      <c r="CO158" s="1366"/>
      <c r="CP158" s="1366"/>
      <c r="CQ158" s="1366"/>
      <c r="CR158" s="1366"/>
      <c r="CS158" s="1366"/>
      <c r="CT158" s="1366"/>
      <c r="CU158" s="1366"/>
      <c r="CV158" s="1366"/>
      <c r="CW158" s="1366"/>
      <c r="CX158" s="1366"/>
      <c r="CY158" s="1366"/>
      <c r="CZ158" s="1366"/>
      <c r="DA158" s="1366"/>
      <c r="DB158" s="1366"/>
      <c r="DC158" s="1366"/>
      <c r="DD158" s="1366"/>
      <c r="DE158" s="1366"/>
      <c r="DF158" s="1366"/>
      <c r="DG158" s="1366"/>
      <c r="DH158" s="1366"/>
      <c r="DI158" s="1366"/>
      <c r="DJ158" s="1366"/>
      <c r="DK158" s="1366"/>
      <c r="DL158" s="1366"/>
      <c r="DM158" s="1366"/>
      <c r="DN158" s="1366"/>
      <c r="DO158" s="1366"/>
      <c r="DP158" s="1366"/>
      <c r="DQ158" s="1366"/>
      <c r="DR158" s="1366"/>
      <c r="DS158" s="1366"/>
      <c r="DT158" s="1366"/>
      <c r="DU158" s="1366"/>
      <c r="DV158" s="1366"/>
    </row>
    <row r="159" spans="1:126" s="1378" customFormat="1" ht="30">
      <c r="A159" s="2494"/>
      <c r="B159" s="1659">
        <v>129</v>
      </c>
      <c r="C159" s="1668" t="s">
        <v>49</v>
      </c>
      <c r="D159" s="1396" t="s">
        <v>2717</v>
      </c>
      <c r="E159" s="1376" t="s">
        <v>2100</v>
      </c>
      <c r="F159" s="1376" t="s">
        <v>2108</v>
      </c>
      <c r="G159" s="2091" t="s">
        <v>1796</v>
      </c>
      <c r="H159" s="1418">
        <f>((13*'Equipment Results Matrix'!$R$577)+'Equipment Results Matrix'!$T$583+('Equipment Results Matrix'!$R$576*54000)+'Equipment Results Matrix'!$R$578)*(1+'Equipment Results Matrix'!$T$585)</f>
        <v>1765.3724550650604</v>
      </c>
      <c r="I159" s="2094">
        <f>'Labor Results Matrix'!$E$48</f>
        <v>31.353832233535051</v>
      </c>
      <c r="J159" s="1420">
        <f>'Labor Results Matrix'!$G$49*(1+'Labor Results Matrix'!$K$49)</f>
        <v>91.344003166431989</v>
      </c>
      <c r="K159" s="1421">
        <f t="shared" si="26"/>
        <v>2863.9845508198032</v>
      </c>
      <c r="L159" s="2095">
        <f>((('Labor Results Matrix'!$I$48+'Labor Results Matrix'!$I$50))+'Labor Results Matrix'!$J$48)*(1+'Labor Results Matrix'!$K$49)</f>
        <v>3700.1935622846499</v>
      </c>
      <c r="M159" s="1420">
        <f t="shared" si="25"/>
        <v>8329.550568169514</v>
      </c>
      <c r="N159" s="1456">
        <f t="shared" si="27"/>
        <v>0</v>
      </c>
      <c r="O159" s="2092"/>
      <c r="P159" s="2093"/>
      <c r="Q159" s="2093"/>
      <c r="R159" s="2093"/>
      <c r="S159" s="2093"/>
      <c r="T159" s="2093"/>
      <c r="U159" s="2093"/>
      <c r="V159" s="2096"/>
      <c r="W159" s="1366"/>
      <c r="X159" s="1366"/>
      <c r="Y159" s="1366"/>
      <c r="Z159" s="1366"/>
      <c r="AA159" s="1366"/>
      <c r="AB159" s="1366"/>
      <c r="AC159" s="1366"/>
      <c r="AD159" s="1366"/>
      <c r="AE159" s="1366"/>
      <c r="AF159" s="1366"/>
      <c r="AG159" s="1366"/>
      <c r="AH159" s="1366"/>
      <c r="AI159" s="1366"/>
      <c r="AJ159" s="1366"/>
      <c r="AK159" s="1366"/>
      <c r="AL159" s="1366"/>
      <c r="AM159" s="1366"/>
      <c r="AN159" s="1366"/>
      <c r="AO159" s="1366"/>
      <c r="AP159" s="1366"/>
      <c r="AQ159" s="1366"/>
      <c r="AR159" s="1366"/>
      <c r="AS159" s="1366"/>
      <c r="AT159" s="1366"/>
      <c r="AU159" s="1366"/>
      <c r="AV159" s="1366"/>
      <c r="AW159" s="1366"/>
      <c r="AX159" s="1366"/>
      <c r="AY159" s="1366"/>
      <c r="AZ159" s="1366"/>
      <c r="BA159" s="1366"/>
      <c r="BB159" s="1366"/>
      <c r="BC159" s="1366"/>
      <c r="BD159" s="1366"/>
      <c r="BE159" s="1366"/>
      <c r="BF159" s="1366"/>
      <c r="BG159" s="1366"/>
      <c r="BH159" s="1366"/>
      <c r="BI159" s="1366"/>
      <c r="BJ159" s="1366"/>
      <c r="BK159" s="1366"/>
      <c r="BL159" s="1366"/>
      <c r="BM159" s="1366"/>
      <c r="BN159" s="1366"/>
      <c r="BO159" s="1366"/>
      <c r="BP159" s="1366"/>
      <c r="BQ159" s="1366"/>
      <c r="BR159" s="1366"/>
      <c r="BS159" s="1366"/>
      <c r="BT159" s="1366"/>
      <c r="BU159" s="1366"/>
      <c r="BV159" s="1366"/>
      <c r="BW159" s="1366"/>
      <c r="BX159" s="1366"/>
      <c r="BY159" s="1366"/>
      <c r="BZ159" s="1366"/>
      <c r="CA159" s="1366"/>
      <c r="CB159" s="1366"/>
      <c r="CC159" s="1366"/>
      <c r="CD159" s="1366"/>
      <c r="CE159" s="1366"/>
      <c r="CF159" s="1366"/>
      <c r="CG159" s="1366"/>
      <c r="CH159" s="1366"/>
      <c r="CI159" s="1366"/>
      <c r="CJ159" s="1366"/>
      <c r="CK159" s="1366"/>
      <c r="CL159" s="1366"/>
      <c r="CM159" s="1366"/>
      <c r="CN159" s="1366"/>
      <c r="CO159" s="1366"/>
      <c r="CP159" s="1366"/>
      <c r="CQ159" s="1366"/>
      <c r="CR159" s="1366"/>
      <c r="CS159" s="1366"/>
      <c r="CT159" s="1366"/>
      <c r="CU159" s="1366"/>
      <c r="CV159" s="1366"/>
      <c r="CW159" s="1366"/>
      <c r="CX159" s="1366"/>
      <c r="CY159" s="1366"/>
      <c r="CZ159" s="1366"/>
      <c r="DA159" s="1366"/>
      <c r="DB159" s="1366"/>
      <c r="DC159" s="1366"/>
      <c r="DD159" s="1366"/>
      <c r="DE159" s="1366"/>
      <c r="DF159" s="1366"/>
      <c r="DG159" s="1366"/>
      <c r="DH159" s="1366"/>
      <c r="DI159" s="1366"/>
      <c r="DJ159" s="1366"/>
      <c r="DK159" s="1366"/>
      <c r="DL159" s="1366"/>
      <c r="DM159" s="1366"/>
      <c r="DN159" s="1366"/>
      <c r="DO159" s="1366"/>
      <c r="DP159" s="1366"/>
      <c r="DQ159" s="1366"/>
      <c r="DR159" s="1366"/>
      <c r="DS159" s="1366"/>
      <c r="DT159" s="1366"/>
      <c r="DU159" s="1366"/>
      <c r="DV159" s="1366"/>
    </row>
    <row r="160" spans="1:126" s="1367" customFormat="1" ht="30">
      <c r="A160" s="2494"/>
      <c r="B160" s="1653">
        <v>130</v>
      </c>
      <c r="C160" s="658" t="s">
        <v>49</v>
      </c>
      <c r="D160" s="1375" t="s">
        <v>2181</v>
      </c>
      <c r="E160" s="1364" t="s">
        <v>2097</v>
      </c>
      <c r="F160" s="1364" t="s">
        <v>2108</v>
      </c>
      <c r="G160" s="2088" t="s">
        <v>1796</v>
      </c>
      <c r="H160" s="1361">
        <f>((14*'Equipment Results Matrix'!$R$577)+'Equipment Results Matrix'!$T$583+('Equipment Results Matrix'!$R$576*54000)+'Equipment Results Matrix'!$R$578)*(1+'Equipment Results Matrix'!$T$585)</f>
        <v>2041.7528142650601</v>
      </c>
      <c r="I160" s="2089">
        <f>'Labor Results Matrix'!$E$48</f>
        <v>31.353832233535051</v>
      </c>
      <c r="J160" s="1372">
        <f>'Labor Results Matrix'!$G$49*(1+'Labor Results Matrix'!$K$49)</f>
        <v>91.344003166431989</v>
      </c>
      <c r="K160" s="1416">
        <f>I160*J160</f>
        <v>2863.9845508198032</v>
      </c>
      <c r="L160" s="2090">
        <f>((('Labor Results Matrix'!$I$48+'Labor Results Matrix'!$I$50))+'Labor Results Matrix'!$J$48)*(1+'Labor Results Matrix'!$K$49)</f>
        <v>3700.1935622846499</v>
      </c>
      <c r="M160" s="1372">
        <f t="shared" si="25"/>
        <v>8605.9309273695126</v>
      </c>
      <c r="N160" s="1458">
        <f>M160-$M$155</f>
        <v>276.38035919999857</v>
      </c>
      <c r="O160" s="2092"/>
      <c r="P160" s="2093"/>
      <c r="Q160" s="2093"/>
      <c r="R160" s="2093"/>
      <c r="S160" s="2093"/>
      <c r="T160" s="2093"/>
      <c r="U160" s="2093"/>
      <c r="V160" s="2096"/>
      <c r="W160" s="1366"/>
      <c r="X160" s="1366"/>
      <c r="Y160" s="1366"/>
      <c r="Z160" s="1366"/>
      <c r="AA160" s="1366"/>
      <c r="AB160" s="1366"/>
      <c r="AC160" s="1366"/>
      <c r="AD160" s="1366"/>
      <c r="AE160" s="1366"/>
      <c r="AF160" s="1366"/>
      <c r="AG160" s="1366"/>
      <c r="AH160" s="1366"/>
      <c r="AI160" s="1366"/>
      <c r="AJ160" s="1366"/>
      <c r="AK160" s="1366"/>
      <c r="AL160" s="1366"/>
      <c r="AM160" s="1366"/>
      <c r="AN160" s="1366"/>
      <c r="AO160" s="1366"/>
      <c r="AP160" s="1366"/>
      <c r="AQ160" s="1366"/>
      <c r="AR160" s="1366"/>
      <c r="AS160" s="1366"/>
      <c r="AT160" s="1366"/>
      <c r="AU160" s="1366"/>
      <c r="AV160" s="1366"/>
      <c r="AW160" s="1366"/>
      <c r="AX160" s="1366"/>
      <c r="AY160" s="1366"/>
      <c r="AZ160" s="1366"/>
      <c r="BA160" s="1366"/>
      <c r="BB160" s="1366"/>
      <c r="BC160" s="1366"/>
      <c r="BD160" s="1366"/>
      <c r="BE160" s="1366"/>
      <c r="BF160" s="1366"/>
      <c r="BG160" s="1366"/>
      <c r="BH160" s="1366"/>
      <c r="BI160" s="1366"/>
      <c r="BJ160" s="1366"/>
      <c r="BK160" s="1366"/>
      <c r="BL160" s="1366"/>
      <c r="BM160" s="1366"/>
      <c r="BN160" s="1366"/>
      <c r="BO160" s="1366"/>
      <c r="BP160" s="1366"/>
      <c r="BQ160" s="1366"/>
      <c r="BR160" s="1366"/>
      <c r="BS160" s="1366"/>
      <c r="BT160" s="1366"/>
      <c r="BU160" s="1366"/>
      <c r="BV160" s="1366"/>
      <c r="BW160" s="1366"/>
      <c r="BX160" s="1366"/>
      <c r="BY160" s="1366"/>
      <c r="BZ160" s="1366"/>
      <c r="CA160" s="1366"/>
      <c r="CB160" s="1366"/>
      <c r="CC160" s="1366"/>
      <c r="CD160" s="1366"/>
      <c r="CE160" s="1366"/>
      <c r="CF160" s="1366"/>
      <c r="CG160" s="1366"/>
      <c r="CH160" s="1366"/>
      <c r="CI160" s="1366"/>
      <c r="CJ160" s="1366"/>
      <c r="CK160" s="1366"/>
      <c r="CL160" s="1366"/>
      <c r="CM160" s="1366"/>
      <c r="CN160" s="1366"/>
      <c r="CO160" s="1366"/>
      <c r="CP160" s="1366"/>
      <c r="CQ160" s="1366"/>
      <c r="CR160" s="1366"/>
      <c r="CS160" s="1366"/>
      <c r="CT160" s="1366"/>
      <c r="CU160" s="1366"/>
      <c r="CV160" s="1366"/>
      <c r="CW160" s="1366"/>
      <c r="CX160" s="1366"/>
      <c r="CY160" s="1366"/>
      <c r="CZ160" s="1366"/>
      <c r="DA160" s="1366"/>
      <c r="DB160" s="1366"/>
      <c r="DC160" s="1366"/>
      <c r="DD160" s="1366"/>
      <c r="DE160" s="1366"/>
      <c r="DF160" s="1366"/>
      <c r="DG160" s="1366"/>
      <c r="DH160" s="1366"/>
      <c r="DI160" s="1366"/>
      <c r="DJ160" s="1366"/>
      <c r="DK160" s="1366"/>
      <c r="DL160" s="1366"/>
      <c r="DM160" s="1366"/>
      <c r="DN160" s="1366"/>
      <c r="DO160" s="1366"/>
      <c r="DP160" s="1366"/>
      <c r="DQ160" s="1366"/>
      <c r="DR160" s="1366"/>
      <c r="DS160" s="1366"/>
      <c r="DT160" s="1366"/>
      <c r="DU160" s="1366"/>
      <c r="DV160" s="1366"/>
    </row>
    <row r="161" spans="1:126" s="1367" customFormat="1" ht="30">
      <c r="A161" s="2494"/>
      <c r="B161" s="1653">
        <v>131</v>
      </c>
      <c r="C161" s="1641" t="s">
        <v>47</v>
      </c>
      <c r="D161" s="1375" t="s">
        <v>2198</v>
      </c>
      <c r="E161" s="1364" t="s">
        <v>2100</v>
      </c>
      <c r="F161" s="1364" t="s">
        <v>2107</v>
      </c>
      <c r="G161" s="2088" t="s">
        <v>1796</v>
      </c>
      <c r="H161" s="1361">
        <f>((13*'Equipment Results Matrix'!$R$577)+'Equipment Results Matrix'!$T$583+('Equipment Results Matrix'!$R$576*48000)+'Equipment Results Matrix'!$R$578)*(1+'Equipment Results Matrix'!$T$585)</f>
        <v>1599.7652550650603</v>
      </c>
      <c r="I161" s="1371">
        <f>'Labor Results Matrix'!$E$51</f>
        <v>7.2557253571689335</v>
      </c>
      <c r="J161" s="1372">
        <f>'Labor Results Matrix'!$G$49*(1+'Labor Results Matrix'!$K$49)</f>
        <v>91.344003166431989</v>
      </c>
      <c r="K161" s="1416">
        <f t="shared" ref="K161:K166" si="28">I161*J161</f>
        <v>662.76699999999994</v>
      </c>
      <c r="L161" s="2090">
        <v>0</v>
      </c>
      <c r="M161" s="1372">
        <f t="shared" si="25"/>
        <v>2262.5322550650603</v>
      </c>
      <c r="N161" s="1458" t="s">
        <v>40</v>
      </c>
      <c r="O161" s="2092"/>
      <c r="P161" s="2093"/>
      <c r="Q161" s="2093"/>
      <c r="R161" s="2093"/>
      <c r="S161" s="2093"/>
      <c r="T161" s="2093"/>
      <c r="U161" s="2093"/>
      <c r="V161" s="2096"/>
      <c r="W161" s="1366"/>
      <c r="X161" s="1366"/>
      <c r="Y161" s="1366"/>
      <c r="Z161" s="1366"/>
      <c r="AA161" s="1366"/>
      <c r="AB161" s="1366"/>
      <c r="AC161" s="1366"/>
      <c r="AD161" s="1366"/>
      <c r="AE161" s="1366"/>
      <c r="AF161" s="1366"/>
      <c r="AG161" s="1366"/>
      <c r="AH161" s="1366"/>
      <c r="AI161" s="1366"/>
      <c r="AJ161" s="1366"/>
      <c r="AK161" s="1366"/>
      <c r="AL161" s="1366"/>
      <c r="AM161" s="1366"/>
      <c r="AN161" s="1366"/>
      <c r="AO161" s="1366"/>
      <c r="AP161" s="1366"/>
      <c r="AQ161" s="1366"/>
      <c r="AR161" s="1366"/>
      <c r="AS161" s="1366"/>
      <c r="AT161" s="1366"/>
      <c r="AU161" s="1366"/>
      <c r="AV161" s="1366"/>
      <c r="AW161" s="1366"/>
      <c r="AX161" s="1366"/>
      <c r="AY161" s="1366"/>
      <c r="AZ161" s="1366"/>
      <c r="BA161" s="1366"/>
      <c r="BB161" s="1366"/>
      <c r="BC161" s="1366"/>
      <c r="BD161" s="1366"/>
      <c r="BE161" s="1366"/>
      <c r="BF161" s="1366"/>
      <c r="BG161" s="1366"/>
      <c r="BH161" s="1366"/>
      <c r="BI161" s="1366"/>
      <c r="BJ161" s="1366"/>
      <c r="BK161" s="1366"/>
      <c r="BL161" s="1366"/>
      <c r="BM161" s="1366"/>
      <c r="BN161" s="1366"/>
      <c r="BO161" s="1366"/>
      <c r="BP161" s="1366"/>
      <c r="BQ161" s="1366"/>
      <c r="BR161" s="1366"/>
      <c r="BS161" s="1366"/>
      <c r="BT161" s="1366"/>
      <c r="BU161" s="1366"/>
      <c r="BV161" s="1366"/>
      <c r="BW161" s="1366"/>
      <c r="BX161" s="1366"/>
      <c r="BY161" s="1366"/>
      <c r="BZ161" s="1366"/>
      <c r="CA161" s="1366"/>
      <c r="CB161" s="1366"/>
      <c r="CC161" s="1366"/>
      <c r="CD161" s="1366"/>
      <c r="CE161" s="1366"/>
      <c r="CF161" s="1366"/>
      <c r="CG161" s="1366"/>
      <c r="CH161" s="1366"/>
      <c r="CI161" s="1366"/>
      <c r="CJ161" s="1366"/>
      <c r="CK161" s="1366"/>
      <c r="CL161" s="1366"/>
      <c r="CM161" s="1366"/>
      <c r="CN161" s="1366"/>
      <c r="CO161" s="1366"/>
      <c r="CP161" s="1366"/>
      <c r="CQ161" s="1366"/>
      <c r="CR161" s="1366"/>
      <c r="CS161" s="1366"/>
      <c r="CT161" s="1366"/>
      <c r="CU161" s="1366"/>
      <c r="CV161" s="1366"/>
      <c r="CW161" s="1366"/>
      <c r="CX161" s="1366"/>
      <c r="CY161" s="1366"/>
      <c r="CZ161" s="1366"/>
      <c r="DA161" s="1366"/>
      <c r="DB161" s="1366"/>
      <c r="DC161" s="1366"/>
      <c r="DD161" s="1366"/>
      <c r="DE161" s="1366"/>
      <c r="DF161" s="1366"/>
      <c r="DG161" s="1366"/>
      <c r="DH161" s="1366"/>
      <c r="DI161" s="1366"/>
      <c r="DJ161" s="1366"/>
      <c r="DK161" s="1366"/>
      <c r="DL161" s="1366"/>
      <c r="DM161" s="1366"/>
      <c r="DN161" s="1366"/>
      <c r="DO161" s="1366"/>
      <c r="DP161" s="1366"/>
      <c r="DQ161" s="1366"/>
      <c r="DR161" s="1366"/>
      <c r="DS161" s="1366"/>
      <c r="DT161" s="1366"/>
      <c r="DU161" s="1366"/>
      <c r="DV161" s="1366"/>
    </row>
    <row r="162" spans="1:126" s="1378" customFormat="1" ht="30">
      <c r="A162" s="2494"/>
      <c r="B162" s="1659">
        <v>131</v>
      </c>
      <c r="C162" s="1668" t="s">
        <v>49</v>
      </c>
      <c r="D162" s="1396" t="s">
        <v>2718</v>
      </c>
      <c r="E162" s="1376" t="s">
        <v>2100</v>
      </c>
      <c r="F162" s="1376" t="s">
        <v>2107</v>
      </c>
      <c r="G162" s="2091" t="s">
        <v>1796</v>
      </c>
      <c r="H162" s="1418">
        <f>((13*'Equipment Results Matrix'!$R$577)+'Equipment Results Matrix'!$T$583+('Equipment Results Matrix'!$R$576*48000)+'Equipment Results Matrix'!$R$578)*(1+'Equipment Results Matrix'!$T$585)</f>
        <v>1599.7652550650603</v>
      </c>
      <c r="I162" s="2071">
        <f>'Labor Results Matrix'!$E$51</f>
        <v>7.2557253571689335</v>
      </c>
      <c r="J162" s="1420">
        <f>'Labor Results Matrix'!$G$49*(1+'Labor Results Matrix'!$K$49)</f>
        <v>91.344003166431989</v>
      </c>
      <c r="K162" s="1421">
        <f t="shared" si="28"/>
        <v>662.76699999999994</v>
      </c>
      <c r="L162" s="2095">
        <v>0</v>
      </c>
      <c r="M162" s="1420">
        <f t="shared" si="25"/>
        <v>2262.5322550650603</v>
      </c>
      <c r="N162" s="1456">
        <f>M162-M161</f>
        <v>0</v>
      </c>
      <c r="O162" s="2092"/>
      <c r="P162" s="2093"/>
      <c r="Q162" s="2093"/>
      <c r="R162" s="2093"/>
      <c r="S162" s="2093"/>
      <c r="T162" s="2093"/>
      <c r="U162" s="2093"/>
      <c r="V162" s="2096"/>
      <c r="W162" s="1366"/>
      <c r="X162" s="1366"/>
      <c r="Y162" s="1366"/>
      <c r="Z162" s="1366"/>
      <c r="AA162" s="1366"/>
      <c r="AB162" s="1366"/>
      <c r="AC162" s="1366"/>
      <c r="AD162" s="1366"/>
      <c r="AE162" s="1366"/>
      <c r="AF162" s="1366"/>
      <c r="AG162" s="1366"/>
      <c r="AH162" s="1366"/>
      <c r="AI162" s="1366"/>
      <c r="AJ162" s="1366"/>
      <c r="AK162" s="1366"/>
      <c r="AL162" s="1366"/>
      <c r="AM162" s="1366"/>
      <c r="AN162" s="1366"/>
      <c r="AO162" s="1366"/>
      <c r="AP162" s="1366"/>
      <c r="AQ162" s="1366"/>
      <c r="AR162" s="1366"/>
      <c r="AS162" s="1366"/>
      <c r="AT162" s="1366"/>
      <c r="AU162" s="1366"/>
      <c r="AV162" s="1366"/>
      <c r="AW162" s="1366"/>
      <c r="AX162" s="1366"/>
      <c r="AY162" s="1366"/>
      <c r="AZ162" s="1366"/>
      <c r="BA162" s="1366"/>
      <c r="BB162" s="1366"/>
      <c r="BC162" s="1366"/>
      <c r="BD162" s="1366"/>
      <c r="BE162" s="1366"/>
      <c r="BF162" s="1366"/>
      <c r="BG162" s="1366"/>
      <c r="BH162" s="1366"/>
      <c r="BI162" s="1366"/>
      <c r="BJ162" s="1366"/>
      <c r="BK162" s="1366"/>
      <c r="BL162" s="1366"/>
      <c r="BM162" s="1366"/>
      <c r="BN162" s="1366"/>
      <c r="BO162" s="1366"/>
      <c r="BP162" s="1366"/>
      <c r="BQ162" s="1366"/>
      <c r="BR162" s="1366"/>
      <c r="BS162" s="1366"/>
      <c r="BT162" s="1366"/>
      <c r="BU162" s="1366"/>
      <c r="BV162" s="1366"/>
      <c r="BW162" s="1366"/>
      <c r="BX162" s="1366"/>
      <c r="BY162" s="1366"/>
      <c r="BZ162" s="1366"/>
      <c r="CA162" s="1366"/>
      <c r="CB162" s="1366"/>
      <c r="CC162" s="1366"/>
      <c r="CD162" s="1366"/>
      <c r="CE162" s="1366"/>
      <c r="CF162" s="1366"/>
      <c r="CG162" s="1366"/>
      <c r="CH162" s="1366"/>
      <c r="CI162" s="1366"/>
      <c r="CJ162" s="1366"/>
      <c r="CK162" s="1366"/>
      <c r="CL162" s="1366"/>
      <c r="CM162" s="1366"/>
      <c r="CN162" s="1366"/>
      <c r="CO162" s="1366"/>
      <c r="CP162" s="1366"/>
      <c r="CQ162" s="1366"/>
      <c r="CR162" s="1366"/>
      <c r="CS162" s="1366"/>
      <c r="CT162" s="1366"/>
      <c r="CU162" s="1366"/>
      <c r="CV162" s="1366"/>
      <c r="CW162" s="1366"/>
      <c r="CX162" s="1366"/>
      <c r="CY162" s="1366"/>
      <c r="CZ162" s="1366"/>
      <c r="DA162" s="1366"/>
      <c r="DB162" s="1366"/>
      <c r="DC162" s="1366"/>
      <c r="DD162" s="1366"/>
      <c r="DE162" s="1366"/>
      <c r="DF162" s="1366"/>
      <c r="DG162" s="1366"/>
      <c r="DH162" s="1366"/>
      <c r="DI162" s="1366"/>
      <c r="DJ162" s="1366"/>
      <c r="DK162" s="1366"/>
      <c r="DL162" s="1366"/>
      <c r="DM162" s="1366"/>
      <c r="DN162" s="1366"/>
      <c r="DO162" s="1366"/>
      <c r="DP162" s="1366"/>
      <c r="DQ162" s="1366"/>
      <c r="DR162" s="1366"/>
      <c r="DS162" s="1366"/>
      <c r="DT162" s="1366"/>
      <c r="DU162" s="1366"/>
      <c r="DV162" s="1366"/>
    </row>
    <row r="163" spans="1:126" s="1367" customFormat="1" ht="45">
      <c r="A163" s="2494"/>
      <c r="B163" s="1653">
        <v>132</v>
      </c>
      <c r="C163" s="1641" t="s">
        <v>47</v>
      </c>
      <c r="D163" s="1375" t="s">
        <v>2199</v>
      </c>
      <c r="E163" s="1364" t="s">
        <v>2100</v>
      </c>
      <c r="F163" s="1364" t="s">
        <v>2108</v>
      </c>
      <c r="G163" s="2088" t="s">
        <v>1796</v>
      </c>
      <c r="H163" s="1361">
        <f>((13*'Equipment Results Matrix'!$R$577)+'Equipment Results Matrix'!$T$583+('Equipment Results Matrix'!$R$576*60000)+'Equipment Results Matrix'!$R$578)*(1+'Equipment Results Matrix'!$T$585)</f>
        <v>1930.9796550650601</v>
      </c>
      <c r="I163" s="2089">
        <f>'Labor Results Matrix'!$E$48</f>
        <v>31.353832233535051</v>
      </c>
      <c r="J163" s="1372">
        <f>'Labor Results Matrix'!$G$49*(1+'Labor Results Matrix'!$K$49)</f>
        <v>91.344003166431989</v>
      </c>
      <c r="K163" s="1416">
        <f t="shared" si="28"/>
        <v>2863.9845508198032</v>
      </c>
      <c r="L163" s="2090">
        <f>((('Labor Results Matrix'!$I$48+'Labor Results Matrix'!$I$50))+'Labor Results Matrix'!$J$48)*(1+'Labor Results Matrix'!$K$49)</f>
        <v>3700.1935622846499</v>
      </c>
      <c r="M163" s="1372">
        <f t="shared" si="25"/>
        <v>8495.1577681695126</v>
      </c>
      <c r="N163" s="1458" t="s">
        <v>40</v>
      </c>
      <c r="O163" s="2092"/>
      <c r="P163" s="2093"/>
      <c r="Q163" s="2093"/>
      <c r="R163" s="2093"/>
      <c r="S163" s="2093"/>
      <c r="T163" s="2093"/>
      <c r="U163" s="2093"/>
      <c r="V163" s="2096"/>
      <c r="W163" s="1366"/>
      <c r="X163" s="1366"/>
      <c r="Y163" s="1366"/>
      <c r="Z163" s="1366"/>
      <c r="AA163" s="1366"/>
      <c r="AB163" s="1366"/>
      <c r="AC163" s="1366"/>
      <c r="AD163" s="1366"/>
      <c r="AE163" s="1366"/>
      <c r="AF163" s="1366"/>
      <c r="AG163" s="1366"/>
      <c r="AH163" s="1366"/>
      <c r="AI163" s="1366"/>
      <c r="AJ163" s="1366"/>
      <c r="AK163" s="1366"/>
      <c r="AL163" s="1366"/>
      <c r="AM163" s="1366"/>
      <c r="AN163" s="1366"/>
      <c r="AO163" s="1366"/>
      <c r="AP163" s="1366"/>
      <c r="AQ163" s="1366"/>
      <c r="AR163" s="1366"/>
      <c r="AS163" s="1366"/>
      <c r="AT163" s="1366"/>
      <c r="AU163" s="1366"/>
      <c r="AV163" s="1366"/>
      <c r="AW163" s="1366"/>
      <c r="AX163" s="1366"/>
      <c r="AY163" s="1366"/>
      <c r="AZ163" s="1366"/>
      <c r="BA163" s="1366"/>
      <c r="BB163" s="1366"/>
      <c r="BC163" s="1366"/>
      <c r="BD163" s="1366"/>
      <c r="BE163" s="1366"/>
      <c r="BF163" s="1366"/>
      <c r="BG163" s="1366"/>
      <c r="BH163" s="1366"/>
      <c r="BI163" s="1366"/>
      <c r="BJ163" s="1366"/>
      <c r="BK163" s="1366"/>
      <c r="BL163" s="1366"/>
      <c r="BM163" s="1366"/>
      <c r="BN163" s="1366"/>
      <c r="BO163" s="1366"/>
      <c r="BP163" s="1366"/>
      <c r="BQ163" s="1366"/>
      <c r="BR163" s="1366"/>
      <c r="BS163" s="1366"/>
      <c r="BT163" s="1366"/>
      <c r="BU163" s="1366"/>
      <c r="BV163" s="1366"/>
      <c r="BW163" s="1366"/>
      <c r="BX163" s="1366"/>
      <c r="BY163" s="1366"/>
      <c r="BZ163" s="1366"/>
      <c r="CA163" s="1366"/>
      <c r="CB163" s="1366"/>
      <c r="CC163" s="1366"/>
      <c r="CD163" s="1366"/>
      <c r="CE163" s="1366"/>
      <c r="CF163" s="1366"/>
      <c r="CG163" s="1366"/>
      <c r="CH163" s="1366"/>
      <c r="CI163" s="1366"/>
      <c r="CJ163" s="1366"/>
      <c r="CK163" s="1366"/>
      <c r="CL163" s="1366"/>
      <c r="CM163" s="1366"/>
      <c r="CN163" s="1366"/>
      <c r="CO163" s="1366"/>
      <c r="CP163" s="1366"/>
      <c r="CQ163" s="1366"/>
      <c r="CR163" s="1366"/>
      <c r="CS163" s="1366"/>
      <c r="CT163" s="1366"/>
      <c r="CU163" s="1366"/>
      <c r="CV163" s="1366"/>
      <c r="CW163" s="1366"/>
      <c r="CX163" s="1366"/>
      <c r="CY163" s="1366"/>
      <c r="CZ163" s="1366"/>
      <c r="DA163" s="1366"/>
      <c r="DB163" s="1366"/>
      <c r="DC163" s="1366"/>
      <c r="DD163" s="1366"/>
      <c r="DE163" s="1366"/>
      <c r="DF163" s="1366"/>
      <c r="DG163" s="1366"/>
      <c r="DH163" s="1366"/>
      <c r="DI163" s="1366"/>
      <c r="DJ163" s="1366"/>
      <c r="DK163" s="1366"/>
      <c r="DL163" s="1366"/>
      <c r="DM163" s="1366"/>
      <c r="DN163" s="1366"/>
      <c r="DO163" s="1366"/>
      <c r="DP163" s="1366"/>
      <c r="DQ163" s="1366"/>
      <c r="DR163" s="1366"/>
      <c r="DS163" s="1366"/>
      <c r="DT163" s="1366"/>
      <c r="DU163" s="1366"/>
      <c r="DV163" s="1366"/>
    </row>
    <row r="164" spans="1:126" s="1378" customFormat="1" ht="45">
      <c r="A164" s="2494"/>
      <c r="B164" s="1659">
        <v>132</v>
      </c>
      <c r="C164" s="1668" t="s">
        <v>49</v>
      </c>
      <c r="D164" s="1396" t="s">
        <v>2719</v>
      </c>
      <c r="E164" s="1376" t="s">
        <v>2100</v>
      </c>
      <c r="F164" s="1376" t="s">
        <v>2108</v>
      </c>
      <c r="G164" s="2091" t="s">
        <v>1796</v>
      </c>
      <c r="H164" s="1418">
        <f>((13*'Equipment Results Matrix'!$R$577)+'Equipment Results Matrix'!$T$583+('Equipment Results Matrix'!$R$576*60000)+'Equipment Results Matrix'!$R$578)*(1+'Equipment Results Matrix'!$T$585)</f>
        <v>1930.9796550650601</v>
      </c>
      <c r="I164" s="2094">
        <f>'Labor Results Matrix'!$E$48</f>
        <v>31.353832233535051</v>
      </c>
      <c r="J164" s="1420">
        <f>'Labor Results Matrix'!$G$49*(1+'Labor Results Matrix'!$K$49)</f>
        <v>91.344003166431989</v>
      </c>
      <c r="K164" s="1421">
        <f t="shared" si="28"/>
        <v>2863.9845508198032</v>
      </c>
      <c r="L164" s="2095">
        <f>((('Labor Results Matrix'!$I$48+'Labor Results Matrix'!$I$50))+'Labor Results Matrix'!$J$48)*(1+'Labor Results Matrix'!$K$49)</f>
        <v>3700.1935622846499</v>
      </c>
      <c r="M164" s="1420">
        <f t="shared" si="25"/>
        <v>8495.1577681695126</v>
      </c>
      <c r="N164" s="1456">
        <f>M164-M163</f>
        <v>0</v>
      </c>
      <c r="O164" s="2092"/>
      <c r="P164" s="2093"/>
      <c r="Q164" s="2093"/>
      <c r="R164" s="2093"/>
      <c r="S164" s="2093"/>
      <c r="T164" s="2093"/>
      <c r="U164" s="2093"/>
      <c r="V164" s="2096"/>
      <c r="W164" s="1366"/>
      <c r="X164" s="1366"/>
      <c r="Y164" s="1366"/>
      <c r="Z164" s="1366"/>
      <c r="AA164" s="1366"/>
      <c r="AB164" s="1366"/>
      <c r="AC164" s="1366"/>
      <c r="AD164" s="1366"/>
      <c r="AE164" s="1366"/>
      <c r="AF164" s="1366"/>
      <c r="AG164" s="1366"/>
      <c r="AH164" s="1366"/>
      <c r="AI164" s="1366"/>
      <c r="AJ164" s="1366"/>
      <c r="AK164" s="1366"/>
      <c r="AL164" s="1366"/>
      <c r="AM164" s="1366"/>
      <c r="AN164" s="1366"/>
      <c r="AO164" s="1366"/>
      <c r="AP164" s="1366"/>
      <c r="AQ164" s="1366"/>
      <c r="AR164" s="1366"/>
      <c r="AS164" s="1366"/>
      <c r="AT164" s="1366"/>
      <c r="AU164" s="1366"/>
      <c r="AV164" s="1366"/>
      <c r="AW164" s="1366"/>
      <c r="AX164" s="1366"/>
      <c r="AY164" s="1366"/>
      <c r="AZ164" s="1366"/>
      <c r="BA164" s="1366"/>
      <c r="BB164" s="1366"/>
      <c r="BC164" s="1366"/>
      <c r="BD164" s="1366"/>
      <c r="BE164" s="1366"/>
      <c r="BF164" s="1366"/>
      <c r="BG164" s="1366"/>
      <c r="BH164" s="1366"/>
      <c r="BI164" s="1366"/>
      <c r="BJ164" s="1366"/>
      <c r="BK164" s="1366"/>
      <c r="BL164" s="1366"/>
      <c r="BM164" s="1366"/>
      <c r="BN164" s="1366"/>
      <c r="BO164" s="1366"/>
      <c r="BP164" s="1366"/>
      <c r="BQ164" s="1366"/>
      <c r="BR164" s="1366"/>
      <c r="BS164" s="1366"/>
      <c r="BT164" s="1366"/>
      <c r="BU164" s="1366"/>
      <c r="BV164" s="1366"/>
      <c r="BW164" s="1366"/>
      <c r="BX164" s="1366"/>
      <c r="BY164" s="1366"/>
      <c r="BZ164" s="1366"/>
      <c r="CA164" s="1366"/>
      <c r="CB164" s="1366"/>
      <c r="CC164" s="1366"/>
      <c r="CD164" s="1366"/>
      <c r="CE164" s="1366"/>
      <c r="CF164" s="1366"/>
      <c r="CG164" s="1366"/>
      <c r="CH164" s="1366"/>
      <c r="CI164" s="1366"/>
      <c r="CJ164" s="1366"/>
      <c r="CK164" s="1366"/>
      <c r="CL164" s="1366"/>
      <c r="CM164" s="1366"/>
      <c r="CN164" s="1366"/>
      <c r="CO164" s="1366"/>
      <c r="CP164" s="1366"/>
      <c r="CQ164" s="1366"/>
      <c r="CR164" s="1366"/>
      <c r="CS164" s="1366"/>
      <c r="CT164" s="1366"/>
      <c r="CU164" s="1366"/>
      <c r="CV164" s="1366"/>
      <c r="CW164" s="1366"/>
      <c r="CX164" s="1366"/>
      <c r="CY164" s="1366"/>
      <c r="CZ164" s="1366"/>
      <c r="DA164" s="1366"/>
      <c r="DB164" s="1366"/>
      <c r="DC164" s="1366"/>
      <c r="DD164" s="1366"/>
      <c r="DE164" s="1366"/>
      <c r="DF164" s="1366"/>
      <c r="DG164" s="1366"/>
      <c r="DH164" s="1366"/>
      <c r="DI164" s="1366"/>
      <c r="DJ164" s="1366"/>
      <c r="DK164" s="1366"/>
      <c r="DL164" s="1366"/>
      <c r="DM164" s="1366"/>
      <c r="DN164" s="1366"/>
      <c r="DO164" s="1366"/>
      <c r="DP164" s="1366"/>
      <c r="DQ164" s="1366"/>
      <c r="DR164" s="1366"/>
      <c r="DS164" s="1366"/>
      <c r="DT164" s="1366"/>
      <c r="DU164" s="1366"/>
      <c r="DV164" s="1366"/>
    </row>
    <row r="165" spans="1:126" s="1382" customFormat="1" ht="45">
      <c r="A165" s="2494"/>
      <c r="B165" s="1657">
        <v>133</v>
      </c>
      <c r="C165" s="1641" t="s">
        <v>47</v>
      </c>
      <c r="D165" s="1379" t="s">
        <v>2720</v>
      </c>
      <c r="E165" s="1365" t="s">
        <v>2097</v>
      </c>
      <c r="F165" s="1365" t="s">
        <v>2108</v>
      </c>
      <c r="G165" s="2088" t="s">
        <v>1796</v>
      </c>
      <c r="H165" s="1433">
        <f>((14*'Equipment Results Matrix'!$R$577)+'Equipment Results Matrix'!$T$583+('Equipment Results Matrix'!$R$576*60000)+'Equipment Results Matrix'!$R$578)*(1+'Equipment Results Matrix'!$T$585)</f>
        <v>2207.3600142650598</v>
      </c>
      <c r="I165" s="2089">
        <f>'Labor Results Matrix'!$E$48</f>
        <v>31.353832233535051</v>
      </c>
      <c r="J165" s="1372">
        <f>'Labor Results Matrix'!$G$49*(1+'Labor Results Matrix'!$K$49)</f>
        <v>91.344003166431989</v>
      </c>
      <c r="K165" s="1416">
        <f t="shared" si="28"/>
        <v>2863.9845508198032</v>
      </c>
      <c r="L165" s="2090">
        <f>((('Labor Results Matrix'!$I$48+'Labor Results Matrix'!$I$50))+'Labor Results Matrix'!$J$48)*(1+'Labor Results Matrix'!$K$49)</f>
        <v>3700.1935622846499</v>
      </c>
      <c r="M165" s="1388">
        <f t="shared" si="25"/>
        <v>8771.5381273695129</v>
      </c>
      <c r="N165" s="1462" t="s">
        <v>40</v>
      </c>
      <c r="O165" s="2092"/>
      <c r="P165" s="2093"/>
      <c r="Q165" s="2093"/>
      <c r="R165" s="2093"/>
      <c r="S165" s="2093"/>
      <c r="T165" s="2093"/>
      <c r="U165" s="2093"/>
      <c r="V165" s="2096"/>
      <c r="W165" s="1366"/>
      <c r="X165" s="1366"/>
      <c r="Y165" s="1366"/>
      <c r="Z165" s="1366"/>
      <c r="AA165" s="1366"/>
      <c r="AB165" s="1366"/>
      <c r="AC165" s="1366"/>
      <c r="AD165" s="1366"/>
      <c r="AE165" s="1366"/>
      <c r="AF165" s="1366"/>
      <c r="AG165" s="1366"/>
      <c r="AH165" s="1366"/>
      <c r="AI165" s="1366"/>
      <c r="AJ165" s="1366"/>
      <c r="AK165" s="1366"/>
      <c r="AL165" s="1366"/>
      <c r="AM165" s="1366"/>
      <c r="AN165" s="1366"/>
      <c r="AO165" s="1366"/>
      <c r="AP165" s="1366"/>
      <c r="AQ165" s="1366"/>
      <c r="AR165" s="1366"/>
      <c r="AS165" s="1366"/>
      <c r="AT165" s="1366"/>
      <c r="AU165" s="1366"/>
      <c r="AV165" s="1366"/>
      <c r="AW165" s="1366"/>
      <c r="AX165" s="1366"/>
      <c r="AY165" s="1366"/>
      <c r="AZ165" s="1366"/>
      <c r="BA165" s="1366"/>
      <c r="BB165" s="1366"/>
      <c r="BC165" s="1366"/>
      <c r="BD165" s="1366"/>
      <c r="BE165" s="1366"/>
      <c r="BF165" s="1366"/>
      <c r="BG165" s="1366"/>
      <c r="BH165" s="1366"/>
      <c r="BI165" s="1366"/>
      <c r="BJ165" s="1366"/>
      <c r="BK165" s="1366"/>
      <c r="BL165" s="1366"/>
      <c r="BM165" s="1366"/>
      <c r="BN165" s="1366"/>
      <c r="BO165" s="1366"/>
      <c r="BP165" s="1366"/>
      <c r="BQ165" s="1366"/>
      <c r="BR165" s="1366"/>
      <c r="BS165" s="1366"/>
      <c r="BT165" s="1366"/>
      <c r="BU165" s="1366"/>
      <c r="BV165" s="1366"/>
      <c r="BW165" s="1366"/>
      <c r="BX165" s="1366"/>
      <c r="BY165" s="1366"/>
      <c r="BZ165" s="1366"/>
      <c r="CA165" s="1366"/>
      <c r="CB165" s="1366"/>
      <c r="CC165" s="1366"/>
      <c r="CD165" s="1366"/>
      <c r="CE165" s="1366"/>
      <c r="CF165" s="1366"/>
      <c r="CG165" s="1366"/>
      <c r="CH165" s="1366"/>
      <c r="CI165" s="1366"/>
      <c r="CJ165" s="1366"/>
      <c r="CK165" s="1366"/>
      <c r="CL165" s="1366"/>
      <c r="CM165" s="1366"/>
      <c r="CN165" s="1366"/>
      <c r="CO165" s="1366"/>
      <c r="CP165" s="1366"/>
      <c r="CQ165" s="1366"/>
      <c r="CR165" s="1366"/>
      <c r="CS165" s="1366"/>
      <c r="CT165" s="1366"/>
      <c r="CU165" s="1366"/>
      <c r="CV165" s="1366"/>
      <c r="CW165" s="1366"/>
      <c r="CX165" s="1366"/>
      <c r="CY165" s="1366"/>
      <c r="CZ165" s="1366"/>
      <c r="DA165" s="1366"/>
      <c r="DB165" s="1366"/>
      <c r="DC165" s="1366"/>
      <c r="DD165" s="1366"/>
      <c r="DE165" s="1366"/>
      <c r="DF165" s="1366"/>
      <c r="DG165" s="1366"/>
      <c r="DH165" s="1366"/>
      <c r="DI165" s="1366"/>
      <c r="DJ165" s="1366"/>
      <c r="DK165" s="1366"/>
      <c r="DL165" s="1366"/>
      <c r="DM165" s="1366"/>
      <c r="DN165" s="1366"/>
      <c r="DO165" s="1366"/>
      <c r="DP165" s="1366"/>
      <c r="DQ165" s="1366"/>
      <c r="DR165" s="1366"/>
      <c r="DS165" s="1366"/>
      <c r="DT165" s="1366"/>
      <c r="DU165" s="1366"/>
      <c r="DV165" s="1366"/>
    </row>
    <row r="166" spans="1:126" s="1378" customFormat="1" ht="45">
      <c r="A166" s="2494"/>
      <c r="B166" s="1659">
        <v>133</v>
      </c>
      <c r="C166" s="1668" t="s">
        <v>49</v>
      </c>
      <c r="D166" s="1396" t="s">
        <v>2721</v>
      </c>
      <c r="E166" s="1376" t="s">
        <v>2097</v>
      </c>
      <c r="F166" s="1376" t="s">
        <v>2108</v>
      </c>
      <c r="G166" s="2091" t="s">
        <v>1796</v>
      </c>
      <c r="H166" s="1418">
        <f>((14*'Equipment Results Matrix'!$R$577)+'Equipment Results Matrix'!$T$583+('Equipment Results Matrix'!$R$576*60000)+'Equipment Results Matrix'!$R$578)*(1+'Equipment Results Matrix'!$T$585)</f>
        <v>2207.3600142650598</v>
      </c>
      <c r="I166" s="2094">
        <f>'Labor Results Matrix'!$E$48</f>
        <v>31.353832233535051</v>
      </c>
      <c r="J166" s="1420">
        <f>'Labor Results Matrix'!$G$49*(1+'Labor Results Matrix'!$K$49)</f>
        <v>91.344003166431989</v>
      </c>
      <c r="K166" s="1421">
        <f t="shared" si="28"/>
        <v>2863.9845508198032</v>
      </c>
      <c r="L166" s="2095">
        <f>((('Labor Results Matrix'!$I$48+'Labor Results Matrix'!$I$50))+'Labor Results Matrix'!$J$48)*(1+'Labor Results Matrix'!$K$49)</f>
        <v>3700.1935622846499</v>
      </c>
      <c r="M166" s="1420">
        <f t="shared" si="25"/>
        <v>8771.5381273695129</v>
      </c>
      <c r="N166" s="1456">
        <f>M166-M165</f>
        <v>0</v>
      </c>
      <c r="O166" s="2092"/>
      <c r="P166" s="2093"/>
      <c r="Q166" s="2093"/>
      <c r="R166" s="2093"/>
      <c r="S166" s="2093"/>
      <c r="T166" s="2093"/>
      <c r="U166" s="2093"/>
      <c r="V166" s="2096"/>
      <c r="W166" s="1366"/>
      <c r="X166" s="1366"/>
      <c r="Y166" s="1366"/>
      <c r="Z166" s="1366"/>
      <c r="AA166" s="1366"/>
      <c r="AB166" s="1366"/>
      <c r="AC166" s="1366"/>
      <c r="AD166" s="1366"/>
      <c r="AE166" s="1366"/>
      <c r="AF166" s="1366"/>
      <c r="AG166" s="1366"/>
      <c r="AH166" s="1366"/>
      <c r="AI166" s="1366"/>
      <c r="AJ166" s="1366"/>
      <c r="AK166" s="1366"/>
      <c r="AL166" s="1366"/>
      <c r="AM166" s="1366"/>
      <c r="AN166" s="1366"/>
      <c r="AO166" s="1366"/>
      <c r="AP166" s="1366"/>
      <c r="AQ166" s="1366"/>
      <c r="AR166" s="1366"/>
      <c r="AS166" s="1366"/>
      <c r="AT166" s="1366"/>
      <c r="AU166" s="1366"/>
      <c r="AV166" s="1366"/>
      <c r="AW166" s="1366"/>
      <c r="AX166" s="1366"/>
      <c r="AY166" s="1366"/>
      <c r="AZ166" s="1366"/>
      <c r="BA166" s="1366"/>
      <c r="BB166" s="1366"/>
      <c r="BC166" s="1366"/>
      <c r="BD166" s="1366"/>
      <c r="BE166" s="1366"/>
      <c r="BF166" s="1366"/>
      <c r="BG166" s="1366"/>
      <c r="BH166" s="1366"/>
      <c r="BI166" s="1366"/>
      <c r="BJ166" s="1366"/>
      <c r="BK166" s="1366"/>
      <c r="BL166" s="1366"/>
      <c r="BM166" s="1366"/>
      <c r="BN166" s="1366"/>
      <c r="BO166" s="1366"/>
      <c r="BP166" s="1366"/>
      <c r="BQ166" s="1366"/>
      <c r="BR166" s="1366"/>
      <c r="BS166" s="1366"/>
      <c r="BT166" s="1366"/>
      <c r="BU166" s="1366"/>
      <c r="BV166" s="1366"/>
      <c r="BW166" s="1366"/>
      <c r="BX166" s="1366"/>
      <c r="BY166" s="1366"/>
      <c r="BZ166" s="1366"/>
      <c r="CA166" s="1366"/>
      <c r="CB166" s="1366"/>
      <c r="CC166" s="1366"/>
      <c r="CD166" s="1366"/>
      <c r="CE166" s="1366"/>
      <c r="CF166" s="1366"/>
      <c r="CG166" s="1366"/>
      <c r="CH166" s="1366"/>
      <c r="CI166" s="1366"/>
      <c r="CJ166" s="1366"/>
      <c r="CK166" s="1366"/>
      <c r="CL166" s="1366"/>
      <c r="CM166" s="1366"/>
      <c r="CN166" s="1366"/>
      <c r="CO166" s="1366"/>
      <c r="CP166" s="1366"/>
      <c r="CQ166" s="1366"/>
      <c r="CR166" s="1366"/>
      <c r="CS166" s="1366"/>
      <c r="CT166" s="1366"/>
      <c r="CU166" s="1366"/>
      <c r="CV166" s="1366"/>
      <c r="CW166" s="1366"/>
      <c r="CX166" s="1366"/>
      <c r="CY166" s="1366"/>
      <c r="CZ166" s="1366"/>
      <c r="DA166" s="1366"/>
      <c r="DB166" s="1366"/>
      <c r="DC166" s="1366"/>
      <c r="DD166" s="1366"/>
      <c r="DE166" s="1366"/>
      <c r="DF166" s="1366"/>
      <c r="DG166" s="1366"/>
      <c r="DH166" s="1366"/>
      <c r="DI166" s="1366"/>
      <c r="DJ166" s="1366"/>
      <c r="DK166" s="1366"/>
      <c r="DL166" s="1366"/>
      <c r="DM166" s="1366"/>
      <c r="DN166" s="1366"/>
      <c r="DO166" s="1366"/>
      <c r="DP166" s="1366"/>
      <c r="DQ166" s="1366"/>
      <c r="DR166" s="1366"/>
      <c r="DS166" s="1366"/>
      <c r="DT166" s="1366"/>
      <c r="DU166" s="1366"/>
      <c r="DV166" s="1366"/>
    </row>
    <row r="167" spans="1:126" s="1382" customFormat="1" ht="30">
      <c r="A167" s="2494"/>
      <c r="B167" s="1657" t="s">
        <v>2178</v>
      </c>
      <c r="C167" s="1641" t="s">
        <v>47</v>
      </c>
      <c r="D167" s="1375" t="s">
        <v>2182</v>
      </c>
      <c r="E167" s="1364" t="s">
        <v>2097</v>
      </c>
      <c r="F167" s="1364" t="s">
        <v>2107</v>
      </c>
      <c r="G167" s="2088" t="s">
        <v>1796</v>
      </c>
      <c r="H167" s="1361">
        <f>((13*'Equipment Results Matrix'!$R$577)+'Equipment Results Matrix'!$T$583+('Equipment Results Matrix'!$R$576*36000)+'Equipment Results Matrix'!$R$578)*(1+'Equipment Results Matrix'!$T$585)</f>
        <v>1268.5508550650604</v>
      </c>
      <c r="I167" s="2089">
        <f>'Labor Results Matrix'!$E$51</f>
        <v>7.2557253571689335</v>
      </c>
      <c r="J167" s="1372">
        <f>'Labor Results Matrix'!$G$49*(1+'Labor Results Matrix'!$K$49)</f>
        <v>91.344003166431989</v>
      </c>
      <c r="K167" s="1416">
        <f>I167*J167</f>
        <v>662.76699999999994</v>
      </c>
      <c r="L167" s="1372">
        <v>0</v>
      </c>
      <c r="M167" s="1372">
        <f t="shared" si="25"/>
        <v>1931.3178550650605</v>
      </c>
      <c r="N167" s="1462" t="s">
        <v>40</v>
      </c>
      <c r="O167" s="2092"/>
      <c r="P167" s="2093"/>
      <c r="Q167" s="2093"/>
      <c r="R167" s="2093"/>
      <c r="S167" s="2093"/>
      <c r="T167" s="2093"/>
      <c r="U167" s="2093"/>
      <c r="V167" s="2096"/>
      <c r="W167" s="1366"/>
      <c r="X167" s="1366"/>
      <c r="Y167" s="1366"/>
      <c r="Z167" s="1366"/>
      <c r="AA167" s="1366"/>
      <c r="AB167" s="1366"/>
      <c r="AC167" s="1366"/>
      <c r="AD167" s="1366"/>
      <c r="AE167" s="1366"/>
      <c r="AF167" s="1366"/>
      <c r="AG167" s="1366"/>
      <c r="AH167" s="1366"/>
      <c r="AI167" s="1366"/>
      <c r="AJ167" s="1366"/>
      <c r="AK167" s="1366"/>
      <c r="AL167" s="1366"/>
      <c r="AM167" s="1366"/>
      <c r="AN167" s="1366"/>
      <c r="AO167" s="1366"/>
      <c r="AP167" s="1366"/>
      <c r="AQ167" s="1366"/>
      <c r="AR167" s="1366"/>
      <c r="AS167" s="1366"/>
      <c r="AT167" s="1366"/>
      <c r="AU167" s="1366"/>
      <c r="AV167" s="1366"/>
      <c r="AW167" s="1366"/>
      <c r="AX167" s="1366"/>
      <c r="AY167" s="1366"/>
      <c r="AZ167" s="1366"/>
      <c r="BA167" s="1366"/>
      <c r="BB167" s="1366"/>
      <c r="BC167" s="1366"/>
      <c r="BD167" s="1366"/>
      <c r="BE167" s="1366"/>
      <c r="BF167" s="1366"/>
      <c r="BG167" s="1366"/>
      <c r="BH167" s="1366"/>
      <c r="BI167" s="1366"/>
      <c r="BJ167" s="1366"/>
      <c r="BK167" s="1366"/>
      <c r="BL167" s="1366"/>
      <c r="BM167" s="1366"/>
      <c r="BN167" s="1366"/>
      <c r="BO167" s="1366"/>
      <c r="BP167" s="1366"/>
      <c r="BQ167" s="1366"/>
      <c r="BR167" s="1366"/>
      <c r="BS167" s="1366"/>
      <c r="BT167" s="1366"/>
      <c r="BU167" s="1366"/>
      <c r="BV167" s="1366"/>
      <c r="BW167" s="1366"/>
      <c r="BX167" s="1366"/>
      <c r="BY167" s="1366"/>
      <c r="BZ167" s="1366"/>
      <c r="CA167" s="1366"/>
      <c r="CB167" s="1366"/>
      <c r="CC167" s="1366"/>
      <c r="CD167" s="1366"/>
      <c r="CE167" s="1366"/>
      <c r="CF167" s="1366"/>
      <c r="CG167" s="1366"/>
      <c r="CH167" s="1366"/>
      <c r="CI167" s="1366"/>
      <c r="CJ167" s="1366"/>
      <c r="CK167" s="1366"/>
      <c r="CL167" s="1366"/>
      <c r="CM167" s="1366"/>
      <c r="CN167" s="1366"/>
      <c r="CO167" s="1366"/>
      <c r="CP167" s="1366"/>
      <c r="CQ167" s="1366"/>
      <c r="CR167" s="1366"/>
      <c r="CS167" s="1366"/>
      <c r="CT167" s="1366"/>
      <c r="CU167" s="1366"/>
      <c r="CV167" s="1366"/>
      <c r="CW167" s="1366"/>
      <c r="CX167" s="1366"/>
      <c r="CY167" s="1366"/>
      <c r="CZ167" s="1366"/>
      <c r="DA167" s="1366"/>
      <c r="DB167" s="1366"/>
      <c r="DC167" s="1366"/>
      <c r="DD167" s="1366"/>
      <c r="DE167" s="1366"/>
      <c r="DF167" s="1366"/>
      <c r="DG167" s="1366"/>
      <c r="DH167" s="1366"/>
      <c r="DI167" s="1366"/>
      <c r="DJ167" s="1366"/>
      <c r="DK167" s="1366"/>
      <c r="DL167" s="1366"/>
      <c r="DM167" s="1366"/>
      <c r="DN167" s="1366"/>
      <c r="DO167" s="1366"/>
      <c r="DP167" s="1366"/>
      <c r="DQ167" s="1366"/>
      <c r="DR167" s="1366"/>
      <c r="DS167" s="1366"/>
      <c r="DT167" s="1366"/>
      <c r="DU167" s="1366"/>
      <c r="DV167" s="1366"/>
    </row>
    <row r="168" spans="1:126" s="1367" customFormat="1" ht="30">
      <c r="A168" s="2494"/>
      <c r="B168" s="1653">
        <v>134</v>
      </c>
      <c r="C168" s="658" t="s">
        <v>49</v>
      </c>
      <c r="D168" s="1375" t="s">
        <v>2183</v>
      </c>
      <c r="E168" s="1364" t="s">
        <v>2097</v>
      </c>
      <c r="F168" s="1364" t="s">
        <v>2107</v>
      </c>
      <c r="G168" s="2088" t="s">
        <v>1796</v>
      </c>
      <c r="H168" s="1361">
        <f>((14*'Equipment Results Matrix'!$R$577)+'Equipment Results Matrix'!$T$583+('Equipment Results Matrix'!$R$576*36000)+'Equipment Results Matrix'!$R$578)*(1+'Equipment Results Matrix'!$T$585)</f>
        <v>1544.9312142650601</v>
      </c>
      <c r="I168" s="2089">
        <f>'Labor Results Matrix'!$E$51</f>
        <v>7.2557253571689335</v>
      </c>
      <c r="J168" s="1372">
        <f>'Labor Results Matrix'!$G$49*(1+'Labor Results Matrix'!$K$49)</f>
        <v>91.344003166431989</v>
      </c>
      <c r="K168" s="1416">
        <f t="shared" ref="K168:K174" si="29">I168*J168</f>
        <v>662.76699999999994</v>
      </c>
      <c r="L168" s="2090">
        <v>0</v>
      </c>
      <c r="M168" s="1372">
        <f t="shared" si="25"/>
        <v>2207.69821426506</v>
      </c>
      <c r="N168" s="1458">
        <f>M168-$M$167</f>
        <v>276.38035919999948</v>
      </c>
      <c r="O168" s="2092"/>
      <c r="P168" s="2093"/>
      <c r="Q168" s="2093"/>
      <c r="R168" s="2093"/>
      <c r="S168" s="2093"/>
      <c r="T168" s="2093"/>
      <c r="U168" s="2093"/>
      <c r="V168" s="2096"/>
      <c r="W168" s="1366"/>
      <c r="X168" s="1366"/>
      <c r="Y168" s="1366"/>
      <c r="Z168" s="1366"/>
      <c r="AA168" s="1366"/>
      <c r="AB168" s="1366"/>
      <c r="AC168" s="1366"/>
      <c r="AD168" s="1366"/>
      <c r="AE168" s="1366"/>
      <c r="AF168" s="1366"/>
      <c r="AG168" s="1366"/>
      <c r="AH168" s="1366"/>
      <c r="AI168" s="1366"/>
      <c r="AJ168" s="1366"/>
      <c r="AK168" s="1366"/>
      <c r="AL168" s="1366"/>
      <c r="AM168" s="1366"/>
      <c r="AN168" s="1366"/>
      <c r="AO168" s="1366"/>
      <c r="AP168" s="1366"/>
      <c r="AQ168" s="1366"/>
      <c r="AR168" s="1366"/>
      <c r="AS168" s="1366"/>
      <c r="AT168" s="1366"/>
      <c r="AU168" s="1366"/>
      <c r="AV168" s="1366"/>
      <c r="AW168" s="1366"/>
      <c r="AX168" s="1366"/>
      <c r="AY168" s="1366"/>
      <c r="AZ168" s="1366"/>
      <c r="BA168" s="1366"/>
      <c r="BB168" s="1366"/>
      <c r="BC168" s="1366"/>
      <c r="BD168" s="1366"/>
      <c r="BE168" s="1366"/>
      <c r="BF168" s="1366"/>
      <c r="BG168" s="1366"/>
      <c r="BH168" s="1366"/>
      <c r="BI168" s="1366"/>
      <c r="BJ168" s="1366"/>
      <c r="BK168" s="1366"/>
      <c r="BL168" s="1366"/>
      <c r="BM168" s="1366"/>
      <c r="BN168" s="1366"/>
      <c r="BO168" s="1366"/>
      <c r="BP168" s="1366"/>
      <c r="BQ168" s="1366"/>
      <c r="BR168" s="1366"/>
      <c r="BS168" s="1366"/>
      <c r="BT168" s="1366"/>
      <c r="BU168" s="1366"/>
      <c r="BV168" s="1366"/>
      <c r="BW168" s="1366"/>
      <c r="BX168" s="1366"/>
      <c r="BY168" s="1366"/>
      <c r="BZ168" s="1366"/>
      <c r="CA168" s="1366"/>
      <c r="CB168" s="1366"/>
      <c r="CC168" s="1366"/>
      <c r="CD168" s="1366"/>
      <c r="CE168" s="1366"/>
      <c r="CF168" s="1366"/>
      <c r="CG168" s="1366"/>
      <c r="CH168" s="1366"/>
      <c r="CI168" s="1366"/>
      <c r="CJ168" s="1366"/>
      <c r="CK168" s="1366"/>
      <c r="CL168" s="1366"/>
      <c r="CM168" s="1366"/>
      <c r="CN168" s="1366"/>
      <c r="CO168" s="1366"/>
      <c r="CP168" s="1366"/>
      <c r="CQ168" s="1366"/>
      <c r="CR168" s="1366"/>
      <c r="CS168" s="1366"/>
      <c r="CT168" s="1366"/>
      <c r="CU168" s="1366"/>
      <c r="CV168" s="1366"/>
      <c r="CW168" s="1366"/>
      <c r="CX168" s="1366"/>
      <c r="CY168" s="1366"/>
      <c r="CZ168" s="1366"/>
      <c r="DA168" s="1366"/>
      <c r="DB168" s="1366"/>
      <c r="DC168" s="1366"/>
      <c r="DD168" s="1366"/>
      <c r="DE168" s="1366"/>
      <c r="DF168" s="1366"/>
      <c r="DG168" s="1366"/>
      <c r="DH168" s="1366"/>
      <c r="DI168" s="1366"/>
      <c r="DJ168" s="1366"/>
      <c r="DK168" s="1366"/>
      <c r="DL168" s="1366"/>
      <c r="DM168" s="1366"/>
      <c r="DN168" s="1366"/>
      <c r="DO168" s="1366"/>
      <c r="DP168" s="1366"/>
      <c r="DQ168" s="1366"/>
      <c r="DR168" s="1366"/>
      <c r="DS168" s="1366"/>
      <c r="DT168" s="1366"/>
      <c r="DU168" s="1366"/>
      <c r="DV168" s="1366"/>
    </row>
    <row r="169" spans="1:126" s="1367" customFormat="1" ht="30">
      <c r="A169" s="2494"/>
      <c r="B169" s="1653">
        <v>135</v>
      </c>
      <c r="C169" s="658" t="s">
        <v>49</v>
      </c>
      <c r="D169" s="1375" t="s">
        <v>2184</v>
      </c>
      <c r="E169" s="1364" t="s">
        <v>2097</v>
      </c>
      <c r="F169" s="1364" t="s">
        <v>2107</v>
      </c>
      <c r="G169" s="2088" t="s">
        <v>1796</v>
      </c>
      <c r="H169" s="1361">
        <f>((15*'Equipment Results Matrix'!$R$577)+'Equipment Results Matrix'!$T$583+('Equipment Results Matrix'!$R$576*36000)+'Equipment Results Matrix'!$R$578)*(1+'Equipment Results Matrix'!$T$585)</f>
        <v>1821.3115734650605</v>
      </c>
      <c r="I169" s="2089">
        <f>'Labor Results Matrix'!$E$51</f>
        <v>7.2557253571689335</v>
      </c>
      <c r="J169" s="1372">
        <f>'Labor Results Matrix'!$G$49*(1+'Labor Results Matrix'!$K$49)</f>
        <v>91.344003166431989</v>
      </c>
      <c r="K169" s="1416">
        <f t="shared" si="29"/>
        <v>662.76699999999994</v>
      </c>
      <c r="L169" s="2090">
        <v>0</v>
      </c>
      <c r="M169" s="1372">
        <f t="shared" si="25"/>
        <v>2484.0785734650603</v>
      </c>
      <c r="N169" s="1458">
        <f t="shared" ref="N169:N175" si="30">M169-$M$167</f>
        <v>552.76071839999986</v>
      </c>
      <c r="O169" s="2092"/>
      <c r="P169" s="2093"/>
      <c r="Q169" s="2093"/>
      <c r="R169" s="2093"/>
      <c r="S169" s="2093"/>
      <c r="T169" s="2093"/>
      <c r="U169" s="2093"/>
      <c r="V169" s="2096"/>
      <c r="W169" s="1366"/>
      <c r="X169" s="1366"/>
      <c r="Y169" s="1366"/>
      <c r="Z169" s="1366"/>
      <c r="AA169" s="1366"/>
      <c r="AB169" s="1366"/>
      <c r="AC169" s="1366"/>
      <c r="AD169" s="1366"/>
      <c r="AE169" s="1366"/>
      <c r="AF169" s="1366"/>
      <c r="AG169" s="1366"/>
      <c r="AH169" s="1366"/>
      <c r="AI169" s="1366"/>
      <c r="AJ169" s="1366"/>
      <c r="AK169" s="1366"/>
      <c r="AL169" s="1366"/>
      <c r="AM169" s="1366"/>
      <c r="AN169" s="1366"/>
      <c r="AO169" s="1366"/>
      <c r="AP169" s="1366"/>
      <c r="AQ169" s="1366"/>
      <c r="AR169" s="1366"/>
      <c r="AS169" s="1366"/>
      <c r="AT169" s="1366"/>
      <c r="AU169" s="1366"/>
      <c r="AV169" s="1366"/>
      <c r="AW169" s="1366"/>
      <c r="AX169" s="1366"/>
      <c r="AY169" s="1366"/>
      <c r="AZ169" s="1366"/>
      <c r="BA169" s="1366"/>
      <c r="BB169" s="1366"/>
      <c r="BC169" s="1366"/>
      <c r="BD169" s="1366"/>
      <c r="BE169" s="1366"/>
      <c r="BF169" s="1366"/>
      <c r="BG169" s="1366"/>
      <c r="BH169" s="1366"/>
      <c r="BI169" s="1366"/>
      <c r="BJ169" s="1366"/>
      <c r="BK169" s="1366"/>
      <c r="BL169" s="1366"/>
      <c r="BM169" s="1366"/>
      <c r="BN169" s="1366"/>
      <c r="BO169" s="1366"/>
      <c r="BP169" s="1366"/>
      <c r="BQ169" s="1366"/>
      <c r="BR169" s="1366"/>
      <c r="BS169" s="1366"/>
      <c r="BT169" s="1366"/>
      <c r="BU169" s="1366"/>
      <c r="BV169" s="1366"/>
      <c r="BW169" s="1366"/>
      <c r="BX169" s="1366"/>
      <c r="BY169" s="1366"/>
      <c r="BZ169" s="1366"/>
      <c r="CA169" s="1366"/>
      <c r="CB169" s="1366"/>
      <c r="CC169" s="1366"/>
      <c r="CD169" s="1366"/>
      <c r="CE169" s="1366"/>
      <c r="CF169" s="1366"/>
      <c r="CG169" s="1366"/>
      <c r="CH169" s="1366"/>
      <c r="CI169" s="1366"/>
      <c r="CJ169" s="1366"/>
      <c r="CK169" s="1366"/>
      <c r="CL169" s="1366"/>
      <c r="CM169" s="1366"/>
      <c r="CN169" s="1366"/>
      <c r="CO169" s="1366"/>
      <c r="CP169" s="1366"/>
      <c r="CQ169" s="1366"/>
      <c r="CR169" s="1366"/>
      <c r="CS169" s="1366"/>
      <c r="CT169" s="1366"/>
      <c r="CU169" s="1366"/>
      <c r="CV169" s="1366"/>
      <c r="CW169" s="1366"/>
      <c r="CX169" s="1366"/>
      <c r="CY169" s="1366"/>
      <c r="CZ169" s="1366"/>
      <c r="DA169" s="1366"/>
      <c r="DB169" s="1366"/>
      <c r="DC169" s="1366"/>
      <c r="DD169" s="1366"/>
      <c r="DE169" s="1366"/>
      <c r="DF169" s="1366"/>
      <c r="DG169" s="1366"/>
      <c r="DH169" s="1366"/>
      <c r="DI169" s="1366"/>
      <c r="DJ169" s="1366"/>
      <c r="DK169" s="1366"/>
      <c r="DL169" s="1366"/>
      <c r="DM169" s="1366"/>
      <c r="DN169" s="1366"/>
      <c r="DO169" s="1366"/>
      <c r="DP169" s="1366"/>
      <c r="DQ169" s="1366"/>
      <c r="DR169" s="1366"/>
      <c r="DS169" s="1366"/>
      <c r="DT169" s="1366"/>
      <c r="DU169" s="1366"/>
      <c r="DV169" s="1366"/>
    </row>
    <row r="170" spans="1:126" s="1367" customFormat="1" ht="30">
      <c r="A170" s="2494"/>
      <c r="B170" s="1653">
        <v>136</v>
      </c>
      <c r="C170" s="658" t="s">
        <v>49</v>
      </c>
      <c r="D170" s="1375" t="s">
        <v>2185</v>
      </c>
      <c r="E170" s="1364" t="s">
        <v>2097</v>
      </c>
      <c r="F170" s="1364" t="s">
        <v>2107</v>
      </c>
      <c r="G170" s="2088" t="s">
        <v>1796</v>
      </c>
      <c r="H170" s="1361">
        <f>((16*'Equipment Results Matrix'!$R$577)+'Equipment Results Matrix'!$T$583+('Equipment Results Matrix'!$R$576*36000)+'Equipment Results Matrix'!$R$578)*(1+'Equipment Results Matrix'!$T$585)</f>
        <v>2097.6919326650604</v>
      </c>
      <c r="I170" s="2089">
        <f>'Labor Results Matrix'!$E$51</f>
        <v>7.2557253571689335</v>
      </c>
      <c r="J170" s="1372">
        <f>'Labor Results Matrix'!$G$49*(1+'Labor Results Matrix'!$K$49)</f>
        <v>91.344003166431989</v>
      </c>
      <c r="K170" s="1416">
        <f t="shared" si="29"/>
        <v>662.76699999999994</v>
      </c>
      <c r="L170" s="2090">
        <v>0</v>
      </c>
      <c r="M170" s="1372">
        <f t="shared" si="25"/>
        <v>2760.4589326650603</v>
      </c>
      <c r="N170" s="1458">
        <f t="shared" si="30"/>
        <v>829.14107759999979</v>
      </c>
      <c r="O170" s="2092"/>
      <c r="P170" s="2093"/>
      <c r="Q170" s="2093"/>
      <c r="R170" s="2093"/>
      <c r="S170" s="2093"/>
      <c r="T170" s="2093"/>
      <c r="U170" s="2093"/>
      <c r="V170" s="2096"/>
      <c r="W170" s="1366"/>
      <c r="X170" s="1366"/>
      <c r="Y170" s="1366"/>
      <c r="Z170" s="1366"/>
      <c r="AA170" s="1366"/>
      <c r="AB170" s="1366"/>
      <c r="AC170" s="1366"/>
      <c r="AD170" s="1366"/>
      <c r="AE170" s="1366"/>
      <c r="AF170" s="1366"/>
      <c r="AG170" s="1366"/>
      <c r="AH170" s="1366"/>
      <c r="AI170" s="1366"/>
      <c r="AJ170" s="1366"/>
      <c r="AK170" s="1366"/>
      <c r="AL170" s="1366"/>
      <c r="AM170" s="1366"/>
      <c r="AN170" s="1366"/>
      <c r="AO170" s="1366"/>
      <c r="AP170" s="1366"/>
      <c r="AQ170" s="1366"/>
      <c r="AR170" s="1366"/>
      <c r="AS170" s="1366"/>
      <c r="AT170" s="1366"/>
      <c r="AU170" s="1366"/>
      <c r="AV170" s="1366"/>
      <c r="AW170" s="1366"/>
      <c r="AX170" s="1366"/>
      <c r="AY170" s="1366"/>
      <c r="AZ170" s="1366"/>
      <c r="BA170" s="1366"/>
      <c r="BB170" s="1366"/>
      <c r="BC170" s="1366"/>
      <c r="BD170" s="1366"/>
      <c r="BE170" s="1366"/>
      <c r="BF170" s="1366"/>
      <c r="BG170" s="1366"/>
      <c r="BH170" s="1366"/>
      <c r="BI170" s="1366"/>
      <c r="BJ170" s="1366"/>
      <c r="BK170" s="1366"/>
      <c r="BL170" s="1366"/>
      <c r="BM170" s="1366"/>
      <c r="BN170" s="1366"/>
      <c r="BO170" s="1366"/>
      <c r="BP170" s="1366"/>
      <c r="BQ170" s="1366"/>
      <c r="BR170" s="1366"/>
      <c r="BS170" s="1366"/>
      <c r="BT170" s="1366"/>
      <c r="BU170" s="1366"/>
      <c r="BV170" s="1366"/>
      <c r="BW170" s="1366"/>
      <c r="BX170" s="1366"/>
      <c r="BY170" s="1366"/>
      <c r="BZ170" s="1366"/>
      <c r="CA170" s="1366"/>
      <c r="CB170" s="1366"/>
      <c r="CC170" s="1366"/>
      <c r="CD170" s="1366"/>
      <c r="CE170" s="1366"/>
      <c r="CF170" s="1366"/>
      <c r="CG170" s="1366"/>
      <c r="CH170" s="1366"/>
      <c r="CI170" s="1366"/>
      <c r="CJ170" s="1366"/>
      <c r="CK170" s="1366"/>
      <c r="CL170" s="1366"/>
      <c r="CM170" s="1366"/>
      <c r="CN170" s="1366"/>
      <c r="CO170" s="1366"/>
      <c r="CP170" s="1366"/>
      <c r="CQ170" s="1366"/>
      <c r="CR170" s="1366"/>
      <c r="CS170" s="1366"/>
      <c r="CT170" s="1366"/>
      <c r="CU170" s="1366"/>
      <c r="CV170" s="1366"/>
      <c r="CW170" s="1366"/>
      <c r="CX170" s="1366"/>
      <c r="CY170" s="1366"/>
      <c r="CZ170" s="1366"/>
      <c r="DA170" s="1366"/>
      <c r="DB170" s="1366"/>
      <c r="DC170" s="1366"/>
      <c r="DD170" s="1366"/>
      <c r="DE170" s="1366"/>
      <c r="DF170" s="1366"/>
      <c r="DG170" s="1366"/>
      <c r="DH170" s="1366"/>
      <c r="DI170" s="1366"/>
      <c r="DJ170" s="1366"/>
      <c r="DK170" s="1366"/>
      <c r="DL170" s="1366"/>
      <c r="DM170" s="1366"/>
      <c r="DN170" s="1366"/>
      <c r="DO170" s="1366"/>
      <c r="DP170" s="1366"/>
      <c r="DQ170" s="1366"/>
      <c r="DR170" s="1366"/>
      <c r="DS170" s="1366"/>
      <c r="DT170" s="1366"/>
      <c r="DU170" s="1366"/>
      <c r="DV170" s="1366"/>
    </row>
    <row r="171" spans="1:126" s="1367" customFormat="1" ht="30">
      <c r="A171" s="2494"/>
      <c r="B171" s="1653">
        <v>137</v>
      </c>
      <c r="C171" s="658" t="s">
        <v>49</v>
      </c>
      <c r="D171" s="1375" t="s">
        <v>2186</v>
      </c>
      <c r="E171" s="1364" t="s">
        <v>2097</v>
      </c>
      <c r="F171" s="1364" t="s">
        <v>2107</v>
      </c>
      <c r="G171" s="2088" t="s">
        <v>1796</v>
      </c>
      <c r="H171" s="1361">
        <f>((17*'Equipment Results Matrix'!$R$577)+'Equipment Results Matrix'!$T$583+('Equipment Results Matrix'!$R$576*36000)+'Equipment Results Matrix'!$R$578)*(1+'Equipment Results Matrix'!$T$585)</f>
        <v>2374.0722918650604</v>
      </c>
      <c r="I171" s="2089">
        <f>'Labor Results Matrix'!$E$51</f>
        <v>7.2557253571689335</v>
      </c>
      <c r="J171" s="1372">
        <f>'Labor Results Matrix'!$G$49*(1+'Labor Results Matrix'!$K$49)</f>
        <v>91.344003166431989</v>
      </c>
      <c r="K171" s="1416">
        <f t="shared" si="29"/>
        <v>662.76699999999994</v>
      </c>
      <c r="L171" s="2090">
        <v>0</v>
      </c>
      <c r="M171" s="1372">
        <f t="shared" si="25"/>
        <v>3036.8392918650602</v>
      </c>
      <c r="N171" s="1458">
        <f t="shared" si="30"/>
        <v>1105.5214367999997</v>
      </c>
      <c r="O171" s="2092"/>
      <c r="P171" s="2093"/>
      <c r="Q171" s="2093"/>
      <c r="R171" s="2093"/>
      <c r="S171" s="2093"/>
      <c r="T171" s="2093"/>
      <c r="U171" s="2093"/>
      <c r="V171" s="2096"/>
      <c r="W171" s="1366"/>
      <c r="X171" s="1366"/>
      <c r="Y171" s="1366"/>
      <c r="Z171" s="1366"/>
      <c r="AA171" s="1366"/>
      <c r="AB171" s="1366"/>
      <c r="AC171" s="1366"/>
      <c r="AD171" s="1366"/>
      <c r="AE171" s="1366"/>
      <c r="AF171" s="1366"/>
      <c r="AG171" s="1366"/>
      <c r="AH171" s="1366"/>
      <c r="AI171" s="1366"/>
      <c r="AJ171" s="1366"/>
      <c r="AK171" s="1366"/>
      <c r="AL171" s="1366"/>
      <c r="AM171" s="1366"/>
      <c r="AN171" s="1366"/>
      <c r="AO171" s="1366"/>
      <c r="AP171" s="1366"/>
      <c r="AQ171" s="1366"/>
      <c r="AR171" s="1366"/>
      <c r="AS171" s="1366"/>
      <c r="AT171" s="1366"/>
      <c r="AU171" s="1366"/>
      <c r="AV171" s="1366"/>
      <c r="AW171" s="1366"/>
      <c r="AX171" s="1366"/>
      <c r="AY171" s="1366"/>
      <c r="AZ171" s="1366"/>
      <c r="BA171" s="1366"/>
      <c r="BB171" s="1366"/>
      <c r="BC171" s="1366"/>
      <c r="BD171" s="1366"/>
      <c r="BE171" s="1366"/>
      <c r="BF171" s="1366"/>
      <c r="BG171" s="1366"/>
      <c r="BH171" s="1366"/>
      <c r="BI171" s="1366"/>
      <c r="BJ171" s="1366"/>
      <c r="BK171" s="1366"/>
      <c r="BL171" s="1366"/>
      <c r="BM171" s="1366"/>
      <c r="BN171" s="1366"/>
      <c r="BO171" s="1366"/>
      <c r="BP171" s="1366"/>
      <c r="BQ171" s="1366"/>
      <c r="BR171" s="1366"/>
      <c r="BS171" s="1366"/>
      <c r="BT171" s="1366"/>
      <c r="BU171" s="1366"/>
      <c r="BV171" s="1366"/>
      <c r="BW171" s="1366"/>
      <c r="BX171" s="1366"/>
      <c r="BY171" s="1366"/>
      <c r="BZ171" s="1366"/>
      <c r="CA171" s="1366"/>
      <c r="CB171" s="1366"/>
      <c r="CC171" s="1366"/>
      <c r="CD171" s="1366"/>
      <c r="CE171" s="1366"/>
      <c r="CF171" s="1366"/>
      <c r="CG171" s="1366"/>
      <c r="CH171" s="1366"/>
      <c r="CI171" s="1366"/>
      <c r="CJ171" s="1366"/>
      <c r="CK171" s="1366"/>
      <c r="CL171" s="1366"/>
      <c r="CM171" s="1366"/>
      <c r="CN171" s="1366"/>
      <c r="CO171" s="1366"/>
      <c r="CP171" s="1366"/>
      <c r="CQ171" s="1366"/>
      <c r="CR171" s="1366"/>
      <c r="CS171" s="1366"/>
      <c r="CT171" s="1366"/>
      <c r="CU171" s="1366"/>
      <c r="CV171" s="1366"/>
      <c r="CW171" s="1366"/>
      <c r="CX171" s="1366"/>
      <c r="CY171" s="1366"/>
      <c r="CZ171" s="1366"/>
      <c r="DA171" s="1366"/>
      <c r="DB171" s="1366"/>
      <c r="DC171" s="1366"/>
      <c r="DD171" s="1366"/>
      <c r="DE171" s="1366"/>
      <c r="DF171" s="1366"/>
      <c r="DG171" s="1366"/>
      <c r="DH171" s="1366"/>
      <c r="DI171" s="1366"/>
      <c r="DJ171" s="1366"/>
      <c r="DK171" s="1366"/>
      <c r="DL171" s="1366"/>
      <c r="DM171" s="1366"/>
      <c r="DN171" s="1366"/>
      <c r="DO171" s="1366"/>
      <c r="DP171" s="1366"/>
      <c r="DQ171" s="1366"/>
      <c r="DR171" s="1366"/>
      <c r="DS171" s="1366"/>
      <c r="DT171" s="1366"/>
      <c r="DU171" s="1366"/>
      <c r="DV171" s="1366"/>
    </row>
    <row r="172" spans="1:126" s="1367" customFormat="1" ht="30">
      <c r="A172" s="2494"/>
      <c r="B172" s="1653">
        <v>138</v>
      </c>
      <c r="C172" s="658" t="s">
        <v>49</v>
      </c>
      <c r="D172" s="1375" t="s">
        <v>2187</v>
      </c>
      <c r="E172" s="1364" t="s">
        <v>2097</v>
      </c>
      <c r="F172" s="1364" t="s">
        <v>2107</v>
      </c>
      <c r="G172" s="2088" t="s">
        <v>1796</v>
      </c>
      <c r="H172" s="1361">
        <f>((18*'Equipment Results Matrix'!$R$577)+'Equipment Results Matrix'!$T$583+('Equipment Results Matrix'!$R$576*36000)+'Equipment Results Matrix'!$R$578)*(1+'Equipment Results Matrix'!$T$585)</f>
        <v>2650.4526510650608</v>
      </c>
      <c r="I172" s="2089">
        <f>'Labor Results Matrix'!$E$51</f>
        <v>7.2557253571689335</v>
      </c>
      <c r="J172" s="1372">
        <f>'Labor Results Matrix'!$G$49*(1+'Labor Results Matrix'!$K$49)</f>
        <v>91.344003166431989</v>
      </c>
      <c r="K172" s="1416">
        <f t="shared" si="29"/>
        <v>662.76699999999994</v>
      </c>
      <c r="L172" s="2090">
        <v>0</v>
      </c>
      <c r="M172" s="1372">
        <f t="shared" si="25"/>
        <v>3313.2196510650606</v>
      </c>
      <c r="N172" s="1458">
        <f t="shared" si="30"/>
        <v>1381.9017960000001</v>
      </c>
      <c r="O172" s="2092"/>
      <c r="P172" s="2093"/>
      <c r="Q172" s="2093"/>
      <c r="R172" s="2093"/>
      <c r="S172" s="2093"/>
      <c r="T172" s="2093"/>
      <c r="U172" s="2093"/>
      <c r="V172" s="2096"/>
      <c r="W172" s="1366"/>
      <c r="X172" s="1366"/>
      <c r="Y172" s="1366"/>
      <c r="Z172" s="1366"/>
      <c r="AA172" s="1366"/>
      <c r="AB172" s="1366"/>
      <c r="AC172" s="1366"/>
      <c r="AD172" s="1366"/>
      <c r="AE172" s="1366"/>
      <c r="AF172" s="1366"/>
      <c r="AG172" s="1366"/>
      <c r="AH172" s="1366"/>
      <c r="AI172" s="1366"/>
      <c r="AJ172" s="1366"/>
      <c r="AK172" s="1366"/>
      <c r="AL172" s="1366"/>
      <c r="AM172" s="1366"/>
      <c r="AN172" s="1366"/>
      <c r="AO172" s="1366"/>
      <c r="AP172" s="1366"/>
      <c r="AQ172" s="1366"/>
      <c r="AR172" s="1366"/>
      <c r="AS172" s="1366"/>
      <c r="AT172" s="1366"/>
      <c r="AU172" s="1366"/>
      <c r="AV172" s="1366"/>
      <c r="AW172" s="1366"/>
      <c r="AX172" s="1366"/>
      <c r="AY172" s="1366"/>
      <c r="AZ172" s="1366"/>
      <c r="BA172" s="1366"/>
      <c r="BB172" s="1366"/>
      <c r="BC172" s="1366"/>
      <c r="BD172" s="1366"/>
      <c r="BE172" s="1366"/>
      <c r="BF172" s="1366"/>
      <c r="BG172" s="1366"/>
      <c r="BH172" s="1366"/>
      <c r="BI172" s="1366"/>
      <c r="BJ172" s="1366"/>
      <c r="BK172" s="1366"/>
      <c r="BL172" s="1366"/>
      <c r="BM172" s="1366"/>
      <c r="BN172" s="1366"/>
      <c r="BO172" s="1366"/>
      <c r="BP172" s="1366"/>
      <c r="BQ172" s="1366"/>
      <c r="BR172" s="1366"/>
      <c r="BS172" s="1366"/>
      <c r="BT172" s="1366"/>
      <c r="BU172" s="1366"/>
      <c r="BV172" s="1366"/>
      <c r="BW172" s="1366"/>
      <c r="BX172" s="1366"/>
      <c r="BY172" s="1366"/>
      <c r="BZ172" s="1366"/>
      <c r="CA172" s="1366"/>
      <c r="CB172" s="1366"/>
      <c r="CC172" s="1366"/>
      <c r="CD172" s="1366"/>
      <c r="CE172" s="1366"/>
      <c r="CF172" s="1366"/>
      <c r="CG172" s="1366"/>
      <c r="CH172" s="1366"/>
      <c r="CI172" s="1366"/>
      <c r="CJ172" s="1366"/>
      <c r="CK172" s="1366"/>
      <c r="CL172" s="1366"/>
      <c r="CM172" s="1366"/>
      <c r="CN172" s="1366"/>
      <c r="CO172" s="1366"/>
      <c r="CP172" s="1366"/>
      <c r="CQ172" s="1366"/>
      <c r="CR172" s="1366"/>
      <c r="CS172" s="1366"/>
      <c r="CT172" s="1366"/>
      <c r="CU172" s="1366"/>
      <c r="CV172" s="1366"/>
      <c r="CW172" s="1366"/>
      <c r="CX172" s="1366"/>
      <c r="CY172" s="1366"/>
      <c r="CZ172" s="1366"/>
      <c r="DA172" s="1366"/>
      <c r="DB172" s="1366"/>
      <c r="DC172" s="1366"/>
      <c r="DD172" s="1366"/>
      <c r="DE172" s="1366"/>
      <c r="DF172" s="1366"/>
      <c r="DG172" s="1366"/>
      <c r="DH172" s="1366"/>
      <c r="DI172" s="1366"/>
      <c r="DJ172" s="1366"/>
      <c r="DK172" s="1366"/>
      <c r="DL172" s="1366"/>
      <c r="DM172" s="1366"/>
      <c r="DN172" s="1366"/>
      <c r="DO172" s="1366"/>
      <c r="DP172" s="1366"/>
      <c r="DQ172" s="1366"/>
      <c r="DR172" s="1366"/>
      <c r="DS172" s="1366"/>
      <c r="DT172" s="1366"/>
      <c r="DU172" s="1366"/>
      <c r="DV172" s="1366"/>
    </row>
    <row r="173" spans="1:126" s="1367" customFormat="1" ht="30">
      <c r="A173" s="2494"/>
      <c r="B173" s="1653">
        <v>139</v>
      </c>
      <c r="C173" s="658" t="s">
        <v>49</v>
      </c>
      <c r="D173" s="1375" t="s">
        <v>2188</v>
      </c>
      <c r="E173" s="1364" t="s">
        <v>2097</v>
      </c>
      <c r="F173" s="1364" t="s">
        <v>2107</v>
      </c>
      <c r="G173" s="2088" t="s">
        <v>1796</v>
      </c>
      <c r="H173" s="1361">
        <f>((19*'Equipment Results Matrix'!$R$577)+'Equipment Results Matrix'!$T$583+('Equipment Results Matrix'!$R$576*36000)+'Equipment Results Matrix'!$R$578)*(1+'Equipment Results Matrix'!$T$585)</f>
        <v>2926.8330102650598</v>
      </c>
      <c r="I173" s="2089">
        <f>'Labor Results Matrix'!$E$51</f>
        <v>7.2557253571689335</v>
      </c>
      <c r="J173" s="1372">
        <f>'Labor Results Matrix'!$G$49*(1+'Labor Results Matrix'!$K$49)</f>
        <v>91.344003166431989</v>
      </c>
      <c r="K173" s="1416">
        <f t="shared" si="29"/>
        <v>662.76699999999994</v>
      </c>
      <c r="L173" s="2090">
        <v>0</v>
      </c>
      <c r="M173" s="1372">
        <f t="shared" si="25"/>
        <v>3589.6000102650596</v>
      </c>
      <c r="N173" s="1458">
        <f t="shared" si="30"/>
        <v>1658.2821551999991</v>
      </c>
      <c r="O173" s="2092"/>
      <c r="P173" s="2093"/>
      <c r="Q173" s="2093"/>
      <c r="R173" s="2093"/>
      <c r="S173" s="2093"/>
      <c r="T173" s="2093"/>
      <c r="U173" s="2093"/>
      <c r="V173" s="2096"/>
      <c r="W173" s="1366"/>
      <c r="X173" s="1366"/>
      <c r="Y173" s="1366"/>
      <c r="Z173" s="1366"/>
      <c r="AA173" s="1366"/>
      <c r="AB173" s="1366"/>
      <c r="AC173" s="1366"/>
      <c r="AD173" s="1366"/>
      <c r="AE173" s="1366"/>
      <c r="AF173" s="1366"/>
      <c r="AG173" s="1366"/>
      <c r="AH173" s="1366"/>
      <c r="AI173" s="1366"/>
      <c r="AJ173" s="1366"/>
      <c r="AK173" s="1366"/>
      <c r="AL173" s="1366"/>
      <c r="AM173" s="1366"/>
      <c r="AN173" s="1366"/>
      <c r="AO173" s="1366"/>
      <c r="AP173" s="1366"/>
      <c r="AQ173" s="1366"/>
      <c r="AR173" s="1366"/>
      <c r="AS173" s="1366"/>
      <c r="AT173" s="1366"/>
      <c r="AU173" s="1366"/>
      <c r="AV173" s="1366"/>
      <c r="AW173" s="1366"/>
      <c r="AX173" s="1366"/>
      <c r="AY173" s="1366"/>
      <c r="AZ173" s="1366"/>
      <c r="BA173" s="1366"/>
      <c r="BB173" s="1366"/>
      <c r="BC173" s="1366"/>
      <c r="BD173" s="1366"/>
      <c r="BE173" s="1366"/>
      <c r="BF173" s="1366"/>
      <c r="BG173" s="1366"/>
      <c r="BH173" s="1366"/>
      <c r="BI173" s="1366"/>
      <c r="BJ173" s="1366"/>
      <c r="BK173" s="1366"/>
      <c r="BL173" s="1366"/>
      <c r="BM173" s="1366"/>
      <c r="BN173" s="1366"/>
      <c r="BO173" s="1366"/>
      <c r="BP173" s="1366"/>
      <c r="BQ173" s="1366"/>
      <c r="BR173" s="1366"/>
      <c r="BS173" s="1366"/>
      <c r="BT173" s="1366"/>
      <c r="BU173" s="1366"/>
      <c r="BV173" s="1366"/>
      <c r="BW173" s="1366"/>
      <c r="BX173" s="1366"/>
      <c r="BY173" s="1366"/>
      <c r="BZ173" s="1366"/>
      <c r="CA173" s="1366"/>
      <c r="CB173" s="1366"/>
      <c r="CC173" s="1366"/>
      <c r="CD173" s="1366"/>
      <c r="CE173" s="1366"/>
      <c r="CF173" s="1366"/>
      <c r="CG173" s="1366"/>
      <c r="CH173" s="1366"/>
      <c r="CI173" s="1366"/>
      <c r="CJ173" s="1366"/>
      <c r="CK173" s="1366"/>
      <c r="CL173" s="1366"/>
      <c r="CM173" s="1366"/>
      <c r="CN173" s="1366"/>
      <c r="CO173" s="1366"/>
      <c r="CP173" s="1366"/>
      <c r="CQ173" s="1366"/>
      <c r="CR173" s="1366"/>
      <c r="CS173" s="1366"/>
      <c r="CT173" s="1366"/>
      <c r="CU173" s="1366"/>
      <c r="CV173" s="1366"/>
      <c r="CW173" s="1366"/>
      <c r="CX173" s="1366"/>
      <c r="CY173" s="1366"/>
      <c r="CZ173" s="1366"/>
      <c r="DA173" s="1366"/>
      <c r="DB173" s="1366"/>
      <c r="DC173" s="1366"/>
      <c r="DD173" s="1366"/>
      <c r="DE173" s="1366"/>
      <c r="DF173" s="1366"/>
      <c r="DG173" s="1366"/>
      <c r="DH173" s="1366"/>
      <c r="DI173" s="1366"/>
      <c r="DJ173" s="1366"/>
      <c r="DK173" s="1366"/>
      <c r="DL173" s="1366"/>
      <c r="DM173" s="1366"/>
      <c r="DN173" s="1366"/>
      <c r="DO173" s="1366"/>
      <c r="DP173" s="1366"/>
      <c r="DQ173" s="1366"/>
      <c r="DR173" s="1366"/>
      <c r="DS173" s="1366"/>
      <c r="DT173" s="1366"/>
      <c r="DU173" s="1366"/>
      <c r="DV173" s="1366"/>
    </row>
    <row r="174" spans="1:126" s="1367" customFormat="1" ht="30">
      <c r="A174" s="2494"/>
      <c r="B174" s="1653">
        <v>140</v>
      </c>
      <c r="C174" s="658" t="s">
        <v>49</v>
      </c>
      <c r="D174" s="1375" t="s">
        <v>2189</v>
      </c>
      <c r="E174" s="1364" t="s">
        <v>2097</v>
      </c>
      <c r="F174" s="1364" t="s">
        <v>2107</v>
      </c>
      <c r="G174" s="2088" t="s">
        <v>1796</v>
      </c>
      <c r="H174" s="1361">
        <f>((20*'Equipment Results Matrix'!$R$577)+'Equipment Results Matrix'!$T$583+('Equipment Results Matrix'!$R$576*36000)+'Equipment Results Matrix'!$R$578)*(1+'Equipment Results Matrix'!$T$585)</f>
        <v>3203.2133694650602</v>
      </c>
      <c r="I174" s="2089">
        <f>'Labor Results Matrix'!$E$51</f>
        <v>7.2557253571689335</v>
      </c>
      <c r="J174" s="1372">
        <f>'Labor Results Matrix'!$G$49*(1+'Labor Results Matrix'!$K$49)</f>
        <v>91.344003166431989</v>
      </c>
      <c r="K174" s="1416">
        <f t="shared" si="29"/>
        <v>662.76699999999994</v>
      </c>
      <c r="L174" s="2090">
        <v>0</v>
      </c>
      <c r="M174" s="1372">
        <f t="shared" si="25"/>
        <v>3865.98036946506</v>
      </c>
      <c r="N174" s="1458">
        <f t="shared" si="30"/>
        <v>1934.6625143999995</v>
      </c>
      <c r="O174" s="2092"/>
      <c r="P174" s="2093"/>
      <c r="Q174" s="2093"/>
      <c r="R174" s="2093"/>
      <c r="S174" s="2093"/>
      <c r="T174" s="2093"/>
      <c r="U174" s="2093"/>
      <c r="V174" s="2096"/>
      <c r="W174" s="1366"/>
      <c r="X174" s="1366"/>
      <c r="Y174" s="1366"/>
      <c r="Z174" s="1366"/>
      <c r="AA174" s="1366"/>
      <c r="AB174" s="1366"/>
      <c r="AC174" s="1366"/>
      <c r="AD174" s="1366"/>
      <c r="AE174" s="1366"/>
      <c r="AF174" s="1366"/>
      <c r="AG174" s="1366"/>
      <c r="AH174" s="1366"/>
      <c r="AI174" s="1366"/>
      <c r="AJ174" s="1366"/>
      <c r="AK174" s="1366"/>
      <c r="AL174" s="1366"/>
      <c r="AM174" s="1366"/>
      <c r="AN174" s="1366"/>
      <c r="AO174" s="1366"/>
      <c r="AP174" s="1366"/>
      <c r="AQ174" s="1366"/>
      <c r="AR174" s="1366"/>
      <c r="AS174" s="1366"/>
      <c r="AT174" s="1366"/>
      <c r="AU174" s="1366"/>
      <c r="AV174" s="1366"/>
      <c r="AW174" s="1366"/>
      <c r="AX174" s="1366"/>
      <c r="AY174" s="1366"/>
      <c r="AZ174" s="1366"/>
      <c r="BA174" s="1366"/>
      <c r="BB174" s="1366"/>
      <c r="BC174" s="1366"/>
      <c r="BD174" s="1366"/>
      <c r="BE174" s="1366"/>
      <c r="BF174" s="1366"/>
      <c r="BG174" s="1366"/>
      <c r="BH174" s="1366"/>
      <c r="BI174" s="1366"/>
      <c r="BJ174" s="1366"/>
      <c r="BK174" s="1366"/>
      <c r="BL174" s="1366"/>
      <c r="BM174" s="1366"/>
      <c r="BN174" s="1366"/>
      <c r="BO174" s="1366"/>
      <c r="BP174" s="1366"/>
      <c r="BQ174" s="1366"/>
      <c r="BR174" s="1366"/>
      <c r="BS174" s="1366"/>
      <c r="BT174" s="1366"/>
      <c r="BU174" s="1366"/>
      <c r="BV174" s="1366"/>
      <c r="BW174" s="1366"/>
      <c r="BX174" s="1366"/>
      <c r="BY174" s="1366"/>
      <c r="BZ174" s="1366"/>
      <c r="CA174" s="1366"/>
      <c r="CB174" s="1366"/>
      <c r="CC174" s="1366"/>
      <c r="CD174" s="1366"/>
      <c r="CE174" s="1366"/>
      <c r="CF174" s="1366"/>
      <c r="CG174" s="1366"/>
      <c r="CH174" s="1366"/>
      <c r="CI174" s="1366"/>
      <c r="CJ174" s="1366"/>
      <c r="CK174" s="1366"/>
      <c r="CL174" s="1366"/>
      <c r="CM174" s="1366"/>
      <c r="CN174" s="1366"/>
      <c r="CO174" s="1366"/>
      <c r="CP174" s="1366"/>
      <c r="CQ174" s="1366"/>
      <c r="CR174" s="1366"/>
      <c r="CS174" s="1366"/>
      <c r="CT174" s="1366"/>
      <c r="CU174" s="1366"/>
      <c r="CV174" s="1366"/>
      <c r="CW174" s="1366"/>
      <c r="CX174" s="1366"/>
      <c r="CY174" s="1366"/>
      <c r="CZ174" s="1366"/>
      <c r="DA174" s="1366"/>
      <c r="DB174" s="1366"/>
      <c r="DC174" s="1366"/>
      <c r="DD174" s="1366"/>
      <c r="DE174" s="1366"/>
      <c r="DF174" s="1366"/>
      <c r="DG174" s="1366"/>
      <c r="DH174" s="1366"/>
      <c r="DI174" s="1366"/>
      <c r="DJ174" s="1366"/>
      <c r="DK174" s="1366"/>
      <c r="DL174" s="1366"/>
      <c r="DM174" s="1366"/>
      <c r="DN174" s="1366"/>
      <c r="DO174" s="1366"/>
      <c r="DP174" s="1366"/>
      <c r="DQ174" s="1366"/>
      <c r="DR174" s="1366"/>
      <c r="DS174" s="1366"/>
      <c r="DT174" s="1366"/>
      <c r="DU174" s="1366"/>
      <c r="DV174" s="1366"/>
    </row>
    <row r="175" spans="1:126" s="1367" customFormat="1" ht="30.75" thickBot="1">
      <c r="A175" s="2495"/>
      <c r="B175" s="1653">
        <v>141</v>
      </c>
      <c r="C175" s="658" t="s">
        <v>49</v>
      </c>
      <c r="D175" s="1375" t="s">
        <v>2190</v>
      </c>
      <c r="E175" s="1364" t="s">
        <v>2097</v>
      </c>
      <c r="F175" s="1364" t="s">
        <v>2107</v>
      </c>
      <c r="G175" s="2088" t="s">
        <v>1796</v>
      </c>
      <c r="H175" s="1361">
        <f>((21*'Equipment Results Matrix'!$R$577)+'Equipment Results Matrix'!$T$583+('Equipment Results Matrix'!$R$576*36000)+'Equipment Results Matrix'!$R$578)*(1+'Equipment Results Matrix'!$T$585)</f>
        <v>3479.5937286650606</v>
      </c>
      <c r="I175" s="2089">
        <f>'Labor Results Matrix'!$E$51</f>
        <v>7.2557253571689335</v>
      </c>
      <c r="J175" s="1372">
        <f>'Labor Results Matrix'!$G$49*(1+'Labor Results Matrix'!$K$49)</f>
        <v>91.344003166431989</v>
      </c>
      <c r="K175" s="1416">
        <f>I175*J175</f>
        <v>662.76699999999994</v>
      </c>
      <c r="L175" s="2090">
        <v>0</v>
      </c>
      <c r="M175" s="1372">
        <f t="shared" si="25"/>
        <v>4142.3607286650604</v>
      </c>
      <c r="N175" s="1458">
        <f t="shared" si="30"/>
        <v>2211.0428735999999</v>
      </c>
      <c r="O175" s="2092"/>
      <c r="P175" s="2093"/>
      <c r="Q175" s="2093"/>
      <c r="R175" s="2093"/>
      <c r="S175" s="2093"/>
      <c r="T175" s="2093"/>
      <c r="U175" s="2093"/>
      <c r="V175" s="2096"/>
      <c r="W175" s="1366"/>
      <c r="X175" s="1366"/>
      <c r="Y175" s="1366"/>
      <c r="Z175" s="1366"/>
      <c r="AA175" s="1366"/>
      <c r="AB175" s="1366"/>
      <c r="AC175" s="1366"/>
      <c r="AD175" s="1366"/>
      <c r="AE175" s="1366"/>
      <c r="AF175" s="1366"/>
      <c r="AG175" s="1366"/>
      <c r="AH175" s="1366"/>
      <c r="AI175" s="1366"/>
      <c r="AJ175" s="1366"/>
      <c r="AK175" s="1366"/>
      <c r="AL175" s="1366"/>
      <c r="AM175" s="1366"/>
      <c r="AN175" s="1366"/>
      <c r="AO175" s="1366"/>
      <c r="AP175" s="1366"/>
      <c r="AQ175" s="1366"/>
      <c r="AR175" s="1366"/>
      <c r="AS175" s="1366"/>
      <c r="AT175" s="1366"/>
      <c r="AU175" s="1366"/>
      <c r="AV175" s="1366"/>
      <c r="AW175" s="1366"/>
      <c r="AX175" s="1366"/>
      <c r="AY175" s="1366"/>
      <c r="AZ175" s="1366"/>
      <c r="BA175" s="1366"/>
      <c r="BB175" s="1366"/>
      <c r="BC175" s="1366"/>
      <c r="BD175" s="1366"/>
      <c r="BE175" s="1366"/>
      <c r="BF175" s="1366"/>
      <c r="BG175" s="1366"/>
      <c r="BH175" s="1366"/>
      <c r="BI175" s="1366"/>
      <c r="BJ175" s="1366"/>
      <c r="BK175" s="1366"/>
      <c r="BL175" s="1366"/>
      <c r="BM175" s="1366"/>
      <c r="BN175" s="1366"/>
      <c r="BO175" s="1366"/>
      <c r="BP175" s="1366"/>
      <c r="BQ175" s="1366"/>
      <c r="BR175" s="1366"/>
      <c r="BS175" s="1366"/>
      <c r="BT175" s="1366"/>
      <c r="BU175" s="1366"/>
      <c r="BV175" s="1366"/>
      <c r="BW175" s="1366"/>
      <c r="BX175" s="1366"/>
      <c r="BY175" s="1366"/>
      <c r="BZ175" s="1366"/>
      <c r="CA175" s="1366"/>
      <c r="CB175" s="1366"/>
      <c r="CC175" s="1366"/>
      <c r="CD175" s="1366"/>
      <c r="CE175" s="1366"/>
      <c r="CF175" s="1366"/>
      <c r="CG175" s="1366"/>
      <c r="CH175" s="1366"/>
      <c r="CI175" s="1366"/>
      <c r="CJ175" s="1366"/>
      <c r="CK175" s="1366"/>
      <c r="CL175" s="1366"/>
      <c r="CM175" s="1366"/>
      <c r="CN175" s="1366"/>
      <c r="CO175" s="1366"/>
      <c r="CP175" s="1366"/>
      <c r="CQ175" s="1366"/>
      <c r="CR175" s="1366"/>
      <c r="CS175" s="1366"/>
      <c r="CT175" s="1366"/>
      <c r="CU175" s="1366"/>
      <c r="CV175" s="1366"/>
      <c r="CW175" s="1366"/>
      <c r="CX175" s="1366"/>
      <c r="CY175" s="1366"/>
      <c r="CZ175" s="1366"/>
      <c r="DA175" s="1366"/>
      <c r="DB175" s="1366"/>
      <c r="DC175" s="1366"/>
      <c r="DD175" s="1366"/>
      <c r="DE175" s="1366"/>
      <c r="DF175" s="1366"/>
      <c r="DG175" s="1366"/>
      <c r="DH175" s="1366"/>
      <c r="DI175" s="1366"/>
      <c r="DJ175" s="1366"/>
      <c r="DK175" s="1366"/>
      <c r="DL175" s="1366"/>
      <c r="DM175" s="1366"/>
      <c r="DN175" s="1366"/>
      <c r="DO175" s="1366"/>
      <c r="DP175" s="1366"/>
      <c r="DQ175" s="1366"/>
      <c r="DR175" s="1366"/>
      <c r="DS175" s="1366"/>
      <c r="DT175" s="1366"/>
      <c r="DU175" s="1366"/>
      <c r="DV175" s="1366"/>
    </row>
    <row r="176" spans="1:126" s="1479" customFormat="1" ht="19.5" thickBot="1">
      <c r="A176" s="695"/>
      <c r="B176" s="1654"/>
      <c r="C176" s="1654"/>
      <c r="D176" s="1343"/>
      <c r="E176" s="1343"/>
      <c r="F176" s="1343"/>
      <c r="G176" s="1343"/>
      <c r="H176" s="1422"/>
      <c r="I176" s="1447"/>
      <c r="J176" s="1423"/>
      <c r="K176" s="1422"/>
      <c r="L176" s="1527"/>
      <c r="M176" s="1422"/>
      <c r="N176" s="1503"/>
      <c r="O176" s="1422"/>
      <c r="P176" s="1423"/>
      <c r="Q176" s="1423"/>
      <c r="R176" s="1447"/>
      <c r="S176" s="1447"/>
      <c r="T176" s="1473"/>
      <c r="U176" s="1473"/>
      <c r="V176" s="1503"/>
      <c r="W176" s="1490"/>
      <c r="X176" s="1490"/>
      <c r="Y176" s="327"/>
      <c r="Z176" s="327"/>
      <c r="AA176" s="327"/>
      <c r="AB176" s="1490"/>
      <c r="AC176" s="1490"/>
      <c r="AD176" s="1490"/>
      <c r="AE176" s="1490"/>
      <c r="AF176" s="327"/>
      <c r="AG176" s="327"/>
      <c r="AH176" s="327"/>
      <c r="AI176" s="327"/>
      <c r="AJ176" s="327"/>
      <c r="AK176" s="1478"/>
      <c r="AL176" s="1478"/>
      <c r="AM176" s="1478"/>
      <c r="AN176" s="1478"/>
      <c r="AO176" s="1478"/>
      <c r="AP176" s="1478"/>
      <c r="AQ176" s="1478"/>
      <c r="AR176" s="1478"/>
      <c r="AS176" s="1478"/>
      <c r="AT176" s="1478"/>
      <c r="AU176" s="1478"/>
      <c r="AV176" s="1478"/>
      <c r="AW176" s="1478"/>
      <c r="AX176" s="1478"/>
      <c r="AY176" s="1478"/>
      <c r="AZ176" s="1478"/>
      <c r="BA176" s="1478"/>
      <c r="BB176" s="1478"/>
      <c r="BC176" s="1478"/>
      <c r="BD176" s="1478"/>
      <c r="BE176" s="1478"/>
      <c r="BF176" s="1478"/>
      <c r="BG176" s="1478"/>
      <c r="BH176" s="1478"/>
      <c r="BI176" s="1478"/>
      <c r="BJ176" s="1478"/>
      <c r="BK176" s="327"/>
      <c r="BL176" s="327"/>
      <c r="BM176" s="327"/>
      <c r="BN176" s="327"/>
      <c r="BO176" s="327"/>
      <c r="BP176" s="327"/>
      <c r="BQ176" s="327"/>
      <c r="BR176" s="327"/>
      <c r="BS176" s="327"/>
      <c r="BT176" s="327"/>
      <c r="BU176" s="327"/>
      <c r="BV176" s="327"/>
      <c r="BW176" s="327"/>
      <c r="BX176" s="327"/>
      <c r="BY176" s="327"/>
      <c r="BZ176" s="327"/>
      <c r="CA176" s="327"/>
      <c r="CB176" s="327"/>
      <c r="CC176" s="327"/>
      <c r="CD176" s="327"/>
      <c r="CE176" s="327"/>
      <c r="CF176" s="327"/>
      <c r="CG176" s="327"/>
      <c r="CH176" s="327"/>
      <c r="CI176" s="327"/>
      <c r="CJ176" s="327"/>
      <c r="CK176" s="327"/>
      <c r="CL176" s="327"/>
      <c r="CM176" s="327"/>
      <c r="CN176" s="327"/>
      <c r="CO176" s="327"/>
      <c r="CP176" s="327"/>
      <c r="CQ176" s="327"/>
      <c r="CR176" s="327"/>
      <c r="CS176" s="327"/>
      <c r="CT176" s="327"/>
      <c r="CU176" s="327"/>
      <c r="CV176" s="327"/>
      <c r="CW176" s="327"/>
      <c r="CX176" s="327"/>
      <c r="CY176" s="327"/>
      <c r="CZ176" s="327"/>
      <c r="DA176" s="327"/>
      <c r="DB176" s="327"/>
      <c r="DC176" s="327"/>
      <c r="DD176" s="327"/>
      <c r="DE176" s="327"/>
      <c r="DF176" s="327"/>
      <c r="DG176" s="327"/>
      <c r="DH176" s="327"/>
      <c r="DI176" s="327"/>
      <c r="DJ176" s="327"/>
      <c r="DK176" s="327"/>
      <c r="DL176" s="327"/>
      <c r="DM176" s="327"/>
      <c r="DN176" s="327"/>
      <c r="DO176" s="327"/>
      <c r="DP176" s="327"/>
      <c r="DQ176" s="327"/>
      <c r="DR176" s="327"/>
      <c r="DS176" s="327"/>
      <c r="DT176" s="327"/>
      <c r="DU176" s="327"/>
      <c r="DV176" s="327"/>
    </row>
    <row r="177" spans="1:126" s="1367" customFormat="1" ht="19.5" customHeight="1">
      <c r="A177" s="2493" t="s">
        <v>1095</v>
      </c>
      <c r="B177" s="2501" t="str">
        <f>'Equipment Results Matrix'!V595</f>
        <v>Workpaper measure</v>
      </c>
      <c r="C177" s="623" t="str">
        <f>'Equipment Results Matrix'!W595</f>
        <v>Baseline</v>
      </c>
      <c r="D177" s="383" t="str">
        <f>'Equipment Results Matrix'!X595</f>
        <v>0.5 HP Permanent Split Capacitor Motor</v>
      </c>
      <c r="E177" s="383" t="s">
        <v>2683</v>
      </c>
      <c r="F177" s="383" t="s">
        <v>2107</v>
      </c>
      <c r="G177" s="1540" t="s">
        <v>1974</v>
      </c>
      <c r="H177" s="1589">
        <f>'Equipment Results Matrix'!Y595</f>
        <v>261.73567741935483</v>
      </c>
      <c r="I177" s="1564">
        <f>'Labor Results Matrix'!E68</f>
        <v>2.59375</v>
      </c>
      <c r="J177" s="1615">
        <f>'Labor Results Matrix'!$G$68*(1+'Labor Results Matrix'!$K$68)</f>
        <v>66.766854607032201</v>
      </c>
      <c r="K177" s="1616">
        <f>I177*J177</f>
        <v>173.17652913698976</v>
      </c>
      <c r="L177" s="1590"/>
      <c r="M177" s="1591">
        <f>H177+K177+L177</f>
        <v>434.91220655634459</v>
      </c>
      <c r="N177" s="1592" t="s">
        <v>40</v>
      </c>
      <c r="O177" s="1404"/>
      <c r="P177" s="1405"/>
      <c r="Q177" s="1405"/>
      <c r="R177" s="1405"/>
      <c r="S177" s="1405"/>
      <c r="T177" s="1405"/>
      <c r="U177" s="1405"/>
      <c r="V177" s="1677"/>
      <c r="W177" s="1366"/>
      <c r="X177" s="1366"/>
      <c r="Y177" s="1366"/>
      <c r="Z177" s="1366"/>
      <c r="AA177" s="1366"/>
      <c r="AB177" s="1366"/>
      <c r="AC177" s="1366"/>
      <c r="AD177" s="1366"/>
      <c r="AE177" s="1366"/>
      <c r="AF177" s="1366"/>
      <c r="AG177" s="1366"/>
      <c r="AH177" s="1366"/>
      <c r="AI177" s="1366"/>
      <c r="AJ177" s="1366"/>
      <c r="AK177" s="1366"/>
      <c r="AL177" s="1366"/>
      <c r="AM177" s="1366"/>
      <c r="AN177" s="1366"/>
      <c r="AO177" s="1366"/>
      <c r="AP177" s="1366"/>
      <c r="AQ177" s="1366"/>
      <c r="AR177" s="1366"/>
      <c r="AS177" s="1366"/>
      <c r="AT177" s="1366"/>
      <c r="AU177" s="1366"/>
      <c r="AV177" s="1366"/>
      <c r="AW177" s="1366"/>
      <c r="AX177" s="1366"/>
      <c r="AY177" s="1366"/>
      <c r="AZ177" s="1366"/>
      <c r="BA177" s="1366"/>
      <c r="BB177" s="1366"/>
      <c r="BC177" s="1366"/>
      <c r="BD177" s="1366"/>
      <c r="BE177" s="1366"/>
      <c r="BF177" s="1366"/>
      <c r="BG177" s="1366"/>
      <c r="BH177" s="1366"/>
      <c r="BI177" s="1366"/>
      <c r="BJ177" s="1366"/>
      <c r="BK177" s="1366"/>
      <c r="BL177" s="1366"/>
      <c r="BM177" s="1366"/>
      <c r="BN177" s="1366"/>
      <c r="BO177" s="1366"/>
      <c r="BP177" s="1366"/>
      <c r="BQ177" s="1366"/>
      <c r="BR177" s="1366"/>
      <c r="BS177" s="1366"/>
      <c r="BT177" s="1366"/>
      <c r="BU177" s="1366"/>
      <c r="BV177" s="1366"/>
      <c r="BW177" s="1366"/>
      <c r="BX177" s="1366"/>
      <c r="BY177" s="1366"/>
      <c r="BZ177" s="1366"/>
      <c r="CA177" s="1366"/>
      <c r="CB177" s="1366"/>
      <c r="CC177" s="1366"/>
      <c r="CD177" s="1366"/>
      <c r="CE177" s="1366"/>
      <c r="CF177" s="1366"/>
      <c r="CG177" s="1366"/>
      <c r="CH177" s="1366"/>
      <c r="CI177" s="1366"/>
      <c r="CJ177" s="1366"/>
      <c r="CK177" s="1366"/>
      <c r="CL177" s="1366"/>
      <c r="CM177" s="1366"/>
      <c r="CN177" s="1366"/>
      <c r="CO177" s="1366"/>
      <c r="CP177" s="1366"/>
      <c r="CQ177" s="1366"/>
      <c r="CR177" s="1366"/>
      <c r="CS177" s="1366"/>
      <c r="CT177" s="1366"/>
      <c r="CU177" s="1366"/>
      <c r="CV177" s="1366"/>
      <c r="CW177" s="1366"/>
      <c r="CX177" s="1366"/>
      <c r="CY177" s="1366"/>
      <c r="CZ177" s="1366"/>
      <c r="DA177" s="1366"/>
      <c r="DB177" s="1366"/>
      <c r="DC177" s="1366"/>
      <c r="DD177" s="1366"/>
      <c r="DE177" s="1366"/>
      <c r="DF177" s="1366"/>
      <c r="DG177" s="1366"/>
      <c r="DH177" s="1366"/>
      <c r="DI177" s="1366"/>
      <c r="DJ177" s="1366"/>
      <c r="DK177" s="1366"/>
      <c r="DL177" s="1366"/>
      <c r="DM177" s="1366"/>
      <c r="DN177" s="1366"/>
      <c r="DO177" s="1366"/>
      <c r="DP177" s="1366"/>
      <c r="DQ177" s="1366"/>
      <c r="DR177" s="1366"/>
      <c r="DS177" s="1366"/>
      <c r="DT177" s="1366"/>
      <c r="DU177" s="1366"/>
      <c r="DV177" s="1366"/>
    </row>
    <row r="178" spans="1:126" s="1367" customFormat="1" ht="19.5" customHeight="1" thickBot="1">
      <c r="A178" s="2495"/>
      <c r="B178" s="2502"/>
      <c r="C178" s="1561" t="str">
        <f>'Equipment Results Matrix'!W596</f>
        <v>Measure</v>
      </c>
      <c r="D178" s="1587" t="str">
        <f>'Equipment Results Matrix'!X596</f>
        <v>0.5 HP Brushless Fan Motor</v>
      </c>
      <c r="E178" s="1587" t="s">
        <v>2683</v>
      </c>
      <c r="F178" s="1364" t="s">
        <v>2107</v>
      </c>
      <c r="G178" s="1588" t="s">
        <v>1974</v>
      </c>
      <c r="H178" s="1593">
        <f>'Equipment Results Matrix'!Y596</f>
        <v>352.41967741935491</v>
      </c>
      <c r="I178" s="1553">
        <f>'Labor Results Matrix'!E68</f>
        <v>2.59375</v>
      </c>
      <c r="J178" s="1372">
        <f>'Labor Results Matrix'!$G$68*(1+'Labor Results Matrix'!$K$68)</f>
        <v>66.766854607032201</v>
      </c>
      <c r="K178" s="1416">
        <f>I178*J178</f>
        <v>173.17652913698976</v>
      </c>
      <c r="L178" s="1594"/>
      <c r="M178" s="1595">
        <f>H178+K178+L178</f>
        <v>525.59620655634467</v>
      </c>
      <c r="N178" s="1596">
        <f>M178-M177</f>
        <v>90.684000000000083</v>
      </c>
      <c r="O178" s="1404"/>
      <c r="P178" s="1405"/>
      <c r="Q178" s="1405"/>
      <c r="R178" s="1405"/>
      <c r="S178" s="1405"/>
      <c r="T178" s="1405"/>
      <c r="U178" s="1405"/>
      <c r="V178" s="1677"/>
      <c r="W178" s="1366"/>
      <c r="X178" s="1366"/>
      <c r="Y178" s="1366"/>
      <c r="Z178" s="1366"/>
      <c r="AA178" s="1366"/>
      <c r="AB178" s="1366"/>
      <c r="AC178" s="1366"/>
      <c r="AD178" s="1366"/>
      <c r="AE178" s="1366"/>
      <c r="AF178" s="1366"/>
      <c r="AG178" s="1366"/>
      <c r="AH178" s="1366"/>
      <c r="AI178" s="1366"/>
      <c r="AJ178" s="1366"/>
      <c r="AK178" s="1366"/>
      <c r="AL178" s="1366"/>
      <c r="AM178" s="1366"/>
      <c r="AN178" s="1366"/>
      <c r="AO178" s="1366"/>
      <c r="AP178" s="1366"/>
      <c r="AQ178" s="1366"/>
      <c r="AR178" s="1366"/>
      <c r="AS178" s="1366"/>
      <c r="AT178" s="1366"/>
      <c r="AU178" s="1366"/>
      <c r="AV178" s="1366"/>
      <c r="AW178" s="1366"/>
      <c r="AX178" s="1366"/>
      <c r="AY178" s="1366"/>
      <c r="AZ178" s="1366"/>
      <c r="BA178" s="1366"/>
      <c r="BB178" s="1366"/>
      <c r="BC178" s="1366"/>
      <c r="BD178" s="1366"/>
      <c r="BE178" s="1366"/>
      <c r="BF178" s="1366"/>
      <c r="BG178" s="1366"/>
      <c r="BH178" s="1366"/>
      <c r="BI178" s="1366"/>
      <c r="BJ178" s="1366"/>
      <c r="BK178" s="1366"/>
      <c r="BL178" s="1366"/>
      <c r="BM178" s="1366"/>
      <c r="BN178" s="1366"/>
      <c r="BO178" s="1366"/>
      <c r="BP178" s="1366"/>
      <c r="BQ178" s="1366"/>
      <c r="BR178" s="1366"/>
      <c r="BS178" s="1366"/>
      <c r="BT178" s="1366"/>
      <c r="BU178" s="1366"/>
      <c r="BV178" s="1366"/>
      <c r="BW178" s="1366"/>
      <c r="BX178" s="1366"/>
      <c r="BY178" s="1366"/>
      <c r="BZ178" s="1366"/>
      <c r="CA178" s="1366"/>
      <c r="CB178" s="1366"/>
      <c r="CC178" s="1366"/>
      <c r="CD178" s="1366"/>
      <c r="CE178" s="1366"/>
      <c r="CF178" s="1366"/>
      <c r="CG178" s="1366"/>
      <c r="CH178" s="1366"/>
      <c r="CI178" s="1366"/>
      <c r="CJ178" s="1366"/>
      <c r="CK178" s="1366"/>
      <c r="CL178" s="1366"/>
      <c r="CM178" s="1366"/>
      <c r="CN178" s="1366"/>
      <c r="CO178" s="1366"/>
      <c r="CP178" s="1366"/>
      <c r="CQ178" s="1366"/>
      <c r="CR178" s="1366"/>
      <c r="CS178" s="1366"/>
      <c r="CT178" s="1366"/>
      <c r="CU178" s="1366"/>
      <c r="CV178" s="1366"/>
      <c r="CW178" s="1366"/>
      <c r="CX178" s="1366"/>
      <c r="CY178" s="1366"/>
      <c r="CZ178" s="1366"/>
      <c r="DA178" s="1366"/>
      <c r="DB178" s="1366"/>
      <c r="DC178" s="1366"/>
      <c r="DD178" s="1366"/>
      <c r="DE178" s="1366"/>
      <c r="DF178" s="1366"/>
      <c r="DG178" s="1366"/>
      <c r="DH178" s="1366"/>
      <c r="DI178" s="1366"/>
      <c r="DJ178" s="1366"/>
      <c r="DK178" s="1366"/>
      <c r="DL178" s="1366"/>
      <c r="DM178" s="1366"/>
      <c r="DN178" s="1366"/>
      <c r="DO178" s="1366"/>
      <c r="DP178" s="1366"/>
      <c r="DQ178" s="1366"/>
      <c r="DR178" s="1366"/>
      <c r="DS178" s="1366"/>
      <c r="DT178" s="1366"/>
      <c r="DU178" s="1366"/>
      <c r="DV178" s="1366"/>
    </row>
    <row r="179" spans="1:126" s="1479" customFormat="1" ht="19.5" thickBot="1">
      <c r="A179" s="695"/>
      <c r="B179" s="1660"/>
      <c r="C179" s="1660"/>
      <c r="D179" s="699"/>
      <c r="E179" s="1318"/>
      <c r="F179" s="1318"/>
      <c r="G179" s="1318"/>
      <c r="H179" s="1389"/>
      <c r="I179" s="1446"/>
      <c r="J179" s="1390"/>
      <c r="K179" s="1389"/>
      <c r="L179" s="1532"/>
      <c r="M179" s="1389"/>
      <c r="N179" s="1497"/>
      <c r="O179" s="1389"/>
      <c r="P179" s="1390"/>
      <c r="Q179" s="1390"/>
      <c r="R179" s="1446"/>
      <c r="S179" s="1446"/>
      <c r="T179" s="1498"/>
      <c r="U179" s="1498"/>
      <c r="V179" s="1497"/>
      <c r="W179" s="1490"/>
      <c r="X179" s="1490"/>
      <c r="Y179" s="327"/>
      <c r="Z179" s="327"/>
      <c r="AA179" s="327"/>
      <c r="AB179" s="1490"/>
      <c r="AC179" s="1490"/>
      <c r="AD179" s="1490"/>
      <c r="AE179" s="1490"/>
      <c r="AF179" s="327"/>
      <c r="AG179" s="327"/>
      <c r="AH179" s="327"/>
      <c r="AI179" s="327"/>
      <c r="AJ179" s="327"/>
      <c r="AK179" s="1478"/>
      <c r="AL179" s="1478"/>
      <c r="AM179" s="1478"/>
      <c r="AN179" s="1478"/>
      <c r="AO179" s="1478"/>
      <c r="AP179" s="1478"/>
      <c r="AQ179" s="1478"/>
      <c r="AR179" s="1478"/>
      <c r="AS179" s="1478"/>
      <c r="AT179" s="1478"/>
      <c r="AU179" s="1478"/>
      <c r="AV179" s="1478"/>
      <c r="AW179" s="1478"/>
      <c r="AX179" s="1478"/>
      <c r="AY179" s="1478"/>
      <c r="AZ179" s="1478"/>
      <c r="BA179" s="1478"/>
      <c r="BB179" s="1478"/>
      <c r="BC179" s="1478"/>
      <c r="BD179" s="1478"/>
      <c r="BE179" s="1478"/>
      <c r="BF179" s="1478"/>
      <c r="BG179" s="1478"/>
      <c r="BH179" s="1478"/>
      <c r="BI179" s="1478"/>
      <c r="BJ179" s="1478"/>
      <c r="BK179" s="327"/>
      <c r="BL179" s="327"/>
      <c r="BM179" s="327"/>
      <c r="BN179" s="327"/>
      <c r="BO179" s="327"/>
      <c r="BP179" s="327"/>
      <c r="BQ179" s="327"/>
      <c r="BR179" s="327"/>
      <c r="BS179" s="327"/>
      <c r="BT179" s="327"/>
      <c r="BU179" s="327"/>
      <c r="BV179" s="327"/>
      <c r="BW179" s="327"/>
      <c r="BX179" s="327"/>
      <c r="BY179" s="327"/>
      <c r="BZ179" s="327"/>
      <c r="CA179" s="327"/>
      <c r="CB179" s="327"/>
      <c r="CC179" s="327"/>
      <c r="CD179" s="327"/>
      <c r="CE179" s="327"/>
      <c r="CF179" s="327"/>
      <c r="CG179" s="327"/>
      <c r="CH179" s="327"/>
      <c r="CI179" s="327"/>
      <c r="CJ179" s="327"/>
      <c r="CK179" s="327"/>
      <c r="CL179" s="327"/>
      <c r="CM179" s="327"/>
      <c r="CN179" s="327"/>
      <c r="CO179" s="327"/>
      <c r="CP179" s="327"/>
      <c r="CQ179" s="327"/>
      <c r="CR179" s="327"/>
      <c r="CS179" s="327"/>
      <c r="CT179" s="327"/>
      <c r="CU179" s="327"/>
      <c r="CV179" s="327"/>
      <c r="CW179" s="327"/>
      <c r="CX179" s="327"/>
      <c r="CY179" s="327"/>
      <c r="CZ179" s="327"/>
      <c r="DA179" s="327"/>
      <c r="DB179" s="327"/>
      <c r="DC179" s="327"/>
      <c r="DD179" s="327"/>
      <c r="DE179" s="327"/>
      <c r="DF179" s="327"/>
      <c r="DG179" s="327"/>
      <c r="DH179" s="327"/>
      <c r="DI179" s="327"/>
      <c r="DJ179" s="327"/>
      <c r="DK179" s="327"/>
      <c r="DL179" s="327"/>
      <c r="DM179" s="327"/>
      <c r="DN179" s="327"/>
      <c r="DO179" s="327"/>
      <c r="DP179" s="327"/>
      <c r="DQ179" s="327"/>
      <c r="DR179" s="327"/>
      <c r="DS179" s="327"/>
      <c r="DT179" s="327"/>
      <c r="DU179" s="327"/>
      <c r="DV179" s="327"/>
    </row>
    <row r="180" spans="1:126" s="1367" customFormat="1">
      <c r="A180" s="2493" t="s">
        <v>271</v>
      </c>
      <c r="B180" s="1661">
        <v>9114</v>
      </c>
      <c r="C180" s="1641" t="s">
        <v>47</v>
      </c>
      <c r="D180" s="1493" t="s">
        <v>265</v>
      </c>
      <c r="E180" s="1365" t="s">
        <v>2101</v>
      </c>
      <c r="F180" s="1364" t="s">
        <v>2107</v>
      </c>
      <c r="G180" s="1185" t="s">
        <v>2201</v>
      </c>
      <c r="H180" s="1494">
        <v>0</v>
      </c>
      <c r="I180" s="1371">
        <v>0</v>
      </c>
      <c r="J180" s="1417">
        <v>0</v>
      </c>
      <c r="K180" s="1373">
        <v>0</v>
      </c>
      <c r="L180" s="1388">
        <v>0</v>
      </c>
      <c r="M180" s="1373">
        <v>0</v>
      </c>
      <c r="N180" s="1455" t="s">
        <v>40</v>
      </c>
      <c r="O180" s="1404"/>
      <c r="P180" s="1405"/>
      <c r="Q180" s="1405"/>
      <c r="R180" s="1405"/>
      <c r="S180" s="1405"/>
      <c r="T180" s="1405"/>
      <c r="U180" s="1405"/>
      <c r="V180" s="1677"/>
      <c r="W180" s="1366"/>
      <c r="X180" s="1366"/>
      <c r="Y180" s="1366"/>
      <c r="Z180" s="1366"/>
      <c r="AA180" s="1366"/>
      <c r="AB180" s="1366"/>
      <c r="AC180" s="1366"/>
      <c r="AD180" s="1366"/>
      <c r="AE180" s="1366"/>
      <c r="AF180" s="1366"/>
      <c r="AG180" s="1366"/>
      <c r="AH180" s="1366"/>
      <c r="AI180" s="1366"/>
      <c r="AJ180" s="1366"/>
      <c r="AK180" s="1366"/>
      <c r="AL180" s="1366"/>
      <c r="AM180" s="1366"/>
      <c r="AN180" s="1366"/>
      <c r="AO180" s="1366"/>
      <c r="AP180" s="1366"/>
      <c r="AQ180" s="1366"/>
      <c r="AR180" s="1366"/>
      <c r="AS180" s="1366"/>
      <c r="AT180" s="1366"/>
      <c r="AU180" s="1366"/>
      <c r="AV180" s="1366"/>
      <c r="AW180" s="1366"/>
      <c r="AX180" s="1366"/>
      <c r="AY180" s="1366"/>
      <c r="AZ180" s="1366"/>
      <c r="BA180" s="1366"/>
      <c r="BB180" s="1366"/>
      <c r="BC180" s="1366"/>
      <c r="BD180" s="1366"/>
      <c r="BE180" s="1366"/>
      <c r="BF180" s="1366"/>
      <c r="BG180" s="1366"/>
      <c r="BH180" s="1366"/>
      <c r="BI180" s="1366"/>
      <c r="BJ180" s="1366"/>
      <c r="BK180" s="1366"/>
      <c r="BL180" s="1366"/>
      <c r="BM180" s="1366"/>
      <c r="BN180" s="1366"/>
      <c r="BO180" s="1366"/>
      <c r="BP180" s="1366"/>
      <c r="BQ180" s="1366"/>
      <c r="BR180" s="1366"/>
      <c r="BS180" s="1366"/>
      <c r="BT180" s="1366"/>
      <c r="BU180" s="1366"/>
      <c r="BV180" s="1366"/>
      <c r="BW180" s="1366"/>
      <c r="BX180" s="1366"/>
      <c r="BY180" s="1366"/>
      <c r="BZ180" s="1366"/>
      <c r="CA180" s="1366"/>
      <c r="CB180" s="1366"/>
      <c r="CC180" s="1366"/>
      <c r="CD180" s="1366"/>
      <c r="CE180" s="1366"/>
      <c r="CF180" s="1366"/>
      <c r="CG180" s="1366"/>
      <c r="CH180" s="1366"/>
      <c r="CI180" s="1366"/>
      <c r="CJ180" s="1366"/>
      <c r="CK180" s="1366"/>
      <c r="CL180" s="1366"/>
      <c r="CM180" s="1366"/>
      <c r="CN180" s="1366"/>
      <c r="CO180" s="1366"/>
      <c r="CP180" s="1366"/>
      <c r="CQ180" s="1366"/>
      <c r="CR180" s="1366"/>
      <c r="CS180" s="1366"/>
      <c r="CT180" s="1366"/>
      <c r="CU180" s="1366"/>
      <c r="CV180" s="1366"/>
      <c r="CW180" s="1366"/>
      <c r="CX180" s="1366"/>
      <c r="CY180" s="1366"/>
      <c r="CZ180" s="1366"/>
      <c r="DA180" s="1366"/>
      <c r="DB180" s="1366"/>
      <c r="DC180" s="1366"/>
      <c r="DD180" s="1366"/>
      <c r="DE180" s="1366"/>
      <c r="DF180" s="1366"/>
      <c r="DG180" s="1366"/>
      <c r="DH180" s="1366"/>
      <c r="DI180" s="1366"/>
      <c r="DJ180" s="1366"/>
      <c r="DK180" s="1366"/>
      <c r="DL180" s="1366"/>
      <c r="DM180" s="1366"/>
      <c r="DN180" s="1366"/>
      <c r="DO180" s="1366"/>
      <c r="DP180" s="1366"/>
      <c r="DQ180" s="1366"/>
      <c r="DR180" s="1366"/>
      <c r="DS180" s="1366"/>
      <c r="DT180" s="1366"/>
      <c r="DU180" s="1366"/>
      <c r="DV180" s="1366"/>
    </row>
    <row r="181" spans="1:126" s="1367" customFormat="1">
      <c r="A181" s="2494"/>
      <c r="B181" s="1653">
        <v>9114</v>
      </c>
      <c r="C181" s="658" t="s">
        <v>49</v>
      </c>
      <c r="D181" s="1364" t="s">
        <v>2117</v>
      </c>
      <c r="E181" s="1365" t="s">
        <v>2101</v>
      </c>
      <c r="F181" s="1364" t="s">
        <v>2107</v>
      </c>
      <c r="G181" s="1185" t="s">
        <v>2201</v>
      </c>
      <c r="H181" s="1361">
        <f>'Equipment Results Matrix'!Y535</f>
        <v>1251.72576</v>
      </c>
      <c r="I181" s="1371">
        <f>'Labor Results Matrix'!$E$5</f>
        <v>6</v>
      </c>
      <c r="J181" s="1372">
        <f>'Labor Results Matrix'!$G$6*(1+'Labor Results Matrix'!$K$5)</f>
        <v>67.015709046076509</v>
      </c>
      <c r="K181" s="1372">
        <f>(J181*I181)</f>
        <v>402.09425427645908</v>
      </c>
      <c r="L181" s="1388">
        <v>0</v>
      </c>
      <c r="M181" s="1372">
        <f>H181+K181</f>
        <v>1653.820014276459</v>
      </c>
      <c r="N181" s="1458">
        <f>M181</f>
        <v>1653.820014276459</v>
      </c>
      <c r="O181" s="1404"/>
      <c r="P181" s="1405"/>
      <c r="Q181" s="1405"/>
      <c r="R181" s="1405"/>
      <c r="S181" s="1405"/>
      <c r="T181" s="1405"/>
      <c r="U181" s="1405"/>
      <c r="V181" s="1677"/>
      <c r="W181" s="1366"/>
      <c r="X181" s="1366"/>
      <c r="Y181" s="1366"/>
      <c r="Z181" s="1366"/>
      <c r="AA181" s="1366"/>
      <c r="AB181" s="1366"/>
      <c r="AC181" s="1366"/>
      <c r="AD181" s="1366"/>
      <c r="AE181" s="1366"/>
      <c r="AF181" s="1366"/>
      <c r="AG181" s="1366"/>
      <c r="AH181" s="1366"/>
      <c r="AI181" s="1366"/>
      <c r="AJ181" s="1366"/>
      <c r="AK181" s="1366"/>
      <c r="AL181" s="1366"/>
      <c r="AM181" s="1366"/>
      <c r="AN181" s="1366"/>
      <c r="AO181" s="1366"/>
      <c r="AP181" s="1366"/>
      <c r="AQ181" s="1366"/>
      <c r="AR181" s="1366"/>
      <c r="AS181" s="1366"/>
      <c r="AT181" s="1366"/>
      <c r="AU181" s="1366"/>
      <c r="AV181" s="1366"/>
      <c r="AW181" s="1366"/>
      <c r="AX181" s="1366"/>
      <c r="AY181" s="1366"/>
      <c r="AZ181" s="1366"/>
      <c r="BA181" s="1366"/>
      <c r="BB181" s="1366"/>
      <c r="BC181" s="1366"/>
      <c r="BD181" s="1366"/>
      <c r="BE181" s="1366"/>
      <c r="BF181" s="1366"/>
      <c r="BG181" s="1366"/>
      <c r="BH181" s="1366"/>
      <c r="BI181" s="1366"/>
      <c r="BJ181" s="1366"/>
      <c r="BK181" s="1366"/>
      <c r="BL181" s="1366"/>
      <c r="BM181" s="1366"/>
      <c r="BN181" s="1366"/>
      <c r="BO181" s="1366"/>
      <c r="BP181" s="1366"/>
      <c r="BQ181" s="1366"/>
      <c r="BR181" s="1366"/>
      <c r="BS181" s="1366"/>
      <c r="BT181" s="1366"/>
      <c r="BU181" s="1366"/>
      <c r="BV181" s="1366"/>
      <c r="BW181" s="1366"/>
      <c r="BX181" s="1366"/>
      <c r="BY181" s="1366"/>
      <c r="BZ181" s="1366"/>
      <c r="CA181" s="1366"/>
      <c r="CB181" s="1366"/>
      <c r="CC181" s="1366"/>
      <c r="CD181" s="1366"/>
      <c r="CE181" s="1366"/>
      <c r="CF181" s="1366"/>
      <c r="CG181" s="1366"/>
      <c r="CH181" s="1366"/>
      <c r="CI181" s="1366"/>
      <c r="CJ181" s="1366"/>
      <c r="CK181" s="1366"/>
      <c r="CL181" s="1366"/>
      <c r="CM181" s="1366"/>
      <c r="CN181" s="1366"/>
      <c r="CO181" s="1366"/>
      <c r="CP181" s="1366"/>
      <c r="CQ181" s="1366"/>
      <c r="CR181" s="1366"/>
      <c r="CS181" s="1366"/>
      <c r="CT181" s="1366"/>
      <c r="CU181" s="1366"/>
      <c r="CV181" s="1366"/>
      <c r="CW181" s="1366"/>
      <c r="CX181" s="1366"/>
      <c r="CY181" s="1366"/>
      <c r="CZ181" s="1366"/>
      <c r="DA181" s="1366"/>
      <c r="DB181" s="1366"/>
      <c r="DC181" s="1366"/>
      <c r="DD181" s="1366"/>
      <c r="DE181" s="1366"/>
      <c r="DF181" s="1366"/>
      <c r="DG181" s="1366"/>
      <c r="DH181" s="1366"/>
      <c r="DI181" s="1366"/>
      <c r="DJ181" s="1366"/>
      <c r="DK181" s="1366"/>
      <c r="DL181" s="1366"/>
      <c r="DM181" s="1366"/>
      <c r="DN181" s="1366"/>
      <c r="DO181" s="1366"/>
      <c r="DP181" s="1366"/>
      <c r="DQ181" s="1366"/>
      <c r="DR181" s="1366"/>
      <c r="DS181" s="1366"/>
      <c r="DT181" s="1366"/>
      <c r="DU181" s="1366"/>
      <c r="DV181" s="1366"/>
    </row>
    <row r="182" spans="1:126" s="1367" customFormat="1">
      <c r="A182" s="2494"/>
      <c r="B182" s="1653">
        <v>9114</v>
      </c>
      <c r="C182" s="658" t="s">
        <v>49</v>
      </c>
      <c r="D182" s="1495" t="s">
        <v>2118</v>
      </c>
      <c r="E182" s="1365" t="s">
        <v>2101</v>
      </c>
      <c r="F182" s="1364" t="s">
        <v>2107</v>
      </c>
      <c r="G182" s="1185" t="s">
        <v>2201</v>
      </c>
      <c r="H182" s="1361">
        <f>'Equipment Results Matrix'!Y536</f>
        <v>535.10399999999993</v>
      </c>
      <c r="I182" s="1371">
        <f>'Labor Results Matrix'!$E$5</f>
        <v>6</v>
      </c>
      <c r="J182" s="1372">
        <f>'Labor Results Matrix'!$G$6*(1+'Labor Results Matrix'!$K$5)</f>
        <v>67.015709046076509</v>
      </c>
      <c r="K182" s="1372">
        <f t="shared" ref="K182:K185" si="31">(J182*I182)</f>
        <v>402.09425427645908</v>
      </c>
      <c r="L182" s="1388">
        <v>0</v>
      </c>
      <c r="M182" s="1372">
        <f>H182+K182</f>
        <v>937.19825427645901</v>
      </c>
      <c r="N182" s="1458">
        <f>M182</f>
        <v>937.19825427645901</v>
      </c>
      <c r="O182" s="1404"/>
      <c r="P182" s="1405"/>
      <c r="Q182" s="1405"/>
      <c r="R182" s="1405"/>
      <c r="S182" s="1405"/>
      <c r="T182" s="1405"/>
      <c r="U182" s="1405"/>
      <c r="V182" s="1677"/>
      <c r="W182" s="1366"/>
      <c r="X182" s="1366"/>
      <c r="Y182" s="1366"/>
      <c r="Z182" s="1366"/>
      <c r="AA182" s="1366"/>
      <c r="AB182" s="1366"/>
      <c r="AC182" s="1366"/>
      <c r="AD182" s="1366"/>
      <c r="AE182" s="1366"/>
      <c r="AF182" s="1366"/>
      <c r="AG182" s="1366"/>
      <c r="AH182" s="1366"/>
      <c r="AI182" s="1366"/>
      <c r="AJ182" s="1366"/>
      <c r="AK182" s="1366"/>
      <c r="AL182" s="1366"/>
      <c r="AM182" s="1366"/>
      <c r="AN182" s="1366"/>
      <c r="AO182" s="1366"/>
      <c r="AP182" s="1366"/>
      <c r="AQ182" s="1366"/>
      <c r="AR182" s="1366"/>
      <c r="AS182" s="1366"/>
      <c r="AT182" s="1366"/>
      <c r="AU182" s="1366"/>
      <c r="AV182" s="1366"/>
      <c r="AW182" s="1366"/>
      <c r="AX182" s="1366"/>
      <c r="AY182" s="1366"/>
      <c r="AZ182" s="1366"/>
      <c r="BA182" s="1366"/>
      <c r="BB182" s="1366"/>
      <c r="BC182" s="1366"/>
      <c r="BD182" s="1366"/>
      <c r="BE182" s="1366"/>
      <c r="BF182" s="1366"/>
      <c r="BG182" s="1366"/>
      <c r="BH182" s="1366"/>
      <c r="BI182" s="1366"/>
      <c r="BJ182" s="1366"/>
      <c r="BK182" s="1366"/>
      <c r="BL182" s="1366"/>
      <c r="BM182" s="1366"/>
      <c r="BN182" s="1366"/>
      <c r="BO182" s="1366"/>
      <c r="BP182" s="1366"/>
      <c r="BQ182" s="1366"/>
      <c r="BR182" s="1366"/>
      <c r="BS182" s="1366"/>
      <c r="BT182" s="1366"/>
      <c r="BU182" s="1366"/>
      <c r="BV182" s="1366"/>
      <c r="BW182" s="1366"/>
      <c r="BX182" s="1366"/>
      <c r="BY182" s="1366"/>
      <c r="BZ182" s="1366"/>
      <c r="CA182" s="1366"/>
      <c r="CB182" s="1366"/>
      <c r="CC182" s="1366"/>
      <c r="CD182" s="1366"/>
      <c r="CE182" s="1366"/>
      <c r="CF182" s="1366"/>
      <c r="CG182" s="1366"/>
      <c r="CH182" s="1366"/>
      <c r="CI182" s="1366"/>
      <c r="CJ182" s="1366"/>
      <c r="CK182" s="1366"/>
      <c r="CL182" s="1366"/>
      <c r="CM182" s="1366"/>
      <c r="CN182" s="1366"/>
      <c r="CO182" s="1366"/>
      <c r="CP182" s="1366"/>
      <c r="CQ182" s="1366"/>
      <c r="CR182" s="1366"/>
      <c r="CS182" s="1366"/>
      <c r="CT182" s="1366"/>
      <c r="CU182" s="1366"/>
      <c r="CV182" s="1366"/>
      <c r="CW182" s="1366"/>
      <c r="CX182" s="1366"/>
      <c r="CY182" s="1366"/>
      <c r="CZ182" s="1366"/>
      <c r="DA182" s="1366"/>
      <c r="DB182" s="1366"/>
      <c r="DC182" s="1366"/>
      <c r="DD182" s="1366"/>
      <c r="DE182" s="1366"/>
      <c r="DF182" s="1366"/>
      <c r="DG182" s="1366"/>
      <c r="DH182" s="1366"/>
      <c r="DI182" s="1366"/>
      <c r="DJ182" s="1366"/>
      <c r="DK182" s="1366"/>
      <c r="DL182" s="1366"/>
      <c r="DM182" s="1366"/>
      <c r="DN182" s="1366"/>
      <c r="DO182" s="1366"/>
      <c r="DP182" s="1366"/>
      <c r="DQ182" s="1366"/>
      <c r="DR182" s="1366"/>
      <c r="DS182" s="1366"/>
      <c r="DT182" s="1366"/>
      <c r="DU182" s="1366"/>
      <c r="DV182" s="1366"/>
    </row>
    <row r="183" spans="1:126" s="1367" customFormat="1">
      <c r="A183" s="2494"/>
      <c r="B183" s="1653">
        <v>9114</v>
      </c>
      <c r="C183" s="658" t="s">
        <v>49</v>
      </c>
      <c r="D183" s="1495" t="s">
        <v>2119</v>
      </c>
      <c r="E183" s="1365" t="s">
        <v>2101</v>
      </c>
      <c r="F183" s="1364" t="s">
        <v>2107</v>
      </c>
      <c r="G183" s="1185" t="s">
        <v>2201</v>
      </c>
      <c r="H183" s="1361">
        <f>'Equipment Results Matrix'!Y537</f>
        <v>649.58400000000006</v>
      </c>
      <c r="I183" s="1371">
        <f>'Labor Results Matrix'!$E$5</f>
        <v>6</v>
      </c>
      <c r="J183" s="1372">
        <f>'Labor Results Matrix'!$G$6*(1+'Labor Results Matrix'!$K$5)</f>
        <v>67.015709046076509</v>
      </c>
      <c r="K183" s="1372">
        <f t="shared" si="31"/>
        <v>402.09425427645908</v>
      </c>
      <c r="L183" s="1388">
        <v>0</v>
      </c>
      <c r="M183" s="1372">
        <f>H183+K183</f>
        <v>1051.678254276459</v>
      </c>
      <c r="N183" s="1458">
        <f>M183</f>
        <v>1051.678254276459</v>
      </c>
      <c r="O183" s="1404"/>
      <c r="P183" s="1405"/>
      <c r="Q183" s="1405"/>
      <c r="R183" s="1405"/>
      <c r="S183" s="1405"/>
      <c r="T183" s="1405"/>
      <c r="U183" s="1405"/>
      <c r="V183" s="1677"/>
      <c r="W183" s="1366"/>
      <c r="X183" s="1366"/>
      <c r="Y183" s="1366"/>
      <c r="Z183" s="1366"/>
      <c r="AA183" s="1366"/>
      <c r="AB183" s="1366"/>
      <c r="AC183" s="1366"/>
      <c r="AD183" s="1366"/>
      <c r="AE183" s="1366"/>
      <c r="AF183" s="1366"/>
      <c r="AG183" s="1366"/>
      <c r="AH183" s="1366"/>
      <c r="AI183" s="1366"/>
      <c r="AJ183" s="1366"/>
      <c r="AK183" s="1366"/>
      <c r="AL183" s="1366"/>
      <c r="AM183" s="1366"/>
      <c r="AN183" s="1366"/>
      <c r="AO183" s="1366"/>
      <c r="AP183" s="1366"/>
      <c r="AQ183" s="1366"/>
      <c r="AR183" s="1366"/>
      <c r="AS183" s="1366"/>
      <c r="AT183" s="1366"/>
      <c r="AU183" s="1366"/>
      <c r="AV183" s="1366"/>
      <c r="AW183" s="1366"/>
      <c r="AX183" s="1366"/>
      <c r="AY183" s="1366"/>
      <c r="AZ183" s="1366"/>
      <c r="BA183" s="1366"/>
      <c r="BB183" s="1366"/>
      <c r="BC183" s="1366"/>
      <c r="BD183" s="1366"/>
      <c r="BE183" s="1366"/>
      <c r="BF183" s="1366"/>
      <c r="BG183" s="1366"/>
      <c r="BH183" s="1366"/>
      <c r="BI183" s="1366"/>
      <c r="BJ183" s="1366"/>
      <c r="BK183" s="1366"/>
      <c r="BL183" s="1366"/>
      <c r="BM183" s="1366"/>
      <c r="BN183" s="1366"/>
      <c r="BO183" s="1366"/>
      <c r="BP183" s="1366"/>
      <c r="BQ183" s="1366"/>
      <c r="BR183" s="1366"/>
      <c r="BS183" s="1366"/>
      <c r="BT183" s="1366"/>
      <c r="BU183" s="1366"/>
      <c r="BV183" s="1366"/>
      <c r="BW183" s="1366"/>
      <c r="BX183" s="1366"/>
      <c r="BY183" s="1366"/>
      <c r="BZ183" s="1366"/>
      <c r="CA183" s="1366"/>
      <c r="CB183" s="1366"/>
      <c r="CC183" s="1366"/>
      <c r="CD183" s="1366"/>
      <c r="CE183" s="1366"/>
      <c r="CF183" s="1366"/>
      <c r="CG183" s="1366"/>
      <c r="CH183" s="1366"/>
      <c r="CI183" s="1366"/>
      <c r="CJ183" s="1366"/>
      <c r="CK183" s="1366"/>
      <c r="CL183" s="1366"/>
      <c r="CM183" s="1366"/>
      <c r="CN183" s="1366"/>
      <c r="CO183" s="1366"/>
      <c r="CP183" s="1366"/>
      <c r="CQ183" s="1366"/>
      <c r="CR183" s="1366"/>
      <c r="CS183" s="1366"/>
      <c r="CT183" s="1366"/>
      <c r="CU183" s="1366"/>
      <c r="CV183" s="1366"/>
      <c r="CW183" s="1366"/>
      <c r="CX183" s="1366"/>
      <c r="CY183" s="1366"/>
      <c r="CZ183" s="1366"/>
      <c r="DA183" s="1366"/>
      <c r="DB183" s="1366"/>
      <c r="DC183" s="1366"/>
      <c r="DD183" s="1366"/>
      <c r="DE183" s="1366"/>
      <c r="DF183" s="1366"/>
      <c r="DG183" s="1366"/>
      <c r="DH183" s="1366"/>
      <c r="DI183" s="1366"/>
      <c r="DJ183" s="1366"/>
      <c r="DK183" s="1366"/>
      <c r="DL183" s="1366"/>
      <c r="DM183" s="1366"/>
      <c r="DN183" s="1366"/>
      <c r="DO183" s="1366"/>
      <c r="DP183" s="1366"/>
      <c r="DQ183" s="1366"/>
      <c r="DR183" s="1366"/>
      <c r="DS183" s="1366"/>
      <c r="DT183" s="1366"/>
      <c r="DU183" s="1366"/>
      <c r="DV183" s="1366"/>
    </row>
    <row r="184" spans="1:126" s="1367" customFormat="1">
      <c r="A184" s="2494"/>
      <c r="B184" s="1653">
        <v>9114</v>
      </c>
      <c r="C184" s="658" t="s">
        <v>49</v>
      </c>
      <c r="D184" s="1495" t="s">
        <v>2120</v>
      </c>
      <c r="E184" s="1365" t="s">
        <v>2101</v>
      </c>
      <c r="F184" s="1364" t="s">
        <v>2107</v>
      </c>
      <c r="G184" s="1185" t="s">
        <v>2201</v>
      </c>
      <c r="H184" s="1361">
        <f>'Equipment Results Matrix'!Y538</f>
        <v>903.98400000000004</v>
      </c>
      <c r="I184" s="1371">
        <f>'Labor Results Matrix'!$E$5</f>
        <v>6</v>
      </c>
      <c r="J184" s="1372">
        <f>'Labor Results Matrix'!$G$6*(1+'Labor Results Matrix'!$K$5)</f>
        <v>67.015709046076509</v>
      </c>
      <c r="K184" s="1372">
        <f t="shared" si="31"/>
        <v>402.09425427645908</v>
      </c>
      <c r="L184" s="1388">
        <v>0</v>
      </c>
      <c r="M184" s="1372">
        <f>H184+K184</f>
        <v>1306.0782542764591</v>
      </c>
      <c r="N184" s="1458">
        <f>M184</f>
        <v>1306.0782542764591</v>
      </c>
      <c r="O184" s="1404"/>
      <c r="P184" s="1405"/>
      <c r="Q184" s="1405"/>
      <c r="R184" s="1405"/>
      <c r="S184" s="1405"/>
      <c r="T184" s="1405"/>
      <c r="U184" s="1405"/>
      <c r="V184" s="1677"/>
      <c r="W184" s="1366"/>
      <c r="X184" s="1366"/>
      <c r="Y184" s="1366"/>
      <c r="Z184" s="1366"/>
      <c r="AA184" s="1366"/>
      <c r="AB184" s="1366"/>
      <c r="AC184" s="1366"/>
      <c r="AD184" s="1366"/>
      <c r="AE184" s="1366"/>
      <c r="AF184" s="1366"/>
      <c r="AG184" s="1366"/>
      <c r="AH184" s="1366"/>
      <c r="AI184" s="1366"/>
      <c r="AJ184" s="1366"/>
      <c r="AK184" s="1366"/>
      <c r="AL184" s="1366"/>
      <c r="AM184" s="1366"/>
      <c r="AN184" s="1366"/>
      <c r="AO184" s="1366"/>
      <c r="AP184" s="1366"/>
      <c r="AQ184" s="1366"/>
      <c r="AR184" s="1366"/>
      <c r="AS184" s="1366"/>
      <c r="AT184" s="1366"/>
      <c r="AU184" s="1366"/>
      <c r="AV184" s="1366"/>
      <c r="AW184" s="1366"/>
      <c r="AX184" s="1366"/>
      <c r="AY184" s="1366"/>
      <c r="AZ184" s="1366"/>
      <c r="BA184" s="1366"/>
      <c r="BB184" s="1366"/>
      <c r="BC184" s="1366"/>
      <c r="BD184" s="1366"/>
      <c r="BE184" s="1366"/>
      <c r="BF184" s="1366"/>
      <c r="BG184" s="1366"/>
      <c r="BH184" s="1366"/>
      <c r="BI184" s="1366"/>
      <c r="BJ184" s="1366"/>
      <c r="BK184" s="1366"/>
      <c r="BL184" s="1366"/>
      <c r="BM184" s="1366"/>
      <c r="BN184" s="1366"/>
      <c r="BO184" s="1366"/>
      <c r="BP184" s="1366"/>
      <c r="BQ184" s="1366"/>
      <c r="BR184" s="1366"/>
      <c r="BS184" s="1366"/>
      <c r="BT184" s="1366"/>
      <c r="BU184" s="1366"/>
      <c r="BV184" s="1366"/>
      <c r="BW184" s="1366"/>
      <c r="BX184" s="1366"/>
      <c r="BY184" s="1366"/>
      <c r="BZ184" s="1366"/>
      <c r="CA184" s="1366"/>
      <c r="CB184" s="1366"/>
      <c r="CC184" s="1366"/>
      <c r="CD184" s="1366"/>
      <c r="CE184" s="1366"/>
      <c r="CF184" s="1366"/>
      <c r="CG184" s="1366"/>
      <c r="CH184" s="1366"/>
      <c r="CI184" s="1366"/>
      <c r="CJ184" s="1366"/>
      <c r="CK184" s="1366"/>
      <c r="CL184" s="1366"/>
      <c r="CM184" s="1366"/>
      <c r="CN184" s="1366"/>
      <c r="CO184" s="1366"/>
      <c r="CP184" s="1366"/>
      <c r="CQ184" s="1366"/>
      <c r="CR184" s="1366"/>
      <c r="CS184" s="1366"/>
      <c r="CT184" s="1366"/>
      <c r="CU184" s="1366"/>
      <c r="CV184" s="1366"/>
      <c r="CW184" s="1366"/>
      <c r="CX184" s="1366"/>
      <c r="CY184" s="1366"/>
      <c r="CZ184" s="1366"/>
      <c r="DA184" s="1366"/>
      <c r="DB184" s="1366"/>
      <c r="DC184" s="1366"/>
      <c r="DD184" s="1366"/>
      <c r="DE184" s="1366"/>
      <c r="DF184" s="1366"/>
      <c r="DG184" s="1366"/>
      <c r="DH184" s="1366"/>
      <c r="DI184" s="1366"/>
      <c r="DJ184" s="1366"/>
      <c r="DK184" s="1366"/>
      <c r="DL184" s="1366"/>
      <c r="DM184" s="1366"/>
      <c r="DN184" s="1366"/>
      <c r="DO184" s="1366"/>
      <c r="DP184" s="1366"/>
      <c r="DQ184" s="1366"/>
      <c r="DR184" s="1366"/>
      <c r="DS184" s="1366"/>
      <c r="DT184" s="1366"/>
      <c r="DU184" s="1366"/>
      <c r="DV184" s="1366"/>
    </row>
    <row r="185" spans="1:126" s="1367" customFormat="1" ht="15.75" thickBot="1">
      <c r="A185" s="2494"/>
      <c r="B185" s="1662">
        <v>9114</v>
      </c>
      <c r="C185" s="658" t="s">
        <v>49</v>
      </c>
      <c r="D185" s="1496" t="s">
        <v>2121</v>
      </c>
      <c r="E185" s="1365" t="s">
        <v>2101</v>
      </c>
      <c r="F185" s="1364" t="s">
        <v>2107</v>
      </c>
      <c r="G185" s="1185" t="s">
        <v>2201</v>
      </c>
      <c r="H185" s="1361">
        <f>'Equipment Results Matrix'!Y539</f>
        <v>620.19600000000003</v>
      </c>
      <c r="I185" s="1371">
        <f>'Labor Results Matrix'!$E$5</f>
        <v>6</v>
      </c>
      <c r="J185" s="1372">
        <f>'Labor Results Matrix'!$G$6*(1+'Labor Results Matrix'!$K$5)</f>
        <v>67.015709046076509</v>
      </c>
      <c r="K185" s="1372">
        <f t="shared" si="31"/>
        <v>402.09425427645908</v>
      </c>
      <c r="L185" s="1388">
        <v>0</v>
      </c>
      <c r="M185" s="1372">
        <f>H185+K185</f>
        <v>1022.2902542764591</v>
      </c>
      <c r="N185" s="1458">
        <f>M185</f>
        <v>1022.2902542764591</v>
      </c>
      <c r="O185" s="1404"/>
      <c r="P185" s="1405"/>
      <c r="Q185" s="1405"/>
      <c r="R185" s="1405"/>
      <c r="S185" s="1405"/>
      <c r="T185" s="1405"/>
      <c r="U185" s="1405"/>
      <c r="V185" s="1677"/>
      <c r="W185" s="1366"/>
      <c r="X185" s="1366"/>
      <c r="Y185" s="1366"/>
      <c r="Z185" s="1366"/>
      <c r="AA185" s="1366"/>
      <c r="AB185" s="1366"/>
      <c r="AC185" s="1366"/>
      <c r="AD185" s="1366"/>
      <c r="AE185" s="1366"/>
      <c r="AF185" s="1366"/>
      <c r="AG185" s="1366"/>
      <c r="AH185" s="1366"/>
      <c r="AI185" s="1366"/>
      <c r="AJ185" s="1366"/>
      <c r="AK185" s="1366"/>
      <c r="AL185" s="1366"/>
      <c r="AM185" s="1366"/>
      <c r="AN185" s="1366"/>
      <c r="AO185" s="1366"/>
      <c r="AP185" s="1366"/>
      <c r="AQ185" s="1366"/>
      <c r="AR185" s="1366"/>
      <c r="AS185" s="1366"/>
      <c r="AT185" s="1366"/>
      <c r="AU185" s="1366"/>
      <c r="AV185" s="1366"/>
      <c r="AW185" s="1366"/>
      <c r="AX185" s="1366"/>
      <c r="AY185" s="1366"/>
      <c r="AZ185" s="1366"/>
      <c r="BA185" s="1366"/>
      <c r="BB185" s="1366"/>
      <c r="BC185" s="1366"/>
      <c r="BD185" s="1366"/>
      <c r="BE185" s="1366"/>
      <c r="BF185" s="1366"/>
      <c r="BG185" s="1366"/>
      <c r="BH185" s="1366"/>
      <c r="BI185" s="1366"/>
      <c r="BJ185" s="1366"/>
      <c r="BK185" s="1366"/>
      <c r="BL185" s="1366"/>
      <c r="BM185" s="1366"/>
      <c r="BN185" s="1366"/>
      <c r="BO185" s="1366"/>
      <c r="BP185" s="1366"/>
      <c r="BQ185" s="1366"/>
      <c r="BR185" s="1366"/>
      <c r="BS185" s="1366"/>
      <c r="BT185" s="1366"/>
      <c r="BU185" s="1366"/>
      <c r="BV185" s="1366"/>
      <c r="BW185" s="1366"/>
      <c r="BX185" s="1366"/>
      <c r="BY185" s="1366"/>
      <c r="BZ185" s="1366"/>
      <c r="CA185" s="1366"/>
      <c r="CB185" s="1366"/>
      <c r="CC185" s="1366"/>
      <c r="CD185" s="1366"/>
      <c r="CE185" s="1366"/>
      <c r="CF185" s="1366"/>
      <c r="CG185" s="1366"/>
      <c r="CH185" s="1366"/>
      <c r="CI185" s="1366"/>
      <c r="CJ185" s="1366"/>
      <c r="CK185" s="1366"/>
      <c r="CL185" s="1366"/>
      <c r="CM185" s="1366"/>
      <c r="CN185" s="1366"/>
      <c r="CO185" s="1366"/>
      <c r="CP185" s="1366"/>
      <c r="CQ185" s="1366"/>
      <c r="CR185" s="1366"/>
      <c r="CS185" s="1366"/>
      <c r="CT185" s="1366"/>
      <c r="CU185" s="1366"/>
      <c r="CV185" s="1366"/>
      <c r="CW185" s="1366"/>
      <c r="CX185" s="1366"/>
      <c r="CY185" s="1366"/>
      <c r="CZ185" s="1366"/>
      <c r="DA185" s="1366"/>
      <c r="DB185" s="1366"/>
      <c r="DC185" s="1366"/>
      <c r="DD185" s="1366"/>
      <c r="DE185" s="1366"/>
      <c r="DF185" s="1366"/>
      <c r="DG185" s="1366"/>
      <c r="DH185" s="1366"/>
      <c r="DI185" s="1366"/>
      <c r="DJ185" s="1366"/>
      <c r="DK185" s="1366"/>
      <c r="DL185" s="1366"/>
      <c r="DM185" s="1366"/>
      <c r="DN185" s="1366"/>
      <c r="DO185" s="1366"/>
      <c r="DP185" s="1366"/>
      <c r="DQ185" s="1366"/>
      <c r="DR185" s="1366"/>
      <c r="DS185" s="1366"/>
      <c r="DT185" s="1366"/>
      <c r="DU185" s="1366"/>
      <c r="DV185" s="1366"/>
    </row>
    <row r="186" spans="1:126" s="1510" customFormat="1" ht="24" thickBot="1">
      <c r="A186" s="721" t="s">
        <v>1108</v>
      </c>
      <c r="B186" s="1663"/>
      <c r="C186" s="1669"/>
      <c r="D186" s="1504"/>
      <c r="E186" s="1504"/>
      <c r="F186" s="1504"/>
      <c r="G186" s="1504"/>
      <c r="H186" s="1505"/>
      <c r="I186" s="1506"/>
      <c r="J186" s="1507"/>
      <c r="K186" s="1507"/>
      <c r="L186" s="1533"/>
      <c r="M186" s="1507"/>
      <c r="N186" s="1508"/>
      <c r="O186" s="1505"/>
      <c r="P186" s="1509"/>
      <c r="Q186" s="1509"/>
      <c r="R186" s="1509"/>
      <c r="S186" s="1509"/>
      <c r="T186" s="1509"/>
      <c r="U186" s="1509"/>
      <c r="V186" s="1508"/>
      <c r="W186" s="1366"/>
      <c r="X186" s="1366"/>
      <c r="Y186" s="1366"/>
      <c r="Z186" s="1366"/>
      <c r="AA186" s="1366"/>
      <c r="AB186" s="1366"/>
      <c r="AC186" s="1366"/>
      <c r="AD186" s="1366"/>
      <c r="AE186" s="1366"/>
      <c r="AF186" s="1366"/>
      <c r="AG186" s="1366"/>
      <c r="AH186" s="1366"/>
      <c r="AI186" s="1366"/>
      <c r="AJ186" s="1366"/>
      <c r="AK186" s="1366"/>
      <c r="AL186" s="1366"/>
      <c r="AM186" s="1366"/>
      <c r="AN186" s="1366"/>
      <c r="AO186" s="1366"/>
      <c r="AP186" s="1366"/>
      <c r="AQ186" s="1366"/>
      <c r="AR186" s="1366"/>
      <c r="AS186" s="1366"/>
      <c r="AT186" s="1366"/>
      <c r="AU186" s="1366"/>
      <c r="AV186" s="1366"/>
      <c r="AW186" s="1366"/>
      <c r="AX186" s="1366"/>
      <c r="AY186" s="1366"/>
      <c r="AZ186" s="1366"/>
      <c r="BA186" s="1366"/>
      <c r="BB186" s="1366"/>
      <c r="BC186" s="1366"/>
      <c r="BD186" s="1366"/>
      <c r="BE186" s="1366"/>
      <c r="BF186" s="1366"/>
      <c r="BG186" s="1366"/>
      <c r="BH186" s="1366"/>
      <c r="BI186" s="1366"/>
      <c r="BJ186" s="1366"/>
      <c r="BK186" s="1366"/>
      <c r="BL186" s="1366"/>
      <c r="BM186" s="1366"/>
      <c r="BN186" s="1366"/>
      <c r="BO186" s="1366"/>
      <c r="BP186" s="1366"/>
      <c r="BQ186" s="1366"/>
      <c r="BR186" s="1366"/>
      <c r="BS186" s="1366"/>
      <c r="BT186" s="1366"/>
      <c r="BU186" s="1366"/>
      <c r="BV186" s="1366"/>
      <c r="BW186" s="1366"/>
      <c r="BX186" s="1366"/>
      <c r="BY186" s="1366"/>
      <c r="BZ186" s="1366"/>
      <c r="CA186" s="1366"/>
      <c r="CB186" s="1366"/>
      <c r="CC186" s="1366"/>
      <c r="CD186" s="1366"/>
      <c r="CE186" s="1366"/>
      <c r="CF186" s="1366"/>
      <c r="CG186" s="1366"/>
      <c r="CH186" s="1366"/>
      <c r="CI186" s="1366"/>
      <c r="CJ186" s="1366"/>
      <c r="CK186" s="1366"/>
      <c r="CL186" s="1366"/>
      <c r="CM186" s="1366"/>
      <c r="CN186" s="1366"/>
      <c r="CO186" s="1366"/>
      <c r="CP186" s="1366"/>
      <c r="CQ186" s="1366"/>
      <c r="CR186" s="1366"/>
      <c r="CS186" s="1366"/>
      <c r="CT186" s="1366"/>
      <c r="CU186" s="1366"/>
      <c r="CV186" s="1366"/>
      <c r="CW186" s="1366"/>
      <c r="CX186" s="1366"/>
      <c r="CY186" s="1366"/>
      <c r="CZ186" s="1366"/>
      <c r="DA186" s="1366"/>
      <c r="DB186" s="1366"/>
      <c r="DC186" s="1366"/>
      <c r="DD186" s="1366"/>
      <c r="DE186" s="1366"/>
      <c r="DF186" s="1366"/>
      <c r="DG186" s="1366"/>
      <c r="DH186" s="1366"/>
      <c r="DI186" s="1366"/>
      <c r="DJ186" s="1366"/>
      <c r="DK186" s="1366"/>
      <c r="DL186" s="1366"/>
      <c r="DM186" s="1366"/>
      <c r="DN186" s="1366"/>
      <c r="DO186" s="1366"/>
      <c r="DP186" s="1366"/>
      <c r="DQ186" s="1366"/>
      <c r="DR186" s="1366"/>
      <c r="DS186" s="1366"/>
      <c r="DT186" s="1366"/>
      <c r="DU186" s="1366"/>
      <c r="DV186" s="1366"/>
    </row>
    <row r="187" spans="1:126" s="1367" customFormat="1">
      <c r="A187" s="2493" t="s">
        <v>1133</v>
      </c>
      <c r="B187" s="1653">
        <v>9041</v>
      </c>
      <c r="C187" s="1638" t="s">
        <v>47</v>
      </c>
      <c r="D187" s="1364" t="s">
        <v>2534</v>
      </c>
      <c r="E187" s="1364" t="s">
        <v>2100</v>
      </c>
      <c r="F187" s="1364" t="s">
        <v>2108</v>
      </c>
      <c r="G187" s="506" t="s">
        <v>1974</v>
      </c>
      <c r="H187" s="1361">
        <v>0</v>
      </c>
      <c r="I187" s="1371">
        <v>0</v>
      </c>
      <c r="J187" s="1372">
        <f>'Labor Results Matrix'!$G$68*(1+'Labor Results Matrix'!$K$83)</f>
        <v>67.898496210541225</v>
      </c>
      <c r="K187" s="1372">
        <f>J187*I187</f>
        <v>0</v>
      </c>
      <c r="L187" s="1372"/>
      <c r="M187" s="1372">
        <f>H187+K187</f>
        <v>0</v>
      </c>
      <c r="N187" s="1458" t="s">
        <v>40</v>
      </c>
      <c r="O187" s="1361">
        <v>0</v>
      </c>
      <c r="P187" s="1371">
        <v>0</v>
      </c>
      <c r="Q187" s="1372">
        <v>0</v>
      </c>
      <c r="R187" s="1384"/>
      <c r="S187" s="1384"/>
      <c r="T187" s="1372">
        <v>0</v>
      </c>
      <c r="U187" s="1372" t="s">
        <v>40</v>
      </c>
      <c r="V187" s="1461"/>
      <c r="W187" s="1366"/>
      <c r="X187" s="1366"/>
      <c r="Y187" s="1366"/>
      <c r="Z187" s="1366"/>
      <c r="AA187" s="1366"/>
      <c r="AB187" s="1366"/>
      <c r="AC187" s="1366"/>
      <c r="AD187" s="1366"/>
      <c r="AE187" s="1366"/>
      <c r="AF187" s="1366"/>
      <c r="AG187" s="1366"/>
      <c r="AH187" s="1366"/>
      <c r="AI187" s="1366"/>
      <c r="AJ187" s="1366"/>
      <c r="AK187" s="1366"/>
      <c r="AL187" s="1366"/>
      <c r="AM187" s="1366"/>
      <c r="AN187" s="1366"/>
      <c r="AO187" s="1366"/>
      <c r="AP187" s="1366"/>
      <c r="AQ187" s="1366"/>
      <c r="AR187" s="1366"/>
      <c r="AS187" s="1366"/>
      <c r="AT187" s="1366"/>
      <c r="AU187" s="1366"/>
      <c r="AV187" s="1366"/>
      <c r="AW187" s="1366"/>
      <c r="AX187" s="1366"/>
      <c r="AY187" s="1366"/>
      <c r="AZ187" s="1366"/>
      <c r="BA187" s="1366"/>
      <c r="BB187" s="1366"/>
      <c r="BC187" s="1366"/>
      <c r="BD187" s="1366"/>
      <c r="BE187" s="1366"/>
      <c r="BF187" s="1366"/>
      <c r="BG187" s="1366"/>
      <c r="BH187" s="1366"/>
      <c r="BI187" s="1366"/>
      <c r="BJ187" s="1366"/>
      <c r="BK187" s="1366"/>
      <c r="BL187" s="1366"/>
      <c r="BM187" s="1366"/>
      <c r="BN187" s="1366"/>
      <c r="BO187" s="1366"/>
      <c r="BP187" s="1366"/>
      <c r="BQ187" s="1366"/>
      <c r="BR187" s="1366"/>
      <c r="BS187" s="1366"/>
      <c r="BT187" s="1366"/>
      <c r="BU187" s="1366"/>
      <c r="BV187" s="1366"/>
      <c r="BW187" s="1366"/>
      <c r="BX187" s="1366"/>
      <c r="BY187" s="1366"/>
      <c r="BZ187" s="1366"/>
      <c r="CA187" s="1366"/>
      <c r="CB187" s="1366"/>
      <c r="CC187" s="1366"/>
      <c r="CD187" s="1366"/>
      <c r="CE187" s="1366"/>
      <c r="CF187" s="1366"/>
      <c r="CG187" s="1366"/>
      <c r="CH187" s="1366"/>
      <c r="CI187" s="1366"/>
      <c r="CJ187" s="1366"/>
      <c r="CK187" s="1366"/>
      <c r="CL187" s="1366"/>
      <c r="CM187" s="1366"/>
      <c r="CN187" s="1366"/>
      <c r="CO187" s="1366"/>
      <c r="CP187" s="1366"/>
      <c r="CQ187" s="1366"/>
      <c r="CR187" s="1366"/>
      <c r="CS187" s="1366"/>
      <c r="CT187" s="1366"/>
      <c r="CU187" s="1366"/>
      <c r="CV187" s="1366"/>
      <c r="CW187" s="1366"/>
      <c r="CX187" s="1366"/>
      <c r="CY187" s="1366"/>
      <c r="CZ187" s="1366"/>
      <c r="DA187" s="1366"/>
      <c r="DB187" s="1366"/>
      <c r="DC187" s="1366"/>
      <c r="DD187" s="1366"/>
      <c r="DE187" s="1366"/>
      <c r="DF187" s="1366"/>
      <c r="DG187" s="1366"/>
      <c r="DH187" s="1366"/>
      <c r="DI187" s="1366"/>
      <c r="DJ187" s="1366"/>
      <c r="DK187" s="1366"/>
      <c r="DL187" s="1366"/>
      <c r="DM187" s="1366"/>
      <c r="DN187" s="1366"/>
      <c r="DO187" s="1366"/>
      <c r="DP187" s="1366"/>
      <c r="DQ187" s="1366"/>
      <c r="DR187" s="1366"/>
      <c r="DS187" s="1366"/>
      <c r="DT187" s="1366"/>
      <c r="DU187" s="1366"/>
      <c r="DV187" s="1366"/>
    </row>
    <row r="188" spans="1:126" s="1367" customFormat="1" ht="30">
      <c r="A188" s="2494"/>
      <c r="B188" s="1653">
        <v>9041</v>
      </c>
      <c r="C188" s="1642" t="s">
        <v>49</v>
      </c>
      <c r="D188" s="1516" t="s">
        <v>2539</v>
      </c>
      <c r="E188" s="1364" t="s">
        <v>2100</v>
      </c>
      <c r="F188" s="1364" t="s">
        <v>2108</v>
      </c>
      <c r="G188" s="506" t="s">
        <v>1974</v>
      </c>
      <c r="H188" s="1361">
        <f>'Equipment Results Matrix'!Y611</f>
        <v>2087.8894285714287</v>
      </c>
      <c r="I188" s="1371">
        <f>20*0.3405+12.225</f>
        <v>19.035</v>
      </c>
      <c r="J188" s="1372">
        <f>'Labor Results Matrix'!$G$84*(1+'Labor Results Matrix'!$K$83)</f>
        <v>69.929435526340711</v>
      </c>
      <c r="K188" s="1372">
        <f t="shared" ref="K188:K193" si="32">J188*I188</f>
        <v>1331.1068052438955</v>
      </c>
      <c r="L188" s="1372"/>
      <c r="M188" s="1372">
        <f t="shared" ref="M188:M194" si="33">H188+K188</f>
        <v>3418.9962338153241</v>
      </c>
      <c r="N188" s="1458">
        <f>M188-$M$187</f>
        <v>3418.9962338153241</v>
      </c>
      <c r="O188" s="1361">
        <f>H188/20</f>
        <v>104.39447142857144</v>
      </c>
      <c r="P188" s="1371">
        <f>I188/20</f>
        <v>0.95174999999999998</v>
      </c>
      <c r="Q188" s="1372">
        <f>K188/20</f>
        <v>66.555340262194775</v>
      </c>
      <c r="R188" s="1384"/>
      <c r="S188" s="1384"/>
      <c r="T188" s="1372">
        <f>O188+Q188</f>
        <v>170.94981169076621</v>
      </c>
      <c r="U188" s="1372">
        <f>T188-$T$187</f>
        <v>170.94981169076621</v>
      </c>
      <c r="V188" s="1461"/>
      <c r="W188" s="1366"/>
      <c r="X188" s="1366"/>
      <c r="Y188" s="1366"/>
      <c r="Z188" s="1366"/>
      <c r="AA188" s="1366"/>
      <c r="AB188" s="1366"/>
      <c r="AC188" s="1366"/>
      <c r="AD188" s="1366"/>
      <c r="AE188" s="1366"/>
      <c r="AF188" s="1366"/>
      <c r="AG188" s="1366"/>
      <c r="AH188" s="1366"/>
      <c r="AI188" s="1366"/>
      <c r="AJ188" s="1366"/>
      <c r="AK188" s="1366"/>
      <c r="AL188" s="1366"/>
      <c r="AM188" s="1366"/>
      <c r="AN188" s="1366"/>
      <c r="AO188" s="1366"/>
      <c r="AP188" s="1366"/>
      <c r="AQ188" s="1366"/>
      <c r="AR188" s="1366"/>
      <c r="AS188" s="1366"/>
      <c r="AT188" s="1366"/>
      <c r="AU188" s="1366"/>
      <c r="AV188" s="1366"/>
      <c r="AW188" s="1366"/>
      <c r="AX188" s="1366"/>
      <c r="AY188" s="1366"/>
      <c r="AZ188" s="1366"/>
      <c r="BA188" s="1366"/>
      <c r="BB188" s="1366"/>
      <c r="BC188" s="1366"/>
      <c r="BD188" s="1366"/>
      <c r="BE188" s="1366"/>
      <c r="BF188" s="1366"/>
      <c r="BG188" s="1366"/>
      <c r="BH188" s="1366"/>
      <c r="BI188" s="1366"/>
      <c r="BJ188" s="1366"/>
      <c r="BK188" s="1366"/>
      <c r="BL188" s="1366"/>
      <c r="BM188" s="1366"/>
      <c r="BN188" s="1366"/>
      <c r="BO188" s="1366"/>
      <c r="BP188" s="1366"/>
      <c r="BQ188" s="1366"/>
      <c r="BR188" s="1366"/>
      <c r="BS188" s="1366"/>
      <c r="BT188" s="1366"/>
      <c r="BU188" s="1366"/>
      <c r="BV188" s="1366"/>
      <c r="BW188" s="1366"/>
      <c r="BX188" s="1366"/>
      <c r="BY188" s="1366"/>
      <c r="BZ188" s="1366"/>
      <c r="CA188" s="1366"/>
      <c r="CB188" s="1366"/>
      <c r="CC188" s="1366"/>
      <c r="CD188" s="1366"/>
      <c r="CE188" s="1366"/>
      <c r="CF188" s="1366"/>
      <c r="CG188" s="1366"/>
      <c r="CH188" s="1366"/>
      <c r="CI188" s="1366"/>
      <c r="CJ188" s="1366"/>
      <c r="CK188" s="1366"/>
      <c r="CL188" s="1366"/>
      <c r="CM188" s="1366"/>
      <c r="CN188" s="1366"/>
      <c r="CO188" s="1366"/>
      <c r="CP188" s="1366"/>
      <c r="CQ188" s="1366"/>
      <c r="CR188" s="1366"/>
      <c r="CS188" s="1366"/>
      <c r="CT188" s="1366"/>
      <c r="CU188" s="1366"/>
      <c r="CV188" s="1366"/>
      <c r="CW188" s="1366"/>
      <c r="CX188" s="1366"/>
      <c r="CY188" s="1366"/>
      <c r="CZ188" s="1366"/>
      <c r="DA188" s="1366"/>
      <c r="DB188" s="1366"/>
      <c r="DC188" s="1366"/>
      <c r="DD188" s="1366"/>
      <c r="DE188" s="1366"/>
      <c r="DF188" s="1366"/>
      <c r="DG188" s="1366"/>
      <c r="DH188" s="1366"/>
      <c r="DI188" s="1366"/>
      <c r="DJ188" s="1366"/>
      <c r="DK188" s="1366"/>
      <c r="DL188" s="1366"/>
      <c r="DM188" s="1366"/>
      <c r="DN188" s="1366"/>
      <c r="DO188" s="1366"/>
      <c r="DP188" s="1366"/>
      <c r="DQ188" s="1366"/>
      <c r="DR188" s="1366"/>
      <c r="DS188" s="1366"/>
      <c r="DT188" s="1366"/>
      <c r="DU188" s="1366"/>
      <c r="DV188" s="1366"/>
    </row>
    <row r="189" spans="1:126" s="1367" customFormat="1" ht="30">
      <c r="A189" s="2494"/>
      <c r="B189" s="1653">
        <v>9041</v>
      </c>
      <c r="C189" s="1642" t="s">
        <v>49</v>
      </c>
      <c r="D189" s="1516" t="s">
        <v>2540</v>
      </c>
      <c r="E189" s="1364" t="s">
        <v>2100</v>
      </c>
      <c r="F189" s="1364" t="s">
        <v>2108</v>
      </c>
      <c r="G189" s="506" t="s">
        <v>1974</v>
      </c>
      <c r="H189" s="1361">
        <f>'Equipment Results Matrix'!Y612</f>
        <v>2055.4654285714282</v>
      </c>
      <c r="I189" s="1371">
        <f>30*0.3405+12.225</f>
        <v>22.439999999999998</v>
      </c>
      <c r="J189" s="1372">
        <f>'Labor Results Matrix'!$G$84*(1+'Labor Results Matrix'!$K$83)</f>
        <v>69.929435526340711</v>
      </c>
      <c r="K189" s="1372">
        <f t="shared" si="32"/>
        <v>1569.2165332110853</v>
      </c>
      <c r="L189" s="1372"/>
      <c r="M189" s="1372">
        <f t="shared" si="33"/>
        <v>3624.6819617825136</v>
      </c>
      <c r="N189" s="1458">
        <f t="shared" ref="N189:N194" si="34">M189-$M$187</f>
        <v>3624.6819617825136</v>
      </c>
      <c r="O189" s="1361">
        <f>H189/30</f>
        <v>68.515514285714275</v>
      </c>
      <c r="P189" s="1371">
        <f>I189/30</f>
        <v>0.74799999999999989</v>
      </c>
      <c r="Q189" s="1372">
        <f>K189/30</f>
        <v>52.307217773702845</v>
      </c>
      <c r="R189" s="1384"/>
      <c r="S189" s="1384"/>
      <c r="T189" s="1372">
        <f t="shared" ref="T189:T194" si="35">O189+Q189</f>
        <v>120.82273205941712</v>
      </c>
      <c r="U189" s="1372">
        <f t="shared" ref="U189:U194" si="36">T189-$T$187</f>
        <v>120.82273205941712</v>
      </c>
      <c r="V189" s="1461"/>
      <c r="W189" s="1366"/>
      <c r="X189" s="1366"/>
      <c r="Y189" s="1366"/>
      <c r="Z189" s="1366"/>
      <c r="AA189" s="1366"/>
      <c r="AB189" s="1366"/>
      <c r="AC189" s="1366"/>
      <c r="AD189" s="1366"/>
      <c r="AE189" s="1366"/>
      <c r="AF189" s="1366"/>
      <c r="AG189" s="1366"/>
      <c r="AH189" s="1366"/>
      <c r="AI189" s="1366"/>
      <c r="AJ189" s="1366"/>
      <c r="AK189" s="1366"/>
      <c r="AL189" s="1366"/>
      <c r="AM189" s="1366"/>
      <c r="AN189" s="1366"/>
      <c r="AO189" s="1366"/>
      <c r="AP189" s="1366"/>
      <c r="AQ189" s="1366"/>
      <c r="AR189" s="1366"/>
      <c r="AS189" s="1366"/>
      <c r="AT189" s="1366"/>
      <c r="AU189" s="1366"/>
      <c r="AV189" s="1366"/>
      <c r="AW189" s="1366"/>
      <c r="AX189" s="1366"/>
      <c r="AY189" s="1366"/>
      <c r="AZ189" s="1366"/>
      <c r="BA189" s="1366"/>
      <c r="BB189" s="1366"/>
      <c r="BC189" s="1366"/>
      <c r="BD189" s="1366"/>
      <c r="BE189" s="1366"/>
      <c r="BF189" s="1366"/>
      <c r="BG189" s="1366"/>
      <c r="BH189" s="1366"/>
      <c r="BI189" s="1366"/>
      <c r="BJ189" s="1366"/>
      <c r="BK189" s="1366"/>
      <c r="BL189" s="1366"/>
      <c r="BM189" s="1366"/>
      <c r="BN189" s="1366"/>
      <c r="BO189" s="1366"/>
      <c r="BP189" s="1366"/>
      <c r="BQ189" s="1366"/>
      <c r="BR189" s="1366"/>
      <c r="BS189" s="1366"/>
      <c r="BT189" s="1366"/>
      <c r="BU189" s="1366"/>
      <c r="BV189" s="1366"/>
      <c r="BW189" s="1366"/>
      <c r="BX189" s="1366"/>
      <c r="BY189" s="1366"/>
      <c r="BZ189" s="1366"/>
      <c r="CA189" s="1366"/>
      <c r="CB189" s="1366"/>
      <c r="CC189" s="1366"/>
      <c r="CD189" s="1366"/>
      <c r="CE189" s="1366"/>
      <c r="CF189" s="1366"/>
      <c r="CG189" s="1366"/>
      <c r="CH189" s="1366"/>
      <c r="CI189" s="1366"/>
      <c r="CJ189" s="1366"/>
      <c r="CK189" s="1366"/>
      <c r="CL189" s="1366"/>
      <c r="CM189" s="1366"/>
      <c r="CN189" s="1366"/>
      <c r="CO189" s="1366"/>
      <c r="CP189" s="1366"/>
      <c r="CQ189" s="1366"/>
      <c r="CR189" s="1366"/>
      <c r="CS189" s="1366"/>
      <c r="CT189" s="1366"/>
      <c r="CU189" s="1366"/>
      <c r="CV189" s="1366"/>
      <c r="CW189" s="1366"/>
      <c r="CX189" s="1366"/>
      <c r="CY189" s="1366"/>
      <c r="CZ189" s="1366"/>
      <c r="DA189" s="1366"/>
      <c r="DB189" s="1366"/>
      <c r="DC189" s="1366"/>
      <c r="DD189" s="1366"/>
      <c r="DE189" s="1366"/>
      <c r="DF189" s="1366"/>
      <c r="DG189" s="1366"/>
      <c r="DH189" s="1366"/>
      <c r="DI189" s="1366"/>
      <c r="DJ189" s="1366"/>
      <c r="DK189" s="1366"/>
      <c r="DL189" s="1366"/>
      <c r="DM189" s="1366"/>
      <c r="DN189" s="1366"/>
      <c r="DO189" s="1366"/>
      <c r="DP189" s="1366"/>
      <c r="DQ189" s="1366"/>
      <c r="DR189" s="1366"/>
      <c r="DS189" s="1366"/>
      <c r="DT189" s="1366"/>
      <c r="DU189" s="1366"/>
      <c r="DV189" s="1366"/>
    </row>
    <row r="190" spans="1:126" s="1367" customFormat="1" ht="30">
      <c r="A190" s="2494"/>
      <c r="B190" s="1653">
        <v>9041</v>
      </c>
      <c r="C190" s="1642" t="s">
        <v>49</v>
      </c>
      <c r="D190" s="1516" t="s">
        <v>2541</v>
      </c>
      <c r="E190" s="1364" t="s">
        <v>2100</v>
      </c>
      <c r="F190" s="1364" t="s">
        <v>2108</v>
      </c>
      <c r="G190" s="506" t="s">
        <v>1974</v>
      </c>
      <c r="H190" s="1361">
        <f>'Equipment Results Matrix'!Y613</f>
        <v>4666.2934285714273</v>
      </c>
      <c r="I190" s="1371">
        <f>40*0.3405+12.225</f>
        <v>25.844999999999999</v>
      </c>
      <c r="J190" s="1372">
        <f>'Labor Results Matrix'!$G$84*(1+'Labor Results Matrix'!$K$83)</f>
        <v>69.929435526340711</v>
      </c>
      <c r="K190" s="1372">
        <f t="shared" si="32"/>
        <v>1807.3262611782757</v>
      </c>
      <c r="L190" s="1372"/>
      <c r="M190" s="1372">
        <f t="shared" si="33"/>
        <v>6473.619689749703</v>
      </c>
      <c r="N190" s="1458">
        <f t="shared" si="34"/>
        <v>6473.619689749703</v>
      </c>
      <c r="O190" s="1361">
        <f>H190/40</f>
        <v>116.65733571428568</v>
      </c>
      <c r="P190" s="1371">
        <f>I190/40</f>
        <v>0.64612499999999995</v>
      </c>
      <c r="Q190" s="1372">
        <f>K190/40</f>
        <v>45.183156529456895</v>
      </c>
      <c r="R190" s="1384"/>
      <c r="S190" s="1384"/>
      <c r="T190" s="1372">
        <f t="shared" si="35"/>
        <v>161.84049224374257</v>
      </c>
      <c r="U190" s="1372">
        <f t="shared" si="36"/>
        <v>161.84049224374257</v>
      </c>
      <c r="V190" s="1461"/>
      <c r="W190" s="1366"/>
      <c r="X190" s="1366"/>
      <c r="Y190" s="1366"/>
      <c r="Z190" s="1366"/>
      <c r="AA190" s="1366"/>
      <c r="AB190" s="1366"/>
      <c r="AC190" s="1366"/>
      <c r="AD190" s="1366"/>
      <c r="AE190" s="1366"/>
      <c r="AF190" s="1366"/>
      <c r="AG190" s="1366"/>
      <c r="AH190" s="1366"/>
      <c r="AI190" s="1366"/>
      <c r="AJ190" s="1366"/>
      <c r="AK190" s="1366"/>
      <c r="AL190" s="1366"/>
      <c r="AM190" s="1366"/>
      <c r="AN190" s="1366"/>
      <c r="AO190" s="1366"/>
      <c r="AP190" s="1366"/>
      <c r="AQ190" s="1366"/>
      <c r="AR190" s="1366"/>
      <c r="AS190" s="1366"/>
      <c r="AT190" s="1366"/>
      <c r="AU190" s="1366"/>
      <c r="AV190" s="1366"/>
      <c r="AW190" s="1366"/>
      <c r="AX190" s="1366"/>
      <c r="AY190" s="1366"/>
      <c r="AZ190" s="1366"/>
      <c r="BA190" s="1366"/>
      <c r="BB190" s="1366"/>
      <c r="BC190" s="1366"/>
      <c r="BD190" s="1366"/>
      <c r="BE190" s="1366"/>
      <c r="BF190" s="1366"/>
      <c r="BG190" s="1366"/>
      <c r="BH190" s="1366"/>
      <c r="BI190" s="1366"/>
      <c r="BJ190" s="1366"/>
      <c r="BK190" s="1366"/>
      <c r="BL190" s="1366"/>
      <c r="BM190" s="1366"/>
      <c r="BN190" s="1366"/>
      <c r="BO190" s="1366"/>
      <c r="BP190" s="1366"/>
      <c r="BQ190" s="1366"/>
      <c r="BR190" s="1366"/>
      <c r="BS190" s="1366"/>
      <c r="BT190" s="1366"/>
      <c r="BU190" s="1366"/>
      <c r="BV190" s="1366"/>
      <c r="BW190" s="1366"/>
      <c r="BX190" s="1366"/>
      <c r="BY190" s="1366"/>
      <c r="BZ190" s="1366"/>
      <c r="CA190" s="1366"/>
      <c r="CB190" s="1366"/>
      <c r="CC190" s="1366"/>
      <c r="CD190" s="1366"/>
      <c r="CE190" s="1366"/>
      <c r="CF190" s="1366"/>
      <c r="CG190" s="1366"/>
      <c r="CH190" s="1366"/>
      <c r="CI190" s="1366"/>
      <c r="CJ190" s="1366"/>
      <c r="CK190" s="1366"/>
      <c r="CL190" s="1366"/>
      <c r="CM190" s="1366"/>
      <c r="CN190" s="1366"/>
      <c r="CO190" s="1366"/>
      <c r="CP190" s="1366"/>
      <c r="CQ190" s="1366"/>
      <c r="CR190" s="1366"/>
      <c r="CS190" s="1366"/>
      <c r="CT190" s="1366"/>
      <c r="CU190" s="1366"/>
      <c r="CV190" s="1366"/>
      <c r="CW190" s="1366"/>
      <c r="CX190" s="1366"/>
      <c r="CY190" s="1366"/>
      <c r="CZ190" s="1366"/>
      <c r="DA190" s="1366"/>
      <c r="DB190" s="1366"/>
      <c r="DC190" s="1366"/>
      <c r="DD190" s="1366"/>
      <c r="DE190" s="1366"/>
      <c r="DF190" s="1366"/>
      <c r="DG190" s="1366"/>
      <c r="DH190" s="1366"/>
      <c r="DI190" s="1366"/>
      <c r="DJ190" s="1366"/>
      <c r="DK190" s="1366"/>
      <c r="DL190" s="1366"/>
      <c r="DM190" s="1366"/>
      <c r="DN190" s="1366"/>
      <c r="DO190" s="1366"/>
      <c r="DP190" s="1366"/>
      <c r="DQ190" s="1366"/>
      <c r="DR190" s="1366"/>
      <c r="DS190" s="1366"/>
      <c r="DT190" s="1366"/>
      <c r="DU190" s="1366"/>
      <c r="DV190" s="1366"/>
    </row>
    <row r="191" spans="1:126" s="1367" customFormat="1" ht="30">
      <c r="A191" s="2494"/>
      <c r="B191" s="1653">
        <v>9041</v>
      </c>
      <c r="C191" s="1642" t="s">
        <v>49</v>
      </c>
      <c r="D191" s="1516" t="s">
        <v>2542</v>
      </c>
      <c r="E191" s="1364" t="s">
        <v>2100</v>
      </c>
      <c r="F191" s="1364" t="s">
        <v>2108</v>
      </c>
      <c r="G191" s="506" t="s">
        <v>1974</v>
      </c>
      <c r="H191" s="1361">
        <f>'Equipment Results Matrix'!Y614</f>
        <v>4287.2494285714283</v>
      </c>
      <c r="I191" s="1371">
        <f>60*0.0796+30.5</f>
        <v>35.275999999999996</v>
      </c>
      <c r="J191" s="1372">
        <f>'Labor Results Matrix'!$G$83*(1+'Labor Results Matrix'!$K$83)</f>
        <v>78.377018100419647</v>
      </c>
      <c r="K191" s="1372">
        <f t="shared" si="32"/>
        <v>2764.827690510403</v>
      </c>
      <c r="L191" s="1372"/>
      <c r="M191" s="1372">
        <f t="shared" si="33"/>
        <v>7052.0771190818314</v>
      </c>
      <c r="N191" s="1458">
        <f t="shared" si="34"/>
        <v>7052.0771190818314</v>
      </c>
      <c r="O191" s="1361">
        <f>H191/60</f>
        <v>71.454157142857142</v>
      </c>
      <c r="P191" s="1371">
        <f>I191/60</f>
        <v>0.58793333333333331</v>
      </c>
      <c r="Q191" s="1372">
        <f>K191/60</f>
        <v>46.080461508506716</v>
      </c>
      <c r="R191" s="1384"/>
      <c r="S191" s="1384"/>
      <c r="T191" s="1372">
        <f t="shared" si="35"/>
        <v>117.53461865136386</v>
      </c>
      <c r="U191" s="1372">
        <f t="shared" si="36"/>
        <v>117.53461865136386</v>
      </c>
      <c r="V191" s="1461"/>
      <c r="W191" s="1366"/>
      <c r="X191" s="1366"/>
      <c r="Y191" s="1366"/>
      <c r="Z191" s="1366"/>
      <c r="AA191" s="1366"/>
      <c r="AB191" s="1366"/>
      <c r="AC191" s="1366"/>
      <c r="AD191" s="1366"/>
      <c r="AE191" s="1366"/>
      <c r="AF191" s="1366"/>
      <c r="AG191" s="1366"/>
      <c r="AH191" s="1366"/>
      <c r="AI191" s="1366"/>
      <c r="AJ191" s="1366"/>
      <c r="AK191" s="1366"/>
      <c r="AL191" s="1366"/>
      <c r="AM191" s="1366"/>
      <c r="AN191" s="1366"/>
      <c r="AO191" s="1366"/>
      <c r="AP191" s="1366"/>
      <c r="AQ191" s="1366"/>
      <c r="AR191" s="1366"/>
      <c r="AS191" s="1366"/>
      <c r="AT191" s="1366"/>
      <c r="AU191" s="1366"/>
      <c r="AV191" s="1366"/>
      <c r="AW191" s="1366"/>
      <c r="AX191" s="1366"/>
      <c r="AY191" s="1366"/>
      <c r="AZ191" s="1366"/>
      <c r="BA191" s="1366"/>
      <c r="BB191" s="1366"/>
      <c r="BC191" s="1366"/>
      <c r="BD191" s="1366"/>
      <c r="BE191" s="1366"/>
      <c r="BF191" s="1366"/>
      <c r="BG191" s="1366"/>
      <c r="BH191" s="1366"/>
      <c r="BI191" s="1366"/>
      <c r="BJ191" s="1366"/>
      <c r="BK191" s="1366"/>
      <c r="BL191" s="1366"/>
      <c r="BM191" s="1366"/>
      <c r="BN191" s="1366"/>
      <c r="BO191" s="1366"/>
      <c r="BP191" s="1366"/>
      <c r="BQ191" s="1366"/>
      <c r="BR191" s="1366"/>
      <c r="BS191" s="1366"/>
      <c r="BT191" s="1366"/>
      <c r="BU191" s="1366"/>
      <c r="BV191" s="1366"/>
      <c r="BW191" s="1366"/>
      <c r="BX191" s="1366"/>
      <c r="BY191" s="1366"/>
      <c r="BZ191" s="1366"/>
      <c r="CA191" s="1366"/>
      <c r="CB191" s="1366"/>
      <c r="CC191" s="1366"/>
      <c r="CD191" s="1366"/>
      <c r="CE191" s="1366"/>
      <c r="CF191" s="1366"/>
      <c r="CG191" s="1366"/>
      <c r="CH191" s="1366"/>
      <c r="CI191" s="1366"/>
      <c r="CJ191" s="1366"/>
      <c r="CK191" s="1366"/>
      <c r="CL191" s="1366"/>
      <c r="CM191" s="1366"/>
      <c r="CN191" s="1366"/>
      <c r="CO191" s="1366"/>
      <c r="CP191" s="1366"/>
      <c r="CQ191" s="1366"/>
      <c r="CR191" s="1366"/>
      <c r="CS191" s="1366"/>
      <c r="CT191" s="1366"/>
      <c r="CU191" s="1366"/>
      <c r="CV191" s="1366"/>
      <c r="CW191" s="1366"/>
      <c r="CX191" s="1366"/>
      <c r="CY191" s="1366"/>
      <c r="CZ191" s="1366"/>
      <c r="DA191" s="1366"/>
      <c r="DB191" s="1366"/>
      <c r="DC191" s="1366"/>
      <c r="DD191" s="1366"/>
      <c r="DE191" s="1366"/>
      <c r="DF191" s="1366"/>
      <c r="DG191" s="1366"/>
      <c r="DH191" s="1366"/>
      <c r="DI191" s="1366"/>
      <c r="DJ191" s="1366"/>
      <c r="DK191" s="1366"/>
      <c r="DL191" s="1366"/>
      <c r="DM191" s="1366"/>
      <c r="DN191" s="1366"/>
      <c r="DO191" s="1366"/>
      <c r="DP191" s="1366"/>
      <c r="DQ191" s="1366"/>
      <c r="DR191" s="1366"/>
      <c r="DS191" s="1366"/>
      <c r="DT191" s="1366"/>
      <c r="DU191" s="1366"/>
      <c r="DV191" s="1366"/>
    </row>
    <row r="192" spans="1:126" s="1367" customFormat="1" ht="30">
      <c r="A192" s="2494"/>
      <c r="B192" s="1653">
        <v>9041</v>
      </c>
      <c r="C192" s="1642" t="s">
        <v>49</v>
      </c>
      <c r="D192" s="1516" t="s">
        <v>2543</v>
      </c>
      <c r="E192" s="1364" t="s">
        <v>2100</v>
      </c>
      <c r="F192" s="1364" t="s">
        <v>2108</v>
      </c>
      <c r="G192" s="506" t="s">
        <v>1974</v>
      </c>
      <c r="H192" s="1361">
        <f>'Equipment Results Matrix'!Y615</f>
        <v>5112.0094285714285</v>
      </c>
      <c r="I192" s="1371">
        <f>75*0.0796+30.5</f>
        <v>36.47</v>
      </c>
      <c r="J192" s="1372">
        <f>'Labor Results Matrix'!$G$83*(1+'Labor Results Matrix'!$K$83)</f>
        <v>78.377018100419647</v>
      </c>
      <c r="K192" s="1372">
        <f t="shared" si="32"/>
        <v>2858.4098501223043</v>
      </c>
      <c r="L192" s="1372"/>
      <c r="M192" s="1372">
        <f t="shared" si="33"/>
        <v>7970.4192786937328</v>
      </c>
      <c r="N192" s="1458">
        <f t="shared" si="34"/>
        <v>7970.4192786937328</v>
      </c>
      <c r="O192" s="1361">
        <f>H192/75</f>
        <v>68.160125714285712</v>
      </c>
      <c r="P192" s="1371">
        <f>I192/75</f>
        <v>0.48626666666666662</v>
      </c>
      <c r="Q192" s="1372">
        <f>K192/75</f>
        <v>38.112131334964054</v>
      </c>
      <c r="R192" s="1384"/>
      <c r="S192" s="1384"/>
      <c r="T192" s="1372">
        <f t="shared" si="35"/>
        <v>106.27225704924976</v>
      </c>
      <c r="U192" s="1372">
        <f t="shared" si="36"/>
        <v>106.27225704924976</v>
      </c>
      <c r="V192" s="1461"/>
      <c r="W192" s="1366"/>
      <c r="X192" s="1366"/>
      <c r="Y192" s="1366"/>
      <c r="Z192" s="1366"/>
      <c r="AA192" s="1366"/>
      <c r="AB192" s="1366"/>
      <c r="AC192" s="1366"/>
      <c r="AD192" s="1366"/>
      <c r="AE192" s="1366"/>
      <c r="AF192" s="1366"/>
      <c r="AG192" s="1366"/>
      <c r="AH192" s="1366"/>
      <c r="AI192" s="1366"/>
      <c r="AJ192" s="1366"/>
      <c r="AK192" s="1366"/>
      <c r="AL192" s="1366"/>
      <c r="AM192" s="1366"/>
      <c r="AN192" s="1366"/>
      <c r="AO192" s="1366"/>
      <c r="AP192" s="1366"/>
      <c r="AQ192" s="1366"/>
      <c r="AR192" s="1366"/>
      <c r="AS192" s="1366"/>
      <c r="AT192" s="1366"/>
      <c r="AU192" s="1366"/>
      <c r="AV192" s="1366"/>
      <c r="AW192" s="1366"/>
      <c r="AX192" s="1366"/>
      <c r="AY192" s="1366"/>
      <c r="AZ192" s="1366"/>
      <c r="BA192" s="1366"/>
      <c r="BB192" s="1366"/>
      <c r="BC192" s="1366"/>
      <c r="BD192" s="1366"/>
      <c r="BE192" s="1366"/>
      <c r="BF192" s="1366"/>
      <c r="BG192" s="1366"/>
      <c r="BH192" s="1366"/>
      <c r="BI192" s="1366"/>
      <c r="BJ192" s="1366"/>
      <c r="BK192" s="1366"/>
      <c r="BL192" s="1366"/>
      <c r="BM192" s="1366"/>
      <c r="BN192" s="1366"/>
      <c r="BO192" s="1366"/>
      <c r="BP192" s="1366"/>
      <c r="BQ192" s="1366"/>
      <c r="BR192" s="1366"/>
      <c r="BS192" s="1366"/>
      <c r="BT192" s="1366"/>
      <c r="BU192" s="1366"/>
      <c r="BV192" s="1366"/>
      <c r="BW192" s="1366"/>
      <c r="BX192" s="1366"/>
      <c r="BY192" s="1366"/>
      <c r="BZ192" s="1366"/>
      <c r="CA192" s="1366"/>
      <c r="CB192" s="1366"/>
      <c r="CC192" s="1366"/>
      <c r="CD192" s="1366"/>
      <c r="CE192" s="1366"/>
      <c r="CF192" s="1366"/>
      <c r="CG192" s="1366"/>
      <c r="CH192" s="1366"/>
      <c r="CI192" s="1366"/>
      <c r="CJ192" s="1366"/>
      <c r="CK192" s="1366"/>
      <c r="CL192" s="1366"/>
      <c r="CM192" s="1366"/>
      <c r="CN192" s="1366"/>
      <c r="CO192" s="1366"/>
      <c r="CP192" s="1366"/>
      <c r="CQ192" s="1366"/>
      <c r="CR192" s="1366"/>
      <c r="CS192" s="1366"/>
      <c r="CT192" s="1366"/>
      <c r="CU192" s="1366"/>
      <c r="CV192" s="1366"/>
      <c r="CW192" s="1366"/>
      <c r="CX192" s="1366"/>
      <c r="CY192" s="1366"/>
      <c r="CZ192" s="1366"/>
      <c r="DA192" s="1366"/>
      <c r="DB192" s="1366"/>
      <c r="DC192" s="1366"/>
      <c r="DD192" s="1366"/>
      <c r="DE192" s="1366"/>
      <c r="DF192" s="1366"/>
      <c r="DG192" s="1366"/>
      <c r="DH192" s="1366"/>
      <c r="DI192" s="1366"/>
      <c r="DJ192" s="1366"/>
      <c r="DK192" s="1366"/>
      <c r="DL192" s="1366"/>
      <c r="DM192" s="1366"/>
      <c r="DN192" s="1366"/>
      <c r="DO192" s="1366"/>
      <c r="DP192" s="1366"/>
      <c r="DQ192" s="1366"/>
      <c r="DR192" s="1366"/>
      <c r="DS192" s="1366"/>
      <c r="DT192" s="1366"/>
      <c r="DU192" s="1366"/>
      <c r="DV192" s="1366"/>
    </row>
    <row r="193" spans="1:126" s="1367" customFormat="1" ht="30">
      <c r="A193" s="2494"/>
      <c r="B193" s="1653">
        <v>9041</v>
      </c>
      <c r="C193" s="1642" t="s">
        <v>49</v>
      </c>
      <c r="D193" s="1516" t="s">
        <v>2544</v>
      </c>
      <c r="E193" s="1364" t="s">
        <v>2100</v>
      </c>
      <c r="F193" s="1364" t="s">
        <v>2108</v>
      </c>
      <c r="G193" s="506" t="s">
        <v>1974</v>
      </c>
      <c r="H193" s="1361">
        <f>'Equipment Results Matrix'!Y616</f>
        <v>5904.3454285714288</v>
      </c>
      <c r="I193" s="1371">
        <f>100*0.0796+30.5</f>
        <v>38.46</v>
      </c>
      <c r="J193" s="1372">
        <f>'Labor Results Matrix'!$G$83*(1+'Labor Results Matrix'!$K$83)</f>
        <v>78.377018100419647</v>
      </c>
      <c r="K193" s="1372">
        <f t="shared" si="32"/>
        <v>3014.3801161421397</v>
      </c>
      <c r="L193" s="1372"/>
      <c r="M193" s="1372">
        <f t="shared" si="33"/>
        <v>8918.7255447135685</v>
      </c>
      <c r="N193" s="1458">
        <f t="shared" si="34"/>
        <v>8918.7255447135685</v>
      </c>
      <c r="O193" s="1361">
        <f>H193/100</f>
        <v>59.04345428571429</v>
      </c>
      <c r="P193" s="1371">
        <f>I193/100</f>
        <v>0.3846</v>
      </c>
      <c r="Q193" s="1372">
        <f>K193/100</f>
        <v>30.143801161421397</v>
      </c>
      <c r="R193" s="1384"/>
      <c r="S193" s="1384"/>
      <c r="T193" s="1372">
        <f t="shared" si="35"/>
        <v>89.187255447135684</v>
      </c>
      <c r="U193" s="1372">
        <f t="shared" si="36"/>
        <v>89.187255447135684</v>
      </c>
      <c r="V193" s="1461"/>
      <c r="W193" s="1366"/>
      <c r="X193" s="1366"/>
      <c r="Y193" s="1366"/>
      <c r="Z193" s="1366"/>
      <c r="AA193" s="1366"/>
      <c r="AB193" s="1366"/>
      <c r="AC193" s="1366"/>
      <c r="AD193" s="1366"/>
      <c r="AE193" s="1366"/>
      <c r="AF193" s="1366"/>
      <c r="AG193" s="1366"/>
      <c r="AH193" s="1366"/>
      <c r="AI193" s="1366"/>
      <c r="AJ193" s="1366"/>
      <c r="AK193" s="1366"/>
      <c r="AL193" s="1366"/>
      <c r="AM193" s="1366"/>
      <c r="AN193" s="1366"/>
      <c r="AO193" s="1366"/>
      <c r="AP193" s="1366"/>
      <c r="AQ193" s="1366"/>
      <c r="AR193" s="1366"/>
      <c r="AS193" s="1366"/>
      <c r="AT193" s="1366"/>
      <c r="AU193" s="1366"/>
      <c r="AV193" s="1366"/>
      <c r="AW193" s="1366"/>
      <c r="AX193" s="1366"/>
      <c r="AY193" s="1366"/>
      <c r="AZ193" s="1366"/>
      <c r="BA193" s="1366"/>
      <c r="BB193" s="1366"/>
      <c r="BC193" s="1366"/>
      <c r="BD193" s="1366"/>
      <c r="BE193" s="1366"/>
      <c r="BF193" s="1366"/>
      <c r="BG193" s="1366"/>
      <c r="BH193" s="1366"/>
      <c r="BI193" s="1366"/>
      <c r="BJ193" s="1366"/>
      <c r="BK193" s="1366"/>
      <c r="BL193" s="1366"/>
      <c r="BM193" s="1366"/>
      <c r="BN193" s="1366"/>
      <c r="BO193" s="1366"/>
      <c r="BP193" s="1366"/>
      <c r="BQ193" s="1366"/>
      <c r="BR193" s="1366"/>
      <c r="BS193" s="1366"/>
      <c r="BT193" s="1366"/>
      <c r="BU193" s="1366"/>
      <c r="BV193" s="1366"/>
      <c r="BW193" s="1366"/>
      <c r="BX193" s="1366"/>
      <c r="BY193" s="1366"/>
      <c r="BZ193" s="1366"/>
      <c r="CA193" s="1366"/>
      <c r="CB193" s="1366"/>
      <c r="CC193" s="1366"/>
      <c r="CD193" s="1366"/>
      <c r="CE193" s="1366"/>
      <c r="CF193" s="1366"/>
      <c r="CG193" s="1366"/>
      <c r="CH193" s="1366"/>
      <c r="CI193" s="1366"/>
      <c r="CJ193" s="1366"/>
      <c r="CK193" s="1366"/>
      <c r="CL193" s="1366"/>
      <c r="CM193" s="1366"/>
      <c r="CN193" s="1366"/>
      <c r="CO193" s="1366"/>
      <c r="CP193" s="1366"/>
      <c r="CQ193" s="1366"/>
      <c r="CR193" s="1366"/>
      <c r="CS193" s="1366"/>
      <c r="CT193" s="1366"/>
      <c r="CU193" s="1366"/>
      <c r="CV193" s="1366"/>
      <c r="CW193" s="1366"/>
      <c r="CX193" s="1366"/>
      <c r="CY193" s="1366"/>
      <c r="CZ193" s="1366"/>
      <c r="DA193" s="1366"/>
      <c r="DB193" s="1366"/>
      <c r="DC193" s="1366"/>
      <c r="DD193" s="1366"/>
      <c r="DE193" s="1366"/>
      <c r="DF193" s="1366"/>
      <c r="DG193" s="1366"/>
      <c r="DH193" s="1366"/>
      <c r="DI193" s="1366"/>
      <c r="DJ193" s="1366"/>
      <c r="DK193" s="1366"/>
      <c r="DL193" s="1366"/>
      <c r="DM193" s="1366"/>
      <c r="DN193" s="1366"/>
      <c r="DO193" s="1366"/>
      <c r="DP193" s="1366"/>
      <c r="DQ193" s="1366"/>
      <c r="DR193" s="1366"/>
      <c r="DS193" s="1366"/>
      <c r="DT193" s="1366"/>
      <c r="DU193" s="1366"/>
      <c r="DV193" s="1366"/>
    </row>
    <row r="194" spans="1:126" s="1367" customFormat="1" ht="30.75" thickBot="1">
      <c r="A194" s="2495"/>
      <c r="B194" s="1653">
        <v>9041</v>
      </c>
      <c r="C194" s="1642" t="s">
        <v>49</v>
      </c>
      <c r="D194" s="1516" t="s">
        <v>2545</v>
      </c>
      <c r="E194" s="1364" t="s">
        <v>2100</v>
      </c>
      <c r="F194" s="1364" t="s">
        <v>2108</v>
      </c>
      <c r="G194" s="506" t="s">
        <v>1974</v>
      </c>
      <c r="H194" s="1361">
        <f>'Equipment Results Matrix'!Y617</f>
        <v>3155.1454285714285</v>
      </c>
      <c r="I194" s="1371">
        <f>50*0.3405+12.225</f>
        <v>29.25</v>
      </c>
      <c r="J194" s="1372">
        <f>'Labor Results Matrix'!$G$84*(1+'Labor Results Matrix'!$K$83)</f>
        <v>69.929435526340711</v>
      </c>
      <c r="K194" s="1372">
        <f>J194*I194</f>
        <v>2045.4359891454658</v>
      </c>
      <c r="L194" s="1372"/>
      <c r="M194" s="1372">
        <f t="shared" si="33"/>
        <v>5200.5814177168941</v>
      </c>
      <c r="N194" s="1458">
        <f t="shared" si="34"/>
        <v>5200.5814177168941</v>
      </c>
      <c r="O194" s="1361">
        <f>H194/50</f>
        <v>63.102908571428571</v>
      </c>
      <c r="P194" s="1371">
        <f>I194/50</f>
        <v>0.58499999999999996</v>
      </c>
      <c r="Q194" s="1372">
        <f>K194/50</f>
        <v>40.908719782909316</v>
      </c>
      <c r="R194" s="1384"/>
      <c r="S194" s="1384"/>
      <c r="T194" s="1372">
        <f t="shared" si="35"/>
        <v>104.01162835433789</v>
      </c>
      <c r="U194" s="1372">
        <f t="shared" si="36"/>
        <v>104.01162835433789</v>
      </c>
      <c r="V194" s="1461"/>
      <c r="W194" s="1366"/>
      <c r="X194" s="1366"/>
      <c r="Y194" s="1366"/>
      <c r="Z194" s="1366"/>
      <c r="AA194" s="1366"/>
      <c r="AB194" s="1366"/>
      <c r="AC194" s="1366"/>
      <c r="AD194" s="1366"/>
      <c r="AE194" s="1366"/>
      <c r="AF194" s="1366"/>
      <c r="AG194" s="1366"/>
      <c r="AH194" s="1366"/>
      <c r="AI194" s="1366"/>
      <c r="AJ194" s="1366"/>
      <c r="AK194" s="1366"/>
      <c r="AL194" s="1366"/>
      <c r="AM194" s="1366"/>
      <c r="AN194" s="1366"/>
      <c r="AO194" s="1366"/>
      <c r="AP194" s="1366"/>
      <c r="AQ194" s="1366"/>
      <c r="AR194" s="1366"/>
      <c r="AS194" s="1366"/>
      <c r="AT194" s="1366"/>
      <c r="AU194" s="1366"/>
      <c r="AV194" s="1366"/>
      <c r="AW194" s="1366"/>
      <c r="AX194" s="1366"/>
      <c r="AY194" s="1366"/>
      <c r="AZ194" s="1366"/>
      <c r="BA194" s="1366"/>
      <c r="BB194" s="1366"/>
      <c r="BC194" s="1366"/>
      <c r="BD194" s="1366"/>
      <c r="BE194" s="1366"/>
      <c r="BF194" s="1366"/>
      <c r="BG194" s="1366"/>
      <c r="BH194" s="1366"/>
      <c r="BI194" s="1366"/>
      <c r="BJ194" s="1366"/>
      <c r="BK194" s="1366"/>
      <c r="BL194" s="1366"/>
      <c r="BM194" s="1366"/>
      <c r="BN194" s="1366"/>
      <c r="BO194" s="1366"/>
      <c r="BP194" s="1366"/>
      <c r="BQ194" s="1366"/>
      <c r="BR194" s="1366"/>
      <c r="BS194" s="1366"/>
      <c r="BT194" s="1366"/>
      <c r="BU194" s="1366"/>
      <c r="BV194" s="1366"/>
      <c r="BW194" s="1366"/>
      <c r="BX194" s="1366"/>
      <c r="BY194" s="1366"/>
      <c r="BZ194" s="1366"/>
      <c r="CA194" s="1366"/>
      <c r="CB194" s="1366"/>
      <c r="CC194" s="1366"/>
      <c r="CD194" s="1366"/>
      <c r="CE194" s="1366"/>
      <c r="CF194" s="1366"/>
      <c r="CG194" s="1366"/>
      <c r="CH194" s="1366"/>
      <c r="CI194" s="1366"/>
      <c r="CJ194" s="1366"/>
      <c r="CK194" s="1366"/>
      <c r="CL194" s="1366"/>
      <c r="CM194" s="1366"/>
      <c r="CN194" s="1366"/>
      <c r="CO194" s="1366"/>
      <c r="CP194" s="1366"/>
      <c r="CQ194" s="1366"/>
      <c r="CR194" s="1366"/>
      <c r="CS194" s="1366"/>
      <c r="CT194" s="1366"/>
      <c r="CU194" s="1366"/>
      <c r="CV194" s="1366"/>
      <c r="CW194" s="1366"/>
      <c r="CX194" s="1366"/>
      <c r="CY194" s="1366"/>
      <c r="CZ194" s="1366"/>
      <c r="DA194" s="1366"/>
      <c r="DB194" s="1366"/>
      <c r="DC194" s="1366"/>
      <c r="DD194" s="1366"/>
      <c r="DE194" s="1366"/>
      <c r="DF194" s="1366"/>
      <c r="DG194" s="1366"/>
      <c r="DH194" s="1366"/>
      <c r="DI194" s="1366"/>
      <c r="DJ194" s="1366"/>
      <c r="DK194" s="1366"/>
      <c r="DL194" s="1366"/>
      <c r="DM194" s="1366"/>
      <c r="DN194" s="1366"/>
      <c r="DO194" s="1366"/>
      <c r="DP194" s="1366"/>
      <c r="DQ194" s="1366"/>
      <c r="DR194" s="1366"/>
      <c r="DS194" s="1366"/>
      <c r="DT194" s="1366"/>
      <c r="DU194" s="1366"/>
      <c r="DV194" s="1366"/>
    </row>
    <row r="195" spans="1:126" s="1479" customFormat="1" ht="19.5" thickBot="1">
      <c r="A195" s="695"/>
      <c r="B195" s="1664"/>
      <c r="C195" s="1670"/>
      <c r="D195" s="1356"/>
      <c r="E195" s="1356"/>
      <c r="F195" s="1356"/>
      <c r="G195" s="1362"/>
      <c r="H195" s="1424"/>
      <c r="I195" s="1425"/>
      <c r="J195" s="1426"/>
      <c r="K195" s="1426"/>
      <c r="L195" s="1427"/>
      <c r="M195" s="1426"/>
      <c r="N195" s="1511"/>
      <c r="O195" s="1424"/>
      <c r="P195" s="1425"/>
      <c r="Q195" s="1427"/>
      <c r="R195" s="1426"/>
      <c r="S195" s="1425"/>
      <c r="T195" s="1427"/>
      <c r="U195" s="1426"/>
      <c r="V195" s="1680"/>
      <c r="W195" s="1490"/>
      <c r="X195" s="1490"/>
      <c r="Y195" s="327"/>
      <c r="Z195" s="327"/>
      <c r="AA195" s="327"/>
      <c r="AB195" s="1490"/>
      <c r="AC195" s="1490"/>
      <c r="AD195" s="1490"/>
      <c r="AE195" s="1490"/>
      <c r="AF195" s="327"/>
      <c r="AG195" s="327"/>
      <c r="AH195" s="327"/>
      <c r="AI195" s="327"/>
      <c r="AJ195" s="327"/>
      <c r="AK195" s="1478"/>
      <c r="AL195" s="1478"/>
      <c r="AM195" s="1478"/>
      <c r="AN195" s="1478"/>
      <c r="AO195" s="1478"/>
      <c r="AP195" s="1478"/>
      <c r="AQ195" s="1478"/>
      <c r="AR195" s="1478"/>
      <c r="AS195" s="1478"/>
      <c r="AT195" s="1478"/>
      <c r="AU195" s="1478"/>
      <c r="AV195" s="1478"/>
      <c r="AW195" s="1478"/>
      <c r="AX195" s="1478"/>
      <c r="AY195" s="1478"/>
      <c r="AZ195" s="1478"/>
      <c r="BA195" s="1478"/>
      <c r="BB195" s="1478"/>
      <c r="BC195" s="1478"/>
      <c r="BD195" s="1478"/>
      <c r="BE195" s="1478"/>
      <c r="BF195" s="1478"/>
      <c r="BG195" s="1478"/>
      <c r="BH195" s="1478"/>
      <c r="BI195" s="1478"/>
      <c r="BJ195" s="1478"/>
      <c r="BK195" s="327"/>
      <c r="BL195" s="327"/>
      <c r="BM195" s="327"/>
      <c r="BN195" s="327"/>
      <c r="BO195" s="327"/>
      <c r="BP195" s="327"/>
      <c r="BQ195" s="327"/>
      <c r="BR195" s="327"/>
      <c r="BS195" s="327"/>
      <c r="BT195" s="327"/>
      <c r="BU195" s="327"/>
      <c r="BV195" s="327"/>
      <c r="BW195" s="327"/>
      <c r="BX195" s="327"/>
      <c r="BY195" s="327"/>
      <c r="BZ195" s="327"/>
      <c r="CA195" s="327"/>
      <c r="CB195" s="327"/>
      <c r="CC195" s="327"/>
      <c r="CD195" s="327"/>
      <c r="CE195" s="327"/>
      <c r="CF195" s="327"/>
      <c r="CG195" s="327"/>
      <c r="CH195" s="327"/>
      <c r="CI195" s="327"/>
      <c r="CJ195" s="327"/>
      <c r="CK195" s="327"/>
      <c r="CL195" s="327"/>
      <c r="CM195" s="327"/>
      <c r="CN195" s="327"/>
      <c r="CO195" s="327"/>
      <c r="CP195" s="327"/>
      <c r="CQ195" s="327"/>
      <c r="CR195" s="327"/>
      <c r="CS195" s="327"/>
      <c r="CT195" s="327"/>
      <c r="CU195" s="327"/>
      <c r="CV195" s="327"/>
      <c r="CW195" s="327"/>
      <c r="CX195" s="327"/>
      <c r="CY195" s="327"/>
      <c r="CZ195" s="327"/>
      <c r="DA195" s="327"/>
      <c r="DB195" s="327"/>
      <c r="DC195" s="327"/>
      <c r="DD195" s="327"/>
      <c r="DE195" s="327"/>
      <c r="DF195" s="327"/>
      <c r="DG195" s="327"/>
      <c r="DH195" s="327"/>
      <c r="DI195" s="327"/>
      <c r="DJ195" s="327"/>
      <c r="DK195" s="327"/>
      <c r="DL195" s="327"/>
      <c r="DM195" s="327"/>
      <c r="DN195" s="327"/>
      <c r="DO195" s="327"/>
      <c r="DP195" s="327"/>
      <c r="DQ195" s="327"/>
      <c r="DR195" s="327"/>
      <c r="DS195" s="327"/>
      <c r="DT195" s="327"/>
      <c r="DU195" s="327"/>
      <c r="DV195" s="327"/>
    </row>
    <row r="196" spans="1:126" s="1367" customFormat="1">
      <c r="A196" s="2493" t="s">
        <v>2550</v>
      </c>
      <c r="B196" s="1653">
        <v>9041</v>
      </c>
      <c r="C196" s="1638" t="s">
        <v>47</v>
      </c>
      <c r="D196" s="1364" t="s">
        <v>2534</v>
      </c>
      <c r="E196" s="1364" t="s">
        <v>2100</v>
      </c>
      <c r="F196" s="1364" t="s">
        <v>2108</v>
      </c>
      <c r="G196" s="506" t="s">
        <v>1974</v>
      </c>
      <c r="H196" s="1361">
        <v>0</v>
      </c>
      <c r="I196" s="1371">
        <v>0</v>
      </c>
      <c r="J196" s="1372">
        <f>'Labor Results Matrix'!$G$94*(1+'Labor Results Matrix'!$K$94)</f>
        <v>69.929435526340711</v>
      </c>
      <c r="K196" s="1372">
        <f>J196*I196</f>
        <v>0</v>
      </c>
      <c r="L196" s="1372"/>
      <c r="M196" s="1372">
        <f t="shared" ref="M196:M200" si="37">H196+K196</f>
        <v>0</v>
      </c>
      <c r="N196" s="1458" t="s">
        <v>40</v>
      </c>
      <c r="O196" s="1361">
        <v>0</v>
      </c>
      <c r="P196" s="1371">
        <v>0</v>
      </c>
      <c r="Q196" s="1372">
        <v>0</v>
      </c>
      <c r="R196" s="1384"/>
      <c r="S196" s="1384"/>
      <c r="T196" s="1372">
        <v>0</v>
      </c>
      <c r="U196" s="1372" t="s">
        <v>40</v>
      </c>
      <c r="V196" s="1461"/>
      <c r="W196" s="1366"/>
      <c r="X196" s="1366"/>
      <c r="Y196" s="1366"/>
      <c r="Z196" s="1366"/>
      <c r="AA196" s="1366"/>
      <c r="AB196" s="1366"/>
      <c r="AC196" s="1366"/>
      <c r="AD196" s="1366"/>
      <c r="AE196" s="1366"/>
      <c r="AF196" s="1366"/>
      <c r="AG196" s="1366"/>
      <c r="AH196" s="1366"/>
      <c r="AI196" s="1366"/>
      <c r="AJ196" s="1366"/>
      <c r="AK196" s="1366"/>
      <c r="AL196" s="1366"/>
      <c r="AM196" s="1366"/>
      <c r="AN196" s="1366"/>
      <c r="AO196" s="1366"/>
      <c r="AP196" s="1366"/>
      <c r="AQ196" s="1366"/>
      <c r="AR196" s="1366"/>
      <c r="AS196" s="1366"/>
      <c r="AT196" s="1366"/>
      <c r="AU196" s="1366"/>
      <c r="AV196" s="1366"/>
      <c r="AW196" s="1366"/>
      <c r="AX196" s="1366"/>
      <c r="AY196" s="1366"/>
      <c r="AZ196" s="1366"/>
      <c r="BA196" s="1366"/>
      <c r="BB196" s="1366"/>
      <c r="BC196" s="1366"/>
      <c r="BD196" s="1366"/>
      <c r="BE196" s="1366"/>
      <c r="BF196" s="1366"/>
      <c r="BG196" s="1366"/>
      <c r="BH196" s="1366"/>
      <c r="BI196" s="1366"/>
      <c r="BJ196" s="1366"/>
      <c r="BK196" s="1366"/>
      <c r="BL196" s="1366"/>
      <c r="BM196" s="1366"/>
      <c r="BN196" s="1366"/>
      <c r="BO196" s="1366"/>
      <c r="BP196" s="1366"/>
      <c r="BQ196" s="1366"/>
      <c r="BR196" s="1366"/>
      <c r="BS196" s="1366"/>
      <c r="BT196" s="1366"/>
      <c r="BU196" s="1366"/>
      <c r="BV196" s="1366"/>
      <c r="BW196" s="1366"/>
      <c r="BX196" s="1366"/>
      <c r="BY196" s="1366"/>
      <c r="BZ196" s="1366"/>
      <c r="CA196" s="1366"/>
      <c r="CB196" s="1366"/>
      <c r="CC196" s="1366"/>
      <c r="CD196" s="1366"/>
      <c r="CE196" s="1366"/>
      <c r="CF196" s="1366"/>
      <c r="CG196" s="1366"/>
      <c r="CH196" s="1366"/>
      <c r="CI196" s="1366"/>
      <c r="CJ196" s="1366"/>
      <c r="CK196" s="1366"/>
      <c r="CL196" s="1366"/>
      <c r="CM196" s="1366"/>
      <c r="CN196" s="1366"/>
      <c r="CO196" s="1366"/>
      <c r="CP196" s="1366"/>
      <c r="CQ196" s="1366"/>
      <c r="CR196" s="1366"/>
      <c r="CS196" s="1366"/>
      <c r="CT196" s="1366"/>
      <c r="CU196" s="1366"/>
      <c r="CV196" s="1366"/>
      <c r="CW196" s="1366"/>
      <c r="CX196" s="1366"/>
      <c r="CY196" s="1366"/>
      <c r="CZ196" s="1366"/>
      <c r="DA196" s="1366"/>
      <c r="DB196" s="1366"/>
      <c r="DC196" s="1366"/>
      <c r="DD196" s="1366"/>
      <c r="DE196" s="1366"/>
      <c r="DF196" s="1366"/>
      <c r="DG196" s="1366"/>
      <c r="DH196" s="1366"/>
      <c r="DI196" s="1366"/>
      <c r="DJ196" s="1366"/>
      <c r="DK196" s="1366"/>
      <c r="DL196" s="1366"/>
      <c r="DM196" s="1366"/>
      <c r="DN196" s="1366"/>
      <c r="DO196" s="1366"/>
      <c r="DP196" s="1366"/>
      <c r="DQ196" s="1366"/>
      <c r="DR196" s="1366"/>
      <c r="DS196" s="1366"/>
      <c r="DT196" s="1366"/>
      <c r="DU196" s="1366"/>
      <c r="DV196" s="1366"/>
    </row>
    <row r="197" spans="1:126" s="1367" customFormat="1" ht="30">
      <c r="A197" s="2494"/>
      <c r="B197" s="1653">
        <v>9041</v>
      </c>
      <c r="C197" s="1642" t="s">
        <v>49</v>
      </c>
      <c r="D197" s="1516" t="s">
        <v>2546</v>
      </c>
      <c r="E197" s="1364" t="s">
        <v>2100</v>
      </c>
      <c r="F197" s="1364" t="s">
        <v>2108</v>
      </c>
      <c r="G197" s="506" t="s">
        <v>1974</v>
      </c>
      <c r="H197" s="1361">
        <f>'Equipment Results Matrix'!Y622</f>
        <v>827.71046511627912</v>
      </c>
      <c r="I197" s="1371">
        <f>0.3328*1.5+8.8483</f>
        <v>9.3475000000000001</v>
      </c>
      <c r="J197" s="1372">
        <f>'Labor Results Matrix'!$G$94*(1+'Labor Results Matrix'!$K$94)</f>
        <v>69.929435526340711</v>
      </c>
      <c r="K197" s="1372">
        <f t="shared" ref="K197:K200" si="38">J197*I197</f>
        <v>653.66539858246983</v>
      </c>
      <c r="L197" s="1372"/>
      <c r="M197" s="1372">
        <f t="shared" si="37"/>
        <v>1481.3758636987491</v>
      </c>
      <c r="N197" s="1458">
        <f>M197-$M$196</f>
        <v>1481.3758636987491</v>
      </c>
      <c r="O197" s="1361">
        <f>H197/1.5</f>
        <v>551.80697674418604</v>
      </c>
      <c r="P197" s="1371">
        <f>I197/1.5</f>
        <v>6.2316666666666665</v>
      </c>
      <c r="Q197" s="1372">
        <f>K197/1.5</f>
        <v>435.77693238831324</v>
      </c>
      <c r="R197" s="1384"/>
      <c r="S197" s="1384"/>
      <c r="T197" s="1372">
        <f>O197+Q197</f>
        <v>987.58390913249923</v>
      </c>
      <c r="U197" s="1372">
        <f>T197-$T$196</f>
        <v>987.58390913249923</v>
      </c>
      <c r="V197" s="1461"/>
      <c r="W197" s="1366"/>
      <c r="X197" s="1366"/>
      <c r="Y197" s="1366"/>
      <c r="Z197" s="1366"/>
      <c r="AA197" s="1366"/>
      <c r="AB197" s="1366"/>
      <c r="AC197" s="1366"/>
      <c r="AD197" s="1366"/>
      <c r="AE197" s="1366"/>
      <c r="AF197" s="1366"/>
      <c r="AG197" s="1366"/>
      <c r="AH197" s="1366"/>
      <c r="AI197" s="1366"/>
      <c r="AJ197" s="1366"/>
      <c r="AK197" s="1366"/>
      <c r="AL197" s="1366"/>
      <c r="AM197" s="1366"/>
      <c r="AN197" s="1366"/>
      <c r="AO197" s="1366"/>
      <c r="AP197" s="1366"/>
      <c r="AQ197" s="1366"/>
      <c r="AR197" s="1366"/>
      <c r="AS197" s="1366"/>
      <c r="AT197" s="1366"/>
      <c r="AU197" s="1366"/>
      <c r="AV197" s="1366"/>
      <c r="AW197" s="1366"/>
      <c r="AX197" s="1366"/>
      <c r="AY197" s="1366"/>
      <c r="AZ197" s="1366"/>
      <c r="BA197" s="1366"/>
      <c r="BB197" s="1366"/>
      <c r="BC197" s="1366"/>
      <c r="BD197" s="1366"/>
      <c r="BE197" s="1366"/>
      <c r="BF197" s="1366"/>
      <c r="BG197" s="1366"/>
      <c r="BH197" s="1366"/>
      <c r="BI197" s="1366"/>
      <c r="BJ197" s="1366"/>
      <c r="BK197" s="1366"/>
      <c r="BL197" s="1366"/>
      <c r="BM197" s="1366"/>
      <c r="BN197" s="1366"/>
      <c r="BO197" s="1366"/>
      <c r="BP197" s="1366"/>
      <c r="BQ197" s="1366"/>
      <c r="BR197" s="1366"/>
      <c r="BS197" s="1366"/>
      <c r="BT197" s="1366"/>
      <c r="BU197" s="1366"/>
      <c r="BV197" s="1366"/>
      <c r="BW197" s="1366"/>
      <c r="BX197" s="1366"/>
      <c r="BY197" s="1366"/>
      <c r="BZ197" s="1366"/>
      <c r="CA197" s="1366"/>
      <c r="CB197" s="1366"/>
      <c r="CC197" s="1366"/>
      <c r="CD197" s="1366"/>
      <c r="CE197" s="1366"/>
      <c r="CF197" s="1366"/>
      <c r="CG197" s="1366"/>
      <c r="CH197" s="1366"/>
      <c r="CI197" s="1366"/>
      <c r="CJ197" s="1366"/>
      <c r="CK197" s="1366"/>
      <c r="CL197" s="1366"/>
      <c r="CM197" s="1366"/>
      <c r="CN197" s="1366"/>
      <c r="CO197" s="1366"/>
      <c r="CP197" s="1366"/>
      <c r="CQ197" s="1366"/>
      <c r="CR197" s="1366"/>
      <c r="CS197" s="1366"/>
      <c r="CT197" s="1366"/>
      <c r="CU197" s="1366"/>
      <c r="CV197" s="1366"/>
      <c r="CW197" s="1366"/>
      <c r="CX197" s="1366"/>
      <c r="CY197" s="1366"/>
      <c r="CZ197" s="1366"/>
      <c r="DA197" s="1366"/>
      <c r="DB197" s="1366"/>
      <c r="DC197" s="1366"/>
      <c r="DD197" s="1366"/>
      <c r="DE197" s="1366"/>
      <c r="DF197" s="1366"/>
      <c r="DG197" s="1366"/>
      <c r="DH197" s="1366"/>
      <c r="DI197" s="1366"/>
      <c r="DJ197" s="1366"/>
      <c r="DK197" s="1366"/>
      <c r="DL197" s="1366"/>
      <c r="DM197" s="1366"/>
      <c r="DN197" s="1366"/>
      <c r="DO197" s="1366"/>
      <c r="DP197" s="1366"/>
      <c r="DQ197" s="1366"/>
      <c r="DR197" s="1366"/>
      <c r="DS197" s="1366"/>
      <c r="DT197" s="1366"/>
      <c r="DU197" s="1366"/>
      <c r="DV197" s="1366"/>
    </row>
    <row r="198" spans="1:126" s="1367" customFormat="1">
      <c r="A198" s="2494"/>
      <c r="B198" s="1653">
        <v>9041</v>
      </c>
      <c r="C198" s="1642" t="s">
        <v>49</v>
      </c>
      <c r="D198" s="1516" t="s">
        <v>2547</v>
      </c>
      <c r="E198" s="1364" t="s">
        <v>2100</v>
      </c>
      <c r="F198" s="1364" t="s">
        <v>2108</v>
      </c>
      <c r="G198" s="506" t="s">
        <v>1974</v>
      </c>
      <c r="H198" s="1361">
        <f>'Equipment Results Matrix'!Y623</f>
        <v>730.87646511627906</v>
      </c>
      <c r="I198" s="1371">
        <f>0.3328*5+8.8483</f>
        <v>10.5123</v>
      </c>
      <c r="J198" s="1372">
        <f>'Labor Results Matrix'!$G$94*(1+'Labor Results Matrix'!$K$94)</f>
        <v>69.929435526340711</v>
      </c>
      <c r="K198" s="1372">
        <f t="shared" si="38"/>
        <v>735.11920508355149</v>
      </c>
      <c r="L198" s="1372"/>
      <c r="M198" s="1372">
        <f t="shared" si="37"/>
        <v>1465.9956701998306</v>
      </c>
      <c r="N198" s="1458">
        <f t="shared" ref="N198:N200" si="39">M198-$M$196</f>
        <v>1465.9956701998306</v>
      </c>
      <c r="O198" s="1361">
        <f>H198/5</f>
        <v>146.17529302325582</v>
      </c>
      <c r="P198" s="1371">
        <f>I198/5</f>
        <v>2.1024599999999998</v>
      </c>
      <c r="Q198" s="1372">
        <f>K198/5</f>
        <v>147.02384101671029</v>
      </c>
      <c r="R198" s="1384"/>
      <c r="S198" s="1384"/>
      <c r="T198" s="1372">
        <f t="shared" ref="T198:T199" si="40">O198+Q198</f>
        <v>293.19913403996611</v>
      </c>
      <c r="U198" s="1372">
        <f t="shared" ref="U198:U200" si="41">T198-$T$196</f>
        <v>293.19913403996611</v>
      </c>
      <c r="V198" s="1461"/>
      <c r="W198" s="1366"/>
      <c r="X198" s="1366"/>
      <c r="Y198" s="1366"/>
      <c r="Z198" s="1366"/>
      <c r="AA198" s="1366"/>
      <c r="AB198" s="1366"/>
      <c r="AC198" s="1366"/>
      <c r="AD198" s="1366"/>
      <c r="AE198" s="1366"/>
      <c r="AF198" s="1366"/>
      <c r="AG198" s="1366"/>
      <c r="AH198" s="1366"/>
      <c r="AI198" s="1366"/>
      <c r="AJ198" s="1366"/>
      <c r="AK198" s="1366"/>
      <c r="AL198" s="1366"/>
      <c r="AM198" s="1366"/>
      <c r="AN198" s="1366"/>
      <c r="AO198" s="1366"/>
      <c r="AP198" s="1366"/>
      <c r="AQ198" s="1366"/>
      <c r="AR198" s="1366"/>
      <c r="AS198" s="1366"/>
      <c r="AT198" s="1366"/>
      <c r="AU198" s="1366"/>
      <c r="AV198" s="1366"/>
      <c r="AW198" s="1366"/>
      <c r="AX198" s="1366"/>
      <c r="AY198" s="1366"/>
      <c r="AZ198" s="1366"/>
      <c r="BA198" s="1366"/>
      <c r="BB198" s="1366"/>
      <c r="BC198" s="1366"/>
      <c r="BD198" s="1366"/>
      <c r="BE198" s="1366"/>
      <c r="BF198" s="1366"/>
      <c r="BG198" s="1366"/>
      <c r="BH198" s="1366"/>
      <c r="BI198" s="1366"/>
      <c r="BJ198" s="1366"/>
      <c r="BK198" s="1366"/>
      <c r="BL198" s="1366"/>
      <c r="BM198" s="1366"/>
      <c r="BN198" s="1366"/>
      <c r="BO198" s="1366"/>
      <c r="BP198" s="1366"/>
      <c r="BQ198" s="1366"/>
      <c r="BR198" s="1366"/>
      <c r="BS198" s="1366"/>
      <c r="BT198" s="1366"/>
      <c r="BU198" s="1366"/>
      <c r="BV198" s="1366"/>
      <c r="BW198" s="1366"/>
      <c r="BX198" s="1366"/>
      <c r="BY198" s="1366"/>
      <c r="BZ198" s="1366"/>
      <c r="CA198" s="1366"/>
      <c r="CB198" s="1366"/>
      <c r="CC198" s="1366"/>
      <c r="CD198" s="1366"/>
      <c r="CE198" s="1366"/>
      <c r="CF198" s="1366"/>
      <c r="CG198" s="1366"/>
      <c r="CH198" s="1366"/>
      <c r="CI198" s="1366"/>
      <c r="CJ198" s="1366"/>
      <c r="CK198" s="1366"/>
      <c r="CL198" s="1366"/>
      <c r="CM198" s="1366"/>
      <c r="CN198" s="1366"/>
      <c r="CO198" s="1366"/>
      <c r="CP198" s="1366"/>
      <c r="CQ198" s="1366"/>
      <c r="CR198" s="1366"/>
      <c r="CS198" s="1366"/>
      <c r="CT198" s="1366"/>
      <c r="CU198" s="1366"/>
      <c r="CV198" s="1366"/>
      <c r="CW198" s="1366"/>
      <c r="CX198" s="1366"/>
      <c r="CY198" s="1366"/>
      <c r="CZ198" s="1366"/>
      <c r="DA198" s="1366"/>
      <c r="DB198" s="1366"/>
      <c r="DC198" s="1366"/>
      <c r="DD198" s="1366"/>
      <c r="DE198" s="1366"/>
      <c r="DF198" s="1366"/>
      <c r="DG198" s="1366"/>
      <c r="DH198" s="1366"/>
      <c r="DI198" s="1366"/>
      <c r="DJ198" s="1366"/>
      <c r="DK198" s="1366"/>
      <c r="DL198" s="1366"/>
      <c r="DM198" s="1366"/>
      <c r="DN198" s="1366"/>
      <c r="DO198" s="1366"/>
      <c r="DP198" s="1366"/>
      <c r="DQ198" s="1366"/>
      <c r="DR198" s="1366"/>
      <c r="DS198" s="1366"/>
      <c r="DT198" s="1366"/>
      <c r="DU198" s="1366"/>
      <c r="DV198" s="1366"/>
    </row>
    <row r="199" spans="1:126" s="1367" customFormat="1" ht="30">
      <c r="A199" s="2494"/>
      <c r="B199" s="1653">
        <v>9041</v>
      </c>
      <c r="C199" s="1642" t="s">
        <v>49</v>
      </c>
      <c r="D199" s="1516" t="s">
        <v>2548</v>
      </c>
      <c r="E199" s="1364" t="s">
        <v>2100</v>
      </c>
      <c r="F199" s="1364" t="s">
        <v>2108</v>
      </c>
      <c r="G199" s="506" t="s">
        <v>1974</v>
      </c>
      <c r="H199" s="1361">
        <f>'Equipment Results Matrix'!Y624</f>
        <v>1018.696465116279</v>
      </c>
      <c r="I199" s="1371">
        <f>0.3328*10+8.8483</f>
        <v>12.176299999999999</v>
      </c>
      <c r="J199" s="1372">
        <f>'Labor Results Matrix'!$G$94*(1+'Labor Results Matrix'!$K$94)</f>
        <v>69.929435526340711</v>
      </c>
      <c r="K199" s="1372">
        <f t="shared" si="38"/>
        <v>851.48178579938235</v>
      </c>
      <c r="L199" s="1372"/>
      <c r="M199" s="1372">
        <f t="shared" si="37"/>
        <v>1870.1782509156615</v>
      </c>
      <c r="N199" s="1458">
        <f t="shared" si="39"/>
        <v>1870.1782509156615</v>
      </c>
      <c r="O199" s="1361">
        <f>H199/10</f>
        <v>101.86964651162791</v>
      </c>
      <c r="P199" s="1371">
        <f>I199/10</f>
        <v>1.21763</v>
      </c>
      <c r="Q199" s="1372">
        <f>K199/10</f>
        <v>85.148178579938232</v>
      </c>
      <c r="R199" s="1384"/>
      <c r="S199" s="1384"/>
      <c r="T199" s="1372">
        <f t="shared" si="40"/>
        <v>187.01782509156612</v>
      </c>
      <c r="U199" s="1372">
        <f t="shared" si="41"/>
        <v>187.01782509156612</v>
      </c>
      <c r="V199" s="1461"/>
      <c r="W199" s="1366"/>
      <c r="X199" s="1366"/>
      <c r="Y199" s="1366"/>
      <c r="Z199" s="1366"/>
      <c r="AA199" s="1366"/>
      <c r="AB199" s="1366"/>
      <c r="AC199" s="1366"/>
      <c r="AD199" s="1366"/>
      <c r="AE199" s="1366"/>
      <c r="AF199" s="1366"/>
      <c r="AG199" s="1366"/>
      <c r="AH199" s="1366"/>
      <c r="AI199" s="1366"/>
      <c r="AJ199" s="1366"/>
      <c r="AK199" s="1366"/>
      <c r="AL199" s="1366"/>
      <c r="AM199" s="1366"/>
      <c r="AN199" s="1366"/>
      <c r="AO199" s="1366"/>
      <c r="AP199" s="1366"/>
      <c r="AQ199" s="1366"/>
      <c r="AR199" s="1366"/>
      <c r="AS199" s="1366"/>
      <c r="AT199" s="1366"/>
      <c r="AU199" s="1366"/>
      <c r="AV199" s="1366"/>
      <c r="AW199" s="1366"/>
      <c r="AX199" s="1366"/>
      <c r="AY199" s="1366"/>
      <c r="AZ199" s="1366"/>
      <c r="BA199" s="1366"/>
      <c r="BB199" s="1366"/>
      <c r="BC199" s="1366"/>
      <c r="BD199" s="1366"/>
      <c r="BE199" s="1366"/>
      <c r="BF199" s="1366"/>
      <c r="BG199" s="1366"/>
      <c r="BH199" s="1366"/>
      <c r="BI199" s="1366"/>
      <c r="BJ199" s="1366"/>
      <c r="BK199" s="1366"/>
      <c r="BL199" s="1366"/>
      <c r="BM199" s="1366"/>
      <c r="BN199" s="1366"/>
      <c r="BO199" s="1366"/>
      <c r="BP199" s="1366"/>
      <c r="BQ199" s="1366"/>
      <c r="BR199" s="1366"/>
      <c r="BS199" s="1366"/>
      <c r="BT199" s="1366"/>
      <c r="BU199" s="1366"/>
      <c r="BV199" s="1366"/>
      <c r="BW199" s="1366"/>
      <c r="BX199" s="1366"/>
      <c r="BY199" s="1366"/>
      <c r="BZ199" s="1366"/>
      <c r="CA199" s="1366"/>
      <c r="CB199" s="1366"/>
      <c r="CC199" s="1366"/>
      <c r="CD199" s="1366"/>
      <c r="CE199" s="1366"/>
      <c r="CF199" s="1366"/>
      <c r="CG199" s="1366"/>
      <c r="CH199" s="1366"/>
      <c r="CI199" s="1366"/>
      <c r="CJ199" s="1366"/>
      <c r="CK199" s="1366"/>
      <c r="CL199" s="1366"/>
      <c r="CM199" s="1366"/>
      <c r="CN199" s="1366"/>
      <c r="CO199" s="1366"/>
      <c r="CP199" s="1366"/>
      <c r="CQ199" s="1366"/>
      <c r="CR199" s="1366"/>
      <c r="CS199" s="1366"/>
      <c r="CT199" s="1366"/>
      <c r="CU199" s="1366"/>
      <c r="CV199" s="1366"/>
      <c r="CW199" s="1366"/>
      <c r="CX199" s="1366"/>
      <c r="CY199" s="1366"/>
      <c r="CZ199" s="1366"/>
      <c r="DA199" s="1366"/>
      <c r="DB199" s="1366"/>
      <c r="DC199" s="1366"/>
      <c r="DD199" s="1366"/>
      <c r="DE199" s="1366"/>
      <c r="DF199" s="1366"/>
      <c r="DG199" s="1366"/>
      <c r="DH199" s="1366"/>
      <c r="DI199" s="1366"/>
      <c r="DJ199" s="1366"/>
      <c r="DK199" s="1366"/>
      <c r="DL199" s="1366"/>
      <c r="DM199" s="1366"/>
      <c r="DN199" s="1366"/>
      <c r="DO199" s="1366"/>
      <c r="DP199" s="1366"/>
      <c r="DQ199" s="1366"/>
      <c r="DR199" s="1366"/>
      <c r="DS199" s="1366"/>
      <c r="DT199" s="1366"/>
      <c r="DU199" s="1366"/>
      <c r="DV199" s="1366"/>
    </row>
    <row r="200" spans="1:126" s="1367" customFormat="1" ht="30.75" thickBot="1">
      <c r="A200" s="2495"/>
      <c r="B200" s="1653">
        <v>9041</v>
      </c>
      <c r="C200" s="1642" t="s">
        <v>49</v>
      </c>
      <c r="D200" s="1516" t="s">
        <v>2549</v>
      </c>
      <c r="E200" s="1364" t="s">
        <v>2100</v>
      </c>
      <c r="F200" s="1364" t="s">
        <v>2108</v>
      </c>
      <c r="G200" s="506" t="s">
        <v>1974</v>
      </c>
      <c r="H200" s="1361">
        <f>'Equipment Results Matrix'!Y625</f>
        <v>2243.116465116279</v>
      </c>
      <c r="I200" s="1371">
        <f>0.3328*10+8.8483</f>
        <v>12.176299999999999</v>
      </c>
      <c r="J200" s="1372">
        <f>'Labor Results Matrix'!$G$94*(1+'Labor Results Matrix'!$K$94)</f>
        <v>69.929435526340711</v>
      </c>
      <c r="K200" s="1372">
        <f t="shared" si="38"/>
        <v>851.48178579938235</v>
      </c>
      <c r="L200" s="1372"/>
      <c r="M200" s="1372">
        <f t="shared" si="37"/>
        <v>3094.5982509156611</v>
      </c>
      <c r="N200" s="1458">
        <f t="shared" si="39"/>
        <v>3094.5982509156611</v>
      </c>
      <c r="O200" s="1361">
        <f>H200/10</f>
        <v>224.31164651162788</v>
      </c>
      <c r="P200" s="1371">
        <f>I200/10</f>
        <v>1.21763</v>
      </c>
      <c r="Q200" s="1372">
        <f>K200/10</f>
        <v>85.148178579938232</v>
      </c>
      <c r="R200" s="1384"/>
      <c r="S200" s="1384"/>
      <c r="T200" s="1372">
        <f>O200+Q200</f>
        <v>309.45982509156613</v>
      </c>
      <c r="U200" s="1372">
        <f t="shared" si="41"/>
        <v>309.45982509156613</v>
      </c>
      <c r="V200" s="1461"/>
      <c r="W200" s="1366"/>
      <c r="X200" s="1366"/>
      <c r="Y200" s="1366"/>
      <c r="Z200" s="1366"/>
      <c r="AA200" s="1366"/>
      <c r="AB200" s="1366"/>
      <c r="AC200" s="1366"/>
      <c r="AD200" s="1366"/>
      <c r="AE200" s="1366"/>
      <c r="AF200" s="1366"/>
      <c r="AG200" s="1366"/>
      <c r="AH200" s="1366"/>
      <c r="AI200" s="1366"/>
      <c r="AJ200" s="1366"/>
      <c r="AK200" s="1366"/>
      <c r="AL200" s="1366"/>
      <c r="AM200" s="1366"/>
      <c r="AN200" s="1366"/>
      <c r="AO200" s="1366"/>
      <c r="AP200" s="1366"/>
      <c r="AQ200" s="1366"/>
      <c r="AR200" s="1366"/>
      <c r="AS200" s="1366"/>
      <c r="AT200" s="1366"/>
      <c r="AU200" s="1366"/>
      <c r="AV200" s="1366"/>
      <c r="AW200" s="1366"/>
      <c r="AX200" s="1366"/>
      <c r="AY200" s="1366"/>
      <c r="AZ200" s="1366"/>
      <c r="BA200" s="1366"/>
      <c r="BB200" s="1366"/>
      <c r="BC200" s="1366"/>
      <c r="BD200" s="1366"/>
      <c r="BE200" s="1366"/>
      <c r="BF200" s="1366"/>
      <c r="BG200" s="1366"/>
      <c r="BH200" s="1366"/>
      <c r="BI200" s="1366"/>
      <c r="BJ200" s="1366"/>
      <c r="BK200" s="1366"/>
      <c r="BL200" s="1366"/>
      <c r="BM200" s="1366"/>
      <c r="BN200" s="1366"/>
      <c r="BO200" s="1366"/>
      <c r="BP200" s="1366"/>
      <c r="BQ200" s="1366"/>
      <c r="BR200" s="1366"/>
      <c r="BS200" s="1366"/>
      <c r="BT200" s="1366"/>
      <c r="BU200" s="1366"/>
      <c r="BV200" s="1366"/>
      <c r="BW200" s="1366"/>
      <c r="BX200" s="1366"/>
      <c r="BY200" s="1366"/>
      <c r="BZ200" s="1366"/>
      <c r="CA200" s="1366"/>
      <c r="CB200" s="1366"/>
      <c r="CC200" s="1366"/>
      <c r="CD200" s="1366"/>
      <c r="CE200" s="1366"/>
      <c r="CF200" s="1366"/>
      <c r="CG200" s="1366"/>
      <c r="CH200" s="1366"/>
      <c r="CI200" s="1366"/>
      <c r="CJ200" s="1366"/>
      <c r="CK200" s="1366"/>
      <c r="CL200" s="1366"/>
      <c r="CM200" s="1366"/>
      <c r="CN200" s="1366"/>
      <c r="CO200" s="1366"/>
      <c r="CP200" s="1366"/>
      <c r="CQ200" s="1366"/>
      <c r="CR200" s="1366"/>
      <c r="CS200" s="1366"/>
      <c r="CT200" s="1366"/>
      <c r="CU200" s="1366"/>
      <c r="CV200" s="1366"/>
      <c r="CW200" s="1366"/>
      <c r="CX200" s="1366"/>
      <c r="CY200" s="1366"/>
      <c r="CZ200" s="1366"/>
      <c r="DA200" s="1366"/>
      <c r="DB200" s="1366"/>
      <c r="DC200" s="1366"/>
      <c r="DD200" s="1366"/>
      <c r="DE200" s="1366"/>
      <c r="DF200" s="1366"/>
      <c r="DG200" s="1366"/>
      <c r="DH200" s="1366"/>
      <c r="DI200" s="1366"/>
      <c r="DJ200" s="1366"/>
      <c r="DK200" s="1366"/>
      <c r="DL200" s="1366"/>
      <c r="DM200" s="1366"/>
      <c r="DN200" s="1366"/>
      <c r="DO200" s="1366"/>
      <c r="DP200" s="1366"/>
      <c r="DQ200" s="1366"/>
      <c r="DR200" s="1366"/>
      <c r="DS200" s="1366"/>
      <c r="DT200" s="1366"/>
      <c r="DU200" s="1366"/>
      <c r="DV200" s="1366"/>
    </row>
    <row r="201" spans="1:126" s="1479" customFormat="1" ht="19.5" thickBot="1">
      <c r="A201" s="695"/>
      <c r="B201" s="1655"/>
      <c r="C201" s="1655"/>
      <c r="D201" s="683"/>
      <c r="E201" s="683"/>
      <c r="F201" s="683"/>
      <c r="G201" s="683"/>
      <c r="H201" s="1413"/>
      <c r="I201" s="1443"/>
      <c r="J201" s="1414"/>
      <c r="K201" s="1413"/>
      <c r="L201" s="1529"/>
      <c r="M201" s="1413"/>
      <c r="N201" s="1489"/>
      <c r="O201" s="1413"/>
      <c r="P201" s="1414"/>
      <c r="Q201" s="1414"/>
      <c r="R201" s="1443"/>
      <c r="S201" s="1443"/>
      <c r="T201" s="1488"/>
      <c r="U201" s="1488"/>
      <c r="V201" s="1489"/>
      <c r="W201" s="1490"/>
      <c r="X201" s="1490"/>
      <c r="Y201" s="327"/>
      <c r="Z201" s="327"/>
      <c r="AA201" s="327"/>
      <c r="AB201" s="1490"/>
      <c r="AC201" s="1490"/>
      <c r="AD201" s="1490"/>
      <c r="AE201" s="1490"/>
      <c r="AF201" s="327"/>
      <c r="AG201" s="327"/>
      <c r="AH201" s="327"/>
      <c r="AI201" s="327"/>
      <c r="AJ201" s="327"/>
      <c r="AK201" s="1478"/>
      <c r="AL201" s="1478"/>
      <c r="AM201" s="1478"/>
      <c r="AN201" s="1478"/>
      <c r="AO201" s="1478"/>
      <c r="AP201" s="1478"/>
      <c r="AQ201" s="1478"/>
      <c r="AR201" s="1478"/>
      <c r="AS201" s="1478"/>
      <c r="AT201" s="1478"/>
      <c r="AU201" s="1478"/>
      <c r="AV201" s="1478"/>
      <c r="AW201" s="1478"/>
      <c r="AX201" s="1478"/>
      <c r="AY201" s="1478"/>
      <c r="AZ201" s="1478"/>
      <c r="BA201" s="1478"/>
      <c r="BB201" s="1478"/>
      <c r="BC201" s="1478"/>
      <c r="BD201" s="1478"/>
      <c r="BE201" s="1478"/>
      <c r="BF201" s="1478"/>
      <c r="BG201" s="1478"/>
      <c r="BH201" s="1478"/>
      <c r="BI201" s="1478"/>
      <c r="BJ201" s="1478"/>
      <c r="BK201" s="327"/>
      <c r="BL201" s="327"/>
      <c r="BM201" s="327"/>
      <c r="BN201" s="327"/>
      <c r="BO201" s="327"/>
      <c r="BP201" s="327"/>
      <c r="BQ201" s="327"/>
      <c r="BR201" s="327"/>
      <c r="BS201" s="327"/>
      <c r="BT201" s="327"/>
      <c r="BU201" s="327"/>
      <c r="BV201" s="327"/>
      <c r="BW201" s="327"/>
      <c r="BX201" s="327"/>
      <c r="BY201" s="327"/>
      <c r="BZ201" s="327"/>
      <c r="CA201" s="327"/>
      <c r="CB201" s="327"/>
      <c r="CC201" s="327"/>
      <c r="CD201" s="327"/>
      <c r="CE201" s="327"/>
      <c r="CF201" s="327"/>
      <c r="CG201" s="327"/>
      <c r="CH201" s="327"/>
      <c r="CI201" s="327"/>
      <c r="CJ201" s="327"/>
      <c r="CK201" s="327"/>
      <c r="CL201" s="327"/>
      <c r="CM201" s="327"/>
      <c r="CN201" s="327"/>
      <c r="CO201" s="327"/>
      <c r="CP201" s="327"/>
      <c r="CQ201" s="327"/>
      <c r="CR201" s="327"/>
      <c r="CS201" s="327"/>
      <c r="CT201" s="327"/>
      <c r="CU201" s="327"/>
      <c r="CV201" s="327"/>
      <c r="CW201" s="327"/>
      <c r="CX201" s="327"/>
      <c r="CY201" s="327"/>
      <c r="CZ201" s="327"/>
      <c r="DA201" s="327"/>
      <c r="DB201" s="327"/>
      <c r="DC201" s="327"/>
      <c r="DD201" s="327"/>
      <c r="DE201" s="327"/>
      <c r="DF201" s="327"/>
      <c r="DG201" s="327"/>
      <c r="DH201" s="327"/>
      <c r="DI201" s="327"/>
      <c r="DJ201" s="327"/>
      <c r="DK201" s="327"/>
      <c r="DL201" s="327"/>
      <c r="DM201" s="327"/>
      <c r="DN201" s="327"/>
      <c r="DO201" s="327"/>
      <c r="DP201" s="327"/>
      <c r="DQ201" s="327"/>
      <c r="DR201" s="327"/>
      <c r="DS201" s="327"/>
      <c r="DT201" s="327"/>
      <c r="DU201" s="327"/>
      <c r="DV201" s="327"/>
    </row>
    <row r="202" spans="1:126" s="1367" customFormat="1" ht="15" customHeight="1">
      <c r="A202" s="2493" t="s">
        <v>174</v>
      </c>
      <c r="B202" s="2501" t="s">
        <v>2698</v>
      </c>
      <c r="C202" s="623" t="s">
        <v>2696</v>
      </c>
      <c r="D202" s="1560" t="s">
        <v>2697</v>
      </c>
      <c r="E202" s="383" t="s">
        <v>2684</v>
      </c>
      <c r="F202" s="383" t="s">
        <v>2108</v>
      </c>
      <c r="G202" s="1540" t="s">
        <v>2522</v>
      </c>
      <c r="H202" s="1563">
        <v>0</v>
      </c>
      <c r="I202" s="1564">
        <v>0</v>
      </c>
      <c r="J202" s="1566">
        <v>0</v>
      </c>
      <c r="K202" s="1566">
        <f>I202*J202*(1+'Labor Results Matrix'!$K$105)</f>
        <v>0</v>
      </c>
      <c r="L202" s="1566">
        <v>0</v>
      </c>
      <c r="M202" s="1566">
        <f>L202+K202+H202</f>
        <v>0</v>
      </c>
      <c r="N202" s="1592" t="s">
        <v>40</v>
      </c>
      <c r="O202" s="1429"/>
      <c r="P202" s="1430"/>
      <c r="Q202" s="1430"/>
      <c r="R202" s="1430"/>
      <c r="S202" s="1430"/>
      <c r="T202" s="1430"/>
      <c r="U202" s="1430"/>
      <c r="V202" s="1679"/>
      <c r="W202" s="1366"/>
      <c r="X202" s="1366"/>
      <c r="Y202" s="1366"/>
      <c r="Z202" s="1366"/>
      <c r="AA202" s="1366"/>
      <c r="AB202" s="1366"/>
      <c r="AC202" s="1366"/>
      <c r="AD202" s="1366"/>
      <c r="AE202" s="1366"/>
      <c r="AF202" s="1366"/>
      <c r="AG202" s="1366"/>
      <c r="AH202" s="1366"/>
      <c r="AI202" s="1366"/>
      <c r="AJ202" s="1366"/>
      <c r="AK202" s="1366"/>
      <c r="AL202" s="1366"/>
      <c r="AM202" s="1366"/>
      <c r="AN202" s="1366"/>
      <c r="AO202" s="1366"/>
      <c r="AP202" s="1366"/>
      <c r="AQ202" s="1366"/>
      <c r="AR202" s="1366"/>
      <c r="AS202" s="1366"/>
      <c r="AT202" s="1366"/>
      <c r="AU202" s="1366"/>
      <c r="AV202" s="1366"/>
      <c r="AW202" s="1366"/>
      <c r="AX202" s="1366"/>
      <c r="AY202" s="1366"/>
      <c r="AZ202" s="1366"/>
      <c r="BA202" s="1366"/>
      <c r="BB202" s="1366"/>
      <c r="BC202" s="1366"/>
      <c r="BD202" s="1366"/>
      <c r="BE202" s="1366"/>
      <c r="BF202" s="1366"/>
      <c r="BG202" s="1366"/>
      <c r="BH202" s="1366"/>
      <c r="BI202" s="1366"/>
      <c r="BJ202" s="1366"/>
      <c r="BK202" s="1366"/>
      <c r="BL202" s="1366"/>
      <c r="BM202" s="1366"/>
      <c r="BN202" s="1366"/>
      <c r="BO202" s="1366"/>
      <c r="BP202" s="1366"/>
      <c r="BQ202" s="1366"/>
      <c r="BR202" s="1366"/>
      <c r="BS202" s="1366"/>
      <c r="BT202" s="1366"/>
      <c r="BU202" s="1366"/>
      <c r="BV202" s="1366"/>
      <c r="BW202" s="1366"/>
      <c r="BX202" s="1366"/>
      <c r="BY202" s="1366"/>
      <c r="BZ202" s="1366"/>
      <c r="CA202" s="1366"/>
      <c r="CB202" s="1366"/>
      <c r="CC202" s="1366"/>
      <c r="CD202" s="1366"/>
      <c r="CE202" s="1366"/>
      <c r="CF202" s="1366"/>
      <c r="CG202" s="1366"/>
      <c r="CH202" s="1366"/>
      <c r="CI202" s="1366"/>
      <c r="CJ202" s="1366"/>
      <c r="CK202" s="1366"/>
      <c r="CL202" s="1366"/>
      <c r="CM202" s="1366"/>
      <c r="CN202" s="1366"/>
      <c r="CO202" s="1366"/>
      <c r="CP202" s="1366"/>
      <c r="CQ202" s="1366"/>
      <c r="CR202" s="1366"/>
      <c r="CS202" s="1366"/>
      <c r="CT202" s="1366"/>
      <c r="CU202" s="1366"/>
      <c r="CV202" s="1366"/>
      <c r="CW202" s="1366"/>
      <c r="CX202" s="1366"/>
      <c r="CY202" s="1366"/>
      <c r="CZ202" s="1366"/>
      <c r="DA202" s="1366"/>
      <c r="DB202" s="1366"/>
      <c r="DC202" s="1366"/>
      <c r="DD202" s="1366"/>
      <c r="DE202" s="1366"/>
      <c r="DF202" s="1366"/>
      <c r="DG202" s="1366"/>
      <c r="DH202" s="1366"/>
      <c r="DI202" s="1366"/>
      <c r="DJ202" s="1366"/>
      <c r="DK202" s="1366"/>
      <c r="DL202" s="1366"/>
      <c r="DM202" s="1366"/>
      <c r="DN202" s="1366"/>
      <c r="DO202" s="1366"/>
      <c r="DP202" s="1366"/>
      <c r="DQ202" s="1366"/>
      <c r="DR202" s="1366"/>
      <c r="DS202" s="1366"/>
      <c r="DT202" s="1366"/>
      <c r="DU202" s="1366"/>
      <c r="DV202" s="1366"/>
    </row>
    <row r="203" spans="1:126" s="1367" customFormat="1" ht="15" customHeight="1">
      <c r="A203" s="2494"/>
      <c r="B203" s="2502"/>
      <c r="C203" s="1642" t="str">
        <f>'Equipment Results Matrix'!W633</f>
        <v>Measure</v>
      </c>
      <c r="D203" s="1375" t="s">
        <v>2685</v>
      </c>
      <c r="E203" s="1364" t="s">
        <v>2684</v>
      </c>
      <c r="F203" s="1364" t="s">
        <v>2108</v>
      </c>
      <c r="G203" s="1543" t="s">
        <v>2522</v>
      </c>
      <c r="H203" s="1361">
        <f>'Equipment Results Matrix'!Y633</f>
        <v>529.04851671735207</v>
      </c>
      <c r="I203" s="1371">
        <f>'Labor Results Matrix'!$E$105</f>
        <v>7.5</v>
      </c>
      <c r="J203" s="1372">
        <f>'Labor Results Matrix'!$G$105*(1+'Labor Results Matrix'!$K$105)</f>
        <v>86.931249390275852</v>
      </c>
      <c r="K203" s="1372">
        <f>I203*J203</f>
        <v>651.98437042706894</v>
      </c>
      <c r="L203" s="1372">
        <f>'Labor Results Matrix'!$I$105*(1+'Labor Results Matrix'!$K$105)</f>
        <v>1192.125</v>
      </c>
      <c r="M203" s="1372">
        <f>L203+K203+H203</f>
        <v>2373.1578871444208</v>
      </c>
      <c r="N203" s="1458">
        <f>M203-$M$202</f>
        <v>2373.1578871444208</v>
      </c>
      <c r="O203" s="1429"/>
      <c r="P203" s="1430"/>
      <c r="Q203" s="1430"/>
      <c r="R203" s="1430"/>
      <c r="S203" s="1430"/>
      <c r="T203" s="1430"/>
      <c r="U203" s="1430"/>
      <c r="V203" s="1679"/>
      <c r="W203" s="1366"/>
      <c r="X203" s="1366"/>
      <c r="Y203" s="1366"/>
      <c r="Z203" s="1366"/>
      <c r="AA203" s="1366"/>
      <c r="AB203" s="1366"/>
      <c r="AC203" s="1366"/>
      <c r="AD203" s="1366"/>
      <c r="AE203" s="1366"/>
      <c r="AF203" s="1366"/>
      <c r="AG203" s="1366"/>
      <c r="AH203" s="1366"/>
      <c r="AI203" s="1366"/>
      <c r="AJ203" s="1366"/>
      <c r="AK203" s="1366"/>
      <c r="AL203" s="1366"/>
      <c r="AM203" s="1366"/>
      <c r="AN203" s="1366"/>
      <c r="AO203" s="1366"/>
      <c r="AP203" s="1366"/>
      <c r="AQ203" s="1366"/>
      <c r="AR203" s="1366"/>
      <c r="AS203" s="1366"/>
      <c r="AT203" s="1366"/>
      <c r="AU203" s="1366"/>
      <c r="AV203" s="1366"/>
      <c r="AW203" s="1366"/>
      <c r="AX203" s="1366"/>
      <c r="AY203" s="1366"/>
      <c r="AZ203" s="1366"/>
      <c r="BA203" s="1366"/>
      <c r="BB203" s="1366"/>
      <c r="BC203" s="1366"/>
      <c r="BD203" s="1366"/>
      <c r="BE203" s="1366"/>
      <c r="BF203" s="1366"/>
      <c r="BG203" s="1366"/>
      <c r="BH203" s="1366"/>
      <c r="BI203" s="1366"/>
      <c r="BJ203" s="1366"/>
      <c r="BK203" s="1366"/>
      <c r="BL203" s="1366"/>
      <c r="BM203" s="1366"/>
      <c r="BN203" s="1366"/>
      <c r="BO203" s="1366"/>
      <c r="BP203" s="1366"/>
      <c r="BQ203" s="1366"/>
      <c r="BR203" s="1366"/>
      <c r="BS203" s="1366"/>
      <c r="BT203" s="1366"/>
      <c r="BU203" s="1366"/>
      <c r="BV203" s="1366"/>
      <c r="BW203" s="1366"/>
      <c r="BX203" s="1366"/>
      <c r="BY203" s="1366"/>
      <c r="BZ203" s="1366"/>
      <c r="CA203" s="1366"/>
      <c r="CB203" s="1366"/>
      <c r="CC203" s="1366"/>
      <c r="CD203" s="1366"/>
      <c r="CE203" s="1366"/>
      <c r="CF203" s="1366"/>
      <c r="CG203" s="1366"/>
      <c r="CH203" s="1366"/>
      <c r="CI203" s="1366"/>
      <c r="CJ203" s="1366"/>
      <c r="CK203" s="1366"/>
      <c r="CL203" s="1366"/>
      <c r="CM203" s="1366"/>
      <c r="CN203" s="1366"/>
      <c r="CO203" s="1366"/>
      <c r="CP203" s="1366"/>
      <c r="CQ203" s="1366"/>
      <c r="CR203" s="1366"/>
      <c r="CS203" s="1366"/>
      <c r="CT203" s="1366"/>
      <c r="CU203" s="1366"/>
      <c r="CV203" s="1366"/>
      <c r="CW203" s="1366"/>
      <c r="CX203" s="1366"/>
      <c r="CY203" s="1366"/>
      <c r="CZ203" s="1366"/>
      <c r="DA203" s="1366"/>
      <c r="DB203" s="1366"/>
      <c r="DC203" s="1366"/>
      <c r="DD203" s="1366"/>
      <c r="DE203" s="1366"/>
      <c r="DF203" s="1366"/>
      <c r="DG203" s="1366"/>
      <c r="DH203" s="1366"/>
      <c r="DI203" s="1366"/>
      <c r="DJ203" s="1366"/>
      <c r="DK203" s="1366"/>
      <c r="DL203" s="1366"/>
      <c r="DM203" s="1366"/>
      <c r="DN203" s="1366"/>
      <c r="DO203" s="1366"/>
      <c r="DP203" s="1366"/>
      <c r="DQ203" s="1366"/>
      <c r="DR203" s="1366"/>
      <c r="DS203" s="1366"/>
      <c r="DT203" s="1366"/>
      <c r="DU203" s="1366"/>
      <c r="DV203" s="1366"/>
    </row>
    <row r="204" spans="1:126" s="1367" customFormat="1" ht="15" customHeight="1">
      <c r="A204" s="2494"/>
      <c r="B204" s="2502"/>
      <c r="C204" s="1642" t="str">
        <f>'Equipment Results Matrix'!W633</f>
        <v>Measure</v>
      </c>
      <c r="D204" s="1375" t="s">
        <v>2686</v>
      </c>
      <c r="E204" s="1364" t="s">
        <v>2684</v>
      </c>
      <c r="F204" s="1364" t="s">
        <v>2108</v>
      </c>
      <c r="G204" s="1543" t="s">
        <v>2522</v>
      </c>
      <c r="H204" s="1361">
        <f>'Equipment Results Matrix'!Y633</f>
        <v>529.04851671735207</v>
      </c>
      <c r="I204" s="1371">
        <f>'Labor Results Matrix'!$E$105</f>
        <v>7.5</v>
      </c>
      <c r="J204" s="1372">
        <f>'Labor Results Matrix'!$G$105*(1+'Labor Results Matrix'!$K$105)</f>
        <v>86.931249390275852</v>
      </c>
      <c r="K204" s="1372">
        <f t="shared" ref="K204:K213" si="42">I204*J204</f>
        <v>651.98437042706894</v>
      </c>
      <c r="L204" s="1372">
        <f>'Labor Results Matrix'!$I$105*(1+'Labor Results Matrix'!$K$105)</f>
        <v>1192.125</v>
      </c>
      <c r="M204" s="1372">
        <f t="shared" ref="M204:M213" si="43">L204+K204+H204</f>
        <v>2373.1578871444208</v>
      </c>
      <c r="N204" s="1458">
        <f t="shared" ref="N204:N213" si="44">M204-$M$202</f>
        <v>2373.1578871444208</v>
      </c>
      <c r="O204" s="1429"/>
      <c r="P204" s="1430"/>
      <c r="Q204" s="1430"/>
      <c r="R204" s="1430"/>
      <c r="S204" s="1430"/>
      <c r="T204" s="1430"/>
      <c r="U204" s="1430"/>
      <c r="V204" s="1679"/>
      <c r="W204" s="1366"/>
      <c r="X204" s="1366"/>
      <c r="Y204" s="1366"/>
      <c r="Z204" s="1366"/>
      <c r="AA204" s="1366"/>
      <c r="AB204" s="1366"/>
      <c r="AC204" s="1366"/>
      <c r="AD204" s="1366"/>
      <c r="AE204" s="1366"/>
      <c r="AF204" s="1366"/>
      <c r="AG204" s="1366"/>
      <c r="AH204" s="1366"/>
      <c r="AI204" s="1366"/>
      <c r="AJ204" s="1366"/>
      <c r="AK204" s="1366"/>
      <c r="AL204" s="1366"/>
      <c r="AM204" s="1366"/>
      <c r="AN204" s="1366"/>
      <c r="AO204" s="1366"/>
      <c r="AP204" s="1366"/>
      <c r="AQ204" s="1366"/>
      <c r="AR204" s="1366"/>
      <c r="AS204" s="1366"/>
      <c r="AT204" s="1366"/>
      <c r="AU204" s="1366"/>
      <c r="AV204" s="1366"/>
      <c r="AW204" s="1366"/>
      <c r="AX204" s="1366"/>
      <c r="AY204" s="1366"/>
      <c r="AZ204" s="1366"/>
      <c r="BA204" s="1366"/>
      <c r="BB204" s="1366"/>
      <c r="BC204" s="1366"/>
      <c r="BD204" s="1366"/>
      <c r="BE204" s="1366"/>
      <c r="BF204" s="1366"/>
      <c r="BG204" s="1366"/>
      <c r="BH204" s="1366"/>
      <c r="BI204" s="1366"/>
      <c r="BJ204" s="1366"/>
      <c r="BK204" s="1366"/>
      <c r="BL204" s="1366"/>
      <c r="BM204" s="1366"/>
      <c r="BN204" s="1366"/>
      <c r="BO204" s="1366"/>
      <c r="BP204" s="1366"/>
      <c r="BQ204" s="1366"/>
      <c r="BR204" s="1366"/>
      <c r="BS204" s="1366"/>
      <c r="BT204" s="1366"/>
      <c r="BU204" s="1366"/>
      <c r="BV204" s="1366"/>
      <c r="BW204" s="1366"/>
      <c r="BX204" s="1366"/>
      <c r="BY204" s="1366"/>
      <c r="BZ204" s="1366"/>
      <c r="CA204" s="1366"/>
      <c r="CB204" s="1366"/>
      <c r="CC204" s="1366"/>
      <c r="CD204" s="1366"/>
      <c r="CE204" s="1366"/>
      <c r="CF204" s="1366"/>
      <c r="CG204" s="1366"/>
      <c r="CH204" s="1366"/>
      <c r="CI204" s="1366"/>
      <c r="CJ204" s="1366"/>
      <c r="CK204" s="1366"/>
      <c r="CL204" s="1366"/>
      <c r="CM204" s="1366"/>
      <c r="CN204" s="1366"/>
      <c r="CO204" s="1366"/>
      <c r="CP204" s="1366"/>
      <c r="CQ204" s="1366"/>
      <c r="CR204" s="1366"/>
      <c r="CS204" s="1366"/>
      <c r="CT204" s="1366"/>
      <c r="CU204" s="1366"/>
      <c r="CV204" s="1366"/>
      <c r="CW204" s="1366"/>
      <c r="CX204" s="1366"/>
      <c r="CY204" s="1366"/>
      <c r="CZ204" s="1366"/>
      <c r="DA204" s="1366"/>
      <c r="DB204" s="1366"/>
      <c r="DC204" s="1366"/>
      <c r="DD204" s="1366"/>
      <c r="DE204" s="1366"/>
      <c r="DF204" s="1366"/>
      <c r="DG204" s="1366"/>
      <c r="DH204" s="1366"/>
      <c r="DI204" s="1366"/>
      <c r="DJ204" s="1366"/>
      <c r="DK204" s="1366"/>
      <c r="DL204" s="1366"/>
      <c r="DM204" s="1366"/>
      <c r="DN204" s="1366"/>
      <c r="DO204" s="1366"/>
      <c r="DP204" s="1366"/>
      <c r="DQ204" s="1366"/>
      <c r="DR204" s="1366"/>
      <c r="DS204" s="1366"/>
      <c r="DT204" s="1366"/>
      <c r="DU204" s="1366"/>
      <c r="DV204" s="1366"/>
    </row>
    <row r="205" spans="1:126" s="1367" customFormat="1" ht="15" customHeight="1">
      <c r="A205" s="2494"/>
      <c r="B205" s="2502"/>
      <c r="C205" s="1642" t="str">
        <f>'Equipment Results Matrix'!W634</f>
        <v>Measure</v>
      </c>
      <c r="D205" s="1375" t="s">
        <v>2687</v>
      </c>
      <c r="E205" s="1364" t="s">
        <v>2684</v>
      </c>
      <c r="F205" s="1364" t="s">
        <v>2108</v>
      </c>
      <c r="G205" s="1543" t="s">
        <v>2522</v>
      </c>
      <c r="H205" s="1361">
        <f>'Equipment Results Matrix'!Y634</f>
        <v>597.23272511735206</v>
      </c>
      <c r="I205" s="1371">
        <f>'Labor Results Matrix'!$E$105</f>
        <v>7.5</v>
      </c>
      <c r="J205" s="1372">
        <f>'Labor Results Matrix'!$G$105*(1+'Labor Results Matrix'!$K$105)</f>
        <v>86.931249390275852</v>
      </c>
      <c r="K205" s="1372">
        <f t="shared" si="42"/>
        <v>651.98437042706894</v>
      </c>
      <c r="L205" s="1372">
        <f>'Labor Results Matrix'!$I$105*(1+'Labor Results Matrix'!$K$105)</f>
        <v>1192.125</v>
      </c>
      <c r="M205" s="1372">
        <f t="shared" si="43"/>
        <v>2441.3420955444208</v>
      </c>
      <c r="N205" s="1458">
        <f t="shared" si="44"/>
        <v>2441.3420955444208</v>
      </c>
      <c r="O205" s="1429"/>
      <c r="P205" s="1430"/>
      <c r="Q205" s="1430"/>
      <c r="R205" s="1430"/>
      <c r="S205" s="1430"/>
      <c r="T205" s="1430"/>
      <c r="U205" s="1430"/>
      <c r="V205" s="1679"/>
      <c r="W205" s="1480"/>
    </row>
    <row r="206" spans="1:126" s="1367" customFormat="1" ht="15" customHeight="1">
      <c r="A206" s="2494"/>
      <c r="B206" s="2502"/>
      <c r="C206" s="1642" t="str">
        <f>'Equipment Results Matrix'!W635</f>
        <v>Measure</v>
      </c>
      <c r="D206" s="1375" t="s">
        <v>2688</v>
      </c>
      <c r="E206" s="1364" t="s">
        <v>2684</v>
      </c>
      <c r="F206" s="1364" t="s">
        <v>2108</v>
      </c>
      <c r="G206" s="1543" t="s">
        <v>2522</v>
      </c>
      <c r="H206" s="1361">
        <f>'Equipment Results Matrix'!Y635</f>
        <v>490.11159373235211</v>
      </c>
      <c r="I206" s="1371">
        <f>'Labor Results Matrix'!$E$105</f>
        <v>7.5</v>
      </c>
      <c r="J206" s="1372">
        <f>'Labor Results Matrix'!$G$105*(1+'Labor Results Matrix'!$K$105)</f>
        <v>86.931249390275852</v>
      </c>
      <c r="K206" s="1372">
        <f t="shared" si="42"/>
        <v>651.98437042706894</v>
      </c>
      <c r="L206" s="1372">
        <f>'Labor Results Matrix'!$I$105*(1+'Labor Results Matrix'!$K$105)</f>
        <v>1192.125</v>
      </c>
      <c r="M206" s="1372">
        <f t="shared" si="43"/>
        <v>2334.2209641594209</v>
      </c>
      <c r="N206" s="1458">
        <f t="shared" si="44"/>
        <v>2334.2209641594209</v>
      </c>
      <c r="O206" s="1429"/>
      <c r="P206" s="1430"/>
      <c r="Q206" s="1430"/>
      <c r="R206" s="1430"/>
      <c r="S206" s="1430"/>
      <c r="T206" s="1430"/>
      <c r="U206" s="1430"/>
      <c r="V206" s="1679"/>
      <c r="W206" s="1480"/>
    </row>
    <row r="207" spans="1:126" s="1367" customFormat="1" ht="15" customHeight="1">
      <c r="A207" s="2494"/>
      <c r="B207" s="2502"/>
      <c r="C207" s="1642" t="str">
        <f>'Equipment Results Matrix'!W636</f>
        <v>Measure</v>
      </c>
      <c r="D207" s="1375" t="s">
        <v>2689</v>
      </c>
      <c r="E207" s="1364" t="s">
        <v>2684</v>
      </c>
      <c r="F207" s="1364" t="s">
        <v>2108</v>
      </c>
      <c r="G207" s="1543" t="s">
        <v>2522</v>
      </c>
      <c r="H207" s="1361">
        <f>'Equipment Results Matrix'!Y636</f>
        <v>356.34780514735212</v>
      </c>
      <c r="I207" s="1371">
        <f>'Labor Results Matrix'!$E$105</f>
        <v>7.5</v>
      </c>
      <c r="J207" s="1372">
        <f>'Labor Results Matrix'!$G$105*(1+'Labor Results Matrix'!$K$105)</f>
        <v>86.931249390275852</v>
      </c>
      <c r="K207" s="1372">
        <f t="shared" si="42"/>
        <v>651.98437042706894</v>
      </c>
      <c r="L207" s="1372">
        <f>'Labor Results Matrix'!$I$105*(1+'Labor Results Matrix'!$K$105)</f>
        <v>1192.125</v>
      </c>
      <c r="M207" s="1372">
        <f t="shared" si="43"/>
        <v>2200.4571755744209</v>
      </c>
      <c r="N207" s="1458">
        <f t="shared" si="44"/>
        <v>2200.4571755744209</v>
      </c>
      <c r="O207" s="1429"/>
      <c r="P207" s="1430"/>
      <c r="Q207" s="1430"/>
      <c r="R207" s="1430"/>
      <c r="S207" s="1430"/>
      <c r="T207" s="1430"/>
      <c r="U207" s="1430"/>
      <c r="V207" s="1679"/>
      <c r="W207" s="1480"/>
    </row>
    <row r="208" spans="1:126" s="1367" customFormat="1" ht="15" customHeight="1">
      <c r="A208" s="2494"/>
      <c r="B208" s="2502"/>
      <c r="C208" s="1642" t="str">
        <f>'Equipment Results Matrix'!W637</f>
        <v>Measure</v>
      </c>
      <c r="D208" s="1375" t="s">
        <v>2690</v>
      </c>
      <c r="E208" s="1364" t="s">
        <v>2684</v>
      </c>
      <c r="F208" s="1364" t="s">
        <v>2108</v>
      </c>
      <c r="G208" s="1543" t="s">
        <v>2522</v>
      </c>
      <c r="H208" s="1361">
        <f>'Equipment Results Matrix'!Y637</f>
        <v>440.08058256735211</v>
      </c>
      <c r="I208" s="1371">
        <f>'Labor Results Matrix'!$E$105</f>
        <v>7.5</v>
      </c>
      <c r="J208" s="1372">
        <f>'Labor Results Matrix'!$G$105*(1+'Labor Results Matrix'!$K$105)</f>
        <v>86.931249390275852</v>
      </c>
      <c r="K208" s="1372">
        <f t="shared" si="42"/>
        <v>651.98437042706894</v>
      </c>
      <c r="L208" s="1372">
        <f>'Labor Results Matrix'!$I$105*(1+'Labor Results Matrix'!$K$105)</f>
        <v>1192.125</v>
      </c>
      <c r="M208" s="1372">
        <f t="shared" si="43"/>
        <v>2284.1899529944208</v>
      </c>
      <c r="N208" s="1458">
        <f t="shared" si="44"/>
        <v>2284.1899529944208</v>
      </c>
      <c r="O208" s="1429"/>
      <c r="P208" s="1430"/>
      <c r="Q208" s="1430"/>
      <c r="R208" s="1430"/>
      <c r="S208" s="1430"/>
      <c r="T208" s="1430"/>
      <c r="U208" s="1430"/>
      <c r="V208" s="1679"/>
      <c r="W208" s="1480"/>
    </row>
    <row r="209" spans="1:126" s="1367" customFormat="1" ht="15" customHeight="1">
      <c r="A209" s="2494"/>
      <c r="B209" s="2502"/>
      <c r="C209" s="1642" t="str">
        <f>'Equipment Results Matrix'!W638</f>
        <v>Measure</v>
      </c>
      <c r="D209" s="1375" t="s">
        <v>2691</v>
      </c>
      <c r="E209" s="1364" t="s">
        <v>2684</v>
      </c>
      <c r="F209" s="1364" t="s">
        <v>2108</v>
      </c>
      <c r="G209" s="1543" t="s">
        <v>2522</v>
      </c>
      <c r="H209" s="1361">
        <f>'Equipment Results Matrix'!Y638</f>
        <v>522.16139384235214</v>
      </c>
      <c r="I209" s="1371">
        <f>'Labor Results Matrix'!$E$105</f>
        <v>7.5</v>
      </c>
      <c r="J209" s="1372">
        <f>'Labor Results Matrix'!$G$105*(1+'Labor Results Matrix'!$K$105)</f>
        <v>86.931249390275852</v>
      </c>
      <c r="K209" s="1372">
        <f t="shared" si="42"/>
        <v>651.98437042706894</v>
      </c>
      <c r="L209" s="1372">
        <f>'Labor Results Matrix'!$I$105*(1+'Labor Results Matrix'!$K$105)</f>
        <v>1192.125</v>
      </c>
      <c r="M209" s="1372">
        <f t="shared" si="43"/>
        <v>2366.2707642694209</v>
      </c>
      <c r="N209" s="1458">
        <f t="shared" si="44"/>
        <v>2366.2707642694209</v>
      </c>
      <c r="O209" s="1429"/>
      <c r="P209" s="1430"/>
      <c r="Q209" s="1430"/>
      <c r="R209" s="1430"/>
      <c r="S209" s="1430"/>
      <c r="T209" s="1430"/>
      <c r="U209" s="1430"/>
      <c r="V209" s="1679"/>
      <c r="W209" s="1480"/>
    </row>
    <row r="210" spans="1:126" s="1367" customFormat="1" ht="15" customHeight="1">
      <c r="A210" s="2494"/>
      <c r="B210" s="2502"/>
      <c r="C210" s="1642" t="str">
        <f>'Equipment Results Matrix'!W639</f>
        <v>Measure</v>
      </c>
      <c r="D210" s="1375" t="s">
        <v>2692</v>
      </c>
      <c r="E210" s="1364" t="s">
        <v>2684</v>
      </c>
      <c r="F210" s="1364" t="s">
        <v>2108</v>
      </c>
      <c r="G210" s="1543" t="s">
        <v>2522</v>
      </c>
      <c r="H210" s="1361">
        <f>'Equipment Results Matrix'!Y639</f>
        <v>415.04026245735213</v>
      </c>
      <c r="I210" s="1371">
        <f>'Labor Results Matrix'!$E$105</f>
        <v>7.5</v>
      </c>
      <c r="J210" s="1372">
        <f>'Labor Results Matrix'!$G$105*(1+'Labor Results Matrix'!$K$105)</f>
        <v>86.931249390275852</v>
      </c>
      <c r="K210" s="1372">
        <f t="shared" si="42"/>
        <v>651.98437042706894</v>
      </c>
      <c r="L210" s="1372">
        <f>'Labor Results Matrix'!$I$105*(1+'Labor Results Matrix'!$K$105)</f>
        <v>1192.125</v>
      </c>
      <c r="M210" s="1372">
        <f t="shared" si="43"/>
        <v>2259.149632884421</v>
      </c>
      <c r="N210" s="1458">
        <f t="shared" si="44"/>
        <v>2259.149632884421</v>
      </c>
      <c r="O210" s="1429"/>
      <c r="P210" s="1430"/>
      <c r="Q210" s="1430"/>
      <c r="R210" s="1430"/>
      <c r="S210" s="1430"/>
      <c r="T210" s="1430"/>
      <c r="U210" s="1430"/>
      <c r="V210" s="1679"/>
      <c r="W210" s="1480"/>
    </row>
    <row r="211" spans="1:126" s="1367" customFormat="1" ht="30" customHeight="1">
      <c r="A211" s="2494"/>
      <c r="B211" s="2502"/>
      <c r="C211" s="1642" t="str">
        <f>'Equipment Results Matrix'!W640</f>
        <v>Measure</v>
      </c>
      <c r="D211" s="1375" t="s">
        <v>2693</v>
      </c>
      <c r="E211" s="1364" t="s">
        <v>2684</v>
      </c>
      <c r="F211" s="1364" t="s">
        <v>2108</v>
      </c>
      <c r="G211" s="1543" t="s">
        <v>2522</v>
      </c>
      <c r="H211" s="1361">
        <f>'Equipment Results Matrix'!Y640</f>
        <v>498.77303987735212</v>
      </c>
      <c r="I211" s="1371">
        <f>'Labor Results Matrix'!$E$105</f>
        <v>7.5</v>
      </c>
      <c r="J211" s="1372">
        <f>'Labor Results Matrix'!$G$105*(1+'Labor Results Matrix'!$K$105)</f>
        <v>86.931249390275852</v>
      </c>
      <c r="K211" s="1372">
        <f t="shared" si="42"/>
        <v>651.98437042706894</v>
      </c>
      <c r="L211" s="1372">
        <f>'Labor Results Matrix'!$I$105*(1+'Labor Results Matrix'!$K$105)</f>
        <v>1192.125</v>
      </c>
      <c r="M211" s="1372">
        <f t="shared" si="43"/>
        <v>2342.8824103044208</v>
      </c>
      <c r="N211" s="1458">
        <f t="shared" si="44"/>
        <v>2342.8824103044208</v>
      </c>
      <c r="O211" s="1429"/>
      <c r="P211" s="1430"/>
      <c r="Q211" s="1430"/>
      <c r="R211" s="1430"/>
      <c r="S211" s="1430"/>
      <c r="T211" s="1430"/>
      <c r="U211" s="1430"/>
      <c r="V211" s="1679"/>
      <c r="W211" s="1480"/>
    </row>
    <row r="212" spans="1:126" s="1367" customFormat="1" ht="30" customHeight="1">
      <c r="A212" s="2494"/>
      <c r="B212" s="2502"/>
      <c r="C212" s="1642" t="str">
        <f>'Equipment Results Matrix'!W641</f>
        <v>Measure</v>
      </c>
      <c r="D212" s="1375" t="s">
        <v>2694</v>
      </c>
      <c r="E212" s="1364" t="s">
        <v>2684</v>
      </c>
      <c r="F212" s="1364" t="s">
        <v>2108</v>
      </c>
      <c r="G212" s="1543" t="s">
        <v>2522</v>
      </c>
      <c r="H212" s="1361">
        <f>'Equipment Results Matrix'!Y641</f>
        <v>580.85385115235204</v>
      </c>
      <c r="I212" s="1371">
        <f>'Labor Results Matrix'!$E$105</f>
        <v>7.5</v>
      </c>
      <c r="J212" s="1372">
        <f>'Labor Results Matrix'!$G$105*(1+'Labor Results Matrix'!$K$105)</f>
        <v>86.931249390275852</v>
      </c>
      <c r="K212" s="1372">
        <f t="shared" si="42"/>
        <v>651.98437042706894</v>
      </c>
      <c r="L212" s="1372">
        <f>'Labor Results Matrix'!$I$105*(1+'Labor Results Matrix'!$K$105)</f>
        <v>1192.125</v>
      </c>
      <c r="M212" s="1372">
        <f t="shared" si="43"/>
        <v>2424.9632215794209</v>
      </c>
      <c r="N212" s="1458">
        <f t="shared" si="44"/>
        <v>2424.9632215794209</v>
      </c>
      <c r="O212" s="1429"/>
      <c r="P212" s="1430"/>
      <c r="Q212" s="1430"/>
      <c r="R212" s="1430"/>
      <c r="S212" s="1430"/>
      <c r="T212" s="1430"/>
      <c r="U212" s="1430"/>
      <c r="V212" s="1679"/>
      <c r="W212" s="1480"/>
    </row>
    <row r="213" spans="1:126" s="1367" customFormat="1" ht="30" customHeight="1" thickBot="1">
      <c r="A213" s="2495"/>
      <c r="B213" s="2502"/>
      <c r="C213" s="1577" t="str">
        <f>'Equipment Results Matrix'!W642</f>
        <v>Measure</v>
      </c>
      <c r="D213" s="1578" t="s">
        <v>2695</v>
      </c>
      <c r="E213" s="1546" t="s">
        <v>2684</v>
      </c>
      <c r="F213" s="1546" t="s">
        <v>2108</v>
      </c>
      <c r="G213" s="1547" t="s">
        <v>2522</v>
      </c>
      <c r="H213" s="1570">
        <f>'Equipment Results Matrix'!Y642</f>
        <v>664.58662857235208</v>
      </c>
      <c r="I213" s="1571">
        <f>'Labor Results Matrix'!$E$105</f>
        <v>7.5</v>
      </c>
      <c r="J213" s="1372">
        <f>'Labor Results Matrix'!$G$105*(1+'Labor Results Matrix'!$K$105)</f>
        <v>86.931249390275852</v>
      </c>
      <c r="K213" s="1372">
        <f t="shared" si="42"/>
        <v>651.98437042706894</v>
      </c>
      <c r="L213" s="1575">
        <f>'Labor Results Matrix'!$I$105*(1+'Labor Results Matrix'!$K$105)</f>
        <v>1192.125</v>
      </c>
      <c r="M213" s="1575">
        <f t="shared" si="43"/>
        <v>2508.6959989994211</v>
      </c>
      <c r="N213" s="1576">
        <f t="shared" si="44"/>
        <v>2508.6959989994211</v>
      </c>
      <c r="O213" s="1429"/>
      <c r="P213" s="1430"/>
      <c r="Q213" s="1430"/>
      <c r="R213" s="1430"/>
      <c r="S213" s="1430"/>
      <c r="T213" s="1430"/>
      <c r="U213" s="1430"/>
      <c r="V213" s="1679"/>
      <c r="W213" s="1480"/>
    </row>
    <row r="214" spans="1:126" s="1479" customFormat="1" ht="19.5" thickBot="1">
      <c r="A214" s="695"/>
      <c r="B214" s="1660"/>
      <c r="C214" s="1660"/>
      <c r="D214" s="699"/>
      <c r="E214" s="699"/>
      <c r="F214" s="699"/>
      <c r="G214" s="699"/>
      <c r="H214" s="1386"/>
      <c r="I214" s="1445"/>
      <c r="J214" s="1387"/>
      <c r="K214" s="1386"/>
      <c r="L214" s="1531"/>
      <c r="M214" s="1386"/>
      <c r="N214" s="1491"/>
      <c r="O214" s="1386"/>
      <c r="P214" s="1387"/>
      <c r="Q214" s="1387"/>
      <c r="R214" s="1445"/>
      <c r="S214" s="1445"/>
      <c r="T214" s="1492"/>
      <c r="U214" s="1492"/>
      <c r="V214" s="1491"/>
      <c r="W214" s="1490"/>
      <c r="X214" s="1490"/>
      <c r="Y214" s="327"/>
      <c r="Z214" s="327"/>
      <c r="AA214" s="327"/>
      <c r="AB214" s="1490"/>
      <c r="AC214" s="1490"/>
      <c r="AD214" s="1490"/>
      <c r="AE214" s="1490"/>
      <c r="AF214" s="327"/>
      <c r="AG214" s="327"/>
      <c r="AH214" s="327"/>
      <c r="AI214" s="327"/>
      <c r="AJ214" s="327"/>
      <c r="AK214" s="1478"/>
      <c r="AL214" s="1478"/>
      <c r="AM214" s="1478"/>
      <c r="AN214" s="1478"/>
      <c r="AO214" s="1478"/>
      <c r="AP214" s="1478"/>
      <c r="AQ214" s="1478"/>
      <c r="AR214" s="1478"/>
      <c r="AS214" s="1478"/>
      <c r="AT214" s="1478"/>
      <c r="AU214" s="1478"/>
      <c r="AV214" s="1478"/>
      <c r="AW214" s="1478"/>
      <c r="AX214" s="1478"/>
      <c r="AY214" s="1478"/>
      <c r="AZ214" s="1478"/>
      <c r="BA214" s="1478"/>
      <c r="BB214" s="1478"/>
      <c r="BC214" s="1478"/>
      <c r="BD214" s="1478"/>
      <c r="BE214" s="1478"/>
      <c r="BF214" s="1478"/>
      <c r="BG214" s="1478"/>
      <c r="BH214" s="1478"/>
      <c r="BI214" s="1478"/>
      <c r="BJ214" s="1478"/>
      <c r="BK214" s="327"/>
      <c r="BL214" s="327"/>
      <c r="BM214" s="327"/>
      <c r="BN214" s="327"/>
      <c r="BO214" s="327"/>
      <c r="BP214" s="327"/>
      <c r="BQ214" s="327"/>
      <c r="BR214" s="327"/>
      <c r="BS214" s="327"/>
      <c r="BT214" s="327"/>
      <c r="BU214" s="327"/>
      <c r="BV214" s="327"/>
      <c r="BW214" s="327"/>
      <c r="BX214" s="327"/>
      <c r="BY214" s="327"/>
      <c r="BZ214" s="327"/>
      <c r="CA214" s="327"/>
      <c r="CB214" s="327"/>
      <c r="CC214" s="327"/>
      <c r="CD214" s="327"/>
      <c r="CE214" s="327"/>
      <c r="CF214" s="327"/>
      <c r="CG214" s="327"/>
      <c r="CH214" s="327"/>
      <c r="CI214" s="327"/>
      <c r="CJ214" s="327"/>
      <c r="CK214" s="327"/>
      <c r="CL214" s="327"/>
      <c r="CM214" s="327"/>
      <c r="CN214" s="327"/>
      <c r="CO214" s="327"/>
      <c r="CP214" s="327"/>
      <c r="CQ214" s="327"/>
      <c r="CR214" s="327"/>
      <c r="CS214" s="327"/>
      <c r="CT214" s="327"/>
      <c r="CU214" s="327"/>
      <c r="CV214" s="327"/>
      <c r="CW214" s="327"/>
      <c r="CX214" s="327"/>
      <c r="CY214" s="327"/>
      <c r="CZ214" s="327"/>
      <c r="DA214" s="327"/>
      <c r="DB214" s="327"/>
      <c r="DC214" s="327"/>
      <c r="DD214" s="327"/>
      <c r="DE214" s="327"/>
      <c r="DF214" s="327"/>
      <c r="DG214" s="327"/>
      <c r="DH214" s="327"/>
      <c r="DI214" s="327"/>
      <c r="DJ214" s="327"/>
      <c r="DK214" s="327"/>
      <c r="DL214" s="327"/>
      <c r="DM214" s="327"/>
      <c r="DN214" s="327"/>
      <c r="DO214" s="327"/>
      <c r="DP214" s="327"/>
      <c r="DQ214" s="327"/>
      <c r="DR214" s="327"/>
      <c r="DS214" s="327"/>
      <c r="DT214" s="327"/>
      <c r="DU214" s="327"/>
      <c r="DV214" s="327"/>
    </row>
    <row r="215" spans="1:126" s="1367" customFormat="1" ht="24" customHeight="1">
      <c r="A215" s="2493" t="s">
        <v>1135</v>
      </c>
      <c r="B215" s="1653">
        <v>9102</v>
      </c>
      <c r="C215" s="1642" t="s">
        <v>47</v>
      </c>
      <c r="D215" s="1364" t="s">
        <v>2560</v>
      </c>
      <c r="E215" s="1364" t="s">
        <v>2097</v>
      </c>
      <c r="F215" s="1365" t="s">
        <v>2107</v>
      </c>
      <c r="G215" s="506" t="s">
        <v>2247</v>
      </c>
      <c r="H215" s="1361">
        <v>0</v>
      </c>
      <c r="I215" s="1371">
        <v>0</v>
      </c>
      <c r="J215" s="1372">
        <v>0</v>
      </c>
      <c r="K215" s="1372">
        <v>0</v>
      </c>
      <c r="L215" s="1372">
        <v>0</v>
      </c>
      <c r="M215" s="1372">
        <v>0</v>
      </c>
      <c r="N215" s="1455" t="s">
        <v>40</v>
      </c>
      <c r="O215" s="1361">
        <v>0</v>
      </c>
      <c r="P215" s="1417">
        <v>0</v>
      </c>
      <c r="Q215" s="1372">
        <v>0</v>
      </c>
      <c r="R215" s="1372">
        <v>0</v>
      </c>
      <c r="S215" s="1372">
        <v>0</v>
      </c>
      <c r="T215" s="1372">
        <v>0</v>
      </c>
      <c r="U215" s="1417" t="s">
        <v>40</v>
      </c>
      <c r="V215" s="1458">
        <v>0</v>
      </c>
      <c r="W215" s="1366"/>
      <c r="X215" s="1366"/>
      <c r="Y215" s="1366"/>
      <c r="Z215" s="1366"/>
      <c r="AA215" s="1366"/>
      <c r="AB215" s="1366"/>
      <c r="AC215" s="1366"/>
      <c r="AD215" s="1366"/>
      <c r="AE215" s="1366"/>
      <c r="AF215" s="1366"/>
      <c r="AG215" s="1366"/>
      <c r="AH215" s="1366"/>
      <c r="AI215" s="1366"/>
      <c r="AJ215" s="1366"/>
      <c r="AK215" s="1366"/>
      <c r="AL215" s="1366"/>
      <c r="AM215" s="1366"/>
      <c r="AN215" s="1366"/>
      <c r="AO215" s="1366"/>
      <c r="AP215" s="1366"/>
      <c r="AQ215" s="1366"/>
      <c r="AR215" s="1366"/>
      <c r="AS215" s="1366"/>
      <c r="AT215" s="1366"/>
      <c r="AU215" s="1366"/>
      <c r="AV215" s="1366"/>
      <c r="AW215" s="1366"/>
      <c r="AX215" s="1366"/>
      <c r="AY215" s="1366"/>
      <c r="AZ215" s="1366"/>
      <c r="BA215" s="1366"/>
      <c r="BB215" s="1366"/>
      <c r="BC215" s="1366"/>
      <c r="BD215" s="1366"/>
      <c r="BE215" s="1366"/>
      <c r="BF215" s="1366"/>
      <c r="BG215" s="1366"/>
      <c r="BH215" s="1366"/>
      <c r="BI215" s="1366"/>
      <c r="BJ215" s="1366"/>
      <c r="BK215" s="1366"/>
      <c r="BL215" s="1366"/>
      <c r="BM215" s="1366"/>
      <c r="BN215" s="1366"/>
      <c r="BO215" s="1366"/>
      <c r="BP215" s="1366"/>
      <c r="BQ215" s="1366"/>
      <c r="BR215" s="1366"/>
      <c r="BS215" s="1366"/>
      <c r="BT215" s="1366"/>
      <c r="BU215" s="1366"/>
      <c r="BV215" s="1366"/>
      <c r="BW215" s="1366"/>
      <c r="BX215" s="1366"/>
      <c r="BY215" s="1366"/>
      <c r="BZ215" s="1366"/>
      <c r="CA215" s="1366"/>
      <c r="CB215" s="1366"/>
      <c r="CC215" s="1366"/>
      <c r="CD215" s="1366"/>
      <c r="CE215" s="1366"/>
      <c r="CF215" s="1366"/>
      <c r="CG215" s="1366"/>
      <c r="CH215" s="1366"/>
      <c r="CI215" s="1366"/>
      <c r="CJ215" s="1366"/>
      <c r="CK215" s="1366"/>
      <c r="CL215" s="1366"/>
      <c r="CM215" s="1366"/>
      <c r="CN215" s="1366"/>
      <c r="CO215" s="1366"/>
      <c r="CP215" s="1366"/>
      <c r="CQ215" s="1366"/>
      <c r="CR215" s="1366"/>
      <c r="CS215" s="1366"/>
      <c r="CT215" s="1366"/>
      <c r="CU215" s="1366"/>
      <c r="CV215" s="1366"/>
      <c r="CW215" s="1366"/>
      <c r="CX215" s="1366"/>
      <c r="CY215" s="1366"/>
      <c r="CZ215" s="1366"/>
      <c r="DA215" s="1366"/>
      <c r="DB215" s="1366"/>
      <c r="DC215" s="1366"/>
      <c r="DD215" s="1366"/>
      <c r="DE215" s="1366"/>
      <c r="DF215" s="1366"/>
      <c r="DG215" s="1366"/>
      <c r="DH215" s="1366"/>
      <c r="DI215" s="1366"/>
      <c r="DJ215" s="1366"/>
      <c r="DK215" s="1366"/>
      <c r="DL215" s="1366"/>
      <c r="DM215" s="1366"/>
      <c r="DN215" s="1366"/>
      <c r="DO215" s="1366"/>
      <c r="DP215" s="1366"/>
      <c r="DQ215" s="1366"/>
      <c r="DR215" s="1366"/>
      <c r="DS215" s="1366"/>
      <c r="DT215" s="1366"/>
      <c r="DU215" s="1366"/>
      <c r="DV215" s="1366"/>
    </row>
    <row r="216" spans="1:126" s="1367" customFormat="1" ht="35.25" customHeight="1" thickBot="1">
      <c r="A216" s="2494"/>
      <c r="B216" s="1653">
        <v>9102</v>
      </c>
      <c r="C216" s="1642" t="s">
        <v>49</v>
      </c>
      <c r="D216" s="1375" t="s">
        <v>2559</v>
      </c>
      <c r="E216" s="1364" t="s">
        <v>2097</v>
      </c>
      <c r="F216" s="1365" t="s">
        <v>2107</v>
      </c>
      <c r="G216" s="506" t="s">
        <v>2247</v>
      </c>
      <c r="H216" s="1361">
        <f>'Equipment Results Matrix'!Y661</f>
        <v>1440.236367320588</v>
      </c>
      <c r="I216" s="1371">
        <f>2.7446*EXP(0.1427*3)</f>
        <v>4.2111482115897392</v>
      </c>
      <c r="J216" s="1372">
        <f>'Labor Results Matrix'!$G$131*(1+'Labor Results Matrix'!$K$131)</f>
        <v>67.786860669630187</v>
      </c>
      <c r="K216" s="1372">
        <f>I216*J216</f>
        <v>285.46051707819601</v>
      </c>
      <c r="L216" s="1372">
        <v>0</v>
      </c>
      <c r="M216" s="1372">
        <f>H216+K216+L216</f>
        <v>1725.6968843987841</v>
      </c>
      <c r="N216" s="1458">
        <f>M216-$M$215</f>
        <v>1725.6968843987841</v>
      </c>
      <c r="O216" s="1361">
        <f>H216/3</f>
        <v>480.07878910686264</v>
      </c>
      <c r="P216" s="1417">
        <f>I216/3</f>
        <v>1.403716070529913</v>
      </c>
      <c r="Q216" s="1372">
        <f>K216/3</f>
        <v>95.153505692731997</v>
      </c>
      <c r="R216" s="1372">
        <v>0</v>
      </c>
      <c r="S216" s="1372">
        <v>0</v>
      </c>
      <c r="T216" s="1372">
        <f>O216+Q216</f>
        <v>575.23229479959468</v>
      </c>
      <c r="U216" s="1372">
        <f>T216-$T$215</f>
        <v>575.23229479959468</v>
      </c>
      <c r="V216" s="1458">
        <v>0</v>
      </c>
      <c r="W216" s="1366"/>
      <c r="X216" s="1366"/>
      <c r="Y216" s="1366"/>
      <c r="Z216" s="1366"/>
      <c r="AA216" s="1366"/>
      <c r="AB216" s="1366"/>
      <c r="AC216" s="1366"/>
      <c r="AD216" s="1366"/>
      <c r="AE216" s="1366"/>
      <c r="AF216" s="1366"/>
      <c r="AG216" s="1366"/>
      <c r="AH216" s="1366"/>
      <c r="AI216" s="1366"/>
      <c r="AJ216" s="1366"/>
      <c r="AK216" s="1366"/>
      <c r="AL216" s="1366"/>
      <c r="AM216" s="1366"/>
      <c r="AN216" s="1366"/>
      <c r="AO216" s="1366"/>
      <c r="AP216" s="1366"/>
      <c r="AQ216" s="1366"/>
      <c r="AR216" s="1366"/>
      <c r="AS216" s="1366"/>
      <c r="AT216" s="1366"/>
      <c r="AU216" s="1366"/>
      <c r="AV216" s="1366"/>
      <c r="AW216" s="1366"/>
      <c r="AX216" s="1366"/>
      <c r="AY216" s="1366"/>
      <c r="AZ216" s="1366"/>
      <c r="BA216" s="1366"/>
      <c r="BB216" s="1366"/>
      <c r="BC216" s="1366"/>
      <c r="BD216" s="1366"/>
      <c r="BE216" s="1366"/>
      <c r="BF216" s="1366"/>
      <c r="BG216" s="1366"/>
      <c r="BH216" s="1366"/>
      <c r="BI216" s="1366"/>
      <c r="BJ216" s="1366"/>
      <c r="BK216" s="1366"/>
      <c r="BL216" s="1366"/>
      <c r="BM216" s="1366"/>
      <c r="BN216" s="1366"/>
      <c r="BO216" s="1366"/>
      <c r="BP216" s="1366"/>
      <c r="BQ216" s="1366"/>
      <c r="BR216" s="1366"/>
      <c r="BS216" s="1366"/>
      <c r="BT216" s="1366"/>
      <c r="BU216" s="1366"/>
      <c r="BV216" s="1366"/>
      <c r="BW216" s="1366"/>
      <c r="BX216" s="1366"/>
      <c r="BY216" s="1366"/>
      <c r="BZ216" s="1366"/>
      <c r="CA216" s="1366"/>
      <c r="CB216" s="1366"/>
      <c r="CC216" s="1366"/>
      <c r="CD216" s="1366"/>
      <c r="CE216" s="1366"/>
      <c r="CF216" s="1366"/>
      <c r="CG216" s="1366"/>
      <c r="CH216" s="1366"/>
      <c r="CI216" s="1366"/>
      <c r="CJ216" s="1366"/>
      <c r="CK216" s="1366"/>
      <c r="CL216" s="1366"/>
      <c r="CM216" s="1366"/>
      <c r="CN216" s="1366"/>
      <c r="CO216" s="1366"/>
      <c r="CP216" s="1366"/>
      <c r="CQ216" s="1366"/>
      <c r="CR216" s="1366"/>
      <c r="CS216" s="1366"/>
      <c r="CT216" s="1366"/>
      <c r="CU216" s="1366"/>
      <c r="CV216" s="1366"/>
      <c r="CW216" s="1366"/>
      <c r="CX216" s="1366"/>
      <c r="CY216" s="1366"/>
      <c r="CZ216" s="1366"/>
      <c r="DA216" s="1366"/>
      <c r="DB216" s="1366"/>
      <c r="DC216" s="1366"/>
      <c r="DD216" s="1366"/>
      <c r="DE216" s="1366"/>
      <c r="DF216" s="1366"/>
      <c r="DG216" s="1366"/>
      <c r="DH216" s="1366"/>
      <c r="DI216" s="1366"/>
      <c r="DJ216" s="1366"/>
      <c r="DK216" s="1366"/>
      <c r="DL216" s="1366"/>
      <c r="DM216" s="1366"/>
      <c r="DN216" s="1366"/>
      <c r="DO216" s="1366"/>
      <c r="DP216" s="1366"/>
      <c r="DQ216" s="1366"/>
      <c r="DR216" s="1366"/>
      <c r="DS216" s="1366"/>
      <c r="DT216" s="1366"/>
      <c r="DU216" s="1366"/>
      <c r="DV216" s="1366"/>
    </row>
    <row r="217" spans="1:126" s="1479" customFormat="1" ht="19.5" thickBot="1">
      <c r="A217" s="695"/>
      <c r="B217" s="1652"/>
      <c r="C217" s="1652"/>
      <c r="D217" s="1318"/>
      <c r="E217" s="1318"/>
      <c r="F217" s="1318"/>
      <c r="G217" s="1318"/>
      <c r="H217" s="1389"/>
      <c r="I217" s="1446"/>
      <c r="J217" s="1390"/>
      <c r="K217" s="1389"/>
      <c r="L217" s="1532"/>
      <c r="M217" s="1389"/>
      <c r="N217" s="1497"/>
      <c r="O217" s="1389"/>
      <c r="P217" s="1390"/>
      <c r="Q217" s="1390"/>
      <c r="R217" s="1446"/>
      <c r="S217" s="1446"/>
      <c r="T217" s="1498"/>
      <c r="U217" s="1498"/>
      <c r="V217" s="1497"/>
      <c r="W217" s="1490"/>
      <c r="X217" s="1490"/>
      <c r="Y217" s="327"/>
      <c r="Z217" s="327"/>
      <c r="AA217" s="327"/>
      <c r="AB217" s="1490"/>
      <c r="AC217" s="1490"/>
      <c r="AD217" s="1490"/>
      <c r="AE217" s="1490"/>
      <c r="AF217" s="327"/>
      <c r="AG217" s="327"/>
      <c r="AH217" s="327"/>
      <c r="AI217" s="327"/>
      <c r="AJ217" s="327"/>
      <c r="AK217" s="1478"/>
      <c r="AL217" s="1478"/>
      <c r="AM217" s="1478"/>
      <c r="AN217" s="1478"/>
      <c r="AO217" s="1478"/>
      <c r="AP217" s="1478"/>
      <c r="AQ217" s="1478"/>
      <c r="AR217" s="1478"/>
      <c r="AS217" s="1478"/>
      <c r="AT217" s="1478"/>
      <c r="AU217" s="1478"/>
      <c r="AV217" s="1478"/>
      <c r="AW217" s="1478"/>
      <c r="AX217" s="1478"/>
      <c r="AY217" s="1478"/>
      <c r="AZ217" s="1478"/>
      <c r="BA217" s="1478"/>
      <c r="BB217" s="1478"/>
      <c r="BC217" s="1478"/>
      <c r="BD217" s="1478"/>
      <c r="BE217" s="1478"/>
      <c r="BF217" s="1478"/>
      <c r="BG217" s="1478"/>
      <c r="BH217" s="1478"/>
      <c r="BI217" s="1478"/>
      <c r="BJ217" s="1478"/>
      <c r="BK217" s="327"/>
      <c r="BL217" s="327"/>
      <c r="BM217" s="327"/>
      <c r="BN217" s="327"/>
      <c r="BO217" s="327"/>
      <c r="BP217" s="327"/>
      <c r="BQ217" s="327"/>
      <c r="BR217" s="327"/>
      <c r="BS217" s="327"/>
      <c r="BT217" s="327"/>
      <c r="BU217" s="327"/>
      <c r="BV217" s="327"/>
      <c r="BW217" s="327"/>
      <c r="BX217" s="327"/>
      <c r="BY217" s="327"/>
      <c r="BZ217" s="327"/>
      <c r="CA217" s="327"/>
      <c r="CB217" s="327"/>
      <c r="CC217" s="327"/>
      <c r="CD217" s="327"/>
      <c r="CE217" s="327"/>
      <c r="CF217" s="327"/>
      <c r="CG217" s="327"/>
      <c r="CH217" s="327"/>
      <c r="CI217" s="327"/>
      <c r="CJ217" s="327"/>
      <c r="CK217" s="327"/>
      <c r="CL217" s="327"/>
      <c r="CM217" s="327"/>
      <c r="CN217" s="327"/>
      <c r="CO217" s="327"/>
      <c r="CP217" s="327"/>
      <c r="CQ217" s="327"/>
      <c r="CR217" s="327"/>
      <c r="CS217" s="327"/>
      <c r="CT217" s="327"/>
      <c r="CU217" s="327"/>
      <c r="CV217" s="327"/>
      <c r="CW217" s="327"/>
      <c r="CX217" s="327"/>
      <c r="CY217" s="327"/>
      <c r="CZ217" s="327"/>
      <c r="DA217" s="327"/>
      <c r="DB217" s="327"/>
      <c r="DC217" s="327"/>
      <c r="DD217" s="327"/>
      <c r="DE217" s="327"/>
      <c r="DF217" s="327"/>
      <c r="DG217" s="327"/>
      <c r="DH217" s="327"/>
      <c r="DI217" s="327"/>
      <c r="DJ217" s="327"/>
      <c r="DK217" s="327"/>
      <c r="DL217" s="327"/>
      <c r="DM217" s="327"/>
      <c r="DN217" s="327"/>
      <c r="DO217" s="327"/>
      <c r="DP217" s="327"/>
      <c r="DQ217" s="327"/>
      <c r="DR217" s="327"/>
      <c r="DS217" s="327"/>
      <c r="DT217" s="327"/>
      <c r="DU217" s="327"/>
      <c r="DV217" s="327"/>
    </row>
    <row r="218" spans="1:126" s="1367" customFormat="1" ht="30">
      <c r="A218" s="2493" t="s">
        <v>622</v>
      </c>
      <c r="B218" s="1653" t="s">
        <v>2552</v>
      </c>
      <c r="C218" s="1642" t="s">
        <v>47</v>
      </c>
      <c r="D218" s="1375" t="s">
        <v>2551</v>
      </c>
      <c r="E218" s="1364" t="s">
        <v>2102</v>
      </c>
      <c r="F218" s="1364" t="s">
        <v>2108</v>
      </c>
      <c r="G218" s="1185" t="s">
        <v>1804</v>
      </c>
      <c r="H218" s="1361">
        <v>0</v>
      </c>
      <c r="I218" s="1371">
        <v>0</v>
      </c>
      <c r="J218" s="1372">
        <f>I218*H218</f>
        <v>0</v>
      </c>
      <c r="K218" s="1372">
        <f>J218*I218</f>
        <v>0</v>
      </c>
      <c r="L218" s="1372">
        <f>K218*J218</f>
        <v>0</v>
      </c>
      <c r="M218" s="1372">
        <f t="shared" ref="M218" si="45">H218+K218</f>
        <v>0</v>
      </c>
      <c r="N218" s="1458" t="s">
        <v>40</v>
      </c>
      <c r="O218" s="1361">
        <v>0</v>
      </c>
      <c r="P218" s="1371">
        <v>0</v>
      </c>
      <c r="Q218" s="1372">
        <v>0</v>
      </c>
      <c r="R218" s="1384"/>
      <c r="S218" s="1384"/>
      <c r="T218" s="1372">
        <v>0</v>
      </c>
      <c r="U218" s="1372" t="s">
        <v>40</v>
      </c>
      <c r="V218" s="1461"/>
      <c r="W218" s="1366"/>
      <c r="X218" s="1366"/>
      <c r="Y218" s="1366"/>
      <c r="Z218" s="1366"/>
      <c r="AA218" s="1366"/>
      <c r="AB218" s="1366"/>
      <c r="AC218" s="1366"/>
      <c r="AD218" s="1366"/>
      <c r="AE218" s="1366"/>
      <c r="AF218" s="1366"/>
      <c r="AG218" s="1366"/>
      <c r="AH218" s="1366"/>
      <c r="AI218" s="1366"/>
      <c r="AJ218" s="1366"/>
      <c r="AK218" s="1366"/>
      <c r="AL218" s="1366"/>
      <c r="AM218" s="1366"/>
      <c r="AN218" s="1366"/>
      <c r="AO218" s="1366"/>
      <c r="AP218" s="1366"/>
      <c r="AQ218" s="1366"/>
      <c r="AR218" s="1366"/>
      <c r="AS218" s="1366"/>
      <c r="AT218" s="1366"/>
      <c r="AU218" s="1366"/>
      <c r="AV218" s="1366"/>
      <c r="AW218" s="1366"/>
      <c r="AX218" s="1366"/>
      <c r="AY218" s="1366"/>
      <c r="AZ218" s="1366"/>
      <c r="BA218" s="1366"/>
      <c r="BB218" s="1366"/>
      <c r="BC218" s="1366"/>
      <c r="BD218" s="1366"/>
      <c r="BE218" s="1366"/>
      <c r="BF218" s="1366"/>
      <c r="BG218" s="1366"/>
      <c r="BH218" s="1366"/>
      <c r="BI218" s="1366"/>
      <c r="BJ218" s="1366"/>
      <c r="BK218" s="1366"/>
      <c r="BL218" s="1366"/>
      <c r="BM218" s="1366"/>
      <c r="BN218" s="1366"/>
      <c r="BO218" s="1366"/>
      <c r="BP218" s="1366"/>
      <c r="BQ218" s="1366"/>
      <c r="BR218" s="1366"/>
      <c r="BS218" s="1366"/>
      <c r="BT218" s="1366"/>
      <c r="BU218" s="1366"/>
      <c r="BV218" s="1366"/>
      <c r="BW218" s="1366"/>
      <c r="BX218" s="1366"/>
      <c r="BY218" s="1366"/>
      <c r="BZ218" s="1366"/>
      <c r="CA218" s="1366"/>
      <c r="CB218" s="1366"/>
      <c r="CC218" s="1366"/>
      <c r="CD218" s="1366"/>
      <c r="CE218" s="1366"/>
      <c r="CF218" s="1366"/>
      <c r="CG218" s="1366"/>
      <c r="CH218" s="1366"/>
      <c r="CI218" s="1366"/>
      <c r="CJ218" s="1366"/>
      <c r="CK218" s="1366"/>
      <c r="CL218" s="1366"/>
      <c r="CM218" s="1366"/>
      <c r="CN218" s="1366"/>
      <c r="CO218" s="1366"/>
      <c r="CP218" s="1366"/>
      <c r="CQ218" s="1366"/>
      <c r="CR218" s="1366"/>
      <c r="CS218" s="1366"/>
      <c r="CT218" s="1366"/>
      <c r="CU218" s="1366"/>
      <c r="CV218" s="1366"/>
      <c r="CW218" s="1366"/>
      <c r="CX218" s="1366"/>
      <c r="CY218" s="1366"/>
      <c r="CZ218" s="1366"/>
      <c r="DA218" s="1366"/>
      <c r="DB218" s="1366"/>
      <c r="DC218" s="1366"/>
      <c r="DD218" s="1366"/>
      <c r="DE218" s="1366"/>
      <c r="DF218" s="1366"/>
      <c r="DG218" s="1366"/>
      <c r="DH218" s="1366"/>
      <c r="DI218" s="1366"/>
      <c r="DJ218" s="1366"/>
      <c r="DK218" s="1366"/>
      <c r="DL218" s="1366"/>
      <c r="DM218" s="1366"/>
      <c r="DN218" s="1366"/>
      <c r="DO218" s="1366"/>
      <c r="DP218" s="1366"/>
      <c r="DQ218" s="1366"/>
      <c r="DR218" s="1366"/>
      <c r="DS218" s="1366"/>
      <c r="DT218" s="1366"/>
      <c r="DU218" s="1366"/>
      <c r="DV218" s="1366"/>
    </row>
    <row r="219" spans="1:126" s="1367" customFormat="1" ht="30">
      <c r="A219" s="2494"/>
      <c r="B219" s="1653">
        <v>9042</v>
      </c>
      <c r="C219" s="1642" t="s">
        <v>49</v>
      </c>
      <c r="D219" s="1375" t="s">
        <v>2553</v>
      </c>
      <c r="E219" s="1364" t="s">
        <v>2102</v>
      </c>
      <c r="F219" s="1364" t="s">
        <v>2108</v>
      </c>
      <c r="G219" s="1185" t="s">
        <v>1804</v>
      </c>
      <c r="H219" s="1361">
        <f>'Equipment Results Matrix'!Y673</f>
        <v>11201.378100880602</v>
      </c>
      <c r="I219" s="1371">
        <f>'Labor Results Matrix'!$E$145*(3000/1170)</f>
        <v>10.061668289516392</v>
      </c>
      <c r="J219" s="1372">
        <f>'Labor Results Matrix'!$G$145*(1+'Labor Results Matrix'!$K$145)</f>
        <v>79.741056472656751</v>
      </c>
      <c r="K219" s="1372">
        <f>I219*J219</f>
        <v>802.32805928346625</v>
      </c>
      <c r="L219" s="1372">
        <f>'Labor Results Matrix'!$I$145*(3000/1170)</f>
        <v>199.61051606621226</v>
      </c>
      <c r="M219" s="1372">
        <f>H219+K219+L219</f>
        <v>12203.316676230279</v>
      </c>
      <c r="N219" s="1458">
        <f>M219</f>
        <v>12203.316676230279</v>
      </c>
      <c r="O219" s="1361">
        <f>H219/(3000/1170)</f>
        <v>4368.5374593434344</v>
      </c>
      <c r="P219" s="1371">
        <f>'Labor Results Matrix'!$E$145</f>
        <v>3.9240506329113924</v>
      </c>
      <c r="Q219" s="1372">
        <f>'Labor Results Matrix'!$H$145*(1+'Labor Results Matrix'!$K$145)</f>
        <v>312.90794312055181</v>
      </c>
      <c r="R219" s="1372">
        <f>'Labor Results Matrix'!$I$145*(1+'Labor Results Matrix'!$K$145)</f>
        <v>93.417721518987335</v>
      </c>
      <c r="S219" s="1384"/>
      <c r="T219" s="1372">
        <f>O219+Q219+R219</f>
        <v>4774.8631239829738</v>
      </c>
      <c r="U219" s="1372">
        <f>T219</f>
        <v>4774.8631239829738</v>
      </c>
      <c r="V219" s="1461"/>
      <c r="W219" s="1366"/>
      <c r="X219" s="1366"/>
      <c r="Y219" s="1366"/>
      <c r="Z219" s="1366"/>
      <c r="AA219" s="1366"/>
      <c r="AB219" s="1366"/>
      <c r="AC219" s="1366"/>
      <c r="AD219" s="1366"/>
      <c r="AE219" s="1366"/>
      <c r="AF219" s="1366"/>
      <c r="AG219" s="1366"/>
      <c r="AH219" s="1366"/>
      <c r="AI219" s="1366"/>
      <c r="AJ219" s="1366"/>
      <c r="AK219" s="1366"/>
      <c r="AL219" s="1366"/>
      <c r="AM219" s="1366"/>
      <c r="AN219" s="1366"/>
      <c r="AO219" s="1366"/>
      <c r="AP219" s="1366"/>
      <c r="AQ219" s="1366"/>
      <c r="AR219" s="1366"/>
      <c r="AS219" s="1366"/>
      <c r="AT219" s="1366"/>
      <c r="AU219" s="1366"/>
      <c r="AV219" s="1366"/>
      <c r="AW219" s="1366"/>
      <c r="AX219" s="1366"/>
      <c r="AY219" s="1366"/>
      <c r="AZ219" s="1366"/>
      <c r="BA219" s="1366"/>
      <c r="BB219" s="1366"/>
      <c r="BC219" s="1366"/>
      <c r="BD219" s="1366"/>
      <c r="BE219" s="1366"/>
      <c r="BF219" s="1366"/>
      <c r="BG219" s="1366"/>
      <c r="BH219" s="1366"/>
      <c r="BI219" s="1366"/>
      <c r="BJ219" s="1366"/>
      <c r="BK219" s="1366"/>
      <c r="BL219" s="1366"/>
      <c r="BM219" s="1366"/>
      <c r="BN219" s="1366"/>
      <c r="BO219" s="1366"/>
      <c r="BP219" s="1366"/>
      <c r="BQ219" s="1366"/>
      <c r="BR219" s="1366"/>
      <c r="BS219" s="1366"/>
      <c r="BT219" s="1366"/>
      <c r="BU219" s="1366"/>
      <c r="BV219" s="1366"/>
      <c r="BW219" s="1366"/>
      <c r="BX219" s="1366"/>
      <c r="BY219" s="1366"/>
      <c r="BZ219" s="1366"/>
      <c r="CA219" s="1366"/>
      <c r="CB219" s="1366"/>
      <c r="CC219" s="1366"/>
      <c r="CD219" s="1366"/>
      <c r="CE219" s="1366"/>
      <c r="CF219" s="1366"/>
      <c r="CG219" s="1366"/>
      <c r="CH219" s="1366"/>
      <c r="CI219" s="1366"/>
      <c r="CJ219" s="1366"/>
      <c r="CK219" s="1366"/>
      <c r="CL219" s="1366"/>
      <c r="CM219" s="1366"/>
      <c r="CN219" s="1366"/>
      <c r="CO219" s="1366"/>
      <c r="CP219" s="1366"/>
      <c r="CQ219" s="1366"/>
      <c r="CR219" s="1366"/>
      <c r="CS219" s="1366"/>
      <c r="CT219" s="1366"/>
      <c r="CU219" s="1366"/>
      <c r="CV219" s="1366"/>
      <c r="CW219" s="1366"/>
      <c r="CX219" s="1366"/>
      <c r="CY219" s="1366"/>
      <c r="CZ219" s="1366"/>
      <c r="DA219" s="1366"/>
      <c r="DB219" s="1366"/>
      <c r="DC219" s="1366"/>
      <c r="DD219" s="1366"/>
      <c r="DE219" s="1366"/>
      <c r="DF219" s="1366"/>
      <c r="DG219" s="1366"/>
      <c r="DH219" s="1366"/>
      <c r="DI219" s="1366"/>
      <c r="DJ219" s="1366"/>
      <c r="DK219" s="1366"/>
      <c r="DL219" s="1366"/>
      <c r="DM219" s="1366"/>
      <c r="DN219" s="1366"/>
      <c r="DO219" s="1366"/>
      <c r="DP219" s="1366"/>
      <c r="DQ219" s="1366"/>
      <c r="DR219" s="1366"/>
      <c r="DS219" s="1366"/>
      <c r="DT219" s="1366"/>
      <c r="DU219" s="1366"/>
      <c r="DV219" s="1366"/>
    </row>
    <row r="220" spans="1:126" s="1367" customFormat="1" ht="30">
      <c r="A220" s="2494"/>
      <c r="B220" s="1653">
        <v>9043</v>
      </c>
      <c r="C220" s="1642" t="s">
        <v>49</v>
      </c>
      <c r="D220" s="1375" t="s">
        <v>2554</v>
      </c>
      <c r="E220" s="1364" t="s">
        <v>2102</v>
      </c>
      <c r="F220" s="1364" t="s">
        <v>2108</v>
      </c>
      <c r="G220" s="1185" t="s">
        <v>1804</v>
      </c>
      <c r="H220" s="1361">
        <f>'Equipment Results Matrix'!Y674</f>
        <v>127465.5261008806</v>
      </c>
      <c r="I220" s="1371">
        <f>'Labor Results Matrix'!$E$145*(45000/1170)</f>
        <v>150.92502434274584</v>
      </c>
      <c r="J220" s="1372">
        <f>'Labor Results Matrix'!$G$145*(1+'Labor Results Matrix'!$K$145)</f>
        <v>79.741056472656751</v>
      </c>
      <c r="K220" s="1372">
        <f>I220*J220</f>
        <v>12034.920889251991</v>
      </c>
      <c r="L220" s="1372">
        <f>'Labor Results Matrix'!$I$145*(45000/1170)</f>
        <v>2994.1577409931838</v>
      </c>
      <c r="M220" s="1372">
        <f>H220+K220+L220</f>
        <v>142494.60473112579</v>
      </c>
      <c r="N220" s="1458">
        <f>M220</f>
        <v>142494.60473112579</v>
      </c>
      <c r="O220" s="1361">
        <f>H220/(45000/1170)</f>
        <v>3314.1036786228956</v>
      </c>
      <c r="P220" s="1371">
        <f>'Labor Results Matrix'!$E$145</f>
        <v>3.9240506329113924</v>
      </c>
      <c r="Q220" s="1372">
        <f>'Labor Results Matrix'!$H$145*(1+'Labor Results Matrix'!$K$145)</f>
        <v>312.90794312055181</v>
      </c>
      <c r="R220" s="1372">
        <f>'Labor Results Matrix'!$I$145*(1+'Labor Results Matrix'!$K$145)</f>
        <v>93.417721518987335</v>
      </c>
      <c r="S220" s="1384"/>
      <c r="T220" s="1372">
        <f>O220+Q220+R220</f>
        <v>3720.4293432624349</v>
      </c>
      <c r="U220" s="1372">
        <f>T220</f>
        <v>3720.4293432624349</v>
      </c>
      <c r="V220" s="1461"/>
      <c r="W220" s="1366"/>
      <c r="X220" s="1366"/>
      <c r="Y220" s="1366"/>
      <c r="Z220" s="1366"/>
      <c r="AA220" s="1366"/>
      <c r="AB220" s="1366"/>
      <c r="AC220" s="1366"/>
      <c r="AD220" s="1366"/>
      <c r="AE220" s="1366"/>
      <c r="AF220" s="1366"/>
      <c r="AG220" s="1366"/>
      <c r="AH220" s="1366"/>
      <c r="AI220" s="1366"/>
      <c r="AJ220" s="1366"/>
      <c r="AK220" s="1366"/>
      <c r="AL220" s="1366"/>
      <c r="AM220" s="1366"/>
      <c r="AN220" s="1366"/>
      <c r="AO220" s="1366"/>
      <c r="AP220" s="1366"/>
      <c r="AQ220" s="1366"/>
      <c r="AR220" s="1366"/>
      <c r="AS220" s="1366"/>
      <c r="AT220" s="1366"/>
      <c r="AU220" s="1366"/>
      <c r="AV220" s="1366"/>
      <c r="AW220" s="1366"/>
      <c r="AX220" s="1366"/>
      <c r="AY220" s="1366"/>
      <c r="AZ220" s="1366"/>
      <c r="BA220" s="1366"/>
      <c r="BB220" s="1366"/>
      <c r="BC220" s="1366"/>
      <c r="BD220" s="1366"/>
      <c r="BE220" s="1366"/>
      <c r="BF220" s="1366"/>
      <c r="BG220" s="1366"/>
      <c r="BH220" s="1366"/>
      <c r="BI220" s="1366"/>
      <c r="BJ220" s="1366"/>
      <c r="BK220" s="1366"/>
      <c r="BL220" s="1366"/>
      <c r="BM220" s="1366"/>
      <c r="BN220" s="1366"/>
      <c r="BO220" s="1366"/>
      <c r="BP220" s="1366"/>
      <c r="BQ220" s="1366"/>
      <c r="BR220" s="1366"/>
      <c r="BS220" s="1366"/>
      <c r="BT220" s="1366"/>
      <c r="BU220" s="1366"/>
      <c r="BV220" s="1366"/>
      <c r="BW220" s="1366"/>
      <c r="BX220" s="1366"/>
      <c r="BY220" s="1366"/>
      <c r="BZ220" s="1366"/>
      <c r="CA220" s="1366"/>
      <c r="CB220" s="1366"/>
      <c r="CC220" s="1366"/>
      <c r="CD220" s="1366"/>
      <c r="CE220" s="1366"/>
      <c r="CF220" s="1366"/>
      <c r="CG220" s="1366"/>
      <c r="CH220" s="1366"/>
      <c r="CI220" s="1366"/>
      <c r="CJ220" s="1366"/>
      <c r="CK220" s="1366"/>
      <c r="CL220" s="1366"/>
      <c r="CM220" s="1366"/>
      <c r="CN220" s="1366"/>
      <c r="CO220" s="1366"/>
      <c r="CP220" s="1366"/>
      <c r="CQ220" s="1366"/>
      <c r="CR220" s="1366"/>
      <c r="CS220" s="1366"/>
      <c r="CT220" s="1366"/>
      <c r="CU220" s="1366"/>
      <c r="CV220" s="1366"/>
      <c r="CW220" s="1366"/>
      <c r="CX220" s="1366"/>
      <c r="CY220" s="1366"/>
      <c r="CZ220" s="1366"/>
      <c r="DA220" s="1366"/>
      <c r="DB220" s="1366"/>
      <c r="DC220" s="1366"/>
      <c r="DD220" s="1366"/>
      <c r="DE220" s="1366"/>
      <c r="DF220" s="1366"/>
      <c r="DG220" s="1366"/>
      <c r="DH220" s="1366"/>
      <c r="DI220" s="1366"/>
      <c r="DJ220" s="1366"/>
      <c r="DK220" s="1366"/>
      <c r="DL220" s="1366"/>
      <c r="DM220" s="1366"/>
      <c r="DN220" s="1366"/>
      <c r="DO220" s="1366"/>
      <c r="DP220" s="1366"/>
      <c r="DQ220" s="1366"/>
      <c r="DR220" s="1366"/>
      <c r="DS220" s="1366"/>
      <c r="DT220" s="1366"/>
      <c r="DU220" s="1366"/>
      <c r="DV220" s="1366"/>
    </row>
    <row r="221" spans="1:126" s="1367" customFormat="1" ht="30">
      <c r="A221" s="2494"/>
      <c r="B221" s="1653">
        <v>9103</v>
      </c>
      <c r="C221" s="1642" t="s">
        <v>47</v>
      </c>
      <c r="D221" s="1375" t="s">
        <v>2660</v>
      </c>
      <c r="E221" s="1364" t="s">
        <v>2097</v>
      </c>
      <c r="F221" s="1364" t="s">
        <v>2107</v>
      </c>
      <c r="G221" s="1185" t="s">
        <v>1804</v>
      </c>
      <c r="H221" s="1361">
        <f t="shared" ref="H221:M221" si="46">H167</f>
        <v>1268.5508550650604</v>
      </c>
      <c r="I221" s="1371">
        <f t="shared" si="46"/>
        <v>7.2557253571689335</v>
      </c>
      <c r="J221" s="1372">
        <f t="shared" si="46"/>
        <v>91.344003166431989</v>
      </c>
      <c r="K221" s="1372">
        <f t="shared" si="46"/>
        <v>662.76699999999994</v>
      </c>
      <c r="L221" s="1372">
        <f t="shared" si="46"/>
        <v>0</v>
      </c>
      <c r="M221" s="1372">
        <f t="shared" si="46"/>
        <v>1931.3178550650605</v>
      </c>
      <c r="N221" s="1462" t="s">
        <v>40</v>
      </c>
      <c r="O221" s="1361">
        <f t="shared" ref="O221:T221" si="47">O167</f>
        <v>0</v>
      </c>
      <c r="P221" s="1372">
        <f t="shared" si="47"/>
        <v>0</v>
      </c>
      <c r="Q221" s="1372">
        <f t="shared" si="47"/>
        <v>0</v>
      </c>
      <c r="R221" s="1372">
        <f t="shared" si="47"/>
        <v>0</v>
      </c>
      <c r="S221" s="1372">
        <f t="shared" si="47"/>
        <v>0</v>
      </c>
      <c r="T221" s="1372">
        <f t="shared" si="47"/>
        <v>0</v>
      </c>
      <c r="U221" s="1373" t="s">
        <v>40</v>
      </c>
      <c r="V221" s="1461"/>
      <c r="W221" s="1366"/>
      <c r="X221" s="1366"/>
      <c r="Y221" s="1366"/>
      <c r="Z221" s="1366"/>
      <c r="AA221" s="1366"/>
      <c r="AB221" s="1366"/>
      <c r="AC221" s="1366"/>
      <c r="AD221" s="1366"/>
      <c r="AE221" s="1366"/>
      <c r="AF221" s="1366"/>
      <c r="AG221" s="1366"/>
      <c r="AH221" s="1366"/>
      <c r="AI221" s="1366"/>
      <c r="AJ221" s="1366"/>
      <c r="AK221" s="1366"/>
      <c r="AL221" s="1366"/>
      <c r="AM221" s="1366"/>
      <c r="AN221" s="1366"/>
      <c r="AO221" s="1366"/>
      <c r="AP221" s="1366"/>
      <c r="AQ221" s="1366"/>
      <c r="AR221" s="1366"/>
      <c r="AS221" s="1366"/>
      <c r="AT221" s="1366"/>
      <c r="AU221" s="1366"/>
      <c r="AV221" s="1366"/>
      <c r="AW221" s="1366"/>
      <c r="AX221" s="1366"/>
      <c r="AY221" s="1366"/>
      <c r="AZ221" s="1366"/>
      <c r="BA221" s="1366"/>
      <c r="BB221" s="1366"/>
      <c r="BC221" s="1366"/>
      <c r="BD221" s="1366"/>
      <c r="BE221" s="1366"/>
      <c r="BF221" s="1366"/>
      <c r="BG221" s="1366"/>
      <c r="BH221" s="1366"/>
      <c r="BI221" s="1366"/>
      <c r="BJ221" s="1366"/>
      <c r="BK221" s="1366"/>
      <c r="BL221" s="1366"/>
      <c r="BM221" s="1366"/>
      <c r="BN221" s="1366"/>
      <c r="BO221" s="1366"/>
      <c r="BP221" s="1366"/>
      <c r="BQ221" s="1366"/>
      <c r="BR221" s="1366"/>
      <c r="BS221" s="1366"/>
      <c r="BT221" s="1366"/>
      <c r="BU221" s="1366"/>
      <c r="BV221" s="1366"/>
      <c r="BW221" s="1366"/>
      <c r="BX221" s="1366"/>
      <c r="BY221" s="1366"/>
      <c r="BZ221" s="1366"/>
      <c r="CA221" s="1366"/>
      <c r="CB221" s="1366"/>
      <c r="CC221" s="1366"/>
      <c r="CD221" s="1366"/>
      <c r="CE221" s="1366"/>
      <c r="CF221" s="1366"/>
      <c r="CG221" s="1366"/>
      <c r="CH221" s="1366"/>
      <c r="CI221" s="1366"/>
      <c r="CJ221" s="1366"/>
      <c r="CK221" s="1366"/>
      <c r="CL221" s="1366"/>
      <c r="CM221" s="1366"/>
      <c r="CN221" s="1366"/>
      <c r="CO221" s="1366"/>
      <c r="CP221" s="1366"/>
      <c r="CQ221" s="1366"/>
      <c r="CR221" s="1366"/>
      <c r="CS221" s="1366"/>
      <c r="CT221" s="1366"/>
      <c r="CU221" s="1366"/>
      <c r="CV221" s="1366"/>
      <c r="CW221" s="1366"/>
      <c r="CX221" s="1366"/>
      <c r="CY221" s="1366"/>
      <c r="CZ221" s="1366"/>
      <c r="DA221" s="1366"/>
      <c r="DB221" s="1366"/>
      <c r="DC221" s="1366"/>
      <c r="DD221" s="1366"/>
      <c r="DE221" s="1366"/>
      <c r="DF221" s="1366"/>
      <c r="DG221" s="1366"/>
      <c r="DH221" s="1366"/>
      <c r="DI221" s="1366"/>
      <c r="DJ221" s="1366"/>
      <c r="DK221" s="1366"/>
      <c r="DL221" s="1366"/>
      <c r="DM221" s="1366"/>
      <c r="DN221" s="1366"/>
      <c r="DO221" s="1366"/>
      <c r="DP221" s="1366"/>
      <c r="DQ221" s="1366"/>
      <c r="DR221" s="1366"/>
      <c r="DS221" s="1366"/>
      <c r="DT221" s="1366"/>
      <c r="DU221" s="1366"/>
      <c r="DV221" s="1366"/>
    </row>
    <row r="222" spans="1:126" s="1367" customFormat="1" ht="15.75" thickBot="1">
      <c r="A222" s="2495"/>
      <c r="B222" s="1653">
        <v>9103</v>
      </c>
      <c r="C222" s="1642" t="s">
        <v>49</v>
      </c>
      <c r="D222" s="1375" t="s">
        <v>2665</v>
      </c>
      <c r="E222" s="1364" t="s">
        <v>2097</v>
      </c>
      <c r="F222" s="1364" t="s">
        <v>2107</v>
      </c>
      <c r="G222" s="1185" t="s">
        <v>1804</v>
      </c>
      <c r="H222" s="1361">
        <f>(('Equipment Results Matrix'!$R$672*3510)+'Equipment Results Matrix'!$R$674+'Equipment Results Matrix'!$R$675+'Equipment Results Matrix'!$T$679)*(1+'Equipment Results Matrix'!$T$681)</f>
        <v>12613.157040880602</v>
      </c>
      <c r="I222" s="1371">
        <f>'Labor Results Matrix'!$E$145*(3510/1170)</f>
        <v>11.772151898734178</v>
      </c>
      <c r="J222" s="1372">
        <f>'Labor Results Matrix'!$G$145*(1+'Labor Results Matrix'!$K$145)</f>
        <v>79.741056472656751</v>
      </c>
      <c r="K222" s="1372">
        <f>I222*J222</f>
        <v>938.72382936165548</v>
      </c>
      <c r="L222" s="1372">
        <f>'Labor Results Matrix'!$I$145*(3510/1170)</f>
        <v>233.54430379746833</v>
      </c>
      <c r="M222" s="1372">
        <f>H222+K222+L222</f>
        <v>13785.425174039727</v>
      </c>
      <c r="N222" s="1458">
        <f>M222-M221</f>
        <v>11854.107318974666</v>
      </c>
      <c r="O222" s="1361">
        <f>H222/3</f>
        <v>4204.3856802935343</v>
      </c>
      <c r="P222" s="1371">
        <f>'Labor Results Matrix'!$E$145</f>
        <v>3.9240506329113924</v>
      </c>
      <c r="Q222" s="1372">
        <f>'Labor Results Matrix'!$H$145*(1+'Labor Results Matrix'!$K$145)</f>
        <v>312.90794312055181</v>
      </c>
      <c r="R222" s="1372">
        <f>'Labor Results Matrix'!$I$145*(1+'Labor Results Matrix'!$K$145)</f>
        <v>93.417721518987335</v>
      </c>
      <c r="S222" s="1384"/>
      <c r="T222" s="1372">
        <f>O222+Q222+R222</f>
        <v>4610.7113449330736</v>
      </c>
      <c r="U222" s="1372">
        <f>T222-T221</f>
        <v>4610.7113449330736</v>
      </c>
      <c r="V222" s="1461"/>
      <c r="W222" s="1366"/>
      <c r="X222" s="1366"/>
      <c r="Y222" s="1366"/>
      <c r="Z222" s="1366"/>
      <c r="AA222" s="1366"/>
      <c r="AB222" s="1366"/>
      <c r="AC222" s="1366"/>
      <c r="AD222" s="1366"/>
      <c r="AE222" s="1366"/>
      <c r="AF222" s="1366"/>
      <c r="AG222" s="1366"/>
      <c r="AH222" s="1366"/>
      <c r="AI222" s="1366"/>
      <c r="AJ222" s="1366"/>
      <c r="AK222" s="1366"/>
      <c r="AL222" s="1366"/>
      <c r="AM222" s="1366"/>
      <c r="AN222" s="1366"/>
      <c r="AO222" s="1366"/>
      <c r="AP222" s="1366"/>
      <c r="AQ222" s="1366"/>
      <c r="AR222" s="1366"/>
      <c r="AS222" s="1366"/>
      <c r="AT222" s="1366"/>
      <c r="AU222" s="1366"/>
      <c r="AV222" s="1366"/>
      <c r="AW222" s="1366"/>
      <c r="AX222" s="1366"/>
      <c r="AY222" s="1366"/>
      <c r="AZ222" s="1366"/>
      <c r="BA222" s="1366"/>
      <c r="BB222" s="1366"/>
      <c r="BC222" s="1366"/>
      <c r="BD222" s="1366"/>
      <c r="BE222" s="1366"/>
      <c r="BF222" s="1366"/>
      <c r="BG222" s="1366"/>
      <c r="BH222" s="1366"/>
      <c r="BI222" s="1366"/>
      <c r="BJ222" s="1366"/>
      <c r="BK222" s="1366"/>
      <c r="BL222" s="1366"/>
      <c r="BM222" s="1366"/>
      <c r="BN222" s="1366"/>
      <c r="BO222" s="1366"/>
      <c r="BP222" s="1366"/>
      <c r="BQ222" s="1366"/>
      <c r="BR222" s="1366"/>
      <c r="BS222" s="1366"/>
      <c r="BT222" s="1366"/>
      <c r="BU222" s="1366"/>
      <c r="BV222" s="1366"/>
      <c r="BW222" s="1366"/>
      <c r="BX222" s="1366"/>
      <c r="BY222" s="1366"/>
      <c r="BZ222" s="1366"/>
      <c r="CA222" s="1366"/>
      <c r="CB222" s="1366"/>
      <c r="CC222" s="1366"/>
      <c r="CD222" s="1366"/>
      <c r="CE222" s="1366"/>
      <c r="CF222" s="1366"/>
      <c r="CG222" s="1366"/>
      <c r="CH222" s="1366"/>
      <c r="CI222" s="1366"/>
      <c r="CJ222" s="1366"/>
      <c r="CK222" s="1366"/>
      <c r="CL222" s="1366"/>
      <c r="CM222" s="1366"/>
      <c r="CN222" s="1366"/>
      <c r="CO222" s="1366"/>
      <c r="CP222" s="1366"/>
      <c r="CQ222" s="1366"/>
      <c r="CR222" s="1366"/>
      <c r="CS222" s="1366"/>
      <c r="CT222" s="1366"/>
      <c r="CU222" s="1366"/>
      <c r="CV222" s="1366"/>
      <c r="CW222" s="1366"/>
      <c r="CX222" s="1366"/>
      <c r="CY222" s="1366"/>
      <c r="CZ222" s="1366"/>
      <c r="DA222" s="1366"/>
      <c r="DB222" s="1366"/>
      <c r="DC222" s="1366"/>
      <c r="DD222" s="1366"/>
      <c r="DE222" s="1366"/>
      <c r="DF222" s="1366"/>
      <c r="DG222" s="1366"/>
      <c r="DH222" s="1366"/>
      <c r="DI222" s="1366"/>
      <c r="DJ222" s="1366"/>
      <c r="DK222" s="1366"/>
      <c r="DL222" s="1366"/>
      <c r="DM222" s="1366"/>
      <c r="DN222" s="1366"/>
      <c r="DO222" s="1366"/>
      <c r="DP222" s="1366"/>
      <c r="DQ222" s="1366"/>
      <c r="DR222" s="1366"/>
      <c r="DS222" s="1366"/>
      <c r="DT222" s="1366"/>
      <c r="DU222" s="1366"/>
      <c r="DV222" s="1366"/>
    </row>
    <row r="223" spans="1:126" s="1479" customFormat="1" ht="19.5" thickBot="1">
      <c r="A223" s="695"/>
      <c r="B223" s="1652"/>
      <c r="C223" s="1652"/>
      <c r="D223" s="1318"/>
      <c r="E223" s="1318"/>
      <c r="F223" s="1318"/>
      <c r="G223" s="1318"/>
      <c r="H223" s="1389"/>
      <c r="I223" s="1446"/>
      <c r="J223" s="1390"/>
      <c r="K223" s="1389"/>
      <c r="L223" s="1532"/>
      <c r="M223" s="1389"/>
      <c r="N223" s="1497"/>
      <c r="O223" s="1389"/>
      <c r="P223" s="1390"/>
      <c r="Q223" s="1390"/>
      <c r="R223" s="1446"/>
      <c r="S223" s="1446"/>
      <c r="T223" s="1498"/>
      <c r="U223" s="1498"/>
      <c r="V223" s="1497"/>
      <c r="W223" s="1490"/>
      <c r="X223" s="1490"/>
      <c r="Y223" s="327"/>
      <c r="Z223" s="327"/>
      <c r="AA223" s="327"/>
      <c r="AB223" s="1490"/>
      <c r="AC223" s="1490"/>
      <c r="AD223" s="1490"/>
      <c r="AE223" s="1490"/>
      <c r="AF223" s="327"/>
      <c r="AG223" s="327"/>
      <c r="AH223" s="327"/>
      <c r="AI223" s="327"/>
      <c r="AJ223" s="327"/>
      <c r="AK223" s="1478"/>
      <c r="AL223" s="1478"/>
      <c r="AM223" s="1478"/>
      <c r="AN223" s="1478"/>
      <c r="AO223" s="1478"/>
      <c r="AP223" s="1478"/>
      <c r="AQ223" s="1478"/>
      <c r="AR223" s="1478"/>
      <c r="AS223" s="1478"/>
      <c r="AT223" s="1478"/>
      <c r="AU223" s="1478"/>
      <c r="AV223" s="1478"/>
      <c r="AW223" s="1478"/>
      <c r="AX223" s="1478"/>
      <c r="AY223" s="1478"/>
      <c r="AZ223" s="1478"/>
      <c r="BA223" s="1478"/>
      <c r="BB223" s="1478"/>
      <c r="BC223" s="1478"/>
      <c r="BD223" s="1478"/>
      <c r="BE223" s="1478"/>
      <c r="BF223" s="1478"/>
      <c r="BG223" s="1478"/>
      <c r="BH223" s="1478"/>
      <c r="BI223" s="1478"/>
      <c r="BJ223" s="1478"/>
      <c r="BK223" s="327"/>
      <c r="BL223" s="327"/>
      <c r="BM223" s="327"/>
      <c r="BN223" s="327"/>
      <c r="BO223" s="327"/>
      <c r="BP223" s="327"/>
      <c r="BQ223" s="327"/>
      <c r="BR223" s="327"/>
      <c r="BS223" s="327"/>
      <c r="BT223" s="327"/>
      <c r="BU223" s="327"/>
      <c r="BV223" s="327"/>
      <c r="BW223" s="327"/>
      <c r="BX223" s="327"/>
      <c r="BY223" s="327"/>
      <c r="BZ223" s="327"/>
      <c r="CA223" s="327"/>
      <c r="CB223" s="327"/>
      <c r="CC223" s="327"/>
      <c r="CD223" s="327"/>
      <c r="CE223" s="327"/>
      <c r="CF223" s="327"/>
      <c r="CG223" s="327"/>
      <c r="CH223" s="327"/>
      <c r="CI223" s="327"/>
      <c r="CJ223" s="327"/>
      <c r="CK223" s="327"/>
      <c r="CL223" s="327"/>
      <c r="CM223" s="327"/>
      <c r="CN223" s="327"/>
      <c r="CO223" s="327"/>
      <c r="CP223" s="327"/>
      <c r="CQ223" s="327"/>
      <c r="CR223" s="327"/>
      <c r="CS223" s="327"/>
      <c r="CT223" s="327"/>
      <c r="CU223" s="327"/>
      <c r="CV223" s="327"/>
      <c r="CW223" s="327"/>
      <c r="CX223" s="327"/>
      <c r="CY223" s="327"/>
      <c r="CZ223" s="327"/>
      <c r="DA223" s="327"/>
      <c r="DB223" s="327"/>
      <c r="DC223" s="327"/>
      <c r="DD223" s="327"/>
      <c r="DE223" s="327"/>
      <c r="DF223" s="327"/>
      <c r="DG223" s="327"/>
      <c r="DH223" s="327"/>
      <c r="DI223" s="327"/>
      <c r="DJ223" s="327"/>
      <c r="DK223" s="327"/>
      <c r="DL223" s="327"/>
      <c r="DM223" s="327"/>
      <c r="DN223" s="327"/>
      <c r="DO223" s="327"/>
      <c r="DP223" s="327"/>
      <c r="DQ223" s="327"/>
      <c r="DR223" s="327"/>
      <c r="DS223" s="327"/>
      <c r="DT223" s="327"/>
      <c r="DU223" s="327"/>
      <c r="DV223" s="327"/>
    </row>
    <row r="224" spans="1:126" s="1367" customFormat="1" ht="30">
      <c r="A224" s="2493" t="s">
        <v>1136</v>
      </c>
      <c r="B224" s="1653" t="s">
        <v>2265</v>
      </c>
      <c r="C224" s="1642" t="s">
        <v>47</v>
      </c>
      <c r="D224" s="1375" t="s">
        <v>2267</v>
      </c>
      <c r="E224" s="1364" t="s">
        <v>2266</v>
      </c>
      <c r="F224" s="1364" t="s">
        <v>2108</v>
      </c>
      <c r="G224" s="1185" t="s">
        <v>1804</v>
      </c>
      <c r="H224" s="1361">
        <f>(('Equipment Results Matrix'!$R$683*13)+('Equipment Results Matrix'!$R$684*36000)+'Equipment Results Matrix'!$R$685+'Equipment Results Matrix'!$R$687+'Equipment Results Matrix'!$R$689+'Equipment Results Matrix'!$T$690)*(1+'Equipment Results Matrix'!$T$692)</f>
        <v>3038.3745798135387</v>
      </c>
      <c r="I224" s="1371">
        <f>0.845*3+27.129</f>
        <v>29.664000000000001</v>
      </c>
      <c r="J224" s="1372">
        <f>'Labor Results Matrix'!$G$157*(1+'Labor Results Matrix'!$K$156)</f>
        <v>90.130495877989063</v>
      </c>
      <c r="K224" s="1372">
        <f>I224*J224</f>
        <v>2673.6310297246678</v>
      </c>
      <c r="L224" s="1372">
        <f>(('Labor Results Matrix'!$I$156*3)+('Labor Results Matrix'!$I$158*3)+'Labor Results Matrix'!$J$156)*(1+'Labor Results Matrix'!$K$156)</f>
        <v>1763.9909770338293</v>
      </c>
      <c r="M224" s="1372">
        <f>H224+K224+L224</f>
        <v>7475.9965865720351</v>
      </c>
      <c r="N224" s="1455" t="s">
        <v>40</v>
      </c>
      <c r="O224" s="1361">
        <f>H224/3</f>
        <v>1012.7915266045129</v>
      </c>
      <c r="P224" s="1371">
        <f>I224/3</f>
        <v>9.8879999999999999</v>
      </c>
      <c r="Q224" s="1372">
        <f>P224*J224</f>
        <v>891.21034324155585</v>
      </c>
      <c r="R224" s="1372">
        <f>('Labor Results Matrix'!$I$156+'Labor Results Matrix'!$I$158)*(1+'Labor Results Matrix'!$K$156)</f>
        <v>333.68633726826795</v>
      </c>
      <c r="S224" s="1372">
        <f>'Labor Results Matrix'!$J$156*(1+'Labor Results Matrix'!$K$156)</f>
        <v>762.93196522902554</v>
      </c>
      <c r="T224" s="1372">
        <f>O224+Q224+R224</f>
        <v>2237.6882071143368</v>
      </c>
      <c r="U224" s="1417" t="s">
        <v>40</v>
      </c>
      <c r="V224" s="1455" t="s">
        <v>40</v>
      </c>
      <c r="W224" s="1366"/>
      <c r="X224" s="1366"/>
      <c r="Y224" s="1366"/>
      <c r="Z224" s="1366"/>
      <c r="AA224" s="1366"/>
      <c r="AB224" s="1366"/>
      <c r="AC224" s="1366"/>
      <c r="AD224" s="1366"/>
      <c r="AE224" s="1366"/>
      <c r="AF224" s="1366"/>
      <c r="AG224" s="1366"/>
      <c r="AH224" s="1366"/>
      <c r="AI224" s="1366"/>
      <c r="AJ224" s="1366"/>
      <c r="AK224" s="1366"/>
      <c r="AL224" s="1366"/>
      <c r="AM224" s="1366"/>
      <c r="AN224" s="1366"/>
      <c r="AO224" s="1366"/>
      <c r="AP224" s="1366"/>
      <c r="AQ224" s="1366"/>
      <c r="AR224" s="1366"/>
      <c r="AS224" s="1366"/>
      <c r="AT224" s="1366"/>
      <c r="AU224" s="1366"/>
      <c r="AV224" s="1366"/>
      <c r="AW224" s="1366"/>
      <c r="AX224" s="1366"/>
      <c r="AY224" s="1366"/>
      <c r="AZ224" s="1366"/>
      <c r="BA224" s="1366"/>
      <c r="BB224" s="1366"/>
      <c r="BC224" s="1366"/>
      <c r="BD224" s="1366"/>
      <c r="BE224" s="1366"/>
      <c r="BF224" s="1366"/>
      <c r="BG224" s="1366"/>
      <c r="BH224" s="1366"/>
      <c r="BI224" s="1366"/>
      <c r="BJ224" s="1366"/>
      <c r="BK224" s="1366"/>
      <c r="BL224" s="1366"/>
      <c r="BM224" s="1366"/>
      <c r="BN224" s="1366"/>
      <c r="BO224" s="1366"/>
      <c r="BP224" s="1366"/>
      <c r="BQ224" s="1366"/>
      <c r="BR224" s="1366"/>
      <c r="BS224" s="1366"/>
      <c r="BT224" s="1366"/>
      <c r="BU224" s="1366"/>
      <c r="BV224" s="1366"/>
      <c r="BW224" s="1366"/>
      <c r="BX224" s="1366"/>
      <c r="BY224" s="1366"/>
      <c r="BZ224" s="1366"/>
      <c r="CA224" s="1366"/>
      <c r="CB224" s="1366"/>
      <c r="CC224" s="1366"/>
      <c r="CD224" s="1366"/>
      <c r="CE224" s="1366"/>
      <c r="CF224" s="1366"/>
      <c r="CG224" s="1366"/>
      <c r="CH224" s="1366"/>
      <c r="CI224" s="1366"/>
      <c r="CJ224" s="1366"/>
      <c r="CK224" s="1366"/>
      <c r="CL224" s="1366"/>
      <c r="CM224" s="1366"/>
      <c r="CN224" s="1366"/>
      <c r="CO224" s="1366"/>
      <c r="CP224" s="1366"/>
      <c r="CQ224" s="1366"/>
      <c r="CR224" s="1366"/>
      <c r="CS224" s="1366"/>
      <c r="CT224" s="1366"/>
      <c r="CU224" s="1366"/>
      <c r="CV224" s="1366"/>
      <c r="CW224" s="1366"/>
      <c r="CX224" s="1366"/>
      <c r="CY224" s="1366"/>
      <c r="CZ224" s="1366"/>
      <c r="DA224" s="1366"/>
      <c r="DB224" s="1366"/>
      <c r="DC224" s="1366"/>
      <c r="DD224" s="1366"/>
      <c r="DE224" s="1366"/>
      <c r="DF224" s="1366"/>
      <c r="DG224" s="1366"/>
      <c r="DH224" s="1366"/>
      <c r="DI224" s="1366"/>
      <c r="DJ224" s="1366"/>
      <c r="DK224" s="1366"/>
      <c r="DL224" s="1366"/>
      <c r="DM224" s="1366"/>
      <c r="DN224" s="1366"/>
      <c r="DO224" s="1366"/>
      <c r="DP224" s="1366"/>
      <c r="DQ224" s="1366"/>
      <c r="DR224" s="1366"/>
      <c r="DS224" s="1366"/>
      <c r="DT224" s="1366"/>
      <c r="DU224" s="1366"/>
      <c r="DV224" s="1366"/>
    </row>
    <row r="225" spans="1:126" s="1367" customFormat="1" ht="30">
      <c r="A225" s="2494"/>
      <c r="B225" s="1653">
        <v>115</v>
      </c>
      <c r="C225" s="1642" t="s">
        <v>49</v>
      </c>
      <c r="D225" s="1375" t="s">
        <v>2268</v>
      </c>
      <c r="E225" s="1364" t="s">
        <v>2100</v>
      </c>
      <c r="F225" s="1364" t="s">
        <v>2108</v>
      </c>
      <c r="G225" s="1185" t="s">
        <v>1804</v>
      </c>
      <c r="H225" s="1361">
        <f>(('Equipment Results Matrix'!$R$683*13)+('Equipment Results Matrix'!$R$684*36000)+'Equipment Results Matrix'!$R$685+'Equipment Results Matrix'!$R$687+'Equipment Results Matrix'!$R$689+'Equipment Results Matrix'!$T$690)*(1+'Equipment Results Matrix'!$T$692)</f>
        <v>3038.3745798135387</v>
      </c>
      <c r="I225" s="1371">
        <f t="shared" ref="I225:I231" si="48">0.845*3+27.129</f>
        <v>29.664000000000001</v>
      </c>
      <c r="J225" s="1372">
        <f>'Labor Results Matrix'!$G$157*(1+'Labor Results Matrix'!$K$156)</f>
        <v>90.130495877989063</v>
      </c>
      <c r="K225" s="1372">
        <f t="shared" ref="K225:K235" si="49">I225*J225</f>
        <v>2673.6310297246678</v>
      </c>
      <c r="L225" s="1372">
        <f>(('Labor Results Matrix'!$I$156*3)+('Labor Results Matrix'!$I$158*3)+'Labor Results Matrix'!$J$156)*(1+'Labor Results Matrix'!$K$156)</f>
        <v>1763.9909770338293</v>
      </c>
      <c r="M225" s="1372">
        <f t="shared" ref="M225:M235" si="50">H225+K225+L225</f>
        <v>7475.9965865720351</v>
      </c>
      <c r="N225" s="1458">
        <f>M225-$M$224</f>
        <v>0</v>
      </c>
      <c r="O225" s="1361">
        <f t="shared" ref="O225:O231" si="51">H225/3</f>
        <v>1012.7915266045129</v>
      </c>
      <c r="P225" s="1371">
        <f t="shared" ref="P225:P231" si="52">I225/3</f>
        <v>9.8879999999999999</v>
      </c>
      <c r="Q225" s="1372">
        <f t="shared" ref="Q225:Q235" si="53">P225*J225</f>
        <v>891.21034324155585</v>
      </c>
      <c r="R225" s="1372">
        <f>('Labor Results Matrix'!$I$156+'Labor Results Matrix'!$I$158)*(1+'Labor Results Matrix'!$K$156)</f>
        <v>333.68633726826795</v>
      </c>
      <c r="S225" s="1372">
        <f>'Labor Results Matrix'!$J$156*(1+'Labor Results Matrix'!$K$156)</f>
        <v>762.93196522902554</v>
      </c>
      <c r="T225" s="1372">
        <f t="shared" ref="T225:T262" si="54">O225+Q225+R225</f>
        <v>2237.6882071143368</v>
      </c>
      <c r="U225" s="1372">
        <f>T225-$T$224</f>
        <v>0</v>
      </c>
      <c r="V225" s="1458">
        <f>S225-$S$224</f>
        <v>0</v>
      </c>
      <c r="W225" s="1366"/>
      <c r="X225" s="1366"/>
      <c r="Y225" s="1366"/>
      <c r="Z225" s="1366"/>
      <c r="AA225" s="1366"/>
      <c r="AB225" s="1366"/>
      <c r="AC225" s="1366"/>
      <c r="AD225" s="1366"/>
      <c r="AE225" s="1366"/>
      <c r="AF225" s="1366"/>
      <c r="AG225" s="1366"/>
      <c r="AH225" s="1366"/>
      <c r="AI225" s="1366"/>
      <c r="AJ225" s="1366"/>
      <c r="AK225" s="1366"/>
      <c r="AL225" s="1366"/>
      <c r="AM225" s="1366"/>
      <c r="AN225" s="1366"/>
      <c r="AO225" s="1366"/>
      <c r="AP225" s="1366"/>
      <c r="AQ225" s="1366"/>
      <c r="AR225" s="1366"/>
      <c r="AS225" s="1366"/>
      <c r="AT225" s="1366"/>
      <c r="AU225" s="1366"/>
      <c r="AV225" s="1366"/>
      <c r="AW225" s="1366"/>
      <c r="AX225" s="1366"/>
      <c r="AY225" s="1366"/>
      <c r="AZ225" s="1366"/>
      <c r="BA225" s="1366"/>
      <c r="BB225" s="1366"/>
      <c r="BC225" s="1366"/>
      <c r="BD225" s="1366"/>
      <c r="BE225" s="1366"/>
      <c r="BF225" s="1366"/>
      <c r="BG225" s="1366"/>
      <c r="BH225" s="1366"/>
      <c r="BI225" s="1366"/>
      <c r="BJ225" s="1366"/>
      <c r="BK225" s="1366"/>
      <c r="BL225" s="1366"/>
      <c r="BM225" s="1366"/>
      <c r="BN225" s="1366"/>
      <c r="BO225" s="1366"/>
      <c r="BP225" s="1366"/>
      <c r="BQ225" s="1366"/>
      <c r="BR225" s="1366"/>
      <c r="BS225" s="1366"/>
      <c r="BT225" s="1366"/>
      <c r="BU225" s="1366"/>
      <c r="BV225" s="1366"/>
      <c r="BW225" s="1366"/>
      <c r="BX225" s="1366"/>
      <c r="BY225" s="1366"/>
      <c r="BZ225" s="1366"/>
      <c r="CA225" s="1366"/>
      <c r="CB225" s="1366"/>
      <c r="CC225" s="1366"/>
      <c r="CD225" s="1366"/>
      <c r="CE225" s="1366"/>
      <c r="CF225" s="1366"/>
      <c r="CG225" s="1366"/>
      <c r="CH225" s="1366"/>
      <c r="CI225" s="1366"/>
      <c r="CJ225" s="1366"/>
      <c r="CK225" s="1366"/>
      <c r="CL225" s="1366"/>
      <c r="CM225" s="1366"/>
      <c r="CN225" s="1366"/>
      <c r="CO225" s="1366"/>
      <c r="CP225" s="1366"/>
      <c r="CQ225" s="1366"/>
      <c r="CR225" s="1366"/>
      <c r="CS225" s="1366"/>
      <c r="CT225" s="1366"/>
      <c r="CU225" s="1366"/>
      <c r="CV225" s="1366"/>
      <c r="CW225" s="1366"/>
      <c r="CX225" s="1366"/>
      <c r="CY225" s="1366"/>
      <c r="CZ225" s="1366"/>
      <c r="DA225" s="1366"/>
      <c r="DB225" s="1366"/>
      <c r="DC225" s="1366"/>
      <c r="DD225" s="1366"/>
      <c r="DE225" s="1366"/>
      <c r="DF225" s="1366"/>
      <c r="DG225" s="1366"/>
      <c r="DH225" s="1366"/>
      <c r="DI225" s="1366"/>
      <c r="DJ225" s="1366"/>
      <c r="DK225" s="1366"/>
      <c r="DL225" s="1366"/>
      <c r="DM225" s="1366"/>
      <c r="DN225" s="1366"/>
      <c r="DO225" s="1366"/>
      <c r="DP225" s="1366"/>
      <c r="DQ225" s="1366"/>
      <c r="DR225" s="1366"/>
      <c r="DS225" s="1366"/>
      <c r="DT225" s="1366"/>
      <c r="DU225" s="1366"/>
      <c r="DV225" s="1366"/>
    </row>
    <row r="226" spans="1:126" s="1367" customFormat="1" ht="30">
      <c r="A226" s="2494"/>
      <c r="B226" s="1653">
        <v>116</v>
      </c>
      <c r="C226" s="1642" t="s">
        <v>49</v>
      </c>
      <c r="D226" s="1375" t="s">
        <v>2269</v>
      </c>
      <c r="E226" s="1364" t="s">
        <v>2100</v>
      </c>
      <c r="F226" s="1364" t="s">
        <v>2108</v>
      </c>
      <c r="G226" s="1185" t="s">
        <v>1804</v>
      </c>
      <c r="H226" s="1361">
        <f>(('Equipment Results Matrix'!$R$683*14)+('Equipment Results Matrix'!$R$684*36000)+'Equipment Results Matrix'!$R$685+'Equipment Results Matrix'!$R$687+'Equipment Results Matrix'!$R$689+'Equipment Results Matrix'!$T$690)*(1+'Equipment Results Matrix'!$T$692)</f>
        <v>3400.1417673135393</v>
      </c>
      <c r="I226" s="1371">
        <f t="shared" si="48"/>
        <v>29.664000000000001</v>
      </c>
      <c r="J226" s="1372">
        <f>'Labor Results Matrix'!$G$157*(1+'Labor Results Matrix'!$K$156)</f>
        <v>90.130495877989063</v>
      </c>
      <c r="K226" s="1372">
        <f t="shared" si="49"/>
        <v>2673.6310297246678</v>
      </c>
      <c r="L226" s="1372">
        <f>(('Labor Results Matrix'!$I$156*3)+('Labor Results Matrix'!$I$158*3)+'Labor Results Matrix'!$J$156)*(1+'Labor Results Matrix'!$K$156)</f>
        <v>1763.9909770338293</v>
      </c>
      <c r="M226" s="1372">
        <f t="shared" si="50"/>
        <v>7837.7637740720365</v>
      </c>
      <c r="N226" s="1458">
        <f t="shared" ref="N226:N231" si="55">M226-$M$224</f>
        <v>361.76718750000146</v>
      </c>
      <c r="O226" s="1361">
        <f t="shared" si="51"/>
        <v>1133.3805891045131</v>
      </c>
      <c r="P226" s="1371">
        <f t="shared" si="52"/>
        <v>9.8879999999999999</v>
      </c>
      <c r="Q226" s="1372">
        <f t="shared" si="53"/>
        <v>891.21034324155585</v>
      </c>
      <c r="R226" s="1372">
        <f>('Labor Results Matrix'!$I$156+'Labor Results Matrix'!$I$158)*(1+'Labor Results Matrix'!$K$156)</f>
        <v>333.68633726826795</v>
      </c>
      <c r="S226" s="1372">
        <f>'Labor Results Matrix'!$J$156*(1+'Labor Results Matrix'!$K$156)</f>
        <v>762.93196522902554</v>
      </c>
      <c r="T226" s="1372">
        <f t="shared" si="54"/>
        <v>2358.277269614337</v>
      </c>
      <c r="U226" s="1372">
        <f t="shared" ref="U226:U231" si="56">T226-$T$224</f>
        <v>120.58906250000018</v>
      </c>
      <c r="V226" s="1458">
        <f t="shared" ref="V226:V231" si="57">S226-$S$224</f>
        <v>0</v>
      </c>
      <c r="W226" s="1366"/>
      <c r="X226" s="1366"/>
      <c r="Y226" s="1366"/>
      <c r="Z226" s="1366"/>
      <c r="AA226" s="1366"/>
      <c r="AB226" s="1366"/>
      <c r="AC226" s="1366"/>
      <c r="AD226" s="1366"/>
      <c r="AE226" s="1366"/>
      <c r="AF226" s="1366"/>
      <c r="AG226" s="1366"/>
      <c r="AH226" s="1366"/>
      <c r="AI226" s="1366"/>
      <c r="AJ226" s="1366"/>
      <c r="AK226" s="1366"/>
      <c r="AL226" s="1366"/>
      <c r="AM226" s="1366"/>
      <c r="AN226" s="1366"/>
      <c r="AO226" s="1366"/>
      <c r="AP226" s="1366"/>
      <c r="AQ226" s="1366"/>
      <c r="AR226" s="1366"/>
      <c r="AS226" s="1366"/>
      <c r="AT226" s="1366"/>
      <c r="AU226" s="1366"/>
      <c r="AV226" s="1366"/>
      <c r="AW226" s="1366"/>
      <c r="AX226" s="1366"/>
      <c r="AY226" s="1366"/>
      <c r="AZ226" s="1366"/>
      <c r="BA226" s="1366"/>
      <c r="BB226" s="1366"/>
      <c r="BC226" s="1366"/>
      <c r="BD226" s="1366"/>
      <c r="BE226" s="1366"/>
      <c r="BF226" s="1366"/>
      <c r="BG226" s="1366"/>
      <c r="BH226" s="1366"/>
      <c r="BI226" s="1366"/>
      <c r="BJ226" s="1366"/>
      <c r="BK226" s="1366"/>
      <c r="BL226" s="1366"/>
      <c r="BM226" s="1366"/>
      <c r="BN226" s="1366"/>
      <c r="BO226" s="1366"/>
      <c r="BP226" s="1366"/>
      <c r="BQ226" s="1366"/>
      <c r="BR226" s="1366"/>
      <c r="BS226" s="1366"/>
      <c r="BT226" s="1366"/>
      <c r="BU226" s="1366"/>
      <c r="BV226" s="1366"/>
      <c r="BW226" s="1366"/>
      <c r="BX226" s="1366"/>
      <c r="BY226" s="1366"/>
      <c r="BZ226" s="1366"/>
      <c r="CA226" s="1366"/>
      <c r="CB226" s="1366"/>
      <c r="CC226" s="1366"/>
      <c r="CD226" s="1366"/>
      <c r="CE226" s="1366"/>
      <c r="CF226" s="1366"/>
      <c r="CG226" s="1366"/>
      <c r="CH226" s="1366"/>
      <c r="CI226" s="1366"/>
      <c r="CJ226" s="1366"/>
      <c r="CK226" s="1366"/>
      <c r="CL226" s="1366"/>
      <c r="CM226" s="1366"/>
      <c r="CN226" s="1366"/>
      <c r="CO226" s="1366"/>
      <c r="CP226" s="1366"/>
      <c r="CQ226" s="1366"/>
      <c r="CR226" s="1366"/>
      <c r="CS226" s="1366"/>
      <c r="CT226" s="1366"/>
      <c r="CU226" s="1366"/>
      <c r="CV226" s="1366"/>
      <c r="CW226" s="1366"/>
      <c r="CX226" s="1366"/>
      <c r="CY226" s="1366"/>
      <c r="CZ226" s="1366"/>
      <c r="DA226" s="1366"/>
      <c r="DB226" s="1366"/>
      <c r="DC226" s="1366"/>
      <c r="DD226" s="1366"/>
      <c r="DE226" s="1366"/>
      <c r="DF226" s="1366"/>
      <c r="DG226" s="1366"/>
      <c r="DH226" s="1366"/>
      <c r="DI226" s="1366"/>
      <c r="DJ226" s="1366"/>
      <c r="DK226" s="1366"/>
      <c r="DL226" s="1366"/>
      <c r="DM226" s="1366"/>
      <c r="DN226" s="1366"/>
      <c r="DO226" s="1366"/>
      <c r="DP226" s="1366"/>
      <c r="DQ226" s="1366"/>
      <c r="DR226" s="1366"/>
      <c r="DS226" s="1366"/>
      <c r="DT226" s="1366"/>
      <c r="DU226" s="1366"/>
      <c r="DV226" s="1366"/>
    </row>
    <row r="227" spans="1:126" s="1367" customFormat="1" ht="30">
      <c r="A227" s="2494"/>
      <c r="B227" s="1653">
        <v>117</v>
      </c>
      <c r="C227" s="1642" t="s">
        <v>49</v>
      </c>
      <c r="D227" s="1375" t="s">
        <v>2270</v>
      </c>
      <c r="E227" s="1364" t="s">
        <v>2100</v>
      </c>
      <c r="F227" s="1364" t="s">
        <v>2108</v>
      </c>
      <c r="G227" s="1185" t="s">
        <v>1804</v>
      </c>
      <c r="H227" s="1361">
        <f>(('Equipment Results Matrix'!$R$683*13)+('Equipment Results Matrix'!$R$684*36000)+'Equipment Results Matrix'!$R$685+'Equipment Results Matrix'!$R$687+'Equipment Results Matrix'!$R$689+'Equipment Results Matrix'!$T$690)*(1+'Equipment Results Matrix'!$T$692)</f>
        <v>3038.3745798135387</v>
      </c>
      <c r="I227" s="1371">
        <f t="shared" si="48"/>
        <v>29.664000000000001</v>
      </c>
      <c r="J227" s="1372">
        <f>'Labor Results Matrix'!$G$157*(1+'Labor Results Matrix'!$K$156)</f>
        <v>90.130495877989063</v>
      </c>
      <c r="K227" s="1372">
        <f t="shared" si="49"/>
        <v>2673.6310297246678</v>
      </c>
      <c r="L227" s="1372">
        <f>(('Labor Results Matrix'!$I$156*3)+('Labor Results Matrix'!$I$158*3)+'Labor Results Matrix'!$J$156)*(1+'Labor Results Matrix'!$K$156)</f>
        <v>1763.9909770338293</v>
      </c>
      <c r="M227" s="1372">
        <f t="shared" si="50"/>
        <v>7475.9965865720351</v>
      </c>
      <c r="N227" s="1458">
        <f t="shared" si="55"/>
        <v>0</v>
      </c>
      <c r="O227" s="1361">
        <f t="shared" si="51"/>
        <v>1012.7915266045129</v>
      </c>
      <c r="P227" s="1371">
        <f t="shared" si="52"/>
        <v>9.8879999999999999</v>
      </c>
      <c r="Q227" s="1372">
        <f t="shared" si="53"/>
        <v>891.21034324155585</v>
      </c>
      <c r="R227" s="1372">
        <f>('Labor Results Matrix'!$I$156+'Labor Results Matrix'!$I$158)*(1+'Labor Results Matrix'!$K$156)</f>
        <v>333.68633726826795</v>
      </c>
      <c r="S227" s="1372">
        <f>'Labor Results Matrix'!$J$156*(1+'Labor Results Matrix'!$K$156)</f>
        <v>762.93196522902554</v>
      </c>
      <c r="T227" s="1372">
        <f t="shared" si="54"/>
        <v>2237.6882071143368</v>
      </c>
      <c r="U227" s="1372">
        <f t="shared" si="56"/>
        <v>0</v>
      </c>
      <c r="V227" s="1458">
        <f t="shared" si="57"/>
        <v>0</v>
      </c>
      <c r="W227" s="1366"/>
      <c r="X227" s="1366"/>
      <c r="Y227" s="1366"/>
      <c r="Z227" s="1366"/>
      <c r="AA227" s="1366"/>
      <c r="AB227" s="1366"/>
      <c r="AC227" s="1366"/>
      <c r="AD227" s="1366"/>
      <c r="AE227" s="1366"/>
      <c r="AF227" s="1366"/>
      <c r="AG227" s="1366"/>
      <c r="AH227" s="1366"/>
      <c r="AI227" s="1366"/>
      <c r="AJ227" s="1366"/>
      <c r="AK227" s="1366"/>
      <c r="AL227" s="1366"/>
      <c r="AM227" s="1366"/>
      <c r="AN227" s="1366"/>
      <c r="AO227" s="1366"/>
      <c r="AP227" s="1366"/>
      <c r="AQ227" s="1366"/>
      <c r="AR227" s="1366"/>
      <c r="AS227" s="1366"/>
      <c r="AT227" s="1366"/>
      <c r="AU227" s="1366"/>
      <c r="AV227" s="1366"/>
      <c r="AW227" s="1366"/>
      <c r="AX227" s="1366"/>
      <c r="AY227" s="1366"/>
      <c r="AZ227" s="1366"/>
      <c r="BA227" s="1366"/>
      <c r="BB227" s="1366"/>
      <c r="BC227" s="1366"/>
      <c r="BD227" s="1366"/>
      <c r="BE227" s="1366"/>
      <c r="BF227" s="1366"/>
      <c r="BG227" s="1366"/>
      <c r="BH227" s="1366"/>
      <c r="BI227" s="1366"/>
      <c r="BJ227" s="1366"/>
      <c r="BK227" s="1366"/>
      <c r="BL227" s="1366"/>
      <c r="BM227" s="1366"/>
      <c r="BN227" s="1366"/>
      <c r="BO227" s="1366"/>
      <c r="BP227" s="1366"/>
      <c r="BQ227" s="1366"/>
      <c r="BR227" s="1366"/>
      <c r="BS227" s="1366"/>
      <c r="BT227" s="1366"/>
      <c r="BU227" s="1366"/>
      <c r="BV227" s="1366"/>
      <c r="BW227" s="1366"/>
      <c r="BX227" s="1366"/>
      <c r="BY227" s="1366"/>
      <c r="BZ227" s="1366"/>
      <c r="CA227" s="1366"/>
      <c r="CB227" s="1366"/>
      <c r="CC227" s="1366"/>
      <c r="CD227" s="1366"/>
      <c r="CE227" s="1366"/>
      <c r="CF227" s="1366"/>
      <c r="CG227" s="1366"/>
      <c r="CH227" s="1366"/>
      <c r="CI227" s="1366"/>
      <c r="CJ227" s="1366"/>
      <c r="CK227" s="1366"/>
      <c r="CL227" s="1366"/>
      <c r="CM227" s="1366"/>
      <c r="CN227" s="1366"/>
      <c r="CO227" s="1366"/>
      <c r="CP227" s="1366"/>
      <c r="CQ227" s="1366"/>
      <c r="CR227" s="1366"/>
      <c r="CS227" s="1366"/>
      <c r="CT227" s="1366"/>
      <c r="CU227" s="1366"/>
      <c r="CV227" s="1366"/>
      <c r="CW227" s="1366"/>
      <c r="CX227" s="1366"/>
      <c r="CY227" s="1366"/>
      <c r="CZ227" s="1366"/>
      <c r="DA227" s="1366"/>
      <c r="DB227" s="1366"/>
      <c r="DC227" s="1366"/>
      <c r="DD227" s="1366"/>
      <c r="DE227" s="1366"/>
      <c r="DF227" s="1366"/>
      <c r="DG227" s="1366"/>
      <c r="DH227" s="1366"/>
      <c r="DI227" s="1366"/>
      <c r="DJ227" s="1366"/>
      <c r="DK227" s="1366"/>
      <c r="DL227" s="1366"/>
      <c r="DM227" s="1366"/>
      <c r="DN227" s="1366"/>
      <c r="DO227" s="1366"/>
      <c r="DP227" s="1366"/>
      <c r="DQ227" s="1366"/>
      <c r="DR227" s="1366"/>
      <c r="DS227" s="1366"/>
      <c r="DT227" s="1366"/>
      <c r="DU227" s="1366"/>
      <c r="DV227" s="1366"/>
    </row>
    <row r="228" spans="1:126" s="1367" customFormat="1" ht="30">
      <c r="A228" s="2494"/>
      <c r="B228" s="1653">
        <v>118</v>
      </c>
      <c r="C228" s="1642" t="s">
        <v>49</v>
      </c>
      <c r="D228" s="1375" t="s">
        <v>2271</v>
      </c>
      <c r="E228" s="1364" t="s">
        <v>2097</v>
      </c>
      <c r="F228" s="1364" t="s">
        <v>2108</v>
      </c>
      <c r="G228" s="1185" t="s">
        <v>1804</v>
      </c>
      <c r="H228" s="1361">
        <f>(('Equipment Results Matrix'!$R$683*14)+('Equipment Results Matrix'!$R$684*36000)+'Equipment Results Matrix'!$R$685+'Equipment Results Matrix'!$R$687+'Equipment Results Matrix'!$R$689+'Equipment Results Matrix'!$T$690)*(1+'Equipment Results Matrix'!$T$692)</f>
        <v>3400.1417673135393</v>
      </c>
      <c r="I228" s="1371">
        <f t="shared" si="48"/>
        <v>29.664000000000001</v>
      </c>
      <c r="J228" s="1372">
        <f>'Labor Results Matrix'!$G$157*(1+'Labor Results Matrix'!$K$156)</f>
        <v>90.130495877989063</v>
      </c>
      <c r="K228" s="1372">
        <f t="shared" si="49"/>
        <v>2673.6310297246678</v>
      </c>
      <c r="L228" s="1372">
        <f>(('Labor Results Matrix'!$I$156*3)+('Labor Results Matrix'!$I$158*3)+'Labor Results Matrix'!$J$156)*(1+'Labor Results Matrix'!$K$156)</f>
        <v>1763.9909770338293</v>
      </c>
      <c r="M228" s="1372">
        <f t="shared" si="50"/>
        <v>7837.7637740720365</v>
      </c>
      <c r="N228" s="1458">
        <f t="shared" si="55"/>
        <v>361.76718750000146</v>
      </c>
      <c r="O228" s="1361">
        <f t="shared" si="51"/>
        <v>1133.3805891045131</v>
      </c>
      <c r="P228" s="1371">
        <f t="shared" si="52"/>
        <v>9.8879999999999999</v>
      </c>
      <c r="Q228" s="1372">
        <f t="shared" si="53"/>
        <v>891.21034324155585</v>
      </c>
      <c r="R228" s="1372">
        <f>('Labor Results Matrix'!$I$156+'Labor Results Matrix'!$I$158)*(1+'Labor Results Matrix'!$K$156)</f>
        <v>333.68633726826795</v>
      </c>
      <c r="S228" s="1372">
        <f>'Labor Results Matrix'!$J$156*(1+'Labor Results Matrix'!$K$156)</f>
        <v>762.93196522902554</v>
      </c>
      <c r="T228" s="1372">
        <f t="shared" si="54"/>
        <v>2358.277269614337</v>
      </c>
      <c r="U228" s="1372">
        <f t="shared" si="56"/>
        <v>120.58906250000018</v>
      </c>
      <c r="V228" s="1458">
        <f t="shared" si="57"/>
        <v>0</v>
      </c>
      <c r="W228" s="1366"/>
      <c r="X228" s="1366"/>
      <c r="Y228" s="1366"/>
      <c r="Z228" s="1366"/>
      <c r="AA228" s="1366"/>
      <c r="AB228" s="1366"/>
      <c r="AC228" s="1366"/>
      <c r="AD228" s="1366"/>
      <c r="AE228" s="1366"/>
      <c r="AF228" s="1366"/>
      <c r="AG228" s="1366"/>
      <c r="AH228" s="1366"/>
      <c r="AI228" s="1366"/>
      <c r="AJ228" s="1366"/>
      <c r="AK228" s="1366"/>
      <c r="AL228" s="1366"/>
      <c r="AM228" s="1366"/>
      <c r="AN228" s="1366"/>
      <c r="AO228" s="1366"/>
      <c r="AP228" s="1366"/>
      <c r="AQ228" s="1366"/>
      <c r="AR228" s="1366"/>
      <c r="AS228" s="1366"/>
      <c r="AT228" s="1366"/>
      <c r="AU228" s="1366"/>
      <c r="AV228" s="1366"/>
      <c r="AW228" s="1366"/>
      <c r="AX228" s="1366"/>
      <c r="AY228" s="1366"/>
      <c r="AZ228" s="1366"/>
      <c r="BA228" s="1366"/>
      <c r="BB228" s="1366"/>
      <c r="BC228" s="1366"/>
      <c r="BD228" s="1366"/>
      <c r="BE228" s="1366"/>
      <c r="BF228" s="1366"/>
      <c r="BG228" s="1366"/>
      <c r="BH228" s="1366"/>
      <c r="BI228" s="1366"/>
      <c r="BJ228" s="1366"/>
      <c r="BK228" s="1366"/>
      <c r="BL228" s="1366"/>
      <c r="BM228" s="1366"/>
      <c r="BN228" s="1366"/>
      <c r="BO228" s="1366"/>
      <c r="BP228" s="1366"/>
      <c r="BQ228" s="1366"/>
      <c r="BR228" s="1366"/>
      <c r="BS228" s="1366"/>
      <c r="BT228" s="1366"/>
      <c r="BU228" s="1366"/>
      <c r="BV228" s="1366"/>
      <c r="BW228" s="1366"/>
      <c r="BX228" s="1366"/>
      <c r="BY228" s="1366"/>
      <c r="BZ228" s="1366"/>
      <c r="CA228" s="1366"/>
      <c r="CB228" s="1366"/>
      <c r="CC228" s="1366"/>
      <c r="CD228" s="1366"/>
      <c r="CE228" s="1366"/>
      <c r="CF228" s="1366"/>
      <c r="CG228" s="1366"/>
      <c r="CH228" s="1366"/>
      <c r="CI228" s="1366"/>
      <c r="CJ228" s="1366"/>
      <c r="CK228" s="1366"/>
      <c r="CL228" s="1366"/>
      <c r="CM228" s="1366"/>
      <c r="CN228" s="1366"/>
      <c r="CO228" s="1366"/>
      <c r="CP228" s="1366"/>
      <c r="CQ228" s="1366"/>
      <c r="CR228" s="1366"/>
      <c r="CS228" s="1366"/>
      <c r="CT228" s="1366"/>
      <c r="CU228" s="1366"/>
      <c r="CV228" s="1366"/>
      <c r="CW228" s="1366"/>
      <c r="CX228" s="1366"/>
      <c r="CY228" s="1366"/>
      <c r="CZ228" s="1366"/>
      <c r="DA228" s="1366"/>
      <c r="DB228" s="1366"/>
      <c r="DC228" s="1366"/>
      <c r="DD228" s="1366"/>
      <c r="DE228" s="1366"/>
      <c r="DF228" s="1366"/>
      <c r="DG228" s="1366"/>
      <c r="DH228" s="1366"/>
      <c r="DI228" s="1366"/>
      <c r="DJ228" s="1366"/>
      <c r="DK228" s="1366"/>
      <c r="DL228" s="1366"/>
      <c r="DM228" s="1366"/>
      <c r="DN228" s="1366"/>
      <c r="DO228" s="1366"/>
      <c r="DP228" s="1366"/>
      <c r="DQ228" s="1366"/>
      <c r="DR228" s="1366"/>
      <c r="DS228" s="1366"/>
      <c r="DT228" s="1366"/>
      <c r="DU228" s="1366"/>
      <c r="DV228" s="1366"/>
    </row>
    <row r="229" spans="1:126" s="1367" customFormat="1" ht="30">
      <c r="A229" s="2494"/>
      <c r="B229" s="1653">
        <v>119</v>
      </c>
      <c r="C229" s="1642" t="s">
        <v>49</v>
      </c>
      <c r="D229" s="1375" t="s">
        <v>2272</v>
      </c>
      <c r="E229" s="1364" t="s">
        <v>2100</v>
      </c>
      <c r="F229" s="1364" t="s">
        <v>2108</v>
      </c>
      <c r="G229" s="1185" t="s">
        <v>1804</v>
      </c>
      <c r="H229" s="1361">
        <f>(('Equipment Results Matrix'!$R$683*12)+('Equipment Results Matrix'!$R$684*36000)+'Equipment Results Matrix'!$R$685+'Equipment Results Matrix'!$R$687+'Equipment Results Matrix'!$R$689+'Equipment Results Matrix'!$T$690)*(1+'Equipment Results Matrix'!$T$692)</f>
        <v>2676.6073923135391</v>
      </c>
      <c r="I229" s="1371">
        <f t="shared" si="48"/>
        <v>29.664000000000001</v>
      </c>
      <c r="J229" s="1372">
        <f>'Labor Results Matrix'!$G$157*(1+'Labor Results Matrix'!$K$156)</f>
        <v>90.130495877989063</v>
      </c>
      <c r="K229" s="1372">
        <f t="shared" si="49"/>
        <v>2673.6310297246678</v>
      </c>
      <c r="L229" s="1372">
        <f>(('Labor Results Matrix'!$I$156*3)+('Labor Results Matrix'!$I$158*3)+'Labor Results Matrix'!$J$156)*(1+'Labor Results Matrix'!$K$156)</f>
        <v>1763.9909770338293</v>
      </c>
      <c r="M229" s="1372">
        <f t="shared" si="50"/>
        <v>7114.2293990720354</v>
      </c>
      <c r="N229" s="1458">
        <f t="shared" si="55"/>
        <v>-361.76718749999964</v>
      </c>
      <c r="O229" s="1361">
        <f t="shared" si="51"/>
        <v>892.20246410451307</v>
      </c>
      <c r="P229" s="1371">
        <f t="shared" si="52"/>
        <v>9.8879999999999999</v>
      </c>
      <c r="Q229" s="1372">
        <f t="shared" si="53"/>
        <v>891.21034324155585</v>
      </c>
      <c r="R229" s="1372">
        <f>('Labor Results Matrix'!$I$156+'Labor Results Matrix'!$I$158)*(1+'Labor Results Matrix'!$K$156)</f>
        <v>333.68633726826795</v>
      </c>
      <c r="S229" s="1372">
        <f>'Labor Results Matrix'!$J$156*(1+'Labor Results Matrix'!$K$156)</f>
        <v>762.93196522902554</v>
      </c>
      <c r="T229" s="1372">
        <f t="shared" si="54"/>
        <v>2117.0991446143366</v>
      </c>
      <c r="U229" s="1372">
        <f t="shared" si="56"/>
        <v>-120.58906250000018</v>
      </c>
      <c r="V229" s="1458">
        <f t="shared" si="57"/>
        <v>0</v>
      </c>
      <c r="W229" s="1366"/>
      <c r="X229" s="1366"/>
      <c r="Y229" s="1366"/>
      <c r="Z229" s="1366"/>
      <c r="AA229" s="1366"/>
      <c r="AB229" s="1366"/>
      <c r="AC229" s="1366"/>
      <c r="AD229" s="1366"/>
      <c r="AE229" s="1366"/>
      <c r="AF229" s="1366"/>
      <c r="AG229" s="1366"/>
      <c r="AH229" s="1366"/>
      <c r="AI229" s="1366"/>
      <c r="AJ229" s="1366"/>
      <c r="AK229" s="1366"/>
      <c r="AL229" s="1366"/>
      <c r="AM229" s="1366"/>
      <c r="AN229" s="1366"/>
      <c r="AO229" s="1366"/>
      <c r="AP229" s="1366"/>
      <c r="AQ229" s="1366"/>
      <c r="AR229" s="1366"/>
      <c r="AS229" s="1366"/>
      <c r="AT229" s="1366"/>
      <c r="AU229" s="1366"/>
      <c r="AV229" s="1366"/>
      <c r="AW229" s="1366"/>
      <c r="AX229" s="1366"/>
      <c r="AY229" s="1366"/>
      <c r="AZ229" s="1366"/>
      <c r="BA229" s="1366"/>
      <c r="BB229" s="1366"/>
      <c r="BC229" s="1366"/>
      <c r="BD229" s="1366"/>
      <c r="BE229" s="1366"/>
      <c r="BF229" s="1366"/>
      <c r="BG229" s="1366"/>
      <c r="BH229" s="1366"/>
      <c r="BI229" s="1366"/>
      <c r="BJ229" s="1366"/>
      <c r="BK229" s="1366"/>
      <c r="BL229" s="1366"/>
      <c r="BM229" s="1366"/>
      <c r="BN229" s="1366"/>
      <c r="BO229" s="1366"/>
      <c r="BP229" s="1366"/>
      <c r="BQ229" s="1366"/>
      <c r="BR229" s="1366"/>
      <c r="BS229" s="1366"/>
      <c r="BT229" s="1366"/>
      <c r="BU229" s="1366"/>
      <c r="BV229" s="1366"/>
      <c r="BW229" s="1366"/>
      <c r="BX229" s="1366"/>
      <c r="BY229" s="1366"/>
      <c r="BZ229" s="1366"/>
      <c r="CA229" s="1366"/>
      <c r="CB229" s="1366"/>
      <c r="CC229" s="1366"/>
      <c r="CD229" s="1366"/>
      <c r="CE229" s="1366"/>
      <c r="CF229" s="1366"/>
      <c r="CG229" s="1366"/>
      <c r="CH229" s="1366"/>
      <c r="CI229" s="1366"/>
      <c r="CJ229" s="1366"/>
      <c r="CK229" s="1366"/>
      <c r="CL229" s="1366"/>
      <c r="CM229" s="1366"/>
      <c r="CN229" s="1366"/>
      <c r="CO229" s="1366"/>
      <c r="CP229" s="1366"/>
      <c r="CQ229" s="1366"/>
      <c r="CR229" s="1366"/>
      <c r="CS229" s="1366"/>
      <c r="CT229" s="1366"/>
      <c r="CU229" s="1366"/>
      <c r="CV229" s="1366"/>
      <c r="CW229" s="1366"/>
      <c r="CX229" s="1366"/>
      <c r="CY229" s="1366"/>
      <c r="CZ229" s="1366"/>
      <c r="DA229" s="1366"/>
      <c r="DB229" s="1366"/>
      <c r="DC229" s="1366"/>
      <c r="DD229" s="1366"/>
      <c r="DE229" s="1366"/>
      <c r="DF229" s="1366"/>
      <c r="DG229" s="1366"/>
      <c r="DH229" s="1366"/>
      <c r="DI229" s="1366"/>
      <c r="DJ229" s="1366"/>
      <c r="DK229" s="1366"/>
      <c r="DL229" s="1366"/>
      <c r="DM229" s="1366"/>
      <c r="DN229" s="1366"/>
      <c r="DO229" s="1366"/>
      <c r="DP229" s="1366"/>
      <c r="DQ229" s="1366"/>
      <c r="DR229" s="1366"/>
      <c r="DS229" s="1366"/>
      <c r="DT229" s="1366"/>
      <c r="DU229" s="1366"/>
      <c r="DV229" s="1366"/>
    </row>
    <row r="230" spans="1:126" s="1367" customFormat="1" ht="30">
      <c r="A230" s="2494"/>
      <c r="B230" s="1653">
        <v>120</v>
      </c>
      <c r="C230" s="1642" t="s">
        <v>49</v>
      </c>
      <c r="D230" s="1375" t="s">
        <v>2273</v>
      </c>
      <c r="E230" s="1364" t="s">
        <v>2100</v>
      </c>
      <c r="F230" s="1364" t="s">
        <v>2108</v>
      </c>
      <c r="G230" s="1185" t="s">
        <v>1804</v>
      </c>
      <c r="H230" s="1361">
        <f>(('Equipment Results Matrix'!$R$683*13)+('Equipment Results Matrix'!$R$684*36000)+'Equipment Results Matrix'!$R$685+'Equipment Results Matrix'!$R$687+'Equipment Results Matrix'!$R$689+'Equipment Results Matrix'!$T$690)*(1+'Equipment Results Matrix'!$T$692)</f>
        <v>3038.3745798135387</v>
      </c>
      <c r="I230" s="1371">
        <f t="shared" si="48"/>
        <v>29.664000000000001</v>
      </c>
      <c r="J230" s="1372">
        <f>'Labor Results Matrix'!$G$157*(1+'Labor Results Matrix'!$K$156)</f>
        <v>90.130495877989063</v>
      </c>
      <c r="K230" s="1372">
        <f t="shared" si="49"/>
        <v>2673.6310297246678</v>
      </c>
      <c r="L230" s="1372">
        <f>(('Labor Results Matrix'!$I$156*3)+('Labor Results Matrix'!$I$158*3)+'Labor Results Matrix'!$J$156)*(1+'Labor Results Matrix'!$K$156)</f>
        <v>1763.9909770338293</v>
      </c>
      <c r="M230" s="1372">
        <f t="shared" si="50"/>
        <v>7475.9965865720351</v>
      </c>
      <c r="N230" s="1458">
        <f t="shared" si="55"/>
        <v>0</v>
      </c>
      <c r="O230" s="1361">
        <f t="shared" si="51"/>
        <v>1012.7915266045129</v>
      </c>
      <c r="P230" s="1371">
        <f t="shared" si="52"/>
        <v>9.8879999999999999</v>
      </c>
      <c r="Q230" s="1372">
        <f t="shared" si="53"/>
        <v>891.21034324155585</v>
      </c>
      <c r="R230" s="1372">
        <f>('Labor Results Matrix'!$I$156+'Labor Results Matrix'!$I$158)*(1+'Labor Results Matrix'!$K$156)</f>
        <v>333.68633726826795</v>
      </c>
      <c r="S230" s="1372">
        <f>'Labor Results Matrix'!$J$156*(1+'Labor Results Matrix'!$K$156)</f>
        <v>762.93196522902554</v>
      </c>
      <c r="T230" s="1372">
        <f t="shared" si="54"/>
        <v>2237.6882071143368</v>
      </c>
      <c r="U230" s="1372">
        <f t="shared" si="56"/>
        <v>0</v>
      </c>
      <c r="V230" s="1458">
        <f t="shared" si="57"/>
        <v>0</v>
      </c>
      <c r="W230" s="1366"/>
      <c r="X230" s="1366"/>
      <c r="Y230" s="1366"/>
      <c r="Z230" s="1366"/>
      <c r="AA230" s="1366"/>
      <c r="AB230" s="1366"/>
      <c r="AC230" s="1366"/>
      <c r="AD230" s="1366"/>
      <c r="AE230" s="1366"/>
      <c r="AF230" s="1366"/>
      <c r="AG230" s="1366"/>
      <c r="AH230" s="1366"/>
      <c r="AI230" s="1366"/>
      <c r="AJ230" s="1366"/>
      <c r="AK230" s="1366"/>
      <c r="AL230" s="1366"/>
      <c r="AM230" s="1366"/>
      <c r="AN230" s="1366"/>
      <c r="AO230" s="1366"/>
      <c r="AP230" s="1366"/>
      <c r="AQ230" s="1366"/>
      <c r="AR230" s="1366"/>
      <c r="AS230" s="1366"/>
      <c r="AT230" s="1366"/>
      <c r="AU230" s="1366"/>
      <c r="AV230" s="1366"/>
      <c r="AW230" s="1366"/>
      <c r="AX230" s="1366"/>
      <c r="AY230" s="1366"/>
      <c r="AZ230" s="1366"/>
      <c r="BA230" s="1366"/>
      <c r="BB230" s="1366"/>
      <c r="BC230" s="1366"/>
      <c r="BD230" s="1366"/>
      <c r="BE230" s="1366"/>
      <c r="BF230" s="1366"/>
      <c r="BG230" s="1366"/>
      <c r="BH230" s="1366"/>
      <c r="BI230" s="1366"/>
      <c r="BJ230" s="1366"/>
      <c r="BK230" s="1366"/>
      <c r="BL230" s="1366"/>
      <c r="BM230" s="1366"/>
      <c r="BN230" s="1366"/>
      <c r="BO230" s="1366"/>
      <c r="BP230" s="1366"/>
      <c r="BQ230" s="1366"/>
      <c r="BR230" s="1366"/>
      <c r="BS230" s="1366"/>
      <c r="BT230" s="1366"/>
      <c r="BU230" s="1366"/>
      <c r="BV230" s="1366"/>
      <c r="BW230" s="1366"/>
      <c r="BX230" s="1366"/>
      <c r="BY230" s="1366"/>
      <c r="BZ230" s="1366"/>
      <c r="CA230" s="1366"/>
      <c r="CB230" s="1366"/>
      <c r="CC230" s="1366"/>
      <c r="CD230" s="1366"/>
      <c r="CE230" s="1366"/>
      <c r="CF230" s="1366"/>
      <c r="CG230" s="1366"/>
      <c r="CH230" s="1366"/>
      <c r="CI230" s="1366"/>
      <c r="CJ230" s="1366"/>
      <c r="CK230" s="1366"/>
      <c r="CL230" s="1366"/>
      <c r="CM230" s="1366"/>
      <c r="CN230" s="1366"/>
      <c r="CO230" s="1366"/>
      <c r="CP230" s="1366"/>
      <c r="CQ230" s="1366"/>
      <c r="CR230" s="1366"/>
      <c r="CS230" s="1366"/>
      <c r="CT230" s="1366"/>
      <c r="CU230" s="1366"/>
      <c r="CV230" s="1366"/>
      <c r="CW230" s="1366"/>
      <c r="CX230" s="1366"/>
      <c r="CY230" s="1366"/>
      <c r="CZ230" s="1366"/>
      <c r="DA230" s="1366"/>
      <c r="DB230" s="1366"/>
      <c r="DC230" s="1366"/>
      <c r="DD230" s="1366"/>
      <c r="DE230" s="1366"/>
      <c r="DF230" s="1366"/>
      <c r="DG230" s="1366"/>
      <c r="DH230" s="1366"/>
      <c r="DI230" s="1366"/>
      <c r="DJ230" s="1366"/>
      <c r="DK230" s="1366"/>
      <c r="DL230" s="1366"/>
      <c r="DM230" s="1366"/>
      <c r="DN230" s="1366"/>
      <c r="DO230" s="1366"/>
      <c r="DP230" s="1366"/>
      <c r="DQ230" s="1366"/>
      <c r="DR230" s="1366"/>
      <c r="DS230" s="1366"/>
      <c r="DT230" s="1366"/>
      <c r="DU230" s="1366"/>
      <c r="DV230" s="1366"/>
    </row>
    <row r="231" spans="1:126" s="1367" customFormat="1" ht="30">
      <c r="A231" s="2494"/>
      <c r="B231" s="1653">
        <v>121</v>
      </c>
      <c r="C231" s="1642" t="s">
        <v>49</v>
      </c>
      <c r="D231" s="1375" t="s">
        <v>2274</v>
      </c>
      <c r="E231" s="1364" t="s">
        <v>2097</v>
      </c>
      <c r="F231" s="1364" t="s">
        <v>2108</v>
      </c>
      <c r="G231" s="1185" t="s">
        <v>1804</v>
      </c>
      <c r="H231" s="1361">
        <f>(('Equipment Results Matrix'!$R$683*14)+('Equipment Results Matrix'!$R$684*36000)+'Equipment Results Matrix'!$R$685+'Equipment Results Matrix'!$R$687+'Equipment Results Matrix'!$R$689+'Equipment Results Matrix'!$T$690)*(1+'Equipment Results Matrix'!$T$692)</f>
        <v>3400.1417673135393</v>
      </c>
      <c r="I231" s="1371">
        <f t="shared" si="48"/>
        <v>29.664000000000001</v>
      </c>
      <c r="J231" s="1372">
        <f>'Labor Results Matrix'!$G$157*(1+'Labor Results Matrix'!$K$156)</f>
        <v>90.130495877989063</v>
      </c>
      <c r="K231" s="1372">
        <f t="shared" si="49"/>
        <v>2673.6310297246678</v>
      </c>
      <c r="L231" s="1372">
        <f>(('Labor Results Matrix'!$I$156*3)+('Labor Results Matrix'!$I$158*3)+'Labor Results Matrix'!$J$156)*(1+'Labor Results Matrix'!$K$156)</f>
        <v>1763.9909770338293</v>
      </c>
      <c r="M231" s="1372">
        <f t="shared" si="50"/>
        <v>7837.7637740720365</v>
      </c>
      <c r="N231" s="1458">
        <f t="shared" si="55"/>
        <v>361.76718750000146</v>
      </c>
      <c r="O231" s="1361">
        <f t="shared" si="51"/>
        <v>1133.3805891045131</v>
      </c>
      <c r="P231" s="1371">
        <f t="shared" si="52"/>
        <v>9.8879999999999999</v>
      </c>
      <c r="Q231" s="1372">
        <f t="shared" si="53"/>
        <v>891.21034324155585</v>
      </c>
      <c r="R231" s="1372">
        <f>('Labor Results Matrix'!$I$156+'Labor Results Matrix'!$I$158)*(1+'Labor Results Matrix'!$K$156)</f>
        <v>333.68633726826795</v>
      </c>
      <c r="S231" s="1372">
        <f>'Labor Results Matrix'!$J$156*(1+'Labor Results Matrix'!$K$156)</f>
        <v>762.93196522902554</v>
      </c>
      <c r="T231" s="1372">
        <f t="shared" si="54"/>
        <v>2358.277269614337</v>
      </c>
      <c r="U231" s="1372">
        <f t="shared" si="56"/>
        <v>120.58906250000018</v>
      </c>
      <c r="V231" s="1458">
        <f t="shared" si="57"/>
        <v>0</v>
      </c>
      <c r="W231" s="1366"/>
      <c r="X231" s="1366"/>
      <c r="Y231" s="1366"/>
      <c r="Z231" s="1366"/>
      <c r="AA231" s="1366"/>
      <c r="AB231" s="1366"/>
      <c r="AC231" s="1366"/>
      <c r="AD231" s="1366"/>
      <c r="AE231" s="1366"/>
      <c r="AF231" s="1366"/>
      <c r="AG231" s="1366"/>
      <c r="AH231" s="1366"/>
      <c r="AI231" s="1366"/>
      <c r="AJ231" s="1366"/>
      <c r="AK231" s="1366"/>
      <c r="AL231" s="1366"/>
      <c r="AM231" s="1366"/>
      <c r="AN231" s="1366"/>
      <c r="AO231" s="1366"/>
      <c r="AP231" s="1366"/>
      <c r="AQ231" s="1366"/>
      <c r="AR231" s="1366"/>
      <c r="AS231" s="1366"/>
      <c r="AT231" s="1366"/>
      <c r="AU231" s="1366"/>
      <c r="AV231" s="1366"/>
      <c r="AW231" s="1366"/>
      <c r="AX231" s="1366"/>
      <c r="AY231" s="1366"/>
      <c r="AZ231" s="1366"/>
      <c r="BA231" s="1366"/>
      <c r="BB231" s="1366"/>
      <c r="BC231" s="1366"/>
      <c r="BD231" s="1366"/>
      <c r="BE231" s="1366"/>
      <c r="BF231" s="1366"/>
      <c r="BG231" s="1366"/>
      <c r="BH231" s="1366"/>
      <c r="BI231" s="1366"/>
      <c r="BJ231" s="1366"/>
      <c r="BK231" s="1366"/>
      <c r="BL231" s="1366"/>
      <c r="BM231" s="1366"/>
      <c r="BN231" s="1366"/>
      <c r="BO231" s="1366"/>
      <c r="BP231" s="1366"/>
      <c r="BQ231" s="1366"/>
      <c r="BR231" s="1366"/>
      <c r="BS231" s="1366"/>
      <c r="BT231" s="1366"/>
      <c r="BU231" s="1366"/>
      <c r="BV231" s="1366"/>
      <c r="BW231" s="1366"/>
      <c r="BX231" s="1366"/>
      <c r="BY231" s="1366"/>
      <c r="BZ231" s="1366"/>
      <c r="CA231" s="1366"/>
      <c r="CB231" s="1366"/>
      <c r="CC231" s="1366"/>
      <c r="CD231" s="1366"/>
      <c r="CE231" s="1366"/>
      <c r="CF231" s="1366"/>
      <c r="CG231" s="1366"/>
      <c r="CH231" s="1366"/>
      <c r="CI231" s="1366"/>
      <c r="CJ231" s="1366"/>
      <c r="CK231" s="1366"/>
      <c r="CL231" s="1366"/>
      <c r="CM231" s="1366"/>
      <c r="CN231" s="1366"/>
      <c r="CO231" s="1366"/>
      <c r="CP231" s="1366"/>
      <c r="CQ231" s="1366"/>
      <c r="CR231" s="1366"/>
      <c r="CS231" s="1366"/>
      <c r="CT231" s="1366"/>
      <c r="CU231" s="1366"/>
      <c r="CV231" s="1366"/>
      <c r="CW231" s="1366"/>
      <c r="CX231" s="1366"/>
      <c r="CY231" s="1366"/>
      <c r="CZ231" s="1366"/>
      <c r="DA231" s="1366"/>
      <c r="DB231" s="1366"/>
      <c r="DC231" s="1366"/>
      <c r="DD231" s="1366"/>
      <c r="DE231" s="1366"/>
      <c r="DF231" s="1366"/>
      <c r="DG231" s="1366"/>
      <c r="DH231" s="1366"/>
      <c r="DI231" s="1366"/>
      <c r="DJ231" s="1366"/>
      <c r="DK231" s="1366"/>
      <c r="DL231" s="1366"/>
      <c r="DM231" s="1366"/>
      <c r="DN231" s="1366"/>
      <c r="DO231" s="1366"/>
      <c r="DP231" s="1366"/>
      <c r="DQ231" s="1366"/>
      <c r="DR231" s="1366"/>
      <c r="DS231" s="1366"/>
      <c r="DT231" s="1366"/>
      <c r="DU231" s="1366"/>
      <c r="DV231" s="1366"/>
    </row>
    <row r="232" spans="1:126" s="1367" customFormat="1" ht="30">
      <c r="A232" s="2494"/>
      <c r="B232" s="1653">
        <v>122</v>
      </c>
      <c r="C232" s="1642" t="s">
        <v>47</v>
      </c>
      <c r="D232" s="1375" t="s">
        <v>2275</v>
      </c>
      <c r="E232" s="1364" t="s">
        <v>2100</v>
      </c>
      <c r="F232" s="1364" t="s">
        <v>2108</v>
      </c>
      <c r="G232" s="1185" t="s">
        <v>1804</v>
      </c>
      <c r="H232" s="1361">
        <f>(('Equipment Results Matrix'!$R$683*13)+('Equipment Results Matrix'!$R$684*60000)+'Equipment Results Matrix'!$R$685+'Equipment Results Matrix'!$R$687+'Equipment Results Matrix'!$R$689+'Equipment Results Matrix'!$T$690)*(1+'Equipment Results Matrix'!$T$692)</f>
        <v>3814.4745798135386</v>
      </c>
      <c r="I232" s="1371">
        <f>0.845*5+27.129</f>
        <v>31.353999999999999</v>
      </c>
      <c r="J232" s="1372">
        <f>'Labor Results Matrix'!$G$157*(1+'Labor Results Matrix'!$K$156)</f>
        <v>90.130495877989063</v>
      </c>
      <c r="K232" s="1372">
        <f t="shared" si="49"/>
        <v>2825.9515677584691</v>
      </c>
      <c r="L232" s="1372">
        <f>(('Labor Results Matrix'!$I$156*5)+('Labor Results Matrix'!$I$158*5)+'Labor Results Matrix'!$J$156)*(1+'Labor Results Matrix'!$K$156)</f>
        <v>2431.3636515703652</v>
      </c>
      <c r="M232" s="1372">
        <f t="shared" si="50"/>
        <v>9071.7897991423724</v>
      </c>
      <c r="N232" s="1458" t="s">
        <v>40</v>
      </c>
      <c r="O232" s="1361">
        <f>H232/5</f>
        <v>762.89491596270773</v>
      </c>
      <c r="P232" s="1371">
        <f>I232/5</f>
        <v>6.2707999999999995</v>
      </c>
      <c r="Q232" s="1372">
        <f t="shared" si="53"/>
        <v>565.19031355169375</v>
      </c>
      <c r="R232" s="1372">
        <f>('Labor Results Matrix'!$I$156+'Labor Results Matrix'!$I$158)*(1+'Labor Results Matrix'!$K$156)</f>
        <v>333.68633726826795</v>
      </c>
      <c r="S232" s="1372">
        <f>'Labor Results Matrix'!$J$156*(1+'Labor Results Matrix'!$K$156)</f>
        <v>762.93196522902554</v>
      </c>
      <c r="T232" s="1372">
        <f t="shared" si="54"/>
        <v>1661.7715667826692</v>
      </c>
      <c r="U232" s="1417" t="s">
        <v>40</v>
      </c>
      <c r="V232" s="1455" t="s">
        <v>40</v>
      </c>
      <c r="W232" s="1366"/>
      <c r="X232" s="1366"/>
      <c r="Y232" s="1366"/>
      <c r="Z232" s="1366"/>
      <c r="AA232" s="1366"/>
      <c r="AB232" s="1366"/>
      <c r="AC232" s="1366"/>
      <c r="AD232" s="1366"/>
      <c r="AE232" s="1366"/>
      <c r="AF232" s="1366"/>
      <c r="AG232" s="1366"/>
      <c r="AH232" s="1366"/>
      <c r="AI232" s="1366"/>
      <c r="AJ232" s="1366"/>
      <c r="AK232" s="1366"/>
      <c r="AL232" s="1366"/>
      <c r="AM232" s="1366"/>
      <c r="AN232" s="1366"/>
      <c r="AO232" s="1366"/>
      <c r="AP232" s="1366"/>
      <c r="AQ232" s="1366"/>
      <c r="AR232" s="1366"/>
      <c r="AS232" s="1366"/>
      <c r="AT232" s="1366"/>
      <c r="AU232" s="1366"/>
      <c r="AV232" s="1366"/>
      <c r="AW232" s="1366"/>
      <c r="AX232" s="1366"/>
      <c r="AY232" s="1366"/>
      <c r="AZ232" s="1366"/>
      <c r="BA232" s="1366"/>
      <c r="BB232" s="1366"/>
      <c r="BC232" s="1366"/>
      <c r="BD232" s="1366"/>
      <c r="BE232" s="1366"/>
      <c r="BF232" s="1366"/>
      <c r="BG232" s="1366"/>
      <c r="BH232" s="1366"/>
      <c r="BI232" s="1366"/>
      <c r="BJ232" s="1366"/>
      <c r="BK232" s="1366"/>
      <c r="BL232" s="1366"/>
      <c r="BM232" s="1366"/>
      <c r="BN232" s="1366"/>
      <c r="BO232" s="1366"/>
      <c r="BP232" s="1366"/>
      <c r="BQ232" s="1366"/>
      <c r="BR232" s="1366"/>
      <c r="BS232" s="1366"/>
      <c r="BT232" s="1366"/>
      <c r="BU232" s="1366"/>
      <c r="BV232" s="1366"/>
      <c r="BW232" s="1366"/>
      <c r="BX232" s="1366"/>
      <c r="BY232" s="1366"/>
      <c r="BZ232" s="1366"/>
      <c r="CA232" s="1366"/>
      <c r="CB232" s="1366"/>
      <c r="CC232" s="1366"/>
      <c r="CD232" s="1366"/>
      <c r="CE232" s="1366"/>
      <c r="CF232" s="1366"/>
      <c r="CG232" s="1366"/>
      <c r="CH232" s="1366"/>
      <c r="CI232" s="1366"/>
      <c r="CJ232" s="1366"/>
      <c r="CK232" s="1366"/>
      <c r="CL232" s="1366"/>
      <c r="CM232" s="1366"/>
      <c r="CN232" s="1366"/>
      <c r="CO232" s="1366"/>
      <c r="CP232" s="1366"/>
      <c r="CQ232" s="1366"/>
      <c r="CR232" s="1366"/>
      <c r="CS232" s="1366"/>
      <c r="CT232" s="1366"/>
      <c r="CU232" s="1366"/>
      <c r="CV232" s="1366"/>
      <c r="CW232" s="1366"/>
      <c r="CX232" s="1366"/>
      <c r="CY232" s="1366"/>
      <c r="CZ232" s="1366"/>
      <c r="DA232" s="1366"/>
      <c r="DB232" s="1366"/>
      <c r="DC232" s="1366"/>
      <c r="DD232" s="1366"/>
      <c r="DE232" s="1366"/>
      <c r="DF232" s="1366"/>
      <c r="DG232" s="1366"/>
      <c r="DH232" s="1366"/>
      <c r="DI232" s="1366"/>
      <c r="DJ232" s="1366"/>
      <c r="DK232" s="1366"/>
      <c r="DL232" s="1366"/>
      <c r="DM232" s="1366"/>
      <c r="DN232" s="1366"/>
      <c r="DO232" s="1366"/>
      <c r="DP232" s="1366"/>
      <c r="DQ232" s="1366"/>
      <c r="DR232" s="1366"/>
      <c r="DS232" s="1366"/>
      <c r="DT232" s="1366"/>
      <c r="DU232" s="1366"/>
      <c r="DV232" s="1366"/>
    </row>
    <row r="233" spans="1:126" s="1367" customFormat="1" ht="30">
      <c r="A233" s="2494"/>
      <c r="B233" s="1653">
        <v>122</v>
      </c>
      <c r="C233" s="1642" t="s">
        <v>49</v>
      </c>
      <c r="D233" s="1375" t="s">
        <v>2276</v>
      </c>
      <c r="E233" s="1364" t="s">
        <v>2100</v>
      </c>
      <c r="F233" s="1364" t="s">
        <v>2108</v>
      </c>
      <c r="G233" s="1185" t="s">
        <v>1804</v>
      </c>
      <c r="H233" s="1361">
        <f>(('Equipment Results Matrix'!$R$683*13)+('Equipment Results Matrix'!$R$684*60000)+'Equipment Results Matrix'!$R$685+'Equipment Results Matrix'!$R$687+'Equipment Results Matrix'!$R$689+'Equipment Results Matrix'!$T$690)*(1+'Equipment Results Matrix'!$T$692)</f>
        <v>3814.4745798135386</v>
      </c>
      <c r="I233" s="1371">
        <f t="shared" ref="I233:I235" si="58">0.845*5+27.129</f>
        <v>31.353999999999999</v>
      </c>
      <c r="J233" s="1372">
        <f>'Labor Results Matrix'!$G$157*(1+'Labor Results Matrix'!$K$156)</f>
        <v>90.130495877989063</v>
      </c>
      <c r="K233" s="1372">
        <f t="shared" si="49"/>
        <v>2825.9515677584691</v>
      </c>
      <c r="L233" s="1372">
        <f>(('Labor Results Matrix'!$I$156*5)+('Labor Results Matrix'!$I$158*5)+'Labor Results Matrix'!$J$156)*(1+'Labor Results Matrix'!$K$156)</f>
        <v>2431.3636515703652</v>
      </c>
      <c r="M233" s="1372">
        <f t="shared" si="50"/>
        <v>9071.7897991423724</v>
      </c>
      <c r="N233" s="1458">
        <f>M233-$M$232</f>
        <v>0</v>
      </c>
      <c r="O233" s="1361">
        <f t="shared" ref="O233:O235" si="59">H233/5</f>
        <v>762.89491596270773</v>
      </c>
      <c r="P233" s="1371">
        <f t="shared" ref="P233:P235" si="60">I233/5</f>
        <v>6.2707999999999995</v>
      </c>
      <c r="Q233" s="1372">
        <f t="shared" si="53"/>
        <v>565.19031355169375</v>
      </c>
      <c r="R233" s="1372">
        <f>('Labor Results Matrix'!$I$156+'Labor Results Matrix'!$I$158)*(1+'Labor Results Matrix'!$K$156)</f>
        <v>333.68633726826795</v>
      </c>
      <c r="S233" s="1372">
        <f>'Labor Results Matrix'!$J$156*(1+'Labor Results Matrix'!$K$156)</f>
        <v>762.93196522902554</v>
      </c>
      <c r="T233" s="1372">
        <f t="shared" si="54"/>
        <v>1661.7715667826692</v>
      </c>
      <c r="U233" s="1372">
        <f>T233-$T$232</f>
        <v>0</v>
      </c>
      <c r="V233" s="1458">
        <f>S233-S232</f>
        <v>0</v>
      </c>
      <c r="W233" s="1366"/>
      <c r="X233" s="1366"/>
      <c r="Y233" s="1366"/>
      <c r="Z233" s="1366"/>
      <c r="AA233" s="1366"/>
      <c r="AB233" s="1366"/>
      <c r="AC233" s="1366"/>
      <c r="AD233" s="1366"/>
      <c r="AE233" s="1366"/>
      <c r="AF233" s="1366"/>
      <c r="AG233" s="1366"/>
      <c r="AH233" s="1366"/>
      <c r="AI233" s="1366"/>
      <c r="AJ233" s="1366"/>
      <c r="AK233" s="1366"/>
      <c r="AL233" s="1366"/>
      <c r="AM233" s="1366"/>
      <c r="AN233" s="1366"/>
      <c r="AO233" s="1366"/>
      <c r="AP233" s="1366"/>
      <c r="AQ233" s="1366"/>
      <c r="AR233" s="1366"/>
      <c r="AS233" s="1366"/>
      <c r="AT233" s="1366"/>
      <c r="AU233" s="1366"/>
      <c r="AV233" s="1366"/>
      <c r="AW233" s="1366"/>
      <c r="AX233" s="1366"/>
      <c r="AY233" s="1366"/>
      <c r="AZ233" s="1366"/>
      <c r="BA233" s="1366"/>
      <c r="BB233" s="1366"/>
      <c r="BC233" s="1366"/>
      <c r="BD233" s="1366"/>
      <c r="BE233" s="1366"/>
      <c r="BF233" s="1366"/>
      <c r="BG233" s="1366"/>
      <c r="BH233" s="1366"/>
      <c r="BI233" s="1366"/>
      <c r="BJ233" s="1366"/>
      <c r="BK233" s="1366"/>
      <c r="BL233" s="1366"/>
      <c r="BM233" s="1366"/>
      <c r="BN233" s="1366"/>
      <c r="BO233" s="1366"/>
      <c r="BP233" s="1366"/>
      <c r="BQ233" s="1366"/>
      <c r="BR233" s="1366"/>
      <c r="BS233" s="1366"/>
      <c r="BT233" s="1366"/>
      <c r="BU233" s="1366"/>
      <c r="BV233" s="1366"/>
      <c r="BW233" s="1366"/>
      <c r="BX233" s="1366"/>
      <c r="BY233" s="1366"/>
      <c r="BZ233" s="1366"/>
      <c r="CA233" s="1366"/>
      <c r="CB233" s="1366"/>
      <c r="CC233" s="1366"/>
      <c r="CD233" s="1366"/>
      <c r="CE233" s="1366"/>
      <c r="CF233" s="1366"/>
      <c r="CG233" s="1366"/>
      <c r="CH233" s="1366"/>
      <c r="CI233" s="1366"/>
      <c r="CJ233" s="1366"/>
      <c r="CK233" s="1366"/>
      <c r="CL233" s="1366"/>
      <c r="CM233" s="1366"/>
      <c r="CN233" s="1366"/>
      <c r="CO233" s="1366"/>
      <c r="CP233" s="1366"/>
      <c r="CQ233" s="1366"/>
      <c r="CR233" s="1366"/>
      <c r="CS233" s="1366"/>
      <c r="CT233" s="1366"/>
      <c r="CU233" s="1366"/>
      <c r="CV233" s="1366"/>
      <c r="CW233" s="1366"/>
      <c r="CX233" s="1366"/>
      <c r="CY233" s="1366"/>
      <c r="CZ233" s="1366"/>
      <c r="DA233" s="1366"/>
      <c r="DB233" s="1366"/>
      <c r="DC233" s="1366"/>
      <c r="DD233" s="1366"/>
      <c r="DE233" s="1366"/>
      <c r="DF233" s="1366"/>
      <c r="DG233" s="1366"/>
      <c r="DH233" s="1366"/>
      <c r="DI233" s="1366"/>
      <c r="DJ233" s="1366"/>
      <c r="DK233" s="1366"/>
      <c r="DL233" s="1366"/>
      <c r="DM233" s="1366"/>
      <c r="DN233" s="1366"/>
      <c r="DO233" s="1366"/>
      <c r="DP233" s="1366"/>
      <c r="DQ233" s="1366"/>
      <c r="DR233" s="1366"/>
      <c r="DS233" s="1366"/>
      <c r="DT233" s="1366"/>
      <c r="DU233" s="1366"/>
      <c r="DV233" s="1366"/>
    </row>
    <row r="234" spans="1:126" s="1367" customFormat="1" ht="30">
      <c r="A234" s="2494"/>
      <c r="B234" s="1653">
        <v>123</v>
      </c>
      <c r="C234" s="1642" t="s">
        <v>47</v>
      </c>
      <c r="D234" s="1375" t="s">
        <v>2277</v>
      </c>
      <c r="E234" s="1364" t="s">
        <v>2097</v>
      </c>
      <c r="F234" s="1364" t="s">
        <v>2108</v>
      </c>
      <c r="G234" s="1185" t="s">
        <v>1804</v>
      </c>
      <c r="H234" s="1361">
        <f>(('Equipment Results Matrix'!$R$683*14)+('Equipment Results Matrix'!$R$684*60000)+'Equipment Results Matrix'!$R$685+'Equipment Results Matrix'!$R$687+'Equipment Results Matrix'!$R$689+'Equipment Results Matrix'!$T$690)*(1+'Equipment Results Matrix'!$T$692)</f>
        <v>4176.2417673135396</v>
      </c>
      <c r="I234" s="1371">
        <f t="shared" si="58"/>
        <v>31.353999999999999</v>
      </c>
      <c r="J234" s="1372">
        <f>'Labor Results Matrix'!$G$157*(1+'Labor Results Matrix'!$K$156)</f>
        <v>90.130495877989063</v>
      </c>
      <c r="K234" s="1372">
        <f t="shared" si="49"/>
        <v>2825.9515677584691</v>
      </c>
      <c r="L234" s="1372">
        <f>(('Labor Results Matrix'!$I$156*5)+('Labor Results Matrix'!$I$158*5)+'Labor Results Matrix'!$J$156)*(1+'Labor Results Matrix'!$K$156)</f>
        <v>2431.3636515703652</v>
      </c>
      <c r="M234" s="1372">
        <f t="shared" si="50"/>
        <v>9433.5569866423739</v>
      </c>
      <c r="N234" s="1458" t="s">
        <v>40</v>
      </c>
      <c r="O234" s="1361">
        <f t="shared" si="59"/>
        <v>835.24835346270788</v>
      </c>
      <c r="P234" s="1371">
        <f t="shared" si="60"/>
        <v>6.2707999999999995</v>
      </c>
      <c r="Q234" s="1372">
        <f t="shared" si="53"/>
        <v>565.19031355169375</v>
      </c>
      <c r="R234" s="1372">
        <f>('Labor Results Matrix'!$I$156+'Labor Results Matrix'!$I$158)*(1+'Labor Results Matrix'!$K$156)</f>
        <v>333.68633726826795</v>
      </c>
      <c r="S234" s="1372">
        <f>'Labor Results Matrix'!$J$156*(1+'Labor Results Matrix'!$K$156)</f>
        <v>762.93196522902554</v>
      </c>
      <c r="T234" s="1372">
        <f t="shared" si="54"/>
        <v>1734.1250042826696</v>
      </c>
      <c r="U234" s="1417" t="s">
        <v>40</v>
      </c>
      <c r="V234" s="1455" t="s">
        <v>40</v>
      </c>
      <c r="W234" s="1366"/>
      <c r="X234" s="1366"/>
      <c r="Y234" s="1366"/>
      <c r="Z234" s="1366"/>
      <c r="AA234" s="1366"/>
      <c r="AB234" s="1366"/>
      <c r="AC234" s="1366"/>
      <c r="AD234" s="1366"/>
      <c r="AE234" s="1366"/>
      <c r="AF234" s="1366"/>
      <c r="AG234" s="1366"/>
      <c r="AH234" s="1366"/>
      <c r="AI234" s="1366"/>
      <c r="AJ234" s="1366"/>
      <c r="AK234" s="1366"/>
      <c r="AL234" s="1366"/>
      <c r="AM234" s="1366"/>
      <c r="AN234" s="1366"/>
      <c r="AO234" s="1366"/>
      <c r="AP234" s="1366"/>
      <c r="AQ234" s="1366"/>
      <c r="AR234" s="1366"/>
      <c r="AS234" s="1366"/>
      <c r="AT234" s="1366"/>
      <c r="AU234" s="1366"/>
      <c r="AV234" s="1366"/>
      <c r="AW234" s="1366"/>
      <c r="AX234" s="1366"/>
      <c r="AY234" s="1366"/>
      <c r="AZ234" s="1366"/>
      <c r="BA234" s="1366"/>
      <c r="BB234" s="1366"/>
      <c r="BC234" s="1366"/>
      <c r="BD234" s="1366"/>
      <c r="BE234" s="1366"/>
      <c r="BF234" s="1366"/>
      <c r="BG234" s="1366"/>
      <c r="BH234" s="1366"/>
      <c r="BI234" s="1366"/>
      <c r="BJ234" s="1366"/>
      <c r="BK234" s="1366"/>
      <c r="BL234" s="1366"/>
      <c r="BM234" s="1366"/>
      <c r="BN234" s="1366"/>
      <c r="BO234" s="1366"/>
      <c r="BP234" s="1366"/>
      <c r="BQ234" s="1366"/>
      <c r="BR234" s="1366"/>
      <c r="BS234" s="1366"/>
      <c r="BT234" s="1366"/>
      <c r="BU234" s="1366"/>
      <c r="BV234" s="1366"/>
      <c r="BW234" s="1366"/>
      <c r="BX234" s="1366"/>
      <c r="BY234" s="1366"/>
      <c r="BZ234" s="1366"/>
      <c r="CA234" s="1366"/>
      <c r="CB234" s="1366"/>
      <c r="CC234" s="1366"/>
      <c r="CD234" s="1366"/>
      <c r="CE234" s="1366"/>
      <c r="CF234" s="1366"/>
      <c r="CG234" s="1366"/>
      <c r="CH234" s="1366"/>
      <c r="CI234" s="1366"/>
      <c r="CJ234" s="1366"/>
      <c r="CK234" s="1366"/>
      <c r="CL234" s="1366"/>
      <c r="CM234" s="1366"/>
      <c r="CN234" s="1366"/>
      <c r="CO234" s="1366"/>
      <c r="CP234" s="1366"/>
      <c r="CQ234" s="1366"/>
      <c r="CR234" s="1366"/>
      <c r="CS234" s="1366"/>
      <c r="CT234" s="1366"/>
      <c r="CU234" s="1366"/>
      <c r="CV234" s="1366"/>
      <c r="CW234" s="1366"/>
      <c r="CX234" s="1366"/>
      <c r="CY234" s="1366"/>
      <c r="CZ234" s="1366"/>
      <c r="DA234" s="1366"/>
      <c r="DB234" s="1366"/>
      <c r="DC234" s="1366"/>
      <c r="DD234" s="1366"/>
      <c r="DE234" s="1366"/>
      <c r="DF234" s="1366"/>
      <c r="DG234" s="1366"/>
      <c r="DH234" s="1366"/>
      <c r="DI234" s="1366"/>
      <c r="DJ234" s="1366"/>
      <c r="DK234" s="1366"/>
      <c r="DL234" s="1366"/>
      <c r="DM234" s="1366"/>
      <c r="DN234" s="1366"/>
      <c r="DO234" s="1366"/>
      <c r="DP234" s="1366"/>
      <c r="DQ234" s="1366"/>
      <c r="DR234" s="1366"/>
      <c r="DS234" s="1366"/>
      <c r="DT234" s="1366"/>
      <c r="DU234" s="1366"/>
      <c r="DV234" s="1366"/>
    </row>
    <row r="235" spans="1:126" s="1367" customFormat="1" ht="30.75" thickBot="1">
      <c r="A235" s="2495"/>
      <c r="B235" s="1653">
        <v>123</v>
      </c>
      <c r="C235" s="1642" t="s">
        <v>49</v>
      </c>
      <c r="D235" s="1375" t="s">
        <v>2278</v>
      </c>
      <c r="E235" s="1364" t="s">
        <v>2097</v>
      </c>
      <c r="F235" s="1364" t="s">
        <v>2108</v>
      </c>
      <c r="G235" s="1185" t="s">
        <v>1804</v>
      </c>
      <c r="H235" s="1361">
        <f>(('Equipment Results Matrix'!$R$683*14)+('Equipment Results Matrix'!$R$684*60000)+'Equipment Results Matrix'!$R$685+'Equipment Results Matrix'!$R$687+'Equipment Results Matrix'!$R$689+'Equipment Results Matrix'!$T$690)*(1+'Equipment Results Matrix'!$T$692)</f>
        <v>4176.2417673135396</v>
      </c>
      <c r="I235" s="1371">
        <f t="shared" si="58"/>
        <v>31.353999999999999</v>
      </c>
      <c r="J235" s="1372">
        <f>'Labor Results Matrix'!$G$157*(1+'Labor Results Matrix'!$K$156)</f>
        <v>90.130495877989063</v>
      </c>
      <c r="K235" s="1372">
        <f t="shared" si="49"/>
        <v>2825.9515677584691</v>
      </c>
      <c r="L235" s="1372">
        <f>(('Labor Results Matrix'!$I$156*5)+('Labor Results Matrix'!$I$158*5)+'Labor Results Matrix'!$J$156)*(1+'Labor Results Matrix'!$K$156)</f>
        <v>2431.3636515703652</v>
      </c>
      <c r="M235" s="1372">
        <f t="shared" si="50"/>
        <v>9433.5569866423739</v>
      </c>
      <c r="N235" s="1458">
        <f>M235-$M$234</f>
        <v>0</v>
      </c>
      <c r="O235" s="1361">
        <f t="shared" si="59"/>
        <v>835.24835346270788</v>
      </c>
      <c r="P235" s="1371">
        <f t="shared" si="60"/>
        <v>6.2707999999999995</v>
      </c>
      <c r="Q235" s="1372">
        <f t="shared" si="53"/>
        <v>565.19031355169375</v>
      </c>
      <c r="R235" s="1372">
        <f>('Labor Results Matrix'!$I$156+'Labor Results Matrix'!$I$158)*(1+'Labor Results Matrix'!$K$156)</f>
        <v>333.68633726826795</v>
      </c>
      <c r="S235" s="1372">
        <f>'Labor Results Matrix'!$J$156*(1+'Labor Results Matrix'!$K$156)</f>
        <v>762.93196522902554</v>
      </c>
      <c r="T235" s="1372">
        <f t="shared" si="54"/>
        <v>1734.1250042826696</v>
      </c>
      <c r="U235" s="1372">
        <f>T235-$T$234</f>
        <v>0</v>
      </c>
      <c r="V235" s="1458">
        <f>S235-S234</f>
        <v>0</v>
      </c>
      <c r="W235" s="1366"/>
      <c r="X235" s="1366"/>
      <c r="Y235" s="1366"/>
      <c r="Z235" s="1366"/>
      <c r="AA235" s="1366"/>
      <c r="AB235" s="1366"/>
      <c r="AC235" s="1366"/>
      <c r="AD235" s="1366"/>
      <c r="AE235" s="1366"/>
      <c r="AF235" s="1366"/>
      <c r="AG235" s="1366"/>
      <c r="AH235" s="1366"/>
      <c r="AI235" s="1366"/>
      <c r="AJ235" s="1366"/>
      <c r="AK235" s="1366"/>
      <c r="AL235" s="1366"/>
      <c r="AM235" s="1366"/>
      <c r="AN235" s="1366"/>
      <c r="AO235" s="1366"/>
      <c r="AP235" s="1366"/>
      <c r="AQ235" s="1366"/>
      <c r="AR235" s="1366"/>
      <c r="AS235" s="1366"/>
      <c r="AT235" s="1366"/>
      <c r="AU235" s="1366"/>
      <c r="AV235" s="1366"/>
      <c r="AW235" s="1366"/>
      <c r="AX235" s="1366"/>
      <c r="AY235" s="1366"/>
      <c r="AZ235" s="1366"/>
      <c r="BA235" s="1366"/>
      <c r="BB235" s="1366"/>
      <c r="BC235" s="1366"/>
      <c r="BD235" s="1366"/>
      <c r="BE235" s="1366"/>
      <c r="BF235" s="1366"/>
      <c r="BG235" s="1366"/>
      <c r="BH235" s="1366"/>
      <c r="BI235" s="1366"/>
      <c r="BJ235" s="1366"/>
      <c r="BK235" s="1366"/>
      <c r="BL235" s="1366"/>
      <c r="BM235" s="1366"/>
      <c r="BN235" s="1366"/>
      <c r="BO235" s="1366"/>
      <c r="BP235" s="1366"/>
      <c r="BQ235" s="1366"/>
      <c r="BR235" s="1366"/>
      <c r="BS235" s="1366"/>
      <c r="BT235" s="1366"/>
      <c r="BU235" s="1366"/>
      <c r="BV235" s="1366"/>
      <c r="BW235" s="1366"/>
      <c r="BX235" s="1366"/>
      <c r="BY235" s="1366"/>
      <c r="BZ235" s="1366"/>
      <c r="CA235" s="1366"/>
      <c r="CB235" s="1366"/>
      <c r="CC235" s="1366"/>
      <c r="CD235" s="1366"/>
      <c r="CE235" s="1366"/>
      <c r="CF235" s="1366"/>
      <c r="CG235" s="1366"/>
      <c r="CH235" s="1366"/>
      <c r="CI235" s="1366"/>
      <c r="CJ235" s="1366"/>
      <c r="CK235" s="1366"/>
      <c r="CL235" s="1366"/>
      <c r="CM235" s="1366"/>
      <c r="CN235" s="1366"/>
      <c r="CO235" s="1366"/>
      <c r="CP235" s="1366"/>
      <c r="CQ235" s="1366"/>
      <c r="CR235" s="1366"/>
      <c r="CS235" s="1366"/>
      <c r="CT235" s="1366"/>
      <c r="CU235" s="1366"/>
      <c r="CV235" s="1366"/>
      <c r="CW235" s="1366"/>
      <c r="CX235" s="1366"/>
      <c r="CY235" s="1366"/>
      <c r="CZ235" s="1366"/>
      <c r="DA235" s="1366"/>
      <c r="DB235" s="1366"/>
      <c r="DC235" s="1366"/>
      <c r="DD235" s="1366"/>
      <c r="DE235" s="1366"/>
      <c r="DF235" s="1366"/>
      <c r="DG235" s="1366"/>
      <c r="DH235" s="1366"/>
      <c r="DI235" s="1366"/>
      <c r="DJ235" s="1366"/>
      <c r="DK235" s="1366"/>
      <c r="DL235" s="1366"/>
      <c r="DM235" s="1366"/>
      <c r="DN235" s="1366"/>
      <c r="DO235" s="1366"/>
      <c r="DP235" s="1366"/>
      <c r="DQ235" s="1366"/>
      <c r="DR235" s="1366"/>
      <c r="DS235" s="1366"/>
      <c r="DT235" s="1366"/>
      <c r="DU235" s="1366"/>
      <c r="DV235" s="1366"/>
    </row>
    <row r="236" spans="1:126" s="1479" customFormat="1" ht="19.5" thickBot="1">
      <c r="A236" s="695"/>
      <c r="B236" s="1652"/>
      <c r="C236" s="1652"/>
      <c r="D236" s="1318"/>
      <c r="E236" s="1318"/>
      <c r="F236" s="1318"/>
      <c r="G236" s="1318"/>
      <c r="H236" s="1389"/>
      <c r="I236" s="1446"/>
      <c r="J236" s="1390"/>
      <c r="K236" s="1389"/>
      <c r="L236" s="1532"/>
      <c r="M236" s="1389"/>
      <c r="N236" s="1497"/>
      <c r="O236" s="1389"/>
      <c r="P236" s="1390"/>
      <c r="Q236" s="1390"/>
      <c r="R236" s="1446"/>
      <c r="S236" s="1446"/>
      <c r="T236" s="1498"/>
      <c r="U236" s="1498"/>
      <c r="V236" s="1497"/>
      <c r="W236" s="1490"/>
      <c r="X236" s="1490"/>
      <c r="Y236" s="327"/>
      <c r="Z236" s="327"/>
      <c r="AA236" s="327"/>
      <c r="AB236" s="1490"/>
      <c r="AC236" s="1490"/>
      <c r="AD236" s="1490"/>
      <c r="AE236" s="1490"/>
      <c r="AF236" s="327"/>
      <c r="AG236" s="327"/>
      <c r="AH236" s="327"/>
      <c r="AI236" s="327"/>
      <c r="AJ236" s="327"/>
      <c r="AK236" s="1478"/>
      <c r="AL236" s="1478"/>
      <c r="AM236" s="1478"/>
      <c r="AN236" s="1478"/>
      <c r="AO236" s="1478"/>
      <c r="AP236" s="1478"/>
      <c r="AQ236" s="1478"/>
      <c r="AR236" s="1478"/>
      <c r="AS236" s="1478"/>
      <c r="AT236" s="1478"/>
      <c r="AU236" s="1478"/>
      <c r="AV236" s="1478"/>
      <c r="AW236" s="1478"/>
      <c r="AX236" s="1478"/>
      <c r="AY236" s="1478"/>
      <c r="AZ236" s="1478"/>
      <c r="BA236" s="1478"/>
      <c r="BB236" s="1478"/>
      <c r="BC236" s="1478"/>
      <c r="BD236" s="1478"/>
      <c r="BE236" s="1478"/>
      <c r="BF236" s="1478"/>
      <c r="BG236" s="1478"/>
      <c r="BH236" s="1478"/>
      <c r="BI236" s="1478"/>
      <c r="BJ236" s="1478"/>
      <c r="BK236" s="327"/>
      <c r="BL236" s="327"/>
      <c r="BM236" s="327"/>
      <c r="BN236" s="327"/>
      <c r="BO236" s="327"/>
      <c r="BP236" s="327"/>
      <c r="BQ236" s="327"/>
      <c r="BR236" s="327"/>
      <c r="BS236" s="327"/>
      <c r="BT236" s="327"/>
      <c r="BU236" s="327"/>
      <c r="BV236" s="327"/>
      <c r="BW236" s="327"/>
      <c r="BX236" s="327"/>
      <c r="BY236" s="327"/>
      <c r="BZ236" s="327"/>
      <c r="CA236" s="327"/>
      <c r="CB236" s="327"/>
      <c r="CC236" s="327"/>
      <c r="CD236" s="327"/>
      <c r="CE236" s="327"/>
      <c r="CF236" s="327"/>
      <c r="CG236" s="327"/>
      <c r="CH236" s="327"/>
      <c r="CI236" s="327"/>
      <c r="CJ236" s="327"/>
      <c r="CK236" s="327"/>
      <c r="CL236" s="327"/>
      <c r="CM236" s="327"/>
      <c r="CN236" s="327"/>
      <c r="CO236" s="327"/>
      <c r="CP236" s="327"/>
      <c r="CQ236" s="327"/>
      <c r="CR236" s="327"/>
      <c r="CS236" s="327"/>
      <c r="CT236" s="327"/>
      <c r="CU236" s="327"/>
      <c r="CV236" s="327"/>
      <c r="CW236" s="327"/>
      <c r="CX236" s="327"/>
      <c r="CY236" s="327"/>
      <c r="CZ236" s="327"/>
      <c r="DA236" s="327"/>
      <c r="DB236" s="327"/>
      <c r="DC236" s="327"/>
      <c r="DD236" s="327"/>
      <c r="DE236" s="327"/>
      <c r="DF236" s="327"/>
      <c r="DG236" s="327"/>
      <c r="DH236" s="327"/>
      <c r="DI236" s="327"/>
      <c r="DJ236" s="327"/>
      <c r="DK236" s="327"/>
      <c r="DL236" s="327"/>
      <c r="DM236" s="327"/>
      <c r="DN236" s="327"/>
      <c r="DO236" s="327"/>
      <c r="DP236" s="327"/>
      <c r="DQ236" s="327"/>
      <c r="DR236" s="327"/>
      <c r="DS236" s="327"/>
      <c r="DT236" s="327"/>
      <c r="DU236" s="327"/>
      <c r="DV236" s="327"/>
    </row>
    <row r="237" spans="1:126" s="1367" customFormat="1" ht="30">
      <c r="A237" s="2493" t="s">
        <v>1137</v>
      </c>
      <c r="B237" s="1653" t="s">
        <v>2279</v>
      </c>
      <c r="C237" s="1642" t="s">
        <v>47</v>
      </c>
      <c r="D237" s="1375" t="s">
        <v>2283</v>
      </c>
      <c r="E237" s="1364" t="s">
        <v>2266</v>
      </c>
      <c r="F237" s="1364" t="s">
        <v>2108</v>
      </c>
      <c r="G237" s="1185" t="s">
        <v>1804</v>
      </c>
      <c r="H237" s="1361">
        <f>((11*'Equipment Results Matrix'!$R$696)+(72000*'Equipment Results Matrix'!$R$697)+'Equipment Results Matrix'!$R$698+'Equipment Results Matrix'!$R$700+'Equipment Results Matrix'!$R$702+'Equipment Results Matrix'!$T$703)*(1+'Equipment Results Matrix'!$T$705)</f>
        <v>4337.2975596279139</v>
      </c>
      <c r="I237" s="1371">
        <f>0.845*6+27.129</f>
        <v>32.198999999999998</v>
      </c>
      <c r="J237" s="1372">
        <f>'Labor Results Matrix'!$G$170*(1+'Labor Results Matrix'!$K$169)</f>
        <v>90.130495877989063</v>
      </c>
      <c r="K237" s="1388">
        <f>I237*J237</f>
        <v>2902.1118367753697</v>
      </c>
      <c r="L237" s="1372">
        <f>((('Labor Results Matrix'!$I$169+'Labor Results Matrix'!$I$171)*6)+'Labor Results Matrix'!$J$169)*(1+'Labor Results Matrix'!$K$169)</f>
        <v>2686.4190619302267</v>
      </c>
      <c r="M237" s="1372">
        <f>H237+K237+L237</f>
        <v>9925.8284583335098</v>
      </c>
      <c r="N237" s="1455" t="s">
        <v>40</v>
      </c>
      <c r="O237" s="1361">
        <f>H237/6</f>
        <v>722.88292660465231</v>
      </c>
      <c r="P237" s="1371">
        <f>I237/6</f>
        <v>5.3664999999999994</v>
      </c>
      <c r="Q237" s="1388">
        <f>P237*J237</f>
        <v>483.68530612922825</v>
      </c>
      <c r="R237" s="1372">
        <f>('Labor Results Matrix'!$I$169+'Labor Results Matrix'!$I$171)*(1+'Labor Results Matrix'!$K$169)</f>
        <v>320.58118278353345</v>
      </c>
      <c r="S237" s="1372">
        <f>'Labor Results Matrix'!$J$169*(1+'Labor Results Matrix'!$K$169)</f>
        <v>762.93196522902554</v>
      </c>
      <c r="T237" s="1372">
        <f t="shared" si="54"/>
        <v>1527.1494155174139</v>
      </c>
      <c r="U237" s="1417" t="s">
        <v>40</v>
      </c>
      <c r="V237" s="1455" t="s">
        <v>40</v>
      </c>
      <c r="W237" s="1366"/>
      <c r="X237" s="1512"/>
      <c r="Y237" s="1366"/>
      <c r="Z237" s="1366"/>
      <c r="AA237" s="1366"/>
      <c r="AB237" s="1366"/>
      <c r="AC237" s="1366"/>
      <c r="AD237" s="1366"/>
      <c r="AE237" s="1366"/>
      <c r="AF237" s="1366"/>
      <c r="AG237" s="1366"/>
      <c r="AH237" s="1366"/>
      <c r="AI237" s="1366"/>
      <c r="AJ237" s="1366"/>
      <c r="AK237" s="1366"/>
      <c r="AL237" s="1366"/>
      <c r="AM237" s="1366"/>
      <c r="AN237" s="1366"/>
      <c r="AO237" s="1366"/>
      <c r="AP237" s="1366"/>
      <c r="AQ237" s="1366"/>
      <c r="AR237" s="1366"/>
      <c r="AS237" s="1366"/>
      <c r="AT237" s="1366"/>
      <c r="AU237" s="1366"/>
      <c r="AV237" s="1366"/>
      <c r="AW237" s="1366"/>
      <c r="AX237" s="1366"/>
      <c r="AY237" s="1366"/>
      <c r="AZ237" s="1366"/>
      <c r="BA237" s="1366"/>
      <c r="BB237" s="1366"/>
      <c r="BC237" s="1366"/>
      <c r="BD237" s="1366"/>
      <c r="BE237" s="1366"/>
      <c r="BF237" s="1366"/>
      <c r="BG237" s="1366"/>
      <c r="BH237" s="1366"/>
      <c r="BI237" s="1366"/>
      <c r="BJ237" s="1366"/>
      <c r="BK237" s="1366"/>
      <c r="BL237" s="1366"/>
      <c r="BM237" s="1366"/>
      <c r="BN237" s="1366"/>
      <c r="BO237" s="1366"/>
      <c r="BP237" s="1366"/>
      <c r="BQ237" s="1366"/>
      <c r="BR237" s="1366"/>
      <c r="BS237" s="1366"/>
      <c r="BT237" s="1366"/>
      <c r="BU237" s="1366"/>
      <c r="BV237" s="1366"/>
      <c r="BW237" s="1366"/>
      <c r="BX237" s="1366"/>
      <c r="BY237" s="1366"/>
      <c r="BZ237" s="1366"/>
      <c r="CA237" s="1366"/>
      <c r="CB237" s="1366"/>
      <c r="CC237" s="1366"/>
      <c r="CD237" s="1366"/>
      <c r="CE237" s="1366"/>
      <c r="CF237" s="1366"/>
      <c r="CG237" s="1366"/>
      <c r="CH237" s="1366"/>
      <c r="CI237" s="1366"/>
      <c r="CJ237" s="1366"/>
      <c r="CK237" s="1366"/>
      <c r="CL237" s="1366"/>
      <c r="CM237" s="1366"/>
      <c r="CN237" s="1366"/>
      <c r="CO237" s="1366"/>
      <c r="CP237" s="1366"/>
      <c r="CQ237" s="1366"/>
      <c r="CR237" s="1366"/>
      <c r="CS237" s="1366"/>
      <c r="CT237" s="1366"/>
      <c r="CU237" s="1366"/>
      <c r="CV237" s="1366"/>
      <c r="CW237" s="1366"/>
      <c r="CX237" s="1366"/>
      <c r="CY237" s="1366"/>
      <c r="CZ237" s="1366"/>
      <c r="DA237" s="1366"/>
      <c r="DB237" s="1366"/>
      <c r="DC237" s="1366"/>
      <c r="DD237" s="1366"/>
      <c r="DE237" s="1366"/>
      <c r="DF237" s="1366"/>
      <c r="DG237" s="1366"/>
      <c r="DH237" s="1366"/>
      <c r="DI237" s="1366"/>
      <c r="DJ237" s="1366"/>
      <c r="DK237" s="1366"/>
      <c r="DL237" s="1366"/>
      <c r="DM237" s="1366"/>
      <c r="DN237" s="1366"/>
      <c r="DO237" s="1366"/>
      <c r="DP237" s="1366"/>
      <c r="DQ237" s="1366"/>
      <c r="DR237" s="1366"/>
      <c r="DS237" s="1366"/>
      <c r="DT237" s="1366"/>
      <c r="DU237" s="1366"/>
      <c r="DV237" s="1366"/>
    </row>
    <row r="238" spans="1:126" s="1367" customFormat="1" ht="30">
      <c r="A238" s="2494"/>
      <c r="B238" s="1653">
        <v>94</v>
      </c>
      <c r="C238" s="1642" t="s">
        <v>49</v>
      </c>
      <c r="D238" s="1375" t="s">
        <v>2284</v>
      </c>
      <c r="E238" s="1364" t="s">
        <v>2100</v>
      </c>
      <c r="F238" s="1364" t="s">
        <v>2108</v>
      </c>
      <c r="G238" s="1185" t="s">
        <v>1804</v>
      </c>
      <c r="H238" s="1361">
        <f>((11*'Equipment Results Matrix'!$R$696)+(72000*'Equipment Results Matrix'!$R$697)+'Equipment Results Matrix'!$R$698+'Equipment Results Matrix'!$R$700+'Equipment Results Matrix'!$R$702+'Equipment Results Matrix'!$T$703)*(1+'Equipment Results Matrix'!$T$705)</f>
        <v>4337.2975596279139</v>
      </c>
      <c r="I238" s="1371">
        <f t="shared" ref="I238:I243" si="61">0.845*6+27.129</f>
        <v>32.198999999999998</v>
      </c>
      <c r="J238" s="1372">
        <f>'Labor Results Matrix'!$G$170*(1+'Labor Results Matrix'!$K$169)</f>
        <v>90.130495877989063</v>
      </c>
      <c r="K238" s="1388">
        <f t="shared" ref="K238:K262" si="62">I238*J238</f>
        <v>2902.1118367753697</v>
      </c>
      <c r="L238" s="1372">
        <f>((('Labor Results Matrix'!$I$169+'Labor Results Matrix'!$I$171)*6)+'Labor Results Matrix'!$J$169)*(1+'Labor Results Matrix'!$K$169)</f>
        <v>2686.4190619302267</v>
      </c>
      <c r="M238" s="1372">
        <f t="shared" ref="M238:M262" si="63">H238+K238+L238</f>
        <v>9925.8284583335098</v>
      </c>
      <c r="N238" s="1458">
        <f>M238-$M$237</f>
        <v>0</v>
      </c>
      <c r="O238" s="1361">
        <f t="shared" ref="O238:O243" si="64">H238/6</f>
        <v>722.88292660465231</v>
      </c>
      <c r="P238" s="1371">
        <f t="shared" ref="P238:P243" si="65">I238/6</f>
        <v>5.3664999999999994</v>
      </c>
      <c r="Q238" s="1388">
        <f t="shared" ref="Q238:Q262" si="66">P238*J238</f>
        <v>483.68530612922825</v>
      </c>
      <c r="R238" s="1372">
        <f>('Labor Results Matrix'!$I$169+'Labor Results Matrix'!$I$171)*(1+'Labor Results Matrix'!$K$169)</f>
        <v>320.58118278353345</v>
      </c>
      <c r="S238" s="1372">
        <f>'Labor Results Matrix'!$J$169*(1+'Labor Results Matrix'!$K$169)</f>
        <v>762.93196522902554</v>
      </c>
      <c r="T238" s="1372">
        <f t="shared" si="54"/>
        <v>1527.1494155174139</v>
      </c>
      <c r="U238" s="1372">
        <f>T238-$T$237</f>
        <v>0</v>
      </c>
      <c r="V238" s="1458">
        <f>S238-$S$237</f>
        <v>0</v>
      </c>
      <c r="W238" s="1366"/>
      <c r="X238" s="1366"/>
      <c r="Y238" s="1366"/>
      <c r="Z238" s="1366"/>
      <c r="AA238" s="1366"/>
      <c r="AB238" s="1366"/>
      <c r="AC238" s="1366"/>
      <c r="AD238" s="1366"/>
      <c r="AE238" s="1366"/>
      <c r="AF238" s="1366"/>
      <c r="AG238" s="1366"/>
      <c r="AH238" s="1366"/>
      <c r="AI238" s="1366"/>
      <c r="AJ238" s="1366"/>
      <c r="AK238" s="1366"/>
      <c r="AL238" s="1366"/>
      <c r="AM238" s="1366"/>
      <c r="AN238" s="1366"/>
      <c r="AO238" s="1366"/>
      <c r="AP238" s="1366"/>
      <c r="AQ238" s="1366"/>
      <c r="AR238" s="1366"/>
      <c r="AS238" s="1366"/>
      <c r="AT238" s="1366"/>
      <c r="AU238" s="1366"/>
      <c r="AV238" s="1366"/>
      <c r="AW238" s="1366"/>
      <c r="AX238" s="1366"/>
      <c r="AY238" s="1366"/>
      <c r="AZ238" s="1366"/>
      <c r="BA238" s="1366"/>
      <c r="BB238" s="1366"/>
      <c r="BC238" s="1366"/>
      <c r="BD238" s="1366"/>
      <c r="BE238" s="1366"/>
      <c r="BF238" s="1366"/>
      <c r="BG238" s="1366"/>
      <c r="BH238" s="1366"/>
      <c r="BI238" s="1366"/>
      <c r="BJ238" s="1366"/>
      <c r="BK238" s="1366"/>
      <c r="BL238" s="1366"/>
      <c r="BM238" s="1366"/>
      <c r="BN238" s="1366"/>
      <c r="BO238" s="1366"/>
      <c r="BP238" s="1366"/>
      <c r="BQ238" s="1366"/>
      <c r="BR238" s="1366"/>
      <c r="BS238" s="1366"/>
      <c r="BT238" s="1366"/>
      <c r="BU238" s="1366"/>
      <c r="BV238" s="1366"/>
      <c r="BW238" s="1366"/>
      <c r="BX238" s="1366"/>
      <c r="BY238" s="1366"/>
      <c r="BZ238" s="1366"/>
      <c r="CA238" s="1366"/>
      <c r="CB238" s="1366"/>
      <c r="CC238" s="1366"/>
      <c r="CD238" s="1366"/>
      <c r="CE238" s="1366"/>
      <c r="CF238" s="1366"/>
      <c r="CG238" s="1366"/>
      <c r="CH238" s="1366"/>
      <c r="CI238" s="1366"/>
      <c r="CJ238" s="1366"/>
      <c r="CK238" s="1366"/>
      <c r="CL238" s="1366"/>
      <c r="CM238" s="1366"/>
      <c r="CN238" s="1366"/>
      <c r="CO238" s="1366"/>
      <c r="CP238" s="1366"/>
      <c r="CQ238" s="1366"/>
      <c r="CR238" s="1366"/>
      <c r="CS238" s="1366"/>
      <c r="CT238" s="1366"/>
      <c r="CU238" s="1366"/>
      <c r="CV238" s="1366"/>
      <c r="CW238" s="1366"/>
      <c r="CX238" s="1366"/>
      <c r="CY238" s="1366"/>
      <c r="CZ238" s="1366"/>
      <c r="DA238" s="1366"/>
      <c r="DB238" s="1366"/>
      <c r="DC238" s="1366"/>
      <c r="DD238" s="1366"/>
      <c r="DE238" s="1366"/>
      <c r="DF238" s="1366"/>
      <c r="DG238" s="1366"/>
      <c r="DH238" s="1366"/>
      <c r="DI238" s="1366"/>
      <c r="DJ238" s="1366"/>
      <c r="DK238" s="1366"/>
      <c r="DL238" s="1366"/>
      <c r="DM238" s="1366"/>
      <c r="DN238" s="1366"/>
      <c r="DO238" s="1366"/>
      <c r="DP238" s="1366"/>
      <c r="DQ238" s="1366"/>
      <c r="DR238" s="1366"/>
      <c r="DS238" s="1366"/>
      <c r="DT238" s="1366"/>
      <c r="DU238" s="1366"/>
      <c r="DV238" s="1366"/>
    </row>
    <row r="239" spans="1:126" s="1367" customFormat="1" ht="30">
      <c r="A239" s="2494"/>
      <c r="B239" s="1653">
        <v>95</v>
      </c>
      <c r="C239" s="1642" t="s">
        <v>49</v>
      </c>
      <c r="D239" s="1375" t="s">
        <v>2285</v>
      </c>
      <c r="E239" s="1364" t="s">
        <v>2097</v>
      </c>
      <c r="F239" s="1364" t="s">
        <v>2108</v>
      </c>
      <c r="G239" s="1185" t="s">
        <v>1804</v>
      </c>
      <c r="H239" s="1361">
        <f>((11.5*'Equipment Results Matrix'!$R$696)+(72000*'Equipment Results Matrix'!$R$697)+'Equipment Results Matrix'!$R$698+'Equipment Results Matrix'!$R$700+'Equipment Results Matrix'!$R$702+'Equipment Results Matrix'!$T$703)*(1+'Equipment Results Matrix'!$T$705)</f>
        <v>5724.6332556279131</v>
      </c>
      <c r="I239" s="1371">
        <f t="shared" si="61"/>
        <v>32.198999999999998</v>
      </c>
      <c r="J239" s="1372">
        <f>'Labor Results Matrix'!$G$170*(1+'Labor Results Matrix'!$K$169)</f>
        <v>90.130495877989063</v>
      </c>
      <c r="K239" s="1388">
        <f t="shared" si="62"/>
        <v>2902.1118367753697</v>
      </c>
      <c r="L239" s="1372">
        <f>((('Labor Results Matrix'!$I$169+'Labor Results Matrix'!$I$171)*6)+'Labor Results Matrix'!$J$169)*(1+'Labor Results Matrix'!$K$169)</f>
        <v>2686.4190619302267</v>
      </c>
      <c r="M239" s="1372">
        <f t="shared" si="63"/>
        <v>11313.164154333508</v>
      </c>
      <c r="N239" s="1458">
        <f t="shared" ref="N239:N243" si="67">M239-$M$237</f>
        <v>1387.3356959999983</v>
      </c>
      <c r="O239" s="1361">
        <f t="shared" si="64"/>
        <v>954.10554260465221</v>
      </c>
      <c r="P239" s="1371">
        <f t="shared" si="65"/>
        <v>5.3664999999999994</v>
      </c>
      <c r="Q239" s="1388">
        <f t="shared" si="66"/>
        <v>483.68530612922825</v>
      </c>
      <c r="R239" s="1372">
        <f>('Labor Results Matrix'!$I$169+'Labor Results Matrix'!$I$171)*(1+'Labor Results Matrix'!$K$169)</f>
        <v>320.58118278353345</v>
      </c>
      <c r="S239" s="1372">
        <f>'Labor Results Matrix'!$J$169*(1+'Labor Results Matrix'!$K$169)</f>
        <v>762.93196522902554</v>
      </c>
      <c r="T239" s="1372">
        <f t="shared" si="54"/>
        <v>1758.3720315174139</v>
      </c>
      <c r="U239" s="1372">
        <f t="shared" ref="U239:U243" si="68">T239-$T$237</f>
        <v>231.22261600000002</v>
      </c>
      <c r="V239" s="1458">
        <f t="shared" ref="V239:V243" si="69">S239-$S$237</f>
        <v>0</v>
      </c>
      <c r="W239" s="1366"/>
      <c r="X239" s="1366"/>
      <c r="Y239" s="1366"/>
      <c r="Z239" s="1366"/>
      <c r="AA239" s="1366"/>
      <c r="AB239" s="1366"/>
      <c r="AC239" s="1366"/>
      <c r="AD239" s="1366"/>
      <c r="AE239" s="1366"/>
      <c r="AF239" s="1366"/>
      <c r="AG239" s="1366"/>
      <c r="AH239" s="1366"/>
      <c r="AI239" s="1366"/>
      <c r="AJ239" s="1366"/>
      <c r="AK239" s="1366"/>
      <c r="AL239" s="1366"/>
      <c r="AM239" s="1366"/>
      <c r="AN239" s="1366"/>
      <c r="AO239" s="1366"/>
      <c r="AP239" s="1366"/>
      <c r="AQ239" s="1366"/>
      <c r="AR239" s="1366"/>
      <c r="AS239" s="1366"/>
      <c r="AT239" s="1366"/>
      <c r="AU239" s="1366"/>
      <c r="AV239" s="1366"/>
      <c r="AW239" s="1366"/>
      <c r="AX239" s="1366"/>
      <c r="AY239" s="1366"/>
      <c r="AZ239" s="1366"/>
      <c r="BA239" s="1366"/>
      <c r="BB239" s="1366"/>
      <c r="BC239" s="1366"/>
      <c r="BD239" s="1366"/>
      <c r="BE239" s="1366"/>
      <c r="BF239" s="1366"/>
      <c r="BG239" s="1366"/>
      <c r="BH239" s="1366"/>
      <c r="BI239" s="1366"/>
      <c r="BJ239" s="1366"/>
      <c r="BK239" s="1366"/>
      <c r="BL239" s="1366"/>
      <c r="BM239" s="1366"/>
      <c r="BN239" s="1366"/>
      <c r="BO239" s="1366"/>
      <c r="BP239" s="1366"/>
      <c r="BQ239" s="1366"/>
      <c r="BR239" s="1366"/>
      <c r="BS239" s="1366"/>
      <c r="BT239" s="1366"/>
      <c r="BU239" s="1366"/>
      <c r="BV239" s="1366"/>
      <c r="BW239" s="1366"/>
      <c r="BX239" s="1366"/>
      <c r="BY239" s="1366"/>
      <c r="BZ239" s="1366"/>
      <c r="CA239" s="1366"/>
      <c r="CB239" s="1366"/>
      <c r="CC239" s="1366"/>
      <c r="CD239" s="1366"/>
      <c r="CE239" s="1366"/>
      <c r="CF239" s="1366"/>
      <c r="CG239" s="1366"/>
      <c r="CH239" s="1366"/>
      <c r="CI239" s="1366"/>
      <c r="CJ239" s="1366"/>
      <c r="CK239" s="1366"/>
      <c r="CL239" s="1366"/>
      <c r="CM239" s="1366"/>
      <c r="CN239" s="1366"/>
      <c r="CO239" s="1366"/>
      <c r="CP239" s="1366"/>
      <c r="CQ239" s="1366"/>
      <c r="CR239" s="1366"/>
      <c r="CS239" s="1366"/>
      <c r="CT239" s="1366"/>
      <c r="CU239" s="1366"/>
      <c r="CV239" s="1366"/>
      <c r="CW239" s="1366"/>
      <c r="CX239" s="1366"/>
      <c r="CY239" s="1366"/>
      <c r="CZ239" s="1366"/>
      <c r="DA239" s="1366"/>
      <c r="DB239" s="1366"/>
      <c r="DC239" s="1366"/>
      <c r="DD239" s="1366"/>
      <c r="DE239" s="1366"/>
      <c r="DF239" s="1366"/>
      <c r="DG239" s="1366"/>
      <c r="DH239" s="1366"/>
      <c r="DI239" s="1366"/>
      <c r="DJ239" s="1366"/>
      <c r="DK239" s="1366"/>
      <c r="DL239" s="1366"/>
      <c r="DM239" s="1366"/>
      <c r="DN239" s="1366"/>
      <c r="DO239" s="1366"/>
      <c r="DP239" s="1366"/>
      <c r="DQ239" s="1366"/>
      <c r="DR239" s="1366"/>
      <c r="DS239" s="1366"/>
      <c r="DT239" s="1366"/>
      <c r="DU239" s="1366"/>
      <c r="DV239" s="1366"/>
    </row>
    <row r="240" spans="1:126" s="1367" customFormat="1" ht="30">
      <c r="A240" s="2494"/>
      <c r="B240" s="1653">
        <v>96</v>
      </c>
      <c r="C240" s="1642" t="s">
        <v>49</v>
      </c>
      <c r="D240" s="1375" t="s">
        <v>2286</v>
      </c>
      <c r="E240" s="1364" t="s">
        <v>2097</v>
      </c>
      <c r="F240" s="1364" t="s">
        <v>2108</v>
      </c>
      <c r="G240" s="1185" t="s">
        <v>1804</v>
      </c>
      <c r="H240" s="1361">
        <f>((12*'Equipment Results Matrix'!$R$696)+(72000*'Equipment Results Matrix'!$R$697)+'Equipment Results Matrix'!$R$698+'Equipment Results Matrix'!$R$700+'Equipment Results Matrix'!$R$702+'Equipment Results Matrix'!$T$703)*(1+'Equipment Results Matrix'!$T$705)</f>
        <v>7111.9689516279113</v>
      </c>
      <c r="I240" s="1371">
        <f t="shared" si="61"/>
        <v>32.198999999999998</v>
      </c>
      <c r="J240" s="1372">
        <f>'Labor Results Matrix'!$G$170*(1+'Labor Results Matrix'!$K$169)</f>
        <v>90.130495877989063</v>
      </c>
      <c r="K240" s="1388">
        <f t="shared" si="62"/>
        <v>2902.1118367753697</v>
      </c>
      <c r="L240" s="1372">
        <f>((('Labor Results Matrix'!$I$169+'Labor Results Matrix'!$I$171)*6)+'Labor Results Matrix'!$J$169)*(1+'Labor Results Matrix'!$K$169)</f>
        <v>2686.4190619302267</v>
      </c>
      <c r="M240" s="1372">
        <f t="shared" si="63"/>
        <v>12700.499850333506</v>
      </c>
      <c r="N240" s="1458">
        <f t="shared" si="67"/>
        <v>2774.6713919999966</v>
      </c>
      <c r="O240" s="1361">
        <f t="shared" si="64"/>
        <v>1185.3281586046519</v>
      </c>
      <c r="P240" s="1371">
        <f t="shared" si="65"/>
        <v>5.3664999999999994</v>
      </c>
      <c r="Q240" s="1388">
        <f t="shared" si="66"/>
        <v>483.68530612922825</v>
      </c>
      <c r="R240" s="1372">
        <f>('Labor Results Matrix'!$I$169+'Labor Results Matrix'!$I$171)*(1+'Labor Results Matrix'!$K$169)</f>
        <v>320.58118278353345</v>
      </c>
      <c r="S240" s="1372">
        <f>'Labor Results Matrix'!$J$169*(1+'Labor Results Matrix'!$K$169)</f>
        <v>762.93196522902554</v>
      </c>
      <c r="T240" s="1372">
        <f t="shared" si="54"/>
        <v>1989.5946475174135</v>
      </c>
      <c r="U240" s="1372">
        <f t="shared" si="68"/>
        <v>462.44523199999958</v>
      </c>
      <c r="V240" s="1458">
        <f t="shared" si="69"/>
        <v>0</v>
      </c>
      <c r="W240" s="1366"/>
      <c r="X240" s="1366"/>
      <c r="Y240" s="1366"/>
      <c r="Z240" s="1366"/>
      <c r="AA240" s="1366"/>
      <c r="AB240" s="1366"/>
      <c r="AC240" s="1366"/>
      <c r="AD240" s="1366"/>
      <c r="AE240" s="1366"/>
      <c r="AF240" s="1366"/>
      <c r="AG240" s="1366"/>
      <c r="AH240" s="1366"/>
      <c r="AI240" s="1366"/>
      <c r="AJ240" s="1366"/>
      <c r="AK240" s="1366"/>
      <c r="AL240" s="1366"/>
      <c r="AM240" s="1366"/>
      <c r="AN240" s="1366"/>
      <c r="AO240" s="1366"/>
      <c r="AP240" s="1366"/>
      <c r="AQ240" s="1366"/>
      <c r="AR240" s="1366"/>
      <c r="AS240" s="1366"/>
      <c r="AT240" s="1366"/>
      <c r="AU240" s="1366"/>
      <c r="AV240" s="1366"/>
      <c r="AW240" s="1366"/>
      <c r="AX240" s="1366"/>
      <c r="AY240" s="1366"/>
      <c r="AZ240" s="1366"/>
      <c r="BA240" s="1366"/>
      <c r="BB240" s="1366"/>
      <c r="BC240" s="1366"/>
      <c r="BD240" s="1366"/>
      <c r="BE240" s="1366"/>
      <c r="BF240" s="1366"/>
      <c r="BG240" s="1366"/>
      <c r="BH240" s="1366"/>
      <c r="BI240" s="1366"/>
      <c r="BJ240" s="1366"/>
      <c r="BK240" s="1366"/>
      <c r="BL240" s="1366"/>
      <c r="BM240" s="1366"/>
      <c r="BN240" s="1366"/>
      <c r="BO240" s="1366"/>
      <c r="BP240" s="1366"/>
      <c r="BQ240" s="1366"/>
      <c r="BR240" s="1366"/>
      <c r="BS240" s="1366"/>
      <c r="BT240" s="1366"/>
      <c r="BU240" s="1366"/>
      <c r="BV240" s="1366"/>
      <c r="BW240" s="1366"/>
      <c r="BX240" s="1366"/>
      <c r="BY240" s="1366"/>
      <c r="BZ240" s="1366"/>
      <c r="CA240" s="1366"/>
      <c r="CB240" s="1366"/>
      <c r="CC240" s="1366"/>
      <c r="CD240" s="1366"/>
      <c r="CE240" s="1366"/>
      <c r="CF240" s="1366"/>
      <c r="CG240" s="1366"/>
      <c r="CH240" s="1366"/>
      <c r="CI240" s="1366"/>
      <c r="CJ240" s="1366"/>
      <c r="CK240" s="1366"/>
      <c r="CL240" s="1366"/>
      <c r="CM240" s="1366"/>
      <c r="CN240" s="1366"/>
      <c r="CO240" s="1366"/>
      <c r="CP240" s="1366"/>
      <c r="CQ240" s="1366"/>
      <c r="CR240" s="1366"/>
      <c r="CS240" s="1366"/>
      <c r="CT240" s="1366"/>
      <c r="CU240" s="1366"/>
      <c r="CV240" s="1366"/>
      <c r="CW240" s="1366"/>
      <c r="CX240" s="1366"/>
      <c r="CY240" s="1366"/>
      <c r="CZ240" s="1366"/>
      <c r="DA240" s="1366"/>
      <c r="DB240" s="1366"/>
      <c r="DC240" s="1366"/>
      <c r="DD240" s="1366"/>
      <c r="DE240" s="1366"/>
      <c r="DF240" s="1366"/>
      <c r="DG240" s="1366"/>
      <c r="DH240" s="1366"/>
      <c r="DI240" s="1366"/>
      <c r="DJ240" s="1366"/>
      <c r="DK240" s="1366"/>
      <c r="DL240" s="1366"/>
      <c r="DM240" s="1366"/>
      <c r="DN240" s="1366"/>
      <c r="DO240" s="1366"/>
      <c r="DP240" s="1366"/>
      <c r="DQ240" s="1366"/>
      <c r="DR240" s="1366"/>
      <c r="DS240" s="1366"/>
      <c r="DT240" s="1366"/>
      <c r="DU240" s="1366"/>
      <c r="DV240" s="1366"/>
    </row>
    <row r="241" spans="1:126" s="1367" customFormat="1" ht="45">
      <c r="A241" s="2494"/>
      <c r="B241" s="1653">
        <v>97</v>
      </c>
      <c r="C241" s="1642" t="s">
        <v>49</v>
      </c>
      <c r="D241" s="1375" t="s">
        <v>2287</v>
      </c>
      <c r="E241" s="1364" t="s">
        <v>2100</v>
      </c>
      <c r="F241" s="1364" t="s">
        <v>2108</v>
      </c>
      <c r="G241" s="1185" t="s">
        <v>1804</v>
      </c>
      <c r="H241" s="1361">
        <f>((11*'Equipment Results Matrix'!$R$696)+(72000*'Equipment Results Matrix'!$R$697)+'Equipment Results Matrix'!$R$698+'Equipment Results Matrix'!$R$700+'Equipment Results Matrix'!$R$702+'Equipment Results Matrix'!$T$703)*(1+'Equipment Results Matrix'!$T$705)</f>
        <v>4337.2975596279139</v>
      </c>
      <c r="I241" s="1371">
        <f t="shared" si="61"/>
        <v>32.198999999999998</v>
      </c>
      <c r="J241" s="1372">
        <f>'Labor Results Matrix'!$G$170*(1+'Labor Results Matrix'!$K$169)</f>
        <v>90.130495877989063</v>
      </c>
      <c r="K241" s="1388">
        <f t="shared" si="62"/>
        <v>2902.1118367753697</v>
      </c>
      <c r="L241" s="1372">
        <f>((('Labor Results Matrix'!$I$169+'Labor Results Matrix'!$I$171)*6)+'Labor Results Matrix'!$J$169)*(1+'Labor Results Matrix'!$K$169)</f>
        <v>2686.4190619302267</v>
      </c>
      <c r="M241" s="1372">
        <f t="shared" si="63"/>
        <v>9925.8284583335098</v>
      </c>
      <c r="N241" s="1458">
        <f t="shared" si="67"/>
        <v>0</v>
      </c>
      <c r="O241" s="1361">
        <f t="shared" si="64"/>
        <v>722.88292660465231</v>
      </c>
      <c r="P241" s="1371">
        <f>I241/6</f>
        <v>5.3664999999999994</v>
      </c>
      <c r="Q241" s="1388">
        <f t="shared" si="66"/>
        <v>483.68530612922825</v>
      </c>
      <c r="R241" s="1372">
        <f>('Labor Results Matrix'!$I$169+'Labor Results Matrix'!$I$171)*(1+'Labor Results Matrix'!$K$169)</f>
        <v>320.58118278353345</v>
      </c>
      <c r="S241" s="1372">
        <f>'Labor Results Matrix'!$J$169*(1+'Labor Results Matrix'!$K$169)</f>
        <v>762.93196522902554</v>
      </c>
      <c r="T241" s="1372">
        <f t="shared" si="54"/>
        <v>1527.1494155174139</v>
      </c>
      <c r="U241" s="1372">
        <f t="shared" si="68"/>
        <v>0</v>
      </c>
      <c r="V241" s="1458">
        <f t="shared" si="69"/>
        <v>0</v>
      </c>
      <c r="W241" s="1366"/>
      <c r="X241" s="1366"/>
      <c r="Y241" s="1366"/>
      <c r="Z241" s="1366"/>
      <c r="AA241" s="1366"/>
      <c r="AB241" s="1366"/>
      <c r="AC241" s="1366"/>
      <c r="AD241" s="1366"/>
      <c r="AE241" s="1366"/>
      <c r="AF241" s="1366"/>
      <c r="AG241" s="1366"/>
      <c r="AH241" s="1366"/>
      <c r="AI241" s="1366"/>
      <c r="AJ241" s="1366"/>
      <c r="AK241" s="1366"/>
      <c r="AL241" s="1366"/>
      <c r="AM241" s="1366"/>
      <c r="AN241" s="1366"/>
      <c r="AO241" s="1366"/>
      <c r="AP241" s="1366"/>
      <c r="AQ241" s="1366"/>
      <c r="AR241" s="1366"/>
      <c r="AS241" s="1366"/>
      <c r="AT241" s="1366"/>
      <c r="AU241" s="1366"/>
      <c r="AV241" s="1366"/>
      <c r="AW241" s="1366"/>
      <c r="AX241" s="1366"/>
      <c r="AY241" s="1366"/>
      <c r="AZ241" s="1366"/>
      <c r="BA241" s="1366"/>
      <c r="BB241" s="1366"/>
      <c r="BC241" s="1366"/>
      <c r="BD241" s="1366"/>
      <c r="BE241" s="1366"/>
      <c r="BF241" s="1366"/>
      <c r="BG241" s="1366"/>
      <c r="BH241" s="1366"/>
      <c r="BI241" s="1366"/>
      <c r="BJ241" s="1366"/>
      <c r="BK241" s="1366"/>
      <c r="BL241" s="1366"/>
      <c r="BM241" s="1366"/>
      <c r="BN241" s="1366"/>
      <c r="BO241" s="1366"/>
      <c r="BP241" s="1366"/>
      <c r="BQ241" s="1366"/>
      <c r="BR241" s="1366"/>
      <c r="BS241" s="1366"/>
      <c r="BT241" s="1366"/>
      <c r="BU241" s="1366"/>
      <c r="BV241" s="1366"/>
      <c r="BW241" s="1366"/>
      <c r="BX241" s="1366"/>
      <c r="BY241" s="1366"/>
      <c r="BZ241" s="1366"/>
      <c r="CA241" s="1366"/>
      <c r="CB241" s="1366"/>
      <c r="CC241" s="1366"/>
      <c r="CD241" s="1366"/>
      <c r="CE241" s="1366"/>
      <c r="CF241" s="1366"/>
      <c r="CG241" s="1366"/>
      <c r="CH241" s="1366"/>
      <c r="CI241" s="1366"/>
      <c r="CJ241" s="1366"/>
      <c r="CK241" s="1366"/>
      <c r="CL241" s="1366"/>
      <c r="CM241" s="1366"/>
      <c r="CN241" s="1366"/>
      <c r="CO241" s="1366"/>
      <c r="CP241" s="1366"/>
      <c r="CQ241" s="1366"/>
      <c r="CR241" s="1366"/>
      <c r="CS241" s="1366"/>
      <c r="CT241" s="1366"/>
      <c r="CU241" s="1366"/>
      <c r="CV241" s="1366"/>
      <c r="CW241" s="1366"/>
      <c r="CX241" s="1366"/>
      <c r="CY241" s="1366"/>
      <c r="CZ241" s="1366"/>
      <c r="DA241" s="1366"/>
      <c r="DB241" s="1366"/>
      <c r="DC241" s="1366"/>
      <c r="DD241" s="1366"/>
      <c r="DE241" s="1366"/>
      <c r="DF241" s="1366"/>
      <c r="DG241" s="1366"/>
      <c r="DH241" s="1366"/>
      <c r="DI241" s="1366"/>
      <c r="DJ241" s="1366"/>
      <c r="DK241" s="1366"/>
      <c r="DL241" s="1366"/>
      <c r="DM241" s="1366"/>
      <c r="DN241" s="1366"/>
      <c r="DO241" s="1366"/>
      <c r="DP241" s="1366"/>
      <c r="DQ241" s="1366"/>
      <c r="DR241" s="1366"/>
      <c r="DS241" s="1366"/>
      <c r="DT241" s="1366"/>
      <c r="DU241" s="1366"/>
      <c r="DV241" s="1366"/>
    </row>
    <row r="242" spans="1:126" s="1367" customFormat="1" ht="45">
      <c r="A242" s="2494"/>
      <c r="B242" s="1653">
        <v>98</v>
      </c>
      <c r="C242" s="1642" t="s">
        <v>49</v>
      </c>
      <c r="D242" s="1375" t="s">
        <v>2288</v>
      </c>
      <c r="E242" s="1364" t="s">
        <v>2097</v>
      </c>
      <c r="F242" s="1364" t="s">
        <v>2108</v>
      </c>
      <c r="G242" s="1185" t="s">
        <v>1804</v>
      </c>
      <c r="H242" s="1361">
        <f>((11.5*'Equipment Results Matrix'!$R$696)+(72000*'Equipment Results Matrix'!$R$697)+'Equipment Results Matrix'!$R$698+'Equipment Results Matrix'!$R$700+'Equipment Results Matrix'!$R$702+'Equipment Results Matrix'!$T$703)*(1+'Equipment Results Matrix'!$T$705)</f>
        <v>5724.6332556279131</v>
      </c>
      <c r="I242" s="1371">
        <f t="shared" si="61"/>
        <v>32.198999999999998</v>
      </c>
      <c r="J242" s="1372">
        <f>'Labor Results Matrix'!$G$170*(1+'Labor Results Matrix'!$K$169)</f>
        <v>90.130495877989063</v>
      </c>
      <c r="K242" s="1388">
        <f t="shared" si="62"/>
        <v>2902.1118367753697</v>
      </c>
      <c r="L242" s="1372">
        <f>((('Labor Results Matrix'!$I$169+'Labor Results Matrix'!$I$171)*6)+'Labor Results Matrix'!$J$169)*(1+'Labor Results Matrix'!$K$169)</f>
        <v>2686.4190619302267</v>
      </c>
      <c r="M242" s="1372">
        <f t="shared" si="63"/>
        <v>11313.164154333508</v>
      </c>
      <c r="N242" s="1458">
        <f t="shared" si="67"/>
        <v>1387.3356959999983</v>
      </c>
      <c r="O242" s="1361">
        <f t="shared" si="64"/>
        <v>954.10554260465221</v>
      </c>
      <c r="P242" s="1371">
        <f t="shared" si="65"/>
        <v>5.3664999999999994</v>
      </c>
      <c r="Q242" s="1388">
        <f t="shared" si="66"/>
        <v>483.68530612922825</v>
      </c>
      <c r="R242" s="1372">
        <f>('Labor Results Matrix'!$I$169+'Labor Results Matrix'!$I$171)*(1+'Labor Results Matrix'!$K$169)</f>
        <v>320.58118278353345</v>
      </c>
      <c r="S242" s="1372">
        <f>'Labor Results Matrix'!$J$169*(1+'Labor Results Matrix'!$K$169)</f>
        <v>762.93196522902554</v>
      </c>
      <c r="T242" s="1372">
        <f t="shared" si="54"/>
        <v>1758.3720315174139</v>
      </c>
      <c r="U242" s="1372">
        <f t="shared" si="68"/>
        <v>231.22261600000002</v>
      </c>
      <c r="V242" s="1458">
        <f t="shared" si="69"/>
        <v>0</v>
      </c>
      <c r="W242" s="1366"/>
      <c r="X242" s="1366"/>
      <c r="Y242" s="1366"/>
      <c r="Z242" s="1366"/>
      <c r="AA242" s="1366"/>
      <c r="AB242" s="1366"/>
      <c r="AC242" s="1366"/>
      <c r="AD242" s="1366"/>
      <c r="AE242" s="1366"/>
      <c r="AF242" s="1366"/>
      <c r="AG242" s="1366"/>
      <c r="AH242" s="1366"/>
      <c r="AI242" s="1366"/>
      <c r="AJ242" s="1366"/>
      <c r="AK242" s="1366"/>
      <c r="AL242" s="1366"/>
      <c r="AM242" s="1366"/>
      <c r="AN242" s="1366"/>
      <c r="AO242" s="1366"/>
      <c r="AP242" s="1366"/>
      <c r="AQ242" s="1366"/>
      <c r="AR242" s="1366"/>
      <c r="AS242" s="1366"/>
      <c r="AT242" s="1366"/>
      <c r="AU242" s="1366"/>
      <c r="AV242" s="1366"/>
      <c r="AW242" s="1366"/>
      <c r="AX242" s="1366"/>
      <c r="AY242" s="1366"/>
      <c r="AZ242" s="1366"/>
      <c r="BA242" s="1366"/>
      <c r="BB242" s="1366"/>
      <c r="BC242" s="1366"/>
      <c r="BD242" s="1366"/>
      <c r="BE242" s="1366"/>
      <c r="BF242" s="1366"/>
      <c r="BG242" s="1366"/>
      <c r="BH242" s="1366"/>
      <c r="BI242" s="1366"/>
      <c r="BJ242" s="1366"/>
      <c r="BK242" s="1366"/>
      <c r="BL242" s="1366"/>
      <c r="BM242" s="1366"/>
      <c r="BN242" s="1366"/>
      <c r="BO242" s="1366"/>
      <c r="BP242" s="1366"/>
      <c r="BQ242" s="1366"/>
      <c r="BR242" s="1366"/>
      <c r="BS242" s="1366"/>
      <c r="BT242" s="1366"/>
      <c r="BU242" s="1366"/>
      <c r="BV242" s="1366"/>
      <c r="BW242" s="1366"/>
      <c r="BX242" s="1366"/>
      <c r="BY242" s="1366"/>
      <c r="BZ242" s="1366"/>
      <c r="CA242" s="1366"/>
      <c r="CB242" s="1366"/>
      <c r="CC242" s="1366"/>
      <c r="CD242" s="1366"/>
      <c r="CE242" s="1366"/>
      <c r="CF242" s="1366"/>
      <c r="CG242" s="1366"/>
      <c r="CH242" s="1366"/>
      <c r="CI242" s="1366"/>
      <c r="CJ242" s="1366"/>
      <c r="CK242" s="1366"/>
      <c r="CL242" s="1366"/>
      <c r="CM242" s="1366"/>
      <c r="CN242" s="1366"/>
      <c r="CO242" s="1366"/>
      <c r="CP242" s="1366"/>
      <c r="CQ242" s="1366"/>
      <c r="CR242" s="1366"/>
      <c r="CS242" s="1366"/>
      <c r="CT242" s="1366"/>
      <c r="CU242" s="1366"/>
      <c r="CV242" s="1366"/>
      <c r="CW242" s="1366"/>
      <c r="CX242" s="1366"/>
      <c r="CY242" s="1366"/>
      <c r="CZ242" s="1366"/>
      <c r="DA242" s="1366"/>
      <c r="DB242" s="1366"/>
      <c r="DC242" s="1366"/>
      <c r="DD242" s="1366"/>
      <c r="DE242" s="1366"/>
      <c r="DF242" s="1366"/>
      <c r="DG242" s="1366"/>
      <c r="DH242" s="1366"/>
      <c r="DI242" s="1366"/>
      <c r="DJ242" s="1366"/>
      <c r="DK242" s="1366"/>
      <c r="DL242" s="1366"/>
      <c r="DM242" s="1366"/>
      <c r="DN242" s="1366"/>
      <c r="DO242" s="1366"/>
      <c r="DP242" s="1366"/>
      <c r="DQ242" s="1366"/>
      <c r="DR242" s="1366"/>
      <c r="DS242" s="1366"/>
      <c r="DT242" s="1366"/>
      <c r="DU242" s="1366"/>
      <c r="DV242" s="1366"/>
    </row>
    <row r="243" spans="1:126" s="1367" customFormat="1" ht="45">
      <c r="A243" s="2494"/>
      <c r="B243" s="1653">
        <v>99</v>
      </c>
      <c r="C243" s="1642" t="s">
        <v>49</v>
      </c>
      <c r="D243" s="1375" t="s">
        <v>2289</v>
      </c>
      <c r="E243" s="1364" t="s">
        <v>2097</v>
      </c>
      <c r="F243" s="1364" t="s">
        <v>2108</v>
      </c>
      <c r="G243" s="1185" t="s">
        <v>1804</v>
      </c>
      <c r="H243" s="1361">
        <f>((12*'Equipment Results Matrix'!$R$696)+(72000*'Equipment Results Matrix'!$R$697)+'Equipment Results Matrix'!$R$698+'Equipment Results Matrix'!$R$700+'Equipment Results Matrix'!$R$702+'Equipment Results Matrix'!$T$703)*(1+'Equipment Results Matrix'!$T$705)</f>
        <v>7111.9689516279113</v>
      </c>
      <c r="I243" s="1371">
        <f t="shared" si="61"/>
        <v>32.198999999999998</v>
      </c>
      <c r="J243" s="1372">
        <f>'Labor Results Matrix'!$G$170*(1+'Labor Results Matrix'!$K$169)</f>
        <v>90.130495877989063</v>
      </c>
      <c r="K243" s="1388">
        <f t="shared" si="62"/>
        <v>2902.1118367753697</v>
      </c>
      <c r="L243" s="1372">
        <f>((('Labor Results Matrix'!$I$169+'Labor Results Matrix'!$I$171)*6)+'Labor Results Matrix'!$J$169)*(1+'Labor Results Matrix'!$K$169)</f>
        <v>2686.4190619302267</v>
      </c>
      <c r="M243" s="1372">
        <f t="shared" si="63"/>
        <v>12700.499850333506</v>
      </c>
      <c r="N243" s="1458">
        <f t="shared" si="67"/>
        <v>2774.6713919999966</v>
      </c>
      <c r="O243" s="1361">
        <f t="shared" si="64"/>
        <v>1185.3281586046519</v>
      </c>
      <c r="P243" s="1371">
        <f t="shared" si="65"/>
        <v>5.3664999999999994</v>
      </c>
      <c r="Q243" s="1388">
        <f t="shared" si="66"/>
        <v>483.68530612922825</v>
      </c>
      <c r="R243" s="1372">
        <f>('Labor Results Matrix'!$I$169+'Labor Results Matrix'!$I$171)*(1+'Labor Results Matrix'!$K$169)</f>
        <v>320.58118278353345</v>
      </c>
      <c r="S243" s="1372">
        <f>'Labor Results Matrix'!$J$169*(1+'Labor Results Matrix'!$K$169)</f>
        <v>762.93196522902554</v>
      </c>
      <c r="T243" s="1372">
        <f t="shared" si="54"/>
        <v>1989.5946475174135</v>
      </c>
      <c r="U243" s="1372">
        <f t="shared" si="68"/>
        <v>462.44523199999958</v>
      </c>
      <c r="V243" s="1458">
        <f t="shared" si="69"/>
        <v>0</v>
      </c>
      <c r="W243" s="1366"/>
      <c r="X243" s="1366"/>
      <c r="Y243" s="1366"/>
      <c r="Z243" s="1366"/>
      <c r="AA243" s="1366"/>
      <c r="AB243" s="1366"/>
      <c r="AC243" s="1366"/>
      <c r="AD243" s="1366"/>
      <c r="AE243" s="1366"/>
      <c r="AF243" s="1366"/>
      <c r="AG243" s="1366"/>
      <c r="AH243" s="1366"/>
      <c r="AI243" s="1366"/>
      <c r="AJ243" s="1366"/>
      <c r="AK243" s="1366"/>
      <c r="AL243" s="1366"/>
      <c r="AM243" s="1366"/>
      <c r="AN243" s="1366"/>
      <c r="AO243" s="1366"/>
      <c r="AP243" s="1366"/>
      <c r="AQ243" s="1366"/>
      <c r="AR243" s="1366"/>
      <c r="AS243" s="1366"/>
      <c r="AT243" s="1366"/>
      <c r="AU243" s="1366"/>
      <c r="AV243" s="1366"/>
      <c r="AW243" s="1366"/>
      <c r="AX243" s="1366"/>
      <c r="AY243" s="1366"/>
      <c r="AZ243" s="1366"/>
      <c r="BA243" s="1366"/>
      <c r="BB243" s="1366"/>
      <c r="BC243" s="1366"/>
      <c r="BD243" s="1366"/>
      <c r="BE243" s="1366"/>
      <c r="BF243" s="1366"/>
      <c r="BG243" s="1366"/>
      <c r="BH243" s="1366"/>
      <c r="BI243" s="1366"/>
      <c r="BJ243" s="1366"/>
      <c r="BK243" s="1366"/>
      <c r="BL243" s="1366"/>
      <c r="BM243" s="1366"/>
      <c r="BN243" s="1366"/>
      <c r="BO243" s="1366"/>
      <c r="BP243" s="1366"/>
      <c r="BQ243" s="1366"/>
      <c r="BR243" s="1366"/>
      <c r="BS243" s="1366"/>
      <c r="BT243" s="1366"/>
      <c r="BU243" s="1366"/>
      <c r="BV243" s="1366"/>
      <c r="BW243" s="1366"/>
      <c r="BX243" s="1366"/>
      <c r="BY243" s="1366"/>
      <c r="BZ243" s="1366"/>
      <c r="CA243" s="1366"/>
      <c r="CB243" s="1366"/>
      <c r="CC243" s="1366"/>
      <c r="CD243" s="1366"/>
      <c r="CE243" s="1366"/>
      <c r="CF243" s="1366"/>
      <c r="CG243" s="1366"/>
      <c r="CH243" s="1366"/>
      <c r="CI243" s="1366"/>
      <c r="CJ243" s="1366"/>
      <c r="CK243" s="1366"/>
      <c r="CL243" s="1366"/>
      <c r="CM243" s="1366"/>
      <c r="CN243" s="1366"/>
      <c r="CO243" s="1366"/>
      <c r="CP243" s="1366"/>
      <c r="CQ243" s="1366"/>
      <c r="CR243" s="1366"/>
      <c r="CS243" s="1366"/>
      <c r="CT243" s="1366"/>
      <c r="CU243" s="1366"/>
      <c r="CV243" s="1366"/>
      <c r="CW243" s="1366"/>
      <c r="CX243" s="1366"/>
      <c r="CY243" s="1366"/>
      <c r="CZ243" s="1366"/>
      <c r="DA243" s="1366"/>
      <c r="DB243" s="1366"/>
      <c r="DC243" s="1366"/>
      <c r="DD243" s="1366"/>
      <c r="DE243" s="1366"/>
      <c r="DF243" s="1366"/>
      <c r="DG243" s="1366"/>
      <c r="DH243" s="1366"/>
      <c r="DI243" s="1366"/>
      <c r="DJ243" s="1366"/>
      <c r="DK243" s="1366"/>
      <c r="DL243" s="1366"/>
      <c r="DM243" s="1366"/>
      <c r="DN243" s="1366"/>
      <c r="DO243" s="1366"/>
      <c r="DP243" s="1366"/>
      <c r="DQ243" s="1366"/>
      <c r="DR243" s="1366"/>
      <c r="DS243" s="1366"/>
      <c r="DT243" s="1366"/>
      <c r="DU243" s="1366"/>
      <c r="DV243" s="1366"/>
    </row>
    <row r="244" spans="1:126" s="1367" customFormat="1" ht="30">
      <c r="A244" s="2494"/>
      <c r="B244" s="1653" t="s">
        <v>2280</v>
      </c>
      <c r="C244" s="1642" t="s">
        <v>47</v>
      </c>
      <c r="D244" s="1375" t="s">
        <v>2290</v>
      </c>
      <c r="E244" s="1364" t="s">
        <v>2266</v>
      </c>
      <c r="F244" s="1364" t="s">
        <v>2108</v>
      </c>
      <c r="G244" s="1185" t="s">
        <v>1804</v>
      </c>
      <c r="H244" s="1361">
        <f>((11*'Equipment Results Matrix'!$R$696)+(120000*'Equipment Results Matrix'!$R$697)+'Equipment Results Matrix'!$R$698+'Equipment Results Matrix'!$R$700+'Equipment Results Matrix'!$R$702+'Equipment Results Matrix'!$T$703)*(1+'Equipment Results Matrix'!$T$705)</f>
        <v>8938.3855596279154</v>
      </c>
      <c r="I244" s="1371">
        <f>0.845*10+27.129</f>
        <v>35.579000000000001</v>
      </c>
      <c r="J244" s="1372">
        <f>'Labor Results Matrix'!$G$170*(1+'Labor Results Matrix'!$K$169)</f>
        <v>90.130495877989063</v>
      </c>
      <c r="K244" s="1388">
        <f t="shared" si="62"/>
        <v>3206.7529128429728</v>
      </c>
      <c r="L244" s="1372">
        <f>((('Labor Results Matrix'!$I$169+'Labor Results Matrix'!$I$171)*10)+'Labor Results Matrix'!$J$169)*(1+'Labor Results Matrix'!$K$169)</f>
        <v>3968.74379306436</v>
      </c>
      <c r="M244" s="1372">
        <f t="shared" si="63"/>
        <v>16113.882265535249</v>
      </c>
      <c r="N244" s="1455" t="s">
        <v>40</v>
      </c>
      <c r="O244" s="1361">
        <f>H244/10</f>
        <v>893.83855596279159</v>
      </c>
      <c r="P244" s="1371">
        <f>I244/10</f>
        <v>3.5579000000000001</v>
      </c>
      <c r="Q244" s="1388">
        <f t="shared" si="66"/>
        <v>320.67529128429732</v>
      </c>
      <c r="R244" s="1372">
        <f>('Labor Results Matrix'!$I$169+'Labor Results Matrix'!$I$171)*(1+'Labor Results Matrix'!$K$169)</f>
        <v>320.58118278353345</v>
      </c>
      <c r="S244" s="1372">
        <f>'Labor Results Matrix'!$J$169*(1+'Labor Results Matrix'!$K$169)</f>
        <v>762.93196522902554</v>
      </c>
      <c r="T244" s="1372">
        <f t="shared" si="54"/>
        <v>1535.0950300306224</v>
      </c>
      <c r="U244" s="1417" t="s">
        <v>40</v>
      </c>
      <c r="V244" s="1455" t="s">
        <v>40</v>
      </c>
      <c r="W244" s="1366"/>
      <c r="X244" s="1366"/>
      <c r="Y244" s="1366"/>
      <c r="Z244" s="1366"/>
      <c r="AA244" s="1366"/>
      <c r="AB244" s="1366"/>
      <c r="AC244" s="1366"/>
      <c r="AD244" s="1366"/>
      <c r="AE244" s="1366"/>
      <c r="AF244" s="1366"/>
      <c r="AG244" s="1366"/>
      <c r="AH244" s="1366"/>
      <c r="AI244" s="1366"/>
      <c r="AJ244" s="1366"/>
      <c r="AK244" s="1366"/>
      <c r="AL244" s="1366"/>
      <c r="AM244" s="1366"/>
      <c r="AN244" s="1366"/>
      <c r="AO244" s="1366"/>
      <c r="AP244" s="1366"/>
      <c r="AQ244" s="1366"/>
      <c r="AR244" s="1366"/>
      <c r="AS244" s="1366"/>
      <c r="AT244" s="1366"/>
      <c r="AU244" s="1366"/>
      <c r="AV244" s="1366"/>
      <c r="AW244" s="1366"/>
      <c r="AX244" s="1366"/>
      <c r="AY244" s="1366"/>
      <c r="AZ244" s="1366"/>
      <c r="BA244" s="1366"/>
      <c r="BB244" s="1366"/>
      <c r="BC244" s="1366"/>
      <c r="BD244" s="1366"/>
      <c r="BE244" s="1366"/>
      <c r="BF244" s="1366"/>
      <c r="BG244" s="1366"/>
      <c r="BH244" s="1366"/>
      <c r="BI244" s="1366"/>
      <c r="BJ244" s="1366"/>
      <c r="BK244" s="1366"/>
      <c r="BL244" s="1366"/>
      <c r="BM244" s="1366"/>
      <c r="BN244" s="1366"/>
      <c r="BO244" s="1366"/>
      <c r="BP244" s="1366"/>
      <c r="BQ244" s="1366"/>
      <c r="BR244" s="1366"/>
      <c r="BS244" s="1366"/>
      <c r="BT244" s="1366"/>
      <c r="BU244" s="1366"/>
      <c r="BV244" s="1366"/>
      <c r="BW244" s="1366"/>
      <c r="BX244" s="1366"/>
      <c r="BY244" s="1366"/>
      <c r="BZ244" s="1366"/>
      <c r="CA244" s="1366"/>
      <c r="CB244" s="1366"/>
      <c r="CC244" s="1366"/>
      <c r="CD244" s="1366"/>
      <c r="CE244" s="1366"/>
      <c r="CF244" s="1366"/>
      <c r="CG244" s="1366"/>
      <c r="CH244" s="1366"/>
      <c r="CI244" s="1366"/>
      <c r="CJ244" s="1366"/>
      <c r="CK244" s="1366"/>
      <c r="CL244" s="1366"/>
      <c r="CM244" s="1366"/>
      <c r="CN244" s="1366"/>
      <c r="CO244" s="1366"/>
      <c r="CP244" s="1366"/>
      <c r="CQ244" s="1366"/>
      <c r="CR244" s="1366"/>
      <c r="CS244" s="1366"/>
      <c r="CT244" s="1366"/>
      <c r="CU244" s="1366"/>
      <c r="CV244" s="1366"/>
      <c r="CW244" s="1366"/>
      <c r="CX244" s="1366"/>
      <c r="CY244" s="1366"/>
      <c r="CZ244" s="1366"/>
      <c r="DA244" s="1366"/>
      <c r="DB244" s="1366"/>
      <c r="DC244" s="1366"/>
      <c r="DD244" s="1366"/>
      <c r="DE244" s="1366"/>
      <c r="DF244" s="1366"/>
      <c r="DG244" s="1366"/>
      <c r="DH244" s="1366"/>
      <c r="DI244" s="1366"/>
      <c r="DJ244" s="1366"/>
      <c r="DK244" s="1366"/>
      <c r="DL244" s="1366"/>
      <c r="DM244" s="1366"/>
      <c r="DN244" s="1366"/>
      <c r="DO244" s="1366"/>
      <c r="DP244" s="1366"/>
      <c r="DQ244" s="1366"/>
      <c r="DR244" s="1366"/>
      <c r="DS244" s="1366"/>
      <c r="DT244" s="1366"/>
      <c r="DU244" s="1366"/>
      <c r="DV244" s="1366"/>
    </row>
    <row r="245" spans="1:126" s="1367" customFormat="1" ht="30">
      <c r="A245" s="2494"/>
      <c r="B245" s="1653">
        <v>100</v>
      </c>
      <c r="C245" s="1642" t="s">
        <v>49</v>
      </c>
      <c r="D245" s="1375" t="s">
        <v>2291</v>
      </c>
      <c r="E245" s="1364" t="s">
        <v>2100</v>
      </c>
      <c r="F245" s="1364" t="s">
        <v>2108</v>
      </c>
      <c r="G245" s="1185" t="s">
        <v>1804</v>
      </c>
      <c r="H245" s="1361">
        <f>((11*'Equipment Results Matrix'!$R$696)+(120000*'Equipment Results Matrix'!$R$697)+'Equipment Results Matrix'!$R$698+'Equipment Results Matrix'!$R$700+'Equipment Results Matrix'!$R$702+'Equipment Results Matrix'!$T$703)*(1+'Equipment Results Matrix'!$T$705)</f>
        <v>8938.3855596279154</v>
      </c>
      <c r="I245" s="1371">
        <f t="shared" ref="I245:I250" si="70">0.845*10+27.129</f>
        <v>35.579000000000001</v>
      </c>
      <c r="J245" s="1372">
        <f>'Labor Results Matrix'!$G$170*(1+'Labor Results Matrix'!$K$169)</f>
        <v>90.130495877989063</v>
      </c>
      <c r="K245" s="1388">
        <f t="shared" si="62"/>
        <v>3206.7529128429728</v>
      </c>
      <c r="L245" s="1372">
        <f>((('Labor Results Matrix'!$I$169+'Labor Results Matrix'!$I$171)*10)+'Labor Results Matrix'!$J$169)*(1+'Labor Results Matrix'!$K$169)</f>
        <v>3968.74379306436</v>
      </c>
      <c r="M245" s="1372">
        <f t="shared" si="63"/>
        <v>16113.882265535249</v>
      </c>
      <c r="N245" s="1458">
        <f>M245-$M$244</f>
        <v>0</v>
      </c>
      <c r="O245" s="1361">
        <f t="shared" ref="O245:O250" si="71">H245/10</f>
        <v>893.83855596279159</v>
      </c>
      <c r="P245" s="1371">
        <f t="shared" ref="P245:P250" si="72">I245/10</f>
        <v>3.5579000000000001</v>
      </c>
      <c r="Q245" s="1388">
        <f t="shared" si="66"/>
        <v>320.67529128429732</v>
      </c>
      <c r="R245" s="1372">
        <f>('Labor Results Matrix'!$I$169+'Labor Results Matrix'!$I$171)*(1+'Labor Results Matrix'!$K$169)</f>
        <v>320.58118278353345</v>
      </c>
      <c r="S245" s="1372">
        <f>'Labor Results Matrix'!$J$169*(1+'Labor Results Matrix'!$K$169)</f>
        <v>762.93196522902554</v>
      </c>
      <c r="T245" s="1372">
        <f t="shared" si="54"/>
        <v>1535.0950300306224</v>
      </c>
      <c r="U245" s="1372">
        <f>T245-$T$244</f>
        <v>0</v>
      </c>
      <c r="V245" s="1458">
        <f>S245-$S$244</f>
        <v>0</v>
      </c>
      <c r="W245" s="1366"/>
      <c r="X245" s="1366"/>
      <c r="Y245" s="1366"/>
      <c r="Z245" s="1366"/>
      <c r="AA245" s="1366"/>
      <c r="AB245" s="1366"/>
      <c r="AC245" s="1366"/>
      <c r="AD245" s="1366"/>
      <c r="AE245" s="1366"/>
      <c r="AF245" s="1366"/>
      <c r="AG245" s="1366"/>
      <c r="AH245" s="1366"/>
      <c r="AI245" s="1366"/>
      <c r="AJ245" s="1366"/>
      <c r="AK245" s="1366"/>
      <c r="AL245" s="1366"/>
      <c r="AM245" s="1366"/>
      <c r="AN245" s="1366"/>
      <c r="AO245" s="1366"/>
      <c r="AP245" s="1366"/>
      <c r="AQ245" s="1366"/>
      <c r="AR245" s="1366"/>
      <c r="AS245" s="1366"/>
      <c r="AT245" s="1366"/>
      <c r="AU245" s="1366"/>
      <c r="AV245" s="1366"/>
      <c r="AW245" s="1366"/>
      <c r="AX245" s="1366"/>
      <c r="AY245" s="1366"/>
      <c r="AZ245" s="1366"/>
      <c r="BA245" s="1366"/>
      <c r="BB245" s="1366"/>
      <c r="BC245" s="1366"/>
      <c r="BD245" s="1366"/>
      <c r="BE245" s="1366"/>
      <c r="BF245" s="1366"/>
      <c r="BG245" s="1366"/>
      <c r="BH245" s="1366"/>
      <c r="BI245" s="1366"/>
      <c r="BJ245" s="1366"/>
      <c r="BK245" s="1366"/>
      <c r="BL245" s="1366"/>
      <c r="BM245" s="1366"/>
      <c r="BN245" s="1366"/>
      <c r="BO245" s="1366"/>
      <c r="BP245" s="1366"/>
      <c r="BQ245" s="1366"/>
      <c r="BR245" s="1366"/>
      <c r="BS245" s="1366"/>
      <c r="BT245" s="1366"/>
      <c r="BU245" s="1366"/>
      <c r="BV245" s="1366"/>
      <c r="BW245" s="1366"/>
      <c r="BX245" s="1366"/>
      <c r="BY245" s="1366"/>
      <c r="BZ245" s="1366"/>
      <c r="CA245" s="1366"/>
      <c r="CB245" s="1366"/>
      <c r="CC245" s="1366"/>
      <c r="CD245" s="1366"/>
      <c r="CE245" s="1366"/>
      <c r="CF245" s="1366"/>
      <c r="CG245" s="1366"/>
      <c r="CH245" s="1366"/>
      <c r="CI245" s="1366"/>
      <c r="CJ245" s="1366"/>
      <c r="CK245" s="1366"/>
      <c r="CL245" s="1366"/>
      <c r="CM245" s="1366"/>
      <c r="CN245" s="1366"/>
      <c r="CO245" s="1366"/>
      <c r="CP245" s="1366"/>
      <c r="CQ245" s="1366"/>
      <c r="CR245" s="1366"/>
      <c r="CS245" s="1366"/>
      <c r="CT245" s="1366"/>
      <c r="CU245" s="1366"/>
      <c r="CV245" s="1366"/>
      <c r="CW245" s="1366"/>
      <c r="CX245" s="1366"/>
      <c r="CY245" s="1366"/>
      <c r="CZ245" s="1366"/>
      <c r="DA245" s="1366"/>
      <c r="DB245" s="1366"/>
      <c r="DC245" s="1366"/>
      <c r="DD245" s="1366"/>
      <c r="DE245" s="1366"/>
      <c r="DF245" s="1366"/>
      <c r="DG245" s="1366"/>
      <c r="DH245" s="1366"/>
      <c r="DI245" s="1366"/>
      <c r="DJ245" s="1366"/>
      <c r="DK245" s="1366"/>
      <c r="DL245" s="1366"/>
      <c r="DM245" s="1366"/>
      <c r="DN245" s="1366"/>
      <c r="DO245" s="1366"/>
      <c r="DP245" s="1366"/>
      <c r="DQ245" s="1366"/>
      <c r="DR245" s="1366"/>
      <c r="DS245" s="1366"/>
      <c r="DT245" s="1366"/>
      <c r="DU245" s="1366"/>
      <c r="DV245" s="1366"/>
    </row>
    <row r="246" spans="1:126" s="1367" customFormat="1" ht="30">
      <c r="A246" s="2494"/>
      <c r="B246" s="1653">
        <v>101</v>
      </c>
      <c r="C246" s="1642" t="s">
        <v>49</v>
      </c>
      <c r="D246" s="1375" t="s">
        <v>2292</v>
      </c>
      <c r="E246" s="1364" t="s">
        <v>2097</v>
      </c>
      <c r="F246" s="1364" t="s">
        <v>2108</v>
      </c>
      <c r="G246" s="1185" t="s">
        <v>1804</v>
      </c>
      <c r="H246" s="1361">
        <f>((11.5*'Equipment Results Matrix'!$R$696)+(120000*'Equipment Results Matrix'!$R$697)+'Equipment Results Matrix'!$R$698+'Equipment Results Matrix'!$R$700+'Equipment Results Matrix'!$R$702+'Equipment Results Matrix'!$T$703)*(1+'Equipment Results Matrix'!$T$705)</f>
        <v>10325.72125562791</v>
      </c>
      <c r="I246" s="1371">
        <f t="shared" si="70"/>
        <v>35.579000000000001</v>
      </c>
      <c r="J246" s="1372">
        <f>'Labor Results Matrix'!$G$170*(1+'Labor Results Matrix'!$K$169)</f>
        <v>90.130495877989063</v>
      </c>
      <c r="K246" s="1388">
        <f t="shared" si="62"/>
        <v>3206.7529128429728</v>
      </c>
      <c r="L246" s="1372">
        <f>((('Labor Results Matrix'!$I$169+'Labor Results Matrix'!$I$171)*10)+'Labor Results Matrix'!$J$169)*(1+'Labor Results Matrix'!$K$169)</f>
        <v>3968.74379306436</v>
      </c>
      <c r="M246" s="1372">
        <f t="shared" si="63"/>
        <v>17501.217961535243</v>
      </c>
      <c r="N246" s="1458">
        <f t="shared" ref="N246:N250" si="73">M246-$M$244</f>
        <v>1387.3356959999946</v>
      </c>
      <c r="O246" s="1361">
        <f t="shared" si="71"/>
        <v>1032.5721255627909</v>
      </c>
      <c r="P246" s="1371">
        <f t="shared" si="72"/>
        <v>3.5579000000000001</v>
      </c>
      <c r="Q246" s="1388">
        <f t="shared" si="66"/>
        <v>320.67529128429732</v>
      </c>
      <c r="R246" s="1372">
        <f>('Labor Results Matrix'!$I$169+'Labor Results Matrix'!$I$171)*(1+'Labor Results Matrix'!$K$169)</f>
        <v>320.58118278353345</v>
      </c>
      <c r="S246" s="1372">
        <f>'Labor Results Matrix'!$J$169*(1+'Labor Results Matrix'!$K$169)</f>
        <v>762.93196522902554</v>
      </c>
      <c r="T246" s="1372">
        <f t="shared" si="54"/>
        <v>1673.8285996306217</v>
      </c>
      <c r="U246" s="1372">
        <f t="shared" ref="U246:U250" si="74">T246-$T$244</f>
        <v>138.73356959999933</v>
      </c>
      <c r="V246" s="1458">
        <f t="shared" ref="V246:V250" si="75">S246-$S$244</f>
        <v>0</v>
      </c>
      <c r="W246" s="1366"/>
      <c r="X246" s="1366"/>
      <c r="Y246" s="1366"/>
      <c r="Z246" s="1366"/>
      <c r="AA246" s="1366"/>
      <c r="AB246" s="1366"/>
      <c r="AC246" s="1366"/>
      <c r="AD246" s="1366"/>
      <c r="AE246" s="1366"/>
      <c r="AF246" s="1366"/>
      <c r="AG246" s="1366"/>
      <c r="AH246" s="1366"/>
      <c r="AI246" s="1366"/>
      <c r="AJ246" s="1366"/>
      <c r="AK246" s="1366"/>
      <c r="AL246" s="1366"/>
      <c r="AM246" s="1366"/>
      <c r="AN246" s="1366"/>
      <c r="AO246" s="1366"/>
      <c r="AP246" s="1366"/>
      <c r="AQ246" s="1366"/>
      <c r="AR246" s="1366"/>
      <c r="AS246" s="1366"/>
      <c r="AT246" s="1366"/>
      <c r="AU246" s="1366"/>
      <c r="AV246" s="1366"/>
      <c r="AW246" s="1366"/>
      <c r="AX246" s="1366"/>
      <c r="AY246" s="1366"/>
      <c r="AZ246" s="1366"/>
      <c r="BA246" s="1366"/>
      <c r="BB246" s="1366"/>
      <c r="BC246" s="1366"/>
      <c r="BD246" s="1366"/>
      <c r="BE246" s="1366"/>
      <c r="BF246" s="1366"/>
      <c r="BG246" s="1366"/>
      <c r="BH246" s="1366"/>
      <c r="BI246" s="1366"/>
      <c r="BJ246" s="1366"/>
      <c r="BK246" s="1366"/>
      <c r="BL246" s="1366"/>
      <c r="BM246" s="1366"/>
      <c r="BN246" s="1366"/>
      <c r="BO246" s="1366"/>
      <c r="BP246" s="1366"/>
      <c r="BQ246" s="1366"/>
      <c r="BR246" s="1366"/>
      <c r="BS246" s="1366"/>
      <c r="BT246" s="1366"/>
      <c r="BU246" s="1366"/>
      <c r="BV246" s="1366"/>
      <c r="BW246" s="1366"/>
      <c r="BX246" s="1366"/>
      <c r="BY246" s="1366"/>
      <c r="BZ246" s="1366"/>
      <c r="CA246" s="1366"/>
      <c r="CB246" s="1366"/>
      <c r="CC246" s="1366"/>
      <c r="CD246" s="1366"/>
      <c r="CE246" s="1366"/>
      <c r="CF246" s="1366"/>
      <c r="CG246" s="1366"/>
      <c r="CH246" s="1366"/>
      <c r="CI246" s="1366"/>
      <c r="CJ246" s="1366"/>
      <c r="CK246" s="1366"/>
      <c r="CL246" s="1366"/>
      <c r="CM246" s="1366"/>
      <c r="CN246" s="1366"/>
      <c r="CO246" s="1366"/>
      <c r="CP246" s="1366"/>
      <c r="CQ246" s="1366"/>
      <c r="CR246" s="1366"/>
      <c r="CS246" s="1366"/>
      <c r="CT246" s="1366"/>
      <c r="CU246" s="1366"/>
      <c r="CV246" s="1366"/>
      <c r="CW246" s="1366"/>
      <c r="CX246" s="1366"/>
      <c r="CY246" s="1366"/>
      <c r="CZ246" s="1366"/>
      <c r="DA246" s="1366"/>
      <c r="DB246" s="1366"/>
      <c r="DC246" s="1366"/>
      <c r="DD246" s="1366"/>
      <c r="DE246" s="1366"/>
      <c r="DF246" s="1366"/>
      <c r="DG246" s="1366"/>
      <c r="DH246" s="1366"/>
      <c r="DI246" s="1366"/>
      <c r="DJ246" s="1366"/>
      <c r="DK246" s="1366"/>
      <c r="DL246" s="1366"/>
      <c r="DM246" s="1366"/>
      <c r="DN246" s="1366"/>
      <c r="DO246" s="1366"/>
      <c r="DP246" s="1366"/>
      <c r="DQ246" s="1366"/>
      <c r="DR246" s="1366"/>
      <c r="DS246" s="1366"/>
      <c r="DT246" s="1366"/>
      <c r="DU246" s="1366"/>
      <c r="DV246" s="1366"/>
    </row>
    <row r="247" spans="1:126" s="1367" customFormat="1" ht="30">
      <c r="A247" s="2494"/>
      <c r="B247" s="1653">
        <v>102</v>
      </c>
      <c r="C247" s="1642" t="s">
        <v>49</v>
      </c>
      <c r="D247" s="1375" t="s">
        <v>2293</v>
      </c>
      <c r="E247" s="1364" t="s">
        <v>2097</v>
      </c>
      <c r="F247" s="1364" t="s">
        <v>2108</v>
      </c>
      <c r="G247" s="1185" t="s">
        <v>1804</v>
      </c>
      <c r="H247" s="1361">
        <f>((12*'Equipment Results Matrix'!$R$696)+(120000*'Equipment Results Matrix'!$R$697)+'Equipment Results Matrix'!$R$698+'Equipment Results Matrix'!$R$700+'Equipment Results Matrix'!$R$702+'Equipment Results Matrix'!$T$703)*(1+'Equipment Results Matrix'!$T$705)</f>
        <v>11713.056951627905</v>
      </c>
      <c r="I247" s="1371">
        <f t="shared" si="70"/>
        <v>35.579000000000001</v>
      </c>
      <c r="J247" s="1372">
        <f>'Labor Results Matrix'!$G$170*(1+'Labor Results Matrix'!$K$169)</f>
        <v>90.130495877989063</v>
      </c>
      <c r="K247" s="1388">
        <f t="shared" si="62"/>
        <v>3206.7529128429728</v>
      </c>
      <c r="L247" s="1372">
        <f>((('Labor Results Matrix'!$I$169+'Labor Results Matrix'!$I$171)*10)+'Labor Results Matrix'!$J$169)*(1+'Labor Results Matrix'!$K$169)</f>
        <v>3968.74379306436</v>
      </c>
      <c r="M247" s="1372">
        <f t="shared" si="63"/>
        <v>18888.553657535238</v>
      </c>
      <c r="N247" s="1458">
        <f t="shared" si="73"/>
        <v>2774.6713919999893</v>
      </c>
      <c r="O247" s="1361">
        <f t="shared" si="71"/>
        <v>1171.3056951627905</v>
      </c>
      <c r="P247" s="1371">
        <f t="shared" si="72"/>
        <v>3.5579000000000001</v>
      </c>
      <c r="Q247" s="1388">
        <f t="shared" si="66"/>
        <v>320.67529128429732</v>
      </c>
      <c r="R247" s="1372">
        <f>('Labor Results Matrix'!$I$169+'Labor Results Matrix'!$I$171)*(1+'Labor Results Matrix'!$K$169)</f>
        <v>320.58118278353345</v>
      </c>
      <c r="S247" s="1372">
        <f>'Labor Results Matrix'!$J$169*(1+'Labor Results Matrix'!$K$169)</f>
        <v>762.93196522902554</v>
      </c>
      <c r="T247" s="1372">
        <f t="shared" si="54"/>
        <v>1812.5621692306213</v>
      </c>
      <c r="U247" s="1372">
        <f t="shared" si="74"/>
        <v>277.46713919999888</v>
      </c>
      <c r="V247" s="1458">
        <f t="shared" si="75"/>
        <v>0</v>
      </c>
      <c r="W247" s="1366"/>
      <c r="X247" s="1366"/>
      <c r="Y247" s="1366"/>
      <c r="Z247" s="1366"/>
      <c r="AA247" s="1366"/>
      <c r="AB247" s="1366"/>
      <c r="AC247" s="1366"/>
      <c r="AD247" s="1366"/>
      <c r="AE247" s="1366"/>
      <c r="AF247" s="1366"/>
      <c r="AG247" s="1366"/>
      <c r="AH247" s="1366"/>
      <c r="AI247" s="1366"/>
      <c r="AJ247" s="1366"/>
      <c r="AK247" s="1366"/>
      <c r="AL247" s="1366"/>
      <c r="AM247" s="1366"/>
      <c r="AN247" s="1366"/>
      <c r="AO247" s="1366"/>
      <c r="AP247" s="1366"/>
      <c r="AQ247" s="1366"/>
      <c r="AR247" s="1366"/>
      <c r="AS247" s="1366"/>
      <c r="AT247" s="1366"/>
      <c r="AU247" s="1366"/>
      <c r="AV247" s="1366"/>
      <c r="AW247" s="1366"/>
      <c r="AX247" s="1366"/>
      <c r="AY247" s="1366"/>
      <c r="AZ247" s="1366"/>
      <c r="BA247" s="1366"/>
      <c r="BB247" s="1366"/>
      <c r="BC247" s="1366"/>
      <c r="BD247" s="1366"/>
      <c r="BE247" s="1366"/>
      <c r="BF247" s="1366"/>
      <c r="BG247" s="1366"/>
      <c r="BH247" s="1366"/>
      <c r="BI247" s="1366"/>
      <c r="BJ247" s="1366"/>
      <c r="BK247" s="1366"/>
      <c r="BL247" s="1366"/>
      <c r="BM247" s="1366"/>
      <c r="BN247" s="1366"/>
      <c r="BO247" s="1366"/>
      <c r="BP247" s="1366"/>
      <c r="BQ247" s="1366"/>
      <c r="BR247" s="1366"/>
      <c r="BS247" s="1366"/>
      <c r="BT247" s="1366"/>
      <c r="BU247" s="1366"/>
      <c r="BV247" s="1366"/>
      <c r="BW247" s="1366"/>
      <c r="BX247" s="1366"/>
      <c r="BY247" s="1366"/>
      <c r="BZ247" s="1366"/>
      <c r="CA247" s="1366"/>
      <c r="CB247" s="1366"/>
      <c r="CC247" s="1366"/>
      <c r="CD247" s="1366"/>
      <c r="CE247" s="1366"/>
      <c r="CF247" s="1366"/>
      <c r="CG247" s="1366"/>
      <c r="CH247" s="1366"/>
      <c r="CI247" s="1366"/>
      <c r="CJ247" s="1366"/>
      <c r="CK247" s="1366"/>
      <c r="CL247" s="1366"/>
      <c r="CM247" s="1366"/>
      <c r="CN247" s="1366"/>
      <c r="CO247" s="1366"/>
      <c r="CP247" s="1366"/>
      <c r="CQ247" s="1366"/>
      <c r="CR247" s="1366"/>
      <c r="CS247" s="1366"/>
      <c r="CT247" s="1366"/>
      <c r="CU247" s="1366"/>
      <c r="CV247" s="1366"/>
      <c r="CW247" s="1366"/>
      <c r="CX247" s="1366"/>
      <c r="CY247" s="1366"/>
      <c r="CZ247" s="1366"/>
      <c r="DA247" s="1366"/>
      <c r="DB247" s="1366"/>
      <c r="DC247" s="1366"/>
      <c r="DD247" s="1366"/>
      <c r="DE247" s="1366"/>
      <c r="DF247" s="1366"/>
      <c r="DG247" s="1366"/>
      <c r="DH247" s="1366"/>
      <c r="DI247" s="1366"/>
      <c r="DJ247" s="1366"/>
      <c r="DK247" s="1366"/>
      <c r="DL247" s="1366"/>
      <c r="DM247" s="1366"/>
      <c r="DN247" s="1366"/>
      <c r="DO247" s="1366"/>
      <c r="DP247" s="1366"/>
      <c r="DQ247" s="1366"/>
      <c r="DR247" s="1366"/>
      <c r="DS247" s="1366"/>
      <c r="DT247" s="1366"/>
      <c r="DU247" s="1366"/>
      <c r="DV247" s="1366"/>
    </row>
    <row r="248" spans="1:126" s="1367" customFormat="1" ht="45">
      <c r="A248" s="2494"/>
      <c r="B248" s="1653">
        <v>103</v>
      </c>
      <c r="C248" s="1642" t="s">
        <v>49</v>
      </c>
      <c r="D248" s="1375" t="s">
        <v>2294</v>
      </c>
      <c r="E248" s="1364" t="s">
        <v>2100</v>
      </c>
      <c r="F248" s="1364" t="s">
        <v>2108</v>
      </c>
      <c r="G248" s="1185" t="s">
        <v>1804</v>
      </c>
      <c r="H248" s="1361">
        <f>((11*'Equipment Results Matrix'!$R$696)+(120000*'Equipment Results Matrix'!$R$697)+'Equipment Results Matrix'!$R$698+'Equipment Results Matrix'!$R$700+'Equipment Results Matrix'!$R$702+'Equipment Results Matrix'!$T$703)*(1+'Equipment Results Matrix'!$T$705)</f>
        <v>8938.3855596279154</v>
      </c>
      <c r="I248" s="1371">
        <f t="shared" si="70"/>
        <v>35.579000000000001</v>
      </c>
      <c r="J248" s="1372">
        <f>'Labor Results Matrix'!$G$170*(1+'Labor Results Matrix'!$K$169)</f>
        <v>90.130495877989063</v>
      </c>
      <c r="K248" s="1388">
        <f t="shared" si="62"/>
        <v>3206.7529128429728</v>
      </c>
      <c r="L248" s="1372">
        <f>((('Labor Results Matrix'!$I$169+'Labor Results Matrix'!$I$171)*10)+'Labor Results Matrix'!$J$169)*(1+'Labor Results Matrix'!$K$169)</f>
        <v>3968.74379306436</v>
      </c>
      <c r="M248" s="1372">
        <f t="shared" si="63"/>
        <v>16113.882265535249</v>
      </c>
      <c r="N248" s="1458">
        <f t="shared" si="73"/>
        <v>0</v>
      </c>
      <c r="O248" s="1361">
        <f t="shared" si="71"/>
        <v>893.83855596279159</v>
      </c>
      <c r="P248" s="1371">
        <f t="shared" si="72"/>
        <v>3.5579000000000001</v>
      </c>
      <c r="Q248" s="1388">
        <f t="shared" si="66"/>
        <v>320.67529128429732</v>
      </c>
      <c r="R248" s="1372">
        <f>('Labor Results Matrix'!$I$169+'Labor Results Matrix'!$I$171)*(1+'Labor Results Matrix'!$K$169)</f>
        <v>320.58118278353345</v>
      </c>
      <c r="S248" s="1372">
        <f>'Labor Results Matrix'!$J$169*(1+'Labor Results Matrix'!$K$169)</f>
        <v>762.93196522902554</v>
      </c>
      <c r="T248" s="1372">
        <f t="shared" si="54"/>
        <v>1535.0950300306224</v>
      </c>
      <c r="U248" s="1372">
        <f t="shared" si="74"/>
        <v>0</v>
      </c>
      <c r="V248" s="1458">
        <f t="shared" si="75"/>
        <v>0</v>
      </c>
      <c r="W248" s="1366"/>
      <c r="X248" s="1366"/>
      <c r="Y248" s="1366"/>
      <c r="Z248" s="1366"/>
      <c r="AA248" s="1366"/>
      <c r="AB248" s="1366"/>
      <c r="AC248" s="1366"/>
      <c r="AD248" s="1366"/>
      <c r="AE248" s="1366"/>
      <c r="AF248" s="1366"/>
      <c r="AG248" s="1366"/>
      <c r="AH248" s="1366"/>
      <c r="AI248" s="1366"/>
      <c r="AJ248" s="1366"/>
      <c r="AK248" s="1366"/>
      <c r="AL248" s="1366"/>
      <c r="AM248" s="1366"/>
      <c r="AN248" s="1366"/>
      <c r="AO248" s="1366"/>
      <c r="AP248" s="1366"/>
      <c r="AQ248" s="1366"/>
      <c r="AR248" s="1366"/>
      <c r="AS248" s="1366"/>
      <c r="AT248" s="1366"/>
      <c r="AU248" s="1366"/>
      <c r="AV248" s="1366"/>
      <c r="AW248" s="1366"/>
      <c r="AX248" s="1366"/>
      <c r="AY248" s="1366"/>
      <c r="AZ248" s="1366"/>
      <c r="BA248" s="1366"/>
      <c r="BB248" s="1366"/>
      <c r="BC248" s="1366"/>
      <c r="BD248" s="1366"/>
      <c r="BE248" s="1366"/>
      <c r="BF248" s="1366"/>
      <c r="BG248" s="1366"/>
      <c r="BH248" s="1366"/>
      <c r="BI248" s="1366"/>
      <c r="BJ248" s="1366"/>
      <c r="BK248" s="1366"/>
      <c r="BL248" s="1366"/>
      <c r="BM248" s="1366"/>
      <c r="BN248" s="1366"/>
      <c r="BO248" s="1366"/>
      <c r="BP248" s="1366"/>
      <c r="BQ248" s="1366"/>
      <c r="BR248" s="1366"/>
      <c r="BS248" s="1366"/>
      <c r="BT248" s="1366"/>
      <c r="BU248" s="1366"/>
      <c r="BV248" s="1366"/>
      <c r="BW248" s="1366"/>
      <c r="BX248" s="1366"/>
      <c r="BY248" s="1366"/>
      <c r="BZ248" s="1366"/>
      <c r="CA248" s="1366"/>
      <c r="CB248" s="1366"/>
      <c r="CC248" s="1366"/>
      <c r="CD248" s="1366"/>
      <c r="CE248" s="1366"/>
      <c r="CF248" s="1366"/>
      <c r="CG248" s="1366"/>
      <c r="CH248" s="1366"/>
      <c r="CI248" s="1366"/>
      <c r="CJ248" s="1366"/>
      <c r="CK248" s="1366"/>
      <c r="CL248" s="1366"/>
      <c r="CM248" s="1366"/>
      <c r="CN248" s="1366"/>
      <c r="CO248" s="1366"/>
      <c r="CP248" s="1366"/>
      <c r="CQ248" s="1366"/>
      <c r="CR248" s="1366"/>
      <c r="CS248" s="1366"/>
      <c r="CT248" s="1366"/>
      <c r="CU248" s="1366"/>
      <c r="CV248" s="1366"/>
      <c r="CW248" s="1366"/>
      <c r="CX248" s="1366"/>
      <c r="CY248" s="1366"/>
      <c r="CZ248" s="1366"/>
      <c r="DA248" s="1366"/>
      <c r="DB248" s="1366"/>
      <c r="DC248" s="1366"/>
      <c r="DD248" s="1366"/>
      <c r="DE248" s="1366"/>
      <c r="DF248" s="1366"/>
      <c r="DG248" s="1366"/>
      <c r="DH248" s="1366"/>
      <c r="DI248" s="1366"/>
      <c r="DJ248" s="1366"/>
      <c r="DK248" s="1366"/>
      <c r="DL248" s="1366"/>
      <c r="DM248" s="1366"/>
      <c r="DN248" s="1366"/>
      <c r="DO248" s="1366"/>
      <c r="DP248" s="1366"/>
      <c r="DQ248" s="1366"/>
      <c r="DR248" s="1366"/>
      <c r="DS248" s="1366"/>
      <c r="DT248" s="1366"/>
      <c r="DU248" s="1366"/>
      <c r="DV248" s="1366"/>
    </row>
    <row r="249" spans="1:126" s="1367" customFormat="1" ht="45">
      <c r="A249" s="2494"/>
      <c r="B249" s="1653">
        <v>104</v>
      </c>
      <c r="C249" s="1642" t="s">
        <v>49</v>
      </c>
      <c r="D249" s="1375" t="s">
        <v>2295</v>
      </c>
      <c r="E249" s="1364" t="s">
        <v>2097</v>
      </c>
      <c r="F249" s="1364" t="s">
        <v>2108</v>
      </c>
      <c r="G249" s="1185" t="s">
        <v>1804</v>
      </c>
      <c r="H249" s="1361">
        <f>((11.5*'Equipment Results Matrix'!$R$696)+(120000*'Equipment Results Matrix'!$R$697)+'Equipment Results Matrix'!$R$698+'Equipment Results Matrix'!$R$700+'Equipment Results Matrix'!$R$702+'Equipment Results Matrix'!$T$703)*(1+'Equipment Results Matrix'!$T$705)</f>
        <v>10325.72125562791</v>
      </c>
      <c r="I249" s="1371">
        <f t="shared" si="70"/>
        <v>35.579000000000001</v>
      </c>
      <c r="J249" s="1372">
        <f>'Labor Results Matrix'!$G$170*(1+'Labor Results Matrix'!$K$169)</f>
        <v>90.130495877989063</v>
      </c>
      <c r="K249" s="1388">
        <f t="shared" si="62"/>
        <v>3206.7529128429728</v>
      </c>
      <c r="L249" s="1372">
        <f>((('Labor Results Matrix'!$I$169+'Labor Results Matrix'!$I$171)*10)+'Labor Results Matrix'!$J$169)*(1+'Labor Results Matrix'!$K$169)</f>
        <v>3968.74379306436</v>
      </c>
      <c r="M249" s="1372">
        <f t="shared" si="63"/>
        <v>17501.217961535243</v>
      </c>
      <c r="N249" s="1458">
        <f t="shared" si="73"/>
        <v>1387.3356959999946</v>
      </c>
      <c r="O249" s="1361">
        <f t="shared" si="71"/>
        <v>1032.5721255627909</v>
      </c>
      <c r="P249" s="1371">
        <f t="shared" si="72"/>
        <v>3.5579000000000001</v>
      </c>
      <c r="Q249" s="1388">
        <f t="shared" si="66"/>
        <v>320.67529128429732</v>
      </c>
      <c r="R249" s="1372">
        <f>('Labor Results Matrix'!$I$169+'Labor Results Matrix'!$I$171)*(1+'Labor Results Matrix'!$K$169)</f>
        <v>320.58118278353345</v>
      </c>
      <c r="S249" s="1372">
        <f>'Labor Results Matrix'!$J$169*(1+'Labor Results Matrix'!$K$169)</f>
        <v>762.93196522902554</v>
      </c>
      <c r="T249" s="1372">
        <f t="shared" si="54"/>
        <v>1673.8285996306217</v>
      </c>
      <c r="U249" s="1372">
        <f t="shared" si="74"/>
        <v>138.73356959999933</v>
      </c>
      <c r="V249" s="1458">
        <f t="shared" si="75"/>
        <v>0</v>
      </c>
      <c r="W249" s="1366"/>
      <c r="X249" s="1366"/>
      <c r="Y249" s="1366"/>
      <c r="Z249" s="1366"/>
      <c r="AA249" s="1366"/>
      <c r="AB249" s="1366"/>
      <c r="AC249" s="1366"/>
      <c r="AD249" s="1366"/>
      <c r="AE249" s="1366"/>
      <c r="AF249" s="1366"/>
      <c r="AG249" s="1366"/>
      <c r="AH249" s="1366"/>
      <c r="AI249" s="1366"/>
      <c r="AJ249" s="1366"/>
      <c r="AK249" s="1366"/>
      <c r="AL249" s="1366"/>
      <c r="AM249" s="1366"/>
      <c r="AN249" s="1366"/>
      <c r="AO249" s="1366"/>
      <c r="AP249" s="1366"/>
      <c r="AQ249" s="1366"/>
      <c r="AR249" s="1366"/>
      <c r="AS249" s="1366"/>
      <c r="AT249" s="1366"/>
      <c r="AU249" s="1366"/>
      <c r="AV249" s="1366"/>
      <c r="AW249" s="1366"/>
      <c r="AX249" s="1366"/>
      <c r="AY249" s="1366"/>
      <c r="AZ249" s="1366"/>
      <c r="BA249" s="1366"/>
      <c r="BB249" s="1366"/>
      <c r="BC249" s="1366"/>
      <c r="BD249" s="1366"/>
      <c r="BE249" s="1366"/>
      <c r="BF249" s="1366"/>
      <c r="BG249" s="1366"/>
      <c r="BH249" s="1366"/>
      <c r="BI249" s="1366"/>
      <c r="BJ249" s="1366"/>
      <c r="BK249" s="1366"/>
      <c r="BL249" s="1366"/>
      <c r="BM249" s="1366"/>
      <c r="BN249" s="1366"/>
      <c r="BO249" s="1366"/>
      <c r="BP249" s="1366"/>
      <c r="BQ249" s="1366"/>
      <c r="BR249" s="1366"/>
      <c r="BS249" s="1366"/>
      <c r="BT249" s="1366"/>
      <c r="BU249" s="1366"/>
      <c r="BV249" s="1366"/>
      <c r="BW249" s="1366"/>
      <c r="BX249" s="1366"/>
      <c r="BY249" s="1366"/>
      <c r="BZ249" s="1366"/>
      <c r="CA249" s="1366"/>
      <c r="CB249" s="1366"/>
      <c r="CC249" s="1366"/>
      <c r="CD249" s="1366"/>
      <c r="CE249" s="1366"/>
      <c r="CF249" s="1366"/>
      <c r="CG249" s="1366"/>
      <c r="CH249" s="1366"/>
      <c r="CI249" s="1366"/>
      <c r="CJ249" s="1366"/>
      <c r="CK249" s="1366"/>
      <c r="CL249" s="1366"/>
      <c r="CM249" s="1366"/>
      <c r="CN249" s="1366"/>
      <c r="CO249" s="1366"/>
      <c r="CP249" s="1366"/>
      <c r="CQ249" s="1366"/>
      <c r="CR249" s="1366"/>
      <c r="CS249" s="1366"/>
      <c r="CT249" s="1366"/>
      <c r="CU249" s="1366"/>
      <c r="CV249" s="1366"/>
      <c r="CW249" s="1366"/>
      <c r="CX249" s="1366"/>
      <c r="CY249" s="1366"/>
      <c r="CZ249" s="1366"/>
      <c r="DA249" s="1366"/>
      <c r="DB249" s="1366"/>
      <c r="DC249" s="1366"/>
      <c r="DD249" s="1366"/>
      <c r="DE249" s="1366"/>
      <c r="DF249" s="1366"/>
      <c r="DG249" s="1366"/>
      <c r="DH249" s="1366"/>
      <c r="DI249" s="1366"/>
      <c r="DJ249" s="1366"/>
      <c r="DK249" s="1366"/>
      <c r="DL249" s="1366"/>
      <c r="DM249" s="1366"/>
      <c r="DN249" s="1366"/>
      <c r="DO249" s="1366"/>
      <c r="DP249" s="1366"/>
      <c r="DQ249" s="1366"/>
      <c r="DR249" s="1366"/>
      <c r="DS249" s="1366"/>
      <c r="DT249" s="1366"/>
      <c r="DU249" s="1366"/>
      <c r="DV249" s="1366"/>
    </row>
    <row r="250" spans="1:126" s="1367" customFormat="1" ht="45">
      <c r="A250" s="2494"/>
      <c r="B250" s="1653">
        <v>105</v>
      </c>
      <c r="C250" s="1642" t="s">
        <v>49</v>
      </c>
      <c r="D250" s="1375" t="s">
        <v>2296</v>
      </c>
      <c r="E250" s="1364" t="s">
        <v>2097</v>
      </c>
      <c r="F250" s="1364" t="s">
        <v>2108</v>
      </c>
      <c r="G250" s="1185" t="s">
        <v>1804</v>
      </c>
      <c r="H250" s="1361">
        <f>((12*'Equipment Results Matrix'!$R$696)+(120000*'Equipment Results Matrix'!$R$697)+'Equipment Results Matrix'!$R$698+'Equipment Results Matrix'!$R$700+'Equipment Results Matrix'!$R$702+'Equipment Results Matrix'!$T$703)*(1+'Equipment Results Matrix'!$T$705)</f>
        <v>11713.056951627905</v>
      </c>
      <c r="I250" s="1371">
        <f t="shared" si="70"/>
        <v>35.579000000000001</v>
      </c>
      <c r="J250" s="1372">
        <f>'Labor Results Matrix'!$G$170*(1+'Labor Results Matrix'!$K$169)</f>
        <v>90.130495877989063</v>
      </c>
      <c r="K250" s="1388">
        <f t="shared" si="62"/>
        <v>3206.7529128429728</v>
      </c>
      <c r="L250" s="1372">
        <f>((('Labor Results Matrix'!$I$169+'Labor Results Matrix'!$I$171)*10)+'Labor Results Matrix'!$J$169)*(1+'Labor Results Matrix'!$K$169)</f>
        <v>3968.74379306436</v>
      </c>
      <c r="M250" s="1372">
        <f t="shared" si="63"/>
        <v>18888.553657535238</v>
      </c>
      <c r="N250" s="1458">
        <f t="shared" si="73"/>
        <v>2774.6713919999893</v>
      </c>
      <c r="O250" s="1361">
        <f t="shared" si="71"/>
        <v>1171.3056951627905</v>
      </c>
      <c r="P250" s="1371">
        <f t="shared" si="72"/>
        <v>3.5579000000000001</v>
      </c>
      <c r="Q250" s="1388">
        <f t="shared" si="66"/>
        <v>320.67529128429732</v>
      </c>
      <c r="R250" s="1372">
        <f>('Labor Results Matrix'!$I$169+'Labor Results Matrix'!$I$171)*(1+'Labor Results Matrix'!$K$169)</f>
        <v>320.58118278353345</v>
      </c>
      <c r="S250" s="1372">
        <f>'Labor Results Matrix'!$J$169*(1+'Labor Results Matrix'!$K$169)</f>
        <v>762.93196522902554</v>
      </c>
      <c r="T250" s="1372">
        <f t="shared" si="54"/>
        <v>1812.5621692306213</v>
      </c>
      <c r="U250" s="1372">
        <f t="shared" si="74"/>
        <v>277.46713919999888</v>
      </c>
      <c r="V250" s="1458">
        <f t="shared" si="75"/>
        <v>0</v>
      </c>
      <c r="W250" s="1366"/>
      <c r="X250" s="1366"/>
      <c r="Y250" s="1366"/>
      <c r="Z250" s="1366"/>
      <c r="AA250" s="1366"/>
      <c r="AB250" s="1366"/>
      <c r="AC250" s="1366"/>
      <c r="AD250" s="1366"/>
      <c r="AE250" s="1366"/>
      <c r="AF250" s="1366"/>
      <c r="AG250" s="1366"/>
      <c r="AH250" s="1366"/>
      <c r="AI250" s="1366"/>
      <c r="AJ250" s="1366"/>
      <c r="AK250" s="1366"/>
      <c r="AL250" s="1366"/>
      <c r="AM250" s="1366"/>
      <c r="AN250" s="1366"/>
      <c r="AO250" s="1366"/>
      <c r="AP250" s="1366"/>
      <c r="AQ250" s="1366"/>
      <c r="AR250" s="1366"/>
      <c r="AS250" s="1366"/>
      <c r="AT250" s="1366"/>
      <c r="AU250" s="1366"/>
      <c r="AV250" s="1366"/>
      <c r="AW250" s="1366"/>
      <c r="AX250" s="1366"/>
      <c r="AY250" s="1366"/>
      <c r="AZ250" s="1366"/>
      <c r="BA250" s="1366"/>
      <c r="BB250" s="1366"/>
      <c r="BC250" s="1366"/>
      <c r="BD250" s="1366"/>
      <c r="BE250" s="1366"/>
      <c r="BF250" s="1366"/>
      <c r="BG250" s="1366"/>
      <c r="BH250" s="1366"/>
      <c r="BI250" s="1366"/>
      <c r="BJ250" s="1366"/>
      <c r="BK250" s="1366"/>
      <c r="BL250" s="1366"/>
      <c r="BM250" s="1366"/>
      <c r="BN250" s="1366"/>
      <c r="BO250" s="1366"/>
      <c r="BP250" s="1366"/>
      <c r="BQ250" s="1366"/>
      <c r="BR250" s="1366"/>
      <c r="BS250" s="1366"/>
      <c r="BT250" s="1366"/>
      <c r="BU250" s="1366"/>
      <c r="BV250" s="1366"/>
      <c r="BW250" s="1366"/>
      <c r="BX250" s="1366"/>
      <c r="BY250" s="1366"/>
      <c r="BZ250" s="1366"/>
      <c r="CA250" s="1366"/>
      <c r="CB250" s="1366"/>
      <c r="CC250" s="1366"/>
      <c r="CD250" s="1366"/>
      <c r="CE250" s="1366"/>
      <c r="CF250" s="1366"/>
      <c r="CG250" s="1366"/>
      <c r="CH250" s="1366"/>
      <c r="CI250" s="1366"/>
      <c r="CJ250" s="1366"/>
      <c r="CK250" s="1366"/>
      <c r="CL250" s="1366"/>
      <c r="CM250" s="1366"/>
      <c r="CN250" s="1366"/>
      <c r="CO250" s="1366"/>
      <c r="CP250" s="1366"/>
      <c r="CQ250" s="1366"/>
      <c r="CR250" s="1366"/>
      <c r="CS250" s="1366"/>
      <c r="CT250" s="1366"/>
      <c r="CU250" s="1366"/>
      <c r="CV250" s="1366"/>
      <c r="CW250" s="1366"/>
      <c r="CX250" s="1366"/>
      <c r="CY250" s="1366"/>
      <c r="CZ250" s="1366"/>
      <c r="DA250" s="1366"/>
      <c r="DB250" s="1366"/>
      <c r="DC250" s="1366"/>
      <c r="DD250" s="1366"/>
      <c r="DE250" s="1366"/>
      <c r="DF250" s="1366"/>
      <c r="DG250" s="1366"/>
      <c r="DH250" s="1366"/>
      <c r="DI250" s="1366"/>
      <c r="DJ250" s="1366"/>
      <c r="DK250" s="1366"/>
      <c r="DL250" s="1366"/>
      <c r="DM250" s="1366"/>
      <c r="DN250" s="1366"/>
      <c r="DO250" s="1366"/>
      <c r="DP250" s="1366"/>
      <c r="DQ250" s="1366"/>
      <c r="DR250" s="1366"/>
      <c r="DS250" s="1366"/>
      <c r="DT250" s="1366"/>
      <c r="DU250" s="1366"/>
      <c r="DV250" s="1366"/>
    </row>
    <row r="251" spans="1:126" s="1367" customFormat="1" ht="45">
      <c r="A251" s="2494"/>
      <c r="B251" s="1653" t="s">
        <v>2281</v>
      </c>
      <c r="C251" s="1642" t="s">
        <v>47</v>
      </c>
      <c r="D251" s="1375" t="s">
        <v>2297</v>
      </c>
      <c r="E251" s="1364" t="s">
        <v>2266</v>
      </c>
      <c r="F251" s="1364" t="s">
        <v>2108</v>
      </c>
      <c r="G251" s="1185" t="s">
        <v>1804</v>
      </c>
      <c r="H251" s="1361">
        <f>((10.8*'Equipment Results Matrix'!$R$696)+(180000*'Equipment Results Matrix'!$R$697)+'Equipment Results Matrix'!$R$698+'Equipment Results Matrix'!$R$700+'Equipment Results Matrix'!$R$702+'Equipment Results Matrix'!$T$703)*(1+'Equipment Results Matrix'!$T$705)</f>
        <v>14134.811281227903</v>
      </c>
      <c r="I251" s="1371">
        <f>0.845*15+27.129</f>
        <v>39.804000000000002</v>
      </c>
      <c r="J251" s="1372">
        <f>'Labor Results Matrix'!$G$170*(1+'Labor Results Matrix'!$K$169)</f>
        <v>90.130495877989063</v>
      </c>
      <c r="K251" s="1388">
        <f t="shared" si="62"/>
        <v>3587.554257927477</v>
      </c>
      <c r="L251" s="1372">
        <f>((('Labor Results Matrix'!$I$169+'Labor Results Matrix'!$I$171)*15)+'Labor Results Matrix'!$J$169)*(1+'Labor Results Matrix'!$K$169)</f>
        <v>5571.649706982028</v>
      </c>
      <c r="M251" s="1372">
        <f t="shared" si="63"/>
        <v>23294.015246137409</v>
      </c>
      <c r="N251" s="1455" t="s">
        <v>40</v>
      </c>
      <c r="O251" s="1361">
        <f>H251/15</f>
        <v>942.32075208186018</v>
      </c>
      <c r="P251" s="1371">
        <f>I251/15</f>
        <v>2.6536</v>
      </c>
      <c r="Q251" s="1388">
        <f t="shared" si="66"/>
        <v>239.17028386183176</v>
      </c>
      <c r="R251" s="1372">
        <f>('Labor Results Matrix'!$I$169+'Labor Results Matrix'!$I$171)*(1+'Labor Results Matrix'!$K$169)</f>
        <v>320.58118278353345</v>
      </c>
      <c r="S251" s="1372">
        <f>'Labor Results Matrix'!$J$169*(1+'Labor Results Matrix'!$K$169)</f>
        <v>762.93196522902554</v>
      </c>
      <c r="T251" s="1372">
        <f t="shared" si="54"/>
        <v>1502.0722187272254</v>
      </c>
      <c r="U251" s="1417" t="s">
        <v>40</v>
      </c>
      <c r="V251" s="1455" t="s">
        <v>40</v>
      </c>
      <c r="W251" s="1366"/>
      <c r="X251" s="1366"/>
      <c r="Y251" s="1366"/>
      <c r="Z251" s="1366"/>
      <c r="AA251" s="1366"/>
      <c r="AB251" s="1366"/>
      <c r="AC251" s="1366"/>
      <c r="AD251" s="1366"/>
      <c r="AE251" s="1366"/>
      <c r="AF251" s="1366"/>
      <c r="AG251" s="1366"/>
      <c r="AH251" s="1366"/>
      <c r="AI251" s="1366"/>
      <c r="AJ251" s="1366"/>
      <c r="AK251" s="1366"/>
      <c r="AL251" s="1366"/>
      <c r="AM251" s="1366"/>
      <c r="AN251" s="1366"/>
      <c r="AO251" s="1366"/>
      <c r="AP251" s="1366"/>
      <c r="AQ251" s="1366"/>
      <c r="AR251" s="1366"/>
      <c r="AS251" s="1366"/>
      <c r="AT251" s="1366"/>
      <c r="AU251" s="1366"/>
      <c r="AV251" s="1366"/>
      <c r="AW251" s="1366"/>
      <c r="AX251" s="1366"/>
      <c r="AY251" s="1366"/>
      <c r="AZ251" s="1366"/>
      <c r="BA251" s="1366"/>
      <c r="BB251" s="1366"/>
      <c r="BC251" s="1366"/>
      <c r="BD251" s="1366"/>
      <c r="BE251" s="1366"/>
      <c r="BF251" s="1366"/>
      <c r="BG251" s="1366"/>
      <c r="BH251" s="1366"/>
      <c r="BI251" s="1366"/>
      <c r="BJ251" s="1366"/>
      <c r="BK251" s="1366"/>
      <c r="BL251" s="1366"/>
      <c r="BM251" s="1366"/>
      <c r="BN251" s="1366"/>
      <c r="BO251" s="1366"/>
      <c r="BP251" s="1366"/>
      <c r="BQ251" s="1366"/>
      <c r="BR251" s="1366"/>
      <c r="BS251" s="1366"/>
      <c r="BT251" s="1366"/>
      <c r="BU251" s="1366"/>
      <c r="BV251" s="1366"/>
      <c r="BW251" s="1366"/>
      <c r="BX251" s="1366"/>
      <c r="BY251" s="1366"/>
      <c r="BZ251" s="1366"/>
      <c r="CA251" s="1366"/>
      <c r="CB251" s="1366"/>
      <c r="CC251" s="1366"/>
      <c r="CD251" s="1366"/>
      <c r="CE251" s="1366"/>
      <c r="CF251" s="1366"/>
      <c r="CG251" s="1366"/>
      <c r="CH251" s="1366"/>
      <c r="CI251" s="1366"/>
      <c r="CJ251" s="1366"/>
      <c r="CK251" s="1366"/>
      <c r="CL251" s="1366"/>
      <c r="CM251" s="1366"/>
      <c r="CN251" s="1366"/>
      <c r="CO251" s="1366"/>
      <c r="CP251" s="1366"/>
      <c r="CQ251" s="1366"/>
      <c r="CR251" s="1366"/>
      <c r="CS251" s="1366"/>
      <c r="CT251" s="1366"/>
      <c r="CU251" s="1366"/>
      <c r="CV251" s="1366"/>
      <c r="CW251" s="1366"/>
      <c r="CX251" s="1366"/>
      <c r="CY251" s="1366"/>
      <c r="CZ251" s="1366"/>
      <c r="DA251" s="1366"/>
      <c r="DB251" s="1366"/>
      <c r="DC251" s="1366"/>
      <c r="DD251" s="1366"/>
      <c r="DE251" s="1366"/>
      <c r="DF251" s="1366"/>
      <c r="DG251" s="1366"/>
      <c r="DH251" s="1366"/>
      <c r="DI251" s="1366"/>
      <c r="DJ251" s="1366"/>
      <c r="DK251" s="1366"/>
      <c r="DL251" s="1366"/>
      <c r="DM251" s="1366"/>
      <c r="DN251" s="1366"/>
      <c r="DO251" s="1366"/>
      <c r="DP251" s="1366"/>
      <c r="DQ251" s="1366"/>
      <c r="DR251" s="1366"/>
      <c r="DS251" s="1366"/>
      <c r="DT251" s="1366"/>
      <c r="DU251" s="1366"/>
      <c r="DV251" s="1366"/>
    </row>
    <row r="252" spans="1:126" s="1367" customFormat="1" ht="45">
      <c r="A252" s="2494"/>
      <c r="B252" s="1653">
        <v>106</v>
      </c>
      <c r="C252" s="1642" t="s">
        <v>49</v>
      </c>
      <c r="D252" s="1375" t="s">
        <v>2299</v>
      </c>
      <c r="E252" s="1364" t="s">
        <v>2097</v>
      </c>
      <c r="F252" s="1364" t="s">
        <v>2108</v>
      </c>
      <c r="G252" s="1185" t="s">
        <v>1804</v>
      </c>
      <c r="H252" s="1361">
        <f>((10.8*'Equipment Results Matrix'!$R$696)+(180000*'Equipment Results Matrix'!$R$697)+'Equipment Results Matrix'!$R$698+'Equipment Results Matrix'!$R$700+'Equipment Results Matrix'!$R$702+'Equipment Results Matrix'!$T$703)*(1+'Equipment Results Matrix'!$T$705)</f>
        <v>14134.811281227903</v>
      </c>
      <c r="I252" s="1371">
        <f t="shared" ref="I252:I254" si="76">0.845*15+27.129</f>
        <v>39.804000000000002</v>
      </c>
      <c r="J252" s="1372">
        <f>'Labor Results Matrix'!$G$170*(1+'Labor Results Matrix'!$K$169)</f>
        <v>90.130495877989063</v>
      </c>
      <c r="K252" s="1388">
        <f t="shared" si="62"/>
        <v>3587.554257927477</v>
      </c>
      <c r="L252" s="1372">
        <f>((('Labor Results Matrix'!$I$169+'Labor Results Matrix'!$I$171)*15)+'Labor Results Matrix'!$J$169)*(1+'Labor Results Matrix'!$K$169)</f>
        <v>5571.649706982028</v>
      </c>
      <c r="M252" s="1372">
        <f t="shared" si="63"/>
        <v>23294.015246137409</v>
      </c>
      <c r="N252" s="1458">
        <f>M252-$M$251</f>
        <v>0</v>
      </c>
      <c r="O252" s="1361">
        <f t="shared" ref="O252:O254" si="77">H252/15</f>
        <v>942.32075208186018</v>
      </c>
      <c r="P252" s="1371">
        <f t="shared" ref="P252:P254" si="78">I252/15</f>
        <v>2.6536</v>
      </c>
      <c r="Q252" s="1388">
        <f t="shared" si="66"/>
        <v>239.17028386183176</v>
      </c>
      <c r="R252" s="1372">
        <f>('Labor Results Matrix'!$I$169+'Labor Results Matrix'!$I$171)*(1+'Labor Results Matrix'!$K$169)</f>
        <v>320.58118278353345</v>
      </c>
      <c r="S252" s="1372">
        <f>'Labor Results Matrix'!$J$169*(1+'Labor Results Matrix'!$K$169)</f>
        <v>762.93196522902554</v>
      </c>
      <c r="T252" s="1372">
        <f t="shared" si="54"/>
        <v>1502.0722187272254</v>
      </c>
      <c r="U252" s="1372">
        <f>T252-$T$251</f>
        <v>0</v>
      </c>
      <c r="V252" s="1458">
        <f>S252-$S$251</f>
        <v>0</v>
      </c>
      <c r="W252" s="1366"/>
      <c r="X252" s="1366"/>
      <c r="Y252" s="1366"/>
      <c r="Z252" s="1366"/>
      <c r="AA252" s="1366"/>
      <c r="AB252" s="1366"/>
      <c r="AC252" s="1366"/>
      <c r="AD252" s="1366"/>
      <c r="AE252" s="1366"/>
      <c r="AF252" s="1366"/>
      <c r="AG252" s="1366"/>
      <c r="AH252" s="1366"/>
      <c r="AI252" s="1366"/>
      <c r="AJ252" s="1366"/>
      <c r="AK252" s="1366"/>
      <c r="AL252" s="1366"/>
      <c r="AM252" s="1366"/>
      <c r="AN252" s="1366"/>
      <c r="AO252" s="1366"/>
      <c r="AP252" s="1366"/>
      <c r="AQ252" s="1366"/>
      <c r="AR252" s="1366"/>
      <c r="AS252" s="1366"/>
      <c r="AT252" s="1366"/>
      <c r="AU252" s="1366"/>
      <c r="AV252" s="1366"/>
      <c r="AW252" s="1366"/>
      <c r="AX252" s="1366"/>
      <c r="AY252" s="1366"/>
      <c r="AZ252" s="1366"/>
      <c r="BA252" s="1366"/>
      <c r="BB252" s="1366"/>
      <c r="BC252" s="1366"/>
      <c r="BD252" s="1366"/>
      <c r="BE252" s="1366"/>
      <c r="BF252" s="1366"/>
      <c r="BG252" s="1366"/>
      <c r="BH252" s="1366"/>
      <c r="BI252" s="1366"/>
      <c r="BJ252" s="1366"/>
      <c r="BK252" s="1366"/>
      <c r="BL252" s="1366"/>
      <c r="BM252" s="1366"/>
      <c r="BN252" s="1366"/>
      <c r="BO252" s="1366"/>
      <c r="BP252" s="1366"/>
      <c r="BQ252" s="1366"/>
      <c r="BR252" s="1366"/>
      <c r="BS252" s="1366"/>
      <c r="BT252" s="1366"/>
      <c r="BU252" s="1366"/>
      <c r="BV252" s="1366"/>
      <c r="BW252" s="1366"/>
      <c r="BX252" s="1366"/>
      <c r="BY252" s="1366"/>
      <c r="BZ252" s="1366"/>
      <c r="CA252" s="1366"/>
      <c r="CB252" s="1366"/>
      <c r="CC252" s="1366"/>
      <c r="CD252" s="1366"/>
      <c r="CE252" s="1366"/>
      <c r="CF252" s="1366"/>
      <c r="CG252" s="1366"/>
      <c r="CH252" s="1366"/>
      <c r="CI252" s="1366"/>
      <c r="CJ252" s="1366"/>
      <c r="CK252" s="1366"/>
      <c r="CL252" s="1366"/>
      <c r="CM252" s="1366"/>
      <c r="CN252" s="1366"/>
      <c r="CO252" s="1366"/>
      <c r="CP252" s="1366"/>
      <c r="CQ252" s="1366"/>
      <c r="CR252" s="1366"/>
      <c r="CS252" s="1366"/>
      <c r="CT252" s="1366"/>
      <c r="CU252" s="1366"/>
      <c r="CV252" s="1366"/>
      <c r="CW252" s="1366"/>
      <c r="CX252" s="1366"/>
      <c r="CY252" s="1366"/>
      <c r="CZ252" s="1366"/>
      <c r="DA252" s="1366"/>
      <c r="DB252" s="1366"/>
      <c r="DC252" s="1366"/>
      <c r="DD252" s="1366"/>
      <c r="DE252" s="1366"/>
      <c r="DF252" s="1366"/>
      <c r="DG252" s="1366"/>
      <c r="DH252" s="1366"/>
      <c r="DI252" s="1366"/>
      <c r="DJ252" s="1366"/>
      <c r="DK252" s="1366"/>
      <c r="DL252" s="1366"/>
      <c r="DM252" s="1366"/>
      <c r="DN252" s="1366"/>
      <c r="DO252" s="1366"/>
      <c r="DP252" s="1366"/>
      <c r="DQ252" s="1366"/>
      <c r="DR252" s="1366"/>
      <c r="DS252" s="1366"/>
      <c r="DT252" s="1366"/>
      <c r="DU252" s="1366"/>
      <c r="DV252" s="1366"/>
    </row>
    <row r="253" spans="1:126" s="1367" customFormat="1" ht="45">
      <c r="A253" s="2494"/>
      <c r="B253" s="1653">
        <v>107</v>
      </c>
      <c r="C253" s="1642" t="s">
        <v>49</v>
      </c>
      <c r="D253" s="1375" t="s">
        <v>2298</v>
      </c>
      <c r="E253" s="1364" t="s">
        <v>2097</v>
      </c>
      <c r="F253" s="1364" t="s">
        <v>2108</v>
      </c>
      <c r="G253" s="1185" t="s">
        <v>1804</v>
      </c>
      <c r="H253" s="1361">
        <f>((11.5*'Equipment Results Matrix'!$R$696)+(180000*'Equipment Results Matrix'!$R$697)+'Equipment Results Matrix'!$R$698+'Equipment Results Matrix'!$R$700+'Equipment Results Matrix'!$R$702+'Equipment Results Matrix'!$T$703)*(1+'Equipment Results Matrix'!$T$705)</f>
        <v>16077.081255627912</v>
      </c>
      <c r="I253" s="1371">
        <f t="shared" si="76"/>
        <v>39.804000000000002</v>
      </c>
      <c r="J253" s="1372">
        <f>'Labor Results Matrix'!$G$170*(1+'Labor Results Matrix'!$K$169)</f>
        <v>90.130495877989063</v>
      </c>
      <c r="K253" s="1388">
        <f t="shared" si="62"/>
        <v>3587.554257927477</v>
      </c>
      <c r="L253" s="1372">
        <f>((('Labor Results Matrix'!$I$169+'Labor Results Matrix'!$I$171)*15)+'Labor Results Matrix'!$J$169)*(1+'Labor Results Matrix'!$K$169)</f>
        <v>5571.649706982028</v>
      </c>
      <c r="M253" s="1372">
        <f t="shared" si="63"/>
        <v>25236.285220537418</v>
      </c>
      <c r="N253" s="1458">
        <f t="shared" ref="N253:N254" si="79">M253-$M$251</f>
        <v>1942.2699744000092</v>
      </c>
      <c r="O253" s="1361">
        <f t="shared" si="77"/>
        <v>1071.8054170418609</v>
      </c>
      <c r="P253" s="1371">
        <f t="shared" si="78"/>
        <v>2.6536</v>
      </c>
      <c r="Q253" s="1388">
        <f t="shared" si="66"/>
        <v>239.17028386183176</v>
      </c>
      <c r="R253" s="1372">
        <f>('Labor Results Matrix'!$I$169+'Labor Results Matrix'!$I$171)*(1+'Labor Results Matrix'!$K$169)</f>
        <v>320.58118278353345</v>
      </c>
      <c r="S253" s="1372">
        <f>'Labor Results Matrix'!$J$169*(1+'Labor Results Matrix'!$K$169)</f>
        <v>762.93196522902554</v>
      </c>
      <c r="T253" s="1372">
        <f t="shared" si="54"/>
        <v>1631.556883687226</v>
      </c>
      <c r="U253" s="1372">
        <f t="shared" ref="U253:U254" si="80">T253-$T$251</f>
        <v>129.4846649600006</v>
      </c>
      <c r="V253" s="1458">
        <f t="shared" ref="V253:V254" si="81">S253-$S$251</f>
        <v>0</v>
      </c>
      <c r="W253" s="1366"/>
      <c r="X253" s="1366"/>
      <c r="Y253" s="1366"/>
      <c r="Z253" s="1366"/>
      <c r="AA253" s="1366"/>
      <c r="AB253" s="1366"/>
      <c r="AC253" s="1366"/>
      <c r="AD253" s="1366"/>
      <c r="AE253" s="1366"/>
      <c r="AF253" s="1366"/>
      <c r="AG253" s="1366"/>
      <c r="AH253" s="1366"/>
      <c r="AI253" s="1366"/>
      <c r="AJ253" s="1366"/>
      <c r="AK253" s="1366"/>
      <c r="AL253" s="1366"/>
      <c r="AM253" s="1366"/>
      <c r="AN253" s="1366"/>
      <c r="AO253" s="1366"/>
      <c r="AP253" s="1366"/>
      <c r="AQ253" s="1366"/>
      <c r="AR253" s="1366"/>
      <c r="AS253" s="1366"/>
      <c r="AT253" s="1366"/>
      <c r="AU253" s="1366"/>
      <c r="AV253" s="1366"/>
      <c r="AW253" s="1366"/>
      <c r="AX253" s="1366"/>
      <c r="AY253" s="1366"/>
      <c r="AZ253" s="1366"/>
      <c r="BA253" s="1366"/>
      <c r="BB253" s="1366"/>
      <c r="BC253" s="1366"/>
      <c r="BD253" s="1366"/>
      <c r="BE253" s="1366"/>
      <c r="BF253" s="1366"/>
      <c r="BG253" s="1366"/>
      <c r="BH253" s="1366"/>
      <c r="BI253" s="1366"/>
      <c r="BJ253" s="1366"/>
      <c r="BK253" s="1366"/>
      <c r="BL253" s="1366"/>
      <c r="BM253" s="1366"/>
      <c r="BN253" s="1366"/>
      <c r="BO253" s="1366"/>
      <c r="BP253" s="1366"/>
      <c r="BQ253" s="1366"/>
      <c r="BR253" s="1366"/>
      <c r="BS253" s="1366"/>
      <c r="BT253" s="1366"/>
      <c r="BU253" s="1366"/>
      <c r="BV253" s="1366"/>
      <c r="BW253" s="1366"/>
      <c r="BX253" s="1366"/>
      <c r="BY253" s="1366"/>
      <c r="BZ253" s="1366"/>
      <c r="CA253" s="1366"/>
      <c r="CB253" s="1366"/>
      <c r="CC253" s="1366"/>
      <c r="CD253" s="1366"/>
      <c r="CE253" s="1366"/>
      <c r="CF253" s="1366"/>
      <c r="CG253" s="1366"/>
      <c r="CH253" s="1366"/>
      <c r="CI253" s="1366"/>
      <c r="CJ253" s="1366"/>
      <c r="CK253" s="1366"/>
      <c r="CL253" s="1366"/>
      <c r="CM253" s="1366"/>
      <c r="CN253" s="1366"/>
      <c r="CO253" s="1366"/>
      <c r="CP253" s="1366"/>
      <c r="CQ253" s="1366"/>
      <c r="CR253" s="1366"/>
      <c r="CS253" s="1366"/>
      <c r="CT253" s="1366"/>
      <c r="CU253" s="1366"/>
      <c r="CV253" s="1366"/>
      <c r="CW253" s="1366"/>
      <c r="CX253" s="1366"/>
      <c r="CY253" s="1366"/>
      <c r="CZ253" s="1366"/>
      <c r="DA253" s="1366"/>
      <c r="DB253" s="1366"/>
      <c r="DC253" s="1366"/>
      <c r="DD253" s="1366"/>
      <c r="DE253" s="1366"/>
      <c r="DF253" s="1366"/>
      <c r="DG253" s="1366"/>
      <c r="DH253" s="1366"/>
      <c r="DI253" s="1366"/>
      <c r="DJ253" s="1366"/>
      <c r="DK253" s="1366"/>
      <c r="DL253" s="1366"/>
      <c r="DM253" s="1366"/>
      <c r="DN253" s="1366"/>
      <c r="DO253" s="1366"/>
      <c r="DP253" s="1366"/>
      <c r="DQ253" s="1366"/>
      <c r="DR253" s="1366"/>
      <c r="DS253" s="1366"/>
      <c r="DT253" s="1366"/>
      <c r="DU253" s="1366"/>
      <c r="DV253" s="1366"/>
    </row>
    <row r="254" spans="1:126" s="1367" customFormat="1" ht="45">
      <c r="A254" s="2494"/>
      <c r="B254" s="1653">
        <v>108</v>
      </c>
      <c r="C254" s="1642" t="s">
        <v>49</v>
      </c>
      <c r="D254" s="1375" t="s">
        <v>2300</v>
      </c>
      <c r="E254" s="1364" t="s">
        <v>2100</v>
      </c>
      <c r="F254" s="1364" t="s">
        <v>2108</v>
      </c>
      <c r="G254" s="1185" t="s">
        <v>1804</v>
      </c>
      <c r="H254" s="1361">
        <f>((12*'Equipment Results Matrix'!$R$696)+(180000*'Equipment Results Matrix'!$R$697)+'Equipment Results Matrix'!$R$698+'Equipment Results Matrix'!$R$700+'Equipment Results Matrix'!$R$702+'Equipment Results Matrix'!$T$703)*(1+'Equipment Results Matrix'!$T$705)</f>
        <v>17464.416951627907</v>
      </c>
      <c r="I254" s="1371">
        <f t="shared" si="76"/>
        <v>39.804000000000002</v>
      </c>
      <c r="J254" s="1372">
        <f>'Labor Results Matrix'!$G$170*(1+'Labor Results Matrix'!$K$169)</f>
        <v>90.130495877989063</v>
      </c>
      <c r="K254" s="1388">
        <f t="shared" si="62"/>
        <v>3587.554257927477</v>
      </c>
      <c r="L254" s="1372">
        <f>((('Labor Results Matrix'!$I$169+'Labor Results Matrix'!$I$171)*15)+'Labor Results Matrix'!$J$169)*(1+'Labor Results Matrix'!$K$169)</f>
        <v>5571.649706982028</v>
      </c>
      <c r="M254" s="1372">
        <f t="shared" si="63"/>
        <v>26623.620916537413</v>
      </c>
      <c r="N254" s="1458">
        <f t="shared" si="79"/>
        <v>3329.6056704000039</v>
      </c>
      <c r="O254" s="1361">
        <f t="shared" si="77"/>
        <v>1164.2944634418604</v>
      </c>
      <c r="P254" s="1371">
        <f t="shared" si="78"/>
        <v>2.6536</v>
      </c>
      <c r="Q254" s="1388">
        <f t="shared" si="66"/>
        <v>239.17028386183176</v>
      </c>
      <c r="R254" s="1372">
        <f>('Labor Results Matrix'!$I$169+'Labor Results Matrix'!$I$171)*(1+'Labor Results Matrix'!$K$169)</f>
        <v>320.58118278353345</v>
      </c>
      <c r="S254" s="1372">
        <f>'Labor Results Matrix'!$J$169*(1+'Labor Results Matrix'!$K$169)</f>
        <v>762.93196522902554</v>
      </c>
      <c r="T254" s="1372">
        <f t="shared" si="54"/>
        <v>1724.0459300872255</v>
      </c>
      <c r="U254" s="1372">
        <f t="shared" si="80"/>
        <v>221.97371136000015</v>
      </c>
      <c r="V254" s="1458">
        <f t="shared" si="81"/>
        <v>0</v>
      </c>
      <c r="W254" s="1366"/>
      <c r="X254" s="1366"/>
      <c r="Y254" s="1366"/>
      <c r="Z254" s="1366"/>
      <c r="AA254" s="1366"/>
      <c r="AB254" s="1366"/>
      <c r="AC254" s="1366"/>
      <c r="AD254" s="1366"/>
      <c r="AE254" s="1366"/>
      <c r="AF254" s="1366"/>
      <c r="AG254" s="1366"/>
      <c r="AH254" s="1366"/>
      <c r="AI254" s="1366"/>
      <c r="AJ254" s="1366"/>
      <c r="AK254" s="1366"/>
      <c r="AL254" s="1366"/>
      <c r="AM254" s="1366"/>
      <c r="AN254" s="1366"/>
      <c r="AO254" s="1366"/>
      <c r="AP254" s="1366"/>
      <c r="AQ254" s="1366"/>
      <c r="AR254" s="1366"/>
      <c r="AS254" s="1366"/>
      <c r="AT254" s="1366"/>
      <c r="AU254" s="1366"/>
      <c r="AV254" s="1366"/>
      <c r="AW254" s="1366"/>
      <c r="AX254" s="1366"/>
      <c r="AY254" s="1366"/>
      <c r="AZ254" s="1366"/>
      <c r="BA254" s="1366"/>
      <c r="BB254" s="1366"/>
      <c r="BC254" s="1366"/>
      <c r="BD254" s="1366"/>
      <c r="BE254" s="1366"/>
      <c r="BF254" s="1366"/>
      <c r="BG254" s="1366"/>
      <c r="BH254" s="1366"/>
      <c r="BI254" s="1366"/>
      <c r="BJ254" s="1366"/>
      <c r="BK254" s="1366"/>
      <c r="BL254" s="1366"/>
      <c r="BM254" s="1366"/>
      <c r="BN254" s="1366"/>
      <c r="BO254" s="1366"/>
      <c r="BP254" s="1366"/>
      <c r="BQ254" s="1366"/>
      <c r="BR254" s="1366"/>
      <c r="BS254" s="1366"/>
      <c r="BT254" s="1366"/>
      <c r="BU254" s="1366"/>
      <c r="BV254" s="1366"/>
      <c r="BW254" s="1366"/>
      <c r="BX254" s="1366"/>
      <c r="BY254" s="1366"/>
      <c r="BZ254" s="1366"/>
      <c r="CA254" s="1366"/>
      <c r="CB254" s="1366"/>
      <c r="CC254" s="1366"/>
      <c r="CD254" s="1366"/>
      <c r="CE254" s="1366"/>
      <c r="CF254" s="1366"/>
      <c r="CG254" s="1366"/>
      <c r="CH254" s="1366"/>
      <c r="CI254" s="1366"/>
      <c r="CJ254" s="1366"/>
      <c r="CK254" s="1366"/>
      <c r="CL254" s="1366"/>
      <c r="CM254" s="1366"/>
      <c r="CN254" s="1366"/>
      <c r="CO254" s="1366"/>
      <c r="CP254" s="1366"/>
      <c r="CQ254" s="1366"/>
      <c r="CR254" s="1366"/>
      <c r="CS254" s="1366"/>
      <c r="CT254" s="1366"/>
      <c r="CU254" s="1366"/>
      <c r="CV254" s="1366"/>
      <c r="CW254" s="1366"/>
      <c r="CX254" s="1366"/>
      <c r="CY254" s="1366"/>
      <c r="CZ254" s="1366"/>
      <c r="DA254" s="1366"/>
      <c r="DB254" s="1366"/>
      <c r="DC254" s="1366"/>
      <c r="DD254" s="1366"/>
      <c r="DE254" s="1366"/>
      <c r="DF254" s="1366"/>
      <c r="DG254" s="1366"/>
      <c r="DH254" s="1366"/>
      <c r="DI254" s="1366"/>
      <c r="DJ254" s="1366"/>
      <c r="DK254" s="1366"/>
      <c r="DL254" s="1366"/>
      <c r="DM254" s="1366"/>
      <c r="DN254" s="1366"/>
      <c r="DO254" s="1366"/>
      <c r="DP254" s="1366"/>
      <c r="DQ254" s="1366"/>
      <c r="DR254" s="1366"/>
      <c r="DS254" s="1366"/>
      <c r="DT254" s="1366"/>
      <c r="DU254" s="1366"/>
      <c r="DV254" s="1366"/>
    </row>
    <row r="255" spans="1:126" s="1367" customFormat="1" ht="30">
      <c r="A255" s="2494"/>
      <c r="B255" s="1653" t="s">
        <v>2282</v>
      </c>
      <c r="C255" s="1642" t="s">
        <v>47</v>
      </c>
      <c r="D255" s="1375" t="s">
        <v>2301</v>
      </c>
      <c r="E255" s="1364" t="s">
        <v>2266</v>
      </c>
      <c r="F255" s="1364" t="s">
        <v>2108</v>
      </c>
      <c r="G255" s="1185" t="s">
        <v>1804</v>
      </c>
      <c r="H255" s="1361">
        <f>((9.8*'Equipment Results Matrix'!$R$696)+(480000*'Equipment Results Matrix'!$R$697)+'Equipment Results Matrix'!$R$698+'Equipment Results Matrix'!$R$700+'Equipment Results Matrix'!$R$702+'Equipment Results Matrix'!$T$703)*(1+'Equipment Results Matrix'!$T$705)</f>
        <v>40116.939889227921</v>
      </c>
      <c r="I255" s="1371">
        <f>0.845*40+27.129</f>
        <v>60.929000000000002</v>
      </c>
      <c r="J255" s="1372">
        <f>'Labor Results Matrix'!$G$170*(1+'Labor Results Matrix'!$K$169)</f>
        <v>90.130495877989063</v>
      </c>
      <c r="K255" s="1388">
        <f t="shared" si="62"/>
        <v>5491.5609833499957</v>
      </c>
      <c r="L255" s="1372">
        <f>((('Labor Results Matrix'!$I$169+'Labor Results Matrix'!$I$171)*40)+'Labor Results Matrix'!$J$169)*(1+'Labor Results Matrix'!$K$169)</f>
        <v>13586.179276570365</v>
      </c>
      <c r="M255" s="1372">
        <f t="shared" si="63"/>
        <v>59194.680149148284</v>
      </c>
      <c r="N255" s="1455" t="s">
        <v>40</v>
      </c>
      <c r="O255" s="1361">
        <f>H255/40</f>
        <v>1002.923497230698</v>
      </c>
      <c r="P255" s="1371">
        <f>I255/40</f>
        <v>1.5232250000000001</v>
      </c>
      <c r="Q255" s="1388">
        <f t="shared" si="66"/>
        <v>137.28902458374989</v>
      </c>
      <c r="R255" s="1372">
        <f>('Labor Results Matrix'!$I$169+'Labor Results Matrix'!$I$171)*(1+'Labor Results Matrix'!$K$169)</f>
        <v>320.58118278353345</v>
      </c>
      <c r="S255" s="1372">
        <f>'Labor Results Matrix'!$J$169*(1+'Labor Results Matrix'!$K$169)</f>
        <v>762.93196522902554</v>
      </c>
      <c r="T255" s="1372">
        <f t="shared" si="54"/>
        <v>1460.7937045979813</v>
      </c>
      <c r="U255" s="1417" t="s">
        <v>40</v>
      </c>
      <c r="V255" s="1455" t="s">
        <v>40</v>
      </c>
      <c r="W255" s="1366"/>
      <c r="X255" s="1366"/>
      <c r="Y255" s="1366"/>
      <c r="Z255" s="1366"/>
      <c r="AA255" s="1366"/>
      <c r="AB255" s="1366"/>
      <c r="AC255" s="1366"/>
      <c r="AD255" s="1366"/>
      <c r="AE255" s="1366"/>
      <c r="AF255" s="1366"/>
      <c r="AG255" s="1366"/>
      <c r="AH255" s="1366"/>
      <c r="AI255" s="1366"/>
      <c r="AJ255" s="1366"/>
      <c r="AK255" s="1366"/>
      <c r="AL255" s="1366"/>
      <c r="AM255" s="1366"/>
      <c r="AN255" s="1366"/>
      <c r="AO255" s="1366"/>
      <c r="AP255" s="1366"/>
      <c r="AQ255" s="1366"/>
      <c r="AR255" s="1366"/>
      <c r="AS255" s="1366"/>
      <c r="AT255" s="1366"/>
      <c r="AU255" s="1366"/>
      <c r="AV255" s="1366"/>
      <c r="AW255" s="1366"/>
      <c r="AX255" s="1366"/>
      <c r="AY255" s="1366"/>
      <c r="AZ255" s="1366"/>
      <c r="BA255" s="1366"/>
      <c r="BB255" s="1366"/>
      <c r="BC255" s="1366"/>
      <c r="BD255" s="1366"/>
      <c r="BE255" s="1366"/>
      <c r="BF255" s="1366"/>
      <c r="BG255" s="1366"/>
      <c r="BH255" s="1366"/>
      <c r="BI255" s="1366"/>
      <c r="BJ255" s="1366"/>
      <c r="BK255" s="1366"/>
      <c r="BL255" s="1366"/>
      <c r="BM255" s="1366"/>
      <c r="BN255" s="1366"/>
      <c r="BO255" s="1366"/>
      <c r="BP255" s="1366"/>
      <c r="BQ255" s="1366"/>
      <c r="BR255" s="1366"/>
      <c r="BS255" s="1366"/>
      <c r="BT255" s="1366"/>
      <c r="BU255" s="1366"/>
      <c r="BV255" s="1366"/>
      <c r="BW255" s="1366"/>
      <c r="BX255" s="1366"/>
      <c r="BY255" s="1366"/>
      <c r="BZ255" s="1366"/>
      <c r="CA255" s="1366"/>
      <c r="CB255" s="1366"/>
      <c r="CC255" s="1366"/>
      <c r="CD255" s="1366"/>
      <c r="CE255" s="1366"/>
      <c r="CF255" s="1366"/>
      <c r="CG255" s="1366"/>
      <c r="CH255" s="1366"/>
      <c r="CI255" s="1366"/>
      <c r="CJ255" s="1366"/>
      <c r="CK255" s="1366"/>
      <c r="CL255" s="1366"/>
      <c r="CM255" s="1366"/>
      <c r="CN255" s="1366"/>
      <c r="CO255" s="1366"/>
      <c r="CP255" s="1366"/>
      <c r="CQ255" s="1366"/>
      <c r="CR255" s="1366"/>
      <c r="CS255" s="1366"/>
      <c r="CT255" s="1366"/>
      <c r="CU255" s="1366"/>
      <c r="CV255" s="1366"/>
      <c r="CW255" s="1366"/>
      <c r="CX255" s="1366"/>
      <c r="CY255" s="1366"/>
      <c r="CZ255" s="1366"/>
      <c r="DA255" s="1366"/>
      <c r="DB255" s="1366"/>
      <c r="DC255" s="1366"/>
      <c r="DD255" s="1366"/>
      <c r="DE255" s="1366"/>
      <c r="DF255" s="1366"/>
      <c r="DG255" s="1366"/>
      <c r="DH255" s="1366"/>
      <c r="DI255" s="1366"/>
      <c r="DJ255" s="1366"/>
      <c r="DK255" s="1366"/>
      <c r="DL255" s="1366"/>
      <c r="DM255" s="1366"/>
      <c r="DN255" s="1366"/>
      <c r="DO255" s="1366"/>
      <c r="DP255" s="1366"/>
      <c r="DQ255" s="1366"/>
      <c r="DR255" s="1366"/>
      <c r="DS255" s="1366"/>
      <c r="DT255" s="1366"/>
      <c r="DU255" s="1366"/>
      <c r="DV255" s="1366"/>
    </row>
    <row r="256" spans="1:126" s="1367" customFormat="1" ht="30">
      <c r="A256" s="2494"/>
      <c r="B256" s="1653">
        <v>109</v>
      </c>
      <c r="C256" s="1642" t="s">
        <v>49</v>
      </c>
      <c r="D256" s="1375" t="s">
        <v>2302</v>
      </c>
      <c r="E256" s="1364" t="s">
        <v>2100</v>
      </c>
      <c r="F256" s="1364" t="s">
        <v>2108</v>
      </c>
      <c r="G256" s="1185" t="s">
        <v>1804</v>
      </c>
      <c r="H256" s="1361">
        <f>((10.5*'Equipment Results Matrix'!$R$696)+(480000*'Equipment Results Matrix'!$R$697)+'Equipment Results Matrix'!$R$698+'Equipment Results Matrix'!$R$700+'Equipment Results Matrix'!$R$702+'Equipment Results Matrix'!$T$703)*(1+'Equipment Results Matrix'!$T$705)</f>
        <v>42059.209863627912</v>
      </c>
      <c r="I256" s="1371">
        <f t="shared" ref="I256:I258" si="82">0.845*40+27.129</f>
        <v>60.929000000000002</v>
      </c>
      <c r="J256" s="1372">
        <f>'Labor Results Matrix'!$G$170*(1+'Labor Results Matrix'!$K$169)</f>
        <v>90.130495877989063</v>
      </c>
      <c r="K256" s="1388">
        <f t="shared" si="62"/>
        <v>5491.5609833499957</v>
      </c>
      <c r="L256" s="1372">
        <f>((('Labor Results Matrix'!$I$169+'Labor Results Matrix'!$I$171)*40)+'Labor Results Matrix'!$J$169)*(1+'Labor Results Matrix'!$K$169)</f>
        <v>13586.179276570365</v>
      </c>
      <c r="M256" s="1372">
        <f t="shared" si="63"/>
        <v>61136.950123548275</v>
      </c>
      <c r="N256" s="1458">
        <f>M256-$M$255</f>
        <v>1942.269974399991</v>
      </c>
      <c r="O256" s="1361">
        <f t="shared" ref="O256:O258" si="83">H256/40</f>
        <v>1051.4802465906978</v>
      </c>
      <c r="P256" s="1371">
        <f t="shared" ref="P256:P258" si="84">I256/40</f>
        <v>1.5232250000000001</v>
      </c>
      <c r="Q256" s="1388">
        <f t="shared" si="66"/>
        <v>137.28902458374989</v>
      </c>
      <c r="R256" s="1372">
        <f>('Labor Results Matrix'!$I$169+'Labor Results Matrix'!$I$171)*(1+'Labor Results Matrix'!$K$169)</f>
        <v>320.58118278353345</v>
      </c>
      <c r="S256" s="1372">
        <f>'Labor Results Matrix'!$J$169*(1+'Labor Results Matrix'!$K$169)</f>
        <v>762.93196522902554</v>
      </c>
      <c r="T256" s="1372">
        <f t="shared" si="54"/>
        <v>1509.350453957981</v>
      </c>
      <c r="U256" s="1372">
        <f>T256-$T$255</f>
        <v>48.556749359999685</v>
      </c>
      <c r="V256" s="1458">
        <f>S256-$S$255</f>
        <v>0</v>
      </c>
      <c r="W256" s="1366"/>
      <c r="X256" s="1366"/>
      <c r="Y256" s="1366"/>
      <c r="Z256" s="1366"/>
      <c r="AA256" s="1366"/>
      <c r="AB256" s="1366"/>
      <c r="AC256" s="1366"/>
      <c r="AD256" s="1366"/>
      <c r="AE256" s="1366"/>
      <c r="AF256" s="1366"/>
      <c r="AG256" s="1366"/>
      <c r="AH256" s="1366"/>
      <c r="AI256" s="1366"/>
      <c r="AJ256" s="1366"/>
      <c r="AK256" s="1366"/>
      <c r="AL256" s="1366"/>
      <c r="AM256" s="1366"/>
      <c r="AN256" s="1366"/>
      <c r="AO256" s="1366"/>
      <c r="AP256" s="1366"/>
      <c r="AQ256" s="1366"/>
      <c r="AR256" s="1366"/>
      <c r="AS256" s="1366"/>
      <c r="AT256" s="1366"/>
      <c r="AU256" s="1366"/>
      <c r="AV256" s="1366"/>
      <c r="AW256" s="1366"/>
      <c r="AX256" s="1366"/>
      <c r="AY256" s="1366"/>
      <c r="AZ256" s="1366"/>
      <c r="BA256" s="1366"/>
      <c r="BB256" s="1366"/>
      <c r="BC256" s="1366"/>
      <c r="BD256" s="1366"/>
      <c r="BE256" s="1366"/>
      <c r="BF256" s="1366"/>
      <c r="BG256" s="1366"/>
      <c r="BH256" s="1366"/>
      <c r="BI256" s="1366"/>
      <c r="BJ256" s="1366"/>
      <c r="BK256" s="1366"/>
      <c r="BL256" s="1366"/>
      <c r="BM256" s="1366"/>
      <c r="BN256" s="1366"/>
      <c r="BO256" s="1366"/>
      <c r="BP256" s="1366"/>
      <c r="BQ256" s="1366"/>
      <c r="BR256" s="1366"/>
      <c r="BS256" s="1366"/>
      <c r="BT256" s="1366"/>
      <c r="BU256" s="1366"/>
      <c r="BV256" s="1366"/>
      <c r="BW256" s="1366"/>
      <c r="BX256" s="1366"/>
      <c r="BY256" s="1366"/>
      <c r="BZ256" s="1366"/>
      <c r="CA256" s="1366"/>
      <c r="CB256" s="1366"/>
      <c r="CC256" s="1366"/>
      <c r="CD256" s="1366"/>
      <c r="CE256" s="1366"/>
      <c r="CF256" s="1366"/>
      <c r="CG256" s="1366"/>
      <c r="CH256" s="1366"/>
      <c r="CI256" s="1366"/>
      <c r="CJ256" s="1366"/>
      <c r="CK256" s="1366"/>
      <c r="CL256" s="1366"/>
      <c r="CM256" s="1366"/>
      <c r="CN256" s="1366"/>
      <c r="CO256" s="1366"/>
      <c r="CP256" s="1366"/>
      <c r="CQ256" s="1366"/>
      <c r="CR256" s="1366"/>
      <c r="CS256" s="1366"/>
      <c r="CT256" s="1366"/>
      <c r="CU256" s="1366"/>
      <c r="CV256" s="1366"/>
      <c r="CW256" s="1366"/>
      <c r="CX256" s="1366"/>
      <c r="CY256" s="1366"/>
      <c r="CZ256" s="1366"/>
      <c r="DA256" s="1366"/>
      <c r="DB256" s="1366"/>
      <c r="DC256" s="1366"/>
      <c r="DD256" s="1366"/>
      <c r="DE256" s="1366"/>
      <c r="DF256" s="1366"/>
      <c r="DG256" s="1366"/>
      <c r="DH256" s="1366"/>
      <c r="DI256" s="1366"/>
      <c r="DJ256" s="1366"/>
      <c r="DK256" s="1366"/>
      <c r="DL256" s="1366"/>
      <c r="DM256" s="1366"/>
      <c r="DN256" s="1366"/>
      <c r="DO256" s="1366"/>
      <c r="DP256" s="1366"/>
      <c r="DQ256" s="1366"/>
      <c r="DR256" s="1366"/>
      <c r="DS256" s="1366"/>
      <c r="DT256" s="1366"/>
      <c r="DU256" s="1366"/>
      <c r="DV256" s="1366"/>
    </row>
    <row r="257" spans="1:126" s="1367" customFormat="1" ht="30">
      <c r="A257" s="2494"/>
      <c r="B257" s="1653">
        <v>110</v>
      </c>
      <c r="C257" s="1642" t="s">
        <v>49</v>
      </c>
      <c r="D257" s="1375" t="s">
        <v>2303</v>
      </c>
      <c r="E257" s="1364" t="s">
        <v>2097</v>
      </c>
      <c r="F257" s="1364" t="s">
        <v>2108</v>
      </c>
      <c r="G257" s="1185" t="s">
        <v>1804</v>
      </c>
      <c r="H257" s="1361">
        <f>((10.8*'Equipment Results Matrix'!$R$696)+(480000*'Equipment Results Matrix'!$R$697)+'Equipment Results Matrix'!$R$698+'Equipment Results Matrix'!$R$700+'Equipment Results Matrix'!$R$702+'Equipment Results Matrix'!$T$703)*(1+'Equipment Results Matrix'!$T$705)</f>
        <v>42891.61128122791</v>
      </c>
      <c r="I257" s="1371">
        <f t="shared" si="82"/>
        <v>60.929000000000002</v>
      </c>
      <c r="J257" s="1372">
        <f>'Labor Results Matrix'!$G$170*(1+'Labor Results Matrix'!$K$169)</f>
        <v>90.130495877989063</v>
      </c>
      <c r="K257" s="1388">
        <f t="shared" si="62"/>
        <v>5491.5609833499957</v>
      </c>
      <c r="L257" s="1372">
        <f>((('Labor Results Matrix'!$I$169+'Labor Results Matrix'!$I$171)*40)+'Labor Results Matrix'!$J$169)*(1+'Labor Results Matrix'!$K$169)</f>
        <v>13586.179276570365</v>
      </c>
      <c r="M257" s="1372">
        <f t="shared" si="63"/>
        <v>61969.351541148273</v>
      </c>
      <c r="N257" s="1458">
        <f t="shared" ref="N257:N258" si="85">M257-$M$255</f>
        <v>2774.6713919999893</v>
      </c>
      <c r="O257" s="1361">
        <f t="shared" si="83"/>
        <v>1072.2902820306977</v>
      </c>
      <c r="P257" s="1371">
        <f t="shared" si="84"/>
        <v>1.5232250000000001</v>
      </c>
      <c r="Q257" s="1388">
        <f t="shared" si="66"/>
        <v>137.28902458374989</v>
      </c>
      <c r="R257" s="1372">
        <f>('Labor Results Matrix'!$I$169+'Labor Results Matrix'!$I$171)*(1+'Labor Results Matrix'!$K$169)</f>
        <v>320.58118278353345</v>
      </c>
      <c r="S257" s="1372">
        <f>'Labor Results Matrix'!$J$169*(1+'Labor Results Matrix'!$K$169)</f>
        <v>762.93196522902554</v>
      </c>
      <c r="T257" s="1372">
        <f t="shared" si="54"/>
        <v>1530.1604893979809</v>
      </c>
      <c r="U257" s="1372">
        <f t="shared" ref="U257:U258" si="86">T257-$T$255</f>
        <v>69.36678479999955</v>
      </c>
      <c r="V257" s="1458">
        <f t="shared" ref="V257:V258" si="87">S257-$S$255</f>
        <v>0</v>
      </c>
      <c r="W257" s="1366"/>
      <c r="X257" s="1366"/>
      <c r="Y257" s="1366"/>
      <c r="Z257" s="1366"/>
      <c r="AA257" s="1366"/>
      <c r="AB257" s="1366"/>
      <c r="AC257" s="1366"/>
      <c r="AD257" s="1366"/>
      <c r="AE257" s="1366"/>
      <c r="AF257" s="1366"/>
      <c r="AG257" s="1366"/>
      <c r="AH257" s="1366"/>
      <c r="AI257" s="1366"/>
      <c r="AJ257" s="1366"/>
      <c r="AK257" s="1366"/>
      <c r="AL257" s="1366"/>
      <c r="AM257" s="1366"/>
      <c r="AN257" s="1366"/>
      <c r="AO257" s="1366"/>
      <c r="AP257" s="1366"/>
      <c r="AQ257" s="1366"/>
      <c r="AR257" s="1366"/>
      <c r="AS257" s="1366"/>
      <c r="AT257" s="1366"/>
      <c r="AU257" s="1366"/>
      <c r="AV257" s="1366"/>
      <c r="AW257" s="1366"/>
      <c r="AX257" s="1366"/>
      <c r="AY257" s="1366"/>
      <c r="AZ257" s="1366"/>
      <c r="BA257" s="1366"/>
      <c r="BB257" s="1366"/>
      <c r="BC257" s="1366"/>
      <c r="BD257" s="1366"/>
      <c r="BE257" s="1366"/>
      <c r="BF257" s="1366"/>
      <c r="BG257" s="1366"/>
      <c r="BH257" s="1366"/>
      <c r="BI257" s="1366"/>
      <c r="BJ257" s="1366"/>
      <c r="BK257" s="1366"/>
      <c r="BL257" s="1366"/>
      <c r="BM257" s="1366"/>
      <c r="BN257" s="1366"/>
      <c r="BO257" s="1366"/>
      <c r="BP257" s="1366"/>
      <c r="BQ257" s="1366"/>
      <c r="BR257" s="1366"/>
      <c r="BS257" s="1366"/>
      <c r="BT257" s="1366"/>
      <c r="BU257" s="1366"/>
      <c r="BV257" s="1366"/>
      <c r="BW257" s="1366"/>
      <c r="BX257" s="1366"/>
      <c r="BY257" s="1366"/>
      <c r="BZ257" s="1366"/>
      <c r="CA257" s="1366"/>
      <c r="CB257" s="1366"/>
      <c r="CC257" s="1366"/>
      <c r="CD257" s="1366"/>
      <c r="CE257" s="1366"/>
      <c r="CF257" s="1366"/>
      <c r="CG257" s="1366"/>
      <c r="CH257" s="1366"/>
      <c r="CI257" s="1366"/>
      <c r="CJ257" s="1366"/>
      <c r="CK257" s="1366"/>
      <c r="CL257" s="1366"/>
      <c r="CM257" s="1366"/>
      <c r="CN257" s="1366"/>
      <c r="CO257" s="1366"/>
      <c r="CP257" s="1366"/>
      <c r="CQ257" s="1366"/>
      <c r="CR257" s="1366"/>
      <c r="CS257" s="1366"/>
      <c r="CT257" s="1366"/>
      <c r="CU257" s="1366"/>
      <c r="CV257" s="1366"/>
      <c r="CW257" s="1366"/>
      <c r="CX257" s="1366"/>
      <c r="CY257" s="1366"/>
      <c r="CZ257" s="1366"/>
      <c r="DA257" s="1366"/>
      <c r="DB257" s="1366"/>
      <c r="DC257" s="1366"/>
      <c r="DD257" s="1366"/>
      <c r="DE257" s="1366"/>
      <c r="DF257" s="1366"/>
      <c r="DG257" s="1366"/>
      <c r="DH257" s="1366"/>
      <c r="DI257" s="1366"/>
      <c r="DJ257" s="1366"/>
      <c r="DK257" s="1366"/>
      <c r="DL257" s="1366"/>
      <c r="DM257" s="1366"/>
      <c r="DN257" s="1366"/>
      <c r="DO257" s="1366"/>
      <c r="DP257" s="1366"/>
      <c r="DQ257" s="1366"/>
      <c r="DR257" s="1366"/>
      <c r="DS257" s="1366"/>
      <c r="DT257" s="1366"/>
      <c r="DU257" s="1366"/>
      <c r="DV257" s="1366"/>
    </row>
    <row r="258" spans="1:126" s="1367" customFormat="1" ht="30">
      <c r="A258" s="2494"/>
      <c r="B258" s="1653">
        <v>111</v>
      </c>
      <c r="C258" s="1642" t="s">
        <v>49</v>
      </c>
      <c r="D258" s="1375" t="s">
        <v>2304</v>
      </c>
      <c r="E258" s="1364" t="s">
        <v>2097</v>
      </c>
      <c r="F258" s="1364" t="s">
        <v>2108</v>
      </c>
      <c r="G258" s="1185" t="s">
        <v>1804</v>
      </c>
      <c r="H258" s="1361">
        <f>((9.8*'Equipment Results Matrix'!$R$696)+(480000*'Equipment Results Matrix'!$R$697)+'Equipment Results Matrix'!$R$698+'Equipment Results Matrix'!$R$700+'Equipment Results Matrix'!$R$702+'Equipment Results Matrix'!$T$703)*(1+'Equipment Results Matrix'!$T$705)</f>
        <v>40116.939889227921</v>
      </c>
      <c r="I258" s="1371">
        <f t="shared" si="82"/>
        <v>60.929000000000002</v>
      </c>
      <c r="J258" s="1372">
        <f>'Labor Results Matrix'!$G$170*(1+'Labor Results Matrix'!$K$169)</f>
        <v>90.130495877989063</v>
      </c>
      <c r="K258" s="1388">
        <f t="shared" si="62"/>
        <v>5491.5609833499957</v>
      </c>
      <c r="L258" s="1372">
        <f>((('Labor Results Matrix'!$I$169+'Labor Results Matrix'!$I$171)*40)+'Labor Results Matrix'!$J$169)*(1+'Labor Results Matrix'!$K$169)</f>
        <v>13586.179276570365</v>
      </c>
      <c r="M258" s="1372">
        <f t="shared" si="63"/>
        <v>59194.680149148284</v>
      </c>
      <c r="N258" s="1458">
        <f t="shared" si="85"/>
        <v>0</v>
      </c>
      <c r="O258" s="1361">
        <f t="shared" si="83"/>
        <v>1002.923497230698</v>
      </c>
      <c r="P258" s="1371">
        <f t="shared" si="84"/>
        <v>1.5232250000000001</v>
      </c>
      <c r="Q258" s="1388">
        <f t="shared" si="66"/>
        <v>137.28902458374989</v>
      </c>
      <c r="R258" s="1372">
        <f>('Labor Results Matrix'!$I$169+'Labor Results Matrix'!$I$171)*(1+'Labor Results Matrix'!$K$169)</f>
        <v>320.58118278353345</v>
      </c>
      <c r="S258" s="1372">
        <f>'Labor Results Matrix'!$J$169*(1+'Labor Results Matrix'!$K$169)</f>
        <v>762.93196522902554</v>
      </c>
      <c r="T258" s="1372">
        <f t="shared" si="54"/>
        <v>1460.7937045979813</v>
      </c>
      <c r="U258" s="1372">
        <f t="shared" si="86"/>
        <v>0</v>
      </c>
      <c r="V258" s="1458">
        <f t="shared" si="87"/>
        <v>0</v>
      </c>
      <c r="W258" s="1366"/>
      <c r="X258" s="1366"/>
      <c r="Y258" s="1366"/>
      <c r="Z258" s="1366"/>
      <c r="AA258" s="1366"/>
      <c r="AB258" s="1366"/>
      <c r="AC258" s="1366"/>
      <c r="AD258" s="1366"/>
      <c r="AE258" s="1366"/>
      <c r="AF258" s="1366"/>
      <c r="AG258" s="1366"/>
      <c r="AH258" s="1366"/>
      <c r="AI258" s="1366"/>
      <c r="AJ258" s="1366"/>
      <c r="AK258" s="1366"/>
      <c r="AL258" s="1366"/>
      <c r="AM258" s="1366"/>
      <c r="AN258" s="1366"/>
      <c r="AO258" s="1366"/>
      <c r="AP258" s="1366"/>
      <c r="AQ258" s="1366"/>
      <c r="AR258" s="1366"/>
      <c r="AS258" s="1366"/>
      <c r="AT258" s="1366"/>
      <c r="AU258" s="1366"/>
      <c r="AV258" s="1366"/>
      <c r="AW258" s="1366"/>
      <c r="AX258" s="1366"/>
      <c r="AY258" s="1366"/>
      <c r="AZ258" s="1366"/>
      <c r="BA258" s="1366"/>
      <c r="BB258" s="1366"/>
      <c r="BC258" s="1366"/>
      <c r="BD258" s="1366"/>
      <c r="BE258" s="1366"/>
      <c r="BF258" s="1366"/>
      <c r="BG258" s="1366"/>
      <c r="BH258" s="1366"/>
      <c r="BI258" s="1366"/>
      <c r="BJ258" s="1366"/>
      <c r="BK258" s="1366"/>
      <c r="BL258" s="1366"/>
      <c r="BM258" s="1366"/>
      <c r="BN258" s="1366"/>
      <c r="BO258" s="1366"/>
      <c r="BP258" s="1366"/>
      <c r="BQ258" s="1366"/>
      <c r="BR258" s="1366"/>
      <c r="BS258" s="1366"/>
      <c r="BT258" s="1366"/>
      <c r="BU258" s="1366"/>
      <c r="BV258" s="1366"/>
      <c r="BW258" s="1366"/>
      <c r="BX258" s="1366"/>
      <c r="BY258" s="1366"/>
      <c r="BZ258" s="1366"/>
      <c r="CA258" s="1366"/>
      <c r="CB258" s="1366"/>
      <c r="CC258" s="1366"/>
      <c r="CD258" s="1366"/>
      <c r="CE258" s="1366"/>
      <c r="CF258" s="1366"/>
      <c r="CG258" s="1366"/>
      <c r="CH258" s="1366"/>
      <c r="CI258" s="1366"/>
      <c r="CJ258" s="1366"/>
      <c r="CK258" s="1366"/>
      <c r="CL258" s="1366"/>
      <c r="CM258" s="1366"/>
      <c r="CN258" s="1366"/>
      <c r="CO258" s="1366"/>
      <c r="CP258" s="1366"/>
      <c r="CQ258" s="1366"/>
      <c r="CR258" s="1366"/>
      <c r="CS258" s="1366"/>
      <c r="CT258" s="1366"/>
      <c r="CU258" s="1366"/>
      <c r="CV258" s="1366"/>
      <c r="CW258" s="1366"/>
      <c r="CX258" s="1366"/>
      <c r="CY258" s="1366"/>
      <c r="CZ258" s="1366"/>
      <c r="DA258" s="1366"/>
      <c r="DB258" s="1366"/>
      <c r="DC258" s="1366"/>
      <c r="DD258" s="1366"/>
      <c r="DE258" s="1366"/>
      <c r="DF258" s="1366"/>
      <c r="DG258" s="1366"/>
      <c r="DH258" s="1366"/>
      <c r="DI258" s="1366"/>
      <c r="DJ258" s="1366"/>
      <c r="DK258" s="1366"/>
      <c r="DL258" s="1366"/>
      <c r="DM258" s="1366"/>
      <c r="DN258" s="1366"/>
      <c r="DO258" s="1366"/>
      <c r="DP258" s="1366"/>
      <c r="DQ258" s="1366"/>
      <c r="DR258" s="1366"/>
      <c r="DS258" s="1366"/>
      <c r="DT258" s="1366"/>
      <c r="DU258" s="1366"/>
      <c r="DV258" s="1366"/>
    </row>
    <row r="259" spans="1:126" s="1367" customFormat="1" ht="30">
      <c r="A259" s="2494"/>
      <c r="B259" s="1653" t="s">
        <v>2671</v>
      </c>
      <c r="C259" s="1642" t="s">
        <v>47</v>
      </c>
      <c r="D259" s="1375" t="s">
        <v>2305</v>
      </c>
      <c r="E259" s="1364" t="s">
        <v>2266</v>
      </c>
      <c r="F259" s="1364" t="s">
        <v>2108</v>
      </c>
      <c r="G259" s="1185" t="s">
        <v>1804</v>
      </c>
      <c r="H259" s="1361">
        <f>((9.5*'Equipment Results Matrix'!$R$696)+(1200000*'Equipment Results Matrix'!$R$697)+'Equipment Results Matrix'!$R$698+'Equipment Results Matrix'!$R$700+'Equipment Results Matrix'!$R$702+'Equipment Results Matrix'!$T$703)*(1+'Equipment Results Matrix'!$T$705)</f>
        <v>108300.85847162793</v>
      </c>
      <c r="I259" s="1371">
        <f>0.845*100+27.129</f>
        <v>111.629</v>
      </c>
      <c r="J259" s="1372">
        <f>'Labor Results Matrix'!$G$170*(1+'Labor Results Matrix'!$K$169)</f>
        <v>90.130495877989063</v>
      </c>
      <c r="K259" s="1388">
        <f t="shared" si="62"/>
        <v>10061.177124364041</v>
      </c>
      <c r="L259" s="1372">
        <f>((('Labor Results Matrix'!$I$169+'Labor Results Matrix'!$I$171)*100)+'Labor Results Matrix'!$J$169)*(1+'Labor Results Matrix'!$K$169)</f>
        <v>32821.050243582373</v>
      </c>
      <c r="M259" s="1372">
        <f t="shared" si="63"/>
        <v>151183.08583957434</v>
      </c>
      <c r="N259" s="1455" t="s">
        <v>40</v>
      </c>
      <c r="O259" s="1361">
        <f>H259/100</f>
        <v>1083.0085847162793</v>
      </c>
      <c r="P259" s="1371">
        <f>I259/100</f>
        <v>1.11629</v>
      </c>
      <c r="Q259" s="1388">
        <f t="shared" si="66"/>
        <v>100.6117712436404</v>
      </c>
      <c r="R259" s="1372">
        <f>('Labor Results Matrix'!$I$169+'Labor Results Matrix'!$I$171)*(1+'Labor Results Matrix'!$K$169)</f>
        <v>320.58118278353345</v>
      </c>
      <c r="S259" s="1372">
        <f>'Labor Results Matrix'!$J$169*(1+'Labor Results Matrix'!$K$169)</f>
        <v>762.93196522902554</v>
      </c>
      <c r="T259" s="1372">
        <f t="shared" si="54"/>
        <v>1504.2015387434531</v>
      </c>
      <c r="U259" s="1417" t="s">
        <v>40</v>
      </c>
      <c r="V259" s="1455" t="s">
        <v>40</v>
      </c>
      <c r="W259" s="1366"/>
      <c r="X259" s="1366"/>
      <c r="Y259" s="1366"/>
      <c r="Z259" s="1366"/>
      <c r="AA259" s="1366"/>
      <c r="AB259" s="1366"/>
      <c r="AC259" s="1366"/>
      <c r="AD259" s="1366"/>
      <c r="AE259" s="1366"/>
      <c r="AF259" s="1366"/>
      <c r="AG259" s="1366"/>
      <c r="AH259" s="1366"/>
      <c r="AI259" s="1366"/>
      <c r="AJ259" s="1366"/>
      <c r="AK259" s="1366"/>
      <c r="AL259" s="1366"/>
      <c r="AM259" s="1366"/>
      <c r="AN259" s="1366"/>
      <c r="AO259" s="1366"/>
      <c r="AP259" s="1366"/>
      <c r="AQ259" s="1366"/>
      <c r="AR259" s="1366"/>
      <c r="AS259" s="1366"/>
      <c r="AT259" s="1366"/>
      <c r="AU259" s="1366"/>
      <c r="AV259" s="1366"/>
      <c r="AW259" s="1366"/>
      <c r="AX259" s="1366"/>
      <c r="AY259" s="1366"/>
      <c r="AZ259" s="1366"/>
      <c r="BA259" s="1366"/>
      <c r="BB259" s="1366"/>
      <c r="BC259" s="1366"/>
      <c r="BD259" s="1366"/>
      <c r="BE259" s="1366"/>
      <c r="BF259" s="1366"/>
      <c r="BG259" s="1366"/>
      <c r="BH259" s="1366"/>
      <c r="BI259" s="1366"/>
      <c r="BJ259" s="1366"/>
      <c r="BK259" s="1366"/>
      <c r="BL259" s="1366"/>
      <c r="BM259" s="1366"/>
      <c r="BN259" s="1366"/>
      <c r="BO259" s="1366"/>
      <c r="BP259" s="1366"/>
      <c r="BQ259" s="1366"/>
      <c r="BR259" s="1366"/>
      <c r="BS259" s="1366"/>
      <c r="BT259" s="1366"/>
      <c r="BU259" s="1366"/>
      <c r="BV259" s="1366"/>
      <c r="BW259" s="1366"/>
      <c r="BX259" s="1366"/>
      <c r="BY259" s="1366"/>
      <c r="BZ259" s="1366"/>
      <c r="CA259" s="1366"/>
      <c r="CB259" s="1366"/>
      <c r="CC259" s="1366"/>
      <c r="CD259" s="1366"/>
      <c r="CE259" s="1366"/>
      <c r="CF259" s="1366"/>
      <c r="CG259" s="1366"/>
      <c r="CH259" s="1366"/>
      <c r="CI259" s="1366"/>
      <c r="CJ259" s="1366"/>
      <c r="CK259" s="1366"/>
      <c r="CL259" s="1366"/>
      <c r="CM259" s="1366"/>
      <c r="CN259" s="1366"/>
      <c r="CO259" s="1366"/>
      <c r="CP259" s="1366"/>
      <c r="CQ259" s="1366"/>
      <c r="CR259" s="1366"/>
      <c r="CS259" s="1366"/>
      <c r="CT259" s="1366"/>
      <c r="CU259" s="1366"/>
      <c r="CV259" s="1366"/>
      <c r="CW259" s="1366"/>
      <c r="CX259" s="1366"/>
      <c r="CY259" s="1366"/>
      <c r="CZ259" s="1366"/>
      <c r="DA259" s="1366"/>
      <c r="DB259" s="1366"/>
      <c r="DC259" s="1366"/>
      <c r="DD259" s="1366"/>
      <c r="DE259" s="1366"/>
      <c r="DF259" s="1366"/>
      <c r="DG259" s="1366"/>
      <c r="DH259" s="1366"/>
      <c r="DI259" s="1366"/>
      <c r="DJ259" s="1366"/>
      <c r="DK259" s="1366"/>
      <c r="DL259" s="1366"/>
      <c r="DM259" s="1366"/>
      <c r="DN259" s="1366"/>
      <c r="DO259" s="1366"/>
      <c r="DP259" s="1366"/>
      <c r="DQ259" s="1366"/>
      <c r="DR259" s="1366"/>
      <c r="DS259" s="1366"/>
      <c r="DT259" s="1366"/>
      <c r="DU259" s="1366"/>
      <c r="DV259" s="1366"/>
    </row>
    <row r="260" spans="1:126" s="1367" customFormat="1" ht="30">
      <c r="A260" s="2494"/>
      <c r="B260" s="1653">
        <v>112</v>
      </c>
      <c r="C260" s="1642" t="s">
        <v>49</v>
      </c>
      <c r="D260" s="1375" t="s">
        <v>2306</v>
      </c>
      <c r="E260" s="1364" t="s">
        <v>2097</v>
      </c>
      <c r="F260" s="1364" t="s">
        <v>2108</v>
      </c>
      <c r="G260" s="1185" t="s">
        <v>1804</v>
      </c>
      <c r="H260" s="1361">
        <f>((10.2*'Equipment Results Matrix'!$R$696)+(1200000*'Equipment Results Matrix'!$R$697)+'Equipment Results Matrix'!$R$698+'Equipment Results Matrix'!$R$700+'Equipment Results Matrix'!$R$702+'Equipment Results Matrix'!$T$703)*(1+'Equipment Results Matrix'!$T$705)</f>
        <v>110243.12844602791</v>
      </c>
      <c r="I260" s="1371">
        <f t="shared" ref="I260:I262" si="88">0.845*100+27.129</f>
        <v>111.629</v>
      </c>
      <c r="J260" s="1372">
        <f>'Labor Results Matrix'!$G$170*(1+'Labor Results Matrix'!$K$169)</f>
        <v>90.130495877989063</v>
      </c>
      <c r="K260" s="1388">
        <f t="shared" si="62"/>
        <v>10061.177124364041</v>
      </c>
      <c r="L260" s="1372">
        <f>((('Labor Results Matrix'!$I$169+'Labor Results Matrix'!$I$171)*100)+'Labor Results Matrix'!$J$169)*(1+'Labor Results Matrix'!$K$169)</f>
        <v>32821.050243582373</v>
      </c>
      <c r="M260" s="1372">
        <f t="shared" si="63"/>
        <v>153125.35581397434</v>
      </c>
      <c r="N260" s="1458">
        <f>M260-$M$259</f>
        <v>1942.2699743999983</v>
      </c>
      <c r="O260" s="1361">
        <f t="shared" ref="O260:O262" si="89">H260/100</f>
        <v>1102.4312844602791</v>
      </c>
      <c r="P260" s="1371">
        <f t="shared" ref="P260:P262" si="90">I260/100</f>
        <v>1.11629</v>
      </c>
      <c r="Q260" s="1388">
        <f t="shared" si="66"/>
        <v>100.6117712436404</v>
      </c>
      <c r="R260" s="1372">
        <f>('Labor Results Matrix'!$I$169+'Labor Results Matrix'!$I$171)*(1+'Labor Results Matrix'!$K$169)</f>
        <v>320.58118278353345</v>
      </c>
      <c r="S260" s="1372">
        <f>'Labor Results Matrix'!$J$169*(1+'Labor Results Matrix'!$K$169)</f>
        <v>762.93196522902554</v>
      </c>
      <c r="T260" s="1372">
        <f t="shared" si="54"/>
        <v>1523.6242384874529</v>
      </c>
      <c r="U260" s="1372">
        <f>T260-$T$259</f>
        <v>19.422699743999829</v>
      </c>
      <c r="V260" s="1458">
        <f>S260-$S$259</f>
        <v>0</v>
      </c>
      <c r="W260" s="1366"/>
      <c r="X260" s="1366"/>
      <c r="Y260" s="1366"/>
      <c r="Z260" s="1366"/>
      <c r="AA260" s="1366"/>
      <c r="AB260" s="1366"/>
      <c r="AC260" s="1366"/>
      <c r="AD260" s="1366"/>
      <c r="AE260" s="1366"/>
      <c r="AF260" s="1366"/>
      <c r="AG260" s="1366"/>
      <c r="AH260" s="1366"/>
      <c r="AI260" s="1366"/>
      <c r="AJ260" s="1366"/>
      <c r="AK260" s="1366"/>
      <c r="AL260" s="1366"/>
      <c r="AM260" s="1366"/>
      <c r="AN260" s="1366"/>
      <c r="AO260" s="1366"/>
      <c r="AP260" s="1366"/>
      <c r="AQ260" s="1366"/>
      <c r="AR260" s="1366"/>
      <c r="AS260" s="1366"/>
      <c r="AT260" s="1366"/>
      <c r="AU260" s="1366"/>
      <c r="AV260" s="1366"/>
      <c r="AW260" s="1366"/>
      <c r="AX260" s="1366"/>
      <c r="AY260" s="1366"/>
      <c r="AZ260" s="1366"/>
      <c r="BA260" s="1366"/>
      <c r="BB260" s="1366"/>
      <c r="BC260" s="1366"/>
      <c r="BD260" s="1366"/>
      <c r="BE260" s="1366"/>
      <c r="BF260" s="1366"/>
      <c r="BG260" s="1366"/>
      <c r="BH260" s="1366"/>
      <c r="BI260" s="1366"/>
      <c r="BJ260" s="1366"/>
      <c r="BK260" s="1366"/>
      <c r="BL260" s="1366"/>
      <c r="BM260" s="1366"/>
      <c r="BN260" s="1366"/>
      <c r="BO260" s="1366"/>
      <c r="BP260" s="1366"/>
      <c r="BQ260" s="1366"/>
      <c r="BR260" s="1366"/>
      <c r="BS260" s="1366"/>
      <c r="BT260" s="1366"/>
      <c r="BU260" s="1366"/>
      <c r="BV260" s="1366"/>
      <c r="BW260" s="1366"/>
      <c r="BX260" s="1366"/>
      <c r="BY260" s="1366"/>
      <c r="BZ260" s="1366"/>
      <c r="CA260" s="1366"/>
      <c r="CB260" s="1366"/>
      <c r="CC260" s="1366"/>
      <c r="CD260" s="1366"/>
      <c r="CE260" s="1366"/>
      <c r="CF260" s="1366"/>
      <c r="CG260" s="1366"/>
      <c r="CH260" s="1366"/>
      <c r="CI260" s="1366"/>
      <c r="CJ260" s="1366"/>
      <c r="CK260" s="1366"/>
      <c r="CL260" s="1366"/>
      <c r="CM260" s="1366"/>
      <c r="CN260" s="1366"/>
      <c r="CO260" s="1366"/>
      <c r="CP260" s="1366"/>
      <c r="CQ260" s="1366"/>
      <c r="CR260" s="1366"/>
      <c r="CS260" s="1366"/>
      <c r="CT260" s="1366"/>
      <c r="CU260" s="1366"/>
      <c r="CV260" s="1366"/>
      <c r="CW260" s="1366"/>
      <c r="CX260" s="1366"/>
      <c r="CY260" s="1366"/>
      <c r="CZ260" s="1366"/>
      <c r="DA260" s="1366"/>
      <c r="DB260" s="1366"/>
      <c r="DC260" s="1366"/>
      <c r="DD260" s="1366"/>
      <c r="DE260" s="1366"/>
      <c r="DF260" s="1366"/>
      <c r="DG260" s="1366"/>
      <c r="DH260" s="1366"/>
      <c r="DI260" s="1366"/>
      <c r="DJ260" s="1366"/>
      <c r="DK260" s="1366"/>
      <c r="DL260" s="1366"/>
      <c r="DM260" s="1366"/>
      <c r="DN260" s="1366"/>
      <c r="DO260" s="1366"/>
      <c r="DP260" s="1366"/>
      <c r="DQ260" s="1366"/>
      <c r="DR260" s="1366"/>
      <c r="DS260" s="1366"/>
      <c r="DT260" s="1366"/>
      <c r="DU260" s="1366"/>
      <c r="DV260" s="1366"/>
    </row>
    <row r="261" spans="1:126" s="1367" customFormat="1" ht="30">
      <c r="A261" s="2494"/>
      <c r="B261" s="1653">
        <v>113</v>
      </c>
      <c r="C261" s="1642" t="s">
        <v>49</v>
      </c>
      <c r="D261" s="1375" t="s">
        <v>2307</v>
      </c>
      <c r="E261" s="1364" t="s">
        <v>2100</v>
      </c>
      <c r="F261" s="1364" t="s">
        <v>2108</v>
      </c>
      <c r="G261" s="1185" t="s">
        <v>1804</v>
      </c>
      <c r="H261" s="1361">
        <f>((9.5*'Equipment Results Matrix'!$R$696)+(1200000*'Equipment Results Matrix'!$R$697)+'Equipment Results Matrix'!$R$698+'Equipment Results Matrix'!$R$700+'Equipment Results Matrix'!$R$702+'Equipment Results Matrix'!$T$703)*(1+'Equipment Results Matrix'!$T$705)</f>
        <v>108300.85847162793</v>
      </c>
      <c r="I261" s="1371">
        <f t="shared" si="88"/>
        <v>111.629</v>
      </c>
      <c r="J261" s="1372">
        <f>'Labor Results Matrix'!$G$170*(1+'Labor Results Matrix'!$K$169)</f>
        <v>90.130495877989063</v>
      </c>
      <c r="K261" s="1388">
        <f t="shared" si="62"/>
        <v>10061.177124364041</v>
      </c>
      <c r="L261" s="1372">
        <f>((('Labor Results Matrix'!$I$169+'Labor Results Matrix'!$I$171)*100)+'Labor Results Matrix'!$J$169)*(1+'Labor Results Matrix'!$K$169)</f>
        <v>32821.050243582373</v>
      </c>
      <c r="M261" s="1372">
        <f t="shared" si="63"/>
        <v>151183.08583957434</v>
      </c>
      <c r="N261" s="1458">
        <f t="shared" ref="N261:N262" si="91">M261-$M$259</f>
        <v>0</v>
      </c>
      <c r="O261" s="1361">
        <f t="shared" si="89"/>
        <v>1083.0085847162793</v>
      </c>
      <c r="P261" s="1371">
        <f t="shared" si="90"/>
        <v>1.11629</v>
      </c>
      <c r="Q261" s="1388">
        <f t="shared" si="66"/>
        <v>100.6117712436404</v>
      </c>
      <c r="R261" s="1372">
        <f>('Labor Results Matrix'!$I$169+'Labor Results Matrix'!$I$171)*(1+'Labor Results Matrix'!$K$169)</f>
        <v>320.58118278353345</v>
      </c>
      <c r="S261" s="1372">
        <f>'Labor Results Matrix'!$J$169*(1+'Labor Results Matrix'!$K$169)</f>
        <v>762.93196522902554</v>
      </c>
      <c r="T261" s="1372">
        <f t="shared" si="54"/>
        <v>1504.2015387434531</v>
      </c>
      <c r="U261" s="1372">
        <f t="shared" ref="U261:U262" si="92">T261-$T$259</f>
        <v>0</v>
      </c>
      <c r="V261" s="1458">
        <f t="shared" ref="V261:V262" si="93">S261-$S$259</f>
        <v>0</v>
      </c>
      <c r="W261" s="1366"/>
      <c r="X261" s="1366"/>
      <c r="Y261" s="1366"/>
      <c r="Z261" s="1366"/>
      <c r="AA261" s="1366"/>
      <c r="AB261" s="1366"/>
      <c r="AC261" s="1366"/>
      <c r="AD261" s="1366"/>
      <c r="AE261" s="1366"/>
      <c r="AF261" s="1366"/>
      <c r="AG261" s="1366"/>
      <c r="AH261" s="1366"/>
      <c r="AI261" s="1366"/>
      <c r="AJ261" s="1366"/>
      <c r="AK261" s="1366"/>
      <c r="AL261" s="1366"/>
      <c r="AM261" s="1366"/>
      <c r="AN261" s="1366"/>
      <c r="AO261" s="1366"/>
      <c r="AP261" s="1366"/>
      <c r="AQ261" s="1366"/>
      <c r="AR261" s="1366"/>
      <c r="AS261" s="1366"/>
      <c r="AT261" s="1366"/>
      <c r="AU261" s="1366"/>
      <c r="AV261" s="1366"/>
      <c r="AW261" s="1366"/>
      <c r="AX261" s="1366"/>
      <c r="AY261" s="1366"/>
      <c r="AZ261" s="1366"/>
      <c r="BA261" s="1366"/>
      <c r="BB261" s="1366"/>
      <c r="BC261" s="1366"/>
      <c r="BD261" s="1366"/>
      <c r="BE261" s="1366"/>
      <c r="BF261" s="1366"/>
      <c r="BG261" s="1366"/>
      <c r="BH261" s="1366"/>
      <c r="BI261" s="1366"/>
      <c r="BJ261" s="1366"/>
      <c r="BK261" s="1366"/>
      <c r="BL261" s="1366"/>
      <c r="BM261" s="1366"/>
      <c r="BN261" s="1366"/>
      <c r="BO261" s="1366"/>
      <c r="BP261" s="1366"/>
      <c r="BQ261" s="1366"/>
      <c r="BR261" s="1366"/>
      <c r="BS261" s="1366"/>
      <c r="BT261" s="1366"/>
      <c r="BU261" s="1366"/>
      <c r="BV261" s="1366"/>
      <c r="BW261" s="1366"/>
      <c r="BX261" s="1366"/>
      <c r="BY261" s="1366"/>
      <c r="BZ261" s="1366"/>
      <c r="CA261" s="1366"/>
      <c r="CB261" s="1366"/>
      <c r="CC261" s="1366"/>
      <c r="CD261" s="1366"/>
      <c r="CE261" s="1366"/>
      <c r="CF261" s="1366"/>
      <c r="CG261" s="1366"/>
      <c r="CH261" s="1366"/>
      <c r="CI261" s="1366"/>
      <c r="CJ261" s="1366"/>
      <c r="CK261" s="1366"/>
      <c r="CL261" s="1366"/>
      <c r="CM261" s="1366"/>
      <c r="CN261" s="1366"/>
      <c r="CO261" s="1366"/>
      <c r="CP261" s="1366"/>
      <c r="CQ261" s="1366"/>
      <c r="CR261" s="1366"/>
      <c r="CS261" s="1366"/>
      <c r="CT261" s="1366"/>
      <c r="CU261" s="1366"/>
      <c r="CV261" s="1366"/>
      <c r="CW261" s="1366"/>
      <c r="CX261" s="1366"/>
      <c r="CY261" s="1366"/>
      <c r="CZ261" s="1366"/>
      <c r="DA261" s="1366"/>
      <c r="DB261" s="1366"/>
      <c r="DC261" s="1366"/>
      <c r="DD261" s="1366"/>
      <c r="DE261" s="1366"/>
      <c r="DF261" s="1366"/>
      <c r="DG261" s="1366"/>
      <c r="DH261" s="1366"/>
      <c r="DI261" s="1366"/>
      <c r="DJ261" s="1366"/>
      <c r="DK261" s="1366"/>
      <c r="DL261" s="1366"/>
      <c r="DM261" s="1366"/>
      <c r="DN261" s="1366"/>
      <c r="DO261" s="1366"/>
      <c r="DP261" s="1366"/>
      <c r="DQ261" s="1366"/>
      <c r="DR261" s="1366"/>
      <c r="DS261" s="1366"/>
      <c r="DT261" s="1366"/>
      <c r="DU261" s="1366"/>
      <c r="DV261" s="1366"/>
    </row>
    <row r="262" spans="1:126" s="1367" customFormat="1" ht="30">
      <c r="A262" s="2494"/>
      <c r="B262" s="1653">
        <v>114</v>
      </c>
      <c r="C262" s="1642" t="s">
        <v>49</v>
      </c>
      <c r="D262" s="1375" t="s">
        <v>2308</v>
      </c>
      <c r="E262" s="1364" t="s">
        <v>2097</v>
      </c>
      <c r="F262" s="1364" t="s">
        <v>2108</v>
      </c>
      <c r="G262" s="1185" t="s">
        <v>1804</v>
      </c>
      <c r="H262" s="1361">
        <f>((9.7*'Equipment Results Matrix'!$R$696)+(1200000*'Equipment Results Matrix'!$R$697)+'Equipment Results Matrix'!$R$698+'Equipment Results Matrix'!$R$700+'Equipment Results Matrix'!$R$702+'Equipment Results Matrix'!$T$703)*(1+'Equipment Results Matrix'!$T$705)</f>
        <v>108855.79275002792</v>
      </c>
      <c r="I262" s="1371">
        <f t="shared" si="88"/>
        <v>111.629</v>
      </c>
      <c r="J262" s="1372">
        <f>'Labor Results Matrix'!$G$170*(1+'Labor Results Matrix'!$K$169)</f>
        <v>90.130495877989063</v>
      </c>
      <c r="K262" s="1388">
        <f t="shared" si="62"/>
        <v>10061.177124364041</v>
      </c>
      <c r="L262" s="1372">
        <f>((('Labor Results Matrix'!$I$169+'Labor Results Matrix'!$I$171)*100)+'Labor Results Matrix'!$J$169)*(1+'Labor Results Matrix'!$K$169)</f>
        <v>32821.050243582373</v>
      </c>
      <c r="M262" s="1372">
        <f t="shared" si="63"/>
        <v>151738.02011797432</v>
      </c>
      <c r="N262" s="1458">
        <f t="shared" si="91"/>
        <v>554.93427839997457</v>
      </c>
      <c r="O262" s="1361">
        <f t="shared" si="89"/>
        <v>1088.5579275002792</v>
      </c>
      <c r="P262" s="1371">
        <f t="shared" si="90"/>
        <v>1.11629</v>
      </c>
      <c r="Q262" s="1388">
        <f t="shared" si="66"/>
        <v>100.6117712436404</v>
      </c>
      <c r="R262" s="1372">
        <f>('Labor Results Matrix'!$I$169+'Labor Results Matrix'!$I$171)*(1+'Labor Results Matrix'!$K$169)</f>
        <v>320.58118278353345</v>
      </c>
      <c r="S262" s="1372">
        <f>'Labor Results Matrix'!$J$169*(1+'Labor Results Matrix'!$K$169)</f>
        <v>762.93196522902554</v>
      </c>
      <c r="T262" s="1372">
        <f t="shared" si="54"/>
        <v>1509.750881527453</v>
      </c>
      <c r="U262" s="1372">
        <f t="shared" si="92"/>
        <v>5.5493427839999185</v>
      </c>
      <c r="V262" s="1458">
        <f t="shared" si="93"/>
        <v>0</v>
      </c>
      <c r="W262" s="1366"/>
      <c r="X262" s="1366"/>
      <c r="Y262" s="1366"/>
      <c r="Z262" s="1366"/>
      <c r="AA262" s="1366"/>
      <c r="AB262" s="1366"/>
      <c r="AC262" s="1366"/>
      <c r="AD262" s="1366"/>
      <c r="AE262" s="1366"/>
      <c r="AF262" s="1366"/>
      <c r="AG262" s="1366"/>
      <c r="AH262" s="1366"/>
      <c r="AI262" s="1366"/>
      <c r="AJ262" s="1366"/>
      <c r="AK262" s="1366"/>
      <c r="AL262" s="1366"/>
      <c r="AM262" s="1366"/>
      <c r="AN262" s="1366"/>
      <c r="AO262" s="1366"/>
      <c r="AP262" s="1366"/>
      <c r="AQ262" s="1366"/>
      <c r="AR262" s="1366"/>
      <c r="AS262" s="1366"/>
      <c r="AT262" s="1366"/>
      <c r="AU262" s="1366"/>
      <c r="AV262" s="1366"/>
      <c r="AW262" s="1366"/>
      <c r="AX262" s="1366"/>
      <c r="AY262" s="1366"/>
      <c r="AZ262" s="1366"/>
      <c r="BA262" s="1366"/>
      <c r="BB262" s="1366"/>
      <c r="BC262" s="1366"/>
      <c r="BD262" s="1366"/>
      <c r="BE262" s="1366"/>
      <c r="BF262" s="1366"/>
      <c r="BG262" s="1366"/>
      <c r="BH262" s="1366"/>
      <c r="BI262" s="1366"/>
      <c r="BJ262" s="1366"/>
      <c r="BK262" s="1366"/>
      <c r="BL262" s="1366"/>
      <c r="BM262" s="1366"/>
      <c r="BN262" s="1366"/>
      <c r="BO262" s="1366"/>
      <c r="BP262" s="1366"/>
      <c r="BQ262" s="1366"/>
      <c r="BR262" s="1366"/>
      <c r="BS262" s="1366"/>
      <c r="BT262" s="1366"/>
      <c r="BU262" s="1366"/>
      <c r="BV262" s="1366"/>
      <c r="BW262" s="1366"/>
      <c r="BX262" s="1366"/>
      <c r="BY262" s="1366"/>
      <c r="BZ262" s="1366"/>
      <c r="CA262" s="1366"/>
      <c r="CB262" s="1366"/>
      <c r="CC262" s="1366"/>
      <c r="CD262" s="1366"/>
      <c r="CE262" s="1366"/>
      <c r="CF262" s="1366"/>
      <c r="CG262" s="1366"/>
      <c r="CH262" s="1366"/>
      <c r="CI262" s="1366"/>
      <c r="CJ262" s="1366"/>
      <c r="CK262" s="1366"/>
      <c r="CL262" s="1366"/>
      <c r="CM262" s="1366"/>
      <c r="CN262" s="1366"/>
      <c r="CO262" s="1366"/>
      <c r="CP262" s="1366"/>
      <c r="CQ262" s="1366"/>
      <c r="CR262" s="1366"/>
      <c r="CS262" s="1366"/>
      <c r="CT262" s="1366"/>
      <c r="CU262" s="1366"/>
      <c r="CV262" s="1366"/>
      <c r="CW262" s="1366"/>
      <c r="CX262" s="1366"/>
      <c r="CY262" s="1366"/>
      <c r="CZ262" s="1366"/>
      <c r="DA262" s="1366"/>
      <c r="DB262" s="1366"/>
      <c r="DC262" s="1366"/>
      <c r="DD262" s="1366"/>
      <c r="DE262" s="1366"/>
      <c r="DF262" s="1366"/>
      <c r="DG262" s="1366"/>
      <c r="DH262" s="1366"/>
      <c r="DI262" s="1366"/>
      <c r="DJ262" s="1366"/>
      <c r="DK262" s="1366"/>
      <c r="DL262" s="1366"/>
      <c r="DM262" s="1366"/>
      <c r="DN262" s="1366"/>
      <c r="DO262" s="1366"/>
      <c r="DP262" s="1366"/>
      <c r="DQ262" s="1366"/>
      <c r="DR262" s="1366"/>
      <c r="DS262" s="1366"/>
      <c r="DT262" s="1366"/>
      <c r="DU262" s="1366"/>
      <c r="DV262" s="1366"/>
    </row>
    <row r="263" spans="1:126" s="1367" customFormat="1" ht="30">
      <c r="A263" s="2494"/>
      <c r="B263" s="1659">
        <v>1175</v>
      </c>
      <c r="C263" s="1671" t="s">
        <v>47</v>
      </c>
      <c r="D263" s="1396" t="s">
        <v>2722</v>
      </c>
      <c r="E263" s="1376" t="s">
        <v>2097</v>
      </c>
      <c r="F263" s="1376" t="s">
        <v>2108</v>
      </c>
      <c r="G263" s="1377" t="s">
        <v>1804</v>
      </c>
      <c r="H263" s="1418"/>
      <c r="I263" s="1419"/>
      <c r="J263" s="1420"/>
      <c r="K263" s="1420"/>
      <c r="L263" s="1420"/>
      <c r="M263" s="1420"/>
      <c r="N263" s="1456"/>
      <c r="O263" s="1418"/>
      <c r="P263" s="1513"/>
      <c r="Q263" s="1420"/>
      <c r="R263" s="1420"/>
      <c r="S263" s="1420"/>
      <c r="T263" s="1420"/>
      <c r="U263" s="1420"/>
      <c r="V263" s="1456"/>
      <c r="W263" s="1366"/>
      <c r="X263" s="1366"/>
      <c r="Y263" s="1366"/>
      <c r="Z263" s="1366"/>
      <c r="AA263" s="1366"/>
      <c r="AB263" s="1366"/>
      <c r="AC263" s="1366"/>
      <c r="AD263" s="1366"/>
      <c r="AE263" s="1366"/>
      <c r="AF263" s="1366"/>
      <c r="AG263" s="1366"/>
      <c r="AH263" s="1366"/>
      <c r="AI263" s="1366"/>
      <c r="AJ263" s="1366"/>
      <c r="AK263" s="1366"/>
      <c r="AL263" s="1366"/>
      <c r="AM263" s="1366"/>
      <c r="AN263" s="1366"/>
      <c r="AO263" s="1366"/>
      <c r="AP263" s="1366"/>
      <c r="AQ263" s="1366"/>
      <c r="AR263" s="1366"/>
      <c r="AS263" s="1366"/>
      <c r="AT263" s="1366"/>
      <c r="AU263" s="1366"/>
      <c r="AV263" s="1366"/>
      <c r="AW263" s="1366"/>
      <c r="AX263" s="1366"/>
      <c r="AY263" s="1366"/>
      <c r="AZ263" s="1366"/>
      <c r="BA263" s="1366"/>
      <c r="BB263" s="1366"/>
      <c r="BC263" s="1366"/>
      <c r="BD263" s="1366"/>
      <c r="BE263" s="1366"/>
      <c r="BF263" s="1366"/>
      <c r="BG263" s="1366"/>
      <c r="BH263" s="1366"/>
      <c r="BI263" s="1366"/>
      <c r="BJ263" s="1366"/>
      <c r="BK263" s="1366"/>
      <c r="BL263" s="1366"/>
      <c r="BM263" s="1366"/>
      <c r="BN263" s="1366"/>
      <c r="BO263" s="1366"/>
      <c r="BP263" s="1366"/>
      <c r="BQ263" s="1366"/>
      <c r="BR263" s="1366"/>
      <c r="BS263" s="1366"/>
      <c r="BT263" s="1366"/>
      <c r="BU263" s="1366"/>
      <c r="BV263" s="1366"/>
      <c r="BW263" s="1366"/>
      <c r="BX263" s="1366"/>
      <c r="BY263" s="1366"/>
      <c r="BZ263" s="1366"/>
      <c r="CA263" s="1366"/>
      <c r="CB263" s="1366"/>
      <c r="CC263" s="1366"/>
      <c r="CD263" s="1366"/>
      <c r="CE263" s="1366"/>
      <c r="CF263" s="1366"/>
      <c r="CG263" s="1366"/>
      <c r="CH263" s="1366"/>
      <c r="CI263" s="1366"/>
      <c r="CJ263" s="1366"/>
      <c r="CK263" s="1366"/>
      <c r="CL263" s="1366"/>
      <c r="CM263" s="1366"/>
      <c r="CN263" s="1366"/>
      <c r="CO263" s="1366"/>
      <c r="CP263" s="1366"/>
      <c r="CQ263" s="1366"/>
      <c r="CR263" s="1366"/>
      <c r="CS263" s="1366"/>
      <c r="CT263" s="1366"/>
      <c r="CU263" s="1366"/>
      <c r="CV263" s="1366"/>
      <c r="CW263" s="1366"/>
      <c r="CX263" s="1366"/>
      <c r="CY263" s="1366"/>
      <c r="CZ263" s="1366"/>
      <c r="DA263" s="1366"/>
      <c r="DB263" s="1366"/>
      <c r="DC263" s="1366"/>
      <c r="DD263" s="1366"/>
      <c r="DE263" s="1366"/>
      <c r="DF263" s="1366"/>
      <c r="DG263" s="1366"/>
      <c r="DH263" s="1366"/>
      <c r="DI263" s="1366"/>
      <c r="DJ263" s="1366"/>
      <c r="DK263" s="1366"/>
      <c r="DL263" s="1366"/>
      <c r="DM263" s="1366"/>
      <c r="DN263" s="1366"/>
      <c r="DO263" s="1366"/>
      <c r="DP263" s="1366"/>
      <c r="DQ263" s="1366"/>
      <c r="DR263" s="1366"/>
      <c r="DS263" s="1366"/>
      <c r="DT263" s="1366"/>
      <c r="DU263" s="1366"/>
      <c r="DV263" s="1366"/>
    </row>
    <row r="264" spans="1:126" s="1367" customFormat="1" ht="15.75" thickBot="1">
      <c r="A264" s="2495"/>
      <c r="B264" s="1659">
        <v>1175</v>
      </c>
      <c r="C264" s="1671" t="s">
        <v>49</v>
      </c>
      <c r="D264" s="1396" t="s">
        <v>2485</v>
      </c>
      <c r="E264" s="1376" t="s">
        <v>2097</v>
      </c>
      <c r="F264" s="1376" t="s">
        <v>2108</v>
      </c>
      <c r="G264" s="1377" t="s">
        <v>1804</v>
      </c>
      <c r="H264" s="1418"/>
      <c r="I264" s="1419"/>
      <c r="J264" s="1420"/>
      <c r="K264" s="1420"/>
      <c r="L264" s="1420"/>
      <c r="M264" s="1420"/>
      <c r="N264" s="1456"/>
      <c r="O264" s="1418"/>
      <c r="P264" s="1513"/>
      <c r="Q264" s="1420"/>
      <c r="R264" s="1420"/>
      <c r="S264" s="1420"/>
      <c r="T264" s="1420"/>
      <c r="U264" s="1420"/>
      <c r="V264" s="1456"/>
      <c r="W264" s="1366"/>
      <c r="X264" s="1366"/>
      <c r="Y264" s="1366"/>
      <c r="Z264" s="1366"/>
      <c r="AA264" s="1366"/>
      <c r="AB264" s="1366"/>
      <c r="AC264" s="1366"/>
      <c r="AD264" s="1366"/>
      <c r="AE264" s="1366"/>
      <c r="AF264" s="1366"/>
      <c r="AG264" s="1366"/>
      <c r="AH264" s="1366"/>
      <c r="AI264" s="1366"/>
      <c r="AJ264" s="1366"/>
      <c r="AK264" s="1366"/>
      <c r="AL264" s="1366"/>
      <c r="AM264" s="1366"/>
      <c r="AN264" s="1366"/>
      <c r="AO264" s="1366"/>
      <c r="AP264" s="1366"/>
      <c r="AQ264" s="1366"/>
      <c r="AR264" s="1366"/>
      <c r="AS264" s="1366"/>
      <c r="AT264" s="1366"/>
      <c r="AU264" s="1366"/>
      <c r="AV264" s="1366"/>
      <c r="AW264" s="1366"/>
      <c r="AX264" s="1366"/>
      <c r="AY264" s="1366"/>
      <c r="AZ264" s="1366"/>
      <c r="BA264" s="1366"/>
      <c r="BB264" s="1366"/>
      <c r="BC264" s="1366"/>
      <c r="BD264" s="1366"/>
      <c r="BE264" s="1366"/>
      <c r="BF264" s="1366"/>
      <c r="BG264" s="1366"/>
      <c r="BH264" s="1366"/>
      <c r="BI264" s="1366"/>
      <c r="BJ264" s="1366"/>
      <c r="BK264" s="1366"/>
      <c r="BL264" s="1366"/>
      <c r="BM264" s="1366"/>
      <c r="BN264" s="1366"/>
      <c r="BO264" s="1366"/>
      <c r="BP264" s="1366"/>
      <c r="BQ264" s="1366"/>
      <c r="BR264" s="1366"/>
      <c r="BS264" s="1366"/>
      <c r="BT264" s="1366"/>
      <c r="BU264" s="1366"/>
      <c r="BV264" s="1366"/>
      <c r="BW264" s="1366"/>
      <c r="BX264" s="1366"/>
      <c r="BY264" s="1366"/>
      <c r="BZ264" s="1366"/>
      <c r="CA264" s="1366"/>
      <c r="CB264" s="1366"/>
      <c r="CC264" s="1366"/>
      <c r="CD264" s="1366"/>
      <c r="CE264" s="1366"/>
      <c r="CF264" s="1366"/>
      <c r="CG264" s="1366"/>
      <c r="CH264" s="1366"/>
      <c r="CI264" s="1366"/>
      <c r="CJ264" s="1366"/>
      <c r="CK264" s="1366"/>
      <c r="CL264" s="1366"/>
      <c r="CM264" s="1366"/>
      <c r="CN264" s="1366"/>
      <c r="CO264" s="1366"/>
      <c r="CP264" s="1366"/>
      <c r="CQ264" s="1366"/>
      <c r="CR264" s="1366"/>
      <c r="CS264" s="1366"/>
      <c r="CT264" s="1366"/>
      <c r="CU264" s="1366"/>
      <c r="CV264" s="1366"/>
      <c r="CW264" s="1366"/>
      <c r="CX264" s="1366"/>
      <c r="CY264" s="1366"/>
      <c r="CZ264" s="1366"/>
      <c r="DA264" s="1366"/>
      <c r="DB264" s="1366"/>
      <c r="DC264" s="1366"/>
      <c r="DD264" s="1366"/>
      <c r="DE264" s="1366"/>
      <c r="DF264" s="1366"/>
      <c r="DG264" s="1366"/>
      <c r="DH264" s="1366"/>
      <c r="DI264" s="1366"/>
      <c r="DJ264" s="1366"/>
      <c r="DK264" s="1366"/>
      <c r="DL264" s="1366"/>
      <c r="DM264" s="1366"/>
      <c r="DN264" s="1366"/>
      <c r="DO264" s="1366"/>
      <c r="DP264" s="1366"/>
      <c r="DQ264" s="1366"/>
      <c r="DR264" s="1366"/>
      <c r="DS264" s="1366"/>
      <c r="DT264" s="1366"/>
      <c r="DU264" s="1366"/>
      <c r="DV264" s="1366"/>
    </row>
    <row r="265" spans="1:126" s="1479" customFormat="1" ht="19.5" thickBot="1">
      <c r="A265" s="695"/>
      <c r="B265" s="1652"/>
      <c r="C265" s="1652"/>
      <c r="D265" s="1318"/>
      <c r="E265" s="1318"/>
      <c r="F265" s="1318"/>
      <c r="G265" s="1318"/>
      <c r="H265" s="1389"/>
      <c r="I265" s="1446"/>
      <c r="J265" s="1390"/>
      <c r="K265" s="1389"/>
      <c r="L265" s="1532"/>
      <c r="M265" s="1389"/>
      <c r="N265" s="1497"/>
      <c r="O265" s="1389"/>
      <c r="P265" s="1390"/>
      <c r="Q265" s="1390"/>
      <c r="R265" s="1446"/>
      <c r="S265" s="1446"/>
      <c r="T265" s="1498"/>
      <c r="U265" s="1498"/>
      <c r="V265" s="1497"/>
      <c r="W265" s="1490"/>
      <c r="X265" s="1490"/>
      <c r="Y265" s="327"/>
      <c r="Z265" s="327"/>
      <c r="AA265" s="327"/>
      <c r="AB265" s="1490"/>
      <c r="AC265" s="1490"/>
      <c r="AD265" s="1490"/>
      <c r="AE265" s="1490"/>
      <c r="AF265" s="327"/>
      <c r="AG265" s="327"/>
      <c r="AH265" s="327"/>
      <c r="AI265" s="327"/>
      <c r="AJ265" s="327"/>
      <c r="AK265" s="1478"/>
      <c r="AL265" s="1478"/>
      <c r="AM265" s="1478"/>
      <c r="AN265" s="1478"/>
      <c r="AO265" s="1478"/>
      <c r="AP265" s="1478"/>
      <c r="AQ265" s="1478"/>
      <c r="AR265" s="1478"/>
      <c r="AS265" s="1478"/>
      <c r="AT265" s="1478"/>
      <c r="AU265" s="1478"/>
      <c r="AV265" s="1478"/>
      <c r="AW265" s="1478"/>
      <c r="AX265" s="1478"/>
      <c r="AY265" s="1478"/>
      <c r="AZ265" s="1478"/>
      <c r="BA265" s="1478"/>
      <c r="BB265" s="1478"/>
      <c r="BC265" s="1478"/>
      <c r="BD265" s="1478"/>
      <c r="BE265" s="1478"/>
      <c r="BF265" s="1478"/>
      <c r="BG265" s="1478"/>
      <c r="BH265" s="1478"/>
      <c r="BI265" s="1478"/>
      <c r="BJ265" s="1478"/>
      <c r="BK265" s="327"/>
      <c r="BL265" s="327"/>
      <c r="BM265" s="327"/>
      <c r="BN265" s="327"/>
      <c r="BO265" s="327"/>
      <c r="BP265" s="327"/>
      <c r="BQ265" s="327"/>
      <c r="BR265" s="327"/>
      <c r="BS265" s="327"/>
      <c r="BT265" s="327"/>
      <c r="BU265" s="327"/>
      <c r="BV265" s="327"/>
      <c r="BW265" s="327"/>
      <c r="BX265" s="327"/>
      <c r="BY265" s="327"/>
      <c r="BZ265" s="327"/>
      <c r="CA265" s="327"/>
      <c r="CB265" s="327"/>
      <c r="CC265" s="327"/>
      <c r="CD265" s="327"/>
      <c r="CE265" s="327"/>
      <c r="CF265" s="327"/>
      <c r="CG265" s="327"/>
      <c r="CH265" s="327"/>
      <c r="CI265" s="327"/>
      <c r="CJ265" s="327"/>
      <c r="CK265" s="327"/>
      <c r="CL265" s="327"/>
      <c r="CM265" s="327"/>
      <c r="CN265" s="327"/>
      <c r="CO265" s="327"/>
      <c r="CP265" s="327"/>
      <c r="CQ265" s="327"/>
      <c r="CR265" s="327"/>
      <c r="CS265" s="327"/>
      <c r="CT265" s="327"/>
      <c r="CU265" s="327"/>
      <c r="CV265" s="327"/>
      <c r="CW265" s="327"/>
      <c r="CX265" s="327"/>
      <c r="CY265" s="327"/>
      <c r="CZ265" s="327"/>
      <c r="DA265" s="327"/>
      <c r="DB265" s="327"/>
      <c r="DC265" s="327"/>
      <c r="DD265" s="327"/>
      <c r="DE265" s="327"/>
      <c r="DF265" s="327"/>
      <c r="DG265" s="327"/>
      <c r="DH265" s="327"/>
      <c r="DI265" s="327"/>
      <c r="DJ265" s="327"/>
      <c r="DK265" s="327"/>
      <c r="DL265" s="327"/>
      <c r="DM265" s="327"/>
      <c r="DN265" s="327"/>
      <c r="DO265" s="327"/>
      <c r="DP265" s="327"/>
      <c r="DQ265" s="327"/>
      <c r="DR265" s="327"/>
      <c r="DS265" s="327"/>
      <c r="DT265" s="327"/>
      <c r="DU265" s="327"/>
      <c r="DV265" s="327"/>
    </row>
    <row r="266" spans="1:126" s="1367" customFormat="1" ht="30">
      <c r="A266" s="2493" t="s">
        <v>507</v>
      </c>
      <c r="B266" s="1653">
        <v>93</v>
      </c>
      <c r="C266" s="1642" t="s">
        <v>47</v>
      </c>
      <c r="D266" s="1375" t="s">
        <v>2263</v>
      </c>
      <c r="E266" s="1364" t="s">
        <v>2097</v>
      </c>
      <c r="F266" s="1364" t="s">
        <v>2108</v>
      </c>
      <c r="G266" s="506" t="s">
        <v>2247</v>
      </c>
      <c r="H266" s="1361">
        <f>(('Equipment Results Matrix'!$R$717*100)+('Equipment Results Matrix'!$R$718*1.26)+'Equipment Results Matrix'!$R$719+'Equipment Results Matrix'!$R$722+'Equipment Results Matrix'!$T$724)*(1+'Equipment Results Matrix'!$T$726)</f>
        <v>50172.589833249964</v>
      </c>
      <c r="I266" s="1371">
        <f>'Labor Results Matrix'!$E$190*100</f>
        <v>79.5</v>
      </c>
      <c r="J266" s="1372">
        <f>'Labor Results Matrix'!$G$190*(1+'Labor Results Matrix'!$K$190)</f>
        <v>89.120321361584701</v>
      </c>
      <c r="K266" s="1372">
        <f>I266*J266</f>
        <v>7085.0655482459833</v>
      </c>
      <c r="L266" s="1372">
        <f>('Labor Results Matrix'!$I$190*100)+'Labor Results Matrix'!$J$190*(1+'Labor Results Matrix'!$K$190)</f>
        <v>19943.5</v>
      </c>
      <c r="M266" s="1372">
        <f>H266+K266+L266</f>
        <v>77201.155381495948</v>
      </c>
      <c r="N266" s="1455" t="s">
        <v>40</v>
      </c>
      <c r="O266" s="1361">
        <f>H266/100</f>
        <v>501.72589833249964</v>
      </c>
      <c r="P266" s="1371">
        <f>'Labor Results Matrix'!$E$190</f>
        <v>0.79500000000000004</v>
      </c>
      <c r="Q266" s="1372">
        <f>K266/100</f>
        <v>70.850655482459828</v>
      </c>
      <c r="R266" s="1417">
        <f>'Labor Results Matrix'!$I$190*(1+'Labor Results Matrix'!$K$190)</f>
        <v>227.41874999999999</v>
      </c>
      <c r="S266" s="1417">
        <f>'Labor Results Matrix'!$J$190*(1+'Labor Results Matrix'!$K$190)</f>
        <v>1750</v>
      </c>
      <c r="T266" s="1372">
        <f>O266+Q266+R266</f>
        <v>799.99530381495947</v>
      </c>
      <c r="U266" s="1417" t="s">
        <v>40</v>
      </c>
      <c r="V266" s="1455" t="s">
        <v>40</v>
      </c>
      <c r="W266" s="1366"/>
      <c r="X266" s="1366"/>
      <c r="Y266" s="1366"/>
      <c r="Z266" s="1366"/>
      <c r="AA266" s="1366"/>
      <c r="AB266" s="1366"/>
      <c r="AC266" s="1366"/>
      <c r="AD266" s="1366"/>
      <c r="AE266" s="1366"/>
      <c r="AF266" s="1366"/>
      <c r="AG266" s="1366"/>
      <c r="AH266" s="1366"/>
      <c r="AI266" s="1366"/>
      <c r="AJ266" s="1366"/>
      <c r="AK266" s="1366"/>
      <c r="AL266" s="1366"/>
      <c r="AM266" s="1366"/>
      <c r="AN266" s="1366"/>
      <c r="AO266" s="1366"/>
      <c r="AP266" s="1366"/>
      <c r="AQ266" s="1366"/>
      <c r="AR266" s="1366"/>
      <c r="AS266" s="1366"/>
      <c r="AT266" s="1366"/>
      <c r="AU266" s="1366"/>
      <c r="AV266" s="1366"/>
      <c r="AW266" s="1366"/>
      <c r="AX266" s="1366"/>
      <c r="AY266" s="1366"/>
      <c r="AZ266" s="1366"/>
      <c r="BA266" s="1366"/>
      <c r="BB266" s="1366"/>
      <c r="BC266" s="1366"/>
      <c r="BD266" s="1366"/>
      <c r="BE266" s="1366"/>
      <c r="BF266" s="1366"/>
      <c r="BG266" s="1366"/>
      <c r="BH266" s="1366"/>
      <c r="BI266" s="1366"/>
      <c r="BJ266" s="1366"/>
      <c r="BK266" s="1366"/>
      <c r="BL266" s="1366"/>
      <c r="BM266" s="1366"/>
      <c r="BN266" s="1366"/>
      <c r="BO266" s="1366"/>
      <c r="BP266" s="1366"/>
      <c r="BQ266" s="1366"/>
      <c r="BR266" s="1366"/>
      <c r="BS266" s="1366"/>
      <c r="BT266" s="1366"/>
      <c r="BU266" s="1366"/>
      <c r="BV266" s="1366"/>
      <c r="BW266" s="1366"/>
      <c r="BX266" s="1366"/>
      <c r="BY266" s="1366"/>
      <c r="BZ266" s="1366"/>
      <c r="CA266" s="1366"/>
      <c r="CB266" s="1366"/>
      <c r="CC266" s="1366"/>
      <c r="CD266" s="1366"/>
      <c r="CE266" s="1366"/>
      <c r="CF266" s="1366"/>
      <c r="CG266" s="1366"/>
      <c r="CH266" s="1366"/>
      <c r="CI266" s="1366"/>
      <c r="CJ266" s="1366"/>
      <c r="CK266" s="1366"/>
      <c r="CL266" s="1366"/>
      <c r="CM266" s="1366"/>
      <c r="CN266" s="1366"/>
      <c r="CO266" s="1366"/>
      <c r="CP266" s="1366"/>
      <c r="CQ266" s="1366"/>
      <c r="CR266" s="1366"/>
      <c r="CS266" s="1366"/>
      <c r="CT266" s="1366"/>
      <c r="CU266" s="1366"/>
      <c r="CV266" s="1366"/>
      <c r="CW266" s="1366"/>
      <c r="CX266" s="1366"/>
      <c r="CY266" s="1366"/>
      <c r="CZ266" s="1366"/>
      <c r="DA266" s="1366"/>
      <c r="DB266" s="1366"/>
      <c r="DC266" s="1366"/>
      <c r="DD266" s="1366"/>
      <c r="DE266" s="1366"/>
      <c r="DF266" s="1366"/>
      <c r="DG266" s="1366"/>
      <c r="DH266" s="1366"/>
      <c r="DI266" s="1366"/>
      <c r="DJ266" s="1366"/>
      <c r="DK266" s="1366"/>
      <c r="DL266" s="1366"/>
      <c r="DM266" s="1366"/>
      <c r="DN266" s="1366"/>
      <c r="DO266" s="1366"/>
      <c r="DP266" s="1366"/>
      <c r="DQ266" s="1366"/>
      <c r="DR266" s="1366"/>
      <c r="DS266" s="1366"/>
      <c r="DT266" s="1366"/>
      <c r="DU266" s="1366"/>
      <c r="DV266" s="1366"/>
    </row>
    <row r="267" spans="1:126" s="1367" customFormat="1" ht="30.75" thickBot="1">
      <c r="A267" s="2495"/>
      <c r="B267" s="1653">
        <v>93</v>
      </c>
      <c r="C267" s="1642" t="s">
        <v>49</v>
      </c>
      <c r="D267" s="1375" t="s">
        <v>2264</v>
      </c>
      <c r="E267" s="1364" t="s">
        <v>2097</v>
      </c>
      <c r="F267" s="1364" t="s">
        <v>2108</v>
      </c>
      <c r="G267" s="506" t="s">
        <v>2247</v>
      </c>
      <c r="H267" s="1361">
        <f>(('Equipment Results Matrix'!$R$717*100)+('Equipment Results Matrix'!$R$718*1.008)+'Equipment Results Matrix'!$R$719+'Equipment Results Matrix'!$R$722+'Equipment Results Matrix'!$T$724)*(1+'Equipment Results Matrix'!$T$726)</f>
        <v>85793.852895249991</v>
      </c>
      <c r="I267" s="1371">
        <f>'Labor Results Matrix'!$E$190*100</f>
        <v>79.5</v>
      </c>
      <c r="J267" s="1372">
        <f>'Labor Results Matrix'!$G$190*(1+'Labor Results Matrix'!$K$190)</f>
        <v>89.120321361584701</v>
      </c>
      <c r="K267" s="1372">
        <f>I267*J267</f>
        <v>7085.0655482459833</v>
      </c>
      <c r="L267" s="1372">
        <f>('Labor Results Matrix'!$I$190*100)+'Labor Results Matrix'!$J$190*(1+'Labor Results Matrix'!$K$190)</f>
        <v>19943.5</v>
      </c>
      <c r="M267" s="1372">
        <f>H267+K267+L267</f>
        <v>112822.41844349598</v>
      </c>
      <c r="N267" s="1458">
        <f>M267-M266</f>
        <v>35621.263062000027</v>
      </c>
      <c r="O267" s="1361">
        <f>H267/100</f>
        <v>857.93852895249995</v>
      </c>
      <c r="P267" s="1371">
        <f>'Labor Results Matrix'!$E$190</f>
        <v>0.79500000000000004</v>
      </c>
      <c r="Q267" s="1372">
        <f>K267/100</f>
        <v>70.850655482459828</v>
      </c>
      <c r="R267" s="1417">
        <f>'Labor Results Matrix'!$I$190*(1+'Labor Results Matrix'!$K$190)</f>
        <v>227.41874999999999</v>
      </c>
      <c r="S267" s="1417">
        <f>'Labor Results Matrix'!$J$190*(1+'Labor Results Matrix'!$K$190)</f>
        <v>1750</v>
      </c>
      <c r="T267" s="1372">
        <f>O267+Q267+R267</f>
        <v>1156.2079344349597</v>
      </c>
      <c r="U267" s="1372">
        <f>T267-T266</f>
        <v>356.21263062000025</v>
      </c>
      <c r="V267" s="1455">
        <f>S267-S266</f>
        <v>0</v>
      </c>
      <c r="W267" s="1366"/>
      <c r="X267" s="1366"/>
      <c r="Y267" s="1366"/>
      <c r="Z267" s="1366"/>
      <c r="AA267" s="1366"/>
      <c r="AB267" s="1366"/>
      <c r="AC267" s="1366"/>
      <c r="AD267" s="1366"/>
      <c r="AE267" s="1366"/>
      <c r="AF267" s="1366"/>
      <c r="AG267" s="1366"/>
      <c r="AH267" s="1366"/>
      <c r="AI267" s="1366"/>
      <c r="AJ267" s="1366"/>
      <c r="AK267" s="1366"/>
      <c r="AL267" s="1366"/>
      <c r="AM267" s="1366"/>
      <c r="AN267" s="1366"/>
      <c r="AO267" s="1366"/>
      <c r="AP267" s="1366"/>
      <c r="AQ267" s="1366"/>
      <c r="AR267" s="1366"/>
      <c r="AS267" s="1366"/>
      <c r="AT267" s="1366"/>
      <c r="AU267" s="1366"/>
      <c r="AV267" s="1366"/>
      <c r="AW267" s="1366"/>
      <c r="AX267" s="1366"/>
      <c r="AY267" s="1366"/>
      <c r="AZ267" s="1366"/>
      <c r="BA267" s="1366"/>
      <c r="BB267" s="1366"/>
      <c r="BC267" s="1366"/>
      <c r="BD267" s="1366"/>
      <c r="BE267" s="1366"/>
      <c r="BF267" s="1366"/>
      <c r="BG267" s="1366"/>
      <c r="BH267" s="1366"/>
      <c r="BI267" s="1366"/>
      <c r="BJ267" s="1366"/>
      <c r="BK267" s="1366"/>
      <c r="BL267" s="1366"/>
      <c r="BM267" s="1366"/>
      <c r="BN267" s="1366"/>
      <c r="BO267" s="1366"/>
      <c r="BP267" s="1366"/>
      <c r="BQ267" s="1366"/>
      <c r="BR267" s="1366"/>
      <c r="BS267" s="1366"/>
      <c r="BT267" s="1366"/>
      <c r="BU267" s="1366"/>
      <c r="BV267" s="1366"/>
      <c r="BW267" s="1366"/>
      <c r="BX267" s="1366"/>
      <c r="BY267" s="1366"/>
      <c r="BZ267" s="1366"/>
      <c r="CA267" s="1366"/>
      <c r="CB267" s="1366"/>
      <c r="CC267" s="1366"/>
      <c r="CD267" s="1366"/>
      <c r="CE267" s="1366"/>
      <c r="CF267" s="1366"/>
      <c r="CG267" s="1366"/>
      <c r="CH267" s="1366"/>
      <c r="CI267" s="1366"/>
      <c r="CJ267" s="1366"/>
      <c r="CK267" s="1366"/>
      <c r="CL267" s="1366"/>
      <c r="CM267" s="1366"/>
      <c r="CN267" s="1366"/>
      <c r="CO267" s="1366"/>
      <c r="CP267" s="1366"/>
      <c r="CQ267" s="1366"/>
      <c r="CR267" s="1366"/>
      <c r="CS267" s="1366"/>
      <c r="CT267" s="1366"/>
      <c r="CU267" s="1366"/>
      <c r="CV267" s="1366"/>
      <c r="CW267" s="1366"/>
      <c r="CX267" s="1366"/>
      <c r="CY267" s="1366"/>
      <c r="CZ267" s="1366"/>
      <c r="DA267" s="1366"/>
      <c r="DB267" s="1366"/>
      <c r="DC267" s="1366"/>
      <c r="DD267" s="1366"/>
      <c r="DE267" s="1366"/>
      <c r="DF267" s="1366"/>
      <c r="DG267" s="1366"/>
      <c r="DH267" s="1366"/>
      <c r="DI267" s="1366"/>
      <c r="DJ267" s="1366"/>
      <c r="DK267" s="1366"/>
      <c r="DL267" s="1366"/>
      <c r="DM267" s="1366"/>
      <c r="DN267" s="1366"/>
      <c r="DO267" s="1366"/>
      <c r="DP267" s="1366"/>
      <c r="DQ267" s="1366"/>
      <c r="DR267" s="1366"/>
      <c r="DS267" s="1366"/>
      <c r="DT267" s="1366"/>
      <c r="DU267" s="1366"/>
      <c r="DV267" s="1366"/>
    </row>
    <row r="268" spans="1:126" s="1479" customFormat="1" ht="19.5" thickBot="1">
      <c r="A268" s="695"/>
      <c r="B268" s="1652"/>
      <c r="C268" s="1652"/>
      <c r="D268" s="1318"/>
      <c r="E268" s="1318"/>
      <c r="F268" s="1318"/>
      <c r="G268" s="1318"/>
      <c r="H268" s="1389"/>
      <c r="I268" s="1446"/>
      <c r="J268" s="1390"/>
      <c r="K268" s="1389"/>
      <c r="L268" s="1532"/>
      <c r="M268" s="1389"/>
      <c r="N268" s="1497"/>
      <c r="O268" s="1389"/>
      <c r="P268" s="1390"/>
      <c r="Q268" s="1390"/>
      <c r="R268" s="1446"/>
      <c r="S268" s="1446"/>
      <c r="T268" s="1498"/>
      <c r="U268" s="1498"/>
      <c r="V268" s="1497"/>
      <c r="W268" s="1490"/>
      <c r="X268" s="1490"/>
      <c r="Y268" s="327"/>
      <c r="Z268" s="327"/>
      <c r="AA268" s="327"/>
      <c r="AB268" s="1490"/>
      <c r="AC268" s="1490"/>
      <c r="AD268" s="1490"/>
      <c r="AE268" s="1490"/>
      <c r="AF268" s="327"/>
      <c r="AG268" s="327"/>
      <c r="AH268" s="327"/>
      <c r="AI268" s="327"/>
      <c r="AJ268" s="327"/>
      <c r="AK268" s="1478"/>
      <c r="AL268" s="1478"/>
      <c r="AM268" s="1478"/>
      <c r="AN268" s="1478"/>
      <c r="AO268" s="1478"/>
      <c r="AP268" s="1478"/>
      <c r="AQ268" s="1478"/>
      <c r="AR268" s="1478"/>
      <c r="AS268" s="1478"/>
      <c r="AT268" s="1478"/>
      <c r="AU268" s="1478"/>
      <c r="AV268" s="1478"/>
      <c r="AW268" s="1478"/>
      <c r="AX268" s="1478"/>
      <c r="AY268" s="1478"/>
      <c r="AZ268" s="1478"/>
      <c r="BA268" s="1478"/>
      <c r="BB268" s="1478"/>
      <c r="BC268" s="1478"/>
      <c r="BD268" s="1478"/>
      <c r="BE268" s="1478"/>
      <c r="BF268" s="1478"/>
      <c r="BG268" s="1478"/>
      <c r="BH268" s="1478"/>
      <c r="BI268" s="1478"/>
      <c r="BJ268" s="1478"/>
      <c r="BK268" s="327"/>
      <c r="BL268" s="327"/>
      <c r="BM268" s="327"/>
      <c r="BN268" s="327"/>
      <c r="BO268" s="327"/>
      <c r="BP268" s="327"/>
      <c r="BQ268" s="327"/>
      <c r="BR268" s="327"/>
      <c r="BS268" s="327"/>
      <c r="BT268" s="327"/>
      <c r="BU268" s="327"/>
      <c r="BV268" s="327"/>
      <c r="BW268" s="327"/>
      <c r="BX268" s="327"/>
      <c r="BY268" s="327"/>
      <c r="BZ268" s="327"/>
      <c r="CA268" s="327"/>
      <c r="CB268" s="327"/>
      <c r="CC268" s="327"/>
      <c r="CD268" s="327"/>
      <c r="CE268" s="327"/>
      <c r="CF268" s="327"/>
      <c r="CG268" s="327"/>
      <c r="CH268" s="327"/>
      <c r="CI268" s="327"/>
      <c r="CJ268" s="327"/>
      <c r="CK268" s="327"/>
      <c r="CL268" s="327"/>
      <c r="CM268" s="327"/>
      <c r="CN268" s="327"/>
      <c r="CO268" s="327"/>
      <c r="CP268" s="327"/>
      <c r="CQ268" s="327"/>
      <c r="CR268" s="327"/>
      <c r="CS268" s="327"/>
      <c r="CT268" s="327"/>
      <c r="CU268" s="327"/>
      <c r="CV268" s="327"/>
      <c r="CW268" s="327"/>
      <c r="CX268" s="327"/>
      <c r="CY268" s="327"/>
      <c r="CZ268" s="327"/>
      <c r="DA268" s="327"/>
      <c r="DB268" s="327"/>
      <c r="DC268" s="327"/>
      <c r="DD268" s="327"/>
      <c r="DE268" s="327"/>
      <c r="DF268" s="327"/>
      <c r="DG268" s="327"/>
      <c r="DH268" s="327"/>
      <c r="DI268" s="327"/>
      <c r="DJ268" s="327"/>
      <c r="DK268" s="327"/>
      <c r="DL268" s="327"/>
      <c r="DM268" s="327"/>
      <c r="DN268" s="327"/>
      <c r="DO268" s="327"/>
      <c r="DP268" s="327"/>
      <c r="DQ268" s="327"/>
      <c r="DR268" s="327"/>
      <c r="DS268" s="327"/>
      <c r="DT268" s="327"/>
      <c r="DU268" s="327"/>
      <c r="DV268" s="327"/>
    </row>
    <row r="269" spans="1:126" s="1367" customFormat="1" ht="30">
      <c r="A269" s="2493" t="s">
        <v>1138</v>
      </c>
      <c r="B269" s="1653">
        <v>77</v>
      </c>
      <c r="C269" s="1642" t="s">
        <v>47</v>
      </c>
      <c r="D269" s="1375" t="s">
        <v>2248</v>
      </c>
      <c r="E269" s="1364" t="s">
        <v>2097</v>
      </c>
      <c r="F269" s="1364" t="s">
        <v>2108</v>
      </c>
      <c r="G269" s="506" t="s">
        <v>2247</v>
      </c>
      <c r="H269" s="1361">
        <f>(('Equipment Results Matrix'!$R$739*100)+('Equipment Results Matrix'!$R$740*0.634)+'Equipment Results Matrix'!$R$741+'Equipment Results Matrix'!$T$746)*(1+'Equipment Results Matrix'!$T$748)</f>
        <v>52207.889227439977</v>
      </c>
      <c r="I269" s="1371">
        <f>'Labor Results Matrix'!$E$212*100</f>
        <v>114.5</v>
      </c>
      <c r="J269" s="1372">
        <f>'Labor Results Matrix'!$G$212*(1+'Labor Results Matrix'!$K$212)</f>
        <v>89.36499365701647</v>
      </c>
      <c r="K269" s="1372">
        <f>I269*J269</f>
        <v>10232.291773728386</v>
      </c>
      <c r="L269" s="1372">
        <f>(('Labor Results Matrix'!$I$212*100)+'Labor Results Matrix'!$J$212)*(1+'Labor Results Matrix'!$K$212)</f>
        <v>27237.887500000001</v>
      </c>
      <c r="M269" s="1372">
        <f>H269+K269+L269</f>
        <v>89678.068501168367</v>
      </c>
      <c r="N269" s="1455" t="s">
        <v>40</v>
      </c>
      <c r="O269" s="1361">
        <f>H269/100</f>
        <v>522.07889227439978</v>
      </c>
      <c r="P269" s="1371">
        <f>'Labor Results Matrix'!$E$212</f>
        <v>1.145</v>
      </c>
      <c r="Q269" s="1372">
        <f>J269*P269</f>
        <v>102.32291773728386</v>
      </c>
      <c r="R269" s="1417">
        <f>'Labor Results Matrix'!$I$212*(1+'Labor Results Matrix'!$K$212)</f>
        <v>254.87887500000002</v>
      </c>
      <c r="S269" s="1417">
        <f>'Labor Results Matrix'!$J$212*(1+'Labor Results Matrix'!$K$212)</f>
        <v>1750</v>
      </c>
      <c r="T269" s="1372">
        <f>O269+Q269+R269</f>
        <v>879.28068501168366</v>
      </c>
      <c r="U269" s="1417" t="s">
        <v>40</v>
      </c>
      <c r="V269" s="1455" t="s">
        <v>40</v>
      </c>
      <c r="W269" s="1366"/>
      <c r="X269" s="1366"/>
      <c r="Y269" s="1366"/>
      <c r="Z269" s="1366"/>
      <c r="AA269" s="1366"/>
      <c r="AB269" s="1366"/>
      <c r="AC269" s="1366"/>
      <c r="AD269" s="1366"/>
      <c r="AE269" s="1366"/>
      <c r="AF269" s="1366"/>
      <c r="AG269" s="1366"/>
      <c r="AH269" s="1366"/>
      <c r="AI269" s="1366"/>
      <c r="AJ269" s="1366"/>
      <c r="AK269" s="1366"/>
      <c r="AL269" s="1366"/>
      <c r="AM269" s="1366"/>
      <c r="AN269" s="1366"/>
      <c r="AO269" s="1366"/>
      <c r="AP269" s="1366"/>
      <c r="AQ269" s="1366"/>
      <c r="AR269" s="1366"/>
      <c r="AS269" s="1366"/>
      <c r="AT269" s="1366"/>
      <c r="AU269" s="1366"/>
      <c r="AV269" s="1366"/>
      <c r="AW269" s="1366"/>
      <c r="AX269" s="1366"/>
      <c r="AY269" s="1366"/>
      <c r="AZ269" s="1366"/>
      <c r="BA269" s="1366"/>
      <c r="BB269" s="1366"/>
      <c r="BC269" s="1366"/>
      <c r="BD269" s="1366"/>
      <c r="BE269" s="1366"/>
      <c r="BF269" s="1366"/>
      <c r="BG269" s="1366"/>
      <c r="BH269" s="1366"/>
      <c r="BI269" s="1366"/>
      <c r="BJ269" s="1366"/>
      <c r="BK269" s="1366"/>
      <c r="BL269" s="1366"/>
      <c r="BM269" s="1366"/>
      <c r="BN269" s="1366"/>
      <c r="BO269" s="1366"/>
      <c r="BP269" s="1366"/>
      <c r="BQ269" s="1366"/>
      <c r="BR269" s="1366"/>
      <c r="BS269" s="1366"/>
      <c r="BT269" s="1366"/>
      <c r="BU269" s="1366"/>
      <c r="BV269" s="1366"/>
      <c r="BW269" s="1366"/>
      <c r="BX269" s="1366"/>
      <c r="BY269" s="1366"/>
      <c r="BZ269" s="1366"/>
      <c r="CA269" s="1366"/>
      <c r="CB269" s="1366"/>
      <c r="CC269" s="1366"/>
      <c r="CD269" s="1366"/>
      <c r="CE269" s="1366"/>
      <c r="CF269" s="1366"/>
      <c r="CG269" s="1366"/>
      <c r="CH269" s="1366"/>
      <c r="CI269" s="1366"/>
      <c r="CJ269" s="1366"/>
      <c r="CK269" s="1366"/>
      <c r="CL269" s="1366"/>
      <c r="CM269" s="1366"/>
      <c r="CN269" s="1366"/>
      <c r="CO269" s="1366"/>
      <c r="CP269" s="1366"/>
      <c r="CQ269" s="1366"/>
      <c r="CR269" s="1366"/>
      <c r="CS269" s="1366"/>
      <c r="CT269" s="1366"/>
      <c r="CU269" s="1366"/>
      <c r="CV269" s="1366"/>
      <c r="CW269" s="1366"/>
      <c r="CX269" s="1366"/>
      <c r="CY269" s="1366"/>
      <c r="CZ269" s="1366"/>
      <c r="DA269" s="1366"/>
      <c r="DB269" s="1366"/>
      <c r="DC269" s="1366"/>
      <c r="DD269" s="1366"/>
      <c r="DE269" s="1366"/>
      <c r="DF269" s="1366"/>
      <c r="DG269" s="1366"/>
      <c r="DH269" s="1366"/>
      <c r="DI269" s="1366"/>
      <c r="DJ269" s="1366"/>
      <c r="DK269" s="1366"/>
      <c r="DL269" s="1366"/>
      <c r="DM269" s="1366"/>
      <c r="DN269" s="1366"/>
      <c r="DO269" s="1366"/>
      <c r="DP269" s="1366"/>
      <c r="DQ269" s="1366"/>
      <c r="DR269" s="1366"/>
      <c r="DS269" s="1366"/>
      <c r="DT269" s="1366"/>
      <c r="DU269" s="1366"/>
      <c r="DV269" s="1366"/>
    </row>
    <row r="270" spans="1:126" s="1367" customFormat="1" ht="30">
      <c r="A270" s="2494"/>
      <c r="B270" s="1653">
        <v>77</v>
      </c>
      <c r="C270" s="1642" t="s">
        <v>49</v>
      </c>
      <c r="D270" s="1375" t="s">
        <v>2249</v>
      </c>
      <c r="E270" s="1364" t="s">
        <v>2097</v>
      </c>
      <c r="F270" s="1364" t="s">
        <v>2108</v>
      </c>
      <c r="G270" s="506" t="s">
        <v>2247</v>
      </c>
      <c r="H270" s="1361">
        <f>(('Equipment Results Matrix'!$R$739*100)+('Equipment Results Matrix'!$R$740*0.56)+'Equipment Results Matrix'!$R$741+'Equipment Results Matrix'!$T$746)*(1+'Equipment Results Matrix'!$T$748)</f>
        <v>69997.188849599974</v>
      </c>
      <c r="I270" s="1371">
        <f>'Labor Results Matrix'!$E$212*100</f>
        <v>114.5</v>
      </c>
      <c r="J270" s="1372">
        <f>'Labor Results Matrix'!$G$212*(1+'Labor Results Matrix'!$K$212)</f>
        <v>89.36499365701647</v>
      </c>
      <c r="K270" s="1372">
        <f t="shared" ref="K270:K280" si="94">I270*J270</f>
        <v>10232.291773728386</v>
      </c>
      <c r="L270" s="1372">
        <f>(('Labor Results Matrix'!$I$212*100)+'Labor Results Matrix'!$J$212)*(1+'Labor Results Matrix'!$K$212)</f>
        <v>27237.887500000001</v>
      </c>
      <c r="M270" s="1372">
        <f t="shared" ref="M270:M280" si="95">H270+K270+L270</f>
        <v>107467.36812332836</v>
      </c>
      <c r="N270" s="1458">
        <f>M270-M269</f>
        <v>17789.29962215999</v>
      </c>
      <c r="O270" s="1361">
        <f>H270/100</f>
        <v>699.97188849599979</v>
      </c>
      <c r="P270" s="1371">
        <f>'Labor Results Matrix'!$E$212</f>
        <v>1.145</v>
      </c>
      <c r="Q270" s="1372">
        <f t="shared" ref="Q270:Q280" si="96">J270*P270</f>
        <v>102.32291773728386</v>
      </c>
      <c r="R270" s="1417">
        <f>'Labor Results Matrix'!$I$212*(1+'Labor Results Matrix'!$K$212)</f>
        <v>254.87887500000002</v>
      </c>
      <c r="S270" s="1417">
        <f>'Labor Results Matrix'!$J$212*(1+'Labor Results Matrix'!$K$212)</f>
        <v>1750</v>
      </c>
      <c r="T270" s="1372">
        <f t="shared" ref="T270:T280" si="97">O270+Q270+R270</f>
        <v>1057.1736812332838</v>
      </c>
      <c r="U270" s="1372">
        <f>T270-T269</f>
        <v>177.89299622160013</v>
      </c>
      <c r="V270" s="1455">
        <f>S270-S269</f>
        <v>0</v>
      </c>
      <c r="W270" s="1366"/>
      <c r="X270" s="1366"/>
      <c r="Y270" s="1366"/>
      <c r="Z270" s="1366"/>
      <c r="AA270" s="1366"/>
      <c r="AB270" s="1366"/>
      <c r="AC270" s="1366"/>
      <c r="AD270" s="1366"/>
      <c r="AE270" s="1366"/>
      <c r="AF270" s="1366"/>
      <c r="AG270" s="1366"/>
      <c r="AH270" s="1366"/>
      <c r="AI270" s="1366"/>
      <c r="AJ270" s="1366"/>
      <c r="AK270" s="1366"/>
      <c r="AL270" s="1366"/>
      <c r="AM270" s="1366"/>
      <c r="AN270" s="1366"/>
      <c r="AO270" s="1366"/>
      <c r="AP270" s="1366"/>
      <c r="AQ270" s="1366"/>
      <c r="AR270" s="1366"/>
      <c r="AS270" s="1366"/>
      <c r="AT270" s="1366"/>
      <c r="AU270" s="1366"/>
      <c r="AV270" s="1366"/>
      <c r="AW270" s="1366"/>
      <c r="AX270" s="1366"/>
      <c r="AY270" s="1366"/>
      <c r="AZ270" s="1366"/>
      <c r="BA270" s="1366"/>
      <c r="BB270" s="1366"/>
      <c r="BC270" s="1366"/>
      <c r="BD270" s="1366"/>
      <c r="BE270" s="1366"/>
      <c r="BF270" s="1366"/>
      <c r="BG270" s="1366"/>
      <c r="BH270" s="1366"/>
      <c r="BI270" s="1366"/>
      <c r="BJ270" s="1366"/>
      <c r="BK270" s="1366"/>
      <c r="BL270" s="1366"/>
      <c r="BM270" s="1366"/>
      <c r="BN270" s="1366"/>
      <c r="BO270" s="1366"/>
      <c r="BP270" s="1366"/>
      <c r="BQ270" s="1366"/>
      <c r="BR270" s="1366"/>
      <c r="BS270" s="1366"/>
      <c r="BT270" s="1366"/>
      <c r="BU270" s="1366"/>
      <c r="BV270" s="1366"/>
      <c r="BW270" s="1366"/>
      <c r="BX270" s="1366"/>
      <c r="BY270" s="1366"/>
      <c r="BZ270" s="1366"/>
      <c r="CA270" s="1366"/>
      <c r="CB270" s="1366"/>
      <c r="CC270" s="1366"/>
      <c r="CD270" s="1366"/>
      <c r="CE270" s="1366"/>
      <c r="CF270" s="1366"/>
      <c r="CG270" s="1366"/>
      <c r="CH270" s="1366"/>
      <c r="CI270" s="1366"/>
      <c r="CJ270" s="1366"/>
      <c r="CK270" s="1366"/>
      <c r="CL270" s="1366"/>
      <c r="CM270" s="1366"/>
      <c r="CN270" s="1366"/>
      <c r="CO270" s="1366"/>
      <c r="CP270" s="1366"/>
      <c r="CQ270" s="1366"/>
      <c r="CR270" s="1366"/>
      <c r="CS270" s="1366"/>
      <c r="CT270" s="1366"/>
      <c r="CU270" s="1366"/>
      <c r="CV270" s="1366"/>
      <c r="CW270" s="1366"/>
      <c r="CX270" s="1366"/>
      <c r="CY270" s="1366"/>
      <c r="CZ270" s="1366"/>
      <c r="DA270" s="1366"/>
      <c r="DB270" s="1366"/>
      <c r="DC270" s="1366"/>
      <c r="DD270" s="1366"/>
      <c r="DE270" s="1366"/>
      <c r="DF270" s="1366"/>
      <c r="DG270" s="1366"/>
      <c r="DH270" s="1366"/>
      <c r="DI270" s="1366"/>
      <c r="DJ270" s="1366"/>
      <c r="DK270" s="1366"/>
      <c r="DL270" s="1366"/>
      <c r="DM270" s="1366"/>
      <c r="DN270" s="1366"/>
      <c r="DO270" s="1366"/>
      <c r="DP270" s="1366"/>
      <c r="DQ270" s="1366"/>
      <c r="DR270" s="1366"/>
      <c r="DS270" s="1366"/>
      <c r="DT270" s="1366"/>
      <c r="DU270" s="1366"/>
      <c r="DV270" s="1366"/>
    </row>
    <row r="271" spans="1:126" s="1367" customFormat="1" ht="30">
      <c r="A271" s="2494"/>
      <c r="B271" s="1657">
        <v>81</v>
      </c>
      <c r="C271" s="1642" t="s">
        <v>47</v>
      </c>
      <c r="D271" s="1375" t="s">
        <v>2250</v>
      </c>
      <c r="E271" s="1364" t="s">
        <v>2097</v>
      </c>
      <c r="F271" s="1364" t="s">
        <v>2108</v>
      </c>
      <c r="G271" s="506" t="s">
        <v>2247</v>
      </c>
      <c r="H271" s="1361">
        <f>(('Equipment Results Matrix'!$R$739*200)+('Equipment Results Matrix'!$R$740*0.634)+'Equipment Results Matrix'!$R$741+'Equipment Results Matrix'!$T$746)*(1+'Equipment Results Matrix'!$T$748)</f>
        <v>82362.989227439975</v>
      </c>
      <c r="I271" s="1371">
        <f>'Labor Results Matrix'!$E$219*200</f>
        <v>171</v>
      </c>
      <c r="J271" s="1372">
        <f>'Labor Results Matrix'!$G$212*(1+'Labor Results Matrix'!$K$212)</f>
        <v>89.36499365701647</v>
      </c>
      <c r="K271" s="1372">
        <f t="shared" si="94"/>
        <v>15281.413915349816</v>
      </c>
      <c r="L271" s="1372">
        <f>(('Labor Results Matrix'!$I$219*200)+'Labor Results Matrix'!$J$219)*(1+'Labor Results Matrix'!$K$212)</f>
        <v>50755.774999999994</v>
      </c>
      <c r="M271" s="1372">
        <f t="shared" si="95"/>
        <v>148400.17814278978</v>
      </c>
      <c r="N271" s="1455" t="s">
        <v>40</v>
      </c>
      <c r="O271" s="1361">
        <f>H271/200</f>
        <v>411.81494613719985</v>
      </c>
      <c r="P271" s="1371">
        <f>'Labor Results Matrix'!$E$219</f>
        <v>0.85499999999999998</v>
      </c>
      <c r="Q271" s="1372">
        <f t="shared" si="96"/>
        <v>76.40706957674908</v>
      </c>
      <c r="R271" s="1417">
        <f>'Labor Results Matrix'!$I$219*(1+'Labor Results Matrix'!$K$212)</f>
        <v>228.77887499999997</v>
      </c>
      <c r="S271" s="1417">
        <f>'Labor Results Matrix'!$J$219*(1+'Labor Results Matrix'!$K$212)</f>
        <v>5000</v>
      </c>
      <c r="T271" s="1372">
        <f t="shared" si="97"/>
        <v>717.00089071394893</v>
      </c>
      <c r="U271" s="1417" t="s">
        <v>40</v>
      </c>
      <c r="V271" s="1455" t="s">
        <v>40</v>
      </c>
      <c r="W271" s="1366"/>
      <c r="X271" s="1366"/>
      <c r="Y271" s="1366"/>
      <c r="Z271" s="1366"/>
      <c r="AA271" s="1366"/>
      <c r="AB271" s="1366"/>
      <c r="AC271" s="1366"/>
      <c r="AD271" s="1366"/>
      <c r="AE271" s="1366"/>
      <c r="AF271" s="1366"/>
      <c r="AG271" s="1366"/>
      <c r="AH271" s="1366"/>
      <c r="AI271" s="1366"/>
      <c r="AJ271" s="1366"/>
      <c r="AK271" s="1366"/>
      <c r="AL271" s="1366"/>
      <c r="AM271" s="1366"/>
      <c r="AN271" s="1366"/>
      <c r="AO271" s="1366"/>
      <c r="AP271" s="1366"/>
      <c r="AQ271" s="1366"/>
      <c r="AR271" s="1366"/>
      <c r="AS271" s="1366"/>
      <c r="AT271" s="1366"/>
      <c r="AU271" s="1366"/>
      <c r="AV271" s="1366"/>
      <c r="AW271" s="1366"/>
      <c r="AX271" s="1366"/>
      <c r="AY271" s="1366"/>
      <c r="AZ271" s="1366"/>
      <c r="BA271" s="1366"/>
      <c r="BB271" s="1366"/>
      <c r="BC271" s="1366"/>
      <c r="BD271" s="1366"/>
      <c r="BE271" s="1366"/>
      <c r="BF271" s="1366"/>
      <c r="BG271" s="1366"/>
      <c r="BH271" s="1366"/>
      <c r="BI271" s="1366"/>
      <c r="BJ271" s="1366"/>
      <c r="BK271" s="1366"/>
      <c r="BL271" s="1366"/>
      <c r="BM271" s="1366"/>
      <c r="BN271" s="1366"/>
      <c r="BO271" s="1366"/>
      <c r="BP271" s="1366"/>
      <c r="BQ271" s="1366"/>
      <c r="BR271" s="1366"/>
      <c r="BS271" s="1366"/>
      <c r="BT271" s="1366"/>
      <c r="BU271" s="1366"/>
      <c r="BV271" s="1366"/>
      <c r="BW271" s="1366"/>
      <c r="BX271" s="1366"/>
      <c r="BY271" s="1366"/>
      <c r="BZ271" s="1366"/>
      <c r="CA271" s="1366"/>
      <c r="CB271" s="1366"/>
      <c r="CC271" s="1366"/>
      <c r="CD271" s="1366"/>
      <c r="CE271" s="1366"/>
      <c r="CF271" s="1366"/>
      <c r="CG271" s="1366"/>
      <c r="CH271" s="1366"/>
      <c r="CI271" s="1366"/>
      <c r="CJ271" s="1366"/>
      <c r="CK271" s="1366"/>
      <c r="CL271" s="1366"/>
      <c r="CM271" s="1366"/>
      <c r="CN271" s="1366"/>
      <c r="CO271" s="1366"/>
      <c r="CP271" s="1366"/>
      <c r="CQ271" s="1366"/>
      <c r="CR271" s="1366"/>
      <c r="CS271" s="1366"/>
      <c r="CT271" s="1366"/>
      <c r="CU271" s="1366"/>
      <c r="CV271" s="1366"/>
      <c r="CW271" s="1366"/>
      <c r="CX271" s="1366"/>
      <c r="CY271" s="1366"/>
      <c r="CZ271" s="1366"/>
      <c r="DA271" s="1366"/>
      <c r="DB271" s="1366"/>
      <c r="DC271" s="1366"/>
      <c r="DD271" s="1366"/>
      <c r="DE271" s="1366"/>
      <c r="DF271" s="1366"/>
      <c r="DG271" s="1366"/>
      <c r="DH271" s="1366"/>
      <c r="DI271" s="1366"/>
      <c r="DJ271" s="1366"/>
      <c r="DK271" s="1366"/>
      <c r="DL271" s="1366"/>
      <c r="DM271" s="1366"/>
      <c r="DN271" s="1366"/>
      <c r="DO271" s="1366"/>
      <c r="DP271" s="1366"/>
      <c r="DQ271" s="1366"/>
      <c r="DR271" s="1366"/>
      <c r="DS271" s="1366"/>
      <c r="DT271" s="1366"/>
      <c r="DU271" s="1366"/>
      <c r="DV271" s="1366"/>
    </row>
    <row r="272" spans="1:126" s="1367" customFormat="1" ht="30">
      <c r="A272" s="2494"/>
      <c r="B272" s="1653">
        <v>81</v>
      </c>
      <c r="C272" s="1642" t="s">
        <v>49</v>
      </c>
      <c r="D272" s="1375" t="s">
        <v>2251</v>
      </c>
      <c r="E272" s="1364" t="s">
        <v>2097</v>
      </c>
      <c r="F272" s="1364" t="s">
        <v>2108</v>
      </c>
      <c r="G272" s="506" t="s">
        <v>2247</v>
      </c>
      <c r="H272" s="1361">
        <f>(('Equipment Results Matrix'!$R$739*200)+('Equipment Results Matrix'!$R$740*0.507)+'Equipment Results Matrix'!$R$741+'Equipment Results Matrix'!$T$746)*(1+'Equipment Results Matrix'!$T$748)</f>
        <v>112893.27371411998</v>
      </c>
      <c r="I272" s="1371">
        <f>'Labor Results Matrix'!$E$219*200</f>
        <v>171</v>
      </c>
      <c r="J272" s="1372">
        <f>'Labor Results Matrix'!$G$212*(1+'Labor Results Matrix'!$K$212)</f>
        <v>89.36499365701647</v>
      </c>
      <c r="K272" s="1372">
        <f t="shared" si="94"/>
        <v>15281.413915349816</v>
      </c>
      <c r="L272" s="1372">
        <f>(('Labor Results Matrix'!$I$219*200)+'Labor Results Matrix'!$J$219)*(1+'Labor Results Matrix'!$K$212)</f>
        <v>50755.774999999994</v>
      </c>
      <c r="M272" s="1372">
        <f t="shared" si="95"/>
        <v>178930.46262946978</v>
      </c>
      <c r="N272" s="1458">
        <f>M272-M271</f>
        <v>30530.284486680001</v>
      </c>
      <c r="O272" s="1361">
        <f>H272/200</f>
        <v>564.46636857059991</v>
      </c>
      <c r="P272" s="1371">
        <f>'Labor Results Matrix'!$E$219</f>
        <v>0.85499999999999998</v>
      </c>
      <c r="Q272" s="1372">
        <f t="shared" si="96"/>
        <v>76.40706957674908</v>
      </c>
      <c r="R272" s="1417">
        <f>'Labor Results Matrix'!$I$219*(1+'Labor Results Matrix'!$K$212)</f>
        <v>228.77887499999997</v>
      </c>
      <c r="S272" s="1417">
        <f>'Labor Results Matrix'!$J$219*(1+'Labor Results Matrix'!$K$212)</f>
        <v>5000</v>
      </c>
      <c r="T272" s="1372">
        <f t="shared" si="97"/>
        <v>869.65231314734899</v>
      </c>
      <c r="U272" s="1372">
        <f>T272-T271</f>
        <v>152.65142243340006</v>
      </c>
      <c r="V272" s="1455">
        <f>S272-S271</f>
        <v>0</v>
      </c>
      <c r="W272" s="1366"/>
      <c r="X272" s="1366"/>
      <c r="Y272" s="1366"/>
      <c r="Z272" s="1366"/>
      <c r="AA272" s="1366"/>
      <c r="AB272" s="1366"/>
      <c r="AC272" s="1366"/>
      <c r="AD272" s="1366"/>
      <c r="AE272" s="1366"/>
      <c r="AF272" s="1366"/>
      <c r="AG272" s="1366"/>
      <c r="AH272" s="1366"/>
      <c r="AI272" s="1366"/>
      <c r="AJ272" s="1366"/>
      <c r="AK272" s="1366"/>
      <c r="AL272" s="1366"/>
      <c r="AM272" s="1366"/>
      <c r="AN272" s="1366"/>
      <c r="AO272" s="1366"/>
      <c r="AP272" s="1366"/>
      <c r="AQ272" s="1366"/>
      <c r="AR272" s="1366"/>
      <c r="AS272" s="1366"/>
      <c r="AT272" s="1366"/>
      <c r="AU272" s="1366"/>
      <c r="AV272" s="1366"/>
      <c r="AW272" s="1366"/>
      <c r="AX272" s="1366"/>
      <c r="AY272" s="1366"/>
      <c r="AZ272" s="1366"/>
      <c r="BA272" s="1366"/>
      <c r="BB272" s="1366"/>
      <c r="BC272" s="1366"/>
      <c r="BD272" s="1366"/>
      <c r="BE272" s="1366"/>
      <c r="BF272" s="1366"/>
      <c r="BG272" s="1366"/>
      <c r="BH272" s="1366"/>
      <c r="BI272" s="1366"/>
      <c r="BJ272" s="1366"/>
      <c r="BK272" s="1366"/>
      <c r="BL272" s="1366"/>
      <c r="BM272" s="1366"/>
      <c r="BN272" s="1366"/>
      <c r="BO272" s="1366"/>
      <c r="BP272" s="1366"/>
      <c r="BQ272" s="1366"/>
      <c r="BR272" s="1366"/>
      <c r="BS272" s="1366"/>
      <c r="BT272" s="1366"/>
      <c r="BU272" s="1366"/>
      <c r="BV272" s="1366"/>
      <c r="BW272" s="1366"/>
      <c r="BX272" s="1366"/>
      <c r="BY272" s="1366"/>
      <c r="BZ272" s="1366"/>
      <c r="CA272" s="1366"/>
      <c r="CB272" s="1366"/>
      <c r="CC272" s="1366"/>
      <c r="CD272" s="1366"/>
      <c r="CE272" s="1366"/>
      <c r="CF272" s="1366"/>
      <c r="CG272" s="1366"/>
      <c r="CH272" s="1366"/>
      <c r="CI272" s="1366"/>
      <c r="CJ272" s="1366"/>
      <c r="CK272" s="1366"/>
      <c r="CL272" s="1366"/>
      <c r="CM272" s="1366"/>
      <c r="CN272" s="1366"/>
      <c r="CO272" s="1366"/>
      <c r="CP272" s="1366"/>
      <c r="CQ272" s="1366"/>
      <c r="CR272" s="1366"/>
      <c r="CS272" s="1366"/>
      <c r="CT272" s="1366"/>
      <c r="CU272" s="1366"/>
      <c r="CV272" s="1366"/>
      <c r="CW272" s="1366"/>
      <c r="CX272" s="1366"/>
      <c r="CY272" s="1366"/>
      <c r="CZ272" s="1366"/>
      <c r="DA272" s="1366"/>
      <c r="DB272" s="1366"/>
      <c r="DC272" s="1366"/>
      <c r="DD272" s="1366"/>
      <c r="DE272" s="1366"/>
      <c r="DF272" s="1366"/>
      <c r="DG272" s="1366"/>
      <c r="DH272" s="1366"/>
      <c r="DI272" s="1366"/>
      <c r="DJ272" s="1366"/>
      <c r="DK272" s="1366"/>
      <c r="DL272" s="1366"/>
      <c r="DM272" s="1366"/>
      <c r="DN272" s="1366"/>
      <c r="DO272" s="1366"/>
      <c r="DP272" s="1366"/>
      <c r="DQ272" s="1366"/>
      <c r="DR272" s="1366"/>
      <c r="DS272" s="1366"/>
      <c r="DT272" s="1366"/>
      <c r="DU272" s="1366"/>
      <c r="DV272" s="1366"/>
    </row>
    <row r="273" spans="1:126" s="1367" customFormat="1" ht="30">
      <c r="A273" s="2494"/>
      <c r="B273" s="1653">
        <v>83</v>
      </c>
      <c r="C273" s="1642" t="s">
        <v>47</v>
      </c>
      <c r="D273" s="1375" t="s">
        <v>2252</v>
      </c>
      <c r="E273" s="1364" t="s">
        <v>2097</v>
      </c>
      <c r="F273" s="1364" t="s">
        <v>2108</v>
      </c>
      <c r="G273" s="506" t="s">
        <v>2247</v>
      </c>
      <c r="H273" s="1361">
        <f>(('Equipment Results Matrix'!$R$739*300)+('Equipment Results Matrix'!$R$740*0.573)+'Equipment Results Matrix'!$R$741+'Equipment Results Matrix'!$T$746)*(1+'Equipment Results Matrix'!$T$748)</f>
        <v>127182.24161867998</v>
      </c>
      <c r="I273" s="1371">
        <f>'Labor Results Matrix'!$E$217*300</f>
        <v>222</v>
      </c>
      <c r="J273" s="1372">
        <f>'Labor Results Matrix'!$G$212*(1+'Labor Results Matrix'!$K$212)</f>
        <v>89.36499365701647</v>
      </c>
      <c r="K273" s="1372">
        <f t="shared" si="94"/>
        <v>19839.028591857656</v>
      </c>
      <c r="L273" s="1372">
        <f>(('Labor Results Matrix'!$I$217*300)+'Labor Results Matrix'!$J$217)*(1+'Labor Results Matrix'!$K$212)</f>
        <v>67481.21875</v>
      </c>
      <c r="M273" s="1372">
        <f t="shared" si="95"/>
        <v>214502.48896053765</v>
      </c>
      <c r="N273" s="1455" t="s">
        <v>40</v>
      </c>
      <c r="O273" s="1361">
        <f>H273/300</f>
        <v>423.94080539559997</v>
      </c>
      <c r="P273" s="1371">
        <f>'Labor Results Matrix'!$E$217</f>
        <v>0.74</v>
      </c>
      <c r="Q273" s="1372">
        <f t="shared" si="96"/>
        <v>66.130095306192189</v>
      </c>
      <c r="R273" s="1417">
        <f>'Labor Results Matrix'!$I$217*(1+'Labor Results Matrix'!$K$212)</f>
        <v>198.89572916666665</v>
      </c>
      <c r="S273" s="1417">
        <f>'Labor Results Matrix'!$J$217*(1+'Labor Results Matrix'!$K$212)</f>
        <v>7812.5</v>
      </c>
      <c r="T273" s="1372">
        <f t="shared" si="97"/>
        <v>688.96662986845877</v>
      </c>
      <c r="U273" s="1417" t="s">
        <v>40</v>
      </c>
      <c r="V273" s="1455" t="s">
        <v>40</v>
      </c>
      <c r="W273" s="1366"/>
      <c r="X273" s="1366"/>
      <c r="Y273" s="1366"/>
      <c r="Z273" s="1366"/>
      <c r="AA273" s="1366"/>
      <c r="AB273" s="1366"/>
      <c r="AC273" s="1366"/>
      <c r="AD273" s="1366"/>
      <c r="AE273" s="1366"/>
      <c r="AF273" s="1366"/>
      <c r="AG273" s="1366"/>
      <c r="AH273" s="1366"/>
      <c r="AI273" s="1366"/>
      <c r="AJ273" s="1366"/>
      <c r="AK273" s="1366"/>
      <c r="AL273" s="1366"/>
      <c r="AM273" s="1366"/>
      <c r="AN273" s="1366"/>
      <c r="AO273" s="1366"/>
      <c r="AP273" s="1366"/>
      <c r="AQ273" s="1366"/>
      <c r="AR273" s="1366"/>
      <c r="AS273" s="1366"/>
      <c r="AT273" s="1366"/>
      <c r="AU273" s="1366"/>
      <c r="AV273" s="1366"/>
      <c r="AW273" s="1366"/>
      <c r="AX273" s="1366"/>
      <c r="AY273" s="1366"/>
      <c r="AZ273" s="1366"/>
      <c r="BA273" s="1366"/>
      <c r="BB273" s="1366"/>
      <c r="BC273" s="1366"/>
      <c r="BD273" s="1366"/>
      <c r="BE273" s="1366"/>
      <c r="BF273" s="1366"/>
      <c r="BG273" s="1366"/>
      <c r="BH273" s="1366"/>
      <c r="BI273" s="1366"/>
      <c r="BJ273" s="1366"/>
      <c r="BK273" s="1366"/>
      <c r="BL273" s="1366"/>
      <c r="BM273" s="1366"/>
      <c r="BN273" s="1366"/>
      <c r="BO273" s="1366"/>
      <c r="BP273" s="1366"/>
      <c r="BQ273" s="1366"/>
      <c r="BR273" s="1366"/>
      <c r="BS273" s="1366"/>
      <c r="BT273" s="1366"/>
      <c r="BU273" s="1366"/>
      <c r="BV273" s="1366"/>
      <c r="BW273" s="1366"/>
      <c r="BX273" s="1366"/>
      <c r="BY273" s="1366"/>
      <c r="BZ273" s="1366"/>
      <c r="CA273" s="1366"/>
      <c r="CB273" s="1366"/>
      <c r="CC273" s="1366"/>
      <c r="CD273" s="1366"/>
      <c r="CE273" s="1366"/>
      <c r="CF273" s="1366"/>
      <c r="CG273" s="1366"/>
      <c r="CH273" s="1366"/>
      <c r="CI273" s="1366"/>
      <c r="CJ273" s="1366"/>
      <c r="CK273" s="1366"/>
      <c r="CL273" s="1366"/>
      <c r="CM273" s="1366"/>
      <c r="CN273" s="1366"/>
      <c r="CO273" s="1366"/>
      <c r="CP273" s="1366"/>
      <c r="CQ273" s="1366"/>
      <c r="CR273" s="1366"/>
      <c r="CS273" s="1366"/>
      <c r="CT273" s="1366"/>
      <c r="CU273" s="1366"/>
      <c r="CV273" s="1366"/>
      <c r="CW273" s="1366"/>
      <c r="CX273" s="1366"/>
      <c r="CY273" s="1366"/>
      <c r="CZ273" s="1366"/>
      <c r="DA273" s="1366"/>
      <c r="DB273" s="1366"/>
      <c r="DC273" s="1366"/>
      <c r="DD273" s="1366"/>
      <c r="DE273" s="1366"/>
      <c r="DF273" s="1366"/>
      <c r="DG273" s="1366"/>
      <c r="DH273" s="1366"/>
      <c r="DI273" s="1366"/>
      <c r="DJ273" s="1366"/>
      <c r="DK273" s="1366"/>
      <c r="DL273" s="1366"/>
      <c r="DM273" s="1366"/>
      <c r="DN273" s="1366"/>
      <c r="DO273" s="1366"/>
      <c r="DP273" s="1366"/>
      <c r="DQ273" s="1366"/>
      <c r="DR273" s="1366"/>
      <c r="DS273" s="1366"/>
      <c r="DT273" s="1366"/>
      <c r="DU273" s="1366"/>
      <c r="DV273" s="1366"/>
    </row>
    <row r="274" spans="1:126" s="1367" customFormat="1" ht="30">
      <c r="A274" s="2494"/>
      <c r="B274" s="1653">
        <v>83</v>
      </c>
      <c r="C274" s="1642" t="s">
        <v>49</v>
      </c>
      <c r="D274" s="1375" t="s">
        <v>2253</v>
      </c>
      <c r="E274" s="1364" t="s">
        <v>2097</v>
      </c>
      <c r="F274" s="1364" t="s">
        <v>2108</v>
      </c>
      <c r="G274" s="506" t="s">
        <v>2247</v>
      </c>
      <c r="H274" s="1361">
        <f>(('Equipment Results Matrix'!$R$739*300)+('Equipment Results Matrix'!$R$740*0.461)+'Equipment Results Matrix'!$R$741+'Equipment Results Matrix'!$T$746)*(1+'Equipment Results Matrix'!$T$748)</f>
        <v>154106.58699275999</v>
      </c>
      <c r="I274" s="1371">
        <f>'Labor Results Matrix'!$E$217*300</f>
        <v>222</v>
      </c>
      <c r="J274" s="1372">
        <f>'Labor Results Matrix'!$G$212*(1+'Labor Results Matrix'!$K$212)</f>
        <v>89.36499365701647</v>
      </c>
      <c r="K274" s="1372">
        <f t="shared" si="94"/>
        <v>19839.028591857656</v>
      </c>
      <c r="L274" s="1372">
        <f>(('Labor Results Matrix'!$I$217*300)+'Labor Results Matrix'!$J$217)*(1+'Labor Results Matrix'!$K$212)</f>
        <v>67481.21875</v>
      </c>
      <c r="M274" s="1372">
        <f t="shared" si="95"/>
        <v>241426.83433461766</v>
      </c>
      <c r="N274" s="1458">
        <f>M274-M273</f>
        <v>26924.345374080003</v>
      </c>
      <c r="O274" s="1361">
        <f>H274/300</f>
        <v>513.6886233091999</v>
      </c>
      <c r="P274" s="1371">
        <f>'Labor Results Matrix'!$E$217</f>
        <v>0.74</v>
      </c>
      <c r="Q274" s="1372">
        <f t="shared" si="96"/>
        <v>66.130095306192189</v>
      </c>
      <c r="R274" s="1417">
        <f>'Labor Results Matrix'!$I$217*(1+'Labor Results Matrix'!$K$212)</f>
        <v>198.89572916666665</v>
      </c>
      <c r="S274" s="1417">
        <f>'Labor Results Matrix'!$J$217*(1+'Labor Results Matrix'!$K$212)</f>
        <v>7812.5</v>
      </c>
      <c r="T274" s="1372">
        <f t="shared" si="97"/>
        <v>778.71444778205876</v>
      </c>
      <c r="U274" s="1372">
        <f>T274-T273</f>
        <v>89.747817913599988</v>
      </c>
      <c r="V274" s="1455">
        <f>S274-S273</f>
        <v>0</v>
      </c>
      <c r="W274" s="1366"/>
      <c r="X274" s="1366"/>
      <c r="Y274" s="1366"/>
      <c r="Z274" s="1366"/>
      <c r="AA274" s="1366"/>
      <c r="AB274" s="1366"/>
      <c r="AC274" s="1366"/>
      <c r="AD274" s="1366"/>
      <c r="AE274" s="1366"/>
      <c r="AF274" s="1366"/>
      <c r="AG274" s="1366"/>
      <c r="AH274" s="1366"/>
      <c r="AI274" s="1366"/>
      <c r="AJ274" s="1366"/>
      <c r="AK274" s="1366"/>
      <c r="AL274" s="1366"/>
      <c r="AM274" s="1366"/>
      <c r="AN274" s="1366"/>
      <c r="AO274" s="1366"/>
      <c r="AP274" s="1366"/>
      <c r="AQ274" s="1366"/>
      <c r="AR274" s="1366"/>
      <c r="AS274" s="1366"/>
      <c r="AT274" s="1366"/>
      <c r="AU274" s="1366"/>
      <c r="AV274" s="1366"/>
      <c r="AW274" s="1366"/>
      <c r="AX274" s="1366"/>
      <c r="AY274" s="1366"/>
      <c r="AZ274" s="1366"/>
      <c r="BA274" s="1366"/>
      <c r="BB274" s="1366"/>
      <c r="BC274" s="1366"/>
      <c r="BD274" s="1366"/>
      <c r="BE274" s="1366"/>
      <c r="BF274" s="1366"/>
      <c r="BG274" s="1366"/>
      <c r="BH274" s="1366"/>
      <c r="BI274" s="1366"/>
      <c r="BJ274" s="1366"/>
      <c r="BK274" s="1366"/>
      <c r="BL274" s="1366"/>
      <c r="BM274" s="1366"/>
      <c r="BN274" s="1366"/>
      <c r="BO274" s="1366"/>
      <c r="BP274" s="1366"/>
      <c r="BQ274" s="1366"/>
      <c r="BR274" s="1366"/>
      <c r="BS274" s="1366"/>
      <c r="BT274" s="1366"/>
      <c r="BU274" s="1366"/>
      <c r="BV274" s="1366"/>
      <c r="BW274" s="1366"/>
      <c r="BX274" s="1366"/>
      <c r="BY274" s="1366"/>
      <c r="BZ274" s="1366"/>
      <c r="CA274" s="1366"/>
      <c r="CB274" s="1366"/>
      <c r="CC274" s="1366"/>
      <c r="CD274" s="1366"/>
      <c r="CE274" s="1366"/>
      <c r="CF274" s="1366"/>
      <c r="CG274" s="1366"/>
      <c r="CH274" s="1366"/>
      <c r="CI274" s="1366"/>
      <c r="CJ274" s="1366"/>
      <c r="CK274" s="1366"/>
      <c r="CL274" s="1366"/>
      <c r="CM274" s="1366"/>
      <c r="CN274" s="1366"/>
      <c r="CO274" s="1366"/>
      <c r="CP274" s="1366"/>
      <c r="CQ274" s="1366"/>
      <c r="CR274" s="1366"/>
      <c r="CS274" s="1366"/>
      <c r="CT274" s="1366"/>
      <c r="CU274" s="1366"/>
      <c r="CV274" s="1366"/>
      <c r="CW274" s="1366"/>
      <c r="CX274" s="1366"/>
      <c r="CY274" s="1366"/>
      <c r="CZ274" s="1366"/>
      <c r="DA274" s="1366"/>
      <c r="DB274" s="1366"/>
      <c r="DC274" s="1366"/>
      <c r="DD274" s="1366"/>
      <c r="DE274" s="1366"/>
      <c r="DF274" s="1366"/>
      <c r="DG274" s="1366"/>
      <c r="DH274" s="1366"/>
      <c r="DI274" s="1366"/>
      <c r="DJ274" s="1366"/>
      <c r="DK274" s="1366"/>
      <c r="DL274" s="1366"/>
      <c r="DM274" s="1366"/>
      <c r="DN274" s="1366"/>
      <c r="DO274" s="1366"/>
      <c r="DP274" s="1366"/>
      <c r="DQ274" s="1366"/>
      <c r="DR274" s="1366"/>
      <c r="DS274" s="1366"/>
      <c r="DT274" s="1366"/>
      <c r="DU274" s="1366"/>
      <c r="DV274" s="1366"/>
    </row>
    <row r="275" spans="1:126" s="1367" customFormat="1" ht="30">
      <c r="A275" s="2494"/>
      <c r="B275" s="1653">
        <v>90</v>
      </c>
      <c r="C275" s="1642" t="s">
        <v>47</v>
      </c>
      <c r="D275" s="1375" t="s">
        <v>2254</v>
      </c>
      <c r="E275" s="1364" t="s">
        <v>2102</v>
      </c>
      <c r="F275" s="1364" t="s">
        <v>2108</v>
      </c>
      <c r="G275" s="506" t="s">
        <v>2247</v>
      </c>
      <c r="H275" s="1361">
        <f>(('Equipment Results Matrix'!$R$739*100)+('Equipment Results Matrix'!$R$740*0.778)+'Equipment Results Matrix'!$R$742+'Equipment Results Matrix'!$T$746)*(1+'Equipment Results Matrix'!$T$748)</f>
        <v>39786.437826479996</v>
      </c>
      <c r="I275" s="1371">
        <f>'Labor Results Matrix'!$E$212*100</f>
        <v>114.5</v>
      </c>
      <c r="J275" s="1372">
        <f>'Labor Results Matrix'!$G$212*(1+'Labor Results Matrix'!$K$212)</f>
        <v>89.36499365701647</v>
      </c>
      <c r="K275" s="1372">
        <f t="shared" si="94"/>
        <v>10232.291773728386</v>
      </c>
      <c r="L275" s="1372">
        <f>(('Labor Results Matrix'!$I$212*100)+'Labor Results Matrix'!$J$212)*(1+'Labor Results Matrix'!$K$212)</f>
        <v>27237.887500000001</v>
      </c>
      <c r="M275" s="1372">
        <f t="shared" si="95"/>
        <v>77256.617100208387</v>
      </c>
      <c r="N275" s="1455" t="s">
        <v>40</v>
      </c>
      <c r="O275" s="1361">
        <f>H275/100</f>
        <v>397.86437826479994</v>
      </c>
      <c r="P275" s="1371">
        <f>'Labor Results Matrix'!$E$212</f>
        <v>1.145</v>
      </c>
      <c r="Q275" s="1372">
        <f t="shared" si="96"/>
        <v>102.32291773728386</v>
      </c>
      <c r="R275" s="1417">
        <f>'Labor Results Matrix'!$I$212*(1+'Labor Results Matrix'!$K$212)</f>
        <v>254.87887500000002</v>
      </c>
      <c r="S275" s="1417">
        <f>'Labor Results Matrix'!$J$212*(1+'Labor Results Matrix'!$K$212)</f>
        <v>1750</v>
      </c>
      <c r="T275" s="1372">
        <f t="shared" si="97"/>
        <v>755.06617100208382</v>
      </c>
      <c r="U275" s="1417" t="s">
        <v>40</v>
      </c>
      <c r="V275" s="1455" t="s">
        <v>40</v>
      </c>
      <c r="W275" s="1366"/>
      <c r="X275" s="1366"/>
      <c r="Y275" s="1366"/>
      <c r="Z275" s="1366"/>
      <c r="AA275" s="1366"/>
      <c r="AB275" s="1366"/>
      <c r="AC275" s="1366"/>
      <c r="AD275" s="1366"/>
      <c r="AE275" s="1366"/>
      <c r="AF275" s="1366"/>
      <c r="AG275" s="1366"/>
      <c r="AH275" s="1366"/>
      <c r="AI275" s="1366"/>
      <c r="AJ275" s="1366"/>
      <c r="AK275" s="1366"/>
      <c r="AL275" s="1366"/>
      <c r="AM275" s="1366"/>
      <c r="AN275" s="1366"/>
      <c r="AO275" s="1366"/>
      <c r="AP275" s="1366"/>
      <c r="AQ275" s="1366"/>
      <c r="AR275" s="1366"/>
      <c r="AS275" s="1366"/>
      <c r="AT275" s="1366"/>
      <c r="AU275" s="1366"/>
      <c r="AV275" s="1366"/>
      <c r="AW275" s="1366"/>
      <c r="AX275" s="1366"/>
      <c r="AY275" s="1366"/>
      <c r="AZ275" s="1366"/>
      <c r="BA275" s="1366"/>
      <c r="BB275" s="1366"/>
      <c r="BC275" s="1366"/>
      <c r="BD275" s="1366"/>
      <c r="BE275" s="1366"/>
      <c r="BF275" s="1366"/>
      <c r="BG275" s="1366"/>
      <c r="BH275" s="1366"/>
      <c r="BI275" s="1366"/>
      <c r="BJ275" s="1366"/>
      <c r="BK275" s="1366"/>
      <c r="BL275" s="1366"/>
      <c r="BM275" s="1366"/>
      <c r="BN275" s="1366"/>
      <c r="BO275" s="1366"/>
      <c r="BP275" s="1366"/>
      <c r="BQ275" s="1366"/>
      <c r="BR275" s="1366"/>
      <c r="BS275" s="1366"/>
      <c r="BT275" s="1366"/>
      <c r="BU275" s="1366"/>
      <c r="BV275" s="1366"/>
      <c r="BW275" s="1366"/>
      <c r="BX275" s="1366"/>
      <c r="BY275" s="1366"/>
      <c r="BZ275" s="1366"/>
      <c r="CA275" s="1366"/>
      <c r="CB275" s="1366"/>
      <c r="CC275" s="1366"/>
      <c r="CD275" s="1366"/>
      <c r="CE275" s="1366"/>
      <c r="CF275" s="1366"/>
      <c r="CG275" s="1366"/>
      <c r="CH275" s="1366"/>
      <c r="CI275" s="1366"/>
      <c r="CJ275" s="1366"/>
      <c r="CK275" s="1366"/>
      <c r="CL275" s="1366"/>
      <c r="CM275" s="1366"/>
      <c r="CN275" s="1366"/>
      <c r="CO275" s="1366"/>
      <c r="CP275" s="1366"/>
      <c r="CQ275" s="1366"/>
      <c r="CR275" s="1366"/>
      <c r="CS275" s="1366"/>
      <c r="CT275" s="1366"/>
      <c r="CU275" s="1366"/>
      <c r="CV275" s="1366"/>
      <c r="CW275" s="1366"/>
      <c r="CX275" s="1366"/>
      <c r="CY275" s="1366"/>
      <c r="CZ275" s="1366"/>
      <c r="DA275" s="1366"/>
      <c r="DB275" s="1366"/>
      <c r="DC275" s="1366"/>
      <c r="DD275" s="1366"/>
      <c r="DE275" s="1366"/>
      <c r="DF275" s="1366"/>
      <c r="DG275" s="1366"/>
      <c r="DH275" s="1366"/>
      <c r="DI275" s="1366"/>
      <c r="DJ275" s="1366"/>
      <c r="DK275" s="1366"/>
      <c r="DL275" s="1366"/>
      <c r="DM275" s="1366"/>
      <c r="DN275" s="1366"/>
      <c r="DO275" s="1366"/>
      <c r="DP275" s="1366"/>
      <c r="DQ275" s="1366"/>
      <c r="DR275" s="1366"/>
      <c r="DS275" s="1366"/>
      <c r="DT275" s="1366"/>
      <c r="DU275" s="1366"/>
      <c r="DV275" s="1366"/>
    </row>
    <row r="276" spans="1:126" s="1367" customFormat="1" ht="30">
      <c r="A276" s="2494"/>
      <c r="B276" s="1653">
        <v>90</v>
      </c>
      <c r="C276" s="1642" t="s">
        <v>49</v>
      </c>
      <c r="D276" s="1375" t="s">
        <v>2255</v>
      </c>
      <c r="E276" s="1364" t="s">
        <v>2102</v>
      </c>
      <c r="F276" s="1364" t="s">
        <v>2108</v>
      </c>
      <c r="G276" s="506" t="s">
        <v>2247</v>
      </c>
      <c r="H276" s="1361">
        <f>(('Equipment Results Matrix'!$R$739*100)+('Equipment Results Matrix'!$R$740*0.632)+'Equipment Results Matrix'!$R$742+'Equipment Results Matrix'!$T$746)*(1+'Equipment Results Matrix'!$T$748)</f>
        <v>74884.245189119989</v>
      </c>
      <c r="I276" s="1371">
        <f>'Labor Results Matrix'!$E$212*100</f>
        <v>114.5</v>
      </c>
      <c r="J276" s="1372">
        <f>'Labor Results Matrix'!$G$212*(1+'Labor Results Matrix'!$K$212)</f>
        <v>89.36499365701647</v>
      </c>
      <c r="K276" s="1372">
        <f t="shared" si="94"/>
        <v>10232.291773728386</v>
      </c>
      <c r="L276" s="1372">
        <f>(('Labor Results Matrix'!$I$212*100)+'Labor Results Matrix'!$J$212)*(1+'Labor Results Matrix'!$K$212)</f>
        <v>27237.887500000001</v>
      </c>
      <c r="M276" s="1372">
        <f t="shared" si="95"/>
        <v>112354.42446284837</v>
      </c>
      <c r="N276" s="1458">
        <f>M276-M275</f>
        <v>35097.807362639986</v>
      </c>
      <c r="O276" s="1361">
        <f>H276/100</f>
        <v>748.84245189119986</v>
      </c>
      <c r="P276" s="1371">
        <f>'Labor Results Matrix'!$E$212</f>
        <v>1.145</v>
      </c>
      <c r="Q276" s="1372">
        <f t="shared" si="96"/>
        <v>102.32291773728386</v>
      </c>
      <c r="R276" s="1417">
        <f>'Labor Results Matrix'!$I$212*(1+'Labor Results Matrix'!$K$212)</f>
        <v>254.87887500000002</v>
      </c>
      <c r="S276" s="1417">
        <f>'Labor Results Matrix'!$J$212*(1+'Labor Results Matrix'!$K$212)</f>
        <v>1750</v>
      </c>
      <c r="T276" s="1372">
        <f t="shared" si="97"/>
        <v>1106.0442446284837</v>
      </c>
      <c r="U276" s="1372">
        <f>T276-T275</f>
        <v>350.97807362639992</v>
      </c>
      <c r="V276" s="1455">
        <f>S276-S275</f>
        <v>0</v>
      </c>
      <c r="W276" s="1366"/>
      <c r="X276" s="1366"/>
      <c r="Y276" s="1366"/>
      <c r="Z276" s="1366"/>
      <c r="AA276" s="1366"/>
      <c r="AB276" s="1366"/>
      <c r="AC276" s="1366"/>
      <c r="AD276" s="1366"/>
      <c r="AE276" s="1366"/>
      <c r="AF276" s="1366"/>
      <c r="AG276" s="1366"/>
      <c r="AH276" s="1366"/>
      <c r="AI276" s="1366"/>
      <c r="AJ276" s="1366"/>
      <c r="AK276" s="1366"/>
      <c r="AL276" s="1366"/>
      <c r="AM276" s="1366"/>
      <c r="AN276" s="1366"/>
      <c r="AO276" s="1366"/>
      <c r="AP276" s="1366"/>
      <c r="AQ276" s="1366"/>
      <c r="AR276" s="1366"/>
      <c r="AS276" s="1366"/>
      <c r="AT276" s="1366"/>
      <c r="AU276" s="1366"/>
      <c r="AV276" s="1366"/>
      <c r="AW276" s="1366"/>
      <c r="AX276" s="1366"/>
      <c r="AY276" s="1366"/>
      <c r="AZ276" s="1366"/>
      <c r="BA276" s="1366"/>
      <c r="BB276" s="1366"/>
      <c r="BC276" s="1366"/>
      <c r="BD276" s="1366"/>
      <c r="BE276" s="1366"/>
      <c r="BF276" s="1366"/>
      <c r="BG276" s="1366"/>
      <c r="BH276" s="1366"/>
      <c r="BI276" s="1366"/>
      <c r="BJ276" s="1366"/>
      <c r="BK276" s="1366"/>
      <c r="BL276" s="1366"/>
      <c r="BM276" s="1366"/>
      <c r="BN276" s="1366"/>
      <c r="BO276" s="1366"/>
      <c r="BP276" s="1366"/>
      <c r="BQ276" s="1366"/>
      <c r="BR276" s="1366"/>
      <c r="BS276" s="1366"/>
      <c r="BT276" s="1366"/>
      <c r="BU276" s="1366"/>
      <c r="BV276" s="1366"/>
      <c r="BW276" s="1366"/>
      <c r="BX276" s="1366"/>
      <c r="BY276" s="1366"/>
      <c r="BZ276" s="1366"/>
      <c r="CA276" s="1366"/>
      <c r="CB276" s="1366"/>
      <c r="CC276" s="1366"/>
      <c r="CD276" s="1366"/>
      <c r="CE276" s="1366"/>
      <c r="CF276" s="1366"/>
      <c r="CG276" s="1366"/>
      <c r="CH276" s="1366"/>
      <c r="CI276" s="1366"/>
      <c r="CJ276" s="1366"/>
      <c r="CK276" s="1366"/>
      <c r="CL276" s="1366"/>
      <c r="CM276" s="1366"/>
      <c r="CN276" s="1366"/>
      <c r="CO276" s="1366"/>
      <c r="CP276" s="1366"/>
      <c r="CQ276" s="1366"/>
      <c r="CR276" s="1366"/>
      <c r="CS276" s="1366"/>
      <c r="CT276" s="1366"/>
      <c r="CU276" s="1366"/>
      <c r="CV276" s="1366"/>
      <c r="CW276" s="1366"/>
      <c r="CX276" s="1366"/>
      <c r="CY276" s="1366"/>
      <c r="CZ276" s="1366"/>
      <c r="DA276" s="1366"/>
      <c r="DB276" s="1366"/>
      <c r="DC276" s="1366"/>
      <c r="DD276" s="1366"/>
      <c r="DE276" s="1366"/>
      <c r="DF276" s="1366"/>
      <c r="DG276" s="1366"/>
      <c r="DH276" s="1366"/>
      <c r="DI276" s="1366"/>
      <c r="DJ276" s="1366"/>
      <c r="DK276" s="1366"/>
      <c r="DL276" s="1366"/>
      <c r="DM276" s="1366"/>
      <c r="DN276" s="1366"/>
      <c r="DO276" s="1366"/>
      <c r="DP276" s="1366"/>
      <c r="DQ276" s="1366"/>
      <c r="DR276" s="1366"/>
      <c r="DS276" s="1366"/>
      <c r="DT276" s="1366"/>
      <c r="DU276" s="1366"/>
      <c r="DV276" s="1366"/>
    </row>
    <row r="277" spans="1:126" s="1367" customFormat="1" ht="30">
      <c r="A277" s="2494"/>
      <c r="B277" s="1653">
        <v>91</v>
      </c>
      <c r="C277" s="1642" t="s">
        <v>47</v>
      </c>
      <c r="D277" s="1375" t="s">
        <v>2256</v>
      </c>
      <c r="E277" s="1364" t="s">
        <v>2097</v>
      </c>
      <c r="F277" s="1364" t="s">
        <v>2108</v>
      </c>
      <c r="G277" s="506" t="s">
        <v>2247</v>
      </c>
      <c r="H277" s="1361">
        <f>(('Equipment Results Matrix'!$R$739*200)+('Equipment Results Matrix'!$R$740*0.68)+'Equipment Results Matrix'!$R$742+'Equipment Results Matrix'!$T$746)*(1+'Equipment Results Matrix'!$T$748)</f>
        <v>93500.340028799983</v>
      </c>
      <c r="I277" s="1371">
        <f>'Labor Results Matrix'!$E$219*200</f>
        <v>171</v>
      </c>
      <c r="J277" s="1372">
        <f>'Labor Results Matrix'!$G$212*(1+'Labor Results Matrix'!$K$212)</f>
        <v>89.36499365701647</v>
      </c>
      <c r="K277" s="1372">
        <f t="shared" si="94"/>
        <v>15281.413915349816</v>
      </c>
      <c r="L277" s="1372">
        <f>(('Labor Results Matrix'!$I$219*200)+'Labor Results Matrix'!$J$219)*(1+'Labor Results Matrix'!$K$212)</f>
        <v>50755.774999999994</v>
      </c>
      <c r="M277" s="1372">
        <f t="shared" si="95"/>
        <v>159537.52894414979</v>
      </c>
      <c r="N277" s="1455" t="s">
        <v>40</v>
      </c>
      <c r="O277" s="1361">
        <f>H277/200</f>
        <v>467.50170014399993</v>
      </c>
      <c r="P277" s="1371">
        <f>'Labor Results Matrix'!$E$219</f>
        <v>0.85499999999999998</v>
      </c>
      <c r="Q277" s="1372">
        <f t="shared" si="96"/>
        <v>76.40706957674908</v>
      </c>
      <c r="R277" s="1417">
        <f>'Labor Results Matrix'!$I$219*(1+'Labor Results Matrix'!$K$212)</f>
        <v>228.77887499999997</v>
      </c>
      <c r="S277" s="1417">
        <f>'Labor Results Matrix'!$J$219*(1+'Labor Results Matrix'!$K$212)</f>
        <v>5000</v>
      </c>
      <c r="T277" s="1372">
        <f t="shared" si="97"/>
        <v>772.68764472074895</v>
      </c>
      <c r="U277" s="1417" t="s">
        <v>40</v>
      </c>
      <c r="V277" s="1455" t="s">
        <v>40</v>
      </c>
      <c r="W277" s="1366"/>
      <c r="X277" s="1366"/>
      <c r="Y277" s="1366"/>
      <c r="Z277" s="1366"/>
      <c r="AA277" s="1366"/>
      <c r="AB277" s="1366"/>
      <c r="AC277" s="1366"/>
      <c r="AD277" s="1366"/>
      <c r="AE277" s="1366"/>
      <c r="AF277" s="1366"/>
      <c r="AG277" s="1366"/>
      <c r="AH277" s="1366"/>
      <c r="AI277" s="1366"/>
      <c r="AJ277" s="1366"/>
      <c r="AK277" s="1366"/>
      <c r="AL277" s="1366"/>
      <c r="AM277" s="1366"/>
      <c r="AN277" s="1366"/>
      <c r="AO277" s="1366"/>
      <c r="AP277" s="1366"/>
      <c r="AQ277" s="1366"/>
      <c r="AR277" s="1366"/>
      <c r="AS277" s="1366"/>
      <c r="AT277" s="1366"/>
      <c r="AU277" s="1366"/>
      <c r="AV277" s="1366"/>
      <c r="AW277" s="1366"/>
      <c r="AX277" s="1366"/>
      <c r="AY277" s="1366"/>
      <c r="AZ277" s="1366"/>
      <c r="BA277" s="1366"/>
      <c r="BB277" s="1366"/>
      <c r="BC277" s="1366"/>
      <c r="BD277" s="1366"/>
      <c r="BE277" s="1366"/>
      <c r="BF277" s="1366"/>
      <c r="BG277" s="1366"/>
      <c r="BH277" s="1366"/>
      <c r="BI277" s="1366"/>
      <c r="BJ277" s="1366"/>
      <c r="BK277" s="1366"/>
      <c r="BL277" s="1366"/>
      <c r="BM277" s="1366"/>
      <c r="BN277" s="1366"/>
      <c r="BO277" s="1366"/>
      <c r="BP277" s="1366"/>
      <c r="BQ277" s="1366"/>
      <c r="BR277" s="1366"/>
      <c r="BS277" s="1366"/>
      <c r="BT277" s="1366"/>
      <c r="BU277" s="1366"/>
      <c r="BV277" s="1366"/>
      <c r="BW277" s="1366"/>
      <c r="BX277" s="1366"/>
      <c r="BY277" s="1366"/>
      <c r="BZ277" s="1366"/>
      <c r="CA277" s="1366"/>
      <c r="CB277" s="1366"/>
      <c r="CC277" s="1366"/>
      <c r="CD277" s="1366"/>
      <c r="CE277" s="1366"/>
      <c r="CF277" s="1366"/>
      <c r="CG277" s="1366"/>
      <c r="CH277" s="1366"/>
      <c r="CI277" s="1366"/>
      <c r="CJ277" s="1366"/>
      <c r="CK277" s="1366"/>
      <c r="CL277" s="1366"/>
      <c r="CM277" s="1366"/>
      <c r="CN277" s="1366"/>
      <c r="CO277" s="1366"/>
      <c r="CP277" s="1366"/>
      <c r="CQ277" s="1366"/>
      <c r="CR277" s="1366"/>
      <c r="CS277" s="1366"/>
      <c r="CT277" s="1366"/>
      <c r="CU277" s="1366"/>
      <c r="CV277" s="1366"/>
      <c r="CW277" s="1366"/>
      <c r="CX277" s="1366"/>
      <c r="CY277" s="1366"/>
      <c r="CZ277" s="1366"/>
      <c r="DA277" s="1366"/>
      <c r="DB277" s="1366"/>
      <c r="DC277" s="1366"/>
      <c r="DD277" s="1366"/>
      <c r="DE277" s="1366"/>
      <c r="DF277" s="1366"/>
      <c r="DG277" s="1366"/>
      <c r="DH277" s="1366"/>
      <c r="DI277" s="1366"/>
      <c r="DJ277" s="1366"/>
      <c r="DK277" s="1366"/>
      <c r="DL277" s="1366"/>
      <c r="DM277" s="1366"/>
      <c r="DN277" s="1366"/>
      <c r="DO277" s="1366"/>
      <c r="DP277" s="1366"/>
      <c r="DQ277" s="1366"/>
      <c r="DR277" s="1366"/>
      <c r="DS277" s="1366"/>
      <c r="DT277" s="1366"/>
      <c r="DU277" s="1366"/>
      <c r="DV277" s="1366"/>
    </row>
    <row r="278" spans="1:126" s="1367" customFormat="1" ht="30">
      <c r="A278" s="2494"/>
      <c r="B278" s="1653">
        <v>91</v>
      </c>
      <c r="C278" s="1642" t="s">
        <v>49</v>
      </c>
      <c r="D278" s="1375" t="s">
        <v>2257</v>
      </c>
      <c r="E278" s="1364" t="s">
        <v>2097</v>
      </c>
      <c r="F278" s="1364" t="s">
        <v>2108</v>
      </c>
      <c r="G278" s="506" t="s">
        <v>2247</v>
      </c>
      <c r="H278" s="1361">
        <f>(('Equipment Results Matrix'!$R$739*200)+('Equipment Results Matrix'!$R$740*0.574)+'Equipment Results Matrix'!$R$742+'Equipment Results Matrix'!$T$746)*(1+'Equipment Results Matrix'!$T$748)</f>
        <v>118982.30975784</v>
      </c>
      <c r="I278" s="1371">
        <f>'Labor Results Matrix'!$E$219*200</f>
        <v>171</v>
      </c>
      <c r="J278" s="1372">
        <f>'Labor Results Matrix'!$G$212*(1+'Labor Results Matrix'!$K$212)</f>
        <v>89.36499365701647</v>
      </c>
      <c r="K278" s="1372">
        <f t="shared" si="94"/>
        <v>15281.413915349816</v>
      </c>
      <c r="L278" s="1372">
        <f>(('Labor Results Matrix'!$I$219*200)+'Labor Results Matrix'!$J$219)*(1+'Labor Results Matrix'!$K$212)</f>
        <v>50755.774999999994</v>
      </c>
      <c r="M278" s="1372">
        <f t="shared" si="95"/>
        <v>185019.49867318981</v>
      </c>
      <c r="N278" s="1458">
        <f>M278-M277</f>
        <v>25481.969729040022</v>
      </c>
      <c r="O278" s="1361">
        <f>H278/200</f>
        <v>594.91154878919997</v>
      </c>
      <c r="P278" s="1371">
        <f>'Labor Results Matrix'!$E$219</f>
        <v>0.85499999999999998</v>
      </c>
      <c r="Q278" s="1372">
        <f t="shared" si="96"/>
        <v>76.40706957674908</v>
      </c>
      <c r="R278" s="1417">
        <f>'Labor Results Matrix'!$I$219*(1+'Labor Results Matrix'!$K$212)</f>
        <v>228.77887499999997</v>
      </c>
      <c r="S278" s="1417">
        <f>'Labor Results Matrix'!$J$219*(1+'Labor Results Matrix'!$K$212)</f>
        <v>5000</v>
      </c>
      <c r="T278" s="1372">
        <f t="shared" si="97"/>
        <v>900.09749336594905</v>
      </c>
      <c r="U278" s="1372">
        <f>T278-T277</f>
        <v>127.4098486452001</v>
      </c>
      <c r="V278" s="1455">
        <f>S278-S277</f>
        <v>0</v>
      </c>
      <c r="W278" s="1366"/>
      <c r="X278" s="1366"/>
      <c r="Y278" s="1366"/>
      <c r="Z278" s="1366"/>
      <c r="AA278" s="1366"/>
      <c r="AB278" s="1366"/>
      <c r="AC278" s="1366"/>
      <c r="AD278" s="1366"/>
      <c r="AE278" s="1366"/>
      <c r="AF278" s="1366"/>
      <c r="AG278" s="1366"/>
      <c r="AH278" s="1366"/>
      <c r="AI278" s="1366"/>
      <c r="AJ278" s="1366"/>
      <c r="AK278" s="1366"/>
      <c r="AL278" s="1366"/>
      <c r="AM278" s="1366"/>
      <c r="AN278" s="1366"/>
      <c r="AO278" s="1366"/>
      <c r="AP278" s="1366"/>
      <c r="AQ278" s="1366"/>
      <c r="AR278" s="1366"/>
      <c r="AS278" s="1366"/>
      <c r="AT278" s="1366"/>
      <c r="AU278" s="1366"/>
      <c r="AV278" s="1366"/>
      <c r="AW278" s="1366"/>
      <c r="AX278" s="1366"/>
      <c r="AY278" s="1366"/>
      <c r="AZ278" s="1366"/>
      <c r="BA278" s="1366"/>
      <c r="BB278" s="1366"/>
      <c r="BC278" s="1366"/>
      <c r="BD278" s="1366"/>
      <c r="BE278" s="1366"/>
      <c r="BF278" s="1366"/>
      <c r="BG278" s="1366"/>
      <c r="BH278" s="1366"/>
      <c r="BI278" s="1366"/>
      <c r="BJ278" s="1366"/>
      <c r="BK278" s="1366"/>
      <c r="BL278" s="1366"/>
      <c r="BM278" s="1366"/>
      <c r="BN278" s="1366"/>
      <c r="BO278" s="1366"/>
      <c r="BP278" s="1366"/>
      <c r="BQ278" s="1366"/>
      <c r="BR278" s="1366"/>
      <c r="BS278" s="1366"/>
      <c r="BT278" s="1366"/>
      <c r="BU278" s="1366"/>
      <c r="BV278" s="1366"/>
      <c r="BW278" s="1366"/>
      <c r="BX278" s="1366"/>
      <c r="BY278" s="1366"/>
      <c r="BZ278" s="1366"/>
      <c r="CA278" s="1366"/>
      <c r="CB278" s="1366"/>
      <c r="CC278" s="1366"/>
      <c r="CD278" s="1366"/>
      <c r="CE278" s="1366"/>
      <c r="CF278" s="1366"/>
      <c r="CG278" s="1366"/>
      <c r="CH278" s="1366"/>
      <c r="CI278" s="1366"/>
      <c r="CJ278" s="1366"/>
      <c r="CK278" s="1366"/>
      <c r="CL278" s="1366"/>
      <c r="CM278" s="1366"/>
      <c r="CN278" s="1366"/>
      <c r="CO278" s="1366"/>
      <c r="CP278" s="1366"/>
      <c r="CQ278" s="1366"/>
      <c r="CR278" s="1366"/>
      <c r="CS278" s="1366"/>
      <c r="CT278" s="1366"/>
      <c r="CU278" s="1366"/>
      <c r="CV278" s="1366"/>
      <c r="CW278" s="1366"/>
      <c r="CX278" s="1366"/>
      <c r="CY278" s="1366"/>
      <c r="CZ278" s="1366"/>
      <c r="DA278" s="1366"/>
      <c r="DB278" s="1366"/>
      <c r="DC278" s="1366"/>
      <c r="DD278" s="1366"/>
      <c r="DE278" s="1366"/>
      <c r="DF278" s="1366"/>
      <c r="DG278" s="1366"/>
      <c r="DH278" s="1366"/>
      <c r="DI278" s="1366"/>
      <c r="DJ278" s="1366"/>
      <c r="DK278" s="1366"/>
      <c r="DL278" s="1366"/>
      <c r="DM278" s="1366"/>
      <c r="DN278" s="1366"/>
      <c r="DO278" s="1366"/>
      <c r="DP278" s="1366"/>
      <c r="DQ278" s="1366"/>
      <c r="DR278" s="1366"/>
      <c r="DS278" s="1366"/>
      <c r="DT278" s="1366"/>
      <c r="DU278" s="1366"/>
      <c r="DV278" s="1366"/>
    </row>
    <row r="279" spans="1:126" s="1367" customFormat="1" ht="30">
      <c r="A279" s="2494"/>
      <c r="B279" s="1653">
        <v>92</v>
      </c>
      <c r="C279" s="1642" t="s">
        <v>47</v>
      </c>
      <c r="D279" s="1375" t="s">
        <v>2258</v>
      </c>
      <c r="E279" s="1364" t="s">
        <v>2097</v>
      </c>
      <c r="F279" s="1364" t="s">
        <v>2108</v>
      </c>
      <c r="G279" s="506" t="s">
        <v>2247</v>
      </c>
      <c r="H279" s="1361">
        <f>(('Equipment Results Matrix'!$R$739*300)+('Equipment Results Matrix'!$R$740*0.62)+'Equipment Results Matrix'!$R$742+'Equipment Results Matrix'!$T$746)*(1+'Equipment Results Matrix'!$T$748)</f>
        <v>138079.19647919998</v>
      </c>
      <c r="I279" s="1371">
        <f>'Labor Results Matrix'!$E$217*300</f>
        <v>222</v>
      </c>
      <c r="J279" s="1372">
        <f>'Labor Results Matrix'!$G$212*(1+'Labor Results Matrix'!$K$212)</f>
        <v>89.36499365701647</v>
      </c>
      <c r="K279" s="1372">
        <f t="shared" si="94"/>
        <v>19839.028591857656</v>
      </c>
      <c r="L279" s="1372">
        <f>(('Labor Results Matrix'!$I$217*300)+'Labor Results Matrix'!$J$217)*(1+'Labor Results Matrix'!$K$212)</f>
        <v>67481.21875</v>
      </c>
      <c r="M279" s="1372">
        <f t="shared" si="95"/>
        <v>225399.44382105762</v>
      </c>
      <c r="N279" s="1455" t="s">
        <v>40</v>
      </c>
      <c r="O279" s="1361">
        <f>H279/300</f>
        <v>460.26398826399992</v>
      </c>
      <c r="P279" s="1371">
        <f>'Labor Results Matrix'!$E$217</f>
        <v>0.74</v>
      </c>
      <c r="Q279" s="1372">
        <f t="shared" si="96"/>
        <v>66.130095306192189</v>
      </c>
      <c r="R279" s="1417">
        <f>'Labor Results Matrix'!$I$217*(1+'Labor Results Matrix'!$K$212)</f>
        <v>198.89572916666665</v>
      </c>
      <c r="S279" s="1417">
        <f>'Labor Results Matrix'!$J$217*(1+'Labor Results Matrix'!$K$212)</f>
        <v>7812.5</v>
      </c>
      <c r="T279" s="1372">
        <f t="shared" si="97"/>
        <v>725.28981273685883</v>
      </c>
      <c r="U279" s="1417" t="s">
        <v>40</v>
      </c>
      <c r="V279" s="1455" t="s">
        <v>40</v>
      </c>
      <c r="W279" s="1366"/>
      <c r="X279" s="1366"/>
      <c r="Y279" s="1366"/>
      <c r="Z279" s="1366"/>
      <c r="AA279" s="1366"/>
      <c r="AB279" s="1366"/>
      <c r="AC279" s="1366"/>
      <c r="AD279" s="1366"/>
      <c r="AE279" s="1366"/>
      <c r="AF279" s="1366"/>
      <c r="AG279" s="1366"/>
      <c r="AH279" s="1366"/>
      <c r="AI279" s="1366"/>
      <c r="AJ279" s="1366"/>
      <c r="AK279" s="1366"/>
      <c r="AL279" s="1366"/>
      <c r="AM279" s="1366"/>
      <c r="AN279" s="1366"/>
      <c r="AO279" s="1366"/>
      <c r="AP279" s="1366"/>
      <c r="AQ279" s="1366"/>
      <c r="AR279" s="1366"/>
      <c r="AS279" s="1366"/>
      <c r="AT279" s="1366"/>
      <c r="AU279" s="1366"/>
      <c r="AV279" s="1366"/>
      <c r="AW279" s="1366"/>
      <c r="AX279" s="1366"/>
      <c r="AY279" s="1366"/>
      <c r="AZ279" s="1366"/>
      <c r="BA279" s="1366"/>
      <c r="BB279" s="1366"/>
      <c r="BC279" s="1366"/>
      <c r="BD279" s="1366"/>
      <c r="BE279" s="1366"/>
      <c r="BF279" s="1366"/>
      <c r="BG279" s="1366"/>
      <c r="BH279" s="1366"/>
      <c r="BI279" s="1366"/>
      <c r="BJ279" s="1366"/>
      <c r="BK279" s="1366"/>
      <c r="BL279" s="1366"/>
      <c r="BM279" s="1366"/>
      <c r="BN279" s="1366"/>
      <c r="BO279" s="1366"/>
      <c r="BP279" s="1366"/>
      <c r="BQ279" s="1366"/>
      <c r="BR279" s="1366"/>
      <c r="BS279" s="1366"/>
      <c r="BT279" s="1366"/>
      <c r="BU279" s="1366"/>
      <c r="BV279" s="1366"/>
      <c r="BW279" s="1366"/>
      <c r="BX279" s="1366"/>
      <c r="BY279" s="1366"/>
      <c r="BZ279" s="1366"/>
      <c r="CA279" s="1366"/>
      <c r="CB279" s="1366"/>
      <c r="CC279" s="1366"/>
      <c r="CD279" s="1366"/>
      <c r="CE279" s="1366"/>
      <c r="CF279" s="1366"/>
      <c r="CG279" s="1366"/>
      <c r="CH279" s="1366"/>
      <c r="CI279" s="1366"/>
      <c r="CJ279" s="1366"/>
      <c r="CK279" s="1366"/>
      <c r="CL279" s="1366"/>
      <c r="CM279" s="1366"/>
      <c r="CN279" s="1366"/>
      <c r="CO279" s="1366"/>
      <c r="CP279" s="1366"/>
      <c r="CQ279" s="1366"/>
      <c r="CR279" s="1366"/>
      <c r="CS279" s="1366"/>
      <c r="CT279" s="1366"/>
      <c r="CU279" s="1366"/>
      <c r="CV279" s="1366"/>
      <c r="CW279" s="1366"/>
      <c r="CX279" s="1366"/>
      <c r="CY279" s="1366"/>
      <c r="CZ279" s="1366"/>
      <c r="DA279" s="1366"/>
      <c r="DB279" s="1366"/>
      <c r="DC279" s="1366"/>
      <c r="DD279" s="1366"/>
      <c r="DE279" s="1366"/>
      <c r="DF279" s="1366"/>
      <c r="DG279" s="1366"/>
      <c r="DH279" s="1366"/>
      <c r="DI279" s="1366"/>
      <c r="DJ279" s="1366"/>
      <c r="DK279" s="1366"/>
      <c r="DL279" s="1366"/>
      <c r="DM279" s="1366"/>
      <c r="DN279" s="1366"/>
      <c r="DO279" s="1366"/>
      <c r="DP279" s="1366"/>
      <c r="DQ279" s="1366"/>
      <c r="DR279" s="1366"/>
      <c r="DS279" s="1366"/>
      <c r="DT279" s="1366"/>
      <c r="DU279" s="1366"/>
      <c r="DV279" s="1366"/>
    </row>
    <row r="280" spans="1:126" s="1367" customFormat="1" ht="30.75" thickBot="1">
      <c r="A280" s="2494"/>
      <c r="B280" s="1653">
        <v>92</v>
      </c>
      <c r="C280" s="1642" t="s">
        <v>49</v>
      </c>
      <c r="D280" s="1375" t="s">
        <v>2259</v>
      </c>
      <c r="E280" s="1364" t="s">
        <v>2097</v>
      </c>
      <c r="F280" s="1364" t="s">
        <v>2108</v>
      </c>
      <c r="G280" s="506" t="s">
        <v>2247</v>
      </c>
      <c r="H280" s="1361">
        <f>(('Equipment Results Matrix'!$R$739*300)+('Equipment Results Matrix'!$R$740*0.511)+'Equipment Results Matrix'!$R$742+'Equipment Results Matrix'!$T$746)*(1+'Equipment Results Matrix'!$T$748)</f>
        <v>164282.35403075998</v>
      </c>
      <c r="I280" s="1371">
        <f>'Labor Results Matrix'!$E$217*300</f>
        <v>222</v>
      </c>
      <c r="J280" s="1372">
        <f>'Labor Results Matrix'!$G$212*(1+'Labor Results Matrix'!$K$212)</f>
        <v>89.36499365701647</v>
      </c>
      <c r="K280" s="1372">
        <f t="shared" si="94"/>
        <v>19839.028591857656</v>
      </c>
      <c r="L280" s="1372">
        <f>(('Labor Results Matrix'!$I$217*300)+'Labor Results Matrix'!$J$217)*(1+'Labor Results Matrix'!$K$212)</f>
        <v>67481.21875</v>
      </c>
      <c r="M280" s="1372">
        <f t="shared" si="95"/>
        <v>251602.60137261765</v>
      </c>
      <c r="N280" s="1458">
        <f>M280-M279</f>
        <v>26203.157551560027</v>
      </c>
      <c r="O280" s="1361">
        <f>H280/300</f>
        <v>547.60784676919991</v>
      </c>
      <c r="P280" s="1371">
        <f>'Labor Results Matrix'!$E$217</f>
        <v>0.74</v>
      </c>
      <c r="Q280" s="1372">
        <f t="shared" si="96"/>
        <v>66.130095306192189</v>
      </c>
      <c r="R280" s="1417">
        <f>'Labor Results Matrix'!$I$217*(1+'Labor Results Matrix'!$K$212)</f>
        <v>198.89572916666665</v>
      </c>
      <c r="S280" s="1417">
        <f>'Labor Results Matrix'!$J$217*(1+'Labor Results Matrix'!$K$212)</f>
        <v>7812.5</v>
      </c>
      <c r="T280" s="1372">
        <f t="shared" si="97"/>
        <v>812.63367124205877</v>
      </c>
      <c r="U280" s="1372">
        <f>T280-T279</f>
        <v>87.343858505199933</v>
      </c>
      <c r="V280" s="1455">
        <f>S280-S279</f>
        <v>0</v>
      </c>
      <c r="W280" s="1366"/>
      <c r="X280" s="1366"/>
      <c r="Y280" s="1366"/>
      <c r="Z280" s="1366"/>
      <c r="AA280" s="1366"/>
      <c r="AB280" s="1366"/>
      <c r="AC280" s="1366"/>
      <c r="AD280" s="1366"/>
      <c r="AE280" s="1366"/>
      <c r="AF280" s="1366"/>
      <c r="AG280" s="1366"/>
      <c r="AH280" s="1366"/>
      <c r="AI280" s="1366"/>
      <c r="AJ280" s="1366"/>
      <c r="AK280" s="1366"/>
      <c r="AL280" s="1366"/>
      <c r="AM280" s="1366"/>
      <c r="AN280" s="1366"/>
      <c r="AO280" s="1366"/>
      <c r="AP280" s="1366"/>
      <c r="AQ280" s="1366"/>
      <c r="AR280" s="1366"/>
      <c r="AS280" s="1366"/>
      <c r="AT280" s="1366"/>
      <c r="AU280" s="1366"/>
      <c r="AV280" s="1366"/>
      <c r="AW280" s="1366"/>
      <c r="AX280" s="1366"/>
      <c r="AY280" s="1366"/>
      <c r="AZ280" s="1366"/>
      <c r="BA280" s="1366"/>
      <c r="BB280" s="1366"/>
      <c r="BC280" s="1366"/>
      <c r="BD280" s="1366"/>
      <c r="BE280" s="1366"/>
      <c r="BF280" s="1366"/>
      <c r="BG280" s="1366"/>
      <c r="BH280" s="1366"/>
      <c r="BI280" s="1366"/>
      <c r="BJ280" s="1366"/>
      <c r="BK280" s="1366"/>
      <c r="BL280" s="1366"/>
      <c r="BM280" s="1366"/>
      <c r="BN280" s="1366"/>
      <c r="BO280" s="1366"/>
      <c r="BP280" s="1366"/>
      <c r="BQ280" s="1366"/>
      <c r="BR280" s="1366"/>
      <c r="BS280" s="1366"/>
      <c r="BT280" s="1366"/>
      <c r="BU280" s="1366"/>
      <c r="BV280" s="1366"/>
      <c r="BW280" s="1366"/>
      <c r="BX280" s="1366"/>
      <c r="BY280" s="1366"/>
      <c r="BZ280" s="1366"/>
      <c r="CA280" s="1366"/>
      <c r="CB280" s="1366"/>
      <c r="CC280" s="1366"/>
      <c r="CD280" s="1366"/>
      <c r="CE280" s="1366"/>
      <c r="CF280" s="1366"/>
      <c r="CG280" s="1366"/>
      <c r="CH280" s="1366"/>
      <c r="CI280" s="1366"/>
      <c r="CJ280" s="1366"/>
      <c r="CK280" s="1366"/>
      <c r="CL280" s="1366"/>
      <c r="CM280" s="1366"/>
      <c r="CN280" s="1366"/>
      <c r="CO280" s="1366"/>
      <c r="CP280" s="1366"/>
      <c r="CQ280" s="1366"/>
      <c r="CR280" s="1366"/>
      <c r="CS280" s="1366"/>
      <c r="CT280" s="1366"/>
      <c r="CU280" s="1366"/>
      <c r="CV280" s="1366"/>
      <c r="CW280" s="1366"/>
      <c r="CX280" s="1366"/>
      <c r="CY280" s="1366"/>
      <c r="CZ280" s="1366"/>
      <c r="DA280" s="1366"/>
      <c r="DB280" s="1366"/>
      <c r="DC280" s="1366"/>
      <c r="DD280" s="1366"/>
      <c r="DE280" s="1366"/>
      <c r="DF280" s="1366"/>
      <c r="DG280" s="1366"/>
      <c r="DH280" s="1366"/>
      <c r="DI280" s="1366"/>
      <c r="DJ280" s="1366"/>
      <c r="DK280" s="1366"/>
      <c r="DL280" s="1366"/>
      <c r="DM280" s="1366"/>
      <c r="DN280" s="1366"/>
      <c r="DO280" s="1366"/>
      <c r="DP280" s="1366"/>
      <c r="DQ280" s="1366"/>
      <c r="DR280" s="1366"/>
      <c r="DS280" s="1366"/>
      <c r="DT280" s="1366"/>
      <c r="DU280" s="1366"/>
      <c r="DV280" s="1366"/>
    </row>
    <row r="281" spans="1:126" s="1479" customFormat="1" ht="19.5" thickBot="1">
      <c r="A281" s="695"/>
      <c r="B281" s="1652"/>
      <c r="C281" s="1652"/>
      <c r="D281" s="1318"/>
      <c r="E281" s="1318"/>
      <c r="F281" s="1318"/>
      <c r="G281" s="1318"/>
      <c r="H281" s="1389"/>
      <c r="I281" s="1446"/>
      <c r="J281" s="1390"/>
      <c r="K281" s="1389"/>
      <c r="L281" s="1532"/>
      <c r="M281" s="1389"/>
      <c r="N281" s="1497"/>
      <c r="O281" s="1389"/>
      <c r="P281" s="1390"/>
      <c r="Q281" s="1390"/>
      <c r="R281" s="1446"/>
      <c r="S281" s="1446"/>
      <c r="T281" s="1498"/>
      <c r="U281" s="1498"/>
      <c r="V281" s="1497"/>
      <c r="W281" s="1490"/>
      <c r="X281" s="1490"/>
      <c r="Y281" s="327"/>
      <c r="Z281" s="327"/>
      <c r="AA281" s="327"/>
      <c r="AB281" s="1490"/>
      <c r="AC281" s="1490"/>
      <c r="AD281" s="1490"/>
      <c r="AE281" s="1490"/>
      <c r="AF281" s="327"/>
      <c r="AG281" s="327"/>
      <c r="AH281" s="327"/>
      <c r="AI281" s="327"/>
      <c r="AJ281" s="327"/>
      <c r="AK281" s="1478"/>
      <c r="AL281" s="1478"/>
      <c r="AM281" s="1478"/>
      <c r="AN281" s="1478"/>
      <c r="AO281" s="1478"/>
      <c r="AP281" s="1478"/>
      <c r="AQ281" s="1478"/>
      <c r="AR281" s="1478"/>
      <c r="AS281" s="1478"/>
      <c r="AT281" s="1478"/>
      <c r="AU281" s="1478"/>
      <c r="AV281" s="1478"/>
      <c r="AW281" s="1478"/>
      <c r="AX281" s="1478"/>
      <c r="AY281" s="1478"/>
      <c r="AZ281" s="1478"/>
      <c r="BA281" s="1478"/>
      <c r="BB281" s="1478"/>
      <c r="BC281" s="1478"/>
      <c r="BD281" s="1478"/>
      <c r="BE281" s="1478"/>
      <c r="BF281" s="1478"/>
      <c r="BG281" s="1478"/>
      <c r="BH281" s="1478"/>
      <c r="BI281" s="1478"/>
      <c r="BJ281" s="1478"/>
      <c r="BK281" s="327"/>
      <c r="BL281" s="327"/>
      <c r="BM281" s="327"/>
      <c r="BN281" s="327"/>
      <c r="BO281" s="327"/>
      <c r="BP281" s="327"/>
      <c r="BQ281" s="327"/>
      <c r="BR281" s="327"/>
      <c r="BS281" s="327"/>
      <c r="BT281" s="327"/>
      <c r="BU281" s="327"/>
      <c r="BV281" s="327"/>
      <c r="BW281" s="327"/>
      <c r="BX281" s="327"/>
      <c r="BY281" s="327"/>
      <c r="BZ281" s="327"/>
      <c r="CA281" s="327"/>
      <c r="CB281" s="327"/>
      <c r="CC281" s="327"/>
      <c r="CD281" s="327"/>
      <c r="CE281" s="327"/>
      <c r="CF281" s="327"/>
      <c r="CG281" s="327"/>
      <c r="CH281" s="327"/>
      <c r="CI281" s="327"/>
      <c r="CJ281" s="327"/>
      <c r="CK281" s="327"/>
      <c r="CL281" s="327"/>
      <c r="CM281" s="327"/>
      <c r="CN281" s="327"/>
      <c r="CO281" s="327"/>
      <c r="CP281" s="327"/>
      <c r="CQ281" s="327"/>
      <c r="CR281" s="327"/>
      <c r="CS281" s="327"/>
      <c r="CT281" s="327"/>
      <c r="CU281" s="327"/>
      <c r="CV281" s="327"/>
      <c r="CW281" s="327"/>
      <c r="CX281" s="327"/>
      <c r="CY281" s="327"/>
      <c r="CZ281" s="327"/>
      <c r="DA281" s="327"/>
      <c r="DB281" s="327"/>
      <c r="DC281" s="327"/>
      <c r="DD281" s="327"/>
      <c r="DE281" s="327"/>
      <c r="DF281" s="327"/>
      <c r="DG281" s="327"/>
      <c r="DH281" s="327"/>
      <c r="DI281" s="327"/>
      <c r="DJ281" s="327"/>
      <c r="DK281" s="327"/>
      <c r="DL281" s="327"/>
      <c r="DM281" s="327"/>
      <c r="DN281" s="327"/>
      <c r="DO281" s="327"/>
      <c r="DP281" s="327"/>
      <c r="DQ281" s="327"/>
      <c r="DR281" s="327"/>
      <c r="DS281" s="327"/>
      <c r="DT281" s="327"/>
      <c r="DU281" s="327"/>
      <c r="DV281" s="327"/>
    </row>
    <row r="282" spans="1:126" s="1378" customFormat="1" ht="30">
      <c r="A282" s="2493" t="s">
        <v>1357</v>
      </c>
      <c r="B282" s="1659" t="s">
        <v>2260</v>
      </c>
      <c r="C282" s="1671" t="s">
        <v>47</v>
      </c>
      <c r="D282" s="1396" t="s">
        <v>2723</v>
      </c>
      <c r="E282" s="1376" t="s">
        <v>2097</v>
      </c>
      <c r="F282" s="1376" t="s">
        <v>2108</v>
      </c>
      <c r="G282" s="1377" t="s">
        <v>2247</v>
      </c>
      <c r="H282" s="1514"/>
      <c r="I282" s="1419"/>
      <c r="J282" s="1513"/>
      <c r="K282" s="1513"/>
      <c r="L282" s="1420"/>
      <c r="M282" s="1513"/>
      <c r="N282" s="1465"/>
      <c r="O282" s="1514"/>
      <c r="P282" s="1513"/>
      <c r="Q282" s="1513"/>
      <c r="R282" s="1513"/>
      <c r="S282" s="1513"/>
      <c r="T282" s="1513"/>
      <c r="U282" s="1513"/>
      <c r="V282" s="1465"/>
      <c r="W282" s="1366"/>
      <c r="X282" s="1366"/>
      <c r="Y282" s="1366"/>
      <c r="Z282" s="1366"/>
      <c r="AA282" s="1366"/>
      <c r="AB282" s="1366"/>
      <c r="AC282" s="1366"/>
      <c r="AD282" s="1366"/>
      <c r="AE282" s="1366"/>
      <c r="AF282" s="1366"/>
      <c r="AG282" s="1366"/>
      <c r="AH282" s="1366"/>
      <c r="AI282" s="1366"/>
      <c r="AJ282" s="1366"/>
      <c r="AK282" s="1366"/>
      <c r="AL282" s="1366"/>
      <c r="AM282" s="1366"/>
      <c r="AN282" s="1366"/>
      <c r="AO282" s="1366"/>
      <c r="AP282" s="1366"/>
      <c r="AQ282" s="1366"/>
      <c r="AR282" s="1366"/>
      <c r="AS282" s="1366"/>
      <c r="AT282" s="1366"/>
      <c r="AU282" s="1366"/>
      <c r="AV282" s="1366"/>
      <c r="AW282" s="1366"/>
      <c r="AX282" s="1366"/>
      <c r="AY282" s="1366"/>
      <c r="AZ282" s="1366"/>
      <c r="BA282" s="1366"/>
      <c r="BB282" s="1366"/>
      <c r="BC282" s="1366"/>
      <c r="BD282" s="1366"/>
      <c r="BE282" s="1366"/>
      <c r="BF282" s="1366"/>
      <c r="BG282" s="1366"/>
      <c r="BH282" s="1366"/>
      <c r="BI282" s="1366"/>
      <c r="BJ282" s="1366"/>
      <c r="BK282" s="1366"/>
      <c r="BL282" s="1366"/>
      <c r="BM282" s="1366"/>
      <c r="BN282" s="1366"/>
      <c r="BO282" s="1366"/>
      <c r="BP282" s="1366"/>
      <c r="BQ282" s="1366"/>
      <c r="BR282" s="1366"/>
      <c r="BS282" s="1366"/>
      <c r="BT282" s="1366"/>
      <c r="BU282" s="1366"/>
      <c r="BV282" s="1366"/>
      <c r="BW282" s="1366"/>
      <c r="BX282" s="1366"/>
      <c r="BY282" s="1366"/>
      <c r="BZ282" s="1366"/>
      <c r="CA282" s="1366"/>
      <c r="CB282" s="1366"/>
      <c r="CC282" s="1366"/>
      <c r="CD282" s="1366"/>
      <c r="CE282" s="1366"/>
      <c r="CF282" s="1366"/>
      <c r="CG282" s="1366"/>
      <c r="CH282" s="1366"/>
      <c r="CI282" s="1366"/>
      <c r="CJ282" s="1366"/>
      <c r="CK282" s="1366"/>
      <c r="CL282" s="1366"/>
      <c r="CM282" s="1366"/>
      <c r="CN282" s="1366"/>
      <c r="CO282" s="1366"/>
      <c r="CP282" s="1366"/>
      <c r="CQ282" s="1366"/>
      <c r="CR282" s="1366"/>
      <c r="CS282" s="1366"/>
      <c r="CT282" s="1366"/>
      <c r="CU282" s="1366"/>
      <c r="CV282" s="1366"/>
      <c r="CW282" s="1366"/>
      <c r="CX282" s="1366"/>
      <c r="CY282" s="1366"/>
      <c r="CZ282" s="1366"/>
      <c r="DA282" s="1366"/>
      <c r="DB282" s="1366"/>
      <c r="DC282" s="1366"/>
      <c r="DD282" s="1366"/>
      <c r="DE282" s="1366"/>
      <c r="DF282" s="1366"/>
      <c r="DG282" s="1366"/>
      <c r="DH282" s="1366"/>
      <c r="DI282" s="1366"/>
      <c r="DJ282" s="1366"/>
      <c r="DK282" s="1366"/>
      <c r="DL282" s="1366"/>
      <c r="DM282" s="1366"/>
      <c r="DN282" s="1366"/>
      <c r="DO282" s="1366"/>
      <c r="DP282" s="1366"/>
      <c r="DQ282" s="1366"/>
      <c r="DR282" s="1366"/>
      <c r="DS282" s="1366"/>
      <c r="DT282" s="1366"/>
      <c r="DU282" s="1366"/>
      <c r="DV282" s="1366"/>
    </row>
    <row r="283" spans="1:126" s="1378" customFormat="1" ht="30">
      <c r="A283" s="2494"/>
      <c r="B283" s="1659">
        <v>78</v>
      </c>
      <c r="C283" s="1671" t="s">
        <v>49</v>
      </c>
      <c r="D283" s="1396" t="s">
        <v>2724</v>
      </c>
      <c r="E283" s="1376" t="s">
        <v>2097</v>
      </c>
      <c r="F283" s="1376" t="s">
        <v>2108</v>
      </c>
      <c r="G283" s="1377" t="s">
        <v>2247</v>
      </c>
      <c r="H283" s="1514"/>
      <c r="I283" s="1419"/>
      <c r="J283" s="1513"/>
      <c r="K283" s="1513"/>
      <c r="L283" s="1420"/>
      <c r="M283" s="1513"/>
      <c r="N283" s="1465"/>
      <c r="O283" s="1514"/>
      <c r="P283" s="1513"/>
      <c r="Q283" s="1513"/>
      <c r="R283" s="1513"/>
      <c r="S283" s="1513"/>
      <c r="T283" s="1513"/>
      <c r="U283" s="1513"/>
      <c r="V283" s="1465"/>
      <c r="W283" s="1366"/>
      <c r="X283" s="1366"/>
      <c r="Y283" s="1366"/>
      <c r="Z283" s="1366"/>
      <c r="AA283" s="1366"/>
      <c r="AB283" s="1366"/>
      <c r="AC283" s="1366"/>
      <c r="AD283" s="1366"/>
      <c r="AE283" s="1366"/>
      <c r="AF283" s="1366"/>
      <c r="AG283" s="1366"/>
      <c r="AH283" s="1366"/>
      <c r="AI283" s="1366"/>
      <c r="AJ283" s="1366"/>
      <c r="AK283" s="1366"/>
      <c r="AL283" s="1366"/>
      <c r="AM283" s="1366"/>
      <c r="AN283" s="1366"/>
      <c r="AO283" s="1366"/>
      <c r="AP283" s="1366"/>
      <c r="AQ283" s="1366"/>
      <c r="AR283" s="1366"/>
      <c r="AS283" s="1366"/>
      <c r="AT283" s="1366"/>
      <c r="AU283" s="1366"/>
      <c r="AV283" s="1366"/>
      <c r="AW283" s="1366"/>
      <c r="AX283" s="1366"/>
      <c r="AY283" s="1366"/>
      <c r="AZ283" s="1366"/>
      <c r="BA283" s="1366"/>
      <c r="BB283" s="1366"/>
      <c r="BC283" s="1366"/>
      <c r="BD283" s="1366"/>
      <c r="BE283" s="1366"/>
      <c r="BF283" s="1366"/>
      <c r="BG283" s="1366"/>
      <c r="BH283" s="1366"/>
      <c r="BI283" s="1366"/>
      <c r="BJ283" s="1366"/>
      <c r="BK283" s="1366"/>
      <c r="BL283" s="1366"/>
      <c r="BM283" s="1366"/>
      <c r="BN283" s="1366"/>
      <c r="BO283" s="1366"/>
      <c r="BP283" s="1366"/>
      <c r="BQ283" s="1366"/>
      <c r="BR283" s="1366"/>
      <c r="BS283" s="1366"/>
      <c r="BT283" s="1366"/>
      <c r="BU283" s="1366"/>
      <c r="BV283" s="1366"/>
      <c r="BW283" s="1366"/>
      <c r="BX283" s="1366"/>
      <c r="BY283" s="1366"/>
      <c r="BZ283" s="1366"/>
      <c r="CA283" s="1366"/>
      <c r="CB283" s="1366"/>
      <c r="CC283" s="1366"/>
      <c r="CD283" s="1366"/>
      <c r="CE283" s="1366"/>
      <c r="CF283" s="1366"/>
      <c r="CG283" s="1366"/>
      <c r="CH283" s="1366"/>
      <c r="CI283" s="1366"/>
      <c r="CJ283" s="1366"/>
      <c r="CK283" s="1366"/>
      <c r="CL283" s="1366"/>
      <c r="CM283" s="1366"/>
      <c r="CN283" s="1366"/>
      <c r="CO283" s="1366"/>
      <c r="CP283" s="1366"/>
      <c r="CQ283" s="1366"/>
      <c r="CR283" s="1366"/>
      <c r="CS283" s="1366"/>
      <c r="CT283" s="1366"/>
      <c r="CU283" s="1366"/>
      <c r="CV283" s="1366"/>
      <c r="CW283" s="1366"/>
      <c r="CX283" s="1366"/>
      <c r="CY283" s="1366"/>
      <c r="CZ283" s="1366"/>
      <c r="DA283" s="1366"/>
      <c r="DB283" s="1366"/>
      <c r="DC283" s="1366"/>
      <c r="DD283" s="1366"/>
      <c r="DE283" s="1366"/>
      <c r="DF283" s="1366"/>
      <c r="DG283" s="1366"/>
      <c r="DH283" s="1366"/>
      <c r="DI283" s="1366"/>
      <c r="DJ283" s="1366"/>
      <c r="DK283" s="1366"/>
      <c r="DL283" s="1366"/>
      <c r="DM283" s="1366"/>
      <c r="DN283" s="1366"/>
      <c r="DO283" s="1366"/>
      <c r="DP283" s="1366"/>
      <c r="DQ283" s="1366"/>
      <c r="DR283" s="1366"/>
      <c r="DS283" s="1366"/>
      <c r="DT283" s="1366"/>
      <c r="DU283" s="1366"/>
      <c r="DV283" s="1366"/>
    </row>
    <row r="284" spans="1:126" s="1378" customFormat="1" ht="45">
      <c r="A284" s="2494"/>
      <c r="B284" s="1659">
        <v>79</v>
      </c>
      <c r="C284" s="1671" t="s">
        <v>49</v>
      </c>
      <c r="D284" s="1396" t="s">
        <v>2725</v>
      </c>
      <c r="E284" s="1376" t="s">
        <v>2097</v>
      </c>
      <c r="F284" s="1376" t="s">
        <v>2108</v>
      </c>
      <c r="G284" s="1377" t="s">
        <v>2247</v>
      </c>
      <c r="H284" s="1514"/>
      <c r="I284" s="1419"/>
      <c r="J284" s="1513"/>
      <c r="K284" s="1513"/>
      <c r="L284" s="1420"/>
      <c r="M284" s="1513"/>
      <c r="N284" s="1465"/>
      <c r="O284" s="1514"/>
      <c r="P284" s="1513"/>
      <c r="Q284" s="1513"/>
      <c r="R284" s="1513"/>
      <c r="S284" s="1513"/>
      <c r="T284" s="1513"/>
      <c r="U284" s="1513"/>
      <c r="V284" s="1465"/>
      <c r="W284" s="1366"/>
      <c r="X284" s="1366"/>
      <c r="Y284" s="1366"/>
      <c r="Z284" s="1366"/>
      <c r="AA284" s="1366"/>
      <c r="AB284" s="1366"/>
      <c r="AC284" s="1366"/>
      <c r="AD284" s="1366"/>
      <c r="AE284" s="1366"/>
      <c r="AF284" s="1366"/>
      <c r="AG284" s="1366"/>
      <c r="AH284" s="1366"/>
      <c r="AI284" s="1366"/>
      <c r="AJ284" s="1366"/>
      <c r="AK284" s="1366"/>
      <c r="AL284" s="1366"/>
      <c r="AM284" s="1366"/>
      <c r="AN284" s="1366"/>
      <c r="AO284" s="1366"/>
      <c r="AP284" s="1366"/>
      <c r="AQ284" s="1366"/>
      <c r="AR284" s="1366"/>
      <c r="AS284" s="1366"/>
      <c r="AT284" s="1366"/>
      <c r="AU284" s="1366"/>
      <c r="AV284" s="1366"/>
      <c r="AW284" s="1366"/>
      <c r="AX284" s="1366"/>
      <c r="AY284" s="1366"/>
      <c r="AZ284" s="1366"/>
      <c r="BA284" s="1366"/>
      <c r="BB284" s="1366"/>
      <c r="BC284" s="1366"/>
      <c r="BD284" s="1366"/>
      <c r="BE284" s="1366"/>
      <c r="BF284" s="1366"/>
      <c r="BG284" s="1366"/>
      <c r="BH284" s="1366"/>
      <c r="BI284" s="1366"/>
      <c r="BJ284" s="1366"/>
      <c r="BK284" s="1366"/>
      <c r="BL284" s="1366"/>
      <c r="BM284" s="1366"/>
      <c r="BN284" s="1366"/>
      <c r="BO284" s="1366"/>
      <c r="BP284" s="1366"/>
      <c r="BQ284" s="1366"/>
      <c r="BR284" s="1366"/>
      <c r="BS284" s="1366"/>
      <c r="BT284" s="1366"/>
      <c r="BU284" s="1366"/>
      <c r="BV284" s="1366"/>
      <c r="BW284" s="1366"/>
      <c r="BX284" s="1366"/>
      <c r="BY284" s="1366"/>
      <c r="BZ284" s="1366"/>
      <c r="CA284" s="1366"/>
      <c r="CB284" s="1366"/>
      <c r="CC284" s="1366"/>
      <c r="CD284" s="1366"/>
      <c r="CE284" s="1366"/>
      <c r="CF284" s="1366"/>
      <c r="CG284" s="1366"/>
      <c r="CH284" s="1366"/>
      <c r="CI284" s="1366"/>
      <c r="CJ284" s="1366"/>
      <c r="CK284" s="1366"/>
      <c r="CL284" s="1366"/>
      <c r="CM284" s="1366"/>
      <c r="CN284" s="1366"/>
      <c r="CO284" s="1366"/>
      <c r="CP284" s="1366"/>
      <c r="CQ284" s="1366"/>
      <c r="CR284" s="1366"/>
      <c r="CS284" s="1366"/>
      <c r="CT284" s="1366"/>
      <c r="CU284" s="1366"/>
      <c r="CV284" s="1366"/>
      <c r="CW284" s="1366"/>
      <c r="CX284" s="1366"/>
      <c r="CY284" s="1366"/>
      <c r="CZ284" s="1366"/>
      <c r="DA284" s="1366"/>
      <c r="DB284" s="1366"/>
      <c r="DC284" s="1366"/>
      <c r="DD284" s="1366"/>
      <c r="DE284" s="1366"/>
      <c r="DF284" s="1366"/>
      <c r="DG284" s="1366"/>
      <c r="DH284" s="1366"/>
      <c r="DI284" s="1366"/>
      <c r="DJ284" s="1366"/>
      <c r="DK284" s="1366"/>
      <c r="DL284" s="1366"/>
      <c r="DM284" s="1366"/>
      <c r="DN284" s="1366"/>
      <c r="DO284" s="1366"/>
      <c r="DP284" s="1366"/>
      <c r="DQ284" s="1366"/>
      <c r="DR284" s="1366"/>
      <c r="DS284" s="1366"/>
      <c r="DT284" s="1366"/>
      <c r="DU284" s="1366"/>
      <c r="DV284" s="1366"/>
    </row>
    <row r="285" spans="1:126" s="1378" customFormat="1" ht="45">
      <c r="A285" s="2494"/>
      <c r="B285" s="1659">
        <v>80</v>
      </c>
      <c r="C285" s="1671" t="s">
        <v>49</v>
      </c>
      <c r="D285" s="1396" t="s">
        <v>2726</v>
      </c>
      <c r="E285" s="1376" t="s">
        <v>2097</v>
      </c>
      <c r="F285" s="1376" t="s">
        <v>2108</v>
      </c>
      <c r="G285" s="1377" t="s">
        <v>2247</v>
      </c>
      <c r="H285" s="1514"/>
      <c r="I285" s="1419"/>
      <c r="J285" s="1513"/>
      <c r="K285" s="1513"/>
      <c r="L285" s="1420"/>
      <c r="M285" s="1513"/>
      <c r="N285" s="1465"/>
      <c r="O285" s="1514"/>
      <c r="P285" s="1513"/>
      <c r="Q285" s="1513"/>
      <c r="R285" s="1513"/>
      <c r="S285" s="1513"/>
      <c r="T285" s="1513"/>
      <c r="U285" s="1513"/>
      <c r="V285" s="1465"/>
      <c r="W285" s="1366"/>
      <c r="X285" s="1366"/>
      <c r="Y285" s="1366"/>
      <c r="Z285" s="1366"/>
      <c r="AA285" s="1366"/>
      <c r="AB285" s="1366"/>
      <c r="AC285" s="1366"/>
      <c r="AD285" s="1366"/>
      <c r="AE285" s="1366"/>
      <c r="AF285" s="1366"/>
      <c r="AG285" s="1366"/>
      <c r="AH285" s="1366"/>
      <c r="AI285" s="1366"/>
      <c r="AJ285" s="1366"/>
      <c r="AK285" s="1366"/>
      <c r="AL285" s="1366"/>
      <c r="AM285" s="1366"/>
      <c r="AN285" s="1366"/>
      <c r="AO285" s="1366"/>
      <c r="AP285" s="1366"/>
      <c r="AQ285" s="1366"/>
      <c r="AR285" s="1366"/>
      <c r="AS285" s="1366"/>
      <c r="AT285" s="1366"/>
      <c r="AU285" s="1366"/>
      <c r="AV285" s="1366"/>
      <c r="AW285" s="1366"/>
      <c r="AX285" s="1366"/>
      <c r="AY285" s="1366"/>
      <c r="AZ285" s="1366"/>
      <c r="BA285" s="1366"/>
      <c r="BB285" s="1366"/>
      <c r="BC285" s="1366"/>
      <c r="BD285" s="1366"/>
      <c r="BE285" s="1366"/>
      <c r="BF285" s="1366"/>
      <c r="BG285" s="1366"/>
      <c r="BH285" s="1366"/>
      <c r="BI285" s="1366"/>
      <c r="BJ285" s="1366"/>
      <c r="BK285" s="1366"/>
      <c r="BL285" s="1366"/>
      <c r="BM285" s="1366"/>
      <c r="BN285" s="1366"/>
      <c r="BO285" s="1366"/>
      <c r="BP285" s="1366"/>
      <c r="BQ285" s="1366"/>
      <c r="BR285" s="1366"/>
      <c r="BS285" s="1366"/>
      <c r="BT285" s="1366"/>
      <c r="BU285" s="1366"/>
      <c r="BV285" s="1366"/>
      <c r="BW285" s="1366"/>
      <c r="BX285" s="1366"/>
      <c r="BY285" s="1366"/>
      <c r="BZ285" s="1366"/>
      <c r="CA285" s="1366"/>
      <c r="CB285" s="1366"/>
      <c r="CC285" s="1366"/>
      <c r="CD285" s="1366"/>
      <c r="CE285" s="1366"/>
      <c r="CF285" s="1366"/>
      <c r="CG285" s="1366"/>
      <c r="CH285" s="1366"/>
      <c r="CI285" s="1366"/>
      <c r="CJ285" s="1366"/>
      <c r="CK285" s="1366"/>
      <c r="CL285" s="1366"/>
      <c r="CM285" s="1366"/>
      <c r="CN285" s="1366"/>
      <c r="CO285" s="1366"/>
      <c r="CP285" s="1366"/>
      <c r="CQ285" s="1366"/>
      <c r="CR285" s="1366"/>
      <c r="CS285" s="1366"/>
      <c r="CT285" s="1366"/>
      <c r="CU285" s="1366"/>
      <c r="CV285" s="1366"/>
      <c r="CW285" s="1366"/>
      <c r="CX285" s="1366"/>
      <c r="CY285" s="1366"/>
      <c r="CZ285" s="1366"/>
      <c r="DA285" s="1366"/>
      <c r="DB285" s="1366"/>
      <c r="DC285" s="1366"/>
      <c r="DD285" s="1366"/>
      <c r="DE285" s="1366"/>
      <c r="DF285" s="1366"/>
      <c r="DG285" s="1366"/>
      <c r="DH285" s="1366"/>
      <c r="DI285" s="1366"/>
      <c r="DJ285" s="1366"/>
      <c r="DK285" s="1366"/>
      <c r="DL285" s="1366"/>
      <c r="DM285" s="1366"/>
      <c r="DN285" s="1366"/>
      <c r="DO285" s="1366"/>
      <c r="DP285" s="1366"/>
      <c r="DQ285" s="1366"/>
      <c r="DR285" s="1366"/>
      <c r="DS285" s="1366"/>
      <c r="DT285" s="1366"/>
      <c r="DU285" s="1366"/>
      <c r="DV285" s="1366"/>
    </row>
    <row r="286" spans="1:126" s="1378" customFormat="1" ht="30">
      <c r="A286" s="2494"/>
      <c r="B286" s="1659">
        <v>82</v>
      </c>
      <c r="C286" s="1671" t="s">
        <v>47</v>
      </c>
      <c r="D286" s="1396" t="s">
        <v>2727</v>
      </c>
      <c r="E286" s="1376" t="s">
        <v>2097</v>
      </c>
      <c r="F286" s="1376" t="s">
        <v>2108</v>
      </c>
      <c r="G286" s="1377" t="s">
        <v>2247</v>
      </c>
      <c r="H286" s="1514"/>
      <c r="I286" s="1419"/>
      <c r="J286" s="1513"/>
      <c r="K286" s="1513"/>
      <c r="L286" s="1420"/>
      <c r="M286" s="1513"/>
      <c r="N286" s="1465"/>
      <c r="O286" s="1514"/>
      <c r="P286" s="1513"/>
      <c r="Q286" s="1513"/>
      <c r="R286" s="1513"/>
      <c r="S286" s="1513"/>
      <c r="T286" s="1513"/>
      <c r="U286" s="1513"/>
      <c r="V286" s="1465"/>
      <c r="W286" s="1366"/>
      <c r="X286" s="1366"/>
      <c r="Y286" s="1366"/>
      <c r="Z286" s="1366"/>
      <c r="AA286" s="1366"/>
      <c r="AB286" s="1366"/>
      <c r="AC286" s="1366"/>
      <c r="AD286" s="1366"/>
      <c r="AE286" s="1366"/>
      <c r="AF286" s="1366"/>
      <c r="AG286" s="1366"/>
      <c r="AH286" s="1366"/>
      <c r="AI286" s="1366"/>
      <c r="AJ286" s="1366"/>
      <c r="AK286" s="1366"/>
      <c r="AL286" s="1366"/>
      <c r="AM286" s="1366"/>
      <c r="AN286" s="1366"/>
      <c r="AO286" s="1366"/>
      <c r="AP286" s="1366"/>
      <c r="AQ286" s="1366"/>
      <c r="AR286" s="1366"/>
      <c r="AS286" s="1366"/>
      <c r="AT286" s="1366"/>
      <c r="AU286" s="1366"/>
      <c r="AV286" s="1366"/>
      <c r="AW286" s="1366"/>
      <c r="AX286" s="1366"/>
      <c r="AY286" s="1366"/>
      <c r="AZ286" s="1366"/>
      <c r="BA286" s="1366"/>
      <c r="BB286" s="1366"/>
      <c r="BC286" s="1366"/>
      <c r="BD286" s="1366"/>
      <c r="BE286" s="1366"/>
      <c r="BF286" s="1366"/>
      <c r="BG286" s="1366"/>
      <c r="BH286" s="1366"/>
      <c r="BI286" s="1366"/>
      <c r="BJ286" s="1366"/>
      <c r="BK286" s="1366"/>
      <c r="BL286" s="1366"/>
      <c r="BM286" s="1366"/>
      <c r="BN286" s="1366"/>
      <c r="BO286" s="1366"/>
      <c r="BP286" s="1366"/>
      <c r="BQ286" s="1366"/>
      <c r="BR286" s="1366"/>
      <c r="BS286" s="1366"/>
      <c r="BT286" s="1366"/>
      <c r="BU286" s="1366"/>
      <c r="BV286" s="1366"/>
      <c r="BW286" s="1366"/>
      <c r="BX286" s="1366"/>
      <c r="BY286" s="1366"/>
      <c r="BZ286" s="1366"/>
      <c r="CA286" s="1366"/>
      <c r="CB286" s="1366"/>
      <c r="CC286" s="1366"/>
      <c r="CD286" s="1366"/>
      <c r="CE286" s="1366"/>
      <c r="CF286" s="1366"/>
      <c r="CG286" s="1366"/>
      <c r="CH286" s="1366"/>
      <c r="CI286" s="1366"/>
      <c r="CJ286" s="1366"/>
      <c r="CK286" s="1366"/>
      <c r="CL286" s="1366"/>
      <c r="CM286" s="1366"/>
      <c r="CN286" s="1366"/>
      <c r="CO286" s="1366"/>
      <c r="CP286" s="1366"/>
      <c r="CQ286" s="1366"/>
      <c r="CR286" s="1366"/>
      <c r="CS286" s="1366"/>
      <c r="CT286" s="1366"/>
      <c r="CU286" s="1366"/>
      <c r="CV286" s="1366"/>
      <c r="CW286" s="1366"/>
      <c r="CX286" s="1366"/>
      <c r="CY286" s="1366"/>
      <c r="CZ286" s="1366"/>
      <c r="DA286" s="1366"/>
      <c r="DB286" s="1366"/>
      <c r="DC286" s="1366"/>
      <c r="DD286" s="1366"/>
      <c r="DE286" s="1366"/>
      <c r="DF286" s="1366"/>
      <c r="DG286" s="1366"/>
      <c r="DH286" s="1366"/>
      <c r="DI286" s="1366"/>
      <c r="DJ286" s="1366"/>
      <c r="DK286" s="1366"/>
      <c r="DL286" s="1366"/>
      <c r="DM286" s="1366"/>
      <c r="DN286" s="1366"/>
      <c r="DO286" s="1366"/>
      <c r="DP286" s="1366"/>
      <c r="DQ286" s="1366"/>
      <c r="DR286" s="1366"/>
      <c r="DS286" s="1366"/>
      <c r="DT286" s="1366"/>
      <c r="DU286" s="1366"/>
      <c r="DV286" s="1366"/>
    </row>
    <row r="287" spans="1:126" s="1378" customFormat="1" ht="30">
      <c r="A287" s="2494"/>
      <c r="B287" s="1659">
        <v>82</v>
      </c>
      <c r="C287" s="1671" t="s">
        <v>49</v>
      </c>
      <c r="D287" s="1396" t="s">
        <v>2728</v>
      </c>
      <c r="E287" s="1376" t="s">
        <v>2097</v>
      </c>
      <c r="F287" s="1376" t="s">
        <v>2108</v>
      </c>
      <c r="G287" s="1377" t="s">
        <v>2247</v>
      </c>
      <c r="H287" s="1514"/>
      <c r="I287" s="1419"/>
      <c r="J287" s="1513"/>
      <c r="K287" s="1513"/>
      <c r="L287" s="1420"/>
      <c r="M287" s="1513"/>
      <c r="N287" s="1465"/>
      <c r="O287" s="1514"/>
      <c r="P287" s="1513"/>
      <c r="Q287" s="1513"/>
      <c r="R287" s="1513"/>
      <c r="S287" s="1513"/>
      <c r="T287" s="1513"/>
      <c r="U287" s="1513"/>
      <c r="V287" s="1465"/>
      <c r="W287" s="1366"/>
      <c r="X287" s="1366"/>
      <c r="Y287" s="1366"/>
      <c r="Z287" s="1366"/>
      <c r="AA287" s="1366"/>
      <c r="AB287" s="1366"/>
      <c r="AC287" s="1366"/>
      <c r="AD287" s="1366"/>
      <c r="AE287" s="1366"/>
      <c r="AF287" s="1366"/>
      <c r="AG287" s="1366"/>
      <c r="AH287" s="1366"/>
      <c r="AI287" s="1366"/>
      <c r="AJ287" s="1366"/>
      <c r="AK287" s="1366"/>
      <c r="AL287" s="1366"/>
      <c r="AM287" s="1366"/>
      <c r="AN287" s="1366"/>
      <c r="AO287" s="1366"/>
      <c r="AP287" s="1366"/>
      <c r="AQ287" s="1366"/>
      <c r="AR287" s="1366"/>
      <c r="AS287" s="1366"/>
      <c r="AT287" s="1366"/>
      <c r="AU287" s="1366"/>
      <c r="AV287" s="1366"/>
      <c r="AW287" s="1366"/>
      <c r="AX287" s="1366"/>
      <c r="AY287" s="1366"/>
      <c r="AZ287" s="1366"/>
      <c r="BA287" s="1366"/>
      <c r="BB287" s="1366"/>
      <c r="BC287" s="1366"/>
      <c r="BD287" s="1366"/>
      <c r="BE287" s="1366"/>
      <c r="BF287" s="1366"/>
      <c r="BG287" s="1366"/>
      <c r="BH287" s="1366"/>
      <c r="BI287" s="1366"/>
      <c r="BJ287" s="1366"/>
      <c r="BK287" s="1366"/>
      <c r="BL287" s="1366"/>
      <c r="BM287" s="1366"/>
      <c r="BN287" s="1366"/>
      <c r="BO287" s="1366"/>
      <c r="BP287" s="1366"/>
      <c r="BQ287" s="1366"/>
      <c r="BR287" s="1366"/>
      <c r="BS287" s="1366"/>
      <c r="BT287" s="1366"/>
      <c r="BU287" s="1366"/>
      <c r="BV287" s="1366"/>
      <c r="BW287" s="1366"/>
      <c r="BX287" s="1366"/>
      <c r="BY287" s="1366"/>
      <c r="BZ287" s="1366"/>
      <c r="CA287" s="1366"/>
      <c r="CB287" s="1366"/>
      <c r="CC287" s="1366"/>
      <c r="CD287" s="1366"/>
      <c r="CE287" s="1366"/>
      <c r="CF287" s="1366"/>
      <c r="CG287" s="1366"/>
      <c r="CH287" s="1366"/>
      <c r="CI287" s="1366"/>
      <c r="CJ287" s="1366"/>
      <c r="CK287" s="1366"/>
      <c r="CL287" s="1366"/>
      <c r="CM287" s="1366"/>
      <c r="CN287" s="1366"/>
      <c r="CO287" s="1366"/>
      <c r="CP287" s="1366"/>
      <c r="CQ287" s="1366"/>
      <c r="CR287" s="1366"/>
      <c r="CS287" s="1366"/>
      <c r="CT287" s="1366"/>
      <c r="CU287" s="1366"/>
      <c r="CV287" s="1366"/>
      <c r="CW287" s="1366"/>
      <c r="CX287" s="1366"/>
      <c r="CY287" s="1366"/>
      <c r="CZ287" s="1366"/>
      <c r="DA287" s="1366"/>
      <c r="DB287" s="1366"/>
      <c r="DC287" s="1366"/>
      <c r="DD287" s="1366"/>
      <c r="DE287" s="1366"/>
      <c r="DF287" s="1366"/>
      <c r="DG287" s="1366"/>
      <c r="DH287" s="1366"/>
      <c r="DI287" s="1366"/>
      <c r="DJ287" s="1366"/>
      <c r="DK287" s="1366"/>
      <c r="DL287" s="1366"/>
      <c r="DM287" s="1366"/>
      <c r="DN287" s="1366"/>
      <c r="DO287" s="1366"/>
      <c r="DP287" s="1366"/>
      <c r="DQ287" s="1366"/>
      <c r="DR287" s="1366"/>
      <c r="DS287" s="1366"/>
      <c r="DT287" s="1366"/>
      <c r="DU287" s="1366"/>
      <c r="DV287" s="1366"/>
    </row>
    <row r="288" spans="1:126" s="1367" customFormat="1" ht="30">
      <c r="A288" s="2494"/>
      <c r="B288" s="1653">
        <v>84</v>
      </c>
      <c r="C288" s="1638" t="s">
        <v>47</v>
      </c>
      <c r="D288" s="1375" t="s">
        <v>2261</v>
      </c>
      <c r="E288" s="1364" t="s">
        <v>2097</v>
      </c>
      <c r="F288" s="1364" t="s">
        <v>2108</v>
      </c>
      <c r="G288" s="506" t="s">
        <v>2247</v>
      </c>
      <c r="H288" s="1361">
        <f>H273</f>
        <v>127182.24161867998</v>
      </c>
      <c r="I288" s="1371">
        <f>'Labor Results Matrix'!$E$248*300</f>
        <v>222</v>
      </c>
      <c r="J288" s="1372">
        <f>J273</f>
        <v>89.36499365701647</v>
      </c>
      <c r="K288" s="1372">
        <f>K273</f>
        <v>19839.028591857656</v>
      </c>
      <c r="L288" s="1372">
        <f>L273</f>
        <v>67481.21875</v>
      </c>
      <c r="M288" s="1372">
        <f>M273</f>
        <v>214502.48896053765</v>
      </c>
      <c r="N288" s="1455" t="s">
        <v>40</v>
      </c>
      <c r="O288" s="1361">
        <f>O273</f>
        <v>423.94080539559997</v>
      </c>
      <c r="P288" s="1371">
        <f t="shared" ref="P288:T288" si="98">P273</f>
        <v>0.74</v>
      </c>
      <c r="Q288" s="1372">
        <f t="shared" si="98"/>
        <v>66.130095306192189</v>
      </c>
      <c r="R288" s="1372">
        <f t="shared" si="98"/>
        <v>198.89572916666665</v>
      </c>
      <c r="S288" s="1372">
        <f t="shared" si="98"/>
        <v>7812.5</v>
      </c>
      <c r="T288" s="1372">
        <f t="shared" si="98"/>
        <v>688.96662986845877</v>
      </c>
      <c r="U288" s="1417" t="s">
        <v>40</v>
      </c>
      <c r="V288" s="1455" t="s">
        <v>40</v>
      </c>
      <c r="W288" s="1366"/>
      <c r="X288" s="1366"/>
      <c r="Y288" s="1366"/>
      <c r="Z288" s="1366"/>
      <c r="AA288" s="1366"/>
      <c r="AB288" s="1366"/>
      <c r="AC288" s="1366"/>
      <c r="AD288" s="1366"/>
      <c r="AE288" s="1366"/>
      <c r="AF288" s="1366"/>
      <c r="AG288" s="1366"/>
      <c r="AH288" s="1366"/>
      <c r="AI288" s="1366"/>
      <c r="AJ288" s="1366"/>
      <c r="AK288" s="1366"/>
      <c r="AL288" s="1366"/>
      <c r="AM288" s="1366"/>
      <c r="AN288" s="1366"/>
      <c r="AO288" s="1366"/>
      <c r="AP288" s="1366"/>
      <c r="AQ288" s="1366"/>
      <c r="AR288" s="1366"/>
      <c r="AS288" s="1366"/>
      <c r="AT288" s="1366"/>
      <c r="AU288" s="1366"/>
      <c r="AV288" s="1366"/>
      <c r="AW288" s="1366"/>
      <c r="AX288" s="1366"/>
      <c r="AY288" s="1366"/>
      <c r="AZ288" s="1366"/>
      <c r="BA288" s="1366"/>
      <c r="BB288" s="1366"/>
      <c r="BC288" s="1366"/>
      <c r="BD288" s="1366"/>
      <c r="BE288" s="1366"/>
      <c r="BF288" s="1366"/>
      <c r="BG288" s="1366"/>
      <c r="BH288" s="1366"/>
      <c r="BI288" s="1366"/>
      <c r="BJ288" s="1366"/>
      <c r="BK288" s="1366"/>
      <c r="BL288" s="1366"/>
      <c r="BM288" s="1366"/>
      <c r="BN288" s="1366"/>
      <c r="BO288" s="1366"/>
      <c r="BP288" s="1366"/>
      <c r="BQ288" s="1366"/>
      <c r="BR288" s="1366"/>
      <c r="BS288" s="1366"/>
      <c r="BT288" s="1366"/>
      <c r="BU288" s="1366"/>
      <c r="BV288" s="1366"/>
      <c r="BW288" s="1366"/>
      <c r="BX288" s="1366"/>
      <c r="BY288" s="1366"/>
      <c r="BZ288" s="1366"/>
      <c r="CA288" s="1366"/>
      <c r="CB288" s="1366"/>
      <c r="CC288" s="1366"/>
      <c r="CD288" s="1366"/>
      <c r="CE288" s="1366"/>
      <c r="CF288" s="1366"/>
      <c r="CG288" s="1366"/>
      <c r="CH288" s="1366"/>
      <c r="CI288" s="1366"/>
      <c r="CJ288" s="1366"/>
      <c r="CK288" s="1366"/>
      <c r="CL288" s="1366"/>
      <c r="CM288" s="1366"/>
      <c r="CN288" s="1366"/>
      <c r="CO288" s="1366"/>
      <c r="CP288" s="1366"/>
      <c r="CQ288" s="1366"/>
      <c r="CR288" s="1366"/>
      <c r="CS288" s="1366"/>
      <c r="CT288" s="1366"/>
      <c r="CU288" s="1366"/>
      <c r="CV288" s="1366"/>
      <c r="CW288" s="1366"/>
      <c r="CX288" s="1366"/>
      <c r="CY288" s="1366"/>
      <c r="CZ288" s="1366"/>
      <c r="DA288" s="1366"/>
      <c r="DB288" s="1366"/>
      <c r="DC288" s="1366"/>
      <c r="DD288" s="1366"/>
      <c r="DE288" s="1366"/>
      <c r="DF288" s="1366"/>
      <c r="DG288" s="1366"/>
      <c r="DH288" s="1366"/>
      <c r="DI288" s="1366"/>
      <c r="DJ288" s="1366"/>
      <c r="DK288" s="1366"/>
      <c r="DL288" s="1366"/>
      <c r="DM288" s="1366"/>
      <c r="DN288" s="1366"/>
      <c r="DO288" s="1366"/>
      <c r="DP288" s="1366"/>
      <c r="DQ288" s="1366"/>
      <c r="DR288" s="1366"/>
      <c r="DS288" s="1366"/>
      <c r="DT288" s="1366"/>
      <c r="DU288" s="1366"/>
      <c r="DV288" s="1366"/>
    </row>
    <row r="289" spans="1:126" s="1367" customFormat="1" ht="30.75" thickBot="1">
      <c r="A289" s="2494"/>
      <c r="B289" s="1653">
        <v>84</v>
      </c>
      <c r="C289" s="1642" t="s">
        <v>49</v>
      </c>
      <c r="D289" s="1375" t="s">
        <v>2262</v>
      </c>
      <c r="E289" s="1364" t="s">
        <v>2097</v>
      </c>
      <c r="F289" s="1364" t="s">
        <v>2108</v>
      </c>
      <c r="G289" s="506" t="s">
        <v>2247</v>
      </c>
      <c r="H289" s="1361">
        <f>(('Equipment Results Matrix'!$R$752*300)+('Equipment Results Matrix'!$R$753*0.461)+'Equipment Results Matrix'!$R$754+'Equipment Results Matrix'!$T$759)*(1+'Equipment Results Matrix'!$T$761)</f>
        <v>196657.24580676001</v>
      </c>
      <c r="I289" s="1371">
        <f>'Labor Results Matrix'!$E$248*300</f>
        <v>222</v>
      </c>
      <c r="J289" s="1372">
        <f>'Labor Results Matrix'!G247*(1+'Labor Results Matrix'!$K$247)</f>
        <v>89.120321361584701</v>
      </c>
      <c r="K289" s="1372">
        <f t="shared" ref="K289" si="99">I289*J289</f>
        <v>19784.711342271803</v>
      </c>
      <c r="L289" s="1372">
        <f>(('Labor Results Matrix'!$I$248*300)+'Labor Results Matrix'!$J$248)*(1+'Labor Results Matrix'!$K$247)</f>
        <v>67481.21875</v>
      </c>
      <c r="M289" s="1372">
        <f t="shared" ref="M289" si="100">H289+K289+L289</f>
        <v>283923.1758990318</v>
      </c>
      <c r="N289" s="1458">
        <f>M289-M288</f>
        <v>69420.686938494153</v>
      </c>
      <c r="O289" s="1361">
        <f>H289/300</f>
        <v>655.52415268920004</v>
      </c>
      <c r="P289" s="1371">
        <f>'Labor Results Matrix'!E248</f>
        <v>0.74</v>
      </c>
      <c r="Q289" s="1372">
        <f>'Labor Results Matrix'!H248*(1+'Labor Results Matrix'!$K$247)</f>
        <v>65.949037807572665</v>
      </c>
      <c r="R289" s="1372">
        <f>'Labor Results Matrix'!I248*(1+'Labor Results Matrix'!$K$247)</f>
        <v>198.89572916666665</v>
      </c>
      <c r="S289" s="1372">
        <f>'Labor Results Matrix'!J248*(1+'Labor Results Matrix'!$K$247)</f>
        <v>7812.5</v>
      </c>
      <c r="T289" s="1372">
        <f t="shared" ref="T289" si="101">O289+Q289+R289</f>
        <v>920.36891966343944</v>
      </c>
      <c r="U289" s="1372">
        <f>T289-T288</f>
        <v>231.40228979498067</v>
      </c>
      <c r="V289" s="1455">
        <f>S289-S288</f>
        <v>0</v>
      </c>
      <c r="W289" s="1366"/>
      <c r="X289" s="1366"/>
      <c r="Y289" s="1366"/>
      <c r="Z289" s="1366"/>
      <c r="AA289" s="1366"/>
      <c r="AB289" s="1366"/>
      <c r="AC289" s="1366"/>
      <c r="AD289" s="1366"/>
      <c r="AE289" s="1366"/>
      <c r="AF289" s="1366"/>
      <c r="AG289" s="1366"/>
      <c r="AH289" s="1366"/>
      <c r="AI289" s="1366"/>
      <c r="AJ289" s="1366"/>
      <c r="AK289" s="1366"/>
      <c r="AL289" s="1366"/>
      <c r="AM289" s="1366"/>
      <c r="AN289" s="1366"/>
      <c r="AO289" s="1366"/>
      <c r="AP289" s="1366"/>
      <c r="AQ289" s="1366"/>
      <c r="AR289" s="1366"/>
      <c r="AS289" s="1366"/>
      <c r="AT289" s="1366"/>
      <c r="AU289" s="1366"/>
      <c r="AV289" s="1366"/>
      <c r="AW289" s="1366"/>
      <c r="AX289" s="1366"/>
      <c r="AY289" s="1366"/>
      <c r="AZ289" s="1366"/>
      <c r="BA289" s="1366"/>
      <c r="BB289" s="1366"/>
      <c r="BC289" s="1366"/>
      <c r="BD289" s="1366"/>
      <c r="BE289" s="1366"/>
      <c r="BF289" s="1366"/>
      <c r="BG289" s="1366"/>
      <c r="BH289" s="1366"/>
      <c r="BI289" s="1366"/>
      <c r="BJ289" s="1366"/>
      <c r="BK289" s="1366"/>
      <c r="BL289" s="1366"/>
      <c r="BM289" s="1366"/>
      <c r="BN289" s="1366"/>
      <c r="BO289" s="1366"/>
      <c r="BP289" s="1366"/>
      <c r="BQ289" s="1366"/>
      <c r="BR289" s="1366"/>
      <c r="BS289" s="1366"/>
      <c r="BT289" s="1366"/>
      <c r="BU289" s="1366"/>
      <c r="BV289" s="1366"/>
      <c r="BW289" s="1366"/>
      <c r="BX289" s="1366"/>
      <c r="BY289" s="1366"/>
      <c r="BZ289" s="1366"/>
      <c r="CA289" s="1366"/>
      <c r="CB289" s="1366"/>
      <c r="CC289" s="1366"/>
      <c r="CD289" s="1366"/>
      <c r="CE289" s="1366"/>
      <c r="CF289" s="1366"/>
      <c r="CG289" s="1366"/>
      <c r="CH289" s="1366"/>
      <c r="CI289" s="1366"/>
      <c r="CJ289" s="1366"/>
      <c r="CK289" s="1366"/>
      <c r="CL289" s="1366"/>
      <c r="CM289" s="1366"/>
      <c r="CN289" s="1366"/>
      <c r="CO289" s="1366"/>
      <c r="CP289" s="1366"/>
      <c r="CQ289" s="1366"/>
      <c r="CR289" s="1366"/>
      <c r="CS289" s="1366"/>
      <c r="CT289" s="1366"/>
      <c r="CU289" s="1366"/>
      <c r="CV289" s="1366"/>
      <c r="CW289" s="1366"/>
      <c r="CX289" s="1366"/>
      <c r="CY289" s="1366"/>
      <c r="CZ289" s="1366"/>
      <c r="DA289" s="1366"/>
      <c r="DB289" s="1366"/>
      <c r="DC289" s="1366"/>
      <c r="DD289" s="1366"/>
      <c r="DE289" s="1366"/>
      <c r="DF289" s="1366"/>
      <c r="DG289" s="1366"/>
      <c r="DH289" s="1366"/>
      <c r="DI289" s="1366"/>
      <c r="DJ289" s="1366"/>
      <c r="DK289" s="1366"/>
      <c r="DL289" s="1366"/>
      <c r="DM289" s="1366"/>
      <c r="DN289" s="1366"/>
      <c r="DO289" s="1366"/>
      <c r="DP289" s="1366"/>
      <c r="DQ289" s="1366"/>
      <c r="DR289" s="1366"/>
      <c r="DS289" s="1366"/>
      <c r="DT289" s="1366"/>
      <c r="DU289" s="1366"/>
      <c r="DV289" s="1366"/>
    </row>
    <row r="290" spans="1:126" s="1479" customFormat="1" ht="19.5" thickBot="1">
      <c r="A290" s="695"/>
      <c r="B290" s="1654"/>
      <c r="C290" s="1654"/>
      <c r="D290" s="1343"/>
      <c r="E290" s="1343"/>
      <c r="F290" s="1343"/>
      <c r="G290" s="1343"/>
      <c r="H290" s="1422"/>
      <c r="I290" s="1447"/>
      <c r="J290" s="1423"/>
      <c r="K290" s="1422"/>
      <c r="L290" s="1527"/>
      <c r="M290" s="1422"/>
      <c r="N290" s="1503"/>
      <c r="O290" s="1422"/>
      <c r="P290" s="1423"/>
      <c r="Q290" s="1423"/>
      <c r="R290" s="1447"/>
      <c r="S290" s="1447"/>
      <c r="T290" s="1473"/>
      <c r="U290" s="1473"/>
      <c r="V290" s="1503"/>
      <c r="W290" s="1490"/>
      <c r="X290" s="1490"/>
      <c r="Y290" s="327"/>
      <c r="Z290" s="327"/>
      <c r="AA290" s="327"/>
      <c r="AB290" s="1490"/>
      <c r="AC290" s="1490"/>
      <c r="AD290" s="1490"/>
      <c r="AE290" s="1490"/>
      <c r="AF290" s="327"/>
      <c r="AG290" s="327"/>
      <c r="AH290" s="327"/>
      <c r="AI290" s="327"/>
      <c r="AJ290" s="327"/>
      <c r="AK290" s="1478"/>
      <c r="AL290" s="1478"/>
      <c r="AM290" s="1478"/>
      <c r="AN290" s="1478"/>
      <c r="AO290" s="1478"/>
      <c r="AP290" s="1478"/>
      <c r="AQ290" s="1478"/>
      <c r="AR290" s="1478"/>
      <c r="AS290" s="1478"/>
      <c r="AT290" s="1478"/>
      <c r="AU290" s="1478"/>
      <c r="AV290" s="1478"/>
      <c r="AW290" s="1478"/>
      <c r="AX290" s="1478"/>
      <c r="AY290" s="1478"/>
      <c r="AZ290" s="1478"/>
      <c r="BA290" s="1478"/>
      <c r="BB290" s="1478"/>
      <c r="BC290" s="1478"/>
      <c r="BD290" s="1478"/>
      <c r="BE290" s="1478"/>
      <c r="BF290" s="1478"/>
      <c r="BG290" s="1478"/>
      <c r="BH290" s="1478"/>
      <c r="BI290" s="1478"/>
      <c r="BJ290" s="1478"/>
      <c r="BK290" s="327"/>
      <c r="BL290" s="327"/>
      <c r="BM290" s="327"/>
      <c r="BN290" s="327"/>
      <c r="BO290" s="327"/>
      <c r="BP290" s="327"/>
      <c r="BQ290" s="327"/>
      <c r="BR290" s="327"/>
      <c r="BS290" s="327"/>
      <c r="BT290" s="327"/>
      <c r="BU290" s="327"/>
      <c r="BV290" s="327"/>
      <c r="BW290" s="327"/>
      <c r="BX290" s="327"/>
      <c r="BY290" s="327"/>
      <c r="BZ290" s="327"/>
      <c r="CA290" s="327"/>
      <c r="CB290" s="327"/>
      <c r="CC290" s="327"/>
      <c r="CD290" s="327"/>
      <c r="CE290" s="327"/>
      <c r="CF290" s="327"/>
      <c r="CG290" s="327"/>
      <c r="CH290" s="327"/>
      <c r="CI290" s="327"/>
      <c r="CJ290" s="327"/>
      <c r="CK290" s="327"/>
      <c r="CL290" s="327"/>
      <c r="CM290" s="327"/>
      <c r="CN290" s="327"/>
      <c r="CO290" s="327"/>
      <c r="CP290" s="327"/>
      <c r="CQ290" s="327"/>
      <c r="CR290" s="327"/>
      <c r="CS290" s="327"/>
      <c r="CT290" s="327"/>
      <c r="CU290" s="327"/>
      <c r="CV290" s="327"/>
      <c r="CW290" s="327"/>
      <c r="CX290" s="327"/>
      <c r="CY290" s="327"/>
      <c r="CZ290" s="327"/>
      <c r="DA290" s="327"/>
      <c r="DB290" s="327"/>
      <c r="DC290" s="327"/>
      <c r="DD290" s="327"/>
      <c r="DE290" s="327"/>
      <c r="DF290" s="327"/>
      <c r="DG290" s="327"/>
      <c r="DH290" s="327"/>
      <c r="DI290" s="327"/>
      <c r="DJ290" s="327"/>
      <c r="DK290" s="327"/>
      <c r="DL290" s="327"/>
      <c r="DM290" s="327"/>
      <c r="DN290" s="327"/>
      <c r="DO290" s="327"/>
      <c r="DP290" s="327"/>
      <c r="DQ290" s="327"/>
      <c r="DR290" s="327"/>
      <c r="DS290" s="327"/>
      <c r="DT290" s="327"/>
      <c r="DU290" s="327"/>
      <c r="DV290" s="327"/>
    </row>
    <row r="291" spans="1:126" s="1367" customFormat="1">
      <c r="A291" s="2493" t="s">
        <v>655</v>
      </c>
      <c r="B291" s="1653" t="s">
        <v>2223</v>
      </c>
      <c r="C291" s="1642" t="s">
        <v>47</v>
      </c>
      <c r="D291" s="1375" t="s">
        <v>2112</v>
      </c>
      <c r="E291" s="1364" t="s">
        <v>2097</v>
      </c>
      <c r="F291" s="1364" t="s">
        <v>2108</v>
      </c>
      <c r="G291" s="1185" t="s">
        <v>1796</v>
      </c>
      <c r="H291" s="1494" t="s">
        <v>380</v>
      </c>
      <c r="I291" s="1371" t="s">
        <v>380</v>
      </c>
      <c r="J291" s="1417" t="s">
        <v>380</v>
      </c>
      <c r="K291" s="1417" t="s">
        <v>380</v>
      </c>
      <c r="L291" s="1372" t="s">
        <v>380</v>
      </c>
      <c r="M291" s="1417" t="s">
        <v>380</v>
      </c>
      <c r="N291" s="1462" t="s">
        <v>40</v>
      </c>
      <c r="O291" s="1494" t="s">
        <v>380</v>
      </c>
      <c r="P291" s="1417" t="s">
        <v>380</v>
      </c>
      <c r="Q291" s="1417" t="s">
        <v>380</v>
      </c>
      <c r="R291" s="1417" t="s">
        <v>380</v>
      </c>
      <c r="S291" s="1417" t="s">
        <v>380</v>
      </c>
      <c r="T291" s="1417" t="s">
        <v>380</v>
      </c>
      <c r="U291" s="1417" t="s">
        <v>40</v>
      </c>
      <c r="V291" s="1455" t="s">
        <v>40</v>
      </c>
      <c r="W291" s="1366"/>
      <c r="X291" s="1366"/>
      <c r="Y291" s="1366"/>
      <c r="Z291" s="1366"/>
      <c r="AA291" s="1366"/>
      <c r="AB291" s="1366"/>
      <c r="AC291" s="1366"/>
      <c r="AD291" s="1366"/>
      <c r="AE291" s="1366"/>
      <c r="AF291" s="1366"/>
      <c r="AG291" s="1366"/>
      <c r="AH291" s="1366"/>
      <c r="AI291" s="1366"/>
      <c r="AJ291" s="1366"/>
      <c r="AK291" s="1366"/>
      <c r="AL291" s="1366"/>
      <c r="AM291" s="1366"/>
      <c r="AN291" s="1366"/>
      <c r="AO291" s="1366"/>
      <c r="AP291" s="1366"/>
      <c r="AQ291" s="1366"/>
      <c r="AR291" s="1366"/>
      <c r="AS291" s="1366"/>
      <c r="AT291" s="1366"/>
      <c r="AU291" s="1366"/>
      <c r="AV291" s="1366"/>
      <c r="AW291" s="1366"/>
      <c r="AX291" s="1366"/>
      <c r="AY291" s="1366"/>
      <c r="AZ291" s="1366"/>
      <c r="BA291" s="1366"/>
      <c r="BB291" s="1366"/>
      <c r="BC291" s="1366"/>
      <c r="BD291" s="1366"/>
      <c r="BE291" s="1366"/>
      <c r="BF291" s="1366"/>
      <c r="BG291" s="1366"/>
      <c r="BH291" s="1366"/>
      <c r="BI291" s="1366"/>
      <c r="BJ291" s="1366"/>
      <c r="BK291" s="1366"/>
      <c r="BL291" s="1366"/>
      <c r="BM291" s="1366"/>
      <c r="BN291" s="1366"/>
      <c r="BO291" s="1366"/>
      <c r="BP291" s="1366"/>
      <c r="BQ291" s="1366"/>
      <c r="BR291" s="1366"/>
      <c r="BS291" s="1366"/>
      <c r="BT291" s="1366"/>
      <c r="BU291" s="1366"/>
      <c r="BV291" s="1366"/>
      <c r="BW291" s="1366"/>
      <c r="BX291" s="1366"/>
      <c r="BY291" s="1366"/>
      <c r="BZ291" s="1366"/>
      <c r="CA291" s="1366"/>
      <c r="CB291" s="1366"/>
      <c r="CC291" s="1366"/>
      <c r="CD291" s="1366"/>
      <c r="CE291" s="1366"/>
      <c r="CF291" s="1366"/>
      <c r="CG291" s="1366"/>
      <c r="CH291" s="1366"/>
      <c r="CI291" s="1366"/>
      <c r="CJ291" s="1366"/>
      <c r="CK291" s="1366"/>
      <c r="CL291" s="1366"/>
      <c r="CM291" s="1366"/>
      <c r="CN291" s="1366"/>
      <c r="CO291" s="1366"/>
      <c r="CP291" s="1366"/>
      <c r="CQ291" s="1366"/>
      <c r="CR291" s="1366"/>
      <c r="CS291" s="1366"/>
      <c r="CT291" s="1366"/>
      <c r="CU291" s="1366"/>
      <c r="CV291" s="1366"/>
      <c r="CW291" s="1366"/>
      <c r="CX291" s="1366"/>
      <c r="CY291" s="1366"/>
      <c r="CZ291" s="1366"/>
      <c r="DA291" s="1366"/>
      <c r="DB291" s="1366"/>
      <c r="DC291" s="1366"/>
      <c r="DD291" s="1366"/>
      <c r="DE291" s="1366"/>
      <c r="DF291" s="1366"/>
      <c r="DG291" s="1366"/>
      <c r="DH291" s="1366"/>
      <c r="DI291" s="1366"/>
      <c r="DJ291" s="1366"/>
      <c r="DK291" s="1366"/>
      <c r="DL291" s="1366"/>
      <c r="DM291" s="1366"/>
      <c r="DN291" s="1366"/>
      <c r="DO291" s="1366"/>
      <c r="DP291" s="1366"/>
      <c r="DQ291" s="1366"/>
      <c r="DR291" s="1366"/>
      <c r="DS291" s="1366"/>
      <c r="DT291" s="1366"/>
      <c r="DU291" s="1366"/>
      <c r="DV291" s="1366"/>
    </row>
    <row r="292" spans="1:126" s="1367" customFormat="1" ht="30">
      <c r="A292" s="2494"/>
      <c r="B292" s="1653">
        <v>49</v>
      </c>
      <c r="C292" s="1642" t="s">
        <v>49</v>
      </c>
      <c r="D292" s="1375" t="s">
        <v>2224</v>
      </c>
      <c r="E292" s="1364" t="s">
        <v>2097</v>
      </c>
      <c r="F292" s="1364" t="s">
        <v>2108</v>
      </c>
      <c r="G292" s="1185" t="s">
        <v>1796</v>
      </c>
      <c r="H292" s="1515">
        <f>((14.5*'Equipment Results Matrix'!$R$764)+('Equipment Results Matrix'!$R$763*36000)+'Equipment Results Matrix'!$R$765+'Equipment Results Matrix'!$T$770)*(1+'Equipment Results Matrix'!$T$772)</f>
        <v>3965.9166607368002</v>
      </c>
      <c r="I292" s="1371">
        <f>'Labor Results Matrix'!$E$261*3</f>
        <v>18.812299340121029</v>
      </c>
      <c r="J292" s="1372">
        <f>'Labor Results Matrix'!$G$262*(1+'Labor Results Matrix'!$K$261)</f>
        <v>90.240814722392955</v>
      </c>
      <c r="K292" s="1372">
        <f>J292*I292</f>
        <v>1697.6372192540571</v>
      </c>
      <c r="L292" s="1372">
        <f>((('Labor Results Matrix'!$I$261+'Labor Results Matrix'!$I$262)*3)+'Labor Results Matrix'!$J$261)*(1+'Labor Results Matrix'!$K$261)</f>
        <v>2058.5114234624011</v>
      </c>
      <c r="M292" s="1372">
        <f>H292+K292+L292</f>
        <v>7722.0653034532588</v>
      </c>
      <c r="N292" s="1455" t="s">
        <v>380</v>
      </c>
      <c r="O292" s="1361">
        <f>H292/36</f>
        <v>110.16435168713333</v>
      </c>
      <c r="P292" s="1371">
        <f>'Labor Results Matrix'!$E$261/12</f>
        <v>0.52256387055891751</v>
      </c>
      <c r="Q292" s="1372">
        <f>('Labor Results Matrix'!$H$261/12)*(1+'Labor Results Matrix'!$K$261)</f>
        <v>47.156589423723815</v>
      </c>
      <c r="R292" s="1372">
        <f>(('Labor Results Matrix'!$I$261+'Labor Results Matrix'!$I$262)/12)*(1+'Labor Results Matrix'!$K$261)</f>
        <v>35.988318284260423</v>
      </c>
      <c r="S292" s="1372">
        <f>'Labor Results Matrix'!$J$261*(1+'Labor Results Matrix'!$K$261)</f>
        <v>762.93196522902554</v>
      </c>
      <c r="T292" s="1372">
        <f>O292+Q292+R292</f>
        <v>193.30925939511758</v>
      </c>
      <c r="U292" s="1417" t="s">
        <v>380</v>
      </c>
      <c r="V292" s="1455" t="s">
        <v>380</v>
      </c>
      <c r="W292" s="1366"/>
      <c r="X292" s="1366"/>
      <c r="Y292" s="1366"/>
      <c r="Z292" s="1366"/>
      <c r="AA292" s="1366"/>
      <c r="AB292" s="1366"/>
      <c r="AC292" s="1366"/>
      <c r="AD292" s="1366"/>
      <c r="AE292" s="1366"/>
      <c r="AF292" s="1366"/>
      <c r="AG292" s="1366"/>
      <c r="AH292" s="1366"/>
      <c r="AI292" s="1366"/>
      <c r="AJ292" s="1366"/>
      <c r="AK292" s="1366"/>
      <c r="AL292" s="1366"/>
      <c r="AM292" s="1366"/>
      <c r="AN292" s="1366"/>
      <c r="AO292" s="1366"/>
      <c r="AP292" s="1366"/>
      <c r="AQ292" s="1366"/>
      <c r="AR292" s="1366"/>
      <c r="AS292" s="1366"/>
      <c r="AT292" s="1366"/>
      <c r="AU292" s="1366"/>
      <c r="AV292" s="1366"/>
      <c r="AW292" s="1366"/>
      <c r="AX292" s="1366"/>
      <c r="AY292" s="1366"/>
      <c r="AZ292" s="1366"/>
      <c r="BA292" s="1366"/>
      <c r="BB292" s="1366"/>
      <c r="BC292" s="1366"/>
      <c r="BD292" s="1366"/>
      <c r="BE292" s="1366"/>
      <c r="BF292" s="1366"/>
      <c r="BG292" s="1366"/>
      <c r="BH292" s="1366"/>
      <c r="BI292" s="1366"/>
      <c r="BJ292" s="1366"/>
      <c r="BK292" s="1366"/>
      <c r="BL292" s="1366"/>
      <c r="BM292" s="1366"/>
      <c r="BN292" s="1366"/>
      <c r="BO292" s="1366"/>
      <c r="BP292" s="1366"/>
      <c r="BQ292" s="1366"/>
      <c r="BR292" s="1366"/>
      <c r="BS292" s="1366"/>
      <c r="BT292" s="1366"/>
      <c r="BU292" s="1366"/>
      <c r="BV292" s="1366"/>
      <c r="BW292" s="1366"/>
      <c r="BX292" s="1366"/>
      <c r="BY292" s="1366"/>
      <c r="BZ292" s="1366"/>
      <c r="CA292" s="1366"/>
      <c r="CB292" s="1366"/>
      <c r="CC292" s="1366"/>
      <c r="CD292" s="1366"/>
      <c r="CE292" s="1366"/>
      <c r="CF292" s="1366"/>
      <c r="CG292" s="1366"/>
      <c r="CH292" s="1366"/>
      <c r="CI292" s="1366"/>
      <c r="CJ292" s="1366"/>
      <c r="CK292" s="1366"/>
      <c r="CL292" s="1366"/>
      <c r="CM292" s="1366"/>
      <c r="CN292" s="1366"/>
      <c r="CO292" s="1366"/>
      <c r="CP292" s="1366"/>
      <c r="CQ292" s="1366"/>
      <c r="CR292" s="1366"/>
      <c r="CS292" s="1366"/>
      <c r="CT292" s="1366"/>
      <c r="CU292" s="1366"/>
      <c r="CV292" s="1366"/>
      <c r="CW292" s="1366"/>
      <c r="CX292" s="1366"/>
      <c r="CY292" s="1366"/>
      <c r="CZ292" s="1366"/>
      <c r="DA292" s="1366"/>
      <c r="DB292" s="1366"/>
      <c r="DC292" s="1366"/>
      <c r="DD292" s="1366"/>
      <c r="DE292" s="1366"/>
      <c r="DF292" s="1366"/>
      <c r="DG292" s="1366"/>
      <c r="DH292" s="1366"/>
      <c r="DI292" s="1366"/>
      <c r="DJ292" s="1366"/>
      <c r="DK292" s="1366"/>
      <c r="DL292" s="1366"/>
      <c r="DM292" s="1366"/>
      <c r="DN292" s="1366"/>
      <c r="DO292" s="1366"/>
      <c r="DP292" s="1366"/>
      <c r="DQ292" s="1366"/>
      <c r="DR292" s="1366"/>
      <c r="DS292" s="1366"/>
      <c r="DT292" s="1366"/>
      <c r="DU292" s="1366"/>
      <c r="DV292" s="1366"/>
    </row>
    <row r="293" spans="1:126" s="1367" customFormat="1" ht="30">
      <c r="A293" s="2494"/>
      <c r="B293" s="1653">
        <v>50</v>
      </c>
      <c r="C293" s="1642" t="s">
        <v>49</v>
      </c>
      <c r="D293" s="1375" t="s">
        <v>2225</v>
      </c>
      <c r="E293" s="1364" t="s">
        <v>2100</v>
      </c>
      <c r="F293" s="1364" t="s">
        <v>2108</v>
      </c>
      <c r="G293" s="1185" t="s">
        <v>1796</v>
      </c>
      <c r="H293" s="1515">
        <f>((13*'Equipment Results Matrix'!$R$764)+('Equipment Results Matrix'!$R$763*36000)+'Equipment Results Matrix'!$R$765+'Equipment Results Matrix'!$T$770)*(1+'Equipment Results Matrix'!$T$772)</f>
        <v>3327.0825559368</v>
      </c>
      <c r="I293" s="1371">
        <f>'Labor Results Matrix'!$E$261*3</f>
        <v>18.812299340121029</v>
      </c>
      <c r="J293" s="1372">
        <f>'Labor Results Matrix'!$G$262*(1+'Labor Results Matrix'!$K$261)</f>
        <v>90.240814722392955</v>
      </c>
      <c r="K293" s="1372">
        <f t="shared" ref="K293:K303" si="102">J293*I293</f>
        <v>1697.6372192540571</v>
      </c>
      <c r="L293" s="1372">
        <f>((('Labor Results Matrix'!$I$261+'Labor Results Matrix'!$I$262)*3)+'Labor Results Matrix'!$J$261)*(1+'Labor Results Matrix'!$K$261)</f>
        <v>2058.5114234624011</v>
      </c>
      <c r="M293" s="1372">
        <f t="shared" ref="M293:M303" si="103">H293+K293+L293</f>
        <v>7083.2311986532586</v>
      </c>
      <c r="N293" s="1455" t="s">
        <v>380</v>
      </c>
      <c r="O293" s="1361">
        <f t="shared" ref="O293:O299" si="104">H293/36</f>
        <v>92.418959887133326</v>
      </c>
      <c r="P293" s="1371">
        <f>'Labor Results Matrix'!$E$261/12</f>
        <v>0.52256387055891751</v>
      </c>
      <c r="Q293" s="1372">
        <f>('Labor Results Matrix'!$H$261/12)*(1+'Labor Results Matrix'!$K$261)</f>
        <v>47.156589423723815</v>
      </c>
      <c r="R293" s="1372">
        <f>(('Labor Results Matrix'!$I$261+'Labor Results Matrix'!$I$262)/12)*(1+'Labor Results Matrix'!$K$261)</f>
        <v>35.988318284260423</v>
      </c>
      <c r="S293" s="1372">
        <f>'Labor Results Matrix'!$J$261*(1+'Labor Results Matrix'!$K$261)</f>
        <v>762.93196522902554</v>
      </c>
      <c r="T293" s="1372">
        <f t="shared" ref="T293:T303" si="105">O293+Q293+R293</f>
        <v>175.56386759511756</v>
      </c>
      <c r="U293" s="1417" t="s">
        <v>380</v>
      </c>
      <c r="V293" s="1455" t="s">
        <v>380</v>
      </c>
      <c r="W293" s="1366"/>
      <c r="X293" s="1366"/>
      <c r="Y293" s="1366"/>
      <c r="Z293" s="1366"/>
      <c r="AA293" s="1366"/>
      <c r="AB293" s="1366"/>
      <c r="AC293" s="1366"/>
      <c r="AD293" s="1366"/>
      <c r="AE293" s="1366"/>
      <c r="AF293" s="1366"/>
      <c r="AG293" s="1366"/>
      <c r="AH293" s="1366"/>
      <c r="AI293" s="1366"/>
      <c r="AJ293" s="1366"/>
      <c r="AK293" s="1366"/>
      <c r="AL293" s="1366"/>
      <c r="AM293" s="1366"/>
      <c r="AN293" s="1366"/>
      <c r="AO293" s="1366"/>
      <c r="AP293" s="1366"/>
      <c r="AQ293" s="1366"/>
      <c r="AR293" s="1366"/>
      <c r="AS293" s="1366"/>
      <c r="AT293" s="1366"/>
      <c r="AU293" s="1366"/>
      <c r="AV293" s="1366"/>
      <c r="AW293" s="1366"/>
      <c r="AX293" s="1366"/>
      <c r="AY293" s="1366"/>
      <c r="AZ293" s="1366"/>
      <c r="BA293" s="1366"/>
      <c r="BB293" s="1366"/>
      <c r="BC293" s="1366"/>
      <c r="BD293" s="1366"/>
      <c r="BE293" s="1366"/>
      <c r="BF293" s="1366"/>
      <c r="BG293" s="1366"/>
      <c r="BH293" s="1366"/>
      <c r="BI293" s="1366"/>
      <c r="BJ293" s="1366"/>
      <c r="BK293" s="1366"/>
      <c r="BL293" s="1366"/>
      <c r="BM293" s="1366"/>
      <c r="BN293" s="1366"/>
      <c r="BO293" s="1366"/>
      <c r="BP293" s="1366"/>
      <c r="BQ293" s="1366"/>
      <c r="BR293" s="1366"/>
      <c r="BS293" s="1366"/>
      <c r="BT293" s="1366"/>
      <c r="BU293" s="1366"/>
      <c r="BV293" s="1366"/>
      <c r="BW293" s="1366"/>
      <c r="BX293" s="1366"/>
      <c r="BY293" s="1366"/>
      <c r="BZ293" s="1366"/>
      <c r="CA293" s="1366"/>
      <c r="CB293" s="1366"/>
      <c r="CC293" s="1366"/>
      <c r="CD293" s="1366"/>
      <c r="CE293" s="1366"/>
      <c r="CF293" s="1366"/>
      <c r="CG293" s="1366"/>
      <c r="CH293" s="1366"/>
      <c r="CI293" s="1366"/>
      <c r="CJ293" s="1366"/>
      <c r="CK293" s="1366"/>
      <c r="CL293" s="1366"/>
      <c r="CM293" s="1366"/>
      <c r="CN293" s="1366"/>
      <c r="CO293" s="1366"/>
      <c r="CP293" s="1366"/>
      <c r="CQ293" s="1366"/>
      <c r="CR293" s="1366"/>
      <c r="CS293" s="1366"/>
      <c r="CT293" s="1366"/>
      <c r="CU293" s="1366"/>
      <c r="CV293" s="1366"/>
      <c r="CW293" s="1366"/>
      <c r="CX293" s="1366"/>
      <c r="CY293" s="1366"/>
      <c r="CZ293" s="1366"/>
      <c r="DA293" s="1366"/>
      <c r="DB293" s="1366"/>
      <c r="DC293" s="1366"/>
      <c r="DD293" s="1366"/>
      <c r="DE293" s="1366"/>
      <c r="DF293" s="1366"/>
      <c r="DG293" s="1366"/>
      <c r="DH293" s="1366"/>
      <c r="DI293" s="1366"/>
      <c r="DJ293" s="1366"/>
      <c r="DK293" s="1366"/>
      <c r="DL293" s="1366"/>
      <c r="DM293" s="1366"/>
      <c r="DN293" s="1366"/>
      <c r="DO293" s="1366"/>
      <c r="DP293" s="1366"/>
      <c r="DQ293" s="1366"/>
      <c r="DR293" s="1366"/>
      <c r="DS293" s="1366"/>
      <c r="DT293" s="1366"/>
      <c r="DU293" s="1366"/>
      <c r="DV293" s="1366"/>
    </row>
    <row r="294" spans="1:126" s="1367" customFormat="1" ht="30">
      <c r="A294" s="2494"/>
      <c r="B294" s="1653">
        <v>51</v>
      </c>
      <c r="C294" s="1642" t="s">
        <v>49</v>
      </c>
      <c r="D294" s="1375" t="s">
        <v>2226</v>
      </c>
      <c r="E294" s="1364" t="s">
        <v>2097</v>
      </c>
      <c r="F294" s="1364" t="s">
        <v>2108</v>
      </c>
      <c r="G294" s="1185" t="s">
        <v>1796</v>
      </c>
      <c r="H294" s="1515">
        <f>((14*'Equipment Results Matrix'!$R$764)+('Equipment Results Matrix'!$R$763*36000)+'Equipment Results Matrix'!$R$765+'Equipment Results Matrix'!$T$770)*(1+'Equipment Results Matrix'!$T$772)</f>
        <v>3752.9719591368003</v>
      </c>
      <c r="I294" s="1371">
        <f>'Labor Results Matrix'!$E$261*3</f>
        <v>18.812299340121029</v>
      </c>
      <c r="J294" s="1372">
        <f>'Labor Results Matrix'!$G$262*(1+'Labor Results Matrix'!$K$261)</f>
        <v>90.240814722392955</v>
      </c>
      <c r="K294" s="1372">
        <f t="shared" si="102"/>
        <v>1697.6372192540571</v>
      </c>
      <c r="L294" s="1372">
        <f>((('Labor Results Matrix'!$I$261+'Labor Results Matrix'!$I$262)*3)+'Labor Results Matrix'!$J$261)*(1+'Labor Results Matrix'!$K$261)</f>
        <v>2058.5114234624011</v>
      </c>
      <c r="M294" s="1372">
        <f t="shared" si="103"/>
        <v>7509.1206018532594</v>
      </c>
      <c r="N294" s="1455" t="s">
        <v>380</v>
      </c>
      <c r="O294" s="1361">
        <f t="shared" si="104"/>
        <v>104.24922108713334</v>
      </c>
      <c r="P294" s="1371">
        <f>'Labor Results Matrix'!$E$261/12</f>
        <v>0.52256387055891751</v>
      </c>
      <c r="Q294" s="1372">
        <f>('Labor Results Matrix'!$H$261/12)*(1+'Labor Results Matrix'!$K$261)</f>
        <v>47.156589423723815</v>
      </c>
      <c r="R294" s="1372">
        <f>(('Labor Results Matrix'!$I$261+'Labor Results Matrix'!$I$262)/12)*(1+'Labor Results Matrix'!$K$261)</f>
        <v>35.988318284260423</v>
      </c>
      <c r="S294" s="1372">
        <f>'Labor Results Matrix'!$J$261*(1+'Labor Results Matrix'!$K$261)</f>
        <v>762.93196522902554</v>
      </c>
      <c r="T294" s="1372">
        <f t="shared" si="105"/>
        <v>187.39412879511758</v>
      </c>
      <c r="U294" s="1417" t="s">
        <v>380</v>
      </c>
      <c r="V294" s="1455" t="s">
        <v>380</v>
      </c>
      <c r="W294" s="1366"/>
      <c r="X294" s="1366"/>
      <c r="Y294" s="1366"/>
      <c r="Z294" s="1366"/>
      <c r="AA294" s="1366"/>
      <c r="AB294" s="1366"/>
      <c r="AC294" s="1366"/>
      <c r="AD294" s="1366"/>
      <c r="AE294" s="1366"/>
      <c r="AF294" s="1366"/>
      <c r="AG294" s="1366"/>
      <c r="AH294" s="1366"/>
      <c r="AI294" s="1366"/>
      <c r="AJ294" s="1366"/>
      <c r="AK294" s="1366"/>
      <c r="AL294" s="1366"/>
      <c r="AM294" s="1366"/>
      <c r="AN294" s="1366"/>
      <c r="AO294" s="1366"/>
      <c r="AP294" s="1366"/>
      <c r="AQ294" s="1366"/>
      <c r="AR294" s="1366"/>
      <c r="AS294" s="1366"/>
      <c r="AT294" s="1366"/>
      <c r="AU294" s="1366"/>
      <c r="AV294" s="1366"/>
      <c r="AW294" s="1366"/>
      <c r="AX294" s="1366"/>
      <c r="AY294" s="1366"/>
      <c r="AZ294" s="1366"/>
      <c r="BA294" s="1366"/>
      <c r="BB294" s="1366"/>
      <c r="BC294" s="1366"/>
      <c r="BD294" s="1366"/>
      <c r="BE294" s="1366"/>
      <c r="BF294" s="1366"/>
      <c r="BG294" s="1366"/>
      <c r="BH294" s="1366"/>
      <c r="BI294" s="1366"/>
      <c r="BJ294" s="1366"/>
      <c r="BK294" s="1366"/>
      <c r="BL294" s="1366"/>
      <c r="BM294" s="1366"/>
      <c r="BN294" s="1366"/>
      <c r="BO294" s="1366"/>
      <c r="BP294" s="1366"/>
      <c r="BQ294" s="1366"/>
      <c r="BR294" s="1366"/>
      <c r="BS294" s="1366"/>
      <c r="BT294" s="1366"/>
      <c r="BU294" s="1366"/>
      <c r="BV294" s="1366"/>
      <c r="BW294" s="1366"/>
      <c r="BX294" s="1366"/>
      <c r="BY294" s="1366"/>
      <c r="BZ294" s="1366"/>
      <c r="CA294" s="1366"/>
      <c r="CB294" s="1366"/>
      <c r="CC294" s="1366"/>
      <c r="CD294" s="1366"/>
      <c r="CE294" s="1366"/>
      <c r="CF294" s="1366"/>
      <c r="CG294" s="1366"/>
      <c r="CH294" s="1366"/>
      <c r="CI294" s="1366"/>
      <c r="CJ294" s="1366"/>
      <c r="CK294" s="1366"/>
      <c r="CL294" s="1366"/>
      <c r="CM294" s="1366"/>
      <c r="CN294" s="1366"/>
      <c r="CO294" s="1366"/>
      <c r="CP294" s="1366"/>
      <c r="CQ294" s="1366"/>
      <c r="CR294" s="1366"/>
      <c r="CS294" s="1366"/>
      <c r="CT294" s="1366"/>
      <c r="CU294" s="1366"/>
      <c r="CV294" s="1366"/>
      <c r="CW294" s="1366"/>
      <c r="CX294" s="1366"/>
      <c r="CY294" s="1366"/>
      <c r="CZ294" s="1366"/>
      <c r="DA294" s="1366"/>
      <c r="DB294" s="1366"/>
      <c r="DC294" s="1366"/>
      <c r="DD294" s="1366"/>
      <c r="DE294" s="1366"/>
      <c r="DF294" s="1366"/>
      <c r="DG294" s="1366"/>
      <c r="DH294" s="1366"/>
      <c r="DI294" s="1366"/>
      <c r="DJ294" s="1366"/>
      <c r="DK294" s="1366"/>
      <c r="DL294" s="1366"/>
      <c r="DM294" s="1366"/>
      <c r="DN294" s="1366"/>
      <c r="DO294" s="1366"/>
      <c r="DP294" s="1366"/>
      <c r="DQ294" s="1366"/>
      <c r="DR294" s="1366"/>
      <c r="DS294" s="1366"/>
      <c r="DT294" s="1366"/>
      <c r="DU294" s="1366"/>
      <c r="DV294" s="1366"/>
    </row>
    <row r="295" spans="1:126" s="1367" customFormat="1" ht="30">
      <c r="A295" s="2494"/>
      <c r="B295" s="1653">
        <v>52</v>
      </c>
      <c r="C295" s="1642" t="s">
        <v>49</v>
      </c>
      <c r="D295" s="1375" t="s">
        <v>2227</v>
      </c>
      <c r="E295" s="1364" t="s">
        <v>2097</v>
      </c>
      <c r="F295" s="1364" t="s">
        <v>2108</v>
      </c>
      <c r="G295" s="1185" t="s">
        <v>1796</v>
      </c>
      <c r="H295" s="1515">
        <f>((14.5*'Equipment Results Matrix'!$R$764)+('Equipment Results Matrix'!$R$763*36000)+'Equipment Results Matrix'!$R$765+'Equipment Results Matrix'!$T$770)*(1+'Equipment Results Matrix'!$T$772)</f>
        <v>3965.9166607368002</v>
      </c>
      <c r="I295" s="1371">
        <f>'Labor Results Matrix'!$E$261*3</f>
        <v>18.812299340121029</v>
      </c>
      <c r="J295" s="1372">
        <f>'Labor Results Matrix'!$G$262*(1+'Labor Results Matrix'!$K$261)</f>
        <v>90.240814722392955</v>
      </c>
      <c r="K295" s="1372">
        <f t="shared" si="102"/>
        <v>1697.6372192540571</v>
      </c>
      <c r="L295" s="1372">
        <f>((('Labor Results Matrix'!$I$261+'Labor Results Matrix'!$I$262)*3)+'Labor Results Matrix'!$J$261)*(1+'Labor Results Matrix'!$K$261)</f>
        <v>2058.5114234624011</v>
      </c>
      <c r="M295" s="1372">
        <f t="shared" si="103"/>
        <v>7722.0653034532588</v>
      </c>
      <c r="N295" s="1455" t="s">
        <v>380</v>
      </c>
      <c r="O295" s="1361">
        <f t="shared" si="104"/>
        <v>110.16435168713333</v>
      </c>
      <c r="P295" s="1371">
        <f>'Labor Results Matrix'!$E$261/12</f>
        <v>0.52256387055891751</v>
      </c>
      <c r="Q295" s="1372">
        <f>('Labor Results Matrix'!$H$261/12)*(1+'Labor Results Matrix'!$K$261)</f>
        <v>47.156589423723815</v>
      </c>
      <c r="R295" s="1372">
        <f>(('Labor Results Matrix'!$I$261+'Labor Results Matrix'!$I$262)/12)*(1+'Labor Results Matrix'!$K$261)</f>
        <v>35.988318284260423</v>
      </c>
      <c r="S295" s="1372">
        <f>'Labor Results Matrix'!$J$261*(1+'Labor Results Matrix'!$K$261)</f>
        <v>762.93196522902554</v>
      </c>
      <c r="T295" s="1372">
        <f t="shared" si="105"/>
        <v>193.30925939511758</v>
      </c>
      <c r="U295" s="1417" t="s">
        <v>380</v>
      </c>
      <c r="V295" s="1455" t="s">
        <v>380</v>
      </c>
      <c r="W295" s="1366"/>
      <c r="X295" s="1366"/>
      <c r="Y295" s="1366"/>
      <c r="Z295" s="1366"/>
      <c r="AA295" s="1366"/>
      <c r="AB295" s="1366"/>
      <c r="AC295" s="1366"/>
      <c r="AD295" s="1366"/>
      <c r="AE295" s="1366"/>
      <c r="AF295" s="1366"/>
      <c r="AG295" s="1366"/>
      <c r="AH295" s="1366"/>
      <c r="AI295" s="1366"/>
      <c r="AJ295" s="1366"/>
      <c r="AK295" s="1366"/>
      <c r="AL295" s="1366"/>
      <c r="AM295" s="1366"/>
      <c r="AN295" s="1366"/>
      <c r="AO295" s="1366"/>
      <c r="AP295" s="1366"/>
      <c r="AQ295" s="1366"/>
      <c r="AR295" s="1366"/>
      <c r="AS295" s="1366"/>
      <c r="AT295" s="1366"/>
      <c r="AU295" s="1366"/>
      <c r="AV295" s="1366"/>
      <c r="AW295" s="1366"/>
      <c r="AX295" s="1366"/>
      <c r="AY295" s="1366"/>
      <c r="AZ295" s="1366"/>
      <c r="BA295" s="1366"/>
      <c r="BB295" s="1366"/>
      <c r="BC295" s="1366"/>
      <c r="BD295" s="1366"/>
      <c r="BE295" s="1366"/>
      <c r="BF295" s="1366"/>
      <c r="BG295" s="1366"/>
      <c r="BH295" s="1366"/>
      <c r="BI295" s="1366"/>
      <c r="BJ295" s="1366"/>
      <c r="BK295" s="1366"/>
      <c r="BL295" s="1366"/>
      <c r="BM295" s="1366"/>
      <c r="BN295" s="1366"/>
      <c r="BO295" s="1366"/>
      <c r="BP295" s="1366"/>
      <c r="BQ295" s="1366"/>
      <c r="BR295" s="1366"/>
      <c r="BS295" s="1366"/>
      <c r="BT295" s="1366"/>
      <c r="BU295" s="1366"/>
      <c r="BV295" s="1366"/>
      <c r="BW295" s="1366"/>
      <c r="BX295" s="1366"/>
      <c r="BY295" s="1366"/>
      <c r="BZ295" s="1366"/>
      <c r="CA295" s="1366"/>
      <c r="CB295" s="1366"/>
      <c r="CC295" s="1366"/>
      <c r="CD295" s="1366"/>
      <c r="CE295" s="1366"/>
      <c r="CF295" s="1366"/>
      <c r="CG295" s="1366"/>
      <c r="CH295" s="1366"/>
      <c r="CI295" s="1366"/>
      <c r="CJ295" s="1366"/>
      <c r="CK295" s="1366"/>
      <c r="CL295" s="1366"/>
      <c r="CM295" s="1366"/>
      <c r="CN295" s="1366"/>
      <c r="CO295" s="1366"/>
      <c r="CP295" s="1366"/>
      <c r="CQ295" s="1366"/>
      <c r="CR295" s="1366"/>
      <c r="CS295" s="1366"/>
      <c r="CT295" s="1366"/>
      <c r="CU295" s="1366"/>
      <c r="CV295" s="1366"/>
      <c r="CW295" s="1366"/>
      <c r="CX295" s="1366"/>
      <c r="CY295" s="1366"/>
      <c r="CZ295" s="1366"/>
      <c r="DA295" s="1366"/>
      <c r="DB295" s="1366"/>
      <c r="DC295" s="1366"/>
      <c r="DD295" s="1366"/>
      <c r="DE295" s="1366"/>
      <c r="DF295" s="1366"/>
      <c r="DG295" s="1366"/>
      <c r="DH295" s="1366"/>
      <c r="DI295" s="1366"/>
      <c r="DJ295" s="1366"/>
      <c r="DK295" s="1366"/>
      <c r="DL295" s="1366"/>
      <c r="DM295" s="1366"/>
      <c r="DN295" s="1366"/>
      <c r="DO295" s="1366"/>
      <c r="DP295" s="1366"/>
      <c r="DQ295" s="1366"/>
      <c r="DR295" s="1366"/>
      <c r="DS295" s="1366"/>
      <c r="DT295" s="1366"/>
      <c r="DU295" s="1366"/>
      <c r="DV295" s="1366"/>
    </row>
    <row r="296" spans="1:126" s="1367" customFormat="1" ht="30">
      <c r="A296" s="2494"/>
      <c r="B296" s="1653">
        <v>53</v>
      </c>
      <c r="C296" s="1642" t="s">
        <v>49</v>
      </c>
      <c r="D296" s="1375" t="s">
        <v>2228</v>
      </c>
      <c r="E296" s="1364" t="s">
        <v>2097</v>
      </c>
      <c r="F296" s="1364" t="s">
        <v>2108</v>
      </c>
      <c r="G296" s="1185" t="s">
        <v>1796</v>
      </c>
      <c r="H296" s="1515">
        <f>((15*'Equipment Results Matrix'!$R$764)+('Equipment Results Matrix'!$R$763*36000)+'Equipment Results Matrix'!$R$765+'Equipment Results Matrix'!$T$770)*(1+'Equipment Results Matrix'!$T$772)</f>
        <v>4178.8613623367992</v>
      </c>
      <c r="I296" s="1371">
        <f>'Labor Results Matrix'!$E$261*3</f>
        <v>18.812299340121029</v>
      </c>
      <c r="J296" s="1372">
        <f>'Labor Results Matrix'!$G$262*(1+'Labor Results Matrix'!$K$261)</f>
        <v>90.240814722392955</v>
      </c>
      <c r="K296" s="1372">
        <f t="shared" si="102"/>
        <v>1697.6372192540571</v>
      </c>
      <c r="L296" s="1372">
        <f>((('Labor Results Matrix'!$I$261+'Labor Results Matrix'!$I$262)*3)+'Labor Results Matrix'!$J$261)*(1+'Labor Results Matrix'!$K$261)</f>
        <v>2058.5114234624011</v>
      </c>
      <c r="M296" s="1372">
        <f t="shared" si="103"/>
        <v>7935.0100050532583</v>
      </c>
      <c r="N296" s="1455" t="s">
        <v>380</v>
      </c>
      <c r="O296" s="1361">
        <f t="shared" si="104"/>
        <v>116.07948228713332</v>
      </c>
      <c r="P296" s="1371">
        <f>'Labor Results Matrix'!$E$261/12</f>
        <v>0.52256387055891751</v>
      </c>
      <c r="Q296" s="1372">
        <f>('Labor Results Matrix'!$H$261/12)*(1+'Labor Results Matrix'!$K$261)</f>
        <v>47.156589423723815</v>
      </c>
      <c r="R296" s="1372">
        <f>(('Labor Results Matrix'!$I$261+'Labor Results Matrix'!$I$262)/12)*(1+'Labor Results Matrix'!$K$261)</f>
        <v>35.988318284260423</v>
      </c>
      <c r="S296" s="1372">
        <f>'Labor Results Matrix'!$J$261*(1+'Labor Results Matrix'!$K$261)</f>
        <v>762.93196522902554</v>
      </c>
      <c r="T296" s="1372">
        <f t="shared" si="105"/>
        <v>199.22438999511755</v>
      </c>
      <c r="U296" s="1417" t="s">
        <v>380</v>
      </c>
      <c r="V296" s="1455" t="s">
        <v>380</v>
      </c>
      <c r="W296" s="1366"/>
      <c r="X296" s="1366"/>
      <c r="Y296" s="1366"/>
      <c r="Z296" s="1366"/>
      <c r="AA296" s="1366"/>
      <c r="AB296" s="1366"/>
      <c r="AC296" s="1366"/>
      <c r="AD296" s="1366"/>
      <c r="AE296" s="1366"/>
      <c r="AF296" s="1366"/>
      <c r="AG296" s="1366"/>
      <c r="AH296" s="1366"/>
      <c r="AI296" s="1366"/>
      <c r="AJ296" s="1366"/>
      <c r="AK296" s="1366"/>
      <c r="AL296" s="1366"/>
      <c r="AM296" s="1366"/>
      <c r="AN296" s="1366"/>
      <c r="AO296" s="1366"/>
      <c r="AP296" s="1366"/>
      <c r="AQ296" s="1366"/>
      <c r="AR296" s="1366"/>
      <c r="AS296" s="1366"/>
      <c r="AT296" s="1366"/>
      <c r="AU296" s="1366"/>
      <c r="AV296" s="1366"/>
      <c r="AW296" s="1366"/>
      <c r="AX296" s="1366"/>
      <c r="AY296" s="1366"/>
      <c r="AZ296" s="1366"/>
      <c r="BA296" s="1366"/>
      <c r="BB296" s="1366"/>
      <c r="BC296" s="1366"/>
      <c r="BD296" s="1366"/>
      <c r="BE296" s="1366"/>
      <c r="BF296" s="1366"/>
      <c r="BG296" s="1366"/>
      <c r="BH296" s="1366"/>
      <c r="BI296" s="1366"/>
      <c r="BJ296" s="1366"/>
      <c r="BK296" s="1366"/>
      <c r="BL296" s="1366"/>
      <c r="BM296" s="1366"/>
      <c r="BN296" s="1366"/>
      <c r="BO296" s="1366"/>
      <c r="BP296" s="1366"/>
      <c r="BQ296" s="1366"/>
      <c r="BR296" s="1366"/>
      <c r="BS296" s="1366"/>
      <c r="BT296" s="1366"/>
      <c r="BU296" s="1366"/>
      <c r="BV296" s="1366"/>
      <c r="BW296" s="1366"/>
      <c r="BX296" s="1366"/>
      <c r="BY296" s="1366"/>
      <c r="BZ296" s="1366"/>
      <c r="CA296" s="1366"/>
      <c r="CB296" s="1366"/>
      <c r="CC296" s="1366"/>
      <c r="CD296" s="1366"/>
      <c r="CE296" s="1366"/>
      <c r="CF296" s="1366"/>
      <c r="CG296" s="1366"/>
      <c r="CH296" s="1366"/>
      <c r="CI296" s="1366"/>
      <c r="CJ296" s="1366"/>
      <c r="CK296" s="1366"/>
      <c r="CL296" s="1366"/>
      <c r="CM296" s="1366"/>
      <c r="CN296" s="1366"/>
      <c r="CO296" s="1366"/>
      <c r="CP296" s="1366"/>
      <c r="CQ296" s="1366"/>
      <c r="CR296" s="1366"/>
      <c r="CS296" s="1366"/>
      <c r="CT296" s="1366"/>
      <c r="CU296" s="1366"/>
      <c r="CV296" s="1366"/>
      <c r="CW296" s="1366"/>
      <c r="CX296" s="1366"/>
      <c r="CY296" s="1366"/>
      <c r="CZ296" s="1366"/>
      <c r="DA296" s="1366"/>
      <c r="DB296" s="1366"/>
      <c r="DC296" s="1366"/>
      <c r="DD296" s="1366"/>
      <c r="DE296" s="1366"/>
      <c r="DF296" s="1366"/>
      <c r="DG296" s="1366"/>
      <c r="DH296" s="1366"/>
      <c r="DI296" s="1366"/>
      <c r="DJ296" s="1366"/>
      <c r="DK296" s="1366"/>
      <c r="DL296" s="1366"/>
      <c r="DM296" s="1366"/>
      <c r="DN296" s="1366"/>
      <c r="DO296" s="1366"/>
      <c r="DP296" s="1366"/>
      <c r="DQ296" s="1366"/>
      <c r="DR296" s="1366"/>
      <c r="DS296" s="1366"/>
      <c r="DT296" s="1366"/>
      <c r="DU296" s="1366"/>
      <c r="DV296" s="1366"/>
    </row>
    <row r="297" spans="1:126" s="1367" customFormat="1" ht="30">
      <c r="A297" s="2494"/>
      <c r="B297" s="1653">
        <v>54</v>
      </c>
      <c r="C297" s="1642" t="s">
        <v>49</v>
      </c>
      <c r="D297" s="1375" t="s">
        <v>2229</v>
      </c>
      <c r="E297" s="1364" t="s">
        <v>2097</v>
      </c>
      <c r="F297" s="1364" t="s">
        <v>2108</v>
      </c>
      <c r="G297" s="1185" t="s">
        <v>1796</v>
      </c>
      <c r="H297" s="1515">
        <f>((13*'Equipment Results Matrix'!$R$764)+('Equipment Results Matrix'!$R$763*36000)+'Equipment Results Matrix'!$R$765+'Equipment Results Matrix'!$T$770)*(1+'Equipment Results Matrix'!$T$772)</f>
        <v>3327.0825559368</v>
      </c>
      <c r="I297" s="1371">
        <f>'Labor Results Matrix'!$E$261*3</f>
        <v>18.812299340121029</v>
      </c>
      <c r="J297" s="1372">
        <f>'Labor Results Matrix'!$G$262*(1+'Labor Results Matrix'!$K$261)</f>
        <v>90.240814722392955</v>
      </c>
      <c r="K297" s="1372">
        <f t="shared" si="102"/>
        <v>1697.6372192540571</v>
      </c>
      <c r="L297" s="1372">
        <f>((('Labor Results Matrix'!$I$261+'Labor Results Matrix'!$I$262)*3)+'Labor Results Matrix'!$J$261)*(1+'Labor Results Matrix'!$K$261)</f>
        <v>2058.5114234624011</v>
      </c>
      <c r="M297" s="1372">
        <f t="shared" si="103"/>
        <v>7083.2311986532586</v>
      </c>
      <c r="N297" s="1455" t="s">
        <v>380</v>
      </c>
      <c r="O297" s="1361">
        <f t="shared" si="104"/>
        <v>92.418959887133326</v>
      </c>
      <c r="P297" s="1371">
        <f>'Labor Results Matrix'!$E$261/12</f>
        <v>0.52256387055891751</v>
      </c>
      <c r="Q297" s="1372">
        <f>('Labor Results Matrix'!$H$261/12)*(1+'Labor Results Matrix'!$K$261)</f>
        <v>47.156589423723815</v>
      </c>
      <c r="R297" s="1372">
        <f>(('Labor Results Matrix'!$I$261+'Labor Results Matrix'!$I$262)/12)*(1+'Labor Results Matrix'!$K$261)</f>
        <v>35.988318284260423</v>
      </c>
      <c r="S297" s="1372">
        <f>'Labor Results Matrix'!$J$261*(1+'Labor Results Matrix'!$K$261)</f>
        <v>762.93196522902554</v>
      </c>
      <c r="T297" s="1372">
        <f t="shared" si="105"/>
        <v>175.56386759511756</v>
      </c>
      <c r="U297" s="1417" t="s">
        <v>380</v>
      </c>
      <c r="V297" s="1455" t="s">
        <v>380</v>
      </c>
      <c r="W297" s="1366"/>
      <c r="X297" s="1366"/>
      <c r="Y297" s="1366"/>
      <c r="Z297" s="1366"/>
      <c r="AA297" s="1366"/>
      <c r="AB297" s="1366"/>
      <c r="AC297" s="1366"/>
      <c r="AD297" s="1366"/>
      <c r="AE297" s="1366"/>
      <c r="AF297" s="1366"/>
      <c r="AG297" s="1366"/>
      <c r="AH297" s="1366"/>
      <c r="AI297" s="1366"/>
      <c r="AJ297" s="1366"/>
      <c r="AK297" s="1366"/>
      <c r="AL297" s="1366"/>
      <c r="AM297" s="1366"/>
      <c r="AN297" s="1366"/>
      <c r="AO297" s="1366"/>
      <c r="AP297" s="1366"/>
      <c r="AQ297" s="1366"/>
      <c r="AR297" s="1366"/>
      <c r="AS297" s="1366"/>
      <c r="AT297" s="1366"/>
      <c r="AU297" s="1366"/>
      <c r="AV297" s="1366"/>
      <c r="AW297" s="1366"/>
      <c r="AX297" s="1366"/>
      <c r="AY297" s="1366"/>
      <c r="AZ297" s="1366"/>
      <c r="BA297" s="1366"/>
      <c r="BB297" s="1366"/>
      <c r="BC297" s="1366"/>
      <c r="BD297" s="1366"/>
      <c r="BE297" s="1366"/>
      <c r="BF297" s="1366"/>
      <c r="BG297" s="1366"/>
      <c r="BH297" s="1366"/>
      <c r="BI297" s="1366"/>
      <c r="BJ297" s="1366"/>
      <c r="BK297" s="1366"/>
      <c r="BL297" s="1366"/>
      <c r="BM297" s="1366"/>
      <c r="BN297" s="1366"/>
      <c r="BO297" s="1366"/>
      <c r="BP297" s="1366"/>
      <c r="BQ297" s="1366"/>
      <c r="BR297" s="1366"/>
      <c r="BS297" s="1366"/>
      <c r="BT297" s="1366"/>
      <c r="BU297" s="1366"/>
      <c r="BV297" s="1366"/>
      <c r="BW297" s="1366"/>
      <c r="BX297" s="1366"/>
      <c r="BY297" s="1366"/>
      <c r="BZ297" s="1366"/>
      <c r="CA297" s="1366"/>
      <c r="CB297" s="1366"/>
      <c r="CC297" s="1366"/>
      <c r="CD297" s="1366"/>
      <c r="CE297" s="1366"/>
      <c r="CF297" s="1366"/>
      <c r="CG297" s="1366"/>
      <c r="CH297" s="1366"/>
      <c r="CI297" s="1366"/>
      <c r="CJ297" s="1366"/>
      <c r="CK297" s="1366"/>
      <c r="CL297" s="1366"/>
      <c r="CM297" s="1366"/>
      <c r="CN297" s="1366"/>
      <c r="CO297" s="1366"/>
      <c r="CP297" s="1366"/>
      <c r="CQ297" s="1366"/>
      <c r="CR297" s="1366"/>
      <c r="CS297" s="1366"/>
      <c r="CT297" s="1366"/>
      <c r="CU297" s="1366"/>
      <c r="CV297" s="1366"/>
      <c r="CW297" s="1366"/>
      <c r="CX297" s="1366"/>
      <c r="CY297" s="1366"/>
      <c r="CZ297" s="1366"/>
      <c r="DA297" s="1366"/>
      <c r="DB297" s="1366"/>
      <c r="DC297" s="1366"/>
      <c r="DD297" s="1366"/>
      <c r="DE297" s="1366"/>
      <c r="DF297" s="1366"/>
      <c r="DG297" s="1366"/>
      <c r="DH297" s="1366"/>
      <c r="DI297" s="1366"/>
      <c r="DJ297" s="1366"/>
      <c r="DK297" s="1366"/>
      <c r="DL297" s="1366"/>
      <c r="DM297" s="1366"/>
      <c r="DN297" s="1366"/>
      <c r="DO297" s="1366"/>
      <c r="DP297" s="1366"/>
      <c r="DQ297" s="1366"/>
      <c r="DR297" s="1366"/>
      <c r="DS297" s="1366"/>
      <c r="DT297" s="1366"/>
      <c r="DU297" s="1366"/>
      <c r="DV297" s="1366"/>
    </row>
    <row r="298" spans="1:126" s="1367" customFormat="1" ht="30">
      <c r="A298" s="2494"/>
      <c r="B298" s="1653">
        <v>55</v>
      </c>
      <c r="C298" s="1642" t="s">
        <v>49</v>
      </c>
      <c r="D298" s="1375" t="s">
        <v>2230</v>
      </c>
      <c r="E298" s="1364" t="s">
        <v>2097</v>
      </c>
      <c r="F298" s="1364" t="s">
        <v>2108</v>
      </c>
      <c r="G298" s="1185" t="s">
        <v>1796</v>
      </c>
      <c r="H298" s="1515">
        <f>((14*'Equipment Results Matrix'!$R$764)+('Equipment Results Matrix'!$R$763*36000)+'Equipment Results Matrix'!$R$765+'Equipment Results Matrix'!$T$770)*(1+'Equipment Results Matrix'!$T$772)</f>
        <v>3752.9719591368003</v>
      </c>
      <c r="I298" s="1371">
        <f>'Labor Results Matrix'!$E$261*3</f>
        <v>18.812299340121029</v>
      </c>
      <c r="J298" s="1372">
        <f>'Labor Results Matrix'!$G$262*(1+'Labor Results Matrix'!$K$261)</f>
        <v>90.240814722392955</v>
      </c>
      <c r="K298" s="1372">
        <f t="shared" si="102"/>
        <v>1697.6372192540571</v>
      </c>
      <c r="L298" s="1372">
        <f>((('Labor Results Matrix'!$I$261+'Labor Results Matrix'!$I$262)*3)+'Labor Results Matrix'!$J$261)*(1+'Labor Results Matrix'!$K$261)</f>
        <v>2058.5114234624011</v>
      </c>
      <c r="M298" s="1372">
        <f t="shared" si="103"/>
        <v>7509.1206018532594</v>
      </c>
      <c r="N298" s="1455" t="s">
        <v>380</v>
      </c>
      <c r="O298" s="1361">
        <f t="shared" si="104"/>
        <v>104.24922108713334</v>
      </c>
      <c r="P298" s="1371">
        <f>'Labor Results Matrix'!$E$261/12</f>
        <v>0.52256387055891751</v>
      </c>
      <c r="Q298" s="1372">
        <f>('Labor Results Matrix'!$H$261/12)*(1+'Labor Results Matrix'!$K$261)</f>
        <v>47.156589423723815</v>
      </c>
      <c r="R298" s="1372">
        <f>(('Labor Results Matrix'!$I$261+'Labor Results Matrix'!$I$262)/12)*(1+'Labor Results Matrix'!$K$261)</f>
        <v>35.988318284260423</v>
      </c>
      <c r="S298" s="1372">
        <f>'Labor Results Matrix'!$J$261*(1+'Labor Results Matrix'!$K$261)</f>
        <v>762.93196522902554</v>
      </c>
      <c r="T298" s="1372">
        <f t="shared" si="105"/>
        <v>187.39412879511758</v>
      </c>
      <c r="U298" s="1417" t="s">
        <v>380</v>
      </c>
      <c r="V298" s="1455" t="s">
        <v>380</v>
      </c>
      <c r="W298" s="1366"/>
      <c r="X298" s="1366"/>
      <c r="Y298" s="1366"/>
      <c r="Z298" s="1366"/>
      <c r="AA298" s="1366"/>
      <c r="AB298" s="1366"/>
      <c r="AC298" s="1366"/>
      <c r="AD298" s="1366"/>
      <c r="AE298" s="1366"/>
      <c r="AF298" s="1366"/>
      <c r="AG298" s="1366"/>
      <c r="AH298" s="1366"/>
      <c r="AI298" s="1366"/>
      <c r="AJ298" s="1366"/>
      <c r="AK298" s="1366"/>
      <c r="AL298" s="1366"/>
      <c r="AM298" s="1366"/>
      <c r="AN298" s="1366"/>
      <c r="AO298" s="1366"/>
      <c r="AP298" s="1366"/>
      <c r="AQ298" s="1366"/>
      <c r="AR298" s="1366"/>
      <c r="AS298" s="1366"/>
      <c r="AT298" s="1366"/>
      <c r="AU298" s="1366"/>
      <c r="AV298" s="1366"/>
      <c r="AW298" s="1366"/>
      <c r="AX298" s="1366"/>
      <c r="AY298" s="1366"/>
      <c r="AZ298" s="1366"/>
      <c r="BA298" s="1366"/>
      <c r="BB298" s="1366"/>
      <c r="BC298" s="1366"/>
      <c r="BD298" s="1366"/>
      <c r="BE298" s="1366"/>
      <c r="BF298" s="1366"/>
      <c r="BG298" s="1366"/>
      <c r="BH298" s="1366"/>
      <c r="BI298" s="1366"/>
      <c r="BJ298" s="1366"/>
      <c r="BK298" s="1366"/>
      <c r="BL298" s="1366"/>
      <c r="BM298" s="1366"/>
      <c r="BN298" s="1366"/>
      <c r="BO298" s="1366"/>
      <c r="BP298" s="1366"/>
      <c r="BQ298" s="1366"/>
      <c r="BR298" s="1366"/>
      <c r="BS298" s="1366"/>
      <c r="BT298" s="1366"/>
      <c r="BU298" s="1366"/>
      <c r="BV298" s="1366"/>
      <c r="BW298" s="1366"/>
      <c r="BX298" s="1366"/>
      <c r="BY298" s="1366"/>
      <c r="BZ298" s="1366"/>
      <c r="CA298" s="1366"/>
      <c r="CB298" s="1366"/>
      <c r="CC298" s="1366"/>
      <c r="CD298" s="1366"/>
      <c r="CE298" s="1366"/>
      <c r="CF298" s="1366"/>
      <c r="CG298" s="1366"/>
      <c r="CH298" s="1366"/>
      <c r="CI298" s="1366"/>
      <c r="CJ298" s="1366"/>
      <c r="CK298" s="1366"/>
      <c r="CL298" s="1366"/>
      <c r="CM298" s="1366"/>
      <c r="CN298" s="1366"/>
      <c r="CO298" s="1366"/>
      <c r="CP298" s="1366"/>
      <c r="CQ298" s="1366"/>
      <c r="CR298" s="1366"/>
      <c r="CS298" s="1366"/>
      <c r="CT298" s="1366"/>
      <c r="CU298" s="1366"/>
      <c r="CV298" s="1366"/>
      <c r="CW298" s="1366"/>
      <c r="CX298" s="1366"/>
      <c r="CY298" s="1366"/>
      <c r="CZ298" s="1366"/>
      <c r="DA298" s="1366"/>
      <c r="DB298" s="1366"/>
      <c r="DC298" s="1366"/>
      <c r="DD298" s="1366"/>
      <c r="DE298" s="1366"/>
      <c r="DF298" s="1366"/>
      <c r="DG298" s="1366"/>
      <c r="DH298" s="1366"/>
      <c r="DI298" s="1366"/>
      <c r="DJ298" s="1366"/>
      <c r="DK298" s="1366"/>
      <c r="DL298" s="1366"/>
      <c r="DM298" s="1366"/>
      <c r="DN298" s="1366"/>
      <c r="DO298" s="1366"/>
      <c r="DP298" s="1366"/>
      <c r="DQ298" s="1366"/>
      <c r="DR298" s="1366"/>
      <c r="DS298" s="1366"/>
      <c r="DT298" s="1366"/>
      <c r="DU298" s="1366"/>
      <c r="DV298" s="1366"/>
    </row>
    <row r="299" spans="1:126" s="1367" customFormat="1" ht="30">
      <c r="A299" s="2494"/>
      <c r="B299" s="1653">
        <v>56</v>
      </c>
      <c r="C299" s="1642" t="s">
        <v>49</v>
      </c>
      <c r="D299" s="1375" t="s">
        <v>2231</v>
      </c>
      <c r="E299" s="1364" t="s">
        <v>2097</v>
      </c>
      <c r="F299" s="1364" t="s">
        <v>2108</v>
      </c>
      <c r="G299" s="1185" t="s">
        <v>1796</v>
      </c>
      <c r="H299" s="1515">
        <f>((15*'Equipment Results Matrix'!$R$764)+('Equipment Results Matrix'!$R$763*36000)+'Equipment Results Matrix'!$R$765+'Equipment Results Matrix'!$T$770)*(1+'Equipment Results Matrix'!$T$772)</f>
        <v>4178.8613623367992</v>
      </c>
      <c r="I299" s="1371">
        <f>'Labor Results Matrix'!$E$261*3</f>
        <v>18.812299340121029</v>
      </c>
      <c r="J299" s="1372">
        <f>'Labor Results Matrix'!$G$262*(1+'Labor Results Matrix'!$K$261)</f>
        <v>90.240814722392955</v>
      </c>
      <c r="K299" s="1372">
        <f t="shared" si="102"/>
        <v>1697.6372192540571</v>
      </c>
      <c r="L299" s="1372">
        <f>((('Labor Results Matrix'!$I$261+'Labor Results Matrix'!$I$262)*3)+'Labor Results Matrix'!$J$261)*(1+'Labor Results Matrix'!$K$261)</f>
        <v>2058.5114234624011</v>
      </c>
      <c r="M299" s="1372">
        <f t="shared" si="103"/>
        <v>7935.0100050532583</v>
      </c>
      <c r="N299" s="1455" t="s">
        <v>380</v>
      </c>
      <c r="O299" s="1361">
        <f t="shared" si="104"/>
        <v>116.07948228713332</v>
      </c>
      <c r="P299" s="1371">
        <f>'Labor Results Matrix'!$E$261/12</f>
        <v>0.52256387055891751</v>
      </c>
      <c r="Q299" s="1372">
        <f>('Labor Results Matrix'!$H$261/12)*(1+'Labor Results Matrix'!$K$261)</f>
        <v>47.156589423723815</v>
      </c>
      <c r="R299" s="1372">
        <f>(('Labor Results Matrix'!$I$261+'Labor Results Matrix'!$I$262)/12)*(1+'Labor Results Matrix'!$K$261)</f>
        <v>35.988318284260423</v>
      </c>
      <c r="S299" s="1372">
        <f>'Labor Results Matrix'!$J$261*(1+'Labor Results Matrix'!$K$261)</f>
        <v>762.93196522902554</v>
      </c>
      <c r="T299" s="1372">
        <f t="shared" si="105"/>
        <v>199.22438999511755</v>
      </c>
      <c r="U299" s="1417" t="s">
        <v>380</v>
      </c>
      <c r="V299" s="1455" t="s">
        <v>380</v>
      </c>
      <c r="W299" s="1366"/>
      <c r="X299" s="1366"/>
      <c r="Y299" s="1366"/>
      <c r="Z299" s="1366"/>
      <c r="AA299" s="1366"/>
      <c r="AB299" s="1366"/>
      <c r="AC299" s="1366"/>
      <c r="AD299" s="1366"/>
      <c r="AE299" s="1366"/>
      <c r="AF299" s="1366"/>
      <c r="AG299" s="1366"/>
      <c r="AH299" s="1366"/>
      <c r="AI299" s="1366"/>
      <c r="AJ299" s="1366"/>
      <c r="AK299" s="1366"/>
      <c r="AL299" s="1366"/>
      <c r="AM299" s="1366"/>
      <c r="AN299" s="1366"/>
      <c r="AO299" s="1366"/>
      <c r="AP299" s="1366"/>
      <c r="AQ299" s="1366"/>
      <c r="AR299" s="1366"/>
      <c r="AS299" s="1366"/>
      <c r="AT299" s="1366"/>
      <c r="AU299" s="1366"/>
      <c r="AV299" s="1366"/>
      <c r="AW299" s="1366"/>
      <c r="AX299" s="1366"/>
      <c r="AY299" s="1366"/>
      <c r="AZ299" s="1366"/>
      <c r="BA299" s="1366"/>
      <c r="BB299" s="1366"/>
      <c r="BC299" s="1366"/>
      <c r="BD299" s="1366"/>
      <c r="BE299" s="1366"/>
      <c r="BF299" s="1366"/>
      <c r="BG299" s="1366"/>
      <c r="BH299" s="1366"/>
      <c r="BI299" s="1366"/>
      <c r="BJ299" s="1366"/>
      <c r="BK299" s="1366"/>
      <c r="BL299" s="1366"/>
      <c r="BM299" s="1366"/>
      <c r="BN299" s="1366"/>
      <c r="BO299" s="1366"/>
      <c r="BP299" s="1366"/>
      <c r="BQ299" s="1366"/>
      <c r="BR299" s="1366"/>
      <c r="BS299" s="1366"/>
      <c r="BT299" s="1366"/>
      <c r="BU299" s="1366"/>
      <c r="BV299" s="1366"/>
      <c r="BW299" s="1366"/>
      <c r="BX299" s="1366"/>
      <c r="BY299" s="1366"/>
      <c r="BZ299" s="1366"/>
      <c r="CA299" s="1366"/>
      <c r="CB299" s="1366"/>
      <c r="CC299" s="1366"/>
      <c r="CD299" s="1366"/>
      <c r="CE299" s="1366"/>
      <c r="CF299" s="1366"/>
      <c r="CG299" s="1366"/>
      <c r="CH299" s="1366"/>
      <c r="CI299" s="1366"/>
      <c r="CJ299" s="1366"/>
      <c r="CK299" s="1366"/>
      <c r="CL299" s="1366"/>
      <c r="CM299" s="1366"/>
      <c r="CN299" s="1366"/>
      <c r="CO299" s="1366"/>
      <c r="CP299" s="1366"/>
      <c r="CQ299" s="1366"/>
      <c r="CR299" s="1366"/>
      <c r="CS299" s="1366"/>
      <c r="CT299" s="1366"/>
      <c r="CU299" s="1366"/>
      <c r="CV299" s="1366"/>
      <c r="CW299" s="1366"/>
      <c r="CX299" s="1366"/>
      <c r="CY299" s="1366"/>
      <c r="CZ299" s="1366"/>
      <c r="DA299" s="1366"/>
      <c r="DB299" s="1366"/>
      <c r="DC299" s="1366"/>
      <c r="DD299" s="1366"/>
      <c r="DE299" s="1366"/>
      <c r="DF299" s="1366"/>
      <c r="DG299" s="1366"/>
      <c r="DH299" s="1366"/>
      <c r="DI299" s="1366"/>
      <c r="DJ299" s="1366"/>
      <c r="DK299" s="1366"/>
      <c r="DL299" s="1366"/>
      <c r="DM299" s="1366"/>
      <c r="DN299" s="1366"/>
      <c r="DO299" s="1366"/>
      <c r="DP299" s="1366"/>
      <c r="DQ299" s="1366"/>
      <c r="DR299" s="1366"/>
      <c r="DS299" s="1366"/>
      <c r="DT299" s="1366"/>
      <c r="DU299" s="1366"/>
      <c r="DV299" s="1366"/>
    </row>
    <row r="300" spans="1:126" s="1367" customFormat="1" ht="30">
      <c r="A300" s="2494"/>
      <c r="B300" s="1653">
        <v>57</v>
      </c>
      <c r="C300" s="1642" t="s">
        <v>49</v>
      </c>
      <c r="D300" s="1375" t="s">
        <v>2232</v>
      </c>
      <c r="E300" s="1364" t="s">
        <v>2097</v>
      </c>
      <c r="F300" s="1364" t="s">
        <v>2108</v>
      </c>
      <c r="G300" s="1185" t="s">
        <v>1796</v>
      </c>
      <c r="H300" s="1515">
        <f>((14.5*'Equipment Results Matrix'!$R$764)+('Equipment Results Matrix'!$R$763*60000)+'Equipment Results Matrix'!$R$765+'Equipment Results Matrix'!$T$770)*(1+'Equipment Results Matrix'!$T$772)</f>
        <v>4682.8350607368002</v>
      </c>
      <c r="I300" s="1371">
        <f>'Labor Results Matrix'!$E$261*5</f>
        <v>31.353832233535051</v>
      </c>
      <c r="J300" s="1372">
        <f>'Labor Results Matrix'!$G$262*(1+'Labor Results Matrix'!$K$261)</f>
        <v>90.240814722392955</v>
      </c>
      <c r="K300" s="1372">
        <f t="shared" si="102"/>
        <v>2829.3953654234288</v>
      </c>
      <c r="L300" s="1372">
        <f>((('Labor Results Matrix'!$I$261+'Labor Results Matrix'!$I$262)*5)+'Labor Results Matrix'!$J$261)*(1+'Labor Results Matrix'!$K$261)</f>
        <v>2922.2310622846508</v>
      </c>
      <c r="M300" s="1372">
        <f t="shared" si="103"/>
        <v>10434.46148844488</v>
      </c>
      <c r="N300" s="1455" t="s">
        <v>380</v>
      </c>
      <c r="O300" s="1361">
        <f>H300/60</f>
        <v>78.04725101228</v>
      </c>
      <c r="P300" s="1371">
        <f>'Labor Results Matrix'!$E$261/12</f>
        <v>0.52256387055891751</v>
      </c>
      <c r="Q300" s="1372">
        <f>('Labor Results Matrix'!$H$261/12)*(1+'Labor Results Matrix'!$K$261)</f>
        <v>47.156589423723815</v>
      </c>
      <c r="R300" s="1372">
        <f>(('Labor Results Matrix'!$I$261+'Labor Results Matrix'!$I$262)/12)*(1+'Labor Results Matrix'!$K$261)</f>
        <v>35.988318284260423</v>
      </c>
      <c r="S300" s="1372">
        <f>'Labor Results Matrix'!$J$261*(1+'Labor Results Matrix'!$K$261)</f>
        <v>762.93196522902554</v>
      </c>
      <c r="T300" s="1372">
        <f t="shared" si="105"/>
        <v>161.19215872026425</v>
      </c>
      <c r="U300" s="1417" t="s">
        <v>380</v>
      </c>
      <c r="V300" s="1455" t="s">
        <v>380</v>
      </c>
      <c r="W300" s="1366"/>
      <c r="X300" s="1366"/>
      <c r="Y300" s="1366"/>
      <c r="Z300" s="1366"/>
      <c r="AA300" s="1366"/>
      <c r="AB300" s="1366"/>
      <c r="AC300" s="1366"/>
      <c r="AD300" s="1366"/>
      <c r="AE300" s="1366"/>
      <c r="AF300" s="1366"/>
      <c r="AG300" s="1366"/>
      <c r="AH300" s="1366"/>
      <c r="AI300" s="1366"/>
      <c r="AJ300" s="1366"/>
      <c r="AK300" s="1366"/>
      <c r="AL300" s="1366"/>
      <c r="AM300" s="1366"/>
      <c r="AN300" s="1366"/>
      <c r="AO300" s="1366"/>
      <c r="AP300" s="1366"/>
      <c r="AQ300" s="1366"/>
      <c r="AR300" s="1366"/>
      <c r="AS300" s="1366"/>
      <c r="AT300" s="1366"/>
      <c r="AU300" s="1366"/>
      <c r="AV300" s="1366"/>
      <c r="AW300" s="1366"/>
      <c r="AX300" s="1366"/>
      <c r="AY300" s="1366"/>
      <c r="AZ300" s="1366"/>
      <c r="BA300" s="1366"/>
      <c r="BB300" s="1366"/>
      <c r="BC300" s="1366"/>
      <c r="BD300" s="1366"/>
      <c r="BE300" s="1366"/>
      <c r="BF300" s="1366"/>
      <c r="BG300" s="1366"/>
      <c r="BH300" s="1366"/>
      <c r="BI300" s="1366"/>
      <c r="BJ300" s="1366"/>
      <c r="BK300" s="1366"/>
      <c r="BL300" s="1366"/>
      <c r="BM300" s="1366"/>
      <c r="BN300" s="1366"/>
      <c r="BO300" s="1366"/>
      <c r="BP300" s="1366"/>
      <c r="BQ300" s="1366"/>
      <c r="BR300" s="1366"/>
      <c r="BS300" s="1366"/>
      <c r="BT300" s="1366"/>
      <c r="BU300" s="1366"/>
      <c r="BV300" s="1366"/>
      <c r="BW300" s="1366"/>
      <c r="BX300" s="1366"/>
      <c r="BY300" s="1366"/>
      <c r="BZ300" s="1366"/>
      <c r="CA300" s="1366"/>
      <c r="CB300" s="1366"/>
      <c r="CC300" s="1366"/>
      <c r="CD300" s="1366"/>
      <c r="CE300" s="1366"/>
      <c r="CF300" s="1366"/>
      <c r="CG300" s="1366"/>
      <c r="CH300" s="1366"/>
      <c r="CI300" s="1366"/>
      <c r="CJ300" s="1366"/>
      <c r="CK300" s="1366"/>
      <c r="CL300" s="1366"/>
      <c r="CM300" s="1366"/>
      <c r="CN300" s="1366"/>
      <c r="CO300" s="1366"/>
      <c r="CP300" s="1366"/>
      <c r="CQ300" s="1366"/>
      <c r="CR300" s="1366"/>
      <c r="CS300" s="1366"/>
      <c r="CT300" s="1366"/>
      <c r="CU300" s="1366"/>
      <c r="CV300" s="1366"/>
      <c r="CW300" s="1366"/>
      <c r="CX300" s="1366"/>
      <c r="CY300" s="1366"/>
      <c r="CZ300" s="1366"/>
      <c r="DA300" s="1366"/>
      <c r="DB300" s="1366"/>
      <c r="DC300" s="1366"/>
      <c r="DD300" s="1366"/>
      <c r="DE300" s="1366"/>
      <c r="DF300" s="1366"/>
      <c r="DG300" s="1366"/>
      <c r="DH300" s="1366"/>
      <c r="DI300" s="1366"/>
      <c r="DJ300" s="1366"/>
      <c r="DK300" s="1366"/>
      <c r="DL300" s="1366"/>
      <c r="DM300" s="1366"/>
      <c r="DN300" s="1366"/>
      <c r="DO300" s="1366"/>
      <c r="DP300" s="1366"/>
      <c r="DQ300" s="1366"/>
      <c r="DR300" s="1366"/>
      <c r="DS300" s="1366"/>
      <c r="DT300" s="1366"/>
      <c r="DU300" s="1366"/>
      <c r="DV300" s="1366"/>
    </row>
    <row r="301" spans="1:126" s="1367" customFormat="1" ht="30">
      <c r="A301" s="2494"/>
      <c r="B301" s="1653">
        <v>58</v>
      </c>
      <c r="C301" s="1642" t="s">
        <v>49</v>
      </c>
      <c r="D301" s="1375" t="s">
        <v>2233</v>
      </c>
      <c r="E301" s="1364" t="s">
        <v>2097</v>
      </c>
      <c r="F301" s="1364" t="s">
        <v>2108</v>
      </c>
      <c r="G301" s="1185" t="s">
        <v>1796</v>
      </c>
      <c r="H301" s="1515">
        <f>((13*'Equipment Results Matrix'!$R$764)+('Equipment Results Matrix'!$R$763*60000)+'Equipment Results Matrix'!$R$765+'Equipment Results Matrix'!$T$770)*(1+'Equipment Results Matrix'!$T$772)</f>
        <v>4044.0009559367995</v>
      </c>
      <c r="I301" s="1371">
        <f>'Labor Results Matrix'!$E$261*5</f>
        <v>31.353832233535051</v>
      </c>
      <c r="J301" s="1372">
        <f>'Labor Results Matrix'!$G$262*(1+'Labor Results Matrix'!$K$261)</f>
        <v>90.240814722392955</v>
      </c>
      <c r="K301" s="1372">
        <f t="shared" si="102"/>
        <v>2829.3953654234288</v>
      </c>
      <c r="L301" s="1372">
        <f>((('Labor Results Matrix'!$I$261+'Labor Results Matrix'!$I$262)*5)+'Labor Results Matrix'!$J$261)*(1+'Labor Results Matrix'!$K$261)</f>
        <v>2922.2310622846508</v>
      </c>
      <c r="M301" s="1372">
        <f t="shared" si="103"/>
        <v>9795.6273836448781</v>
      </c>
      <c r="N301" s="1455" t="s">
        <v>380</v>
      </c>
      <c r="O301" s="1361">
        <f t="shared" ref="O301:O303" si="106">H301/60</f>
        <v>67.400015932279999</v>
      </c>
      <c r="P301" s="1371">
        <f>'Labor Results Matrix'!$E$261/12</f>
        <v>0.52256387055891751</v>
      </c>
      <c r="Q301" s="1372">
        <f>('Labor Results Matrix'!$H$261/12)*(1+'Labor Results Matrix'!$K$261)</f>
        <v>47.156589423723815</v>
      </c>
      <c r="R301" s="1372">
        <f>(('Labor Results Matrix'!$I$261+'Labor Results Matrix'!$I$262)/12)*(1+'Labor Results Matrix'!$K$261)</f>
        <v>35.988318284260423</v>
      </c>
      <c r="S301" s="1372">
        <f>'Labor Results Matrix'!$J$261*(1+'Labor Results Matrix'!$K$261)</f>
        <v>762.93196522902554</v>
      </c>
      <c r="T301" s="1372">
        <f t="shared" si="105"/>
        <v>150.54492364026424</v>
      </c>
      <c r="U301" s="1417" t="s">
        <v>380</v>
      </c>
      <c r="V301" s="1455" t="s">
        <v>380</v>
      </c>
      <c r="W301" s="1366"/>
      <c r="X301" s="1366"/>
      <c r="Y301" s="1366"/>
      <c r="Z301" s="1366"/>
      <c r="AA301" s="1366"/>
      <c r="AB301" s="1366"/>
      <c r="AC301" s="1366"/>
      <c r="AD301" s="1366"/>
      <c r="AE301" s="1366"/>
      <c r="AF301" s="1366"/>
      <c r="AG301" s="1366"/>
      <c r="AH301" s="1366"/>
      <c r="AI301" s="1366"/>
      <c r="AJ301" s="1366"/>
      <c r="AK301" s="1366"/>
      <c r="AL301" s="1366"/>
      <c r="AM301" s="1366"/>
      <c r="AN301" s="1366"/>
      <c r="AO301" s="1366"/>
      <c r="AP301" s="1366"/>
      <c r="AQ301" s="1366"/>
      <c r="AR301" s="1366"/>
      <c r="AS301" s="1366"/>
      <c r="AT301" s="1366"/>
      <c r="AU301" s="1366"/>
      <c r="AV301" s="1366"/>
      <c r="AW301" s="1366"/>
      <c r="AX301" s="1366"/>
      <c r="AY301" s="1366"/>
      <c r="AZ301" s="1366"/>
      <c r="BA301" s="1366"/>
      <c r="BB301" s="1366"/>
      <c r="BC301" s="1366"/>
      <c r="BD301" s="1366"/>
      <c r="BE301" s="1366"/>
      <c r="BF301" s="1366"/>
      <c r="BG301" s="1366"/>
      <c r="BH301" s="1366"/>
      <c r="BI301" s="1366"/>
      <c r="BJ301" s="1366"/>
      <c r="BK301" s="1366"/>
      <c r="BL301" s="1366"/>
      <c r="BM301" s="1366"/>
      <c r="BN301" s="1366"/>
      <c r="BO301" s="1366"/>
      <c r="BP301" s="1366"/>
      <c r="BQ301" s="1366"/>
      <c r="BR301" s="1366"/>
      <c r="BS301" s="1366"/>
      <c r="BT301" s="1366"/>
      <c r="BU301" s="1366"/>
      <c r="BV301" s="1366"/>
      <c r="BW301" s="1366"/>
      <c r="BX301" s="1366"/>
      <c r="BY301" s="1366"/>
      <c r="BZ301" s="1366"/>
      <c r="CA301" s="1366"/>
      <c r="CB301" s="1366"/>
      <c r="CC301" s="1366"/>
      <c r="CD301" s="1366"/>
      <c r="CE301" s="1366"/>
      <c r="CF301" s="1366"/>
      <c r="CG301" s="1366"/>
      <c r="CH301" s="1366"/>
      <c r="CI301" s="1366"/>
      <c r="CJ301" s="1366"/>
      <c r="CK301" s="1366"/>
      <c r="CL301" s="1366"/>
      <c r="CM301" s="1366"/>
      <c r="CN301" s="1366"/>
      <c r="CO301" s="1366"/>
      <c r="CP301" s="1366"/>
      <c r="CQ301" s="1366"/>
      <c r="CR301" s="1366"/>
      <c r="CS301" s="1366"/>
      <c r="CT301" s="1366"/>
      <c r="CU301" s="1366"/>
      <c r="CV301" s="1366"/>
      <c r="CW301" s="1366"/>
      <c r="CX301" s="1366"/>
      <c r="CY301" s="1366"/>
      <c r="CZ301" s="1366"/>
      <c r="DA301" s="1366"/>
      <c r="DB301" s="1366"/>
      <c r="DC301" s="1366"/>
      <c r="DD301" s="1366"/>
      <c r="DE301" s="1366"/>
      <c r="DF301" s="1366"/>
      <c r="DG301" s="1366"/>
      <c r="DH301" s="1366"/>
      <c r="DI301" s="1366"/>
      <c r="DJ301" s="1366"/>
      <c r="DK301" s="1366"/>
      <c r="DL301" s="1366"/>
      <c r="DM301" s="1366"/>
      <c r="DN301" s="1366"/>
      <c r="DO301" s="1366"/>
      <c r="DP301" s="1366"/>
      <c r="DQ301" s="1366"/>
      <c r="DR301" s="1366"/>
      <c r="DS301" s="1366"/>
      <c r="DT301" s="1366"/>
      <c r="DU301" s="1366"/>
      <c r="DV301" s="1366"/>
    </row>
    <row r="302" spans="1:126" s="1367" customFormat="1" ht="30">
      <c r="A302" s="2494"/>
      <c r="B302" s="1653">
        <v>59</v>
      </c>
      <c r="C302" s="1642" t="s">
        <v>49</v>
      </c>
      <c r="D302" s="1375" t="s">
        <v>2234</v>
      </c>
      <c r="E302" s="1364" t="s">
        <v>2097</v>
      </c>
      <c r="F302" s="1364" t="s">
        <v>2108</v>
      </c>
      <c r="G302" s="1185" t="s">
        <v>1796</v>
      </c>
      <c r="H302" s="1515">
        <f>((14*'Equipment Results Matrix'!$R$764)+('Equipment Results Matrix'!$R$763*60000)+'Equipment Results Matrix'!$R$765+'Equipment Results Matrix'!$T$770)*(1+'Equipment Results Matrix'!$T$772)</f>
        <v>4469.8903591367998</v>
      </c>
      <c r="I302" s="1371">
        <f>'Labor Results Matrix'!$E$261*5</f>
        <v>31.353832233535051</v>
      </c>
      <c r="J302" s="1372">
        <f>'Labor Results Matrix'!$G$262*(1+'Labor Results Matrix'!$K$261)</f>
        <v>90.240814722392955</v>
      </c>
      <c r="K302" s="1372">
        <f t="shared" si="102"/>
        <v>2829.3953654234288</v>
      </c>
      <c r="L302" s="1372">
        <f>((('Labor Results Matrix'!$I$261+'Labor Results Matrix'!$I$262)*5)+'Labor Results Matrix'!$J$261)*(1+'Labor Results Matrix'!$K$261)</f>
        <v>2922.2310622846508</v>
      </c>
      <c r="M302" s="1372">
        <f t="shared" si="103"/>
        <v>10221.516786844879</v>
      </c>
      <c r="N302" s="1455" t="s">
        <v>380</v>
      </c>
      <c r="O302" s="1361">
        <f t="shared" si="106"/>
        <v>74.49817265227999</v>
      </c>
      <c r="P302" s="1371">
        <f>'Labor Results Matrix'!$E$261/12</f>
        <v>0.52256387055891751</v>
      </c>
      <c r="Q302" s="1372">
        <f>('Labor Results Matrix'!$H$261/12)*(1+'Labor Results Matrix'!$K$261)</f>
        <v>47.156589423723815</v>
      </c>
      <c r="R302" s="1372">
        <f>(('Labor Results Matrix'!$I$261+'Labor Results Matrix'!$I$262)/12)*(1+'Labor Results Matrix'!$K$261)</f>
        <v>35.988318284260423</v>
      </c>
      <c r="S302" s="1372">
        <f>'Labor Results Matrix'!$J$261*(1+'Labor Results Matrix'!$K$261)</f>
        <v>762.93196522902554</v>
      </c>
      <c r="T302" s="1372">
        <f t="shared" si="105"/>
        <v>157.64308036026424</v>
      </c>
      <c r="U302" s="1417" t="s">
        <v>380</v>
      </c>
      <c r="V302" s="1455" t="s">
        <v>380</v>
      </c>
      <c r="W302" s="1366"/>
      <c r="X302" s="1366"/>
      <c r="Y302" s="1366"/>
      <c r="Z302" s="1366"/>
      <c r="AA302" s="1366"/>
      <c r="AB302" s="1366"/>
      <c r="AC302" s="1366"/>
      <c r="AD302" s="1366"/>
      <c r="AE302" s="1366"/>
      <c r="AF302" s="1366"/>
      <c r="AG302" s="1366"/>
      <c r="AH302" s="1366"/>
      <c r="AI302" s="1366"/>
      <c r="AJ302" s="1366"/>
      <c r="AK302" s="1366"/>
      <c r="AL302" s="1366"/>
      <c r="AM302" s="1366"/>
      <c r="AN302" s="1366"/>
      <c r="AO302" s="1366"/>
      <c r="AP302" s="1366"/>
      <c r="AQ302" s="1366"/>
      <c r="AR302" s="1366"/>
      <c r="AS302" s="1366"/>
      <c r="AT302" s="1366"/>
      <c r="AU302" s="1366"/>
      <c r="AV302" s="1366"/>
      <c r="AW302" s="1366"/>
      <c r="AX302" s="1366"/>
      <c r="AY302" s="1366"/>
      <c r="AZ302" s="1366"/>
      <c r="BA302" s="1366"/>
      <c r="BB302" s="1366"/>
      <c r="BC302" s="1366"/>
      <c r="BD302" s="1366"/>
      <c r="BE302" s="1366"/>
      <c r="BF302" s="1366"/>
      <c r="BG302" s="1366"/>
      <c r="BH302" s="1366"/>
      <c r="BI302" s="1366"/>
      <c r="BJ302" s="1366"/>
      <c r="BK302" s="1366"/>
      <c r="BL302" s="1366"/>
      <c r="BM302" s="1366"/>
      <c r="BN302" s="1366"/>
      <c r="BO302" s="1366"/>
      <c r="BP302" s="1366"/>
      <c r="BQ302" s="1366"/>
      <c r="BR302" s="1366"/>
      <c r="BS302" s="1366"/>
      <c r="BT302" s="1366"/>
      <c r="BU302" s="1366"/>
      <c r="BV302" s="1366"/>
      <c r="BW302" s="1366"/>
      <c r="BX302" s="1366"/>
      <c r="BY302" s="1366"/>
      <c r="BZ302" s="1366"/>
      <c r="CA302" s="1366"/>
      <c r="CB302" s="1366"/>
      <c r="CC302" s="1366"/>
      <c r="CD302" s="1366"/>
      <c r="CE302" s="1366"/>
      <c r="CF302" s="1366"/>
      <c r="CG302" s="1366"/>
      <c r="CH302" s="1366"/>
      <c r="CI302" s="1366"/>
      <c r="CJ302" s="1366"/>
      <c r="CK302" s="1366"/>
      <c r="CL302" s="1366"/>
      <c r="CM302" s="1366"/>
      <c r="CN302" s="1366"/>
      <c r="CO302" s="1366"/>
      <c r="CP302" s="1366"/>
      <c r="CQ302" s="1366"/>
      <c r="CR302" s="1366"/>
      <c r="CS302" s="1366"/>
      <c r="CT302" s="1366"/>
      <c r="CU302" s="1366"/>
      <c r="CV302" s="1366"/>
      <c r="CW302" s="1366"/>
      <c r="CX302" s="1366"/>
      <c r="CY302" s="1366"/>
      <c r="CZ302" s="1366"/>
      <c r="DA302" s="1366"/>
      <c r="DB302" s="1366"/>
      <c r="DC302" s="1366"/>
      <c r="DD302" s="1366"/>
      <c r="DE302" s="1366"/>
      <c r="DF302" s="1366"/>
      <c r="DG302" s="1366"/>
      <c r="DH302" s="1366"/>
      <c r="DI302" s="1366"/>
      <c r="DJ302" s="1366"/>
      <c r="DK302" s="1366"/>
      <c r="DL302" s="1366"/>
      <c r="DM302" s="1366"/>
      <c r="DN302" s="1366"/>
      <c r="DO302" s="1366"/>
      <c r="DP302" s="1366"/>
      <c r="DQ302" s="1366"/>
      <c r="DR302" s="1366"/>
      <c r="DS302" s="1366"/>
      <c r="DT302" s="1366"/>
      <c r="DU302" s="1366"/>
      <c r="DV302" s="1366"/>
    </row>
    <row r="303" spans="1:126" s="1367" customFormat="1" ht="30.75" thickBot="1">
      <c r="A303" s="2494"/>
      <c r="B303" s="1653">
        <v>60</v>
      </c>
      <c r="C303" s="1642" t="s">
        <v>49</v>
      </c>
      <c r="D303" s="1375" t="s">
        <v>2235</v>
      </c>
      <c r="E303" s="1364" t="s">
        <v>2097</v>
      </c>
      <c r="F303" s="1364" t="s">
        <v>2108</v>
      </c>
      <c r="G303" s="1185" t="s">
        <v>1796</v>
      </c>
      <c r="H303" s="1515">
        <f>((15*'Equipment Results Matrix'!$R$764)+('Equipment Results Matrix'!$R$763*60000)+'Equipment Results Matrix'!$R$765+'Equipment Results Matrix'!$T$770)*(1+'Equipment Results Matrix'!$T$772)</f>
        <v>4895.7797623367987</v>
      </c>
      <c r="I303" s="1371">
        <f>'Labor Results Matrix'!$E$261*5</f>
        <v>31.353832233535051</v>
      </c>
      <c r="J303" s="1372">
        <f>'Labor Results Matrix'!$G$262*(1+'Labor Results Matrix'!$K$261)</f>
        <v>90.240814722392955</v>
      </c>
      <c r="K303" s="1372">
        <f t="shared" si="102"/>
        <v>2829.3953654234288</v>
      </c>
      <c r="L303" s="1372">
        <f>((('Labor Results Matrix'!$I$261+'Labor Results Matrix'!$I$262)*5)+'Labor Results Matrix'!$J$261)*(1+'Labor Results Matrix'!$K$261)</f>
        <v>2922.2310622846508</v>
      </c>
      <c r="M303" s="1372">
        <f t="shared" si="103"/>
        <v>10647.406190044878</v>
      </c>
      <c r="N303" s="1455" t="s">
        <v>380</v>
      </c>
      <c r="O303" s="1361">
        <f t="shared" si="106"/>
        <v>81.596329372279982</v>
      </c>
      <c r="P303" s="1371">
        <f>'Labor Results Matrix'!$E$261/12</f>
        <v>0.52256387055891751</v>
      </c>
      <c r="Q303" s="1372">
        <f>('Labor Results Matrix'!$H$261/12)*(1+'Labor Results Matrix'!$K$261)</f>
        <v>47.156589423723815</v>
      </c>
      <c r="R303" s="1372">
        <f>(('Labor Results Matrix'!$I$261+'Labor Results Matrix'!$I$262)/12)*(1+'Labor Results Matrix'!$K$261)</f>
        <v>35.988318284260423</v>
      </c>
      <c r="S303" s="1372">
        <f>'Labor Results Matrix'!$J$261*(1+'Labor Results Matrix'!$K$261)</f>
        <v>762.93196522902554</v>
      </c>
      <c r="T303" s="1372">
        <f t="shared" si="105"/>
        <v>164.74123708026423</v>
      </c>
      <c r="U303" s="1417" t="s">
        <v>380</v>
      </c>
      <c r="V303" s="1455" t="s">
        <v>380</v>
      </c>
      <c r="W303" s="1366"/>
      <c r="X303" s="1366"/>
      <c r="Y303" s="1366"/>
      <c r="Z303" s="1366"/>
      <c r="AA303" s="1366"/>
      <c r="AB303" s="1366"/>
      <c r="AC303" s="1366"/>
      <c r="AD303" s="1366"/>
      <c r="AE303" s="1366"/>
      <c r="AF303" s="1366"/>
      <c r="AG303" s="1366"/>
      <c r="AH303" s="1366"/>
      <c r="AI303" s="1366"/>
      <c r="AJ303" s="1366"/>
      <c r="AK303" s="1366"/>
      <c r="AL303" s="1366"/>
      <c r="AM303" s="1366"/>
      <c r="AN303" s="1366"/>
      <c r="AO303" s="1366"/>
      <c r="AP303" s="1366"/>
      <c r="AQ303" s="1366"/>
      <c r="AR303" s="1366"/>
      <c r="AS303" s="1366"/>
      <c r="AT303" s="1366"/>
      <c r="AU303" s="1366"/>
      <c r="AV303" s="1366"/>
      <c r="AW303" s="1366"/>
      <c r="AX303" s="1366"/>
      <c r="AY303" s="1366"/>
      <c r="AZ303" s="1366"/>
      <c r="BA303" s="1366"/>
      <c r="BB303" s="1366"/>
      <c r="BC303" s="1366"/>
      <c r="BD303" s="1366"/>
      <c r="BE303" s="1366"/>
      <c r="BF303" s="1366"/>
      <c r="BG303" s="1366"/>
      <c r="BH303" s="1366"/>
      <c r="BI303" s="1366"/>
      <c r="BJ303" s="1366"/>
      <c r="BK303" s="1366"/>
      <c r="BL303" s="1366"/>
      <c r="BM303" s="1366"/>
      <c r="BN303" s="1366"/>
      <c r="BO303" s="1366"/>
      <c r="BP303" s="1366"/>
      <c r="BQ303" s="1366"/>
      <c r="BR303" s="1366"/>
      <c r="BS303" s="1366"/>
      <c r="BT303" s="1366"/>
      <c r="BU303" s="1366"/>
      <c r="BV303" s="1366"/>
      <c r="BW303" s="1366"/>
      <c r="BX303" s="1366"/>
      <c r="BY303" s="1366"/>
      <c r="BZ303" s="1366"/>
      <c r="CA303" s="1366"/>
      <c r="CB303" s="1366"/>
      <c r="CC303" s="1366"/>
      <c r="CD303" s="1366"/>
      <c r="CE303" s="1366"/>
      <c r="CF303" s="1366"/>
      <c r="CG303" s="1366"/>
      <c r="CH303" s="1366"/>
      <c r="CI303" s="1366"/>
      <c r="CJ303" s="1366"/>
      <c r="CK303" s="1366"/>
      <c r="CL303" s="1366"/>
      <c r="CM303" s="1366"/>
      <c r="CN303" s="1366"/>
      <c r="CO303" s="1366"/>
      <c r="CP303" s="1366"/>
      <c r="CQ303" s="1366"/>
      <c r="CR303" s="1366"/>
      <c r="CS303" s="1366"/>
      <c r="CT303" s="1366"/>
      <c r="CU303" s="1366"/>
      <c r="CV303" s="1366"/>
      <c r="CW303" s="1366"/>
      <c r="CX303" s="1366"/>
      <c r="CY303" s="1366"/>
      <c r="CZ303" s="1366"/>
      <c r="DA303" s="1366"/>
      <c r="DB303" s="1366"/>
      <c r="DC303" s="1366"/>
      <c r="DD303" s="1366"/>
      <c r="DE303" s="1366"/>
      <c r="DF303" s="1366"/>
      <c r="DG303" s="1366"/>
      <c r="DH303" s="1366"/>
      <c r="DI303" s="1366"/>
      <c r="DJ303" s="1366"/>
      <c r="DK303" s="1366"/>
      <c r="DL303" s="1366"/>
      <c r="DM303" s="1366"/>
      <c r="DN303" s="1366"/>
      <c r="DO303" s="1366"/>
      <c r="DP303" s="1366"/>
      <c r="DQ303" s="1366"/>
      <c r="DR303" s="1366"/>
      <c r="DS303" s="1366"/>
      <c r="DT303" s="1366"/>
      <c r="DU303" s="1366"/>
      <c r="DV303" s="1366"/>
    </row>
    <row r="304" spans="1:126" s="1479" customFormat="1" ht="19.5" thickBot="1">
      <c r="A304" s="695"/>
      <c r="B304" s="1652"/>
      <c r="C304" s="1652"/>
      <c r="D304" s="1318"/>
      <c r="E304" s="1318"/>
      <c r="F304" s="1318"/>
      <c r="G304" s="1318"/>
      <c r="H304" s="1389"/>
      <c r="I304" s="1446"/>
      <c r="J304" s="1390"/>
      <c r="K304" s="1389"/>
      <c r="L304" s="1532"/>
      <c r="M304" s="1389"/>
      <c r="N304" s="1497"/>
      <c r="O304" s="1389"/>
      <c r="P304" s="1390"/>
      <c r="Q304" s="1390"/>
      <c r="R304" s="1446"/>
      <c r="S304" s="1446"/>
      <c r="T304" s="1498"/>
      <c r="U304" s="1498"/>
      <c r="V304" s="1497"/>
      <c r="W304" s="1490"/>
      <c r="X304" s="1490"/>
      <c r="Y304" s="327"/>
      <c r="Z304" s="327"/>
      <c r="AA304" s="327"/>
      <c r="AB304" s="1490"/>
      <c r="AC304" s="1490"/>
      <c r="AD304" s="1490"/>
      <c r="AE304" s="1490"/>
      <c r="AF304" s="327"/>
      <c r="AG304" s="327"/>
      <c r="AH304" s="327"/>
      <c r="AI304" s="327"/>
      <c r="AJ304" s="327"/>
      <c r="AK304" s="1478"/>
      <c r="AL304" s="1478"/>
      <c r="AM304" s="1478"/>
      <c r="AN304" s="1478"/>
      <c r="AO304" s="1478"/>
      <c r="AP304" s="1478"/>
      <c r="AQ304" s="1478"/>
      <c r="AR304" s="1478"/>
      <c r="AS304" s="1478"/>
      <c r="AT304" s="1478"/>
      <c r="AU304" s="1478"/>
      <c r="AV304" s="1478"/>
      <c r="AW304" s="1478"/>
      <c r="AX304" s="1478"/>
      <c r="AY304" s="1478"/>
      <c r="AZ304" s="1478"/>
      <c r="BA304" s="1478"/>
      <c r="BB304" s="1478"/>
      <c r="BC304" s="1478"/>
      <c r="BD304" s="1478"/>
      <c r="BE304" s="1478"/>
      <c r="BF304" s="1478"/>
      <c r="BG304" s="1478"/>
      <c r="BH304" s="1478"/>
      <c r="BI304" s="1478"/>
      <c r="BJ304" s="1478"/>
      <c r="BK304" s="327"/>
      <c r="BL304" s="327"/>
      <c r="BM304" s="327"/>
      <c r="BN304" s="327"/>
      <c r="BO304" s="327"/>
      <c r="BP304" s="327"/>
      <c r="BQ304" s="327"/>
      <c r="BR304" s="327"/>
      <c r="BS304" s="327"/>
      <c r="BT304" s="327"/>
      <c r="BU304" s="327"/>
      <c r="BV304" s="327"/>
      <c r="BW304" s="327"/>
      <c r="BX304" s="327"/>
      <c r="BY304" s="327"/>
      <c r="BZ304" s="327"/>
      <c r="CA304" s="327"/>
      <c r="CB304" s="327"/>
      <c r="CC304" s="327"/>
      <c r="CD304" s="327"/>
      <c r="CE304" s="327"/>
      <c r="CF304" s="327"/>
      <c r="CG304" s="327"/>
      <c r="CH304" s="327"/>
      <c r="CI304" s="327"/>
      <c r="CJ304" s="327"/>
      <c r="CK304" s="327"/>
      <c r="CL304" s="327"/>
      <c r="CM304" s="327"/>
      <c r="CN304" s="327"/>
      <c r="CO304" s="327"/>
      <c r="CP304" s="327"/>
      <c r="CQ304" s="327"/>
      <c r="CR304" s="327"/>
      <c r="CS304" s="327"/>
      <c r="CT304" s="327"/>
      <c r="CU304" s="327"/>
      <c r="CV304" s="327"/>
      <c r="CW304" s="327"/>
      <c r="CX304" s="327"/>
      <c r="CY304" s="327"/>
      <c r="CZ304" s="327"/>
      <c r="DA304" s="327"/>
      <c r="DB304" s="327"/>
      <c r="DC304" s="327"/>
      <c r="DD304" s="327"/>
      <c r="DE304" s="327"/>
      <c r="DF304" s="327"/>
      <c r="DG304" s="327"/>
      <c r="DH304" s="327"/>
      <c r="DI304" s="327"/>
      <c r="DJ304" s="327"/>
      <c r="DK304" s="327"/>
      <c r="DL304" s="327"/>
      <c r="DM304" s="327"/>
      <c r="DN304" s="327"/>
      <c r="DO304" s="327"/>
      <c r="DP304" s="327"/>
      <c r="DQ304" s="327"/>
      <c r="DR304" s="327"/>
      <c r="DS304" s="327"/>
      <c r="DT304" s="327"/>
      <c r="DU304" s="327"/>
      <c r="DV304" s="327"/>
    </row>
    <row r="305" spans="1:126" s="1367" customFormat="1">
      <c r="A305" s="2493" t="s">
        <v>1139</v>
      </c>
      <c r="B305" s="1653" t="s">
        <v>2661</v>
      </c>
      <c r="C305" s="1642" t="s">
        <v>47</v>
      </c>
      <c r="D305" s="1375" t="s">
        <v>2112</v>
      </c>
      <c r="E305" s="1364" t="s">
        <v>2097</v>
      </c>
      <c r="F305" s="1364" t="s">
        <v>2108</v>
      </c>
      <c r="G305" s="1185" t="s">
        <v>1796</v>
      </c>
      <c r="H305" s="1494" t="s">
        <v>380</v>
      </c>
      <c r="I305" s="1371" t="s">
        <v>380</v>
      </c>
      <c r="J305" s="1417" t="s">
        <v>380</v>
      </c>
      <c r="K305" s="1417" t="s">
        <v>380</v>
      </c>
      <c r="L305" s="1372" t="s">
        <v>380</v>
      </c>
      <c r="M305" s="1417" t="s">
        <v>380</v>
      </c>
      <c r="N305" s="1455" t="s">
        <v>380</v>
      </c>
      <c r="O305" s="1494" t="s">
        <v>380</v>
      </c>
      <c r="P305" s="1417" t="s">
        <v>380</v>
      </c>
      <c r="Q305" s="1417" t="s">
        <v>380</v>
      </c>
      <c r="R305" s="1417" t="s">
        <v>380</v>
      </c>
      <c r="S305" s="1417" t="s">
        <v>380</v>
      </c>
      <c r="T305" s="1417" t="s">
        <v>380</v>
      </c>
      <c r="U305" s="1417" t="s">
        <v>40</v>
      </c>
      <c r="V305" s="1455" t="s">
        <v>40</v>
      </c>
      <c r="W305" s="1366"/>
      <c r="X305" s="1366"/>
      <c r="Y305" s="1366"/>
      <c r="Z305" s="1366"/>
      <c r="AA305" s="1366"/>
      <c r="AB305" s="1366"/>
      <c r="AC305" s="1366"/>
      <c r="AD305" s="1366"/>
      <c r="AE305" s="1366"/>
      <c r="AF305" s="1366"/>
      <c r="AG305" s="1366"/>
      <c r="AH305" s="1366"/>
      <c r="AI305" s="1366"/>
      <c r="AJ305" s="1366"/>
      <c r="AK305" s="1366"/>
      <c r="AL305" s="1366"/>
      <c r="AM305" s="1366"/>
      <c r="AN305" s="1366"/>
      <c r="AO305" s="1366"/>
      <c r="AP305" s="1366"/>
      <c r="AQ305" s="1366"/>
      <c r="AR305" s="1366"/>
      <c r="AS305" s="1366"/>
      <c r="AT305" s="1366"/>
      <c r="AU305" s="1366"/>
      <c r="AV305" s="1366"/>
      <c r="AW305" s="1366"/>
      <c r="AX305" s="1366"/>
      <c r="AY305" s="1366"/>
      <c r="AZ305" s="1366"/>
      <c r="BA305" s="1366"/>
      <c r="BB305" s="1366"/>
      <c r="BC305" s="1366"/>
      <c r="BD305" s="1366"/>
      <c r="BE305" s="1366"/>
      <c r="BF305" s="1366"/>
      <c r="BG305" s="1366"/>
      <c r="BH305" s="1366"/>
      <c r="BI305" s="1366"/>
      <c r="BJ305" s="1366"/>
      <c r="BK305" s="1366"/>
      <c r="BL305" s="1366"/>
      <c r="BM305" s="1366"/>
      <c r="BN305" s="1366"/>
      <c r="BO305" s="1366"/>
      <c r="BP305" s="1366"/>
      <c r="BQ305" s="1366"/>
      <c r="BR305" s="1366"/>
      <c r="BS305" s="1366"/>
      <c r="BT305" s="1366"/>
      <c r="BU305" s="1366"/>
      <c r="BV305" s="1366"/>
      <c r="BW305" s="1366"/>
      <c r="BX305" s="1366"/>
      <c r="BY305" s="1366"/>
      <c r="BZ305" s="1366"/>
      <c r="CA305" s="1366"/>
      <c r="CB305" s="1366"/>
      <c r="CC305" s="1366"/>
      <c r="CD305" s="1366"/>
      <c r="CE305" s="1366"/>
      <c r="CF305" s="1366"/>
      <c r="CG305" s="1366"/>
      <c r="CH305" s="1366"/>
      <c r="CI305" s="1366"/>
      <c r="CJ305" s="1366"/>
      <c r="CK305" s="1366"/>
      <c r="CL305" s="1366"/>
      <c r="CM305" s="1366"/>
      <c r="CN305" s="1366"/>
      <c r="CO305" s="1366"/>
      <c r="CP305" s="1366"/>
      <c r="CQ305" s="1366"/>
      <c r="CR305" s="1366"/>
      <c r="CS305" s="1366"/>
      <c r="CT305" s="1366"/>
      <c r="CU305" s="1366"/>
      <c r="CV305" s="1366"/>
      <c r="CW305" s="1366"/>
      <c r="CX305" s="1366"/>
      <c r="CY305" s="1366"/>
      <c r="CZ305" s="1366"/>
      <c r="DA305" s="1366"/>
      <c r="DB305" s="1366"/>
      <c r="DC305" s="1366"/>
      <c r="DD305" s="1366"/>
      <c r="DE305" s="1366"/>
      <c r="DF305" s="1366"/>
      <c r="DG305" s="1366"/>
      <c r="DH305" s="1366"/>
      <c r="DI305" s="1366"/>
      <c r="DJ305" s="1366"/>
      <c r="DK305" s="1366"/>
      <c r="DL305" s="1366"/>
      <c r="DM305" s="1366"/>
      <c r="DN305" s="1366"/>
      <c r="DO305" s="1366"/>
      <c r="DP305" s="1366"/>
      <c r="DQ305" s="1366"/>
      <c r="DR305" s="1366"/>
      <c r="DS305" s="1366"/>
      <c r="DT305" s="1366"/>
      <c r="DU305" s="1366"/>
      <c r="DV305" s="1366"/>
    </row>
    <row r="306" spans="1:126" s="1367" customFormat="1" ht="30">
      <c r="A306" s="2494"/>
      <c r="B306" s="1653">
        <v>29</v>
      </c>
      <c r="C306" s="1642" t="s">
        <v>49</v>
      </c>
      <c r="D306" s="1375" t="s">
        <v>2236</v>
      </c>
      <c r="E306" s="1364" t="s">
        <v>2097</v>
      </c>
      <c r="F306" s="1364" t="s">
        <v>2108</v>
      </c>
      <c r="G306" s="1185" t="s">
        <v>1796</v>
      </c>
      <c r="H306" s="1361">
        <f>((72000*'Equipment Results Matrix'!$R$774)+('Equipment Results Matrix'!$R$775*11.5)+'Equipment Results Matrix'!$R$776+'Equipment Results Matrix'!$R$778+'Equipment Results Matrix'!$T$781)*(1+'Equipment Results Matrix'!$T$783)</f>
        <v>8045.0131304769257</v>
      </c>
      <c r="I306" s="1371">
        <f>'Labor Results Matrix'!$E$274*6</f>
        <v>26.8</v>
      </c>
      <c r="J306" s="1372">
        <f>'Labor Results Matrix'!$G$274*(1+'Labor Results Matrix'!$K$274)</f>
        <v>90.461452411200767</v>
      </c>
      <c r="K306" s="1372">
        <f>J306*I306</f>
        <v>2424.3669246201807</v>
      </c>
      <c r="L306" s="1372">
        <f>('Labor Results Matrix'!$I$274*(1+'Labor Results Matrix'!$K$274)*6)+('Labor Results Matrix'!$J$276*(1+'Labor Results Matrix'!$K$274))</f>
        <v>3221.6419652290256</v>
      </c>
      <c r="M306" s="1372">
        <f>H306+K306+L306</f>
        <v>13691.022020326132</v>
      </c>
      <c r="N306" s="1455" t="s">
        <v>380</v>
      </c>
      <c r="O306" s="1361">
        <f>H306/72</f>
        <v>111.73629347884619</v>
      </c>
      <c r="P306" s="1371">
        <f>'Labor Results Matrix'!$E$274/12</f>
        <v>0.37222222222222223</v>
      </c>
      <c r="Q306" s="1372">
        <f>('Labor Results Matrix'!$H$274/12)*(1+'Labor Results Matrix'!$K$274)</f>
        <v>33.671762841946958</v>
      </c>
      <c r="R306" s="1372">
        <f>('Labor Results Matrix'!$I$274/12)*(1+'Labor Results Matrix'!$K$274)</f>
        <v>34.148749999999993</v>
      </c>
      <c r="S306" s="1372">
        <f>'Labor Results Matrix'!$J$276*(1+'Labor Results Matrix'!$K$274)</f>
        <v>762.93196522902554</v>
      </c>
      <c r="T306" s="1372">
        <f>O306+Q306+R306</f>
        <v>179.55680632079316</v>
      </c>
      <c r="U306" s="1417" t="s">
        <v>380</v>
      </c>
      <c r="V306" s="1455" t="s">
        <v>380</v>
      </c>
      <c r="W306" s="1366"/>
      <c r="X306" s="1366"/>
      <c r="Y306" s="1366"/>
      <c r="Z306" s="1366"/>
      <c r="AA306" s="1366"/>
      <c r="AB306" s="1366"/>
      <c r="AC306" s="1366"/>
      <c r="AD306" s="1366"/>
      <c r="AE306" s="1366"/>
      <c r="AF306" s="1366"/>
      <c r="AG306" s="1366"/>
      <c r="AH306" s="1366"/>
      <c r="AI306" s="1366"/>
      <c r="AJ306" s="1366"/>
      <c r="AK306" s="1366"/>
      <c r="AL306" s="1366"/>
      <c r="AM306" s="1366"/>
      <c r="AN306" s="1366"/>
      <c r="AO306" s="1366"/>
      <c r="AP306" s="1366"/>
      <c r="AQ306" s="1366"/>
      <c r="AR306" s="1366"/>
      <c r="AS306" s="1366"/>
      <c r="AT306" s="1366"/>
      <c r="AU306" s="1366"/>
      <c r="AV306" s="1366"/>
      <c r="AW306" s="1366"/>
      <c r="AX306" s="1366"/>
      <c r="AY306" s="1366"/>
      <c r="AZ306" s="1366"/>
      <c r="BA306" s="1366"/>
      <c r="BB306" s="1366"/>
      <c r="BC306" s="1366"/>
      <c r="BD306" s="1366"/>
      <c r="BE306" s="1366"/>
      <c r="BF306" s="1366"/>
      <c r="BG306" s="1366"/>
      <c r="BH306" s="1366"/>
      <c r="BI306" s="1366"/>
      <c r="BJ306" s="1366"/>
      <c r="BK306" s="1366"/>
      <c r="BL306" s="1366"/>
      <c r="BM306" s="1366"/>
      <c r="BN306" s="1366"/>
      <c r="BO306" s="1366"/>
      <c r="BP306" s="1366"/>
      <c r="BQ306" s="1366"/>
      <c r="BR306" s="1366"/>
      <c r="BS306" s="1366"/>
      <c r="BT306" s="1366"/>
      <c r="BU306" s="1366"/>
      <c r="BV306" s="1366"/>
      <c r="BW306" s="1366"/>
      <c r="BX306" s="1366"/>
      <c r="BY306" s="1366"/>
      <c r="BZ306" s="1366"/>
      <c r="CA306" s="1366"/>
      <c r="CB306" s="1366"/>
      <c r="CC306" s="1366"/>
      <c r="CD306" s="1366"/>
      <c r="CE306" s="1366"/>
      <c r="CF306" s="1366"/>
      <c r="CG306" s="1366"/>
      <c r="CH306" s="1366"/>
      <c r="CI306" s="1366"/>
      <c r="CJ306" s="1366"/>
      <c r="CK306" s="1366"/>
      <c r="CL306" s="1366"/>
      <c r="CM306" s="1366"/>
      <c r="CN306" s="1366"/>
      <c r="CO306" s="1366"/>
      <c r="CP306" s="1366"/>
      <c r="CQ306" s="1366"/>
      <c r="CR306" s="1366"/>
      <c r="CS306" s="1366"/>
      <c r="CT306" s="1366"/>
      <c r="CU306" s="1366"/>
      <c r="CV306" s="1366"/>
      <c r="CW306" s="1366"/>
      <c r="CX306" s="1366"/>
      <c r="CY306" s="1366"/>
      <c r="CZ306" s="1366"/>
      <c r="DA306" s="1366"/>
      <c r="DB306" s="1366"/>
      <c r="DC306" s="1366"/>
      <c r="DD306" s="1366"/>
      <c r="DE306" s="1366"/>
      <c r="DF306" s="1366"/>
      <c r="DG306" s="1366"/>
      <c r="DH306" s="1366"/>
      <c r="DI306" s="1366"/>
      <c r="DJ306" s="1366"/>
      <c r="DK306" s="1366"/>
      <c r="DL306" s="1366"/>
      <c r="DM306" s="1366"/>
      <c r="DN306" s="1366"/>
      <c r="DO306" s="1366"/>
      <c r="DP306" s="1366"/>
      <c r="DQ306" s="1366"/>
      <c r="DR306" s="1366"/>
      <c r="DS306" s="1366"/>
      <c r="DT306" s="1366"/>
      <c r="DU306" s="1366"/>
      <c r="DV306" s="1366"/>
    </row>
    <row r="307" spans="1:126" s="1367" customFormat="1" ht="30">
      <c r="A307" s="2494"/>
      <c r="B307" s="1653">
        <v>30</v>
      </c>
      <c r="C307" s="1642" t="s">
        <v>49</v>
      </c>
      <c r="D307" s="1375" t="s">
        <v>2237</v>
      </c>
      <c r="E307" s="1364" t="s">
        <v>2097</v>
      </c>
      <c r="F307" s="1364" t="s">
        <v>2108</v>
      </c>
      <c r="G307" s="1185" t="s">
        <v>1796</v>
      </c>
      <c r="H307" s="1361">
        <f>((72000*'Equipment Results Matrix'!$R$774)+('Equipment Results Matrix'!$R$775*12)+'Equipment Results Matrix'!$R$776+'Equipment Results Matrix'!$R$778+'Equipment Results Matrix'!$T$781)*(1+'Equipment Results Matrix'!$T$783)</f>
        <v>9019.2697442769222</v>
      </c>
      <c r="I307" s="1371">
        <f>'Labor Results Matrix'!$E$274*6</f>
        <v>26.8</v>
      </c>
      <c r="J307" s="1372">
        <f>'Labor Results Matrix'!$G$274*(1+'Labor Results Matrix'!$K$274)</f>
        <v>90.461452411200767</v>
      </c>
      <c r="K307" s="1372">
        <f t="shared" ref="K307:K317" si="107">J307*I307</f>
        <v>2424.3669246201807</v>
      </c>
      <c r="L307" s="1372">
        <f>('Labor Results Matrix'!$I$274*(1+'Labor Results Matrix'!$K$274)*6)+('Labor Results Matrix'!$J$276*(1+'Labor Results Matrix'!$K$274))</f>
        <v>3221.6419652290256</v>
      </c>
      <c r="M307" s="1372">
        <f t="shared" ref="M307:M317" si="108">H307+K307+L307</f>
        <v>14665.278634126129</v>
      </c>
      <c r="N307" s="1455" t="s">
        <v>380</v>
      </c>
      <c r="O307" s="1361">
        <f t="shared" ref="O307:O309" si="109">H307/72</f>
        <v>125.26763533717947</v>
      </c>
      <c r="P307" s="1371">
        <f>'Labor Results Matrix'!$E$274/12</f>
        <v>0.37222222222222223</v>
      </c>
      <c r="Q307" s="1372">
        <f>('Labor Results Matrix'!$H$274/12)*(1+'Labor Results Matrix'!$K$274)</f>
        <v>33.671762841946958</v>
      </c>
      <c r="R307" s="1372">
        <f>('Labor Results Matrix'!$I$274/12)*(1+'Labor Results Matrix'!$K$274)</f>
        <v>34.148749999999993</v>
      </c>
      <c r="S307" s="1372">
        <f>'Labor Results Matrix'!$J$276*(1+'Labor Results Matrix'!$K$274)</f>
        <v>762.93196522902554</v>
      </c>
      <c r="T307" s="1372">
        <f t="shared" ref="T307:T317" si="110">O307+Q307+R307</f>
        <v>193.08814817912645</v>
      </c>
      <c r="U307" s="1417" t="s">
        <v>380</v>
      </c>
      <c r="V307" s="1455" t="s">
        <v>380</v>
      </c>
      <c r="W307" s="1366"/>
      <c r="X307" s="1366"/>
      <c r="Y307" s="1366"/>
      <c r="Z307" s="1366"/>
      <c r="AA307" s="1366"/>
      <c r="AB307" s="1366"/>
      <c r="AC307" s="1366"/>
      <c r="AD307" s="1366"/>
      <c r="AE307" s="1366"/>
      <c r="AF307" s="1366"/>
      <c r="AG307" s="1366"/>
      <c r="AH307" s="1366"/>
      <c r="AI307" s="1366"/>
      <c r="AJ307" s="1366"/>
      <c r="AK307" s="1366"/>
      <c r="AL307" s="1366"/>
      <c r="AM307" s="1366"/>
      <c r="AN307" s="1366"/>
      <c r="AO307" s="1366"/>
      <c r="AP307" s="1366"/>
      <c r="AQ307" s="1366"/>
      <c r="AR307" s="1366"/>
      <c r="AS307" s="1366"/>
      <c r="AT307" s="1366"/>
      <c r="AU307" s="1366"/>
      <c r="AV307" s="1366"/>
      <c r="AW307" s="1366"/>
      <c r="AX307" s="1366"/>
      <c r="AY307" s="1366"/>
      <c r="AZ307" s="1366"/>
      <c r="BA307" s="1366"/>
      <c r="BB307" s="1366"/>
      <c r="BC307" s="1366"/>
      <c r="BD307" s="1366"/>
      <c r="BE307" s="1366"/>
      <c r="BF307" s="1366"/>
      <c r="BG307" s="1366"/>
      <c r="BH307" s="1366"/>
      <c r="BI307" s="1366"/>
      <c r="BJ307" s="1366"/>
      <c r="BK307" s="1366"/>
      <c r="BL307" s="1366"/>
      <c r="BM307" s="1366"/>
      <c r="BN307" s="1366"/>
      <c r="BO307" s="1366"/>
      <c r="BP307" s="1366"/>
      <c r="BQ307" s="1366"/>
      <c r="BR307" s="1366"/>
      <c r="BS307" s="1366"/>
      <c r="BT307" s="1366"/>
      <c r="BU307" s="1366"/>
      <c r="BV307" s="1366"/>
      <c r="BW307" s="1366"/>
      <c r="BX307" s="1366"/>
      <c r="BY307" s="1366"/>
      <c r="BZ307" s="1366"/>
      <c r="CA307" s="1366"/>
      <c r="CB307" s="1366"/>
      <c r="CC307" s="1366"/>
      <c r="CD307" s="1366"/>
      <c r="CE307" s="1366"/>
      <c r="CF307" s="1366"/>
      <c r="CG307" s="1366"/>
      <c r="CH307" s="1366"/>
      <c r="CI307" s="1366"/>
      <c r="CJ307" s="1366"/>
      <c r="CK307" s="1366"/>
      <c r="CL307" s="1366"/>
      <c r="CM307" s="1366"/>
      <c r="CN307" s="1366"/>
      <c r="CO307" s="1366"/>
      <c r="CP307" s="1366"/>
      <c r="CQ307" s="1366"/>
      <c r="CR307" s="1366"/>
      <c r="CS307" s="1366"/>
      <c r="CT307" s="1366"/>
      <c r="CU307" s="1366"/>
      <c r="CV307" s="1366"/>
      <c r="CW307" s="1366"/>
      <c r="CX307" s="1366"/>
      <c r="CY307" s="1366"/>
      <c r="CZ307" s="1366"/>
      <c r="DA307" s="1366"/>
      <c r="DB307" s="1366"/>
      <c r="DC307" s="1366"/>
      <c r="DD307" s="1366"/>
      <c r="DE307" s="1366"/>
      <c r="DF307" s="1366"/>
      <c r="DG307" s="1366"/>
      <c r="DH307" s="1366"/>
      <c r="DI307" s="1366"/>
      <c r="DJ307" s="1366"/>
      <c r="DK307" s="1366"/>
      <c r="DL307" s="1366"/>
      <c r="DM307" s="1366"/>
      <c r="DN307" s="1366"/>
      <c r="DO307" s="1366"/>
      <c r="DP307" s="1366"/>
      <c r="DQ307" s="1366"/>
      <c r="DR307" s="1366"/>
      <c r="DS307" s="1366"/>
      <c r="DT307" s="1366"/>
      <c r="DU307" s="1366"/>
      <c r="DV307" s="1366"/>
    </row>
    <row r="308" spans="1:126" s="1367" customFormat="1" ht="30">
      <c r="A308" s="2494"/>
      <c r="B308" s="1653">
        <v>31</v>
      </c>
      <c r="C308" s="1642" t="s">
        <v>49</v>
      </c>
      <c r="D308" s="1375" t="s">
        <v>2238</v>
      </c>
      <c r="E308" s="1364" t="s">
        <v>2097</v>
      </c>
      <c r="F308" s="1364" t="s">
        <v>2108</v>
      </c>
      <c r="G308" s="1185" t="s">
        <v>1796</v>
      </c>
      <c r="H308" s="1361">
        <f>((72000*'Equipment Results Matrix'!$R$774)+('Equipment Results Matrix'!$R$775*11.5)+'Equipment Results Matrix'!$R$776+'Equipment Results Matrix'!$R$778+'Equipment Results Matrix'!$T$781)*(1+'Equipment Results Matrix'!$T$783)</f>
        <v>8045.0131304769257</v>
      </c>
      <c r="I308" s="1371">
        <f>'Labor Results Matrix'!$E$274*6</f>
        <v>26.8</v>
      </c>
      <c r="J308" s="1372">
        <f>'Labor Results Matrix'!$G$274*(1+'Labor Results Matrix'!$K$274)</f>
        <v>90.461452411200767</v>
      </c>
      <c r="K308" s="1372">
        <f t="shared" si="107"/>
        <v>2424.3669246201807</v>
      </c>
      <c r="L308" s="1372">
        <f>('Labor Results Matrix'!$I$274*(1+'Labor Results Matrix'!$K$274)*6)+('Labor Results Matrix'!$J$276*(1+'Labor Results Matrix'!$K$274))</f>
        <v>3221.6419652290256</v>
      </c>
      <c r="M308" s="1372">
        <f t="shared" si="108"/>
        <v>13691.022020326132</v>
      </c>
      <c r="N308" s="1455" t="s">
        <v>380</v>
      </c>
      <c r="O308" s="1361">
        <f t="shared" si="109"/>
        <v>111.73629347884619</v>
      </c>
      <c r="P308" s="1371">
        <f>'Labor Results Matrix'!$E$274/12</f>
        <v>0.37222222222222223</v>
      </c>
      <c r="Q308" s="1372">
        <f>('Labor Results Matrix'!$H$274/12)*(1+'Labor Results Matrix'!$K$274)</f>
        <v>33.671762841946958</v>
      </c>
      <c r="R308" s="1372">
        <f>('Labor Results Matrix'!$I$274/12)*(1+'Labor Results Matrix'!$K$274)</f>
        <v>34.148749999999993</v>
      </c>
      <c r="S308" s="1372">
        <f>'Labor Results Matrix'!$J$276*(1+'Labor Results Matrix'!$K$274)</f>
        <v>762.93196522902554</v>
      </c>
      <c r="T308" s="1372">
        <f t="shared" si="110"/>
        <v>179.55680632079316</v>
      </c>
      <c r="U308" s="1417" t="s">
        <v>380</v>
      </c>
      <c r="V308" s="1455" t="s">
        <v>380</v>
      </c>
      <c r="W308" s="1366"/>
      <c r="X308" s="1366"/>
      <c r="Y308" s="1366"/>
      <c r="Z308" s="1366"/>
      <c r="AA308" s="1366"/>
      <c r="AB308" s="1366"/>
      <c r="AC308" s="1366"/>
      <c r="AD308" s="1366"/>
      <c r="AE308" s="1366"/>
      <c r="AF308" s="1366"/>
      <c r="AG308" s="1366"/>
      <c r="AH308" s="1366"/>
      <c r="AI308" s="1366"/>
      <c r="AJ308" s="1366"/>
      <c r="AK308" s="1366"/>
      <c r="AL308" s="1366"/>
      <c r="AM308" s="1366"/>
      <c r="AN308" s="1366"/>
      <c r="AO308" s="1366"/>
      <c r="AP308" s="1366"/>
      <c r="AQ308" s="1366"/>
      <c r="AR308" s="1366"/>
      <c r="AS308" s="1366"/>
      <c r="AT308" s="1366"/>
      <c r="AU308" s="1366"/>
      <c r="AV308" s="1366"/>
      <c r="AW308" s="1366"/>
      <c r="AX308" s="1366"/>
      <c r="AY308" s="1366"/>
      <c r="AZ308" s="1366"/>
      <c r="BA308" s="1366"/>
      <c r="BB308" s="1366"/>
      <c r="BC308" s="1366"/>
      <c r="BD308" s="1366"/>
      <c r="BE308" s="1366"/>
      <c r="BF308" s="1366"/>
      <c r="BG308" s="1366"/>
      <c r="BH308" s="1366"/>
      <c r="BI308" s="1366"/>
      <c r="BJ308" s="1366"/>
      <c r="BK308" s="1366"/>
      <c r="BL308" s="1366"/>
      <c r="BM308" s="1366"/>
      <c r="BN308" s="1366"/>
      <c r="BO308" s="1366"/>
      <c r="BP308" s="1366"/>
      <c r="BQ308" s="1366"/>
      <c r="BR308" s="1366"/>
      <c r="BS308" s="1366"/>
      <c r="BT308" s="1366"/>
      <c r="BU308" s="1366"/>
      <c r="BV308" s="1366"/>
      <c r="BW308" s="1366"/>
      <c r="BX308" s="1366"/>
      <c r="BY308" s="1366"/>
      <c r="BZ308" s="1366"/>
      <c r="CA308" s="1366"/>
      <c r="CB308" s="1366"/>
      <c r="CC308" s="1366"/>
      <c r="CD308" s="1366"/>
      <c r="CE308" s="1366"/>
      <c r="CF308" s="1366"/>
      <c r="CG308" s="1366"/>
      <c r="CH308" s="1366"/>
      <c r="CI308" s="1366"/>
      <c r="CJ308" s="1366"/>
      <c r="CK308" s="1366"/>
      <c r="CL308" s="1366"/>
      <c r="CM308" s="1366"/>
      <c r="CN308" s="1366"/>
      <c r="CO308" s="1366"/>
      <c r="CP308" s="1366"/>
      <c r="CQ308" s="1366"/>
      <c r="CR308" s="1366"/>
      <c r="CS308" s="1366"/>
      <c r="CT308" s="1366"/>
      <c r="CU308" s="1366"/>
      <c r="CV308" s="1366"/>
      <c r="CW308" s="1366"/>
      <c r="CX308" s="1366"/>
      <c r="CY308" s="1366"/>
      <c r="CZ308" s="1366"/>
      <c r="DA308" s="1366"/>
      <c r="DB308" s="1366"/>
      <c r="DC308" s="1366"/>
      <c r="DD308" s="1366"/>
      <c r="DE308" s="1366"/>
      <c r="DF308" s="1366"/>
      <c r="DG308" s="1366"/>
      <c r="DH308" s="1366"/>
      <c r="DI308" s="1366"/>
      <c r="DJ308" s="1366"/>
      <c r="DK308" s="1366"/>
      <c r="DL308" s="1366"/>
      <c r="DM308" s="1366"/>
      <c r="DN308" s="1366"/>
      <c r="DO308" s="1366"/>
      <c r="DP308" s="1366"/>
      <c r="DQ308" s="1366"/>
      <c r="DR308" s="1366"/>
      <c r="DS308" s="1366"/>
      <c r="DT308" s="1366"/>
      <c r="DU308" s="1366"/>
      <c r="DV308" s="1366"/>
    </row>
    <row r="309" spans="1:126" s="1367" customFormat="1" ht="30">
      <c r="A309" s="2494"/>
      <c r="B309" s="1653">
        <v>32</v>
      </c>
      <c r="C309" s="1642" t="s">
        <v>49</v>
      </c>
      <c r="D309" s="1375" t="s">
        <v>2239</v>
      </c>
      <c r="E309" s="1364" t="s">
        <v>2097</v>
      </c>
      <c r="F309" s="1364" t="s">
        <v>2108</v>
      </c>
      <c r="G309" s="1185" t="s">
        <v>1796</v>
      </c>
      <c r="H309" s="1361">
        <f>((72000*'Equipment Results Matrix'!$R$774)+('Equipment Results Matrix'!$R$775*12)+'Equipment Results Matrix'!$R$776+'Equipment Results Matrix'!$R$778+'Equipment Results Matrix'!$T$781)*(1+'Equipment Results Matrix'!$T$783)</f>
        <v>9019.2697442769222</v>
      </c>
      <c r="I309" s="1371">
        <f>'Labor Results Matrix'!$E$274*6</f>
        <v>26.8</v>
      </c>
      <c r="J309" s="1372">
        <f>'Labor Results Matrix'!$G$274*(1+'Labor Results Matrix'!$K$274)</f>
        <v>90.461452411200767</v>
      </c>
      <c r="K309" s="1372">
        <f t="shared" si="107"/>
        <v>2424.3669246201807</v>
      </c>
      <c r="L309" s="1372">
        <f>('Labor Results Matrix'!$I$274*(1+'Labor Results Matrix'!$K$274)*6)+('Labor Results Matrix'!$J$276*(1+'Labor Results Matrix'!$K$274))</f>
        <v>3221.6419652290256</v>
      </c>
      <c r="M309" s="1372">
        <f t="shared" si="108"/>
        <v>14665.278634126129</v>
      </c>
      <c r="N309" s="1455" t="s">
        <v>380</v>
      </c>
      <c r="O309" s="1361">
        <f t="shared" si="109"/>
        <v>125.26763533717947</v>
      </c>
      <c r="P309" s="1371">
        <f>'Labor Results Matrix'!$E$274/12</f>
        <v>0.37222222222222223</v>
      </c>
      <c r="Q309" s="1372">
        <f>('Labor Results Matrix'!$H$274/12)*(1+'Labor Results Matrix'!$K$274)</f>
        <v>33.671762841946958</v>
      </c>
      <c r="R309" s="1372">
        <f>('Labor Results Matrix'!$I$274/12)*(1+'Labor Results Matrix'!$K$274)</f>
        <v>34.148749999999993</v>
      </c>
      <c r="S309" s="1372">
        <f>'Labor Results Matrix'!$J$276*(1+'Labor Results Matrix'!$K$274)</f>
        <v>762.93196522902554</v>
      </c>
      <c r="T309" s="1372">
        <f t="shared" si="110"/>
        <v>193.08814817912645</v>
      </c>
      <c r="U309" s="1417" t="s">
        <v>380</v>
      </c>
      <c r="V309" s="1455" t="s">
        <v>380</v>
      </c>
      <c r="W309" s="1366"/>
      <c r="X309" s="1366"/>
      <c r="Y309" s="1366"/>
      <c r="Z309" s="1366"/>
      <c r="AA309" s="1366"/>
      <c r="AB309" s="1366"/>
      <c r="AC309" s="1366"/>
      <c r="AD309" s="1366"/>
      <c r="AE309" s="1366"/>
      <c r="AF309" s="1366"/>
      <c r="AG309" s="1366"/>
      <c r="AH309" s="1366"/>
      <c r="AI309" s="1366"/>
      <c r="AJ309" s="1366"/>
      <c r="AK309" s="1366"/>
      <c r="AL309" s="1366"/>
      <c r="AM309" s="1366"/>
      <c r="AN309" s="1366"/>
      <c r="AO309" s="1366"/>
      <c r="AP309" s="1366"/>
      <c r="AQ309" s="1366"/>
      <c r="AR309" s="1366"/>
      <c r="AS309" s="1366"/>
      <c r="AT309" s="1366"/>
      <c r="AU309" s="1366"/>
      <c r="AV309" s="1366"/>
      <c r="AW309" s="1366"/>
      <c r="AX309" s="1366"/>
      <c r="AY309" s="1366"/>
      <c r="AZ309" s="1366"/>
      <c r="BA309" s="1366"/>
      <c r="BB309" s="1366"/>
      <c r="BC309" s="1366"/>
      <c r="BD309" s="1366"/>
      <c r="BE309" s="1366"/>
      <c r="BF309" s="1366"/>
      <c r="BG309" s="1366"/>
      <c r="BH309" s="1366"/>
      <c r="BI309" s="1366"/>
      <c r="BJ309" s="1366"/>
      <c r="BK309" s="1366"/>
      <c r="BL309" s="1366"/>
      <c r="BM309" s="1366"/>
      <c r="BN309" s="1366"/>
      <c r="BO309" s="1366"/>
      <c r="BP309" s="1366"/>
      <c r="BQ309" s="1366"/>
      <c r="BR309" s="1366"/>
      <c r="BS309" s="1366"/>
      <c r="BT309" s="1366"/>
      <c r="BU309" s="1366"/>
      <c r="BV309" s="1366"/>
      <c r="BW309" s="1366"/>
      <c r="BX309" s="1366"/>
      <c r="BY309" s="1366"/>
      <c r="BZ309" s="1366"/>
      <c r="CA309" s="1366"/>
      <c r="CB309" s="1366"/>
      <c r="CC309" s="1366"/>
      <c r="CD309" s="1366"/>
      <c r="CE309" s="1366"/>
      <c r="CF309" s="1366"/>
      <c r="CG309" s="1366"/>
      <c r="CH309" s="1366"/>
      <c r="CI309" s="1366"/>
      <c r="CJ309" s="1366"/>
      <c r="CK309" s="1366"/>
      <c r="CL309" s="1366"/>
      <c r="CM309" s="1366"/>
      <c r="CN309" s="1366"/>
      <c r="CO309" s="1366"/>
      <c r="CP309" s="1366"/>
      <c r="CQ309" s="1366"/>
      <c r="CR309" s="1366"/>
      <c r="CS309" s="1366"/>
      <c r="CT309" s="1366"/>
      <c r="CU309" s="1366"/>
      <c r="CV309" s="1366"/>
      <c r="CW309" s="1366"/>
      <c r="CX309" s="1366"/>
      <c r="CY309" s="1366"/>
      <c r="CZ309" s="1366"/>
      <c r="DA309" s="1366"/>
      <c r="DB309" s="1366"/>
      <c r="DC309" s="1366"/>
      <c r="DD309" s="1366"/>
      <c r="DE309" s="1366"/>
      <c r="DF309" s="1366"/>
      <c r="DG309" s="1366"/>
      <c r="DH309" s="1366"/>
      <c r="DI309" s="1366"/>
      <c r="DJ309" s="1366"/>
      <c r="DK309" s="1366"/>
      <c r="DL309" s="1366"/>
      <c r="DM309" s="1366"/>
      <c r="DN309" s="1366"/>
      <c r="DO309" s="1366"/>
      <c r="DP309" s="1366"/>
      <c r="DQ309" s="1366"/>
      <c r="DR309" s="1366"/>
      <c r="DS309" s="1366"/>
      <c r="DT309" s="1366"/>
      <c r="DU309" s="1366"/>
      <c r="DV309" s="1366"/>
    </row>
    <row r="310" spans="1:126" s="1367" customFormat="1" ht="30">
      <c r="A310" s="2494"/>
      <c r="B310" s="1653">
        <v>33</v>
      </c>
      <c r="C310" s="1642" t="s">
        <v>49</v>
      </c>
      <c r="D310" s="1375" t="s">
        <v>2240</v>
      </c>
      <c r="E310" s="1364" t="s">
        <v>2097</v>
      </c>
      <c r="F310" s="1364" t="s">
        <v>2108</v>
      </c>
      <c r="G310" s="1185" t="s">
        <v>1796</v>
      </c>
      <c r="H310" s="1361">
        <f>((120000*'Equipment Results Matrix'!$R$774)+('Equipment Results Matrix'!$R$775*11.5)+'Equipment Results Matrix'!$R$776+'Equipment Results Matrix'!$R$778+'Equipment Results Matrix'!$T$781)*(1+'Equipment Results Matrix'!$T$783)</f>
        <v>13166.056330476924</v>
      </c>
      <c r="I310" s="1371">
        <f>'Labor Results Matrix'!$E$274*10</f>
        <v>44.666666666666671</v>
      </c>
      <c r="J310" s="1372">
        <f>'Labor Results Matrix'!$G$274*(1+'Labor Results Matrix'!$K$274)</f>
        <v>90.461452411200767</v>
      </c>
      <c r="K310" s="1372">
        <f t="shared" si="107"/>
        <v>4040.6115410336347</v>
      </c>
      <c r="L310" s="1372">
        <f>('Labor Results Matrix'!$I$274*(1+'Labor Results Matrix'!$K$274)*10)+('Labor Results Matrix'!$J$276*(1+'Labor Results Matrix'!$K$274))</f>
        <v>4860.7819652290254</v>
      </c>
      <c r="M310" s="1372">
        <f t="shared" si="108"/>
        <v>22067.449836739586</v>
      </c>
      <c r="N310" s="1455" t="s">
        <v>380</v>
      </c>
      <c r="O310" s="1361">
        <f>H310/120</f>
        <v>109.71713608730769</v>
      </c>
      <c r="P310" s="1371">
        <f>'Labor Results Matrix'!$E$274/12</f>
        <v>0.37222222222222223</v>
      </c>
      <c r="Q310" s="1372">
        <f>('Labor Results Matrix'!$H$274/12)*(1+'Labor Results Matrix'!$K$274)</f>
        <v>33.671762841946958</v>
      </c>
      <c r="R310" s="1372">
        <f>('Labor Results Matrix'!$I$274/12)*(1+'Labor Results Matrix'!$K$274)</f>
        <v>34.148749999999993</v>
      </c>
      <c r="S310" s="1372">
        <f>'Labor Results Matrix'!$J$276*(1+'Labor Results Matrix'!$K$274)</f>
        <v>762.93196522902554</v>
      </c>
      <c r="T310" s="1372">
        <f t="shared" si="110"/>
        <v>177.53764892925466</v>
      </c>
      <c r="U310" s="1417" t="s">
        <v>380</v>
      </c>
      <c r="V310" s="1455" t="s">
        <v>380</v>
      </c>
      <c r="W310" s="1366"/>
      <c r="X310" s="1366"/>
      <c r="Y310" s="1366"/>
      <c r="Z310" s="1366"/>
      <c r="AA310" s="1366"/>
      <c r="AB310" s="1366"/>
      <c r="AC310" s="1366"/>
      <c r="AD310" s="1366"/>
      <c r="AE310" s="1366"/>
      <c r="AF310" s="1366"/>
      <c r="AG310" s="1366"/>
      <c r="AH310" s="1366"/>
      <c r="AI310" s="1366"/>
      <c r="AJ310" s="1366"/>
      <c r="AK310" s="1366"/>
      <c r="AL310" s="1366"/>
      <c r="AM310" s="1366"/>
      <c r="AN310" s="1366"/>
      <c r="AO310" s="1366"/>
      <c r="AP310" s="1366"/>
      <c r="AQ310" s="1366"/>
      <c r="AR310" s="1366"/>
      <c r="AS310" s="1366"/>
      <c r="AT310" s="1366"/>
      <c r="AU310" s="1366"/>
      <c r="AV310" s="1366"/>
      <c r="AW310" s="1366"/>
      <c r="AX310" s="1366"/>
      <c r="AY310" s="1366"/>
      <c r="AZ310" s="1366"/>
      <c r="BA310" s="1366"/>
      <c r="BB310" s="1366"/>
      <c r="BC310" s="1366"/>
      <c r="BD310" s="1366"/>
      <c r="BE310" s="1366"/>
      <c r="BF310" s="1366"/>
      <c r="BG310" s="1366"/>
      <c r="BH310" s="1366"/>
      <c r="BI310" s="1366"/>
      <c r="BJ310" s="1366"/>
      <c r="BK310" s="1366"/>
      <c r="BL310" s="1366"/>
      <c r="BM310" s="1366"/>
      <c r="BN310" s="1366"/>
      <c r="BO310" s="1366"/>
      <c r="BP310" s="1366"/>
      <c r="BQ310" s="1366"/>
      <c r="BR310" s="1366"/>
      <c r="BS310" s="1366"/>
      <c r="BT310" s="1366"/>
      <c r="BU310" s="1366"/>
      <c r="BV310" s="1366"/>
      <c r="BW310" s="1366"/>
      <c r="BX310" s="1366"/>
      <c r="BY310" s="1366"/>
      <c r="BZ310" s="1366"/>
      <c r="CA310" s="1366"/>
      <c r="CB310" s="1366"/>
      <c r="CC310" s="1366"/>
      <c r="CD310" s="1366"/>
      <c r="CE310" s="1366"/>
      <c r="CF310" s="1366"/>
      <c r="CG310" s="1366"/>
      <c r="CH310" s="1366"/>
      <c r="CI310" s="1366"/>
      <c r="CJ310" s="1366"/>
      <c r="CK310" s="1366"/>
      <c r="CL310" s="1366"/>
      <c r="CM310" s="1366"/>
      <c r="CN310" s="1366"/>
      <c r="CO310" s="1366"/>
      <c r="CP310" s="1366"/>
      <c r="CQ310" s="1366"/>
      <c r="CR310" s="1366"/>
      <c r="CS310" s="1366"/>
      <c r="CT310" s="1366"/>
      <c r="CU310" s="1366"/>
      <c r="CV310" s="1366"/>
      <c r="CW310" s="1366"/>
      <c r="CX310" s="1366"/>
      <c r="CY310" s="1366"/>
      <c r="CZ310" s="1366"/>
      <c r="DA310" s="1366"/>
      <c r="DB310" s="1366"/>
      <c r="DC310" s="1366"/>
      <c r="DD310" s="1366"/>
      <c r="DE310" s="1366"/>
      <c r="DF310" s="1366"/>
      <c r="DG310" s="1366"/>
      <c r="DH310" s="1366"/>
      <c r="DI310" s="1366"/>
      <c r="DJ310" s="1366"/>
      <c r="DK310" s="1366"/>
      <c r="DL310" s="1366"/>
      <c r="DM310" s="1366"/>
      <c r="DN310" s="1366"/>
      <c r="DO310" s="1366"/>
      <c r="DP310" s="1366"/>
      <c r="DQ310" s="1366"/>
      <c r="DR310" s="1366"/>
      <c r="DS310" s="1366"/>
      <c r="DT310" s="1366"/>
      <c r="DU310" s="1366"/>
      <c r="DV310" s="1366"/>
    </row>
    <row r="311" spans="1:126" s="1367" customFormat="1" ht="30">
      <c r="A311" s="2494"/>
      <c r="B311" s="1653">
        <v>34</v>
      </c>
      <c r="C311" s="1642" t="s">
        <v>49</v>
      </c>
      <c r="D311" s="1375" t="s">
        <v>2241</v>
      </c>
      <c r="E311" s="1364" t="s">
        <v>2097</v>
      </c>
      <c r="F311" s="1364" t="s">
        <v>2108</v>
      </c>
      <c r="G311" s="1185" t="s">
        <v>1796</v>
      </c>
      <c r="H311" s="1361">
        <f>((120000*'Equipment Results Matrix'!$R$774)+('Equipment Results Matrix'!$R$775*12)+'Equipment Results Matrix'!$R$776+'Equipment Results Matrix'!$R$778+'Equipment Results Matrix'!$T$781)*(1+'Equipment Results Matrix'!$T$783)</f>
        <v>14140.312944276922</v>
      </c>
      <c r="I311" s="1371">
        <f>'Labor Results Matrix'!$E$274*10</f>
        <v>44.666666666666671</v>
      </c>
      <c r="J311" s="1372">
        <f>'Labor Results Matrix'!$G$274*(1+'Labor Results Matrix'!$K$274)</f>
        <v>90.461452411200767</v>
      </c>
      <c r="K311" s="1372">
        <f t="shared" si="107"/>
        <v>4040.6115410336347</v>
      </c>
      <c r="L311" s="1372">
        <f>('Labor Results Matrix'!$I$274*(1+'Labor Results Matrix'!$K$274)*10)+('Labor Results Matrix'!$J$276*(1+'Labor Results Matrix'!$K$274))</f>
        <v>4860.7819652290254</v>
      </c>
      <c r="M311" s="1372">
        <f t="shared" si="108"/>
        <v>23041.706450539583</v>
      </c>
      <c r="N311" s="1455" t="s">
        <v>380</v>
      </c>
      <c r="O311" s="1361">
        <f t="shared" ref="O311:O313" si="111">H311/120</f>
        <v>117.83594120230768</v>
      </c>
      <c r="P311" s="1371">
        <f>'Labor Results Matrix'!$E$274/12</f>
        <v>0.37222222222222223</v>
      </c>
      <c r="Q311" s="1372">
        <f>('Labor Results Matrix'!$H$274/12)*(1+'Labor Results Matrix'!$K$274)</f>
        <v>33.671762841946958</v>
      </c>
      <c r="R311" s="1372">
        <f>('Labor Results Matrix'!$I$274/12)*(1+'Labor Results Matrix'!$K$274)</f>
        <v>34.148749999999993</v>
      </c>
      <c r="S311" s="1372">
        <f>'Labor Results Matrix'!$J$276*(1+'Labor Results Matrix'!$K$274)</f>
        <v>762.93196522902554</v>
      </c>
      <c r="T311" s="1372">
        <f t="shared" si="110"/>
        <v>185.65645404425464</v>
      </c>
      <c r="U311" s="1417" t="s">
        <v>380</v>
      </c>
      <c r="V311" s="1455" t="s">
        <v>380</v>
      </c>
      <c r="W311" s="1366"/>
      <c r="X311" s="1366"/>
      <c r="Y311" s="1366"/>
      <c r="Z311" s="1366"/>
      <c r="AA311" s="1366"/>
      <c r="AB311" s="1366"/>
      <c r="AC311" s="1366"/>
      <c r="AD311" s="1366"/>
      <c r="AE311" s="1366"/>
      <c r="AF311" s="1366"/>
      <c r="AG311" s="1366"/>
      <c r="AH311" s="1366"/>
      <c r="AI311" s="1366"/>
      <c r="AJ311" s="1366"/>
      <c r="AK311" s="1366"/>
      <c r="AL311" s="1366"/>
      <c r="AM311" s="1366"/>
      <c r="AN311" s="1366"/>
      <c r="AO311" s="1366"/>
      <c r="AP311" s="1366"/>
      <c r="AQ311" s="1366"/>
      <c r="AR311" s="1366"/>
      <c r="AS311" s="1366"/>
      <c r="AT311" s="1366"/>
      <c r="AU311" s="1366"/>
      <c r="AV311" s="1366"/>
      <c r="AW311" s="1366"/>
      <c r="AX311" s="1366"/>
      <c r="AY311" s="1366"/>
      <c r="AZ311" s="1366"/>
      <c r="BA311" s="1366"/>
      <c r="BB311" s="1366"/>
      <c r="BC311" s="1366"/>
      <c r="BD311" s="1366"/>
      <c r="BE311" s="1366"/>
      <c r="BF311" s="1366"/>
      <c r="BG311" s="1366"/>
      <c r="BH311" s="1366"/>
      <c r="BI311" s="1366"/>
      <c r="BJ311" s="1366"/>
      <c r="BK311" s="1366"/>
      <c r="BL311" s="1366"/>
      <c r="BM311" s="1366"/>
      <c r="BN311" s="1366"/>
      <c r="BO311" s="1366"/>
      <c r="BP311" s="1366"/>
      <c r="BQ311" s="1366"/>
      <c r="BR311" s="1366"/>
      <c r="BS311" s="1366"/>
      <c r="BT311" s="1366"/>
      <c r="BU311" s="1366"/>
      <c r="BV311" s="1366"/>
      <c r="BW311" s="1366"/>
      <c r="BX311" s="1366"/>
      <c r="BY311" s="1366"/>
      <c r="BZ311" s="1366"/>
      <c r="CA311" s="1366"/>
      <c r="CB311" s="1366"/>
      <c r="CC311" s="1366"/>
      <c r="CD311" s="1366"/>
      <c r="CE311" s="1366"/>
      <c r="CF311" s="1366"/>
      <c r="CG311" s="1366"/>
      <c r="CH311" s="1366"/>
      <c r="CI311" s="1366"/>
      <c r="CJ311" s="1366"/>
      <c r="CK311" s="1366"/>
      <c r="CL311" s="1366"/>
      <c r="CM311" s="1366"/>
      <c r="CN311" s="1366"/>
      <c r="CO311" s="1366"/>
      <c r="CP311" s="1366"/>
      <c r="CQ311" s="1366"/>
      <c r="CR311" s="1366"/>
      <c r="CS311" s="1366"/>
      <c r="CT311" s="1366"/>
      <c r="CU311" s="1366"/>
      <c r="CV311" s="1366"/>
      <c r="CW311" s="1366"/>
      <c r="CX311" s="1366"/>
      <c r="CY311" s="1366"/>
      <c r="CZ311" s="1366"/>
      <c r="DA311" s="1366"/>
      <c r="DB311" s="1366"/>
      <c r="DC311" s="1366"/>
      <c r="DD311" s="1366"/>
      <c r="DE311" s="1366"/>
      <c r="DF311" s="1366"/>
      <c r="DG311" s="1366"/>
      <c r="DH311" s="1366"/>
      <c r="DI311" s="1366"/>
      <c r="DJ311" s="1366"/>
      <c r="DK311" s="1366"/>
      <c r="DL311" s="1366"/>
      <c r="DM311" s="1366"/>
      <c r="DN311" s="1366"/>
      <c r="DO311" s="1366"/>
      <c r="DP311" s="1366"/>
      <c r="DQ311" s="1366"/>
      <c r="DR311" s="1366"/>
      <c r="DS311" s="1366"/>
      <c r="DT311" s="1366"/>
      <c r="DU311" s="1366"/>
      <c r="DV311" s="1366"/>
    </row>
    <row r="312" spans="1:126" s="1367" customFormat="1" ht="30">
      <c r="A312" s="2494"/>
      <c r="B312" s="1653">
        <v>35</v>
      </c>
      <c r="C312" s="1642" t="s">
        <v>49</v>
      </c>
      <c r="D312" s="1375" t="s">
        <v>2242</v>
      </c>
      <c r="E312" s="1364" t="s">
        <v>2097</v>
      </c>
      <c r="F312" s="1364" t="s">
        <v>2108</v>
      </c>
      <c r="G312" s="1185" t="s">
        <v>1796</v>
      </c>
      <c r="H312" s="1361">
        <f>((120000*'Equipment Results Matrix'!$R$774)+('Equipment Results Matrix'!$R$775*11.5)+'Equipment Results Matrix'!$R$776+'Equipment Results Matrix'!$R$778+'Equipment Results Matrix'!$T$781)*(1+'Equipment Results Matrix'!$T$783)</f>
        <v>13166.056330476924</v>
      </c>
      <c r="I312" s="1371">
        <f>'Labor Results Matrix'!$E$274*10</f>
        <v>44.666666666666671</v>
      </c>
      <c r="J312" s="1372">
        <f>'Labor Results Matrix'!$G$274*(1+'Labor Results Matrix'!$K$274)</f>
        <v>90.461452411200767</v>
      </c>
      <c r="K312" s="1372">
        <f t="shared" si="107"/>
        <v>4040.6115410336347</v>
      </c>
      <c r="L312" s="1372">
        <f>('Labor Results Matrix'!$I$274*(1+'Labor Results Matrix'!$K$274)*10)+('Labor Results Matrix'!$J$276*(1+'Labor Results Matrix'!$K$274))</f>
        <v>4860.7819652290254</v>
      </c>
      <c r="M312" s="1372">
        <f t="shared" si="108"/>
        <v>22067.449836739586</v>
      </c>
      <c r="N312" s="1455" t="s">
        <v>380</v>
      </c>
      <c r="O312" s="1361">
        <f t="shared" si="111"/>
        <v>109.71713608730769</v>
      </c>
      <c r="P312" s="1371">
        <f>'Labor Results Matrix'!$E$274/12</f>
        <v>0.37222222222222223</v>
      </c>
      <c r="Q312" s="1372">
        <f>('Labor Results Matrix'!$H$274/12)*(1+'Labor Results Matrix'!$K$274)</f>
        <v>33.671762841946958</v>
      </c>
      <c r="R312" s="1372">
        <f>('Labor Results Matrix'!$I$274/12)*(1+'Labor Results Matrix'!$K$274)</f>
        <v>34.148749999999993</v>
      </c>
      <c r="S312" s="1372">
        <f>'Labor Results Matrix'!$J$276*(1+'Labor Results Matrix'!$K$274)</f>
        <v>762.93196522902554</v>
      </c>
      <c r="T312" s="1372">
        <f t="shared" si="110"/>
        <v>177.53764892925466</v>
      </c>
      <c r="U312" s="1417" t="s">
        <v>380</v>
      </c>
      <c r="V312" s="1455" t="s">
        <v>380</v>
      </c>
      <c r="W312" s="1366"/>
      <c r="X312" s="1366"/>
      <c r="Y312" s="1366"/>
      <c r="Z312" s="1366"/>
      <c r="AA312" s="1366"/>
      <c r="AB312" s="1366"/>
      <c r="AC312" s="1366"/>
      <c r="AD312" s="1366"/>
      <c r="AE312" s="1366"/>
      <c r="AF312" s="1366"/>
      <c r="AG312" s="1366"/>
      <c r="AH312" s="1366"/>
      <c r="AI312" s="1366"/>
      <c r="AJ312" s="1366"/>
      <c r="AK312" s="1366"/>
      <c r="AL312" s="1366"/>
      <c r="AM312" s="1366"/>
      <c r="AN312" s="1366"/>
      <c r="AO312" s="1366"/>
      <c r="AP312" s="1366"/>
      <c r="AQ312" s="1366"/>
      <c r="AR312" s="1366"/>
      <c r="AS312" s="1366"/>
      <c r="AT312" s="1366"/>
      <c r="AU312" s="1366"/>
      <c r="AV312" s="1366"/>
      <c r="AW312" s="1366"/>
      <c r="AX312" s="1366"/>
      <c r="AY312" s="1366"/>
      <c r="AZ312" s="1366"/>
      <c r="BA312" s="1366"/>
      <c r="BB312" s="1366"/>
      <c r="BC312" s="1366"/>
      <c r="BD312" s="1366"/>
      <c r="BE312" s="1366"/>
      <c r="BF312" s="1366"/>
      <c r="BG312" s="1366"/>
      <c r="BH312" s="1366"/>
      <c r="BI312" s="1366"/>
      <c r="BJ312" s="1366"/>
      <c r="BK312" s="1366"/>
      <c r="BL312" s="1366"/>
      <c r="BM312" s="1366"/>
      <c r="BN312" s="1366"/>
      <c r="BO312" s="1366"/>
      <c r="BP312" s="1366"/>
      <c r="BQ312" s="1366"/>
      <c r="BR312" s="1366"/>
      <c r="BS312" s="1366"/>
      <c r="BT312" s="1366"/>
      <c r="BU312" s="1366"/>
      <c r="BV312" s="1366"/>
      <c r="BW312" s="1366"/>
      <c r="BX312" s="1366"/>
      <c r="BY312" s="1366"/>
      <c r="BZ312" s="1366"/>
      <c r="CA312" s="1366"/>
      <c r="CB312" s="1366"/>
      <c r="CC312" s="1366"/>
      <c r="CD312" s="1366"/>
      <c r="CE312" s="1366"/>
      <c r="CF312" s="1366"/>
      <c r="CG312" s="1366"/>
      <c r="CH312" s="1366"/>
      <c r="CI312" s="1366"/>
      <c r="CJ312" s="1366"/>
      <c r="CK312" s="1366"/>
      <c r="CL312" s="1366"/>
      <c r="CM312" s="1366"/>
      <c r="CN312" s="1366"/>
      <c r="CO312" s="1366"/>
      <c r="CP312" s="1366"/>
      <c r="CQ312" s="1366"/>
      <c r="CR312" s="1366"/>
      <c r="CS312" s="1366"/>
      <c r="CT312" s="1366"/>
      <c r="CU312" s="1366"/>
      <c r="CV312" s="1366"/>
      <c r="CW312" s="1366"/>
      <c r="CX312" s="1366"/>
      <c r="CY312" s="1366"/>
      <c r="CZ312" s="1366"/>
      <c r="DA312" s="1366"/>
      <c r="DB312" s="1366"/>
      <c r="DC312" s="1366"/>
      <c r="DD312" s="1366"/>
      <c r="DE312" s="1366"/>
      <c r="DF312" s="1366"/>
      <c r="DG312" s="1366"/>
      <c r="DH312" s="1366"/>
      <c r="DI312" s="1366"/>
      <c r="DJ312" s="1366"/>
      <c r="DK312" s="1366"/>
      <c r="DL312" s="1366"/>
      <c r="DM312" s="1366"/>
      <c r="DN312" s="1366"/>
      <c r="DO312" s="1366"/>
      <c r="DP312" s="1366"/>
      <c r="DQ312" s="1366"/>
      <c r="DR312" s="1366"/>
      <c r="DS312" s="1366"/>
      <c r="DT312" s="1366"/>
      <c r="DU312" s="1366"/>
      <c r="DV312" s="1366"/>
    </row>
    <row r="313" spans="1:126" s="1367" customFormat="1" ht="30">
      <c r="A313" s="2494"/>
      <c r="B313" s="1653">
        <v>36</v>
      </c>
      <c r="C313" s="1642" t="s">
        <v>49</v>
      </c>
      <c r="D313" s="1375" t="s">
        <v>2243</v>
      </c>
      <c r="E313" s="1364" t="s">
        <v>2097</v>
      </c>
      <c r="F313" s="1364" t="s">
        <v>2108</v>
      </c>
      <c r="G313" s="1185" t="s">
        <v>1796</v>
      </c>
      <c r="H313" s="1361">
        <f>((120000*'Equipment Results Matrix'!$R$774)+('Equipment Results Matrix'!$R$775*12)+'Equipment Results Matrix'!$R$776+'Equipment Results Matrix'!$R$778+'Equipment Results Matrix'!$T$781)*(1+'Equipment Results Matrix'!$T$783)</f>
        <v>14140.312944276922</v>
      </c>
      <c r="I313" s="1371">
        <f>'Labor Results Matrix'!$E$274*10</f>
        <v>44.666666666666671</v>
      </c>
      <c r="J313" s="1372">
        <f>'Labor Results Matrix'!$G$274*(1+'Labor Results Matrix'!$K$274)</f>
        <v>90.461452411200767</v>
      </c>
      <c r="K313" s="1372">
        <f t="shared" si="107"/>
        <v>4040.6115410336347</v>
      </c>
      <c r="L313" s="1372">
        <f>('Labor Results Matrix'!$I$274*(1+'Labor Results Matrix'!$K$274)*10)+('Labor Results Matrix'!$J$276*(1+'Labor Results Matrix'!$K$274))</f>
        <v>4860.7819652290254</v>
      </c>
      <c r="M313" s="1372">
        <f t="shared" si="108"/>
        <v>23041.706450539583</v>
      </c>
      <c r="N313" s="1455" t="s">
        <v>380</v>
      </c>
      <c r="O313" s="1361">
        <f t="shared" si="111"/>
        <v>117.83594120230768</v>
      </c>
      <c r="P313" s="1371">
        <f>'Labor Results Matrix'!$E$274/12</f>
        <v>0.37222222222222223</v>
      </c>
      <c r="Q313" s="1372">
        <f>('Labor Results Matrix'!$H$274/12)*(1+'Labor Results Matrix'!$K$274)</f>
        <v>33.671762841946958</v>
      </c>
      <c r="R313" s="1372">
        <f>('Labor Results Matrix'!$I$274/12)*(1+'Labor Results Matrix'!$K$274)</f>
        <v>34.148749999999993</v>
      </c>
      <c r="S313" s="1372">
        <f>'Labor Results Matrix'!$J$276*(1+'Labor Results Matrix'!$K$274)</f>
        <v>762.93196522902554</v>
      </c>
      <c r="T313" s="1372">
        <f t="shared" si="110"/>
        <v>185.65645404425464</v>
      </c>
      <c r="U313" s="1417" t="s">
        <v>380</v>
      </c>
      <c r="V313" s="1455" t="s">
        <v>380</v>
      </c>
      <c r="W313" s="1366"/>
      <c r="X313" s="1366"/>
      <c r="Y313" s="1366"/>
      <c r="Z313" s="1366"/>
      <c r="AA313" s="1366"/>
      <c r="AB313" s="1366"/>
      <c r="AC313" s="1366"/>
      <c r="AD313" s="1366"/>
      <c r="AE313" s="1366"/>
      <c r="AF313" s="1366"/>
      <c r="AG313" s="1366"/>
      <c r="AH313" s="1366"/>
      <c r="AI313" s="1366"/>
      <c r="AJ313" s="1366"/>
      <c r="AK313" s="1366"/>
      <c r="AL313" s="1366"/>
      <c r="AM313" s="1366"/>
      <c r="AN313" s="1366"/>
      <c r="AO313" s="1366"/>
      <c r="AP313" s="1366"/>
      <c r="AQ313" s="1366"/>
      <c r="AR313" s="1366"/>
      <c r="AS313" s="1366"/>
      <c r="AT313" s="1366"/>
      <c r="AU313" s="1366"/>
      <c r="AV313" s="1366"/>
      <c r="AW313" s="1366"/>
      <c r="AX313" s="1366"/>
      <c r="AY313" s="1366"/>
      <c r="AZ313" s="1366"/>
      <c r="BA313" s="1366"/>
      <c r="BB313" s="1366"/>
      <c r="BC313" s="1366"/>
      <c r="BD313" s="1366"/>
      <c r="BE313" s="1366"/>
      <c r="BF313" s="1366"/>
      <c r="BG313" s="1366"/>
      <c r="BH313" s="1366"/>
      <c r="BI313" s="1366"/>
      <c r="BJ313" s="1366"/>
      <c r="BK313" s="1366"/>
      <c r="BL313" s="1366"/>
      <c r="BM313" s="1366"/>
      <c r="BN313" s="1366"/>
      <c r="BO313" s="1366"/>
      <c r="BP313" s="1366"/>
      <c r="BQ313" s="1366"/>
      <c r="BR313" s="1366"/>
      <c r="BS313" s="1366"/>
      <c r="BT313" s="1366"/>
      <c r="BU313" s="1366"/>
      <c r="BV313" s="1366"/>
      <c r="BW313" s="1366"/>
      <c r="BX313" s="1366"/>
      <c r="BY313" s="1366"/>
      <c r="BZ313" s="1366"/>
      <c r="CA313" s="1366"/>
      <c r="CB313" s="1366"/>
      <c r="CC313" s="1366"/>
      <c r="CD313" s="1366"/>
      <c r="CE313" s="1366"/>
      <c r="CF313" s="1366"/>
      <c r="CG313" s="1366"/>
      <c r="CH313" s="1366"/>
      <c r="CI313" s="1366"/>
      <c r="CJ313" s="1366"/>
      <c r="CK313" s="1366"/>
      <c r="CL313" s="1366"/>
      <c r="CM313" s="1366"/>
      <c r="CN313" s="1366"/>
      <c r="CO313" s="1366"/>
      <c r="CP313" s="1366"/>
      <c r="CQ313" s="1366"/>
      <c r="CR313" s="1366"/>
      <c r="CS313" s="1366"/>
      <c r="CT313" s="1366"/>
      <c r="CU313" s="1366"/>
      <c r="CV313" s="1366"/>
      <c r="CW313" s="1366"/>
      <c r="CX313" s="1366"/>
      <c r="CY313" s="1366"/>
      <c r="CZ313" s="1366"/>
      <c r="DA313" s="1366"/>
      <c r="DB313" s="1366"/>
      <c r="DC313" s="1366"/>
      <c r="DD313" s="1366"/>
      <c r="DE313" s="1366"/>
      <c r="DF313" s="1366"/>
      <c r="DG313" s="1366"/>
      <c r="DH313" s="1366"/>
      <c r="DI313" s="1366"/>
      <c r="DJ313" s="1366"/>
      <c r="DK313" s="1366"/>
      <c r="DL313" s="1366"/>
      <c r="DM313" s="1366"/>
      <c r="DN313" s="1366"/>
      <c r="DO313" s="1366"/>
      <c r="DP313" s="1366"/>
      <c r="DQ313" s="1366"/>
      <c r="DR313" s="1366"/>
      <c r="DS313" s="1366"/>
      <c r="DT313" s="1366"/>
      <c r="DU313" s="1366"/>
      <c r="DV313" s="1366"/>
    </row>
    <row r="314" spans="1:126" s="1367" customFormat="1" ht="30">
      <c r="A314" s="2494"/>
      <c r="B314" s="1653">
        <v>37</v>
      </c>
      <c r="C314" s="1642" t="s">
        <v>49</v>
      </c>
      <c r="D314" s="1375" t="s">
        <v>2244</v>
      </c>
      <c r="E314" s="1364" t="s">
        <v>2097</v>
      </c>
      <c r="F314" s="1364" t="s">
        <v>2108</v>
      </c>
      <c r="G314" s="1185" t="s">
        <v>1796</v>
      </c>
      <c r="H314" s="1361">
        <f>((180000*'Equipment Results Matrix'!$R$774)+('Equipment Results Matrix'!$R$775*11.5)+'Equipment Results Matrix'!$R$776+'Equipment Results Matrix'!$R$778+'Equipment Results Matrix'!$T$781)*(1+'Equipment Results Matrix'!$T$783)</f>
        <v>19567.36033047692</v>
      </c>
      <c r="I314" s="1371">
        <f>'Labor Results Matrix'!$E$275*15</f>
        <v>62.000000000000007</v>
      </c>
      <c r="J314" s="1372">
        <f>'Labor Results Matrix'!$G$275*(1+'Labor Results Matrix'!$K$274)</f>
        <v>90.020177033585156</v>
      </c>
      <c r="K314" s="1372">
        <f t="shared" si="107"/>
        <v>5581.2509760822804</v>
      </c>
      <c r="L314" s="1372">
        <f>('Labor Results Matrix'!$I$275*15*(1+'Labor Results Matrix'!$K$274))+('Labor Results Matrix'!$J$276*(1+'Labor Results Matrix'!$K$274))</f>
        <v>7122.6319652290258</v>
      </c>
      <c r="M314" s="1372">
        <f t="shared" si="108"/>
        <v>32271.243271788226</v>
      </c>
      <c r="N314" s="1455" t="s">
        <v>380</v>
      </c>
      <c r="O314" s="1361">
        <f>H314/180</f>
        <v>108.70755739153844</v>
      </c>
      <c r="P314" s="1371">
        <f>'Labor Results Matrix'!$E$275/12</f>
        <v>0.3444444444444445</v>
      </c>
      <c r="Q314" s="1372">
        <f>('Labor Results Matrix'!$H$275/12)*(1+'Labor Results Matrix'!$K$274)</f>
        <v>31.00694986712378</v>
      </c>
      <c r="R314" s="1372">
        <f>('Labor Results Matrix'!$I$275/12)*(1+'Labor Results Matrix'!$K$274)</f>
        <v>35.331666666666663</v>
      </c>
      <c r="S314" s="1372">
        <f>'Labor Results Matrix'!$J$276*(1+'Labor Results Matrix'!$K$274)</f>
        <v>762.93196522902554</v>
      </c>
      <c r="T314" s="1372">
        <f t="shared" si="110"/>
        <v>175.0461739253289</v>
      </c>
      <c r="U314" s="1417" t="s">
        <v>380</v>
      </c>
      <c r="V314" s="1455" t="s">
        <v>380</v>
      </c>
      <c r="W314" s="1366"/>
      <c r="X314" s="1366"/>
      <c r="Y314" s="1366"/>
      <c r="Z314" s="1366"/>
      <c r="AA314" s="1366"/>
      <c r="AB314" s="1366"/>
      <c r="AC314" s="1366"/>
      <c r="AD314" s="1366"/>
      <c r="AE314" s="1366"/>
      <c r="AF314" s="1366"/>
      <c r="AG314" s="1366"/>
      <c r="AH314" s="1366"/>
      <c r="AI314" s="1366"/>
      <c r="AJ314" s="1366"/>
      <c r="AK314" s="1366"/>
      <c r="AL314" s="1366"/>
      <c r="AM314" s="1366"/>
      <c r="AN314" s="1366"/>
      <c r="AO314" s="1366"/>
      <c r="AP314" s="1366"/>
      <c r="AQ314" s="1366"/>
      <c r="AR314" s="1366"/>
      <c r="AS314" s="1366"/>
      <c r="AT314" s="1366"/>
      <c r="AU314" s="1366"/>
      <c r="AV314" s="1366"/>
      <c r="AW314" s="1366"/>
      <c r="AX314" s="1366"/>
      <c r="AY314" s="1366"/>
      <c r="AZ314" s="1366"/>
      <c r="BA314" s="1366"/>
      <c r="BB314" s="1366"/>
      <c r="BC314" s="1366"/>
      <c r="BD314" s="1366"/>
      <c r="BE314" s="1366"/>
      <c r="BF314" s="1366"/>
      <c r="BG314" s="1366"/>
      <c r="BH314" s="1366"/>
      <c r="BI314" s="1366"/>
      <c r="BJ314" s="1366"/>
      <c r="BK314" s="1366"/>
      <c r="BL314" s="1366"/>
      <c r="BM314" s="1366"/>
      <c r="BN314" s="1366"/>
      <c r="BO314" s="1366"/>
      <c r="BP314" s="1366"/>
      <c r="BQ314" s="1366"/>
      <c r="BR314" s="1366"/>
      <c r="BS314" s="1366"/>
      <c r="BT314" s="1366"/>
      <c r="BU314" s="1366"/>
      <c r="BV314" s="1366"/>
      <c r="BW314" s="1366"/>
      <c r="BX314" s="1366"/>
      <c r="BY314" s="1366"/>
      <c r="BZ314" s="1366"/>
      <c r="CA314" s="1366"/>
      <c r="CB314" s="1366"/>
      <c r="CC314" s="1366"/>
      <c r="CD314" s="1366"/>
      <c r="CE314" s="1366"/>
      <c r="CF314" s="1366"/>
      <c r="CG314" s="1366"/>
      <c r="CH314" s="1366"/>
      <c r="CI314" s="1366"/>
      <c r="CJ314" s="1366"/>
      <c r="CK314" s="1366"/>
      <c r="CL314" s="1366"/>
      <c r="CM314" s="1366"/>
      <c r="CN314" s="1366"/>
      <c r="CO314" s="1366"/>
      <c r="CP314" s="1366"/>
      <c r="CQ314" s="1366"/>
      <c r="CR314" s="1366"/>
      <c r="CS314" s="1366"/>
      <c r="CT314" s="1366"/>
      <c r="CU314" s="1366"/>
      <c r="CV314" s="1366"/>
      <c r="CW314" s="1366"/>
      <c r="CX314" s="1366"/>
      <c r="CY314" s="1366"/>
      <c r="CZ314" s="1366"/>
      <c r="DA314" s="1366"/>
      <c r="DB314" s="1366"/>
      <c r="DC314" s="1366"/>
      <c r="DD314" s="1366"/>
      <c r="DE314" s="1366"/>
      <c r="DF314" s="1366"/>
      <c r="DG314" s="1366"/>
      <c r="DH314" s="1366"/>
      <c r="DI314" s="1366"/>
      <c r="DJ314" s="1366"/>
      <c r="DK314" s="1366"/>
      <c r="DL314" s="1366"/>
      <c r="DM314" s="1366"/>
      <c r="DN314" s="1366"/>
      <c r="DO314" s="1366"/>
      <c r="DP314" s="1366"/>
      <c r="DQ314" s="1366"/>
      <c r="DR314" s="1366"/>
      <c r="DS314" s="1366"/>
      <c r="DT314" s="1366"/>
      <c r="DU314" s="1366"/>
      <c r="DV314" s="1366"/>
    </row>
    <row r="315" spans="1:126" s="1367" customFormat="1" ht="30">
      <c r="A315" s="2494"/>
      <c r="B315" s="1653">
        <v>38</v>
      </c>
      <c r="C315" s="1642" t="s">
        <v>49</v>
      </c>
      <c r="D315" s="1375" t="s">
        <v>2245</v>
      </c>
      <c r="E315" s="1364" t="s">
        <v>2097</v>
      </c>
      <c r="F315" s="1364" t="s">
        <v>2108</v>
      </c>
      <c r="G315" s="1185" t="s">
        <v>1796</v>
      </c>
      <c r="H315" s="1361">
        <f>((180000*'Equipment Results Matrix'!$R$774)+('Equipment Results Matrix'!$R$775*12)+'Equipment Results Matrix'!$R$776+'Equipment Results Matrix'!$R$778+'Equipment Results Matrix'!$T$781)*(1+'Equipment Results Matrix'!$T$783)</f>
        <v>20541.616944276921</v>
      </c>
      <c r="I315" s="1371">
        <f>'Labor Results Matrix'!$E$275*15</f>
        <v>62.000000000000007</v>
      </c>
      <c r="J315" s="1372">
        <f>'Labor Results Matrix'!$G$275*(1+'Labor Results Matrix'!$K$274)</f>
        <v>90.020177033585156</v>
      </c>
      <c r="K315" s="1372">
        <f t="shared" si="107"/>
        <v>5581.2509760822804</v>
      </c>
      <c r="L315" s="1372">
        <f>('Labor Results Matrix'!$I$275*15*(1+'Labor Results Matrix'!$K$274))+('Labor Results Matrix'!$J$276*(1+'Labor Results Matrix'!$K$274))</f>
        <v>7122.6319652290258</v>
      </c>
      <c r="M315" s="1372">
        <f t="shared" si="108"/>
        <v>33245.49988558823</v>
      </c>
      <c r="N315" s="1455" t="s">
        <v>380</v>
      </c>
      <c r="O315" s="1361">
        <f t="shared" ref="O315:O317" si="112">H315/180</f>
        <v>114.12009413487178</v>
      </c>
      <c r="P315" s="1371">
        <f>'Labor Results Matrix'!$E$275/12</f>
        <v>0.3444444444444445</v>
      </c>
      <c r="Q315" s="1372">
        <f>('Labor Results Matrix'!$H$275/12)*(1+'Labor Results Matrix'!$K$274)</f>
        <v>31.00694986712378</v>
      </c>
      <c r="R315" s="1372">
        <f>('Labor Results Matrix'!$I$275/12)*(1+'Labor Results Matrix'!$K$274)</f>
        <v>35.331666666666663</v>
      </c>
      <c r="S315" s="1372">
        <f>'Labor Results Matrix'!$J$276*(1+'Labor Results Matrix'!$K$274)</f>
        <v>762.93196522902554</v>
      </c>
      <c r="T315" s="1372">
        <f t="shared" si="110"/>
        <v>180.45871066866221</v>
      </c>
      <c r="U315" s="1417" t="s">
        <v>380</v>
      </c>
      <c r="V315" s="1455" t="s">
        <v>380</v>
      </c>
      <c r="W315" s="1366"/>
      <c r="X315" s="1366"/>
      <c r="Y315" s="1366"/>
      <c r="Z315" s="1366"/>
      <c r="AA315" s="1366"/>
      <c r="AB315" s="1366"/>
      <c r="AC315" s="1366"/>
      <c r="AD315" s="1366"/>
      <c r="AE315" s="1366"/>
      <c r="AF315" s="1366"/>
      <c r="AG315" s="1366"/>
      <c r="AH315" s="1366"/>
      <c r="AI315" s="1366"/>
      <c r="AJ315" s="1366"/>
      <c r="AK315" s="1366"/>
      <c r="AL315" s="1366"/>
      <c r="AM315" s="1366"/>
      <c r="AN315" s="1366"/>
      <c r="AO315" s="1366"/>
      <c r="AP315" s="1366"/>
      <c r="AQ315" s="1366"/>
      <c r="AR315" s="1366"/>
      <c r="AS315" s="1366"/>
      <c r="AT315" s="1366"/>
      <c r="AU315" s="1366"/>
      <c r="AV315" s="1366"/>
      <c r="AW315" s="1366"/>
      <c r="AX315" s="1366"/>
      <c r="AY315" s="1366"/>
      <c r="AZ315" s="1366"/>
      <c r="BA315" s="1366"/>
      <c r="BB315" s="1366"/>
      <c r="BC315" s="1366"/>
      <c r="BD315" s="1366"/>
      <c r="BE315" s="1366"/>
      <c r="BF315" s="1366"/>
      <c r="BG315" s="1366"/>
      <c r="BH315" s="1366"/>
      <c r="BI315" s="1366"/>
      <c r="BJ315" s="1366"/>
      <c r="BK315" s="1366"/>
      <c r="BL315" s="1366"/>
      <c r="BM315" s="1366"/>
      <c r="BN315" s="1366"/>
      <c r="BO315" s="1366"/>
      <c r="BP315" s="1366"/>
      <c r="BQ315" s="1366"/>
      <c r="BR315" s="1366"/>
      <c r="BS315" s="1366"/>
      <c r="BT315" s="1366"/>
      <c r="BU315" s="1366"/>
      <c r="BV315" s="1366"/>
      <c r="BW315" s="1366"/>
      <c r="BX315" s="1366"/>
      <c r="BY315" s="1366"/>
      <c r="BZ315" s="1366"/>
      <c r="CA315" s="1366"/>
      <c r="CB315" s="1366"/>
      <c r="CC315" s="1366"/>
      <c r="CD315" s="1366"/>
      <c r="CE315" s="1366"/>
      <c r="CF315" s="1366"/>
      <c r="CG315" s="1366"/>
      <c r="CH315" s="1366"/>
      <c r="CI315" s="1366"/>
      <c r="CJ315" s="1366"/>
      <c r="CK315" s="1366"/>
      <c r="CL315" s="1366"/>
      <c r="CM315" s="1366"/>
      <c r="CN315" s="1366"/>
      <c r="CO315" s="1366"/>
      <c r="CP315" s="1366"/>
      <c r="CQ315" s="1366"/>
      <c r="CR315" s="1366"/>
      <c r="CS315" s="1366"/>
      <c r="CT315" s="1366"/>
      <c r="CU315" s="1366"/>
      <c r="CV315" s="1366"/>
      <c r="CW315" s="1366"/>
      <c r="CX315" s="1366"/>
      <c r="CY315" s="1366"/>
      <c r="CZ315" s="1366"/>
      <c r="DA315" s="1366"/>
      <c r="DB315" s="1366"/>
      <c r="DC315" s="1366"/>
      <c r="DD315" s="1366"/>
      <c r="DE315" s="1366"/>
      <c r="DF315" s="1366"/>
      <c r="DG315" s="1366"/>
      <c r="DH315" s="1366"/>
      <c r="DI315" s="1366"/>
      <c r="DJ315" s="1366"/>
      <c r="DK315" s="1366"/>
      <c r="DL315" s="1366"/>
      <c r="DM315" s="1366"/>
      <c r="DN315" s="1366"/>
      <c r="DO315" s="1366"/>
      <c r="DP315" s="1366"/>
      <c r="DQ315" s="1366"/>
      <c r="DR315" s="1366"/>
      <c r="DS315" s="1366"/>
      <c r="DT315" s="1366"/>
      <c r="DU315" s="1366"/>
      <c r="DV315" s="1366"/>
    </row>
    <row r="316" spans="1:126" s="1367" customFormat="1" ht="30">
      <c r="A316" s="2494"/>
      <c r="B316" s="1653">
        <v>39</v>
      </c>
      <c r="C316" s="1642" t="s">
        <v>49</v>
      </c>
      <c r="D316" s="1375" t="s">
        <v>2246</v>
      </c>
      <c r="E316" s="1364" t="s">
        <v>2097</v>
      </c>
      <c r="F316" s="1364" t="s">
        <v>2108</v>
      </c>
      <c r="G316" s="1185" t="s">
        <v>1796</v>
      </c>
      <c r="H316" s="1361">
        <f>((180000*'Equipment Results Matrix'!$R$774)+('Equipment Results Matrix'!$R$775*10.8)+'Equipment Results Matrix'!$R$776+'Equipment Results Matrix'!$R$778+'Equipment Results Matrix'!$T$781)*(1+'Equipment Results Matrix'!$T$783)</f>
        <v>18203.401071156921</v>
      </c>
      <c r="I316" s="1371">
        <f>'Labor Results Matrix'!$E$275*15</f>
        <v>62.000000000000007</v>
      </c>
      <c r="J316" s="1372">
        <f>'Labor Results Matrix'!$G$275*(1+'Labor Results Matrix'!$K$274)</f>
        <v>90.020177033585156</v>
      </c>
      <c r="K316" s="1372">
        <f t="shared" si="107"/>
        <v>5581.2509760822804</v>
      </c>
      <c r="L316" s="1372">
        <f>('Labor Results Matrix'!$I$275*15*(1+'Labor Results Matrix'!$K$274))+('Labor Results Matrix'!$J$276*(1+'Labor Results Matrix'!$K$274))</f>
        <v>7122.6319652290258</v>
      </c>
      <c r="M316" s="1372">
        <f t="shared" si="108"/>
        <v>30907.284012468226</v>
      </c>
      <c r="N316" s="1455" t="s">
        <v>380</v>
      </c>
      <c r="O316" s="1361">
        <f t="shared" si="112"/>
        <v>101.13000595087178</v>
      </c>
      <c r="P316" s="1371">
        <f>'Labor Results Matrix'!$E$275/12</f>
        <v>0.3444444444444445</v>
      </c>
      <c r="Q316" s="1372">
        <f>('Labor Results Matrix'!$H$275/12)*(1+'Labor Results Matrix'!$K$274)</f>
        <v>31.00694986712378</v>
      </c>
      <c r="R316" s="1372">
        <f>('Labor Results Matrix'!$I$275/12)*(1+'Labor Results Matrix'!$K$274)</f>
        <v>35.331666666666663</v>
      </c>
      <c r="S316" s="1372">
        <f>'Labor Results Matrix'!$J$276*(1+'Labor Results Matrix'!$K$274)</f>
        <v>762.93196522902554</v>
      </c>
      <c r="T316" s="1372">
        <f t="shared" si="110"/>
        <v>167.46862248466221</v>
      </c>
      <c r="U316" s="1417" t="s">
        <v>380</v>
      </c>
      <c r="V316" s="1455" t="s">
        <v>380</v>
      </c>
      <c r="W316" s="1366"/>
      <c r="X316" s="1366"/>
      <c r="Y316" s="1366"/>
      <c r="Z316" s="1366"/>
      <c r="AA316" s="1366"/>
      <c r="AB316" s="1366"/>
      <c r="AC316" s="1366"/>
      <c r="AD316" s="1366"/>
      <c r="AE316" s="1366"/>
      <c r="AF316" s="1366"/>
      <c r="AG316" s="1366"/>
      <c r="AH316" s="1366"/>
      <c r="AI316" s="1366"/>
      <c r="AJ316" s="1366"/>
      <c r="AK316" s="1366"/>
      <c r="AL316" s="1366"/>
      <c r="AM316" s="1366"/>
      <c r="AN316" s="1366"/>
      <c r="AO316" s="1366"/>
      <c r="AP316" s="1366"/>
      <c r="AQ316" s="1366"/>
      <c r="AR316" s="1366"/>
      <c r="AS316" s="1366"/>
      <c r="AT316" s="1366"/>
      <c r="AU316" s="1366"/>
      <c r="AV316" s="1366"/>
      <c r="AW316" s="1366"/>
      <c r="AX316" s="1366"/>
      <c r="AY316" s="1366"/>
      <c r="AZ316" s="1366"/>
      <c r="BA316" s="1366"/>
      <c r="BB316" s="1366"/>
      <c r="BC316" s="1366"/>
      <c r="BD316" s="1366"/>
      <c r="BE316" s="1366"/>
      <c r="BF316" s="1366"/>
      <c r="BG316" s="1366"/>
      <c r="BH316" s="1366"/>
      <c r="BI316" s="1366"/>
      <c r="BJ316" s="1366"/>
      <c r="BK316" s="1366"/>
      <c r="BL316" s="1366"/>
      <c r="BM316" s="1366"/>
      <c r="BN316" s="1366"/>
      <c r="BO316" s="1366"/>
      <c r="BP316" s="1366"/>
      <c r="BQ316" s="1366"/>
      <c r="BR316" s="1366"/>
      <c r="BS316" s="1366"/>
      <c r="BT316" s="1366"/>
      <c r="BU316" s="1366"/>
      <c r="BV316" s="1366"/>
      <c r="BW316" s="1366"/>
      <c r="BX316" s="1366"/>
      <c r="BY316" s="1366"/>
      <c r="BZ316" s="1366"/>
      <c r="CA316" s="1366"/>
      <c r="CB316" s="1366"/>
      <c r="CC316" s="1366"/>
      <c r="CD316" s="1366"/>
      <c r="CE316" s="1366"/>
      <c r="CF316" s="1366"/>
      <c r="CG316" s="1366"/>
      <c r="CH316" s="1366"/>
      <c r="CI316" s="1366"/>
      <c r="CJ316" s="1366"/>
      <c r="CK316" s="1366"/>
      <c r="CL316" s="1366"/>
      <c r="CM316" s="1366"/>
      <c r="CN316" s="1366"/>
      <c r="CO316" s="1366"/>
      <c r="CP316" s="1366"/>
      <c r="CQ316" s="1366"/>
      <c r="CR316" s="1366"/>
      <c r="CS316" s="1366"/>
      <c r="CT316" s="1366"/>
      <c r="CU316" s="1366"/>
      <c r="CV316" s="1366"/>
      <c r="CW316" s="1366"/>
      <c r="CX316" s="1366"/>
      <c r="CY316" s="1366"/>
      <c r="CZ316" s="1366"/>
      <c r="DA316" s="1366"/>
      <c r="DB316" s="1366"/>
      <c r="DC316" s="1366"/>
      <c r="DD316" s="1366"/>
      <c r="DE316" s="1366"/>
      <c r="DF316" s="1366"/>
      <c r="DG316" s="1366"/>
      <c r="DH316" s="1366"/>
      <c r="DI316" s="1366"/>
      <c r="DJ316" s="1366"/>
      <c r="DK316" s="1366"/>
      <c r="DL316" s="1366"/>
      <c r="DM316" s="1366"/>
      <c r="DN316" s="1366"/>
      <c r="DO316" s="1366"/>
      <c r="DP316" s="1366"/>
      <c r="DQ316" s="1366"/>
      <c r="DR316" s="1366"/>
      <c r="DS316" s="1366"/>
      <c r="DT316" s="1366"/>
      <c r="DU316" s="1366"/>
      <c r="DV316" s="1366"/>
    </row>
    <row r="317" spans="1:126" s="1367" customFormat="1" ht="30">
      <c r="A317" s="2494"/>
      <c r="B317" s="1653">
        <v>40</v>
      </c>
      <c r="C317" s="1642" t="s">
        <v>49</v>
      </c>
      <c r="D317" s="1375" t="s">
        <v>2246</v>
      </c>
      <c r="E317" s="1364" t="s">
        <v>2097</v>
      </c>
      <c r="F317" s="1364" t="s">
        <v>2108</v>
      </c>
      <c r="G317" s="1185" t="s">
        <v>1796</v>
      </c>
      <c r="H317" s="1361">
        <f>((180000*'Equipment Results Matrix'!$R$774)+('Equipment Results Matrix'!$R$775*10.8)+'Equipment Results Matrix'!$R$776+'Equipment Results Matrix'!$R$778+'Equipment Results Matrix'!$T$781)*(1+'Equipment Results Matrix'!$T$783)</f>
        <v>18203.401071156921</v>
      </c>
      <c r="I317" s="1371">
        <f>'Labor Results Matrix'!$E$275*15</f>
        <v>62.000000000000007</v>
      </c>
      <c r="J317" s="1372">
        <f>'Labor Results Matrix'!$G$275*(1+'Labor Results Matrix'!$K$274)</f>
        <v>90.020177033585156</v>
      </c>
      <c r="K317" s="1372">
        <f t="shared" si="107"/>
        <v>5581.2509760822804</v>
      </c>
      <c r="L317" s="1372">
        <f>('Labor Results Matrix'!$I$275*15*(1+'Labor Results Matrix'!$K$274))+('Labor Results Matrix'!$J$276*(1+'Labor Results Matrix'!$K$274))</f>
        <v>7122.6319652290258</v>
      </c>
      <c r="M317" s="1372">
        <f t="shared" si="108"/>
        <v>30907.284012468226</v>
      </c>
      <c r="N317" s="1455" t="s">
        <v>380</v>
      </c>
      <c r="O317" s="1361">
        <f t="shared" si="112"/>
        <v>101.13000595087178</v>
      </c>
      <c r="P317" s="1371">
        <f>'Labor Results Matrix'!$E$275/12</f>
        <v>0.3444444444444445</v>
      </c>
      <c r="Q317" s="1372">
        <f>('Labor Results Matrix'!$H$275/12)*(1+'Labor Results Matrix'!$K$274)</f>
        <v>31.00694986712378</v>
      </c>
      <c r="R317" s="1372">
        <f>('Labor Results Matrix'!$I$275/12)*(1+'Labor Results Matrix'!$K$274)</f>
        <v>35.331666666666663</v>
      </c>
      <c r="S317" s="1372">
        <f>'Labor Results Matrix'!$J$276*(1+'Labor Results Matrix'!$K$274)</f>
        <v>762.93196522902554</v>
      </c>
      <c r="T317" s="1372">
        <f t="shared" si="110"/>
        <v>167.46862248466221</v>
      </c>
      <c r="U317" s="1417" t="s">
        <v>380</v>
      </c>
      <c r="V317" s="1455" t="s">
        <v>380</v>
      </c>
      <c r="W317" s="1366"/>
      <c r="X317" s="1366"/>
      <c r="Y317" s="1366"/>
      <c r="Z317" s="1366"/>
      <c r="AA317" s="1366"/>
      <c r="AB317" s="1366"/>
      <c r="AC317" s="1366"/>
      <c r="AD317" s="1366"/>
      <c r="AE317" s="1366"/>
      <c r="AF317" s="1366"/>
      <c r="AG317" s="1366"/>
      <c r="AH317" s="1366"/>
      <c r="AI317" s="1366"/>
      <c r="AJ317" s="1366"/>
      <c r="AK317" s="1366"/>
      <c r="AL317" s="1366"/>
      <c r="AM317" s="1366"/>
      <c r="AN317" s="1366"/>
      <c r="AO317" s="1366"/>
      <c r="AP317" s="1366"/>
      <c r="AQ317" s="1366"/>
      <c r="AR317" s="1366"/>
      <c r="AS317" s="1366"/>
      <c r="AT317" s="1366"/>
      <c r="AU317" s="1366"/>
      <c r="AV317" s="1366"/>
      <c r="AW317" s="1366"/>
      <c r="AX317" s="1366"/>
      <c r="AY317" s="1366"/>
      <c r="AZ317" s="1366"/>
      <c r="BA317" s="1366"/>
      <c r="BB317" s="1366"/>
      <c r="BC317" s="1366"/>
      <c r="BD317" s="1366"/>
      <c r="BE317" s="1366"/>
      <c r="BF317" s="1366"/>
      <c r="BG317" s="1366"/>
      <c r="BH317" s="1366"/>
      <c r="BI317" s="1366"/>
      <c r="BJ317" s="1366"/>
      <c r="BK317" s="1366"/>
      <c r="BL317" s="1366"/>
      <c r="BM317" s="1366"/>
      <c r="BN317" s="1366"/>
      <c r="BO317" s="1366"/>
      <c r="BP317" s="1366"/>
      <c r="BQ317" s="1366"/>
      <c r="BR317" s="1366"/>
      <c r="BS317" s="1366"/>
      <c r="BT317" s="1366"/>
      <c r="BU317" s="1366"/>
      <c r="BV317" s="1366"/>
      <c r="BW317" s="1366"/>
      <c r="BX317" s="1366"/>
      <c r="BY317" s="1366"/>
      <c r="BZ317" s="1366"/>
      <c r="CA317" s="1366"/>
      <c r="CB317" s="1366"/>
      <c r="CC317" s="1366"/>
      <c r="CD317" s="1366"/>
      <c r="CE317" s="1366"/>
      <c r="CF317" s="1366"/>
      <c r="CG317" s="1366"/>
      <c r="CH317" s="1366"/>
      <c r="CI317" s="1366"/>
      <c r="CJ317" s="1366"/>
      <c r="CK317" s="1366"/>
      <c r="CL317" s="1366"/>
      <c r="CM317" s="1366"/>
      <c r="CN317" s="1366"/>
      <c r="CO317" s="1366"/>
      <c r="CP317" s="1366"/>
      <c r="CQ317" s="1366"/>
      <c r="CR317" s="1366"/>
      <c r="CS317" s="1366"/>
      <c r="CT317" s="1366"/>
      <c r="CU317" s="1366"/>
      <c r="CV317" s="1366"/>
      <c r="CW317" s="1366"/>
      <c r="CX317" s="1366"/>
      <c r="CY317" s="1366"/>
      <c r="CZ317" s="1366"/>
      <c r="DA317" s="1366"/>
      <c r="DB317" s="1366"/>
      <c r="DC317" s="1366"/>
      <c r="DD317" s="1366"/>
      <c r="DE317" s="1366"/>
      <c r="DF317" s="1366"/>
      <c r="DG317" s="1366"/>
      <c r="DH317" s="1366"/>
      <c r="DI317" s="1366"/>
      <c r="DJ317" s="1366"/>
      <c r="DK317" s="1366"/>
      <c r="DL317" s="1366"/>
      <c r="DM317" s="1366"/>
      <c r="DN317" s="1366"/>
      <c r="DO317" s="1366"/>
      <c r="DP317" s="1366"/>
      <c r="DQ317" s="1366"/>
      <c r="DR317" s="1366"/>
      <c r="DS317" s="1366"/>
      <c r="DT317" s="1366"/>
      <c r="DU317" s="1366"/>
      <c r="DV317" s="1366"/>
    </row>
    <row r="318" spans="1:126" s="1378" customFormat="1">
      <c r="A318" s="2494"/>
      <c r="B318" s="1659">
        <v>41</v>
      </c>
      <c r="C318" s="1671" t="s">
        <v>49</v>
      </c>
      <c r="D318" s="1396" t="s">
        <v>2729</v>
      </c>
      <c r="E318" s="1376" t="s">
        <v>2097</v>
      </c>
      <c r="F318" s="1376" t="s">
        <v>2108</v>
      </c>
      <c r="G318" s="1377" t="s">
        <v>1796</v>
      </c>
      <c r="H318" s="1418"/>
      <c r="I318" s="1419"/>
      <c r="J318" s="1513"/>
      <c r="K318" s="1513"/>
      <c r="L318" s="1420"/>
      <c r="M318" s="1513"/>
      <c r="N318" s="1465"/>
      <c r="O318" s="1514"/>
      <c r="P318" s="1513"/>
      <c r="Q318" s="1513"/>
      <c r="R318" s="1513"/>
      <c r="S318" s="1513"/>
      <c r="T318" s="1513"/>
      <c r="U318" s="1513"/>
      <c r="V318" s="1465"/>
      <c r="W318" s="1366"/>
      <c r="X318" s="1366"/>
      <c r="Y318" s="1366"/>
      <c r="Z318" s="1366"/>
      <c r="AA318" s="1366"/>
      <c r="AB318" s="1366"/>
      <c r="AC318" s="1366"/>
      <c r="AD318" s="1366"/>
      <c r="AE318" s="1366"/>
      <c r="AF318" s="1366"/>
      <c r="AG318" s="1366"/>
      <c r="AH318" s="1366"/>
      <c r="AI318" s="1366"/>
      <c r="AJ318" s="1366"/>
      <c r="AK318" s="1366"/>
      <c r="AL318" s="1366"/>
      <c r="AM318" s="1366"/>
      <c r="AN318" s="1366"/>
      <c r="AO318" s="1366"/>
      <c r="AP318" s="1366"/>
      <c r="AQ318" s="1366"/>
      <c r="AR318" s="1366"/>
      <c r="AS318" s="1366"/>
      <c r="AT318" s="1366"/>
      <c r="AU318" s="1366"/>
      <c r="AV318" s="1366"/>
      <c r="AW318" s="1366"/>
      <c r="AX318" s="1366"/>
      <c r="AY318" s="1366"/>
      <c r="AZ318" s="1366"/>
      <c r="BA318" s="1366"/>
      <c r="BB318" s="1366"/>
      <c r="BC318" s="1366"/>
      <c r="BD318" s="1366"/>
      <c r="BE318" s="1366"/>
      <c r="BF318" s="1366"/>
      <c r="BG318" s="1366"/>
      <c r="BH318" s="1366"/>
      <c r="BI318" s="1366"/>
      <c r="BJ318" s="1366"/>
      <c r="BK318" s="1366"/>
      <c r="BL318" s="1366"/>
      <c r="BM318" s="1366"/>
      <c r="BN318" s="1366"/>
      <c r="BO318" s="1366"/>
      <c r="BP318" s="1366"/>
      <c r="BQ318" s="1366"/>
      <c r="BR318" s="1366"/>
      <c r="BS318" s="1366"/>
      <c r="BT318" s="1366"/>
      <c r="BU318" s="1366"/>
      <c r="BV318" s="1366"/>
      <c r="BW318" s="1366"/>
      <c r="BX318" s="1366"/>
      <c r="BY318" s="1366"/>
      <c r="BZ318" s="1366"/>
      <c r="CA318" s="1366"/>
      <c r="CB318" s="1366"/>
      <c r="CC318" s="1366"/>
      <c r="CD318" s="1366"/>
      <c r="CE318" s="1366"/>
      <c r="CF318" s="1366"/>
      <c r="CG318" s="1366"/>
      <c r="CH318" s="1366"/>
      <c r="CI318" s="1366"/>
      <c r="CJ318" s="1366"/>
      <c r="CK318" s="1366"/>
      <c r="CL318" s="1366"/>
      <c r="CM318" s="1366"/>
      <c r="CN318" s="1366"/>
      <c r="CO318" s="1366"/>
      <c r="CP318" s="1366"/>
      <c r="CQ318" s="1366"/>
      <c r="CR318" s="1366"/>
      <c r="CS318" s="1366"/>
      <c r="CT318" s="1366"/>
      <c r="CU318" s="1366"/>
      <c r="CV318" s="1366"/>
      <c r="CW318" s="1366"/>
      <c r="CX318" s="1366"/>
      <c r="CY318" s="1366"/>
      <c r="CZ318" s="1366"/>
      <c r="DA318" s="1366"/>
      <c r="DB318" s="1366"/>
      <c r="DC318" s="1366"/>
      <c r="DD318" s="1366"/>
      <c r="DE318" s="1366"/>
      <c r="DF318" s="1366"/>
      <c r="DG318" s="1366"/>
      <c r="DH318" s="1366"/>
      <c r="DI318" s="1366"/>
      <c r="DJ318" s="1366"/>
      <c r="DK318" s="1366"/>
      <c r="DL318" s="1366"/>
      <c r="DM318" s="1366"/>
      <c r="DN318" s="1366"/>
      <c r="DO318" s="1366"/>
      <c r="DP318" s="1366"/>
      <c r="DQ318" s="1366"/>
      <c r="DR318" s="1366"/>
      <c r="DS318" s="1366"/>
      <c r="DT318" s="1366"/>
      <c r="DU318" s="1366"/>
      <c r="DV318" s="1366"/>
    </row>
    <row r="319" spans="1:126" s="1378" customFormat="1">
      <c r="A319" s="2494"/>
      <c r="B319" s="1659">
        <v>42</v>
      </c>
      <c r="C319" s="1671" t="s">
        <v>49</v>
      </c>
      <c r="D319" s="1396" t="s">
        <v>2730</v>
      </c>
      <c r="E319" s="1376" t="s">
        <v>2097</v>
      </c>
      <c r="F319" s="1376" t="s">
        <v>2108</v>
      </c>
      <c r="G319" s="1377" t="s">
        <v>1796</v>
      </c>
      <c r="H319" s="1418"/>
      <c r="I319" s="1419"/>
      <c r="J319" s="1513"/>
      <c r="K319" s="1513"/>
      <c r="L319" s="1420"/>
      <c r="M319" s="1513"/>
      <c r="N319" s="1465"/>
      <c r="O319" s="1514"/>
      <c r="P319" s="1513"/>
      <c r="Q319" s="1513"/>
      <c r="R319" s="1513"/>
      <c r="S319" s="1513"/>
      <c r="T319" s="1513"/>
      <c r="U319" s="1513"/>
      <c r="V319" s="1465"/>
      <c r="W319" s="1366"/>
      <c r="X319" s="1366"/>
      <c r="Y319" s="1366"/>
      <c r="Z319" s="1366"/>
      <c r="AA319" s="1366"/>
      <c r="AB319" s="1366"/>
      <c r="AC319" s="1366"/>
      <c r="AD319" s="1366"/>
      <c r="AE319" s="1366"/>
      <c r="AF319" s="1366"/>
      <c r="AG319" s="1366"/>
      <c r="AH319" s="1366"/>
      <c r="AI319" s="1366"/>
      <c r="AJ319" s="1366"/>
      <c r="AK319" s="1366"/>
      <c r="AL319" s="1366"/>
      <c r="AM319" s="1366"/>
      <c r="AN319" s="1366"/>
      <c r="AO319" s="1366"/>
      <c r="AP319" s="1366"/>
      <c r="AQ319" s="1366"/>
      <c r="AR319" s="1366"/>
      <c r="AS319" s="1366"/>
      <c r="AT319" s="1366"/>
      <c r="AU319" s="1366"/>
      <c r="AV319" s="1366"/>
      <c r="AW319" s="1366"/>
      <c r="AX319" s="1366"/>
      <c r="AY319" s="1366"/>
      <c r="AZ319" s="1366"/>
      <c r="BA319" s="1366"/>
      <c r="BB319" s="1366"/>
      <c r="BC319" s="1366"/>
      <c r="BD319" s="1366"/>
      <c r="BE319" s="1366"/>
      <c r="BF319" s="1366"/>
      <c r="BG319" s="1366"/>
      <c r="BH319" s="1366"/>
      <c r="BI319" s="1366"/>
      <c r="BJ319" s="1366"/>
      <c r="BK319" s="1366"/>
      <c r="BL319" s="1366"/>
      <c r="BM319" s="1366"/>
      <c r="BN319" s="1366"/>
      <c r="BO319" s="1366"/>
      <c r="BP319" s="1366"/>
      <c r="BQ319" s="1366"/>
      <c r="BR319" s="1366"/>
      <c r="BS319" s="1366"/>
      <c r="BT319" s="1366"/>
      <c r="BU319" s="1366"/>
      <c r="BV319" s="1366"/>
      <c r="BW319" s="1366"/>
      <c r="BX319" s="1366"/>
      <c r="BY319" s="1366"/>
      <c r="BZ319" s="1366"/>
      <c r="CA319" s="1366"/>
      <c r="CB319" s="1366"/>
      <c r="CC319" s="1366"/>
      <c r="CD319" s="1366"/>
      <c r="CE319" s="1366"/>
      <c r="CF319" s="1366"/>
      <c r="CG319" s="1366"/>
      <c r="CH319" s="1366"/>
      <c r="CI319" s="1366"/>
      <c r="CJ319" s="1366"/>
      <c r="CK319" s="1366"/>
      <c r="CL319" s="1366"/>
      <c r="CM319" s="1366"/>
      <c r="CN319" s="1366"/>
      <c r="CO319" s="1366"/>
      <c r="CP319" s="1366"/>
      <c r="CQ319" s="1366"/>
      <c r="CR319" s="1366"/>
      <c r="CS319" s="1366"/>
      <c r="CT319" s="1366"/>
      <c r="CU319" s="1366"/>
      <c r="CV319" s="1366"/>
      <c r="CW319" s="1366"/>
      <c r="CX319" s="1366"/>
      <c r="CY319" s="1366"/>
      <c r="CZ319" s="1366"/>
      <c r="DA319" s="1366"/>
      <c r="DB319" s="1366"/>
      <c r="DC319" s="1366"/>
      <c r="DD319" s="1366"/>
      <c r="DE319" s="1366"/>
      <c r="DF319" s="1366"/>
      <c r="DG319" s="1366"/>
      <c r="DH319" s="1366"/>
      <c r="DI319" s="1366"/>
      <c r="DJ319" s="1366"/>
      <c r="DK319" s="1366"/>
      <c r="DL319" s="1366"/>
      <c r="DM319" s="1366"/>
      <c r="DN319" s="1366"/>
      <c r="DO319" s="1366"/>
      <c r="DP319" s="1366"/>
      <c r="DQ319" s="1366"/>
      <c r="DR319" s="1366"/>
      <c r="DS319" s="1366"/>
      <c r="DT319" s="1366"/>
      <c r="DU319" s="1366"/>
      <c r="DV319" s="1366"/>
    </row>
    <row r="320" spans="1:126" s="1378" customFormat="1" ht="30">
      <c r="A320" s="2494"/>
      <c r="B320" s="1659">
        <v>43</v>
      </c>
      <c r="C320" s="1671" t="s">
        <v>49</v>
      </c>
      <c r="D320" s="1396" t="s">
        <v>2731</v>
      </c>
      <c r="E320" s="1376" t="s">
        <v>2097</v>
      </c>
      <c r="F320" s="1376" t="s">
        <v>2108</v>
      </c>
      <c r="G320" s="1377" t="s">
        <v>1796</v>
      </c>
      <c r="H320" s="1418"/>
      <c r="I320" s="1419"/>
      <c r="J320" s="1513"/>
      <c r="K320" s="1513"/>
      <c r="L320" s="1420"/>
      <c r="M320" s="1513"/>
      <c r="N320" s="1465"/>
      <c r="O320" s="1514"/>
      <c r="P320" s="1513"/>
      <c r="Q320" s="1513"/>
      <c r="R320" s="1513"/>
      <c r="S320" s="1513"/>
      <c r="T320" s="1513"/>
      <c r="U320" s="1513"/>
      <c r="V320" s="1465"/>
      <c r="W320" s="1366"/>
      <c r="X320" s="1366"/>
      <c r="Y320" s="1366"/>
      <c r="Z320" s="1366"/>
      <c r="AA320" s="1366"/>
      <c r="AB320" s="1366"/>
      <c r="AC320" s="1366"/>
      <c r="AD320" s="1366"/>
      <c r="AE320" s="1366"/>
      <c r="AF320" s="1366"/>
      <c r="AG320" s="1366"/>
      <c r="AH320" s="1366"/>
      <c r="AI320" s="1366"/>
      <c r="AJ320" s="1366"/>
      <c r="AK320" s="1366"/>
      <c r="AL320" s="1366"/>
      <c r="AM320" s="1366"/>
      <c r="AN320" s="1366"/>
      <c r="AO320" s="1366"/>
      <c r="AP320" s="1366"/>
      <c r="AQ320" s="1366"/>
      <c r="AR320" s="1366"/>
      <c r="AS320" s="1366"/>
      <c r="AT320" s="1366"/>
      <c r="AU320" s="1366"/>
      <c r="AV320" s="1366"/>
      <c r="AW320" s="1366"/>
      <c r="AX320" s="1366"/>
      <c r="AY320" s="1366"/>
      <c r="AZ320" s="1366"/>
      <c r="BA320" s="1366"/>
      <c r="BB320" s="1366"/>
      <c r="BC320" s="1366"/>
      <c r="BD320" s="1366"/>
      <c r="BE320" s="1366"/>
      <c r="BF320" s="1366"/>
      <c r="BG320" s="1366"/>
      <c r="BH320" s="1366"/>
      <c r="BI320" s="1366"/>
      <c r="BJ320" s="1366"/>
      <c r="BK320" s="1366"/>
      <c r="BL320" s="1366"/>
      <c r="BM320" s="1366"/>
      <c r="BN320" s="1366"/>
      <c r="BO320" s="1366"/>
      <c r="BP320" s="1366"/>
      <c r="BQ320" s="1366"/>
      <c r="BR320" s="1366"/>
      <c r="BS320" s="1366"/>
      <c r="BT320" s="1366"/>
      <c r="BU320" s="1366"/>
      <c r="BV320" s="1366"/>
      <c r="BW320" s="1366"/>
      <c r="BX320" s="1366"/>
      <c r="BY320" s="1366"/>
      <c r="BZ320" s="1366"/>
      <c r="CA320" s="1366"/>
      <c r="CB320" s="1366"/>
      <c r="CC320" s="1366"/>
      <c r="CD320" s="1366"/>
      <c r="CE320" s="1366"/>
      <c r="CF320" s="1366"/>
      <c r="CG320" s="1366"/>
      <c r="CH320" s="1366"/>
      <c r="CI320" s="1366"/>
      <c r="CJ320" s="1366"/>
      <c r="CK320" s="1366"/>
      <c r="CL320" s="1366"/>
      <c r="CM320" s="1366"/>
      <c r="CN320" s="1366"/>
      <c r="CO320" s="1366"/>
      <c r="CP320" s="1366"/>
      <c r="CQ320" s="1366"/>
      <c r="CR320" s="1366"/>
      <c r="CS320" s="1366"/>
      <c r="CT320" s="1366"/>
      <c r="CU320" s="1366"/>
      <c r="CV320" s="1366"/>
      <c r="CW320" s="1366"/>
      <c r="CX320" s="1366"/>
      <c r="CY320" s="1366"/>
      <c r="CZ320" s="1366"/>
      <c r="DA320" s="1366"/>
      <c r="DB320" s="1366"/>
      <c r="DC320" s="1366"/>
      <c r="DD320" s="1366"/>
      <c r="DE320" s="1366"/>
      <c r="DF320" s="1366"/>
      <c r="DG320" s="1366"/>
      <c r="DH320" s="1366"/>
      <c r="DI320" s="1366"/>
      <c r="DJ320" s="1366"/>
      <c r="DK320" s="1366"/>
      <c r="DL320" s="1366"/>
      <c r="DM320" s="1366"/>
      <c r="DN320" s="1366"/>
      <c r="DO320" s="1366"/>
      <c r="DP320" s="1366"/>
      <c r="DQ320" s="1366"/>
      <c r="DR320" s="1366"/>
      <c r="DS320" s="1366"/>
      <c r="DT320" s="1366"/>
      <c r="DU320" s="1366"/>
      <c r="DV320" s="1366"/>
    </row>
    <row r="321" spans="1:126" s="1378" customFormat="1" ht="30">
      <c r="A321" s="2494"/>
      <c r="B321" s="1659">
        <v>44</v>
      </c>
      <c r="C321" s="1671" t="s">
        <v>49</v>
      </c>
      <c r="D321" s="1396" t="s">
        <v>2732</v>
      </c>
      <c r="E321" s="1376" t="s">
        <v>2097</v>
      </c>
      <c r="F321" s="1376" t="s">
        <v>2108</v>
      </c>
      <c r="G321" s="1377" t="s">
        <v>1796</v>
      </c>
      <c r="H321" s="1418"/>
      <c r="I321" s="1419"/>
      <c r="J321" s="1513"/>
      <c r="K321" s="1513"/>
      <c r="L321" s="1420"/>
      <c r="M321" s="1513"/>
      <c r="N321" s="1465"/>
      <c r="O321" s="1514"/>
      <c r="P321" s="1513"/>
      <c r="Q321" s="1513"/>
      <c r="R321" s="1513"/>
      <c r="S321" s="1513"/>
      <c r="T321" s="1513"/>
      <c r="U321" s="1513"/>
      <c r="V321" s="1465"/>
      <c r="W321" s="1366"/>
      <c r="X321" s="1366"/>
      <c r="Y321" s="1366"/>
      <c r="Z321" s="1366"/>
      <c r="AA321" s="1366"/>
      <c r="AB321" s="1366"/>
      <c r="AC321" s="1366"/>
      <c r="AD321" s="1366"/>
      <c r="AE321" s="1366"/>
      <c r="AF321" s="1366"/>
      <c r="AG321" s="1366"/>
      <c r="AH321" s="1366"/>
      <c r="AI321" s="1366"/>
      <c r="AJ321" s="1366"/>
      <c r="AK321" s="1366"/>
      <c r="AL321" s="1366"/>
      <c r="AM321" s="1366"/>
      <c r="AN321" s="1366"/>
      <c r="AO321" s="1366"/>
      <c r="AP321" s="1366"/>
      <c r="AQ321" s="1366"/>
      <c r="AR321" s="1366"/>
      <c r="AS321" s="1366"/>
      <c r="AT321" s="1366"/>
      <c r="AU321" s="1366"/>
      <c r="AV321" s="1366"/>
      <c r="AW321" s="1366"/>
      <c r="AX321" s="1366"/>
      <c r="AY321" s="1366"/>
      <c r="AZ321" s="1366"/>
      <c r="BA321" s="1366"/>
      <c r="BB321" s="1366"/>
      <c r="BC321" s="1366"/>
      <c r="BD321" s="1366"/>
      <c r="BE321" s="1366"/>
      <c r="BF321" s="1366"/>
      <c r="BG321" s="1366"/>
      <c r="BH321" s="1366"/>
      <c r="BI321" s="1366"/>
      <c r="BJ321" s="1366"/>
      <c r="BK321" s="1366"/>
      <c r="BL321" s="1366"/>
      <c r="BM321" s="1366"/>
      <c r="BN321" s="1366"/>
      <c r="BO321" s="1366"/>
      <c r="BP321" s="1366"/>
      <c r="BQ321" s="1366"/>
      <c r="BR321" s="1366"/>
      <c r="BS321" s="1366"/>
      <c r="BT321" s="1366"/>
      <c r="BU321" s="1366"/>
      <c r="BV321" s="1366"/>
      <c r="BW321" s="1366"/>
      <c r="BX321" s="1366"/>
      <c r="BY321" s="1366"/>
      <c r="BZ321" s="1366"/>
      <c r="CA321" s="1366"/>
      <c r="CB321" s="1366"/>
      <c r="CC321" s="1366"/>
      <c r="CD321" s="1366"/>
      <c r="CE321" s="1366"/>
      <c r="CF321" s="1366"/>
      <c r="CG321" s="1366"/>
      <c r="CH321" s="1366"/>
      <c r="CI321" s="1366"/>
      <c r="CJ321" s="1366"/>
      <c r="CK321" s="1366"/>
      <c r="CL321" s="1366"/>
      <c r="CM321" s="1366"/>
      <c r="CN321" s="1366"/>
      <c r="CO321" s="1366"/>
      <c r="CP321" s="1366"/>
      <c r="CQ321" s="1366"/>
      <c r="CR321" s="1366"/>
      <c r="CS321" s="1366"/>
      <c r="CT321" s="1366"/>
      <c r="CU321" s="1366"/>
      <c r="CV321" s="1366"/>
      <c r="CW321" s="1366"/>
      <c r="CX321" s="1366"/>
      <c r="CY321" s="1366"/>
      <c r="CZ321" s="1366"/>
      <c r="DA321" s="1366"/>
      <c r="DB321" s="1366"/>
      <c r="DC321" s="1366"/>
      <c r="DD321" s="1366"/>
      <c r="DE321" s="1366"/>
      <c r="DF321" s="1366"/>
      <c r="DG321" s="1366"/>
      <c r="DH321" s="1366"/>
      <c r="DI321" s="1366"/>
      <c r="DJ321" s="1366"/>
      <c r="DK321" s="1366"/>
      <c r="DL321" s="1366"/>
      <c r="DM321" s="1366"/>
      <c r="DN321" s="1366"/>
      <c r="DO321" s="1366"/>
      <c r="DP321" s="1366"/>
      <c r="DQ321" s="1366"/>
      <c r="DR321" s="1366"/>
      <c r="DS321" s="1366"/>
      <c r="DT321" s="1366"/>
      <c r="DU321" s="1366"/>
      <c r="DV321" s="1366"/>
    </row>
    <row r="322" spans="1:126" s="1378" customFormat="1">
      <c r="A322" s="2494"/>
      <c r="B322" s="1659">
        <v>45</v>
      </c>
      <c r="C322" s="1671" t="s">
        <v>49</v>
      </c>
      <c r="D322" s="1396" t="s">
        <v>2733</v>
      </c>
      <c r="E322" s="1376" t="s">
        <v>2097</v>
      </c>
      <c r="F322" s="1376" t="s">
        <v>2108</v>
      </c>
      <c r="G322" s="1377" t="s">
        <v>1796</v>
      </c>
      <c r="H322" s="1418"/>
      <c r="I322" s="1419"/>
      <c r="J322" s="1513"/>
      <c r="K322" s="1513"/>
      <c r="L322" s="1420"/>
      <c r="M322" s="1513"/>
      <c r="N322" s="1465"/>
      <c r="O322" s="1514"/>
      <c r="P322" s="1513"/>
      <c r="Q322" s="1513"/>
      <c r="R322" s="1513"/>
      <c r="S322" s="1513"/>
      <c r="T322" s="1513"/>
      <c r="U322" s="1513"/>
      <c r="V322" s="1465"/>
      <c r="W322" s="1366"/>
      <c r="X322" s="1366"/>
      <c r="Y322" s="1366"/>
      <c r="Z322" s="1366"/>
      <c r="AA322" s="1366"/>
      <c r="AB322" s="1366"/>
      <c r="AC322" s="1366"/>
      <c r="AD322" s="1366"/>
      <c r="AE322" s="1366"/>
      <c r="AF322" s="1366"/>
      <c r="AG322" s="1366"/>
      <c r="AH322" s="1366"/>
      <c r="AI322" s="1366"/>
      <c r="AJ322" s="1366"/>
      <c r="AK322" s="1366"/>
      <c r="AL322" s="1366"/>
      <c r="AM322" s="1366"/>
      <c r="AN322" s="1366"/>
      <c r="AO322" s="1366"/>
      <c r="AP322" s="1366"/>
      <c r="AQ322" s="1366"/>
      <c r="AR322" s="1366"/>
      <c r="AS322" s="1366"/>
      <c r="AT322" s="1366"/>
      <c r="AU322" s="1366"/>
      <c r="AV322" s="1366"/>
      <c r="AW322" s="1366"/>
      <c r="AX322" s="1366"/>
      <c r="AY322" s="1366"/>
      <c r="AZ322" s="1366"/>
      <c r="BA322" s="1366"/>
      <c r="BB322" s="1366"/>
      <c r="BC322" s="1366"/>
      <c r="BD322" s="1366"/>
      <c r="BE322" s="1366"/>
      <c r="BF322" s="1366"/>
      <c r="BG322" s="1366"/>
      <c r="BH322" s="1366"/>
      <c r="BI322" s="1366"/>
      <c r="BJ322" s="1366"/>
      <c r="BK322" s="1366"/>
      <c r="BL322" s="1366"/>
      <c r="BM322" s="1366"/>
      <c r="BN322" s="1366"/>
      <c r="BO322" s="1366"/>
      <c r="BP322" s="1366"/>
      <c r="BQ322" s="1366"/>
      <c r="BR322" s="1366"/>
      <c r="BS322" s="1366"/>
      <c r="BT322" s="1366"/>
      <c r="BU322" s="1366"/>
      <c r="BV322" s="1366"/>
      <c r="BW322" s="1366"/>
      <c r="BX322" s="1366"/>
      <c r="BY322" s="1366"/>
      <c r="BZ322" s="1366"/>
      <c r="CA322" s="1366"/>
      <c r="CB322" s="1366"/>
      <c r="CC322" s="1366"/>
      <c r="CD322" s="1366"/>
      <c r="CE322" s="1366"/>
      <c r="CF322" s="1366"/>
      <c r="CG322" s="1366"/>
      <c r="CH322" s="1366"/>
      <c r="CI322" s="1366"/>
      <c r="CJ322" s="1366"/>
      <c r="CK322" s="1366"/>
      <c r="CL322" s="1366"/>
      <c r="CM322" s="1366"/>
      <c r="CN322" s="1366"/>
      <c r="CO322" s="1366"/>
      <c r="CP322" s="1366"/>
      <c r="CQ322" s="1366"/>
      <c r="CR322" s="1366"/>
      <c r="CS322" s="1366"/>
      <c r="CT322" s="1366"/>
      <c r="CU322" s="1366"/>
      <c r="CV322" s="1366"/>
      <c r="CW322" s="1366"/>
      <c r="CX322" s="1366"/>
      <c r="CY322" s="1366"/>
      <c r="CZ322" s="1366"/>
      <c r="DA322" s="1366"/>
      <c r="DB322" s="1366"/>
      <c r="DC322" s="1366"/>
      <c r="DD322" s="1366"/>
      <c r="DE322" s="1366"/>
      <c r="DF322" s="1366"/>
      <c r="DG322" s="1366"/>
      <c r="DH322" s="1366"/>
      <c r="DI322" s="1366"/>
      <c r="DJ322" s="1366"/>
      <c r="DK322" s="1366"/>
      <c r="DL322" s="1366"/>
      <c r="DM322" s="1366"/>
      <c r="DN322" s="1366"/>
      <c r="DO322" s="1366"/>
      <c r="DP322" s="1366"/>
      <c r="DQ322" s="1366"/>
      <c r="DR322" s="1366"/>
      <c r="DS322" s="1366"/>
      <c r="DT322" s="1366"/>
      <c r="DU322" s="1366"/>
      <c r="DV322" s="1366"/>
    </row>
    <row r="323" spans="1:126" s="1378" customFormat="1">
      <c r="A323" s="2494"/>
      <c r="B323" s="1659">
        <v>46</v>
      </c>
      <c r="C323" s="1671" t="s">
        <v>49</v>
      </c>
      <c r="D323" s="1396" t="s">
        <v>2734</v>
      </c>
      <c r="E323" s="1376" t="s">
        <v>2097</v>
      </c>
      <c r="F323" s="1376" t="s">
        <v>2108</v>
      </c>
      <c r="G323" s="1377" t="s">
        <v>1796</v>
      </c>
      <c r="H323" s="1418"/>
      <c r="I323" s="1419"/>
      <c r="J323" s="1513"/>
      <c r="K323" s="1513"/>
      <c r="L323" s="1420"/>
      <c r="M323" s="1513"/>
      <c r="N323" s="1465"/>
      <c r="O323" s="1514"/>
      <c r="P323" s="1513"/>
      <c r="Q323" s="1513"/>
      <c r="R323" s="1513"/>
      <c r="S323" s="1513"/>
      <c r="T323" s="1513"/>
      <c r="U323" s="1513"/>
      <c r="V323" s="1465"/>
      <c r="W323" s="1366"/>
      <c r="X323" s="1366"/>
      <c r="Y323" s="1366"/>
      <c r="Z323" s="1366"/>
      <c r="AA323" s="1366"/>
      <c r="AB323" s="1366"/>
      <c r="AC323" s="1366"/>
      <c r="AD323" s="1366"/>
      <c r="AE323" s="1366"/>
      <c r="AF323" s="1366"/>
      <c r="AG323" s="1366"/>
      <c r="AH323" s="1366"/>
      <c r="AI323" s="1366"/>
      <c r="AJ323" s="1366"/>
      <c r="AK323" s="1366"/>
      <c r="AL323" s="1366"/>
      <c r="AM323" s="1366"/>
      <c r="AN323" s="1366"/>
      <c r="AO323" s="1366"/>
      <c r="AP323" s="1366"/>
      <c r="AQ323" s="1366"/>
      <c r="AR323" s="1366"/>
      <c r="AS323" s="1366"/>
      <c r="AT323" s="1366"/>
      <c r="AU323" s="1366"/>
      <c r="AV323" s="1366"/>
      <c r="AW323" s="1366"/>
      <c r="AX323" s="1366"/>
      <c r="AY323" s="1366"/>
      <c r="AZ323" s="1366"/>
      <c r="BA323" s="1366"/>
      <c r="BB323" s="1366"/>
      <c r="BC323" s="1366"/>
      <c r="BD323" s="1366"/>
      <c r="BE323" s="1366"/>
      <c r="BF323" s="1366"/>
      <c r="BG323" s="1366"/>
      <c r="BH323" s="1366"/>
      <c r="BI323" s="1366"/>
      <c r="BJ323" s="1366"/>
      <c r="BK323" s="1366"/>
      <c r="BL323" s="1366"/>
      <c r="BM323" s="1366"/>
      <c r="BN323" s="1366"/>
      <c r="BO323" s="1366"/>
      <c r="BP323" s="1366"/>
      <c r="BQ323" s="1366"/>
      <c r="BR323" s="1366"/>
      <c r="BS323" s="1366"/>
      <c r="BT323" s="1366"/>
      <c r="BU323" s="1366"/>
      <c r="BV323" s="1366"/>
      <c r="BW323" s="1366"/>
      <c r="BX323" s="1366"/>
      <c r="BY323" s="1366"/>
      <c r="BZ323" s="1366"/>
      <c r="CA323" s="1366"/>
      <c r="CB323" s="1366"/>
      <c r="CC323" s="1366"/>
      <c r="CD323" s="1366"/>
      <c r="CE323" s="1366"/>
      <c r="CF323" s="1366"/>
      <c r="CG323" s="1366"/>
      <c r="CH323" s="1366"/>
      <c r="CI323" s="1366"/>
      <c r="CJ323" s="1366"/>
      <c r="CK323" s="1366"/>
      <c r="CL323" s="1366"/>
      <c r="CM323" s="1366"/>
      <c r="CN323" s="1366"/>
      <c r="CO323" s="1366"/>
      <c r="CP323" s="1366"/>
      <c r="CQ323" s="1366"/>
      <c r="CR323" s="1366"/>
      <c r="CS323" s="1366"/>
      <c r="CT323" s="1366"/>
      <c r="CU323" s="1366"/>
      <c r="CV323" s="1366"/>
      <c r="CW323" s="1366"/>
      <c r="CX323" s="1366"/>
      <c r="CY323" s="1366"/>
      <c r="CZ323" s="1366"/>
      <c r="DA323" s="1366"/>
      <c r="DB323" s="1366"/>
      <c r="DC323" s="1366"/>
      <c r="DD323" s="1366"/>
      <c r="DE323" s="1366"/>
      <c r="DF323" s="1366"/>
      <c r="DG323" s="1366"/>
      <c r="DH323" s="1366"/>
      <c r="DI323" s="1366"/>
      <c r="DJ323" s="1366"/>
      <c r="DK323" s="1366"/>
      <c r="DL323" s="1366"/>
      <c r="DM323" s="1366"/>
      <c r="DN323" s="1366"/>
      <c r="DO323" s="1366"/>
      <c r="DP323" s="1366"/>
      <c r="DQ323" s="1366"/>
      <c r="DR323" s="1366"/>
      <c r="DS323" s="1366"/>
      <c r="DT323" s="1366"/>
      <c r="DU323" s="1366"/>
      <c r="DV323" s="1366"/>
    </row>
    <row r="324" spans="1:126" s="1378" customFormat="1" ht="30">
      <c r="A324" s="2494"/>
      <c r="B324" s="1659">
        <v>47</v>
      </c>
      <c r="C324" s="1671" t="s">
        <v>49</v>
      </c>
      <c r="D324" s="1396" t="s">
        <v>2735</v>
      </c>
      <c r="E324" s="1376" t="s">
        <v>2097</v>
      </c>
      <c r="F324" s="1376" t="s">
        <v>2108</v>
      </c>
      <c r="G324" s="1377" t="s">
        <v>1796</v>
      </c>
      <c r="H324" s="1418"/>
      <c r="I324" s="1419"/>
      <c r="J324" s="1513"/>
      <c r="K324" s="1513"/>
      <c r="L324" s="1420"/>
      <c r="M324" s="1513"/>
      <c r="N324" s="1465"/>
      <c r="O324" s="1514"/>
      <c r="P324" s="1513"/>
      <c r="Q324" s="1513"/>
      <c r="R324" s="1513"/>
      <c r="S324" s="1513"/>
      <c r="T324" s="1513"/>
      <c r="U324" s="1513"/>
      <c r="V324" s="1465"/>
      <c r="W324" s="1366"/>
      <c r="X324" s="1366"/>
      <c r="Y324" s="1366"/>
      <c r="Z324" s="1366"/>
      <c r="AA324" s="1366"/>
      <c r="AB324" s="1366"/>
      <c r="AC324" s="1366"/>
      <c r="AD324" s="1366"/>
      <c r="AE324" s="1366"/>
      <c r="AF324" s="1366"/>
      <c r="AG324" s="1366"/>
      <c r="AH324" s="1366"/>
      <c r="AI324" s="1366"/>
      <c r="AJ324" s="1366"/>
      <c r="AK324" s="1366"/>
      <c r="AL324" s="1366"/>
      <c r="AM324" s="1366"/>
      <c r="AN324" s="1366"/>
      <c r="AO324" s="1366"/>
      <c r="AP324" s="1366"/>
      <c r="AQ324" s="1366"/>
      <c r="AR324" s="1366"/>
      <c r="AS324" s="1366"/>
      <c r="AT324" s="1366"/>
      <c r="AU324" s="1366"/>
      <c r="AV324" s="1366"/>
      <c r="AW324" s="1366"/>
      <c r="AX324" s="1366"/>
      <c r="AY324" s="1366"/>
      <c r="AZ324" s="1366"/>
      <c r="BA324" s="1366"/>
      <c r="BB324" s="1366"/>
      <c r="BC324" s="1366"/>
      <c r="BD324" s="1366"/>
      <c r="BE324" s="1366"/>
      <c r="BF324" s="1366"/>
      <c r="BG324" s="1366"/>
      <c r="BH324" s="1366"/>
      <c r="BI324" s="1366"/>
      <c r="BJ324" s="1366"/>
      <c r="BK324" s="1366"/>
      <c r="BL324" s="1366"/>
      <c r="BM324" s="1366"/>
      <c r="BN324" s="1366"/>
      <c r="BO324" s="1366"/>
      <c r="BP324" s="1366"/>
      <c r="BQ324" s="1366"/>
      <c r="BR324" s="1366"/>
      <c r="BS324" s="1366"/>
      <c r="BT324" s="1366"/>
      <c r="BU324" s="1366"/>
      <c r="BV324" s="1366"/>
      <c r="BW324" s="1366"/>
      <c r="BX324" s="1366"/>
      <c r="BY324" s="1366"/>
      <c r="BZ324" s="1366"/>
      <c r="CA324" s="1366"/>
      <c r="CB324" s="1366"/>
      <c r="CC324" s="1366"/>
      <c r="CD324" s="1366"/>
      <c r="CE324" s="1366"/>
      <c r="CF324" s="1366"/>
      <c r="CG324" s="1366"/>
      <c r="CH324" s="1366"/>
      <c r="CI324" s="1366"/>
      <c r="CJ324" s="1366"/>
      <c r="CK324" s="1366"/>
      <c r="CL324" s="1366"/>
      <c r="CM324" s="1366"/>
      <c r="CN324" s="1366"/>
      <c r="CO324" s="1366"/>
      <c r="CP324" s="1366"/>
      <c r="CQ324" s="1366"/>
      <c r="CR324" s="1366"/>
      <c r="CS324" s="1366"/>
      <c r="CT324" s="1366"/>
      <c r="CU324" s="1366"/>
      <c r="CV324" s="1366"/>
      <c r="CW324" s="1366"/>
      <c r="CX324" s="1366"/>
      <c r="CY324" s="1366"/>
      <c r="CZ324" s="1366"/>
      <c r="DA324" s="1366"/>
      <c r="DB324" s="1366"/>
      <c r="DC324" s="1366"/>
      <c r="DD324" s="1366"/>
      <c r="DE324" s="1366"/>
      <c r="DF324" s="1366"/>
      <c r="DG324" s="1366"/>
      <c r="DH324" s="1366"/>
      <c r="DI324" s="1366"/>
      <c r="DJ324" s="1366"/>
      <c r="DK324" s="1366"/>
      <c r="DL324" s="1366"/>
      <c r="DM324" s="1366"/>
      <c r="DN324" s="1366"/>
      <c r="DO324" s="1366"/>
      <c r="DP324" s="1366"/>
      <c r="DQ324" s="1366"/>
      <c r="DR324" s="1366"/>
      <c r="DS324" s="1366"/>
      <c r="DT324" s="1366"/>
      <c r="DU324" s="1366"/>
      <c r="DV324" s="1366"/>
    </row>
    <row r="325" spans="1:126" s="1378" customFormat="1" ht="30.75" thickBot="1">
      <c r="A325" s="2494"/>
      <c r="B325" s="1659">
        <v>48</v>
      </c>
      <c r="C325" s="1671" t="s">
        <v>49</v>
      </c>
      <c r="D325" s="1396" t="s">
        <v>2736</v>
      </c>
      <c r="E325" s="1376" t="s">
        <v>2097</v>
      </c>
      <c r="F325" s="1376" t="s">
        <v>2108</v>
      </c>
      <c r="G325" s="1377" t="s">
        <v>1796</v>
      </c>
      <c r="H325" s="1418"/>
      <c r="I325" s="1419"/>
      <c r="J325" s="1513"/>
      <c r="K325" s="1513"/>
      <c r="L325" s="1420"/>
      <c r="M325" s="1513"/>
      <c r="N325" s="1465"/>
      <c r="O325" s="1514"/>
      <c r="P325" s="1513"/>
      <c r="Q325" s="1513"/>
      <c r="R325" s="1513"/>
      <c r="S325" s="1513"/>
      <c r="T325" s="1513"/>
      <c r="U325" s="1513"/>
      <c r="V325" s="1465"/>
      <c r="W325" s="1366"/>
      <c r="X325" s="1366"/>
      <c r="Y325" s="1366"/>
      <c r="Z325" s="1366"/>
      <c r="AA325" s="1366"/>
      <c r="AB325" s="1366"/>
      <c r="AC325" s="1366"/>
      <c r="AD325" s="1366"/>
      <c r="AE325" s="1366"/>
      <c r="AF325" s="1366"/>
      <c r="AG325" s="1366"/>
      <c r="AH325" s="1366"/>
      <c r="AI325" s="1366"/>
      <c r="AJ325" s="1366"/>
      <c r="AK325" s="1366"/>
      <c r="AL325" s="1366"/>
      <c r="AM325" s="1366"/>
      <c r="AN325" s="1366"/>
      <c r="AO325" s="1366"/>
      <c r="AP325" s="1366"/>
      <c r="AQ325" s="1366"/>
      <c r="AR325" s="1366"/>
      <c r="AS325" s="1366"/>
      <c r="AT325" s="1366"/>
      <c r="AU325" s="1366"/>
      <c r="AV325" s="1366"/>
      <c r="AW325" s="1366"/>
      <c r="AX325" s="1366"/>
      <c r="AY325" s="1366"/>
      <c r="AZ325" s="1366"/>
      <c r="BA325" s="1366"/>
      <c r="BB325" s="1366"/>
      <c r="BC325" s="1366"/>
      <c r="BD325" s="1366"/>
      <c r="BE325" s="1366"/>
      <c r="BF325" s="1366"/>
      <c r="BG325" s="1366"/>
      <c r="BH325" s="1366"/>
      <c r="BI325" s="1366"/>
      <c r="BJ325" s="1366"/>
      <c r="BK325" s="1366"/>
      <c r="BL325" s="1366"/>
      <c r="BM325" s="1366"/>
      <c r="BN325" s="1366"/>
      <c r="BO325" s="1366"/>
      <c r="BP325" s="1366"/>
      <c r="BQ325" s="1366"/>
      <c r="BR325" s="1366"/>
      <c r="BS325" s="1366"/>
      <c r="BT325" s="1366"/>
      <c r="BU325" s="1366"/>
      <c r="BV325" s="1366"/>
      <c r="BW325" s="1366"/>
      <c r="BX325" s="1366"/>
      <c r="BY325" s="1366"/>
      <c r="BZ325" s="1366"/>
      <c r="CA325" s="1366"/>
      <c r="CB325" s="1366"/>
      <c r="CC325" s="1366"/>
      <c r="CD325" s="1366"/>
      <c r="CE325" s="1366"/>
      <c r="CF325" s="1366"/>
      <c r="CG325" s="1366"/>
      <c r="CH325" s="1366"/>
      <c r="CI325" s="1366"/>
      <c r="CJ325" s="1366"/>
      <c r="CK325" s="1366"/>
      <c r="CL325" s="1366"/>
      <c r="CM325" s="1366"/>
      <c r="CN325" s="1366"/>
      <c r="CO325" s="1366"/>
      <c r="CP325" s="1366"/>
      <c r="CQ325" s="1366"/>
      <c r="CR325" s="1366"/>
      <c r="CS325" s="1366"/>
      <c r="CT325" s="1366"/>
      <c r="CU325" s="1366"/>
      <c r="CV325" s="1366"/>
      <c r="CW325" s="1366"/>
      <c r="CX325" s="1366"/>
      <c r="CY325" s="1366"/>
      <c r="CZ325" s="1366"/>
      <c r="DA325" s="1366"/>
      <c r="DB325" s="1366"/>
      <c r="DC325" s="1366"/>
      <c r="DD325" s="1366"/>
      <c r="DE325" s="1366"/>
      <c r="DF325" s="1366"/>
      <c r="DG325" s="1366"/>
      <c r="DH325" s="1366"/>
      <c r="DI325" s="1366"/>
      <c r="DJ325" s="1366"/>
      <c r="DK325" s="1366"/>
      <c r="DL325" s="1366"/>
      <c r="DM325" s="1366"/>
      <c r="DN325" s="1366"/>
      <c r="DO325" s="1366"/>
      <c r="DP325" s="1366"/>
      <c r="DQ325" s="1366"/>
      <c r="DR325" s="1366"/>
      <c r="DS325" s="1366"/>
      <c r="DT325" s="1366"/>
      <c r="DU325" s="1366"/>
      <c r="DV325" s="1366"/>
    </row>
    <row r="326" spans="1:126" s="1479" customFormat="1" ht="19.5" thickBot="1">
      <c r="A326" s="695"/>
      <c r="B326" s="1660"/>
      <c r="C326" s="1660"/>
      <c r="D326" s="699"/>
      <c r="E326" s="699"/>
      <c r="F326" s="699"/>
      <c r="G326" s="699"/>
      <c r="H326" s="1386"/>
      <c r="I326" s="1445"/>
      <c r="J326" s="1387"/>
      <c r="K326" s="1386"/>
      <c r="L326" s="1531"/>
      <c r="M326" s="1386"/>
      <c r="N326" s="1491"/>
      <c r="O326" s="1386"/>
      <c r="P326" s="1387"/>
      <c r="Q326" s="1387"/>
      <c r="R326" s="1445"/>
      <c r="S326" s="1445"/>
      <c r="T326" s="1492"/>
      <c r="U326" s="1492"/>
      <c r="V326" s="1491"/>
      <c r="W326" s="1490"/>
      <c r="X326" s="1490"/>
      <c r="Y326" s="327"/>
      <c r="Z326" s="327"/>
      <c r="AA326" s="327"/>
      <c r="AB326" s="1490"/>
      <c r="AC326" s="1490"/>
      <c r="AD326" s="1490"/>
      <c r="AE326" s="1490"/>
      <c r="AF326" s="327"/>
      <c r="AG326" s="327"/>
      <c r="AH326" s="327"/>
      <c r="AI326" s="327"/>
      <c r="AJ326" s="327"/>
      <c r="AK326" s="1478"/>
      <c r="AL326" s="1478"/>
      <c r="AM326" s="1478"/>
      <c r="AN326" s="1478"/>
      <c r="AO326" s="1478"/>
      <c r="AP326" s="1478"/>
      <c r="AQ326" s="1478"/>
      <c r="AR326" s="1478"/>
      <c r="AS326" s="1478"/>
      <c r="AT326" s="1478"/>
      <c r="AU326" s="1478"/>
      <c r="AV326" s="1478"/>
      <c r="AW326" s="1478"/>
      <c r="AX326" s="1478"/>
      <c r="AY326" s="1478"/>
      <c r="AZ326" s="1478"/>
      <c r="BA326" s="1478"/>
      <c r="BB326" s="1478"/>
      <c r="BC326" s="1478"/>
      <c r="BD326" s="1478"/>
      <c r="BE326" s="1478"/>
      <c r="BF326" s="1478"/>
      <c r="BG326" s="1478"/>
      <c r="BH326" s="1478"/>
      <c r="BI326" s="1478"/>
      <c r="BJ326" s="1478"/>
      <c r="BK326" s="327"/>
      <c r="BL326" s="327"/>
      <c r="BM326" s="327"/>
      <c r="BN326" s="327"/>
      <c r="BO326" s="327"/>
      <c r="BP326" s="327"/>
      <c r="BQ326" s="327"/>
      <c r="BR326" s="327"/>
      <c r="BS326" s="327"/>
      <c r="BT326" s="327"/>
      <c r="BU326" s="327"/>
      <c r="BV326" s="327"/>
      <c r="BW326" s="327"/>
      <c r="BX326" s="327"/>
      <c r="BY326" s="327"/>
      <c r="BZ326" s="327"/>
      <c r="CA326" s="327"/>
      <c r="CB326" s="327"/>
      <c r="CC326" s="327"/>
      <c r="CD326" s="327"/>
      <c r="CE326" s="327"/>
      <c r="CF326" s="327"/>
      <c r="CG326" s="327"/>
      <c r="CH326" s="327"/>
      <c r="CI326" s="327"/>
      <c r="CJ326" s="327"/>
      <c r="CK326" s="327"/>
      <c r="CL326" s="327"/>
      <c r="CM326" s="327"/>
      <c r="CN326" s="327"/>
      <c r="CO326" s="327"/>
      <c r="CP326" s="327"/>
      <c r="CQ326" s="327"/>
      <c r="CR326" s="327"/>
      <c r="CS326" s="327"/>
      <c r="CT326" s="327"/>
      <c r="CU326" s="327"/>
      <c r="CV326" s="327"/>
      <c r="CW326" s="327"/>
      <c r="CX326" s="327"/>
      <c r="CY326" s="327"/>
      <c r="CZ326" s="327"/>
      <c r="DA326" s="327"/>
      <c r="DB326" s="327"/>
      <c r="DC326" s="327"/>
      <c r="DD326" s="327"/>
      <c r="DE326" s="327"/>
      <c r="DF326" s="327"/>
      <c r="DG326" s="327"/>
      <c r="DH326" s="327"/>
      <c r="DI326" s="327"/>
      <c r="DJ326" s="327"/>
      <c r="DK326" s="327"/>
      <c r="DL326" s="327"/>
      <c r="DM326" s="327"/>
      <c r="DN326" s="327"/>
      <c r="DO326" s="327"/>
      <c r="DP326" s="327"/>
      <c r="DQ326" s="327"/>
      <c r="DR326" s="327"/>
      <c r="DS326" s="327"/>
      <c r="DT326" s="327"/>
      <c r="DU326" s="327"/>
      <c r="DV326" s="327"/>
    </row>
    <row r="327" spans="1:126" s="1367" customFormat="1" ht="30">
      <c r="A327" s="2493" t="s">
        <v>1140</v>
      </c>
      <c r="B327" s="1653" t="s">
        <v>2309</v>
      </c>
      <c r="C327" s="1642" t="s">
        <v>47</v>
      </c>
      <c r="D327" s="1375" t="s">
        <v>2310</v>
      </c>
      <c r="E327" s="1364" t="s">
        <v>2102</v>
      </c>
      <c r="F327" s="1364" t="s">
        <v>2108</v>
      </c>
      <c r="G327" s="506" t="s">
        <v>1796</v>
      </c>
      <c r="H327" s="1361">
        <f>((250*'Equipment Results Matrix'!$R$785)+(0.8*'Equipment Results Matrix'!$R$786)+'Equipment Results Matrix'!$R$787+'Equipment Results Matrix'!$T$792)*(1+'Equipment Results Matrix'!$T$794)</f>
        <v>1525.5502540679415</v>
      </c>
      <c r="I327" s="1371">
        <f>'Labor Results Matrix'!$E$281*250</f>
        <v>145</v>
      </c>
      <c r="J327" s="1372">
        <f>'Labor Results Matrix'!$G$281*(1+'Labor Results Matrix'!$K$281)</f>
        <v>90.951758386329232</v>
      </c>
      <c r="K327" s="1372">
        <f>I327*J327</f>
        <v>13188.004966017739</v>
      </c>
      <c r="L327" s="1372">
        <f>(('Labor Results Matrix'!$I$281*250)+'Labor Results Matrix'!$J$281)*(1+'Labor Results Matrix'!$K$281)</f>
        <v>11264.951718750001</v>
      </c>
      <c r="M327" s="1372">
        <f>H327+K327+L327</f>
        <v>25978.506938835679</v>
      </c>
      <c r="N327" s="1455" t="s">
        <v>40</v>
      </c>
      <c r="O327" s="1361">
        <f>H327/250</f>
        <v>6.1022010162717661</v>
      </c>
      <c r="P327" s="1371">
        <f>'Labor Results Matrix'!$E$281</f>
        <v>0.57999999999999996</v>
      </c>
      <c r="Q327" s="1372">
        <f>'Labor Results Matrix'!$H$281*(1+'Labor Results Matrix'!$K$281)</f>
        <v>52.752019864070945</v>
      </c>
      <c r="R327" s="1372">
        <f>'Labor Results Matrix'!$I$281*(1+'Labor Results Matrix'!$K$281)</f>
        <v>45.059806875</v>
      </c>
      <c r="S327" s="1372">
        <f>'Labor Results Matrix'!$J$281</f>
        <v>0</v>
      </c>
      <c r="T327" s="1372">
        <f>O327+Q327+R327</f>
        <v>103.91402775534272</v>
      </c>
      <c r="U327" s="1417" t="s">
        <v>40</v>
      </c>
      <c r="V327" s="1455" t="s">
        <v>40</v>
      </c>
      <c r="W327" s="1366"/>
      <c r="X327" s="1366"/>
      <c r="Y327" s="1366"/>
      <c r="Z327" s="1366"/>
      <c r="AA327" s="1366"/>
      <c r="AB327" s="1366"/>
      <c r="AC327" s="1366"/>
      <c r="AD327" s="1366"/>
      <c r="AE327" s="1366"/>
      <c r="AF327" s="1366"/>
      <c r="AG327" s="1366"/>
      <c r="AH327" s="1366"/>
      <c r="AI327" s="1366"/>
      <c r="AJ327" s="1366"/>
      <c r="AK327" s="1366"/>
      <c r="AL327" s="1366"/>
      <c r="AM327" s="1366"/>
      <c r="AN327" s="1366"/>
      <c r="AO327" s="1366"/>
      <c r="AP327" s="1366"/>
      <c r="AQ327" s="1366"/>
      <c r="AR327" s="1366"/>
      <c r="AS327" s="1366"/>
      <c r="AT327" s="1366"/>
      <c r="AU327" s="1366"/>
      <c r="AV327" s="1366"/>
      <c r="AW327" s="1366"/>
      <c r="AX327" s="1366"/>
      <c r="AY327" s="1366"/>
      <c r="AZ327" s="1366"/>
      <c r="BA327" s="1366"/>
      <c r="BB327" s="1366"/>
      <c r="BC327" s="1366"/>
      <c r="BD327" s="1366"/>
      <c r="BE327" s="1366"/>
      <c r="BF327" s="1366"/>
      <c r="BG327" s="1366"/>
      <c r="BH327" s="1366"/>
      <c r="BI327" s="1366"/>
      <c r="BJ327" s="1366"/>
      <c r="BK327" s="1366"/>
      <c r="BL327" s="1366"/>
      <c r="BM327" s="1366"/>
      <c r="BN327" s="1366"/>
      <c r="BO327" s="1366"/>
      <c r="BP327" s="1366"/>
      <c r="BQ327" s="1366"/>
      <c r="BR327" s="1366"/>
      <c r="BS327" s="1366"/>
      <c r="BT327" s="1366"/>
      <c r="BU327" s="1366"/>
      <c r="BV327" s="1366"/>
      <c r="BW327" s="1366"/>
      <c r="BX327" s="1366"/>
      <c r="BY327" s="1366"/>
      <c r="BZ327" s="1366"/>
      <c r="CA327" s="1366"/>
      <c r="CB327" s="1366"/>
      <c r="CC327" s="1366"/>
      <c r="CD327" s="1366"/>
      <c r="CE327" s="1366"/>
      <c r="CF327" s="1366"/>
      <c r="CG327" s="1366"/>
      <c r="CH327" s="1366"/>
      <c r="CI327" s="1366"/>
      <c r="CJ327" s="1366"/>
      <c r="CK327" s="1366"/>
      <c r="CL327" s="1366"/>
      <c r="CM327" s="1366"/>
      <c r="CN327" s="1366"/>
      <c r="CO327" s="1366"/>
      <c r="CP327" s="1366"/>
      <c r="CQ327" s="1366"/>
      <c r="CR327" s="1366"/>
      <c r="CS327" s="1366"/>
      <c r="CT327" s="1366"/>
      <c r="CU327" s="1366"/>
      <c r="CV327" s="1366"/>
      <c r="CW327" s="1366"/>
      <c r="CX327" s="1366"/>
      <c r="CY327" s="1366"/>
      <c r="CZ327" s="1366"/>
      <c r="DA327" s="1366"/>
      <c r="DB327" s="1366"/>
      <c r="DC327" s="1366"/>
      <c r="DD327" s="1366"/>
      <c r="DE327" s="1366"/>
      <c r="DF327" s="1366"/>
      <c r="DG327" s="1366"/>
      <c r="DH327" s="1366"/>
      <c r="DI327" s="1366"/>
      <c r="DJ327" s="1366"/>
      <c r="DK327" s="1366"/>
      <c r="DL327" s="1366"/>
      <c r="DM327" s="1366"/>
      <c r="DN327" s="1366"/>
      <c r="DO327" s="1366"/>
      <c r="DP327" s="1366"/>
      <c r="DQ327" s="1366"/>
      <c r="DR327" s="1366"/>
      <c r="DS327" s="1366"/>
      <c r="DT327" s="1366"/>
      <c r="DU327" s="1366"/>
      <c r="DV327" s="1366"/>
    </row>
    <row r="328" spans="1:126" s="1367" customFormat="1" ht="30">
      <c r="A328" s="2494"/>
      <c r="B328" s="1653">
        <v>155</v>
      </c>
      <c r="C328" s="1642" t="s">
        <v>49</v>
      </c>
      <c r="D328" s="1375" t="s">
        <v>2311</v>
      </c>
      <c r="E328" s="1364" t="s">
        <v>2102</v>
      </c>
      <c r="F328" s="1364" t="s">
        <v>2108</v>
      </c>
      <c r="G328" s="506" t="s">
        <v>1796</v>
      </c>
      <c r="H328" s="1361">
        <f>((250*'Equipment Results Matrix'!$R$785)+(0.82*'Equipment Results Matrix'!$R$786)+'Equipment Results Matrix'!$R$787+'Equipment Results Matrix'!$T$792)*(1+'Equipment Results Matrix'!$T$794)</f>
        <v>11535.853980467933</v>
      </c>
      <c r="I328" s="1371">
        <f>'Labor Results Matrix'!$E$281*250</f>
        <v>145</v>
      </c>
      <c r="J328" s="1372">
        <f>'Labor Results Matrix'!$G$281*(1+'Labor Results Matrix'!$K$281)</f>
        <v>90.951758386329232</v>
      </c>
      <c r="K328" s="1372">
        <f t="shared" ref="K328:K337" si="113">I328*J328</f>
        <v>13188.004966017739</v>
      </c>
      <c r="L328" s="1372">
        <f>(('Labor Results Matrix'!$I$281*250)+'Labor Results Matrix'!$J$281)*(1+'Labor Results Matrix'!$K$281)</f>
        <v>11264.951718750001</v>
      </c>
      <c r="M328" s="1372">
        <f t="shared" ref="M328:M337" si="114">H328+K328+L328</f>
        <v>35988.810665235673</v>
      </c>
      <c r="N328" s="1458">
        <f>M328-$M$327</f>
        <v>10010.303726399994</v>
      </c>
      <c r="O328" s="1361">
        <f t="shared" ref="O328:O329" si="115">H328/250</f>
        <v>46.143415921871735</v>
      </c>
      <c r="P328" s="1371">
        <f>'Labor Results Matrix'!$E$281</f>
        <v>0.57999999999999996</v>
      </c>
      <c r="Q328" s="1372">
        <f>'Labor Results Matrix'!$H$281*(1+'Labor Results Matrix'!$K$281)</f>
        <v>52.752019864070945</v>
      </c>
      <c r="R328" s="1372">
        <f>'Labor Results Matrix'!$I$281*(1+'Labor Results Matrix'!$K$281)</f>
        <v>45.059806875</v>
      </c>
      <c r="S328" s="1372">
        <f>'Labor Results Matrix'!$J$281</f>
        <v>0</v>
      </c>
      <c r="T328" s="1372">
        <f t="shared" ref="T328:T337" si="116">O328+Q328+R328</f>
        <v>143.95524266094267</v>
      </c>
      <c r="U328" s="1372">
        <f>T328-$T$327</f>
        <v>40.041214905599958</v>
      </c>
      <c r="V328" s="1458">
        <f>S328-$S$327</f>
        <v>0</v>
      </c>
      <c r="W328" s="1366"/>
      <c r="X328" s="1366"/>
      <c r="Y328" s="1366"/>
      <c r="Z328" s="1366"/>
      <c r="AA328" s="1366"/>
      <c r="AB328" s="1366"/>
      <c r="AC328" s="1366"/>
      <c r="AD328" s="1366"/>
      <c r="AE328" s="1366"/>
      <c r="AF328" s="1366"/>
      <c r="AG328" s="1366"/>
      <c r="AH328" s="1366"/>
      <c r="AI328" s="1366"/>
      <c r="AJ328" s="1366"/>
      <c r="AK328" s="1366"/>
      <c r="AL328" s="1366"/>
      <c r="AM328" s="1366"/>
      <c r="AN328" s="1366"/>
      <c r="AO328" s="1366"/>
      <c r="AP328" s="1366"/>
      <c r="AQ328" s="1366"/>
      <c r="AR328" s="1366"/>
      <c r="AS328" s="1366"/>
      <c r="AT328" s="1366"/>
      <c r="AU328" s="1366"/>
      <c r="AV328" s="1366"/>
      <c r="AW328" s="1366"/>
      <c r="AX328" s="1366"/>
      <c r="AY328" s="1366"/>
      <c r="AZ328" s="1366"/>
      <c r="BA328" s="1366"/>
      <c r="BB328" s="1366"/>
      <c r="BC328" s="1366"/>
      <c r="BD328" s="1366"/>
      <c r="BE328" s="1366"/>
      <c r="BF328" s="1366"/>
      <c r="BG328" s="1366"/>
      <c r="BH328" s="1366"/>
      <c r="BI328" s="1366"/>
      <c r="BJ328" s="1366"/>
      <c r="BK328" s="1366"/>
      <c r="BL328" s="1366"/>
      <c r="BM328" s="1366"/>
      <c r="BN328" s="1366"/>
      <c r="BO328" s="1366"/>
      <c r="BP328" s="1366"/>
      <c r="BQ328" s="1366"/>
      <c r="BR328" s="1366"/>
      <c r="BS328" s="1366"/>
      <c r="BT328" s="1366"/>
      <c r="BU328" s="1366"/>
      <c r="BV328" s="1366"/>
      <c r="BW328" s="1366"/>
      <c r="BX328" s="1366"/>
      <c r="BY328" s="1366"/>
      <c r="BZ328" s="1366"/>
      <c r="CA328" s="1366"/>
      <c r="CB328" s="1366"/>
      <c r="CC328" s="1366"/>
      <c r="CD328" s="1366"/>
      <c r="CE328" s="1366"/>
      <c r="CF328" s="1366"/>
      <c r="CG328" s="1366"/>
      <c r="CH328" s="1366"/>
      <c r="CI328" s="1366"/>
      <c r="CJ328" s="1366"/>
      <c r="CK328" s="1366"/>
      <c r="CL328" s="1366"/>
      <c r="CM328" s="1366"/>
      <c r="CN328" s="1366"/>
      <c r="CO328" s="1366"/>
      <c r="CP328" s="1366"/>
      <c r="CQ328" s="1366"/>
      <c r="CR328" s="1366"/>
      <c r="CS328" s="1366"/>
      <c r="CT328" s="1366"/>
      <c r="CU328" s="1366"/>
      <c r="CV328" s="1366"/>
      <c r="CW328" s="1366"/>
      <c r="CX328" s="1366"/>
      <c r="CY328" s="1366"/>
      <c r="CZ328" s="1366"/>
      <c r="DA328" s="1366"/>
      <c r="DB328" s="1366"/>
      <c r="DC328" s="1366"/>
      <c r="DD328" s="1366"/>
      <c r="DE328" s="1366"/>
      <c r="DF328" s="1366"/>
      <c r="DG328" s="1366"/>
      <c r="DH328" s="1366"/>
      <c r="DI328" s="1366"/>
      <c r="DJ328" s="1366"/>
      <c r="DK328" s="1366"/>
      <c r="DL328" s="1366"/>
      <c r="DM328" s="1366"/>
      <c r="DN328" s="1366"/>
      <c r="DO328" s="1366"/>
      <c r="DP328" s="1366"/>
      <c r="DQ328" s="1366"/>
      <c r="DR328" s="1366"/>
      <c r="DS328" s="1366"/>
      <c r="DT328" s="1366"/>
      <c r="DU328" s="1366"/>
      <c r="DV328" s="1366"/>
    </row>
    <row r="329" spans="1:126" s="1367" customFormat="1" ht="30">
      <c r="A329" s="2494"/>
      <c r="B329" s="1653">
        <v>156</v>
      </c>
      <c r="C329" s="1642" t="s">
        <v>49</v>
      </c>
      <c r="D329" s="1375" t="s">
        <v>2312</v>
      </c>
      <c r="E329" s="1364" t="s">
        <v>2102</v>
      </c>
      <c r="F329" s="1364" t="s">
        <v>2108</v>
      </c>
      <c r="G329" s="506" t="s">
        <v>1796</v>
      </c>
      <c r="H329" s="1361">
        <f>((250*'Equipment Results Matrix'!$R$785)+(0.82*'Equipment Results Matrix'!$R$786)+'Equipment Results Matrix'!$R$787+'Equipment Results Matrix'!$T$792)*(1+'Equipment Results Matrix'!$T$794)</f>
        <v>11535.853980467933</v>
      </c>
      <c r="I329" s="1371">
        <f>'Labor Results Matrix'!$E$281*250</f>
        <v>145</v>
      </c>
      <c r="J329" s="1372">
        <f>'Labor Results Matrix'!$G$281*(1+'Labor Results Matrix'!$K$281)</f>
        <v>90.951758386329232</v>
      </c>
      <c r="K329" s="1372">
        <f t="shared" si="113"/>
        <v>13188.004966017739</v>
      </c>
      <c r="L329" s="1372">
        <f>(('Labor Results Matrix'!$I$281*250)+'Labor Results Matrix'!$J$281)*(1+'Labor Results Matrix'!$K$281)</f>
        <v>11264.951718750001</v>
      </c>
      <c r="M329" s="1372">
        <f t="shared" si="114"/>
        <v>35988.810665235673</v>
      </c>
      <c r="N329" s="1458">
        <f>M329-$M$327</f>
        <v>10010.303726399994</v>
      </c>
      <c r="O329" s="1361">
        <f t="shared" si="115"/>
        <v>46.143415921871735</v>
      </c>
      <c r="P329" s="1371">
        <f>'Labor Results Matrix'!$E$281</f>
        <v>0.57999999999999996</v>
      </c>
      <c r="Q329" s="1372">
        <f>'Labor Results Matrix'!$H$281*(1+'Labor Results Matrix'!$K$281)</f>
        <v>52.752019864070945</v>
      </c>
      <c r="R329" s="1372">
        <f>'Labor Results Matrix'!$I$281*(1+'Labor Results Matrix'!$K$281)</f>
        <v>45.059806875</v>
      </c>
      <c r="S329" s="1372">
        <f>'Labor Results Matrix'!$J$281</f>
        <v>0</v>
      </c>
      <c r="T329" s="1372">
        <f t="shared" si="116"/>
        <v>143.95524266094267</v>
      </c>
      <c r="U329" s="1372">
        <f>T329-$T$327</f>
        <v>40.041214905599958</v>
      </c>
      <c r="V329" s="1458">
        <f>S329-$S$327</f>
        <v>0</v>
      </c>
      <c r="W329" s="1366"/>
      <c r="X329" s="1366"/>
      <c r="Y329" s="1366"/>
      <c r="Z329" s="1366"/>
      <c r="AA329" s="1366"/>
      <c r="AB329" s="1366"/>
      <c r="AC329" s="1366"/>
      <c r="AD329" s="1366"/>
      <c r="AE329" s="1366"/>
      <c r="AF329" s="1366"/>
      <c r="AG329" s="1366"/>
      <c r="AH329" s="1366"/>
      <c r="AI329" s="1366"/>
      <c r="AJ329" s="1366"/>
      <c r="AK329" s="1366"/>
      <c r="AL329" s="1366"/>
      <c r="AM329" s="1366"/>
      <c r="AN329" s="1366"/>
      <c r="AO329" s="1366"/>
      <c r="AP329" s="1366"/>
      <c r="AQ329" s="1366"/>
      <c r="AR329" s="1366"/>
      <c r="AS329" s="1366"/>
      <c r="AT329" s="1366"/>
      <c r="AU329" s="1366"/>
      <c r="AV329" s="1366"/>
      <c r="AW329" s="1366"/>
      <c r="AX329" s="1366"/>
      <c r="AY329" s="1366"/>
      <c r="AZ329" s="1366"/>
      <c r="BA329" s="1366"/>
      <c r="BB329" s="1366"/>
      <c r="BC329" s="1366"/>
      <c r="BD329" s="1366"/>
      <c r="BE329" s="1366"/>
      <c r="BF329" s="1366"/>
      <c r="BG329" s="1366"/>
      <c r="BH329" s="1366"/>
      <c r="BI329" s="1366"/>
      <c r="BJ329" s="1366"/>
      <c r="BK329" s="1366"/>
      <c r="BL329" s="1366"/>
      <c r="BM329" s="1366"/>
      <c r="BN329" s="1366"/>
      <c r="BO329" s="1366"/>
      <c r="BP329" s="1366"/>
      <c r="BQ329" s="1366"/>
      <c r="BR329" s="1366"/>
      <c r="BS329" s="1366"/>
      <c r="BT329" s="1366"/>
      <c r="BU329" s="1366"/>
      <c r="BV329" s="1366"/>
      <c r="BW329" s="1366"/>
      <c r="BX329" s="1366"/>
      <c r="BY329" s="1366"/>
      <c r="BZ329" s="1366"/>
      <c r="CA329" s="1366"/>
      <c r="CB329" s="1366"/>
      <c r="CC329" s="1366"/>
      <c r="CD329" s="1366"/>
      <c r="CE329" s="1366"/>
      <c r="CF329" s="1366"/>
      <c r="CG329" s="1366"/>
      <c r="CH329" s="1366"/>
      <c r="CI329" s="1366"/>
      <c r="CJ329" s="1366"/>
      <c r="CK329" s="1366"/>
      <c r="CL329" s="1366"/>
      <c r="CM329" s="1366"/>
      <c r="CN329" s="1366"/>
      <c r="CO329" s="1366"/>
      <c r="CP329" s="1366"/>
      <c r="CQ329" s="1366"/>
      <c r="CR329" s="1366"/>
      <c r="CS329" s="1366"/>
      <c r="CT329" s="1366"/>
      <c r="CU329" s="1366"/>
      <c r="CV329" s="1366"/>
      <c r="CW329" s="1366"/>
      <c r="CX329" s="1366"/>
      <c r="CY329" s="1366"/>
      <c r="CZ329" s="1366"/>
      <c r="DA329" s="1366"/>
      <c r="DB329" s="1366"/>
      <c r="DC329" s="1366"/>
      <c r="DD329" s="1366"/>
      <c r="DE329" s="1366"/>
      <c r="DF329" s="1366"/>
      <c r="DG329" s="1366"/>
      <c r="DH329" s="1366"/>
      <c r="DI329" s="1366"/>
      <c r="DJ329" s="1366"/>
      <c r="DK329" s="1366"/>
      <c r="DL329" s="1366"/>
      <c r="DM329" s="1366"/>
      <c r="DN329" s="1366"/>
      <c r="DO329" s="1366"/>
      <c r="DP329" s="1366"/>
      <c r="DQ329" s="1366"/>
      <c r="DR329" s="1366"/>
      <c r="DS329" s="1366"/>
      <c r="DT329" s="1366"/>
      <c r="DU329" s="1366"/>
      <c r="DV329" s="1366"/>
    </row>
    <row r="330" spans="1:126" s="1367" customFormat="1" ht="30">
      <c r="A330" s="2494"/>
      <c r="B330" s="1653">
        <v>157</v>
      </c>
      <c r="C330" s="1642" t="s">
        <v>47</v>
      </c>
      <c r="D330" s="1375" t="s">
        <v>2313</v>
      </c>
      <c r="E330" s="1364" t="s">
        <v>2102</v>
      </c>
      <c r="F330" s="1364" t="s">
        <v>2108</v>
      </c>
      <c r="G330" s="506" t="s">
        <v>1796</v>
      </c>
      <c r="H330" s="1361">
        <f>((1400*'Equipment Results Matrix'!$R$785)+(0.77*'Equipment Results Matrix'!$R$786)+'Equipment Results Matrix'!$R$787+'Equipment Results Matrix'!$T$792)*(1+'Equipment Results Matrix'!$T$794)</f>
        <v>4870.8566644679286</v>
      </c>
      <c r="I330" s="1371">
        <f>'Labor Results Matrix'!$E$285*1400</f>
        <v>223.3</v>
      </c>
      <c r="J330" s="1372">
        <f>'Labor Results Matrix'!$G$281*(1+'Labor Results Matrix'!$K$281)</f>
        <v>90.951758386329232</v>
      </c>
      <c r="K330" s="1372">
        <f t="shared" si="113"/>
        <v>20309.527647667317</v>
      </c>
      <c r="L330" s="1372">
        <f>(('Labor Results Matrix'!$I$285*1400)+'Labor Results Matrix'!$J$285)*(1+'Labor Results Matrix'!$K$281)</f>
        <v>28409.163675</v>
      </c>
      <c r="M330" s="1372">
        <f t="shared" si="114"/>
        <v>53589.547987135244</v>
      </c>
      <c r="N330" s="1455" t="s">
        <v>40</v>
      </c>
      <c r="O330" s="1361">
        <f>H330/1400</f>
        <v>3.479183331762806</v>
      </c>
      <c r="P330" s="1371">
        <f>'Labor Results Matrix'!$E$285</f>
        <v>0.1595</v>
      </c>
      <c r="Q330" s="1372">
        <f>'Labor Results Matrix'!$H$285*(1+'Labor Results Matrix'!$K$281)</f>
        <v>14.506805462619512</v>
      </c>
      <c r="R330" s="1372">
        <f>'Labor Results Matrix'!$I$285*(1+'Labor Results Matrix'!$K$281)</f>
        <v>18.561902624999998</v>
      </c>
      <c r="S330" s="1372">
        <f>'Labor Results Matrix'!$J$285*(1+'Labor Results Matrix'!$K$281)</f>
        <v>2422.5</v>
      </c>
      <c r="T330" s="1372">
        <f t="shared" si="116"/>
        <v>36.547891419382317</v>
      </c>
      <c r="U330" s="1417" t="s">
        <v>40</v>
      </c>
      <c r="V330" s="1455" t="s">
        <v>40</v>
      </c>
      <c r="W330" s="1366"/>
      <c r="X330" s="1366"/>
      <c r="Y330" s="1366"/>
      <c r="Z330" s="1366"/>
      <c r="AA330" s="1366"/>
      <c r="AB330" s="1366"/>
      <c r="AC330" s="1366"/>
      <c r="AD330" s="1366"/>
      <c r="AE330" s="1366"/>
      <c r="AF330" s="1366"/>
      <c r="AG330" s="1366"/>
      <c r="AH330" s="1366"/>
      <c r="AI330" s="1366"/>
      <c r="AJ330" s="1366"/>
      <c r="AK330" s="1366"/>
      <c r="AL330" s="1366"/>
      <c r="AM330" s="1366"/>
      <c r="AN330" s="1366"/>
      <c r="AO330" s="1366"/>
      <c r="AP330" s="1366"/>
      <c r="AQ330" s="1366"/>
      <c r="AR330" s="1366"/>
      <c r="AS330" s="1366"/>
      <c r="AT330" s="1366"/>
      <c r="AU330" s="1366"/>
      <c r="AV330" s="1366"/>
      <c r="AW330" s="1366"/>
      <c r="AX330" s="1366"/>
      <c r="AY330" s="1366"/>
      <c r="AZ330" s="1366"/>
      <c r="BA330" s="1366"/>
      <c r="BB330" s="1366"/>
      <c r="BC330" s="1366"/>
      <c r="BD330" s="1366"/>
      <c r="BE330" s="1366"/>
      <c r="BF330" s="1366"/>
      <c r="BG330" s="1366"/>
      <c r="BH330" s="1366"/>
      <c r="BI330" s="1366"/>
      <c r="BJ330" s="1366"/>
      <c r="BK330" s="1366"/>
      <c r="BL330" s="1366"/>
      <c r="BM330" s="1366"/>
      <c r="BN330" s="1366"/>
      <c r="BO330" s="1366"/>
      <c r="BP330" s="1366"/>
      <c r="BQ330" s="1366"/>
      <c r="BR330" s="1366"/>
      <c r="BS330" s="1366"/>
      <c r="BT330" s="1366"/>
      <c r="BU330" s="1366"/>
      <c r="BV330" s="1366"/>
      <c r="BW330" s="1366"/>
      <c r="BX330" s="1366"/>
      <c r="BY330" s="1366"/>
      <c r="BZ330" s="1366"/>
      <c r="CA330" s="1366"/>
      <c r="CB330" s="1366"/>
      <c r="CC330" s="1366"/>
      <c r="CD330" s="1366"/>
      <c r="CE330" s="1366"/>
      <c r="CF330" s="1366"/>
      <c r="CG330" s="1366"/>
      <c r="CH330" s="1366"/>
      <c r="CI330" s="1366"/>
      <c r="CJ330" s="1366"/>
      <c r="CK330" s="1366"/>
      <c r="CL330" s="1366"/>
      <c r="CM330" s="1366"/>
      <c r="CN330" s="1366"/>
      <c r="CO330" s="1366"/>
      <c r="CP330" s="1366"/>
      <c r="CQ330" s="1366"/>
      <c r="CR330" s="1366"/>
      <c r="CS330" s="1366"/>
      <c r="CT330" s="1366"/>
      <c r="CU330" s="1366"/>
      <c r="CV330" s="1366"/>
      <c r="CW330" s="1366"/>
      <c r="CX330" s="1366"/>
      <c r="CY330" s="1366"/>
      <c r="CZ330" s="1366"/>
      <c r="DA330" s="1366"/>
      <c r="DB330" s="1366"/>
      <c r="DC330" s="1366"/>
      <c r="DD330" s="1366"/>
      <c r="DE330" s="1366"/>
      <c r="DF330" s="1366"/>
      <c r="DG330" s="1366"/>
      <c r="DH330" s="1366"/>
      <c r="DI330" s="1366"/>
      <c r="DJ330" s="1366"/>
      <c r="DK330" s="1366"/>
      <c r="DL330" s="1366"/>
      <c r="DM330" s="1366"/>
      <c r="DN330" s="1366"/>
      <c r="DO330" s="1366"/>
      <c r="DP330" s="1366"/>
      <c r="DQ330" s="1366"/>
      <c r="DR330" s="1366"/>
      <c r="DS330" s="1366"/>
      <c r="DT330" s="1366"/>
      <c r="DU330" s="1366"/>
      <c r="DV330" s="1366"/>
    </row>
    <row r="331" spans="1:126" s="1367" customFormat="1" ht="30">
      <c r="A331" s="2494"/>
      <c r="B331" s="1653">
        <v>157</v>
      </c>
      <c r="C331" s="1642" t="s">
        <v>49</v>
      </c>
      <c r="D331" s="1375" t="s">
        <v>2314</v>
      </c>
      <c r="E331" s="1364" t="s">
        <v>2102</v>
      </c>
      <c r="F331" s="1364" t="s">
        <v>2108</v>
      </c>
      <c r="G331" s="506" t="s">
        <v>1796</v>
      </c>
      <c r="H331" s="1361">
        <f>((1400*'Equipment Results Matrix'!$R$785)+(0.85*'Equipment Results Matrix'!$R$786)+'Equipment Results Matrix'!$R$787+'Equipment Results Matrix'!$T$792)*(1+'Equipment Results Matrix'!$T$794)</f>
        <v>44912.071570067965</v>
      </c>
      <c r="I331" s="1371">
        <f>'Labor Results Matrix'!$E$285*1400</f>
        <v>223.3</v>
      </c>
      <c r="J331" s="1372">
        <f>'Labor Results Matrix'!$G$281*(1+'Labor Results Matrix'!$K$281)</f>
        <v>90.951758386329232</v>
      </c>
      <c r="K331" s="1372">
        <f t="shared" si="113"/>
        <v>20309.527647667317</v>
      </c>
      <c r="L331" s="1372">
        <f>(('Labor Results Matrix'!$I$285*1400)+'Labor Results Matrix'!$J$285)*(1+'Labor Results Matrix'!$K$281)</f>
        <v>28409.163675</v>
      </c>
      <c r="M331" s="1372">
        <f t="shared" si="114"/>
        <v>93630.762892735278</v>
      </c>
      <c r="N331" s="1458">
        <f>M331-$M$330</f>
        <v>40041.214905600034</v>
      </c>
      <c r="O331" s="1361">
        <f t="shared" ref="O331:O333" si="117">H331/1400</f>
        <v>32.080051121477119</v>
      </c>
      <c r="P331" s="1371">
        <f>'Labor Results Matrix'!$E$285</f>
        <v>0.1595</v>
      </c>
      <c r="Q331" s="1372">
        <f>'Labor Results Matrix'!$H$285*(1+'Labor Results Matrix'!$K$281)</f>
        <v>14.506805462619512</v>
      </c>
      <c r="R331" s="1372">
        <f>'Labor Results Matrix'!$I$285*(1+'Labor Results Matrix'!$K$281)</f>
        <v>18.561902624999998</v>
      </c>
      <c r="S331" s="1372">
        <f>'Labor Results Matrix'!$J$285*(1+'Labor Results Matrix'!$K$281)</f>
        <v>2422.5</v>
      </c>
      <c r="T331" s="1372">
        <f t="shared" si="116"/>
        <v>65.148759209096625</v>
      </c>
      <c r="U331" s="1372">
        <f>T331-T330</f>
        <v>28.600867789714307</v>
      </c>
      <c r="V331" s="1458">
        <f>S331-S330</f>
        <v>0</v>
      </c>
      <c r="W331" s="1366"/>
      <c r="X331" s="1366"/>
      <c r="Y331" s="1366"/>
      <c r="Z331" s="1366"/>
      <c r="AA331" s="1366"/>
      <c r="AB331" s="1366"/>
      <c r="AC331" s="1366"/>
      <c r="AD331" s="1366"/>
      <c r="AE331" s="1366"/>
      <c r="AF331" s="1366"/>
      <c r="AG331" s="1366"/>
      <c r="AH331" s="1366"/>
      <c r="AI331" s="1366"/>
      <c r="AJ331" s="1366"/>
      <c r="AK331" s="1366"/>
      <c r="AL331" s="1366"/>
      <c r="AM331" s="1366"/>
      <c r="AN331" s="1366"/>
      <c r="AO331" s="1366"/>
      <c r="AP331" s="1366"/>
      <c r="AQ331" s="1366"/>
      <c r="AR331" s="1366"/>
      <c r="AS331" s="1366"/>
      <c r="AT331" s="1366"/>
      <c r="AU331" s="1366"/>
      <c r="AV331" s="1366"/>
      <c r="AW331" s="1366"/>
      <c r="AX331" s="1366"/>
      <c r="AY331" s="1366"/>
      <c r="AZ331" s="1366"/>
      <c r="BA331" s="1366"/>
      <c r="BB331" s="1366"/>
      <c r="BC331" s="1366"/>
      <c r="BD331" s="1366"/>
      <c r="BE331" s="1366"/>
      <c r="BF331" s="1366"/>
      <c r="BG331" s="1366"/>
      <c r="BH331" s="1366"/>
      <c r="BI331" s="1366"/>
      <c r="BJ331" s="1366"/>
      <c r="BK331" s="1366"/>
      <c r="BL331" s="1366"/>
      <c r="BM331" s="1366"/>
      <c r="BN331" s="1366"/>
      <c r="BO331" s="1366"/>
      <c r="BP331" s="1366"/>
      <c r="BQ331" s="1366"/>
      <c r="BR331" s="1366"/>
      <c r="BS331" s="1366"/>
      <c r="BT331" s="1366"/>
      <c r="BU331" s="1366"/>
      <c r="BV331" s="1366"/>
      <c r="BW331" s="1366"/>
      <c r="BX331" s="1366"/>
      <c r="BY331" s="1366"/>
      <c r="BZ331" s="1366"/>
      <c r="CA331" s="1366"/>
      <c r="CB331" s="1366"/>
      <c r="CC331" s="1366"/>
      <c r="CD331" s="1366"/>
      <c r="CE331" s="1366"/>
      <c r="CF331" s="1366"/>
      <c r="CG331" s="1366"/>
      <c r="CH331" s="1366"/>
      <c r="CI331" s="1366"/>
      <c r="CJ331" s="1366"/>
      <c r="CK331" s="1366"/>
      <c r="CL331" s="1366"/>
      <c r="CM331" s="1366"/>
      <c r="CN331" s="1366"/>
      <c r="CO331" s="1366"/>
      <c r="CP331" s="1366"/>
      <c r="CQ331" s="1366"/>
      <c r="CR331" s="1366"/>
      <c r="CS331" s="1366"/>
      <c r="CT331" s="1366"/>
      <c r="CU331" s="1366"/>
      <c r="CV331" s="1366"/>
      <c r="CW331" s="1366"/>
      <c r="CX331" s="1366"/>
      <c r="CY331" s="1366"/>
      <c r="CZ331" s="1366"/>
      <c r="DA331" s="1366"/>
      <c r="DB331" s="1366"/>
      <c r="DC331" s="1366"/>
      <c r="DD331" s="1366"/>
      <c r="DE331" s="1366"/>
      <c r="DF331" s="1366"/>
      <c r="DG331" s="1366"/>
      <c r="DH331" s="1366"/>
      <c r="DI331" s="1366"/>
      <c r="DJ331" s="1366"/>
      <c r="DK331" s="1366"/>
      <c r="DL331" s="1366"/>
      <c r="DM331" s="1366"/>
      <c r="DN331" s="1366"/>
      <c r="DO331" s="1366"/>
      <c r="DP331" s="1366"/>
      <c r="DQ331" s="1366"/>
      <c r="DR331" s="1366"/>
      <c r="DS331" s="1366"/>
      <c r="DT331" s="1366"/>
      <c r="DU331" s="1366"/>
      <c r="DV331" s="1366"/>
    </row>
    <row r="332" spans="1:126" s="1367" customFormat="1" ht="30">
      <c r="A332" s="2494"/>
      <c r="B332" s="1653">
        <v>158</v>
      </c>
      <c r="C332" s="1642" t="s">
        <v>47</v>
      </c>
      <c r="D332" s="1375" t="s">
        <v>2315</v>
      </c>
      <c r="E332" s="1364" t="s">
        <v>2102</v>
      </c>
      <c r="F332" s="1364" t="s">
        <v>2108</v>
      </c>
      <c r="G332" s="506" t="s">
        <v>1796</v>
      </c>
      <c r="H332" s="1361">
        <f>((1400*'Equipment Results Matrix'!$R$785)+(0.79*'Equipment Results Matrix'!$R$786)+'Equipment Results Matrix'!$R$787+'Equipment Results Matrix'!$T$792)*(1+'Equipment Results Matrix'!$T$794)</f>
        <v>14881.16039086799</v>
      </c>
      <c r="I332" s="1371">
        <f>'Labor Results Matrix'!$E$285*1400</f>
        <v>223.3</v>
      </c>
      <c r="J332" s="1372">
        <f>'Labor Results Matrix'!$G$281*(1+'Labor Results Matrix'!$K$281)</f>
        <v>90.951758386329232</v>
      </c>
      <c r="K332" s="1372">
        <f t="shared" si="113"/>
        <v>20309.527647667317</v>
      </c>
      <c r="L332" s="1372">
        <f>(('Labor Results Matrix'!$I$285*1400)+'Labor Results Matrix'!$J$285)*(1+'Labor Results Matrix'!$K$281)</f>
        <v>28409.163675</v>
      </c>
      <c r="M332" s="1372">
        <f t="shared" si="114"/>
        <v>63599.851713535303</v>
      </c>
      <c r="N332" s="1455" t="s">
        <v>40</v>
      </c>
      <c r="O332" s="1361">
        <f t="shared" si="117"/>
        <v>10.629400279191421</v>
      </c>
      <c r="P332" s="1371">
        <f>'Labor Results Matrix'!$E$285</f>
        <v>0.1595</v>
      </c>
      <c r="Q332" s="1372">
        <f>'Labor Results Matrix'!$H$285*(1+'Labor Results Matrix'!$K$281)</f>
        <v>14.506805462619512</v>
      </c>
      <c r="R332" s="1372">
        <f>'Labor Results Matrix'!$I$285*(1+'Labor Results Matrix'!$K$281)</f>
        <v>18.561902624999998</v>
      </c>
      <c r="S332" s="1372">
        <f>'Labor Results Matrix'!$J$285*(1+'Labor Results Matrix'!$K$281)</f>
        <v>2422.5</v>
      </c>
      <c r="T332" s="1372">
        <f t="shared" si="116"/>
        <v>43.698108366810928</v>
      </c>
      <c r="U332" s="1417" t="s">
        <v>40</v>
      </c>
      <c r="V332" s="1455" t="s">
        <v>40</v>
      </c>
      <c r="W332" s="1366"/>
      <c r="X332" s="1366"/>
      <c r="Y332" s="1366"/>
      <c r="Z332" s="1366"/>
      <c r="AA332" s="1366"/>
      <c r="AB332" s="1366"/>
      <c r="AC332" s="1366"/>
      <c r="AD332" s="1366"/>
      <c r="AE332" s="1366"/>
      <c r="AF332" s="1366"/>
      <c r="AG332" s="1366"/>
      <c r="AH332" s="1366"/>
      <c r="AI332" s="1366"/>
      <c r="AJ332" s="1366"/>
      <c r="AK332" s="1366"/>
      <c r="AL332" s="1366"/>
      <c r="AM332" s="1366"/>
      <c r="AN332" s="1366"/>
      <c r="AO332" s="1366"/>
      <c r="AP332" s="1366"/>
      <c r="AQ332" s="1366"/>
      <c r="AR332" s="1366"/>
      <c r="AS332" s="1366"/>
      <c r="AT332" s="1366"/>
      <c r="AU332" s="1366"/>
      <c r="AV332" s="1366"/>
      <c r="AW332" s="1366"/>
      <c r="AX332" s="1366"/>
      <c r="AY332" s="1366"/>
      <c r="AZ332" s="1366"/>
      <c r="BA332" s="1366"/>
      <c r="BB332" s="1366"/>
      <c r="BC332" s="1366"/>
      <c r="BD332" s="1366"/>
      <c r="BE332" s="1366"/>
      <c r="BF332" s="1366"/>
      <c r="BG332" s="1366"/>
      <c r="BH332" s="1366"/>
      <c r="BI332" s="1366"/>
      <c r="BJ332" s="1366"/>
      <c r="BK332" s="1366"/>
      <c r="BL332" s="1366"/>
      <c r="BM332" s="1366"/>
      <c r="BN332" s="1366"/>
      <c r="BO332" s="1366"/>
      <c r="BP332" s="1366"/>
      <c r="BQ332" s="1366"/>
      <c r="BR332" s="1366"/>
      <c r="BS332" s="1366"/>
      <c r="BT332" s="1366"/>
      <c r="BU332" s="1366"/>
      <c r="BV332" s="1366"/>
      <c r="BW332" s="1366"/>
      <c r="BX332" s="1366"/>
      <c r="BY332" s="1366"/>
      <c r="BZ332" s="1366"/>
      <c r="CA332" s="1366"/>
      <c r="CB332" s="1366"/>
      <c r="CC332" s="1366"/>
      <c r="CD332" s="1366"/>
      <c r="CE332" s="1366"/>
      <c r="CF332" s="1366"/>
      <c r="CG332" s="1366"/>
      <c r="CH332" s="1366"/>
      <c r="CI332" s="1366"/>
      <c r="CJ332" s="1366"/>
      <c r="CK332" s="1366"/>
      <c r="CL332" s="1366"/>
      <c r="CM332" s="1366"/>
      <c r="CN332" s="1366"/>
      <c r="CO332" s="1366"/>
      <c r="CP332" s="1366"/>
      <c r="CQ332" s="1366"/>
      <c r="CR332" s="1366"/>
      <c r="CS332" s="1366"/>
      <c r="CT332" s="1366"/>
      <c r="CU332" s="1366"/>
      <c r="CV332" s="1366"/>
      <c r="CW332" s="1366"/>
      <c r="CX332" s="1366"/>
      <c r="CY332" s="1366"/>
      <c r="CZ332" s="1366"/>
      <c r="DA332" s="1366"/>
      <c r="DB332" s="1366"/>
      <c r="DC332" s="1366"/>
      <c r="DD332" s="1366"/>
      <c r="DE332" s="1366"/>
      <c r="DF332" s="1366"/>
      <c r="DG332" s="1366"/>
      <c r="DH332" s="1366"/>
      <c r="DI332" s="1366"/>
      <c r="DJ332" s="1366"/>
      <c r="DK332" s="1366"/>
      <c r="DL332" s="1366"/>
      <c r="DM332" s="1366"/>
      <c r="DN332" s="1366"/>
      <c r="DO332" s="1366"/>
      <c r="DP332" s="1366"/>
      <c r="DQ332" s="1366"/>
      <c r="DR332" s="1366"/>
      <c r="DS332" s="1366"/>
      <c r="DT332" s="1366"/>
      <c r="DU332" s="1366"/>
      <c r="DV332" s="1366"/>
    </row>
    <row r="333" spans="1:126" s="1367" customFormat="1" ht="30">
      <c r="A333" s="2494"/>
      <c r="B333" s="1653">
        <v>158</v>
      </c>
      <c r="C333" s="1642" t="s">
        <v>49</v>
      </c>
      <c r="D333" s="1375" t="s">
        <v>2316</v>
      </c>
      <c r="E333" s="1364" t="s">
        <v>2102</v>
      </c>
      <c r="F333" s="1364" t="s">
        <v>2108</v>
      </c>
      <c r="G333" s="506" t="s">
        <v>1796</v>
      </c>
      <c r="H333" s="1361">
        <f>((1400*'Equipment Results Matrix'!$R$785)+(0.85*'Equipment Results Matrix'!$R$786)+'Equipment Results Matrix'!$R$787+'Equipment Results Matrix'!$T$792)*(1+'Equipment Results Matrix'!$T$794)</f>
        <v>44912.071570067965</v>
      </c>
      <c r="I333" s="1371">
        <f>'Labor Results Matrix'!$E$285*1400</f>
        <v>223.3</v>
      </c>
      <c r="J333" s="1372">
        <f>'Labor Results Matrix'!$G$281*(1+'Labor Results Matrix'!$K$281)</f>
        <v>90.951758386329232</v>
      </c>
      <c r="K333" s="1372">
        <f t="shared" si="113"/>
        <v>20309.527647667317</v>
      </c>
      <c r="L333" s="1372">
        <f>(('Labor Results Matrix'!$I$285*1400)+'Labor Results Matrix'!$J$285)*(1+'Labor Results Matrix'!$K$281)</f>
        <v>28409.163675</v>
      </c>
      <c r="M333" s="1372">
        <f t="shared" si="114"/>
        <v>93630.762892735278</v>
      </c>
      <c r="N333" s="1458">
        <f>M333-$M$332</f>
        <v>30030.911179199975</v>
      </c>
      <c r="O333" s="1361">
        <f t="shared" si="117"/>
        <v>32.080051121477119</v>
      </c>
      <c r="P333" s="1371">
        <f>'Labor Results Matrix'!$E$285</f>
        <v>0.1595</v>
      </c>
      <c r="Q333" s="1372">
        <f>'Labor Results Matrix'!$H$285*(1+'Labor Results Matrix'!$K$281)</f>
        <v>14.506805462619512</v>
      </c>
      <c r="R333" s="1372">
        <f>'Labor Results Matrix'!$I$285*(1+'Labor Results Matrix'!$K$281)</f>
        <v>18.561902624999998</v>
      </c>
      <c r="S333" s="1372">
        <f>'Labor Results Matrix'!$J$285*(1+'Labor Results Matrix'!$K$281)</f>
        <v>2422.5</v>
      </c>
      <c r="T333" s="1372">
        <f t="shared" si="116"/>
        <v>65.148759209096625</v>
      </c>
      <c r="U333" s="1372">
        <f>T333-T332</f>
        <v>21.450650842285697</v>
      </c>
      <c r="V333" s="1458">
        <f>S333-S332</f>
        <v>0</v>
      </c>
      <c r="W333" s="1366"/>
      <c r="X333" s="1366"/>
      <c r="Y333" s="1366"/>
      <c r="Z333" s="1366"/>
      <c r="AA333" s="1366"/>
      <c r="AB333" s="1366"/>
      <c r="AC333" s="1366"/>
      <c r="AD333" s="1366"/>
      <c r="AE333" s="1366"/>
      <c r="AF333" s="1366"/>
      <c r="AG333" s="1366"/>
      <c r="AH333" s="1366"/>
      <c r="AI333" s="1366"/>
      <c r="AJ333" s="1366"/>
      <c r="AK333" s="1366"/>
      <c r="AL333" s="1366"/>
      <c r="AM333" s="1366"/>
      <c r="AN333" s="1366"/>
      <c r="AO333" s="1366"/>
      <c r="AP333" s="1366"/>
      <c r="AQ333" s="1366"/>
      <c r="AR333" s="1366"/>
      <c r="AS333" s="1366"/>
      <c r="AT333" s="1366"/>
      <c r="AU333" s="1366"/>
      <c r="AV333" s="1366"/>
      <c r="AW333" s="1366"/>
      <c r="AX333" s="1366"/>
      <c r="AY333" s="1366"/>
      <c r="AZ333" s="1366"/>
      <c r="BA333" s="1366"/>
      <c r="BB333" s="1366"/>
      <c r="BC333" s="1366"/>
      <c r="BD333" s="1366"/>
      <c r="BE333" s="1366"/>
      <c r="BF333" s="1366"/>
      <c r="BG333" s="1366"/>
      <c r="BH333" s="1366"/>
      <c r="BI333" s="1366"/>
      <c r="BJ333" s="1366"/>
      <c r="BK333" s="1366"/>
      <c r="BL333" s="1366"/>
      <c r="BM333" s="1366"/>
      <c r="BN333" s="1366"/>
      <c r="BO333" s="1366"/>
      <c r="BP333" s="1366"/>
      <c r="BQ333" s="1366"/>
      <c r="BR333" s="1366"/>
      <c r="BS333" s="1366"/>
      <c r="BT333" s="1366"/>
      <c r="BU333" s="1366"/>
      <c r="BV333" s="1366"/>
      <c r="BW333" s="1366"/>
      <c r="BX333" s="1366"/>
      <c r="BY333" s="1366"/>
      <c r="BZ333" s="1366"/>
      <c r="CA333" s="1366"/>
      <c r="CB333" s="1366"/>
      <c r="CC333" s="1366"/>
      <c r="CD333" s="1366"/>
      <c r="CE333" s="1366"/>
      <c r="CF333" s="1366"/>
      <c r="CG333" s="1366"/>
      <c r="CH333" s="1366"/>
      <c r="CI333" s="1366"/>
      <c r="CJ333" s="1366"/>
      <c r="CK333" s="1366"/>
      <c r="CL333" s="1366"/>
      <c r="CM333" s="1366"/>
      <c r="CN333" s="1366"/>
      <c r="CO333" s="1366"/>
      <c r="CP333" s="1366"/>
      <c r="CQ333" s="1366"/>
      <c r="CR333" s="1366"/>
      <c r="CS333" s="1366"/>
      <c r="CT333" s="1366"/>
      <c r="CU333" s="1366"/>
      <c r="CV333" s="1366"/>
      <c r="CW333" s="1366"/>
      <c r="CX333" s="1366"/>
      <c r="CY333" s="1366"/>
      <c r="CZ333" s="1366"/>
      <c r="DA333" s="1366"/>
      <c r="DB333" s="1366"/>
      <c r="DC333" s="1366"/>
      <c r="DD333" s="1366"/>
      <c r="DE333" s="1366"/>
      <c r="DF333" s="1366"/>
      <c r="DG333" s="1366"/>
      <c r="DH333" s="1366"/>
      <c r="DI333" s="1366"/>
      <c r="DJ333" s="1366"/>
      <c r="DK333" s="1366"/>
      <c r="DL333" s="1366"/>
      <c r="DM333" s="1366"/>
      <c r="DN333" s="1366"/>
      <c r="DO333" s="1366"/>
      <c r="DP333" s="1366"/>
      <c r="DQ333" s="1366"/>
      <c r="DR333" s="1366"/>
      <c r="DS333" s="1366"/>
      <c r="DT333" s="1366"/>
      <c r="DU333" s="1366"/>
      <c r="DV333" s="1366"/>
    </row>
    <row r="334" spans="1:126" s="1367" customFormat="1" ht="30">
      <c r="A334" s="2494"/>
      <c r="B334" s="1653">
        <v>159</v>
      </c>
      <c r="C334" s="1642" t="s">
        <v>47</v>
      </c>
      <c r="D334" s="1375" t="s">
        <v>2317</v>
      </c>
      <c r="E334" s="1364" t="s">
        <v>2102</v>
      </c>
      <c r="F334" s="1364" t="s">
        <v>2108</v>
      </c>
      <c r="G334" s="506" t="s">
        <v>1796</v>
      </c>
      <c r="H334" s="1361">
        <f>((3000*'Equipment Results Matrix'!$R$785)+(0.77*'Equipment Results Matrix'!$R$786)+'Equipment Results Matrix'!$R$787+'Equipment Results Matrix'!$T$792)*(1+'Equipment Results Matrix'!$T$794)</f>
        <v>30416.264664467959</v>
      </c>
      <c r="I334" s="1371">
        <f>'Labor Results Matrix'!$E$289*3000</f>
        <v>167.5</v>
      </c>
      <c r="J334" s="1372">
        <f>'Labor Results Matrix'!$G$281*(1+'Labor Results Matrix'!$K$281)</f>
        <v>90.951758386329232</v>
      </c>
      <c r="K334" s="1372">
        <f t="shared" si="113"/>
        <v>15234.419529710147</v>
      </c>
      <c r="L334" s="1372">
        <f>(('Labor Results Matrix'!$I$289*3000)+'Labor Results Matrix'!$J$289)*(1+'Labor Results Matrix'!$K$281)</f>
        <v>37860.124124999995</v>
      </c>
      <c r="M334" s="1372">
        <f t="shared" si="114"/>
        <v>83510.80831917809</v>
      </c>
      <c r="N334" s="1455" t="s">
        <v>40</v>
      </c>
      <c r="O334" s="1361">
        <f>H334/3000</f>
        <v>10.138754888155987</v>
      </c>
      <c r="P334" s="1371">
        <f>'Labor Results Matrix'!$E$289</f>
        <v>5.5833333333333332E-2</v>
      </c>
      <c r="Q334" s="1372">
        <f>'Labor Results Matrix'!$H$289*(1+'Labor Results Matrix'!$K$281)</f>
        <v>5.0781398432367153</v>
      </c>
      <c r="R334" s="1372">
        <f>'Labor Results Matrix'!$I$289*(1+'Labor Results Matrix'!$K$281)</f>
        <v>11.451291375</v>
      </c>
      <c r="S334" s="1372">
        <f>'Labor Results Matrix'!$J$289*(1+'Labor Results Matrix'!$K$281)</f>
        <v>3506.2499999999995</v>
      </c>
      <c r="T334" s="1372">
        <f t="shared" si="116"/>
        <v>26.668186106392703</v>
      </c>
      <c r="U334" s="1417" t="s">
        <v>40</v>
      </c>
      <c r="V334" s="1455" t="s">
        <v>40</v>
      </c>
      <c r="W334" s="1366"/>
      <c r="X334" s="1366"/>
      <c r="Y334" s="1366"/>
      <c r="Z334" s="1366"/>
      <c r="AA334" s="1366"/>
      <c r="AB334" s="1366"/>
      <c r="AC334" s="1366"/>
      <c r="AD334" s="1366"/>
      <c r="AE334" s="1366"/>
      <c r="AF334" s="1366"/>
      <c r="AG334" s="1366"/>
      <c r="AH334" s="1366"/>
      <c r="AI334" s="1366"/>
      <c r="AJ334" s="1366"/>
      <c r="AK334" s="1366"/>
      <c r="AL334" s="1366"/>
      <c r="AM334" s="1366"/>
      <c r="AN334" s="1366"/>
      <c r="AO334" s="1366"/>
      <c r="AP334" s="1366"/>
      <c r="AQ334" s="1366"/>
      <c r="AR334" s="1366"/>
      <c r="AS334" s="1366"/>
      <c r="AT334" s="1366"/>
      <c r="AU334" s="1366"/>
      <c r="AV334" s="1366"/>
      <c r="AW334" s="1366"/>
      <c r="AX334" s="1366"/>
      <c r="AY334" s="1366"/>
      <c r="AZ334" s="1366"/>
      <c r="BA334" s="1366"/>
      <c r="BB334" s="1366"/>
      <c r="BC334" s="1366"/>
      <c r="BD334" s="1366"/>
      <c r="BE334" s="1366"/>
      <c r="BF334" s="1366"/>
      <c r="BG334" s="1366"/>
      <c r="BH334" s="1366"/>
      <c r="BI334" s="1366"/>
      <c r="BJ334" s="1366"/>
      <c r="BK334" s="1366"/>
      <c r="BL334" s="1366"/>
      <c r="BM334" s="1366"/>
      <c r="BN334" s="1366"/>
      <c r="BO334" s="1366"/>
      <c r="BP334" s="1366"/>
      <c r="BQ334" s="1366"/>
      <c r="BR334" s="1366"/>
      <c r="BS334" s="1366"/>
      <c r="BT334" s="1366"/>
      <c r="BU334" s="1366"/>
      <c r="BV334" s="1366"/>
      <c r="BW334" s="1366"/>
      <c r="BX334" s="1366"/>
      <c r="BY334" s="1366"/>
      <c r="BZ334" s="1366"/>
      <c r="CA334" s="1366"/>
      <c r="CB334" s="1366"/>
      <c r="CC334" s="1366"/>
      <c r="CD334" s="1366"/>
      <c r="CE334" s="1366"/>
      <c r="CF334" s="1366"/>
      <c r="CG334" s="1366"/>
      <c r="CH334" s="1366"/>
      <c r="CI334" s="1366"/>
      <c r="CJ334" s="1366"/>
      <c r="CK334" s="1366"/>
      <c r="CL334" s="1366"/>
      <c r="CM334" s="1366"/>
      <c r="CN334" s="1366"/>
      <c r="CO334" s="1366"/>
      <c r="CP334" s="1366"/>
      <c r="CQ334" s="1366"/>
      <c r="CR334" s="1366"/>
      <c r="CS334" s="1366"/>
      <c r="CT334" s="1366"/>
      <c r="CU334" s="1366"/>
      <c r="CV334" s="1366"/>
      <c r="CW334" s="1366"/>
      <c r="CX334" s="1366"/>
      <c r="CY334" s="1366"/>
      <c r="CZ334" s="1366"/>
      <c r="DA334" s="1366"/>
      <c r="DB334" s="1366"/>
      <c r="DC334" s="1366"/>
      <c r="DD334" s="1366"/>
      <c r="DE334" s="1366"/>
      <c r="DF334" s="1366"/>
      <c r="DG334" s="1366"/>
      <c r="DH334" s="1366"/>
      <c r="DI334" s="1366"/>
      <c r="DJ334" s="1366"/>
      <c r="DK334" s="1366"/>
      <c r="DL334" s="1366"/>
      <c r="DM334" s="1366"/>
      <c r="DN334" s="1366"/>
      <c r="DO334" s="1366"/>
      <c r="DP334" s="1366"/>
      <c r="DQ334" s="1366"/>
      <c r="DR334" s="1366"/>
      <c r="DS334" s="1366"/>
      <c r="DT334" s="1366"/>
      <c r="DU334" s="1366"/>
      <c r="DV334" s="1366"/>
    </row>
    <row r="335" spans="1:126" s="1367" customFormat="1" ht="30">
      <c r="A335" s="2494"/>
      <c r="B335" s="1653">
        <v>159</v>
      </c>
      <c r="C335" s="1642" t="s">
        <v>49</v>
      </c>
      <c r="D335" s="1375" t="s">
        <v>2318</v>
      </c>
      <c r="E335" s="1364" t="s">
        <v>2102</v>
      </c>
      <c r="F335" s="1364" t="s">
        <v>2108</v>
      </c>
      <c r="G335" s="506" t="s">
        <v>1796</v>
      </c>
      <c r="H335" s="1361">
        <f>((3000*'Equipment Results Matrix'!$R$785)+(0.8*'Equipment Results Matrix'!$R$786)+'Equipment Results Matrix'!$R$787+'Equipment Results Matrix'!$T$792)*(1+'Equipment Results Matrix'!$T$794)</f>
        <v>45431.720254067979</v>
      </c>
      <c r="I335" s="1371">
        <f>'Labor Results Matrix'!$E$289*3000</f>
        <v>167.5</v>
      </c>
      <c r="J335" s="1372">
        <f>'Labor Results Matrix'!$G$281*(1+'Labor Results Matrix'!$K$281)</f>
        <v>90.951758386329232</v>
      </c>
      <c r="K335" s="1372">
        <f t="shared" si="113"/>
        <v>15234.419529710147</v>
      </c>
      <c r="L335" s="1372">
        <f>(('Labor Results Matrix'!$I$289*3000)+'Labor Results Matrix'!$J$289)*(1+'Labor Results Matrix'!$K$281)</f>
        <v>37860.124124999995</v>
      </c>
      <c r="M335" s="1372">
        <f t="shared" si="114"/>
        <v>98526.263908778114</v>
      </c>
      <c r="N335" s="1458">
        <f>M335-$M$334</f>
        <v>15015.455589600024</v>
      </c>
      <c r="O335" s="1361">
        <f t="shared" ref="O335:O337" si="118">H335/3000</f>
        <v>15.143906751355994</v>
      </c>
      <c r="P335" s="1371">
        <f>'Labor Results Matrix'!$E$289</f>
        <v>5.5833333333333332E-2</v>
      </c>
      <c r="Q335" s="1372">
        <f>'Labor Results Matrix'!$H$289*(1+'Labor Results Matrix'!$K$281)</f>
        <v>5.0781398432367153</v>
      </c>
      <c r="R335" s="1372">
        <f>'Labor Results Matrix'!$I$289*(1+'Labor Results Matrix'!$K$281)</f>
        <v>11.451291375</v>
      </c>
      <c r="S335" s="1372">
        <f>'Labor Results Matrix'!$J$289*(1+'Labor Results Matrix'!$K$281)</f>
        <v>3506.2499999999995</v>
      </c>
      <c r="T335" s="1372">
        <f t="shared" si="116"/>
        <v>31.673337969592708</v>
      </c>
      <c r="U335" s="1372">
        <f>T335-T334</f>
        <v>5.0051518632000054</v>
      </c>
      <c r="V335" s="1458">
        <f>S335-S334</f>
        <v>0</v>
      </c>
      <c r="W335" s="1366"/>
      <c r="X335" s="1366"/>
      <c r="Y335" s="1366"/>
      <c r="Z335" s="1366"/>
      <c r="AA335" s="1366"/>
      <c r="AB335" s="1366"/>
      <c r="AC335" s="1366"/>
      <c r="AD335" s="1366"/>
      <c r="AE335" s="1366"/>
      <c r="AF335" s="1366"/>
      <c r="AG335" s="1366"/>
      <c r="AH335" s="1366"/>
      <c r="AI335" s="1366"/>
      <c r="AJ335" s="1366"/>
      <c r="AK335" s="1366"/>
      <c r="AL335" s="1366"/>
      <c r="AM335" s="1366"/>
      <c r="AN335" s="1366"/>
      <c r="AO335" s="1366"/>
      <c r="AP335" s="1366"/>
      <c r="AQ335" s="1366"/>
      <c r="AR335" s="1366"/>
      <c r="AS335" s="1366"/>
      <c r="AT335" s="1366"/>
      <c r="AU335" s="1366"/>
      <c r="AV335" s="1366"/>
      <c r="AW335" s="1366"/>
      <c r="AX335" s="1366"/>
      <c r="AY335" s="1366"/>
      <c r="AZ335" s="1366"/>
      <c r="BA335" s="1366"/>
      <c r="BB335" s="1366"/>
      <c r="BC335" s="1366"/>
      <c r="BD335" s="1366"/>
      <c r="BE335" s="1366"/>
      <c r="BF335" s="1366"/>
      <c r="BG335" s="1366"/>
      <c r="BH335" s="1366"/>
      <c r="BI335" s="1366"/>
      <c r="BJ335" s="1366"/>
      <c r="BK335" s="1366"/>
      <c r="BL335" s="1366"/>
      <c r="BM335" s="1366"/>
      <c r="BN335" s="1366"/>
      <c r="BO335" s="1366"/>
      <c r="BP335" s="1366"/>
      <c r="BQ335" s="1366"/>
      <c r="BR335" s="1366"/>
      <c r="BS335" s="1366"/>
      <c r="BT335" s="1366"/>
      <c r="BU335" s="1366"/>
      <c r="BV335" s="1366"/>
      <c r="BW335" s="1366"/>
      <c r="BX335" s="1366"/>
      <c r="BY335" s="1366"/>
      <c r="BZ335" s="1366"/>
      <c r="CA335" s="1366"/>
      <c r="CB335" s="1366"/>
      <c r="CC335" s="1366"/>
      <c r="CD335" s="1366"/>
      <c r="CE335" s="1366"/>
      <c r="CF335" s="1366"/>
      <c r="CG335" s="1366"/>
      <c r="CH335" s="1366"/>
      <c r="CI335" s="1366"/>
      <c r="CJ335" s="1366"/>
      <c r="CK335" s="1366"/>
      <c r="CL335" s="1366"/>
      <c r="CM335" s="1366"/>
      <c r="CN335" s="1366"/>
      <c r="CO335" s="1366"/>
      <c r="CP335" s="1366"/>
      <c r="CQ335" s="1366"/>
      <c r="CR335" s="1366"/>
      <c r="CS335" s="1366"/>
      <c r="CT335" s="1366"/>
      <c r="CU335" s="1366"/>
      <c r="CV335" s="1366"/>
      <c r="CW335" s="1366"/>
      <c r="CX335" s="1366"/>
      <c r="CY335" s="1366"/>
      <c r="CZ335" s="1366"/>
      <c r="DA335" s="1366"/>
      <c r="DB335" s="1366"/>
      <c r="DC335" s="1366"/>
      <c r="DD335" s="1366"/>
      <c r="DE335" s="1366"/>
      <c r="DF335" s="1366"/>
      <c r="DG335" s="1366"/>
      <c r="DH335" s="1366"/>
      <c r="DI335" s="1366"/>
      <c r="DJ335" s="1366"/>
      <c r="DK335" s="1366"/>
      <c r="DL335" s="1366"/>
      <c r="DM335" s="1366"/>
      <c r="DN335" s="1366"/>
      <c r="DO335" s="1366"/>
      <c r="DP335" s="1366"/>
      <c r="DQ335" s="1366"/>
      <c r="DR335" s="1366"/>
      <c r="DS335" s="1366"/>
      <c r="DT335" s="1366"/>
      <c r="DU335" s="1366"/>
      <c r="DV335" s="1366"/>
    </row>
    <row r="336" spans="1:126" s="1367" customFormat="1" ht="30">
      <c r="A336" s="2494"/>
      <c r="B336" s="1653">
        <v>160</v>
      </c>
      <c r="C336" s="1642" t="s">
        <v>47</v>
      </c>
      <c r="D336" s="1375" t="s">
        <v>2319</v>
      </c>
      <c r="E336" s="1364" t="s">
        <v>2102</v>
      </c>
      <c r="F336" s="1364" t="s">
        <v>2108</v>
      </c>
      <c r="G336" s="506" t="s">
        <v>1796</v>
      </c>
      <c r="H336" s="1361">
        <f>((3000*'Equipment Results Matrix'!$R$785)+(0.79*'Equipment Results Matrix'!$R$786)+'Equipment Results Matrix'!$R$787+'Equipment Results Matrix'!$T$792)*(1+'Equipment Results Matrix'!$T$794)</f>
        <v>40426.568390868022</v>
      </c>
      <c r="I336" s="1371">
        <f>'Labor Results Matrix'!$E$289*3000</f>
        <v>167.5</v>
      </c>
      <c r="J336" s="1372">
        <f>'Labor Results Matrix'!$G$281*(1+'Labor Results Matrix'!$K$281)</f>
        <v>90.951758386329232</v>
      </c>
      <c r="K336" s="1372">
        <f t="shared" si="113"/>
        <v>15234.419529710147</v>
      </c>
      <c r="L336" s="1372">
        <f>(('Labor Results Matrix'!$I$289*3000)+'Labor Results Matrix'!$J$289)*(1+'Labor Results Matrix'!$K$281)</f>
        <v>37860.124124999995</v>
      </c>
      <c r="M336" s="1372">
        <f t="shared" si="114"/>
        <v>93521.112045578164</v>
      </c>
      <c r="N336" s="1455" t="s">
        <v>40</v>
      </c>
      <c r="O336" s="1361">
        <f t="shared" si="118"/>
        <v>13.475522796956007</v>
      </c>
      <c r="P336" s="1371">
        <f>'Labor Results Matrix'!$E$289</f>
        <v>5.5833333333333332E-2</v>
      </c>
      <c r="Q336" s="1372">
        <f>'Labor Results Matrix'!$H$289*(1+'Labor Results Matrix'!$K$281)</f>
        <v>5.0781398432367153</v>
      </c>
      <c r="R336" s="1372">
        <f>'Labor Results Matrix'!$I$289*(1+'Labor Results Matrix'!$K$281)</f>
        <v>11.451291375</v>
      </c>
      <c r="S336" s="1372">
        <f>'Labor Results Matrix'!$J$289*(1+'Labor Results Matrix'!$K$281)</f>
        <v>3506.2499999999995</v>
      </c>
      <c r="T336" s="1372">
        <f t="shared" si="116"/>
        <v>30.004954015192723</v>
      </c>
      <c r="U336" s="1417" t="s">
        <v>40</v>
      </c>
      <c r="V336" s="1455" t="s">
        <v>40</v>
      </c>
      <c r="W336" s="1366"/>
      <c r="X336" s="1366"/>
      <c r="Y336" s="1366"/>
      <c r="Z336" s="1366"/>
      <c r="AA336" s="1366"/>
      <c r="AB336" s="1366"/>
      <c r="AC336" s="1366"/>
      <c r="AD336" s="1366"/>
      <c r="AE336" s="1366"/>
      <c r="AF336" s="1366"/>
      <c r="AG336" s="1366"/>
      <c r="AH336" s="1366"/>
      <c r="AI336" s="1366"/>
      <c r="AJ336" s="1366"/>
      <c r="AK336" s="1366"/>
      <c r="AL336" s="1366"/>
      <c r="AM336" s="1366"/>
      <c r="AN336" s="1366"/>
      <c r="AO336" s="1366"/>
      <c r="AP336" s="1366"/>
      <c r="AQ336" s="1366"/>
      <c r="AR336" s="1366"/>
      <c r="AS336" s="1366"/>
      <c r="AT336" s="1366"/>
      <c r="AU336" s="1366"/>
      <c r="AV336" s="1366"/>
      <c r="AW336" s="1366"/>
      <c r="AX336" s="1366"/>
      <c r="AY336" s="1366"/>
      <c r="AZ336" s="1366"/>
      <c r="BA336" s="1366"/>
      <c r="BB336" s="1366"/>
      <c r="BC336" s="1366"/>
      <c r="BD336" s="1366"/>
      <c r="BE336" s="1366"/>
      <c r="BF336" s="1366"/>
      <c r="BG336" s="1366"/>
      <c r="BH336" s="1366"/>
      <c r="BI336" s="1366"/>
      <c r="BJ336" s="1366"/>
      <c r="BK336" s="1366"/>
      <c r="BL336" s="1366"/>
      <c r="BM336" s="1366"/>
      <c r="BN336" s="1366"/>
      <c r="BO336" s="1366"/>
      <c r="BP336" s="1366"/>
      <c r="BQ336" s="1366"/>
      <c r="BR336" s="1366"/>
      <c r="BS336" s="1366"/>
      <c r="BT336" s="1366"/>
      <c r="BU336" s="1366"/>
      <c r="BV336" s="1366"/>
      <c r="BW336" s="1366"/>
      <c r="BX336" s="1366"/>
      <c r="BY336" s="1366"/>
      <c r="BZ336" s="1366"/>
      <c r="CA336" s="1366"/>
      <c r="CB336" s="1366"/>
      <c r="CC336" s="1366"/>
      <c r="CD336" s="1366"/>
      <c r="CE336" s="1366"/>
      <c r="CF336" s="1366"/>
      <c r="CG336" s="1366"/>
      <c r="CH336" s="1366"/>
      <c r="CI336" s="1366"/>
      <c r="CJ336" s="1366"/>
      <c r="CK336" s="1366"/>
      <c r="CL336" s="1366"/>
      <c r="CM336" s="1366"/>
      <c r="CN336" s="1366"/>
      <c r="CO336" s="1366"/>
      <c r="CP336" s="1366"/>
      <c r="CQ336" s="1366"/>
      <c r="CR336" s="1366"/>
      <c r="CS336" s="1366"/>
      <c r="CT336" s="1366"/>
      <c r="CU336" s="1366"/>
      <c r="CV336" s="1366"/>
      <c r="CW336" s="1366"/>
      <c r="CX336" s="1366"/>
      <c r="CY336" s="1366"/>
      <c r="CZ336" s="1366"/>
      <c r="DA336" s="1366"/>
      <c r="DB336" s="1366"/>
      <c r="DC336" s="1366"/>
      <c r="DD336" s="1366"/>
      <c r="DE336" s="1366"/>
      <c r="DF336" s="1366"/>
      <c r="DG336" s="1366"/>
      <c r="DH336" s="1366"/>
      <c r="DI336" s="1366"/>
      <c r="DJ336" s="1366"/>
      <c r="DK336" s="1366"/>
      <c r="DL336" s="1366"/>
      <c r="DM336" s="1366"/>
      <c r="DN336" s="1366"/>
      <c r="DO336" s="1366"/>
      <c r="DP336" s="1366"/>
      <c r="DQ336" s="1366"/>
      <c r="DR336" s="1366"/>
      <c r="DS336" s="1366"/>
      <c r="DT336" s="1366"/>
      <c r="DU336" s="1366"/>
      <c r="DV336" s="1366"/>
    </row>
    <row r="337" spans="1:126" s="1367" customFormat="1" ht="30">
      <c r="A337" s="2494"/>
      <c r="B337" s="1653">
        <v>160</v>
      </c>
      <c r="C337" s="1642" t="s">
        <v>49</v>
      </c>
      <c r="D337" s="1375" t="s">
        <v>2320</v>
      </c>
      <c r="E337" s="1364" t="s">
        <v>2102</v>
      </c>
      <c r="F337" s="1364" t="s">
        <v>2108</v>
      </c>
      <c r="G337" s="506" t="s">
        <v>1796</v>
      </c>
      <c r="H337" s="1361">
        <f>((3000*'Equipment Results Matrix'!$R$785)+(0.8*'Equipment Results Matrix'!$R$786)+'Equipment Results Matrix'!$R$787+'Equipment Results Matrix'!$T$792)*(1+'Equipment Results Matrix'!$T$794)</f>
        <v>45431.720254067979</v>
      </c>
      <c r="I337" s="1371">
        <f>'Labor Results Matrix'!$E$289*3000</f>
        <v>167.5</v>
      </c>
      <c r="J337" s="1372">
        <f>'Labor Results Matrix'!$G$281*(1+'Labor Results Matrix'!$K$281)</f>
        <v>90.951758386329232</v>
      </c>
      <c r="K337" s="1372">
        <f t="shared" si="113"/>
        <v>15234.419529710147</v>
      </c>
      <c r="L337" s="1372">
        <f>(('Labor Results Matrix'!$I$289*3000)+'Labor Results Matrix'!$J$289)*(1+'Labor Results Matrix'!$K$281)</f>
        <v>37860.124124999995</v>
      </c>
      <c r="M337" s="1372">
        <f t="shared" si="114"/>
        <v>98526.263908778114</v>
      </c>
      <c r="N337" s="1458">
        <f>M337-$M$336</f>
        <v>5005.1518631999497</v>
      </c>
      <c r="O337" s="1361">
        <f t="shared" si="118"/>
        <v>15.143906751355994</v>
      </c>
      <c r="P337" s="1371">
        <f>'Labor Results Matrix'!$E$289</f>
        <v>5.5833333333333332E-2</v>
      </c>
      <c r="Q337" s="1372">
        <f>'Labor Results Matrix'!$H$289*(1+'Labor Results Matrix'!$K$281)</f>
        <v>5.0781398432367153</v>
      </c>
      <c r="R337" s="1372">
        <f>'Labor Results Matrix'!$I$289*(1+'Labor Results Matrix'!$K$281)</f>
        <v>11.451291375</v>
      </c>
      <c r="S337" s="1372">
        <f>'Labor Results Matrix'!$J$289*(1+'Labor Results Matrix'!$K$281)</f>
        <v>3506.2499999999995</v>
      </c>
      <c r="T337" s="1372">
        <f t="shared" si="116"/>
        <v>31.673337969592708</v>
      </c>
      <c r="U337" s="1372">
        <f>T337-T336</f>
        <v>1.6683839543999852</v>
      </c>
      <c r="V337" s="1458">
        <f>S337-S336</f>
        <v>0</v>
      </c>
      <c r="W337" s="1366"/>
      <c r="X337" s="1366"/>
      <c r="Y337" s="1366"/>
      <c r="Z337" s="1366"/>
      <c r="AA337" s="1366"/>
      <c r="AB337" s="1366"/>
      <c r="AC337" s="1366"/>
      <c r="AD337" s="1366"/>
      <c r="AE337" s="1366"/>
      <c r="AF337" s="1366"/>
      <c r="AG337" s="1366"/>
      <c r="AH337" s="1366"/>
      <c r="AI337" s="1366"/>
      <c r="AJ337" s="1366"/>
      <c r="AK337" s="1366"/>
      <c r="AL337" s="1366"/>
      <c r="AM337" s="1366"/>
      <c r="AN337" s="1366"/>
      <c r="AO337" s="1366"/>
      <c r="AP337" s="1366"/>
      <c r="AQ337" s="1366"/>
      <c r="AR337" s="1366"/>
      <c r="AS337" s="1366"/>
      <c r="AT337" s="1366"/>
      <c r="AU337" s="1366"/>
      <c r="AV337" s="1366"/>
      <c r="AW337" s="1366"/>
      <c r="AX337" s="1366"/>
      <c r="AY337" s="1366"/>
      <c r="AZ337" s="1366"/>
      <c r="BA337" s="1366"/>
      <c r="BB337" s="1366"/>
      <c r="BC337" s="1366"/>
      <c r="BD337" s="1366"/>
      <c r="BE337" s="1366"/>
      <c r="BF337" s="1366"/>
      <c r="BG337" s="1366"/>
      <c r="BH337" s="1366"/>
      <c r="BI337" s="1366"/>
      <c r="BJ337" s="1366"/>
      <c r="BK337" s="1366"/>
      <c r="BL337" s="1366"/>
      <c r="BM337" s="1366"/>
      <c r="BN337" s="1366"/>
      <c r="BO337" s="1366"/>
      <c r="BP337" s="1366"/>
      <c r="BQ337" s="1366"/>
      <c r="BR337" s="1366"/>
      <c r="BS337" s="1366"/>
      <c r="BT337" s="1366"/>
      <c r="BU337" s="1366"/>
      <c r="BV337" s="1366"/>
      <c r="BW337" s="1366"/>
      <c r="BX337" s="1366"/>
      <c r="BY337" s="1366"/>
      <c r="BZ337" s="1366"/>
      <c r="CA337" s="1366"/>
      <c r="CB337" s="1366"/>
      <c r="CC337" s="1366"/>
      <c r="CD337" s="1366"/>
      <c r="CE337" s="1366"/>
      <c r="CF337" s="1366"/>
      <c r="CG337" s="1366"/>
      <c r="CH337" s="1366"/>
      <c r="CI337" s="1366"/>
      <c r="CJ337" s="1366"/>
      <c r="CK337" s="1366"/>
      <c r="CL337" s="1366"/>
      <c r="CM337" s="1366"/>
      <c r="CN337" s="1366"/>
      <c r="CO337" s="1366"/>
      <c r="CP337" s="1366"/>
      <c r="CQ337" s="1366"/>
      <c r="CR337" s="1366"/>
      <c r="CS337" s="1366"/>
      <c r="CT337" s="1366"/>
      <c r="CU337" s="1366"/>
      <c r="CV337" s="1366"/>
      <c r="CW337" s="1366"/>
      <c r="CX337" s="1366"/>
      <c r="CY337" s="1366"/>
      <c r="CZ337" s="1366"/>
      <c r="DA337" s="1366"/>
      <c r="DB337" s="1366"/>
      <c r="DC337" s="1366"/>
      <c r="DD337" s="1366"/>
      <c r="DE337" s="1366"/>
      <c r="DF337" s="1366"/>
      <c r="DG337" s="1366"/>
      <c r="DH337" s="1366"/>
      <c r="DI337" s="1366"/>
      <c r="DJ337" s="1366"/>
      <c r="DK337" s="1366"/>
      <c r="DL337" s="1366"/>
      <c r="DM337" s="1366"/>
      <c r="DN337" s="1366"/>
      <c r="DO337" s="1366"/>
      <c r="DP337" s="1366"/>
      <c r="DQ337" s="1366"/>
      <c r="DR337" s="1366"/>
      <c r="DS337" s="1366"/>
      <c r="DT337" s="1366"/>
      <c r="DU337" s="1366"/>
      <c r="DV337" s="1366"/>
    </row>
    <row r="338" spans="1:126" s="1367" customFormat="1" ht="30">
      <c r="A338" s="2494"/>
      <c r="B338" s="1657">
        <v>100098</v>
      </c>
      <c r="C338" s="1642" t="s">
        <v>47</v>
      </c>
      <c r="D338" s="1375" t="s">
        <v>2566</v>
      </c>
      <c r="E338" s="1364" t="s">
        <v>2102</v>
      </c>
      <c r="F338" s="1364" t="s">
        <v>2107</v>
      </c>
      <c r="G338" s="506" t="s">
        <v>1796</v>
      </c>
      <c r="H338" s="1361">
        <f>((1400*'Equipment Results Matrix'!$R$785)+(0.8*'Equipment Results Matrix'!$R$786)+'Equipment Results Matrix'!$R$787+'Equipment Results Matrix'!$T$792)*(1+'Equipment Results Matrix'!$T$794)</f>
        <v>19886.312254067951</v>
      </c>
      <c r="I338" s="1371">
        <f>'Labor Results Matrix'!$E$285*1400</f>
        <v>223.3</v>
      </c>
      <c r="J338" s="1372">
        <f>'Labor Results Matrix'!$G$281*(1+'Labor Results Matrix'!$K$281)</f>
        <v>90.951758386329232</v>
      </c>
      <c r="K338" s="1372">
        <f t="shared" ref="K338" si="119">I338*J338</f>
        <v>20309.527647667317</v>
      </c>
      <c r="L338" s="1372">
        <f>(('Labor Results Matrix'!$I$285*1400)+'Labor Results Matrix'!$J$285)*(1+'Labor Results Matrix'!$K$281)</f>
        <v>28409.163675</v>
      </c>
      <c r="M338" s="1372">
        <f t="shared" ref="M338" si="120">H338+K338+L338</f>
        <v>68605.003576735267</v>
      </c>
      <c r="N338" s="1455" t="s">
        <v>40</v>
      </c>
      <c r="O338" s="1361">
        <f>H338/1400</f>
        <v>14.20450875290568</v>
      </c>
      <c r="P338" s="1371">
        <f>'Labor Results Matrix'!$E$285</f>
        <v>0.1595</v>
      </c>
      <c r="Q338" s="1372">
        <f>'Labor Results Matrix'!$H$285*(1+'Labor Results Matrix'!$K$281)</f>
        <v>14.506805462619512</v>
      </c>
      <c r="R338" s="1372">
        <f>'Labor Results Matrix'!$I$285*(1+'Labor Results Matrix'!$K$281)</f>
        <v>18.561902624999998</v>
      </c>
      <c r="S338" s="1372">
        <f>'Labor Results Matrix'!$J$285*(1+'Labor Results Matrix'!$K$281)</f>
        <v>2422.5</v>
      </c>
      <c r="T338" s="1372">
        <f t="shared" ref="T338" si="121">O338+Q338+R338</f>
        <v>47.273216840525194</v>
      </c>
      <c r="U338" s="1417" t="s">
        <v>40</v>
      </c>
      <c r="V338" s="1455" t="s">
        <v>40</v>
      </c>
      <c r="W338" s="1366"/>
      <c r="X338" s="1366"/>
      <c r="Y338" s="1366"/>
      <c r="Z338" s="1366"/>
      <c r="AA338" s="1366"/>
      <c r="AB338" s="1366"/>
      <c r="AC338" s="1366"/>
      <c r="AD338" s="1366"/>
      <c r="AE338" s="1366"/>
      <c r="AF338" s="1366"/>
      <c r="AG338" s="1366"/>
      <c r="AH338" s="1366"/>
      <c r="AI338" s="1366"/>
      <c r="AJ338" s="1366"/>
      <c r="AK338" s="1366"/>
      <c r="AL338" s="1366"/>
      <c r="AM338" s="1366"/>
      <c r="AN338" s="1366"/>
      <c r="AO338" s="1366"/>
      <c r="AP338" s="1366"/>
      <c r="AQ338" s="1366"/>
      <c r="AR338" s="1366"/>
      <c r="AS338" s="1366"/>
      <c r="AT338" s="1366"/>
      <c r="AU338" s="1366"/>
      <c r="AV338" s="1366"/>
      <c r="AW338" s="1366"/>
      <c r="AX338" s="1366"/>
      <c r="AY338" s="1366"/>
      <c r="AZ338" s="1366"/>
      <c r="BA338" s="1366"/>
      <c r="BB338" s="1366"/>
      <c r="BC338" s="1366"/>
      <c r="BD338" s="1366"/>
      <c r="BE338" s="1366"/>
      <c r="BF338" s="1366"/>
      <c r="BG338" s="1366"/>
      <c r="BH338" s="1366"/>
      <c r="BI338" s="1366"/>
      <c r="BJ338" s="1366"/>
      <c r="BK338" s="1366"/>
      <c r="BL338" s="1366"/>
      <c r="BM338" s="1366"/>
      <c r="BN338" s="1366"/>
      <c r="BO338" s="1366"/>
      <c r="BP338" s="1366"/>
      <c r="BQ338" s="1366"/>
      <c r="BR338" s="1366"/>
      <c r="BS338" s="1366"/>
      <c r="BT338" s="1366"/>
      <c r="BU338" s="1366"/>
      <c r="BV338" s="1366"/>
      <c r="BW338" s="1366"/>
      <c r="BX338" s="1366"/>
      <c r="BY338" s="1366"/>
      <c r="BZ338" s="1366"/>
      <c r="CA338" s="1366"/>
      <c r="CB338" s="1366"/>
      <c r="CC338" s="1366"/>
      <c r="CD338" s="1366"/>
      <c r="CE338" s="1366"/>
      <c r="CF338" s="1366"/>
      <c r="CG338" s="1366"/>
      <c r="CH338" s="1366"/>
      <c r="CI338" s="1366"/>
      <c r="CJ338" s="1366"/>
      <c r="CK338" s="1366"/>
      <c r="CL338" s="1366"/>
      <c r="CM338" s="1366"/>
      <c r="CN338" s="1366"/>
      <c r="CO338" s="1366"/>
      <c r="CP338" s="1366"/>
      <c r="CQ338" s="1366"/>
      <c r="CR338" s="1366"/>
      <c r="CS338" s="1366"/>
      <c r="CT338" s="1366"/>
      <c r="CU338" s="1366"/>
      <c r="CV338" s="1366"/>
      <c r="CW338" s="1366"/>
      <c r="CX338" s="1366"/>
      <c r="CY338" s="1366"/>
      <c r="CZ338" s="1366"/>
      <c r="DA338" s="1366"/>
      <c r="DB338" s="1366"/>
      <c r="DC338" s="1366"/>
      <c r="DD338" s="1366"/>
      <c r="DE338" s="1366"/>
      <c r="DF338" s="1366"/>
      <c r="DG338" s="1366"/>
      <c r="DH338" s="1366"/>
      <c r="DI338" s="1366"/>
      <c r="DJ338" s="1366"/>
      <c r="DK338" s="1366"/>
      <c r="DL338" s="1366"/>
      <c r="DM338" s="1366"/>
      <c r="DN338" s="1366"/>
      <c r="DO338" s="1366"/>
      <c r="DP338" s="1366"/>
      <c r="DQ338" s="1366"/>
      <c r="DR338" s="1366"/>
      <c r="DS338" s="1366"/>
      <c r="DT338" s="1366"/>
      <c r="DU338" s="1366"/>
      <c r="DV338" s="1366"/>
    </row>
    <row r="339" spans="1:126" s="1367" customFormat="1" ht="30.75" thickBot="1">
      <c r="A339" s="2495"/>
      <c r="B339" s="1657">
        <v>100098</v>
      </c>
      <c r="C339" s="1642" t="s">
        <v>49</v>
      </c>
      <c r="D339" s="1375" t="s">
        <v>2314</v>
      </c>
      <c r="E339" s="1364" t="s">
        <v>2102</v>
      </c>
      <c r="F339" s="1364" t="s">
        <v>2107</v>
      </c>
      <c r="G339" s="506" t="s">
        <v>1796</v>
      </c>
      <c r="H339" s="1361">
        <f>((1400*'Equipment Results Matrix'!$R$785)+(0.85*'Equipment Results Matrix'!$R$786)+'Equipment Results Matrix'!$R$787+'Equipment Results Matrix'!$T$792)*(1+'Equipment Results Matrix'!$T$794)</f>
        <v>44912.071570067965</v>
      </c>
      <c r="I339" s="1371">
        <f>'Labor Results Matrix'!$E$285*1400</f>
        <v>223.3</v>
      </c>
      <c r="J339" s="1372">
        <f>'Labor Results Matrix'!$G$281*(1+'Labor Results Matrix'!$K$281)</f>
        <v>90.951758386329232</v>
      </c>
      <c r="K339" s="1372">
        <f t="shared" ref="K339" si="122">I339*J339</f>
        <v>20309.527647667317</v>
      </c>
      <c r="L339" s="1372">
        <f>(('Labor Results Matrix'!$I$285*1400)+'Labor Results Matrix'!$J$285)*(1+'Labor Results Matrix'!$K$281)</f>
        <v>28409.163675</v>
      </c>
      <c r="M339" s="1372">
        <f t="shared" ref="M339" si="123">H339+K339+L339</f>
        <v>93630.762892735278</v>
      </c>
      <c r="N339" s="1458">
        <f>M339-$M$338</f>
        <v>25025.759316000011</v>
      </c>
      <c r="O339" s="1361">
        <f t="shared" ref="O339" si="124">H339/1400</f>
        <v>32.080051121477119</v>
      </c>
      <c r="P339" s="1371">
        <f>'Labor Results Matrix'!$E$285</f>
        <v>0.1595</v>
      </c>
      <c r="Q339" s="1372">
        <f>'Labor Results Matrix'!$H$285*(1+'Labor Results Matrix'!$K$281)</f>
        <v>14.506805462619512</v>
      </c>
      <c r="R339" s="1372">
        <f>'Labor Results Matrix'!$I$285*(1+'Labor Results Matrix'!$K$281)</f>
        <v>18.561902624999998</v>
      </c>
      <c r="S339" s="1372">
        <f>'Labor Results Matrix'!$J$285*(1+'Labor Results Matrix'!$K$281)</f>
        <v>2422.5</v>
      </c>
      <c r="T339" s="1372">
        <f t="shared" ref="T339" si="125">O339+Q339+R339</f>
        <v>65.148759209096625</v>
      </c>
      <c r="U339" s="1372">
        <f>T339-T338</f>
        <v>17.875542368571431</v>
      </c>
      <c r="V339" s="1458">
        <f>S339-S338</f>
        <v>0</v>
      </c>
      <c r="W339" s="1366"/>
      <c r="X339" s="1366"/>
      <c r="Y339" s="1366"/>
      <c r="Z339" s="1366"/>
      <c r="AA339" s="1366"/>
      <c r="AB339" s="1366"/>
      <c r="AC339" s="1366"/>
      <c r="AD339" s="1366"/>
      <c r="AE339" s="1366"/>
      <c r="AF339" s="1366"/>
      <c r="AG339" s="1366"/>
      <c r="AH339" s="1366"/>
      <c r="AI339" s="1366"/>
      <c r="AJ339" s="1366"/>
      <c r="AK339" s="1366"/>
      <c r="AL339" s="1366"/>
      <c r="AM339" s="1366"/>
      <c r="AN339" s="1366"/>
      <c r="AO339" s="1366"/>
      <c r="AP339" s="1366"/>
      <c r="AQ339" s="1366"/>
      <c r="AR339" s="1366"/>
      <c r="AS339" s="1366"/>
      <c r="AT339" s="1366"/>
      <c r="AU339" s="1366"/>
      <c r="AV339" s="1366"/>
      <c r="AW339" s="1366"/>
      <c r="AX339" s="1366"/>
      <c r="AY339" s="1366"/>
      <c r="AZ339" s="1366"/>
      <c r="BA339" s="1366"/>
      <c r="BB339" s="1366"/>
      <c r="BC339" s="1366"/>
      <c r="BD339" s="1366"/>
      <c r="BE339" s="1366"/>
      <c r="BF339" s="1366"/>
      <c r="BG339" s="1366"/>
      <c r="BH339" s="1366"/>
      <c r="BI339" s="1366"/>
      <c r="BJ339" s="1366"/>
      <c r="BK339" s="1366"/>
      <c r="BL339" s="1366"/>
      <c r="BM339" s="1366"/>
      <c r="BN339" s="1366"/>
      <c r="BO339" s="1366"/>
      <c r="BP339" s="1366"/>
      <c r="BQ339" s="1366"/>
      <c r="BR339" s="1366"/>
      <c r="BS339" s="1366"/>
      <c r="BT339" s="1366"/>
      <c r="BU339" s="1366"/>
      <c r="BV339" s="1366"/>
      <c r="BW339" s="1366"/>
      <c r="BX339" s="1366"/>
      <c r="BY339" s="1366"/>
      <c r="BZ339" s="1366"/>
      <c r="CA339" s="1366"/>
      <c r="CB339" s="1366"/>
      <c r="CC339" s="1366"/>
      <c r="CD339" s="1366"/>
      <c r="CE339" s="1366"/>
      <c r="CF339" s="1366"/>
      <c r="CG339" s="1366"/>
      <c r="CH339" s="1366"/>
      <c r="CI339" s="1366"/>
      <c r="CJ339" s="1366"/>
      <c r="CK339" s="1366"/>
      <c r="CL339" s="1366"/>
      <c r="CM339" s="1366"/>
      <c r="CN339" s="1366"/>
      <c r="CO339" s="1366"/>
      <c r="CP339" s="1366"/>
      <c r="CQ339" s="1366"/>
      <c r="CR339" s="1366"/>
      <c r="CS339" s="1366"/>
      <c r="CT339" s="1366"/>
      <c r="CU339" s="1366"/>
      <c r="CV339" s="1366"/>
      <c r="CW339" s="1366"/>
      <c r="CX339" s="1366"/>
      <c r="CY339" s="1366"/>
      <c r="CZ339" s="1366"/>
      <c r="DA339" s="1366"/>
      <c r="DB339" s="1366"/>
      <c r="DC339" s="1366"/>
      <c r="DD339" s="1366"/>
      <c r="DE339" s="1366"/>
      <c r="DF339" s="1366"/>
      <c r="DG339" s="1366"/>
      <c r="DH339" s="1366"/>
      <c r="DI339" s="1366"/>
      <c r="DJ339" s="1366"/>
      <c r="DK339" s="1366"/>
      <c r="DL339" s="1366"/>
      <c r="DM339" s="1366"/>
      <c r="DN339" s="1366"/>
      <c r="DO339" s="1366"/>
      <c r="DP339" s="1366"/>
      <c r="DQ339" s="1366"/>
      <c r="DR339" s="1366"/>
      <c r="DS339" s="1366"/>
      <c r="DT339" s="1366"/>
      <c r="DU339" s="1366"/>
      <c r="DV339" s="1366"/>
    </row>
    <row r="340" spans="1:126" s="1479" customFormat="1" ht="19.5" thickBot="1">
      <c r="A340" s="695"/>
      <c r="B340" s="1652"/>
      <c r="C340" s="1652"/>
      <c r="D340" s="1318"/>
      <c r="E340" s="1318"/>
      <c r="F340" s="1318"/>
      <c r="G340" s="1318"/>
      <c r="H340" s="1386"/>
      <c r="I340" s="1445"/>
      <c r="J340" s="1387"/>
      <c r="K340" s="1386"/>
      <c r="L340" s="1531"/>
      <c r="M340" s="1386"/>
      <c r="N340" s="1491"/>
      <c r="O340" s="1386"/>
      <c r="P340" s="1387"/>
      <c r="Q340" s="1387"/>
      <c r="R340" s="1445"/>
      <c r="S340" s="1445"/>
      <c r="T340" s="1492"/>
      <c r="U340" s="1492"/>
      <c r="V340" s="1491"/>
      <c r="W340" s="1490"/>
      <c r="X340" s="1490"/>
      <c r="Y340" s="327"/>
      <c r="Z340" s="327"/>
      <c r="AA340" s="327"/>
      <c r="AB340" s="1490"/>
      <c r="AC340" s="1490"/>
      <c r="AD340" s="1490"/>
      <c r="AE340" s="1490"/>
      <c r="AF340" s="327"/>
      <c r="AG340" s="327"/>
      <c r="AH340" s="327"/>
      <c r="AI340" s="327"/>
      <c r="AJ340" s="327"/>
      <c r="AK340" s="1478"/>
      <c r="AL340" s="1478"/>
      <c r="AM340" s="1478"/>
      <c r="AN340" s="1478"/>
      <c r="AO340" s="1478"/>
      <c r="AP340" s="1478"/>
      <c r="AQ340" s="1478"/>
      <c r="AR340" s="1478"/>
      <c r="AS340" s="1478"/>
      <c r="AT340" s="1478"/>
      <c r="AU340" s="1478"/>
      <c r="AV340" s="1478"/>
      <c r="AW340" s="1478"/>
      <c r="AX340" s="1478"/>
      <c r="AY340" s="1478"/>
      <c r="AZ340" s="1478"/>
      <c r="BA340" s="1478"/>
      <c r="BB340" s="1478"/>
      <c r="BC340" s="1478"/>
      <c r="BD340" s="1478"/>
      <c r="BE340" s="1478"/>
      <c r="BF340" s="1478"/>
      <c r="BG340" s="1478"/>
      <c r="BH340" s="1478"/>
      <c r="BI340" s="1478"/>
      <c r="BJ340" s="1478"/>
      <c r="BK340" s="327"/>
      <c r="BL340" s="327"/>
      <c r="BM340" s="327"/>
      <c r="BN340" s="327"/>
      <c r="BO340" s="327"/>
      <c r="BP340" s="327"/>
      <c r="BQ340" s="327"/>
      <c r="BR340" s="327"/>
      <c r="BS340" s="327"/>
      <c r="BT340" s="327"/>
      <c r="BU340" s="327"/>
      <c r="BV340" s="327"/>
      <c r="BW340" s="327"/>
      <c r="BX340" s="327"/>
      <c r="BY340" s="327"/>
      <c r="BZ340" s="327"/>
      <c r="CA340" s="327"/>
      <c r="CB340" s="327"/>
      <c r="CC340" s="327"/>
      <c r="CD340" s="327"/>
      <c r="CE340" s="327"/>
      <c r="CF340" s="327"/>
      <c r="CG340" s="327"/>
      <c r="CH340" s="327"/>
      <c r="CI340" s="327"/>
      <c r="CJ340" s="327"/>
      <c r="CK340" s="327"/>
      <c r="CL340" s="327"/>
      <c r="CM340" s="327"/>
      <c r="CN340" s="327"/>
      <c r="CO340" s="327"/>
      <c r="CP340" s="327"/>
      <c r="CQ340" s="327"/>
      <c r="CR340" s="327"/>
      <c r="CS340" s="327"/>
      <c r="CT340" s="327"/>
      <c r="CU340" s="327"/>
      <c r="CV340" s="327"/>
      <c r="CW340" s="327"/>
      <c r="CX340" s="327"/>
      <c r="CY340" s="327"/>
      <c r="CZ340" s="327"/>
      <c r="DA340" s="327"/>
      <c r="DB340" s="327"/>
      <c r="DC340" s="327"/>
      <c r="DD340" s="327"/>
      <c r="DE340" s="327"/>
      <c r="DF340" s="327"/>
      <c r="DG340" s="327"/>
      <c r="DH340" s="327"/>
      <c r="DI340" s="327"/>
      <c r="DJ340" s="327"/>
      <c r="DK340" s="327"/>
      <c r="DL340" s="327"/>
      <c r="DM340" s="327"/>
      <c r="DN340" s="327"/>
      <c r="DO340" s="327"/>
      <c r="DP340" s="327"/>
      <c r="DQ340" s="327"/>
      <c r="DR340" s="327"/>
      <c r="DS340" s="327"/>
      <c r="DT340" s="327"/>
      <c r="DU340" s="327"/>
      <c r="DV340" s="327"/>
    </row>
    <row r="341" spans="1:126" s="1367" customFormat="1">
      <c r="A341" s="2493" t="s">
        <v>828</v>
      </c>
      <c r="B341" s="1653">
        <v>9079</v>
      </c>
      <c r="C341" s="1642" t="s">
        <v>47</v>
      </c>
      <c r="D341" s="1364" t="s">
        <v>817</v>
      </c>
      <c r="E341" s="1364" t="s">
        <v>2102</v>
      </c>
      <c r="F341" s="1364" t="s">
        <v>2108</v>
      </c>
      <c r="G341" s="506" t="s">
        <v>2247</v>
      </c>
      <c r="H341" s="1361">
        <v>0</v>
      </c>
      <c r="I341" s="1371">
        <v>0</v>
      </c>
      <c r="J341" s="1372">
        <v>0</v>
      </c>
      <c r="K341" s="1388">
        <f>J341*I341</f>
        <v>0</v>
      </c>
      <c r="L341" s="1388">
        <v>0</v>
      </c>
      <c r="M341" s="1388">
        <f>H341+K341+L341</f>
        <v>0</v>
      </c>
      <c r="N341" s="1455" t="s">
        <v>40</v>
      </c>
      <c r="O341" s="1361">
        <f>H341</f>
        <v>0</v>
      </c>
      <c r="P341" s="1371">
        <f>I341</f>
        <v>0</v>
      </c>
      <c r="Q341" s="1372">
        <f>K341</f>
        <v>0</v>
      </c>
      <c r="R341" s="1372">
        <f>L341</f>
        <v>0</v>
      </c>
      <c r="S341" s="1372">
        <f>L341</f>
        <v>0</v>
      </c>
      <c r="T341" s="1372">
        <f>M341</f>
        <v>0</v>
      </c>
      <c r="U341" s="1417" t="s">
        <v>40</v>
      </c>
      <c r="V341" s="1455" t="s">
        <v>40</v>
      </c>
      <c r="W341" s="1366"/>
      <c r="X341" s="1366"/>
      <c r="Y341" s="1366"/>
      <c r="Z341" s="1366"/>
      <c r="AA341" s="1366"/>
      <c r="AB341" s="1366"/>
      <c r="AC341" s="1366"/>
      <c r="AD341" s="1366"/>
      <c r="AE341" s="1366"/>
      <c r="AF341" s="1366"/>
      <c r="AG341" s="1366"/>
      <c r="AH341" s="1366"/>
      <c r="AI341" s="1366"/>
      <c r="AJ341" s="1366"/>
      <c r="AK341" s="1366"/>
      <c r="AL341" s="1366"/>
      <c r="AM341" s="1366"/>
      <c r="AN341" s="1366"/>
      <c r="AO341" s="1366"/>
      <c r="AP341" s="1366"/>
      <c r="AQ341" s="1366"/>
      <c r="AR341" s="1366"/>
      <c r="AS341" s="1366"/>
      <c r="AT341" s="1366"/>
      <c r="AU341" s="1366"/>
      <c r="AV341" s="1366"/>
      <c r="AW341" s="1366"/>
      <c r="AX341" s="1366"/>
      <c r="AY341" s="1366"/>
      <c r="AZ341" s="1366"/>
      <c r="BA341" s="1366"/>
      <c r="BB341" s="1366"/>
      <c r="BC341" s="1366"/>
      <c r="BD341" s="1366"/>
      <c r="BE341" s="1366"/>
      <c r="BF341" s="1366"/>
      <c r="BG341" s="1366"/>
      <c r="BH341" s="1366"/>
      <c r="BI341" s="1366"/>
      <c r="BJ341" s="1366"/>
      <c r="BK341" s="1366"/>
      <c r="BL341" s="1366"/>
      <c r="BM341" s="1366"/>
      <c r="BN341" s="1366"/>
      <c r="BO341" s="1366"/>
      <c r="BP341" s="1366"/>
      <c r="BQ341" s="1366"/>
      <c r="BR341" s="1366"/>
      <c r="BS341" s="1366"/>
      <c r="BT341" s="1366"/>
      <c r="BU341" s="1366"/>
      <c r="BV341" s="1366"/>
      <c r="BW341" s="1366"/>
      <c r="BX341" s="1366"/>
      <c r="BY341" s="1366"/>
      <c r="BZ341" s="1366"/>
      <c r="CA341" s="1366"/>
      <c r="CB341" s="1366"/>
      <c r="CC341" s="1366"/>
      <c r="CD341" s="1366"/>
      <c r="CE341" s="1366"/>
      <c r="CF341" s="1366"/>
      <c r="CG341" s="1366"/>
      <c r="CH341" s="1366"/>
      <c r="CI341" s="1366"/>
      <c r="CJ341" s="1366"/>
      <c r="CK341" s="1366"/>
      <c r="CL341" s="1366"/>
      <c r="CM341" s="1366"/>
      <c r="CN341" s="1366"/>
      <c r="CO341" s="1366"/>
      <c r="CP341" s="1366"/>
      <c r="CQ341" s="1366"/>
      <c r="CR341" s="1366"/>
      <c r="CS341" s="1366"/>
      <c r="CT341" s="1366"/>
      <c r="CU341" s="1366"/>
      <c r="CV341" s="1366"/>
      <c r="CW341" s="1366"/>
      <c r="CX341" s="1366"/>
      <c r="CY341" s="1366"/>
      <c r="CZ341" s="1366"/>
      <c r="DA341" s="1366"/>
      <c r="DB341" s="1366"/>
      <c r="DC341" s="1366"/>
      <c r="DD341" s="1366"/>
      <c r="DE341" s="1366"/>
      <c r="DF341" s="1366"/>
      <c r="DG341" s="1366"/>
      <c r="DH341" s="1366"/>
      <c r="DI341" s="1366"/>
      <c r="DJ341" s="1366"/>
      <c r="DK341" s="1366"/>
      <c r="DL341" s="1366"/>
      <c r="DM341" s="1366"/>
      <c r="DN341" s="1366"/>
      <c r="DO341" s="1366"/>
      <c r="DP341" s="1366"/>
      <c r="DQ341" s="1366"/>
      <c r="DR341" s="1366"/>
      <c r="DS341" s="1366"/>
      <c r="DT341" s="1366"/>
      <c r="DU341" s="1366"/>
      <c r="DV341" s="1366"/>
    </row>
    <row r="342" spans="1:126" s="1367" customFormat="1" ht="30">
      <c r="A342" s="2494"/>
      <c r="B342" s="1653">
        <v>9079</v>
      </c>
      <c r="C342" s="658" t="s">
        <v>49</v>
      </c>
      <c r="D342" s="1516" t="s">
        <v>2557</v>
      </c>
      <c r="E342" s="1364" t="s">
        <v>2102</v>
      </c>
      <c r="F342" s="1364" t="s">
        <v>2108</v>
      </c>
      <c r="G342" s="506" t="s">
        <v>2247</v>
      </c>
      <c r="H342" s="1361">
        <f>'Equipment Results Matrix'!Y808</f>
        <v>16743.128428</v>
      </c>
      <c r="I342" s="1371">
        <f>'Labor Results Matrix'!$E$304*100</f>
        <v>366.5</v>
      </c>
      <c r="J342" s="1372">
        <f>'Labor Results Matrix'!$G$303*(1+'Labor Results Matrix'!$K$303)</f>
        <v>90.351133566796861</v>
      </c>
      <c r="K342" s="1388">
        <f t="shared" ref="K342:K343" si="126">J342*I342</f>
        <v>33113.690452231051</v>
      </c>
      <c r="L342" s="1372">
        <f>(('Labor Results Matrix'!$I$304*100)+'Labor Results Matrix'!$J$304)*(1+'Labor Results Matrix'!$K$303)</f>
        <v>67149.149999999994</v>
      </c>
      <c r="M342" s="1388">
        <f t="shared" ref="M342:M343" si="127">H342+K342+L342</f>
        <v>117005.96888023104</v>
      </c>
      <c r="N342" s="1458">
        <f>M342-$M$341</f>
        <v>117005.96888023104</v>
      </c>
      <c r="O342" s="1361">
        <f>H342/100</f>
        <v>167.43128428</v>
      </c>
      <c r="P342" s="1371">
        <f>'Labor Results Matrix'!$E$304</f>
        <v>3.665</v>
      </c>
      <c r="Q342" s="1372">
        <f>K342/100</f>
        <v>331.13690452231049</v>
      </c>
      <c r="R342" s="1372">
        <f>'Labor Results Matrix'!$I$304*(1+'Labor Results Matrix'!$K$303)</f>
        <v>433.06650000000002</v>
      </c>
      <c r="S342" s="1372">
        <f>'Labor Results Matrix'!J304</f>
        <v>18700</v>
      </c>
      <c r="T342" s="1372">
        <f>O342+Q342+R342</f>
        <v>931.63468880231051</v>
      </c>
      <c r="U342" s="1372">
        <f>T342-$T$341</f>
        <v>931.63468880231051</v>
      </c>
      <c r="V342" s="1458">
        <f>S342-$S$341</f>
        <v>18700</v>
      </c>
      <c r="W342" s="1366"/>
      <c r="X342" s="1366"/>
      <c r="Y342" s="1366"/>
      <c r="Z342" s="1366"/>
      <c r="AA342" s="1366"/>
      <c r="AB342" s="1366"/>
      <c r="AC342" s="1366"/>
      <c r="AD342" s="1366"/>
      <c r="AE342" s="1366"/>
      <c r="AF342" s="1366"/>
      <c r="AG342" s="1366"/>
      <c r="AH342" s="1366"/>
      <c r="AI342" s="1366"/>
      <c r="AJ342" s="1366"/>
      <c r="AK342" s="1366"/>
      <c r="AL342" s="1366"/>
      <c r="AM342" s="1366"/>
      <c r="AN342" s="1366"/>
      <c r="AO342" s="1366"/>
      <c r="AP342" s="1366"/>
      <c r="AQ342" s="1366"/>
      <c r="AR342" s="1366"/>
      <c r="AS342" s="1366"/>
      <c r="AT342" s="1366"/>
      <c r="AU342" s="1366"/>
      <c r="AV342" s="1366"/>
      <c r="AW342" s="1366"/>
      <c r="AX342" s="1366"/>
      <c r="AY342" s="1366"/>
      <c r="AZ342" s="1366"/>
      <c r="BA342" s="1366"/>
      <c r="BB342" s="1366"/>
      <c r="BC342" s="1366"/>
      <c r="BD342" s="1366"/>
      <c r="BE342" s="1366"/>
      <c r="BF342" s="1366"/>
      <c r="BG342" s="1366"/>
      <c r="BH342" s="1366"/>
      <c r="BI342" s="1366"/>
      <c r="BJ342" s="1366"/>
      <c r="BK342" s="1366"/>
      <c r="BL342" s="1366"/>
      <c r="BM342" s="1366"/>
      <c r="BN342" s="1366"/>
      <c r="BO342" s="1366"/>
      <c r="BP342" s="1366"/>
      <c r="BQ342" s="1366"/>
      <c r="BR342" s="1366"/>
      <c r="BS342" s="1366"/>
      <c r="BT342" s="1366"/>
      <c r="BU342" s="1366"/>
      <c r="BV342" s="1366"/>
      <c r="BW342" s="1366"/>
      <c r="BX342" s="1366"/>
      <c r="BY342" s="1366"/>
      <c r="BZ342" s="1366"/>
      <c r="CA342" s="1366"/>
      <c r="CB342" s="1366"/>
      <c r="CC342" s="1366"/>
      <c r="CD342" s="1366"/>
      <c r="CE342" s="1366"/>
      <c r="CF342" s="1366"/>
      <c r="CG342" s="1366"/>
      <c r="CH342" s="1366"/>
      <c r="CI342" s="1366"/>
      <c r="CJ342" s="1366"/>
      <c r="CK342" s="1366"/>
      <c r="CL342" s="1366"/>
      <c r="CM342" s="1366"/>
      <c r="CN342" s="1366"/>
      <c r="CO342" s="1366"/>
      <c r="CP342" s="1366"/>
      <c r="CQ342" s="1366"/>
      <c r="CR342" s="1366"/>
      <c r="CS342" s="1366"/>
      <c r="CT342" s="1366"/>
      <c r="CU342" s="1366"/>
      <c r="CV342" s="1366"/>
      <c r="CW342" s="1366"/>
      <c r="CX342" s="1366"/>
      <c r="CY342" s="1366"/>
      <c r="CZ342" s="1366"/>
      <c r="DA342" s="1366"/>
      <c r="DB342" s="1366"/>
      <c r="DC342" s="1366"/>
      <c r="DD342" s="1366"/>
      <c r="DE342" s="1366"/>
      <c r="DF342" s="1366"/>
      <c r="DG342" s="1366"/>
      <c r="DH342" s="1366"/>
      <c r="DI342" s="1366"/>
      <c r="DJ342" s="1366"/>
      <c r="DK342" s="1366"/>
      <c r="DL342" s="1366"/>
      <c r="DM342" s="1366"/>
      <c r="DN342" s="1366"/>
      <c r="DO342" s="1366"/>
      <c r="DP342" s="1366"/>
      <c r="DQ342" s="1366"/>
      <c r="DR342" s="1366"/>
      <c r="DS342" s="1366"/>
      <c r="DT342" s="1366"/>
      <c r="DU342" s="1366"/>
      <c r="DV342" s="1366"/>
    </row>
    <row r="343" spans="1:126" s="1367" customFormat="1" ht="30.75" thickBot="1">
      <c r="A343" s="2495"/>
      <c r="B343" s="1653">
        <v>9079</v>
      </c>
      <c r="C343" s="658" t="s">
        <v>49</v>
      </c>
      <c r="D343" s="1516" t="s">
        <v>2558</v>
      </c>
      <c r="E343" s="1364" t="s">
        <v>2102</v>
      </c>
      <c r="F343" s="1364" t="s">
        <v>2108</v>
      </c>
      <c r="G343" s="506" t="s">
        <v>2247</v>
      </c>
      <c r="H343" s="1361">
        <f>'Equipment Results Matrix'!Y810</f>
        <v>37318.791627999999</v>
      </c>
      <c r="I343" s="1371">
        <f>'Labor Results Matrix'!$E$306*300</f>
        <v>506.5</v>
      </c>
      <c r="J343" s="1372">
        <f>'Labor Results Matrix'!$G$303*(1+'Labor Results Matrix'!$K$303)</f>
        <v>90.351133566796861</v>
      </c>
      <c r="K343" s="1388">
        <f t="shared" si="126"/>
        <v>45762.84915158261</v>
      </c>
      <c r="L343" s="1372">
        <f>(('Labor Results Matrix'!$I$306*300)+'Labor Results Matrix'!$J$306)*(1+'Labor Results Matrix'!$K$303)</f>
        <v>98306.962499999994</v>
      </c>
      <c r="M343" s="1388">
        <f t="shared" si="127"/>
        <v>181388.6032795826</v>
      </c>
      <c r="N343" s="1458">
        <f>M343-$M$341</f>
        <v>181388.6032795826</v>
      </c>
      <c r="O343" s="1361">
        <f>H343/300</f>
        <v>124.39597209333333</v>
      </c>
      <c r="P343" s="1371">
        <f>'Labor Results Matrix'!E306</f>
        <v>1.6883333333333332</v>
      </c>
      <c r="Q343" s="1372">
        <f>K343/300</f>
        <v>152.54283050527536</v>
      </c>
      <c r="R343" s="1372">
        <f>'Labor Results Matrix'!$I$306*(1+'Labor Results Matrix'!$K$303)</f>
        <v>243.96487499999998</v>
      </c>
      <c r="S343" s="1372">
        <f>'Labor Results Matrix'!J306</f>
        <v>19700</v>
      </c>
      <c r="T343" s="1372">
        <f>O343+Q343+R343</f>
        <v>520.90367759860862</v>
      </c>
      <c r="U343" s="1372">
        <f>T343-$T$341</f>
        <v>520.90367759860862</v>
      </c>
      <c r="V343" s="1458">
        <f>S343-$S$341</f>
        <v>19700</v>
      </c>
      <c r="W343" s="1366"/>
      <c r="X343" s="1366"/>
      <c r="Y343" s="1366"/>
      <c r="Z343" s="1366"/>
      <c r="AA343" s="1366"/>
      <c r="AB343" s="1366"/>
      <c r="AC343" s="1366"/>
      <c r="AD343" s="1366"/>
      <c r="AE343" s="1366"/>
      <c r="AF343" s="1366"/>
      <c r="AG343" s="1366"/>
      <c r="AH343" s="1366"/>
      <c r="AI343" s="1366"/>
      <c r="AJ343" s="1366"/>
      <c r="AK343" s="1366"/>
      <c r="AL343" s="1366"/>
      <c r="AM343" s="1366"/>
      <c r="AN343" s="1366"/>
      <c r="AO343" s="1366"/>
      <c r="AP343" s="1366"/>
      <c r="AQ343" s="1366"/>
      <c r="AR343" s="1366"/>
      <c r="AS343" s="1366"/>
      <c r="AT343" s="1366"/>
      <c r="AU343" s="1366"/>
      <c r="AV343" s="1366"/>
      <c r="AW343" s="1366"/>
      <c r="AX343" s="1366"/>
      <c r="AY343" s="1366"/>
      <c r="AZ343" s="1366"/>
      <c r="BA343" s="1366"/>
      <c r="BB343" s="1366"/>
      <c r="BC343" s="1366"/>
      <c r="BD343" s="1366"/>
      <c r="BE343" s="1366"/>
      <c r="BF343" s="1366"/>
      <c r="BG343" s="1366"/>
      <c r="BH343" s="1366"/>
      <c r="BI343" s="1366"/>
      <c r="BJ343" s="1366"/>
      <c r="BK343" s="1366"/>
      <c r="BL343" s="1366"/>
      <c r="BM343" s="1366"/>
      <c r="BN343" s="1366"/>
      <c r="BO343" s="1366"/>
      <c r="BP343" s="1366"/>
      <c r="BQ343" s="1366"/>
      <c r="BR343" s="1366"/>
      <c r="BS343" s="1366"/>
      <c r="BT343" s="1366"/>
      <c r="BU343" s="1366"/>
      <c r="BV343" s="1366"/>
      <c r="BW343" s="1366"/>
      <c r="BX343" s="1366"/>
      <c r="BY343" s="1366"/>
      <c r="BZ343" s="1366"/>
      <c r="CA343" s="1366"/>
      <c r="CB343" s="1366"/>
      <c r="CC343" s="1366"/>
      <c r="CD343" s="1366"/>
      <c r="CE343" s="1366"/>
      <c r="CF343" s="1366"/>
      <c r="CG343" s="1366"/>
      <c r="CH343" s="1366"/>
      <c r="CI343" s="1366"/>
      <c r="CJ343" s="1366"/>
      <c r="CK343" s="1366"/>
      <c r="CL343" s="1366"/>
      <c r="CM343" s="1366"/>
      <c r="CN343" s="1366"/>
      <c r="CO343" s="1366"/>
      <c r="CP343" s="1366"/>
      <c r="CQ343" s="1366"/>
      <c r="CR343" s="1366"/>
      <c r="CS343" s="1366"/>
      <c r="CT343" s="1366"/>
      <c r="CU343" s="1366"/>
      <c r="CV343" s="1366"/>
      <c r="CW343" s="1366"/>
      <c r="CX343" s="1366"/>
      <c r="CY343" s="1366"/>
      <c r="CZ343" s="1366"/>
      <c r="DA343" s="1366"/>
      <c r="DB343" s="1366"/>
      <c r="DC343" s="1366"/>
      <c r="DD343" s="1366"/>
      <c r="DE343" s="1366"/>
      <c r="DF343" s="1366"/>
      <c r="DG343" s="1366"/>
      <c r="DH343" s="1366"/>
      <c r="DI343" s="1366"/>
      <c r="DJ343" s="1366"/>
      <c r="DK343" s="1366"/>
      <c r="DL343" s="1366"/>
      <c r="DM343" s="1366"/>
      <c r="DN343" s="1366"/>
      <c r="DO343" s="1366"/>
      <c r="DP343" s="1366"/>
      <c r="DQ343" s="1366"/>
      <c r="DR343" s="1366"/>
      <c r="DS343" s="1366"/>
      <c r="DT343" s="1366"/>
      <c r="DU343" s="1366"/>
      <c r="DV343" s="1366"/>
    </row>
    <row r="344" spans="1:126" s="1367" customFormat="1" ht="24" thickBot="1">
      <c r="A344" s="721" t="s">
        <v>1109</v>
      </c>
      <c r="B344" s="1347"/>
      <c r="C344" s="1347"/>
      <c r="D344" s="1347"/>
      <c r="E344" s="1347"/>
      <c r="F344" s="1347"/>
      <c r="G344" s="1347"/>
      <c r="H344" s="1428"/>
      <c r="I344" s="1448"/>
      <c r="J344" s="1428"/>
      <c r="K344" s="1428"/>
      <c r="L344" s="1534"/>
      <c r="M344" s="1428"/>
      <c r="N344" s="1459"/>
      <c r="O344" s="1415"/>
      <c r="P344" s="1415"/>
      <c r="Q344" s="1415"/>
      <c r="R344" s="1415"/>
      <c r="S344" s="1415"/>
      <c r="T344" s="1415"/>
      <c r="U344" s="1415"/>
      <c r="V344" s="1454"/>
      <c r="W344" s="1366"/>
      <c r="X344" s="1366"/>
      <c r="Y344" s="1366"/>
      <c r="Z344" s="1366"/>
      <c r="AA344" s="1366"/>
      <c r="AB344" s="1366"/>
      <c r="AC344" s="1366"/>
      <c r="AD344" s="1366"/>
      <c r="AE344" s="1366"/>
      <c r="AF344" s="1366"/>
      <c r="AG344" s="1366"/>
      <c r="AH344" s="1366"/>
      <c r="AI344" s="1366"/>
      <c r="AJ344" s="1366"/>
      <c r="AK344" s="1366"/>
      <c r="AL344" s="1366"/>
      <c r="AM344" s="1366"/>
      <c r="AN344" s="1366"/>
      <c r="AO344" s="1366"/>
      <c r="AP344" s="1366"/>
      <c r="AQ344" s="1366"/>
      <c r="AR344" s="1366"/>
      <c r="AS344" s="1366"/>
      <c r="AT344" s="1366"/>
      <c r="AU344" s="1366"/>
      <c r="AV344" s="1366"/>
      <c r="AW344" s="1366"/>
      <c r="AX344" s="1366"/>
      <c r="AY344" s="1366"/>
      <c r="AZ344" s="1366"/>
      <c r="BA344" s="1366"/>
      <c r="BB344" s="1366"/>
      <c r="BC344" s="1366"/>
      <c r="BD344" s="1366"/>
      <c r="BE344" s="1366"/>
      <c r="BF344" s="1366"/>
      <c r="BG344" s="1366"/>
      <c r="BH344" s="1366"/>
      <c r="BI344" s="1366"/>
      <c r="BJ344" s="1366"/>
      <c r="BK344" s="1366"/>
      <c r="BL344" s="1366"/>
      <c r="BM344" s="1366"/>
      <c r="BN344" s="1366"/>
      <c r="BO344" s="1366"/>
      <c r="BP344" s="1366"/>
      <c r="BQ344" s="1366"/>
      <c r="BR344" s="1366"/>
      <c r="BS344" s="1366"/>
      <c r="BT344" s="1366"/>
      <c r="BU344" s="1366"/>
      <c r="BV344" s="1366"/>
      <c r="BW344" s="1366"/>
      <c r="BX344" s="1366"/>
      <c r="BY344" s="1366"/>
      <c r="BZ344" s="1366"/>
      <c r="CA344" s="1366"/>
      <c r="CB344" s="1366"/>
      <c r="CC344" s="1366"/>
      <c r="CD344" s="1366"/>
      <c r="CE344" s="1366"/>
      <c r="CF344" s="1366"/>
      <c r="CG344" s="1366"/>
      <c r="CH344" s="1366"/>
      <c r="CI344" s="1366"/>
      <c r="CJ344" s="1366"/>
      <c r="CK344" s="1366"/>
      <c r="CL344" s="1366"/>
      <c r="CM344" s="1366"/>
      <c r="CN344" s="1366"/>
      <c r="CO344" s="1366"/>
      <c r="CP344" s="1366"/>
      <c r="CQ344" s="1366"/>
      <c r="CR344" s="1366"/>
      <c r="CS344" s="1366"/>
      <c r="CT344" s="1366"/>
      <c r="CU344" s="1366"/>
      <c r="CV344" s="1366"/>
      <c r="CW344" s="1366"/>
      <c r="CX344" s="1366"/>
      <c r="CY344" s="1366"/>
      <c r="CZ344" s="1366"/>
      <c r="DA344" s="1366"/>
      <c r="DB344" s="1366"/>
      <c r="DC344" s="1366"/>
      <c r="DD344" s="1366"/>
      <c r="DE344" s="1366"/>
      <c r="DF344" s="1366"/>
      <c r="DG344" s="1366"/>
      <c r="DH344" s="1366"/>
      <c r="DI344" s="1366"/>
      <c r="DJ344" s="1366"/>
      <c r="DK344" s="1366"/>
      <c r="DL344" s="1366"/>
      <c r="DM344" s="1366"/>
      <c r="DN344" s="1366"/>
      <c r="DO344" s="1366"/>
      <c r="DP344" s="1366"/>
      <c r="DQ344" s="1366"/>
      <c r="DR344" s="1366"/>
      <c r="DS344" s="1366"/>
      <c r="DT344" s="1366"/>
      <c r="DU344" s="1366"/>
      <c r="DV344" s="1366"/>
    </row>
    <row r="345" spans="1:126" s="1367" customFormat="1">
      <c r="A345" s="2493" t="s">
        <v>230</v>
      </c>
      <c r="B345" s="1659">
        <v>341</v>
      </c>
      <c r="C345" s="1671" t="s">
        <v>47</v>
      </c>
      <c r="D345" s="1396" t="s">
        <v>2430</v>
      </c>
      <c r="E345" s="1376" t="s">
        <v>2097</v>
      </c>
      <c r="F345" s="1376" t="s">
        <v>2108</v>
      </c>
      <c r="G345" s="1377" t="s">
        <v>1796</v>
      </c>
      <c r="H345" s="1514"/>
      <c r="I345" s="1419"/>
      <c r="J345" s="1513"/>
      <c r="K345" s="1513"/>
      <c r="L345" s="1420"/>
      <c r="M345" s="1513"/>
      <c r="N345" s="1465"/>
      <c r="O345" s="1514"/>
      <c r="P345" s="1513"/>
      <c r="Q345" s="1513"/>
      <c r="R345" s="1513"/>
      <c r="S345" s="1513"/>
      <c r="T345" s="1513"/>
      <c r="U345" s="1513"/>
      <c r="V345" s="1465"/>
      <c r="W345" s="1366"/>
      <c r="X345" s="1366"/>
      <c r="Y345" s="1366"/>
      <c r="Z345" s="1366"/>
      <c r="AA345" s="1366"/>
      <c r="AB345" s="1366"/>
      <c r="AC345" s="1366"/>
      <c r="AD345" s="1366"/>
      <c r="AE345" s="1366"/>
      <c r="AF345" s="1366"/>
      <c r="AG345" s="1366"/>
      <c r="AH345" s="1366"/>
      <c r="AI345" s="1366"/>
      <c r="AJ345" s="1366"/>
      <c r="AK345" s="1366"/>
      <c r="AL345" s="1366"/>
      <c r="AM345" s="1366"/>
      <c r="AN345" s="1366"/>
      <c r="AO345" s="1366"/>
      <c r="AP345" s="1366"/>
      <c r="AQ345" s="1366"/>
      <c r="AR345" s="1366"/>
      <c r="AS345" s="1366"/>
      <c r="AT345" s="1366"/>
      <c r="AU345" s="1366"/>
      <c r="AV345" s="1366"/>
      <c r="AW345" s="1366"/>
      <c r="AX345" s="1366"/>
      <c r="AY345" s="1366"/>
      <c r="AZ345" s="1366"/>
      <c r="BA345" s="1366"/>
      <c r="BB345" s="1366"/>
      <c r="BC345" s="1366"/>
      <c r="BD345" s="1366"/>
      <c r="BE345" s="1366"/>
      <c r="BF345" s="1366"/>
      <c r="BG345" s="1366"/>
      <c r="BH345" s="1366"/>
      <c r="BI345" s="1366"/>
      <c r="BJ345" s="1366"/>
      <c r="BK345" s="1366"/>
      <c r="BL345" s="1366"/>
      <c r="BM345" s="1366"/>
      <c r="BN345" s="1366"/>
      <c r="BO345" s="1366"/>
      <c r="BP345" s="1366"/>
      <c r="BQ345" s="1366"/>
      <c r="BR345" s="1366"/>
      <c r="BS345" s="1366"/>
      <c r="BT345" s="1366"/>
      <c r="BU345" s="1366"/>
      <c r="BV345" s="1366"/>
      <c r="BW345" s="1366"/>
      <c r="BX345" s="1366"/>
      <c r="BY345" s="1366"/>
      <c r="BZ345" s="1366"/>
      <c r="CA345" s="1366"/>
      <c r="CB345" s="1366"/>
      <c r="CC345" s="1366"/>
      <c r="CD345" s="1366"/>
      <c r="CE345" s="1366"/>
      <c r="CF345" s="1366"/>
      <c r="CG345" s="1366"/>
      <c r="CH345" s="1366"/>
      <c r="CI345" s="1366"/>
      <c r="CJ345" s="1366"/>
      <c r="CK345" s="1366"/>
      <c r="CL345" s="1366"/>
      <c r="CM345" s="1366"/>
      <c r="CN345" s="1366"/>
      <c r="CO345" s="1366"/>
      <c r="CP345" s="1366"/>
      <c r="CQ345" s="1366"/>
      <c r="CR345" s="1366"/>
      <c r="CS345" s="1366"/>
      <c r="CT345" s="1366"/>
      <c r="CU345" s="1366"/>
      <c r="CV345" s="1366"/>
      <c r="CW345" s="1366"/>
      <c r="CX345" s="1366"/>
      <c r="CY345" s="1366"/>
      <c r="CZ345" s="1366"/>
      <c r="DA345" s="1366"/>
      <c r="DB345" s="1366"/>
      <c r="DC345" s="1366"/>
      <c r="DD345" s="1366"/>
      <c r="DE345" s="1366"/>
      <c r="DF345" s="1366"/>
      <c r="DG345" s="1366"/>
      <c r="DH345" s="1366"/>
      <c r="DI345" s="1366"/>
      <c r="DJ345" s="1366"/>
      <c r="DK345" s="1366"/>
      <c r="DL345" s="1366"/>
      <c r="DM345" s="1366"/>
      <c r="DN345" s="1366"/>
      <c r="DO345" s="1366"/>
      <c r="DP345" s="1366"/>
      <c r="DQ345" s="1366"/>
      <c r="DR345" s="1366"/>
      <c r="DS345" s="1366"/>
      <c r="DT345" s="1366"/>
      <c r="DU345" s="1366"/>
      <c r="DV345" s="1366"/>
    </row>
    <row r="346" spans="1:126" s="1367" customFormat="1" ht="30">
      <c r="A346" s="2494"/>
      <c r="B346" s="1659">
        <v>341</v>
      </c>
      <c r="C346" s="1671" t="s">
        <v>49</v>
      </c>
      <c r="D346" s="1396" t="s">
        <v>2431</v>
      </c>
      <c r="E346" s="1376" t="s">
        <v>2097</v>
      </c>
      <c r="F346" s="1376" t="s">
        <v>2108</v>
      </c>
      <c r="G346" s="1377" t="s">
        <v>1796</v>
      </c>
      <c r="H346" s="1514"/>
      <c r="I346" s="1419"/>
      <c r="J346" s="1513"/>
      <c r="K346" s="1513"/>
      <c r="L346" s="1420"/>
      <c r="M346" s="1513"/>
      <c r="N346" s="1465"/>
      <c r="O346" s="1514"/>
      <c r="P346" s="1513"/>
      <c r="Q346" s="1513"/>
      <c r="R346" s="1513"/>
      <c r="S346" s="1513"/>
      <c r="T346" s="1513"/>
      <c r="U346" s="1513"/>
      <c r="V346" s="1465"/>
      <c r="W346" s="1366"/>
      <c r="X346" s="1366"/>
      <c r="Y346" s="1366"/>
      <c r="Z346" s="1366"/>
      <c r="AA346" s="1366"/>
      <c r="AB346" s="1366"/>
      <c r="AC346" s="1366"/>
      <c r="AD346" s="1366"/>
      <c r="AE346" s="1366"/>
      <c r="AF346" s="1366"/>
      <c r="AG346" s="1366"/>
      <c r="AH346" s="1366"/>
      <c r="AI346" s="1366"/>
      <c r="AJ346" s="1366"/>
      <c r="AK346" s="1366"/>
      <c r="AL346" s="1366"/>
      <c r="AM346" s="1366"/>
      <c r="AN346" s="1366"/>
      <c r="AO346" s="1366"/>
      <c r="AP346" s="1366"/>
      <c r="AQ346" s="1366"/>
      <c r="AR346" s="1366"/>
      <c r="AS346" s="1366"/>
      <c r="AT346" s="1366"/>
      <c r="AU346" s="1366"/>
      <c r="AV346" s="1366"/>
      <c r="AW346" s="1366"/>
      <c r="AX346" s="1366"/>
      <c r="AY346" s="1366"/>
      <c r="AZ346" s="1366"/>
      <c r="BA346" s="1366"/>
      <c r="BB346" s="1366"/>
      <c r="BC346" s="1366"/>
      <c r="BD346" s="1366"/>
      <c r="BE346" s="1366"/>
      <c r="BF346" s="1366"/>
      <c r="BG346" s="1366"/>
      <c r="BH346" s="1366"/>
      <c r="BI346" s="1366"/>
      <c r="BJ346" s="1366"/>
      <c r="BK346" s="1366"/>
      <c r="BL346" s="1366"/>
      <c r="BM346" s="1366"/>
      <c r="BN346" s="1366"/>
      <c r="BO346" s="1366"/>
      <c r="BP346" s="1366"/>
      <c r="BQ346" s="1366"/>
      <c r="BR346" s="1366"/>
      <c r="BS346" s="1366"/>
      <c r="BT346" s="1366"/>
      <c r="BU346" s="1366"/>
      <c r="BV346" s="1366"/>
      <c r="BW346" s="1366"/>
      <c r="BX346" s="1366"/>
      <c r="BY346" s="1366"/>
      <c r="BZ346" s="1366"/>
      <c r="CA346" s="1366"/>
      <c r="CB346" s="1366"/>
      <c r="CC346" s="1366"/>
      <c r="CD346" s="1366"/>
      <c r="CE346" s="1366"/>
      <c r="CF346" s="1366"/>
      <c r="CG346" s="1366"/>
      <c r="CH346" s="1366"/>
      <c r="CI346" s="1366"/>
      <c r="CJ346" s="1366"/>
      <c r="CK346" s="1366"/>
      <c r="CL346" s="1366"/>
      <c r="CM346" s="1366"/>
      <c r="CN346" s="1366"/>
      <c r="CO346" s="1366"/>
      <c r="CP346" s="1366"/>
      <c r="CQ346" s="1366"/>
      <c r="CR346" s="1366"/>
      <c r="CS346" s="1366"/>
      <c r="CT346" s="1366"/>
      <c r="CU346" s="1366"/>
      <c r="CV346" s="1366"/>
      <c r="CW346" s="1366"/>
      <c r="CX346" s="1366"/>
      <c r="CY346" s="1366"/>
      <c r="CZ346" s="1366"/>
      <c r="DA346" s="1366"/>
      <c r="DB346" s="1366"/>
      <c r="DC346" s="1366"/>
      <c r="DD346" s="1366"/>
      <c r="DE346" s="1366"/>
      <c r="DF346" s="1366"/>
      <c r="DG346" s="1366"/>
      <c r="DH346" s="1366"/>
      <c r="DI346" s="1366"/>
      <c r="DJ346" s="1366"/>
      <c r="DK346" s="1366"/>
      <c r="DL346" s="1366"/>
      <c r="DM346" s="1366"/>
      <c r="DN346" s="1366"/>
      <c r="DO346" s="1366"/>
      <c r="DP346" s="1366"/>
      <c r="DQ346" s="1366"/>
      <c r="DR346" s="1366"/>
      <c r="DS346" s="1366"/>
      <c r="DT346" s="1366"/>
      <c r="DU346" s="1366"/>
      <c r="DV346" s="1366"/>
    </row>
    <row r="347" spans="1:126" s="1367" customFormat="1" ht="30">
      <c r="A347" s="2494"/>
      <c r="B347" s="1658">
        <v>376</v>
      </c>
      <c r="C347" s="1671" t="s">
        <v>49</v>
      </c>
      <c r="D347" s="1644" t="s">
        <v>2470</v>
      </c>
      <c r="E347" s="1376" t="s">
        <v>2097</v>
      </c>
      <c r="F347" s="1376" t="s">
        <v>2107</v>
      </c>
      <c r="G347" s="1377" t="s">
        <v>1796</v>
      </c>
      <c r="H347" s="1514"/>
      <c r="I347" s="1419"/>
      <c r="J347" s="1513"/>
      <c r="K347" s="1513"/>
      <c r="L347" s="1420"/>
      <c r="M347" s="1513"/>
      <c r="N347" s="1465"/>
      <c r="O347" s="1514"/>
      <c r="P347" s="1513"/>
      <c r="Q347" s="1513"/>
      <c r="R347" s="1513"/>
      <c r="S347" s="1513"/>
      <c r="T347" s="1513"/>
      <c r="U347" s="1513"/>
      <c r="V347" s="1465"/>
      <c r="W347" s="1366"/>
      <c r="X347" s="1366"/>
      <c r="Y347" s="1366"/>
      <c r="Z347" s="1366"/>
      <c r="AA347" s="1366"/>
      <c r="AB347" s="1366"/>
      <c r="AC347" s="1366"/>
      <c r="AD347" s="1366"/>
      <c r="AE347" s="1366"/>
      <c r="AF347" s="1366"/>
      <c r="AG347" s="1366"/>
      <c r="AH347" s="1366"/>
      <c r="AI347" s="1366"/>
      <c r="AJ347" s="1366"/>
      <c r="AK347" s="1366"/>
      <c r="AL347" s="1366"/>
      <c r="AM347" s="1366"/>
      <c r="AN347" s="1366"/>
      <c r="AO347" s="1366"/>
      <c r="AP347" s="1366"/>
      <c r="AQ347" s="1366"/>
      <c r="AR347" s="1366"/>
      <c r="AS347" s="1366"/>
      <c r="AT347" s="1366"/>
      <c r="AU347" s="1366"/>
      <c r="AV347" s="1366"/>
      <c r="AW347" s="1366"/>
      <c r="AX347" s="1366"/>
      <c r="AY347" s="1366"/>
      <c r="AZ347" s="1366"/>
      <c r="BA347" s="1366"/>
      <c r="BB347" s="1366"/>
      <c r="BC347" s="1366"/>
      <c r="BD347" s="1366"/>
      <c r="BE347" s="1366"/>
      <c r="BF347" s="1366"/>
      <c r="BG347" s="1366"/>
      <c r="BH347" s="1366"/>
      <c r="BI347" s="1366"/>
      <c r="BJ347" s="1366"/>
      <c r="BK347" s="1366"/>
      <c r="BL347" s="1366"/>
      <c r="BM347" s="1366"/>
      <c r="BN347" s="1366"/>
      <c r="BO347" s="1366"/>
      <c r="BP347" s="1366"/>
      <c r="BQ347" s="1366"/>
      <c r="BR347" s="1366"/>
      <c r="BS347" s="1366"/>
      <c r="BT347" s="1366"/>
      <c r="BU347" s="1366"/>
      <c r="BV347" s="1366"/>
      <c r="BW347" s="1366"/>
      <c r="BX347" s="1366"/>
      <c r="BY347" s="1366"/>
      <c r="BZ347" s="1366"/>
      <c r="CA347" s="1366"/>
      <c r="CB347" s="1366"/>
      <c r="CC347" s="1366"/>
      <c r="CD347" s="1366"/>
      <c r="CE347" s="1366"/>
      <c r="CF347" s="1366"/>
      <c r="CG347" s="1366"/>
      <c r="CH347" s="1366"/>
      <c r="CI347" s="1366"/>
      <c r="CJ347" s="1366"/>
      <c r="CK347" s="1366"/>
      <c r="CL347" s="1366"/>
      <c r="CM347" s="1366"/>
      <c r="CN347" s="1366"/>
      <c r="CO347" s="1366"/>
      <c r="CP347" s="1366"/>
      <c r="CQ347" s="1366"/>
      <c r="CR347" s="1366"/>
      <c r="CS347" s="1366"/>
      <c r="CT347" s="1366"/>
      <c r="CU347" s="1366"/>
      <c r="CV347" s="1366"/>
      <c r="CW347" s="1366"/>
      <c r="CX347" s="1366"/>
      <c r="CY347" s="1366"/>
      <c r="CZ347" s="1366"/>
      <c r="DA347" s="1366"/>
      <c r="DB347" s="1366"/>
      <c r="DC347" s="1366"/>
      <c r="DD347" s="1366"/>
      <c r="DE347" s="1366"/>
      <c r="DF347" s="1366"/>
      <c r="DG347" s="1366"/>
      <c r="DH347" s="1366"/>
      <c r="DI347" s="1366"/>
      <c r="DJ347" s="1366"/>
      <c r="DK347" s="1366"/>
      <c r="DL347" s="1366"/>
      <c r="DM347" s="1366"/>
      <c r="DN347" s="1366"/>
      <c r="DO347" s="1366"/>
      <c r="DP347" s="1366"/>
      <c r="DQ347" s="1366"/>
      <c r="DR347" s="1366"/>
      <c r="DS347" s="1366"/>
      <c r="DT347" s="1366"/>
      <c r="DU347" s="1366"/>
      <c r="DV347" s="1366"/>
    </row>
    <row r="348" spans="1:126" s="1367" customFormat="1" ht="30">
      <c r="A348" s="2494"/>
      <c r="B348" s="1656" t="s">
        <v>2577</v>
      </c>
      <c r="C348" s="1642" t="s">
        <v>47</v>
      </c>
      <c r="D348" s="1375" t="s">
        <v>2501</v>
      </c>
      <c r="E348" s="1364" t="s">
        <v>2097</v>
      </c>
      <c r="F348" s="1364" t="s">
        <v>2108</v>
      </c>
      <c r="G348" s="1185" t="s">
        <v>1796</v>
      </c>
      <c r="H348" s="1431">
        <f>((100000*'Equipment Results Matrix'!$R$872)+(100*'Equipment Results Matrix'!$R$873)+('Equipment Results Matrix'!$R$874*0.8)+'Equipment Results Matrix'!$R$875+'Equipment Results Matrix'!$R$877+'Equipment Results Matrix'!$R$881+'Equipment Results Matrix'!$T$879)*(1+'Equipment Results Matrix'!$T$881)</f>
        <v>5249.6343319384623</v>
      </c>
      <c r="I348" s="1371">
        <f>(0.0655*250)-0.3869</f>
        <v>15.988099999999999</v>
      </c>
      <c r="J348" s="1372">
        <f>'Labor Results Matrix'!$G$368*(1+'Labor Results Matrix'!$K$368)</f>
        <v>74.311749587775111</v>
      </c>
      <c r="K348" s="1372">
        <f>I348*J348</f>
        <v>1188.1036835843072</v>
      </c>
      <c r="L348" s="1372">
        <v>0</v>
      </c>
      <c r="M348" s="1372">
        <f>H348+K348</f>
        <v>6437.7380155227693</v>
      </c>
      <c r="N348" s="1455" t="s">
        <v>40</v>
      </c>
      <c r="O348" s="1361">
        <f>H348/250</f>
        <v>20.998537327753848</v>
      </c>
      <c r="P348" s="1371">
        <f>I348/250</f>
        <v>6.3952399999999993E-2</v>
      </c>
      <c r="Q348" s="1372">
        <f>K348/250</f>
        <v>4.7524147343372292</v>
      </c>
      <c r="R348" s="1372">
        <v>0</v>
      </c>
      <c r="S348" s="1432"/>
      <c r="T348" s="1372">
        <f>O348+Q348</f>
        <v>25.750952062091077</v>
      </c>
      <c r="U348" s="1417" t="s">
        <v>40</v>
      </c>
      <c r="V348" s="1461"/>
      <c r="W348" s="1366"/>
      <c r="X348" s="1366"/>
      <c r="Y348" s="1366"/>
      <c r="Z348" s="1366"/>
      <c r="AA348" s="1366"/>
      <c r="AB348" s="1366"/>
      <c r="AC348" s="1366"/>
      <c r="AD348" s="1366"/>
      <c r="AE348" s="1366"/>
      <c r="AF348" s="1366"/>
      <c r="AG348" s="1366"/>
      <c r="AH348" s="1366"/>
      <c r="AI348" s="1366"/>
      <c r="AJ348" s="1366"/>
      <c r="AK348" s="1366"/>
      <c r="AL348" s="1366"/>
      <c r="AM348" s="1366"/>
      <c r="AN348" s="1366"/>
      <c r="AO348" s="1366"/>
      <c r="AP348" s="1366"/>
      <c r="AQ348" s="1366"/>
      <c r="AR348" s="1366"/>
      <c r="AS348" s="1366"/>
      <c r="AT348" s="1366"/>
      <c r="AU348" s="1366"/>
      <c r="AV348" s="1366"/>
      <c r="AW348" s="1366"/>
      <c r="AX348" s="1366"/>
      <c r="AY348" s="1366"/>
      <c r="AZ348" s="1366"/>
      <c r="BA348" s="1366"/>
      <c r="BB348" s="1366"/>
      <c r="BC348" s="1366"/>
      <c r="BD348" s="1366"/>
      <c r="BE348" s="1366"/>
      <c r="BF348" s="1366"/>
      <c r="BG348" s="1366"/>
      <c r="BH348" s="1366"/>
      <c r="BI348" s="1366"/>
      <c r="BJ348" s="1366"/>
      <c r="BK348" s="1366"/>
      <c r="BL348" s="1366"/>
      <c r="BM348" s="1366"/>
      <c r="BN348" s="1366"/>
      <c r="BO348" s="1366"/>
      <c r="BP348" s="1366"/>
      <c r="BQ348" s="1366"/>
      <c r="BR348" s="1366"/>
      <c r="BS348" s="1366"/>
      <c r="BT348" s="1366"/>
      <c r="BU348" s="1366"/>
      <c r="BV348" s="1366"/>
      <c r="BW348" s="1366"/>
      <c r="BX348" s="1366"/>
      <c r="BY348" s="1366"/>
      <c r="BZ348" s="1366"/>
      <c r="CA348" s="1366"/>
      <c r="CB348" s="1366"/>
      <c r="CC348" s="1366"/>
      <c r="CD348" s="1366"/>
      <c r="CE348" s="1366"/>
      <c r="CF348" s="1366"/>
      <c r="CG348" s="1366"/>
      <c r="CH348" s="1366"/>
      <c r="CI348" s="1366"/>
      <c r="CJ348" s="1366"/>
      <c r="CK348" s="1366"/>
      <c r="CL348" s="1366"/>
      <c r="CM348" s="1366"/>
      <c r="CN348" s="1366"/>
      <c r="CO348" s="1366"/>
      <c r="CP348" s="1366"/>
      <c r="CQ348" s="1366"/>
      <c r="CR348" s="1366"/>
      <c r="CS348" s="1366"/>
      <c r="CT348" s="1366"/>
      <c r="CU348" s="1366"/>
      <c r="CV348" s="1366"/>
      <c r="CW348" s="1366"/>
      <c r="CX348" s="1366"/>
      <c r="CY348" s="1366"/>
      <c r="CZ348" s="1366"/>
      <c r="DA348" s="1366"/>
      <c r="DB348" s="1366"/>
      <c r="DC348" s="1366"/>
      <c r="DD348" s="1366"/>
      <c r="DE348" s="1366"/>
      <c r="DF348" s="1366"/>
      <c r="DG348" s="1366"/>
      <c r="DH348" s="1366"/>
      <c r="DI348" s="1366"/>
      <c r="DJ348" s="1366"/>
      <c r="DK348" s="1366"/>
      <c r="DL348" s="1366"/>
      <c r="DM348" s="1366"/>
      <c r="DN348" s="1366"/>
      <c r="DO348" s="1366"/>
      <c r="DP348" s="1366"/>
      <c r="DQ348" s="1366"/>
      <c r="DR348" s="1366"/>
      <c r="DS348" s="1366"/>
      <c r="DT348" s="1366"/>
      <c r="DU348" s="1366"/>
      <c r="DV348" s="1366"/>
    </row>
    <row r="349" spans="1:126" s="1367" customFormat="1" ht="30">
      <c r="A349" s="2494"/>
      <c r="B349" s="1653">
        <v>345</v>
      </c>
      <c r="C349" s="1642" t="s">
        <v>49</v>
      </c>
      <c r="D349" s="1375" t="s">
        <v>2498</v>
      </c>
      <c r="E349" s="1364" t="s">
        <v>2097</v>
      </c>
      <c r="F349" s="1364" t="s">
        <v>2108</v>
      </c>
      <c r="G349" s="1185" t="s">
        <v>1796</v>
      </c>
      <c r="H349" s="1431">
        <f>((240*'Equipment Results Matrix'!$R$851)+(80*'Equipment Results Matrix'!$R$850)+'Equipment Results Matrix'!$R$852+'Equipment Results Matrix'!$T$857)*(1+'Equipment Results Matrix'!$T$859)</f>
        <v>1390.8539062500004</v>
      </c>
      <c r="I349" s="1371">
        <f>0.1395*8+3.4545</f>
        <v>4.5705</v>
      </c>
      <c r="J349" s="1372">
        <f>'Labor Results Matrix'!$G$346*(1+'Labor Results Matrix'!$K$346)</f>
        <v>81.419829983127514</v>
      </c>
      <c r="K349" s="1372">
        <f t="shared" ref="K349:K355" si="128">I349*J349</f>
        <v>372.12933293788433</v>
      </c>
      <c r="L349" s="1372">
        <v>0</v>
      </c>
      <c r="M349" s="1372">
        <f t="shared" ref="M349:M355" si="129">H349+K349</f>
        <v>1762.9832391878847</v>
      </c>
      <c r="N349" s="1517">
        <f>M349-$M$348</f>
        <v>-4674.7547763348848</v>
      </c>
      <c r="O349" s="1361">
        <f t="shared" ref="O349:O351" si="130">H349/250</f>
        <v>5.5634156250000011</v>
      </c>
      <c r="P349" s="1371">
        <f t="shared" ref="P349:P351" si="131">I349/250</f>
        <v>1.8282E-2</v>
      </c>
      <c r="Q349" s="1372">
        <f t="shared" ref="Q349:Q351" si="132">K349/250</f>
        <v>1.4885173317515372</v>
      </c>
      <c r="R349" s="1372">
        <v>0</v>
      </c>
      <c r="S349" s="1432"/>
      <c r="T349" s="1372">
        <f t="shared" ref="T349:T355" si="133">O349+Q349</f>
        <v>7.0519329567515383</v>
      </c>
      <c r="U349" s="1372">
        <f>T349-$T$348</f>
        <v>-18.699019105339538</v>
      </c>
      <c r="V349" s="1461"/>
      <c r="W349" s="1366"/>
      <c r="X349" s="1366"/>
      <c r="Y349" s="1366"/>
      <c r="Z349" s="1366"/>
      <c r="AA349" s="1366"/>
      <c r="AB349" s="1366"/>
      <c r="AC349" s="1366"/>
      <c r="AD349" s="1366"/>
      <c r="AE349" s="1366"/>
      <c r="AF349" s="1366"/>
      <c r="AG349" s="1366"/>
      <c r="AH349" s="1366"/>
      <c r="AI349" s="1366"/>
      <c r="AJ349" s="1366"/>
      <c r="AK349" s="1366"/>
      <c r="AL349" s="1366"/>
      <c r="AM349" s="1366"/>
      <c r="AN349" s="1366"/>
      <c r="AO349" s="1366"/>
      <c r="AP349" s="1366"/>
      <c r="AQ349" s="1366"/>
      <c r="AR349" s="1366"/>
      <c r="AS349" s="1366"/>
      <c r="AT349" s="1366"/>
      <c r="AU349" s="1366"/>
      <c r="AV349" s="1366"/>
      <c r="AW349" s="1366"/>
      <c r="AX349" s="1366"/>
      <c r="AY349" s="1366"/>
      <c r="AZ349" s="1366"/>
      <c r="BA349" s="1366"/>
      <c r="BB349" s="1366"/>
      <c r="BC349" s="1366"/>
      <c r="BD349" s="1366"/>
      <c r="BE349" s="1366"/>
      <c r="BF349" s="1366"/>
      <c r="BG349" s="1366"/>
      <c r="BH349" s="1366"/>
      <c r="BI349" s="1366"/>
      <c r="BJ349" s="1366"/>
      <c r="BK349" s="1366"/>
      <c r="BL349" s="1366"/>
      <c r="BM349" s="1366"/>
      <c r="BN349" s="1366"/>
      <c r="BO349" s="1366"/>
      <c r="BP349" s="1366"/>
      <c r="BQ349" s="1366"/>
      <c r="BR349" s="1366"/>
      <c r="BS349" s="1366"/>
      <c r="BT349" s="1366"/>
      <c r="BU349" s="1366"/>
      <c r="BV349" s="1366"/>
      <c r="BW349" s="1366"/>
      <c r="BX349" s="1366"/>
      <c r="BY349" s="1366"/>
      <c r="BZ349" s="1366"/>
      <c r="CA349" s="1366"/>
      <c r="CB349" s="1366"/>
      <c r="CC349" s="1366"/>
      <c r="CD349" s="1366"/>
      <c r="CE349" s="1366"/>
      <c r="CF349" s="1366"/>
      <c r="CG349" s="1366"/>
      <c r="CH349" s="1366"/>
      <c r="CI349" s="1366"/>
      <c r="CJ349" s="1366"/>
      <c r="CK349" s="1366"/>
      <c r="CL349" s="1366"/>
      <c r="CM349" s="1366"/>
      <c r="CN349" s="1366"/>
      <c r="CO349" s="1366"/>
      <c r="CP349" s="1366"/>
      <c r="CQ349" s="1366"/>
      <c r="CR349" s="1366"/>
      <c r="CS349" s="1366"/>
      <c r="CT349" s="1366"/>
      <c r="CU349" s="1366"/>
      <c r="CV349" s="1366"/>
      <c r="CW349" s="1366"/>
      <c r="CX349" s="1366"/>
      <c r="CY349" s="1366"/>
      <c r="CZ349" s="1366"/>
      <c r="DA349" s="1366"/>
      <c r="DB349" s="1366"/>
      <c r="DC349" s="1366"/>
      <c r="DD349" s="1366"/>
      <c r="DE349" s="1366"/>
      <c r="DF349" s="1366"/>
      <c r="DG349" s="1366"/>
      <c r="DH349" s="1366"/>
      <c r="DI349" s="1366"/>
      <c r="DJ349" s="1366"/>
      <c r="DK349" s="1366"/>
      <c r="DL349" s="1366"/>
      <c r="DM349" s="1366"/>
      <c r="DN349" s="1366"/>
      <c r="DO349" s="1366"/>
      <c r="DP349" s="1366"/>
      <c r="DQ349" s="1366"/>
      <c r="DR349" s="1366"/>
      <c r="DS349" s="1366"/>
      <c r="DT349" s="1366"/>
      <c r="DU349" s="1366"/>
      <c r="DV349" s="1366"/>
    </row>
    <row r="350" spans="1:126" s="1367" customFormat="1" ht="30">
      <c r="A350" s="2494"/>
      <c r="B350" s="1653" t="s">
        <v>2578</v>
      </c>
      <c r="C350" s="1642" t="s">
        <v>49</v>
      </c>
      <c r="D350" s="1375" t="s">
        <v>2499</v>
      </c>
      <c r="E350" s="1364" t="s">
        <v>2097</v>
      </c>
      <c r="F350" s="1364" t="s">
        <v>2108</v>
      </c>
      <c r="G350" s="1185" t="s">
        <v>1796</v>
      </c>
      <c r="H350" s="1431">
        <f>((240*'Equipment Results Matrix'!$R$851)+(85*'Equipment Results Matrix'!$R$850)+'Equipment Results Matrix'!$R$852+'Equipment Results Matrix'!$T$857)*(1+'Equipment Results Matrix'!$T$859)</f>
        <v>1478.2289062500004</v>
      </c>
      <c r="I350" s="1371">
        <f t="shared" ref="I350:I351" si="134">0.1395*8+3.4545</f>
        <v>4.5705</v>
      </c>
      <c r="J350" s="1372">
        <f>'Labor Results Matrix'!$G$346*(1+'Labor Results Matrix'!$K$346)</f>
        <v>81.419829983127514</v>
      </c>
      <c r="K350" s="1372">
        <f t="shared" si="128"/>
        <v>372.12933293788433</v>
      </c>
      <c r="L350" s="1372">
        <v>0</v>
      </c>
      <c r="M350" s="1372">
        <f t="shared" si="129"/>
        <v>1850.3582391878847</v>
      </c>
      <c r="N350" s="1517">
        <f>M350-$M$348</f>
        <v>-4587.3797763348848</v>
      </c>
      <c r="O350" s="1361">
        <f t="shared" si="130"/>
        <v>5.9129156250000019</v>
      </c>
      <c r="P350" s="1371">
        <f t="shared" si="131"/>
        <v>1.8282E-2</v>
      </c>
      <c r="Q350" s="1372">
        <f t="shared" si="132"/>
        <v>1.4885173317515372</v>
      </c>
      <c r="R350" s="1372">
        <v>0</v>
      </c>
      <c r="S350" s="1432"/>
      <c r="T350" s="1372">
        <f t="shared" si="133"/>
        <v>7.4014329567515391</v>
      </c>
      <c r="U350" s="1372">
        <f>T350-$T$348</f>
        <v>-18.349519105339539</v>
      </c>
      <c r="V350" s="1461"/>
      <c r="W350" s="1366"/>
      <c r="X350" s="1366"/>
      <c r="Y350" s="1366"/>
      <c r="Z350" s="1366"/>
      <c r="AA350" s="1366"/>
      <c r="AB350" s="1366"/>
      <c r="AC350" s="1366"/>
      <c r="AD350" s="1366"/>
      <c r="AE350" s="1366"/>
      <c r="AF350" s="1366"/>
      <c r="AG350" s="1366"/>
      <c r="AH350" s="1366"/>
      <c r="AI350" s="1366"/>
      <c r="AJ350" s="1366"/>
      <c r="AK350" s="1366"/>
      <c r="AL350" s="1366"/>
      <c r="AM350" s="1366"/>
      <c r="AN350" s="1366"/>
      <c r="AO350" s="1366"/>
      <c r="AP350" s="1366"/>
      <c r="AQ350" s="1366"/>
      <c r="AR350" s="1366"/>
      <c r="AS350" s="1366"/>
      <c r="AT350" s="1366"/>
      <c r="AU350" s="1366"/>
      <c r="AV350" s="1366"/>
      <c r="AW350" s="1366"/>
      <c r="AX350" s="1366"/>
      <c r="AY350" s="1366"/>
      <c r="AZ350" s="1366"/>
      <c r="BA350" s="1366"/>
      <c r="BB350" s="1366"/>
      <c r="BC350" s="1366"/>
      <c r="BD350" s="1366"/>
      <c r="BE350" s="1366"/>
      <c r="BF350" s="1366"/>
      <c r="BG350" s="1366"/>
      <c r="BH350" s="1366"/>
      <c r="BI350" s="1366"/>
      <c r="BJ350" s="1366"/>
      <c r="BK350" s="1366"/>
      <c r="BL350" s="1366"/>
      <c r="BM350" s="1366"/>
      <c r="BN350" s="1366"/>
      <c r="BO350" s="1366"/>
      <c r="BP350" s="1366"/>
      <c r="BQ350" s="1366"/>
      <c r="BR350" s="1366"/>
      <c r="BS350" s="1366"/>
      <c r="BT350" s="1366"/>
      <c r="BU350" s="1366"/>
      <c r="BV350" s="1366"/>
      <c r="BW350" s="1366"/>
      <c r="BX350" s="1366"/>
      <c r="BY350" s="1366"/>
      <c r="BZ350" s="1366"/>
      <c r="CA350" s="1366"/>
      <c r="CB350" s="1366"/>
      <c r="CC350" s="1366"/>
      <c r="CD350" s="1366"/>
      <c r="CE350" s="1366"/>
      <c r="CF350" s="1366"/>
      <c r="CG350" s="1366"/>
      <c r="CH350" s="1366"/>
      <c r="CI350" s="1366"/>
      <c r="CJ350" s="1366"/>
      <c r="CK350" s="1366"/>
      <c r="CL350" s="1366"/>
      <c r="CM350" s="1366"/>
      <c r="CN350" s="1366"/>
      <c r="CO350" s="1366"/>
      <c r="CP350" s="1366"/>
      <c r="CQ350" s="1366"/>
      <c r="CR350" s="1366"/>
      <c r="CS350" s="1366"/>
      <c r="CT350" s="1366"/>
      <c r="CU350" s="1366"/>
      <c r="CV350" s="1366"/>
      <c r="CW350" s="1366"/>
      <c r="CX350" s="1366"/>
      <c r="CY350" s="1366"/>
      <c r="CZ350" s="1366"/>
      <c r="DA350" s="1366"/>
      <c r="DB350" s="1366"/>
      <c r="DC350" s="1366"/>
      <c r="DD350" s="1366"/>
      <c r="DE350" s="1366"/>
      <c r="DF350" s="1366"/>
      <c r="DG350" s="1366"/>
      <c r="DH350" s="1366"/>
      <c r="DI350" s="1366"/>
      <c r="DJ350" s="1366"/>
      <c r="DK350" s="1366"/>
      <c r="DL350" s="1366"/>
      <c r="DM350" s="1366"/>
      <c r="DN350" s="1366"/>
      <c r="DO350" s="1366"/>
      <c r="DP350" s="1366"/>
      <c r="DQ350" s="1366"/>
      <c r="DR350" s="1366"/>
      <c r="DS350" s="1366"/>
      <c r="DT350" s="1366"/>
      <c r="DU350" s="1366"/>
      <c r="DV350" s="1366"/>
    </row>
    <row r="351" spans="1:126" s="1367" customFormat="1" ht="30">
      <c r="A351" s="2494"/>
      <c r="B351" s="1653">
        <v>347</v>
      </c>
      <c r="C351" s="1642" t="s">
        <v>49</v>
      </c>
      <c r="D351" s="1375" t="s">
        <v>2500</v>
      </c>
      <c r="E351" s="1364" t="s">
        <v>2097</v>
      </c>
      <c r="F351" s="1364" t="s">
        <v>2108</v>
      </c>
      <c r="G351" s="1185" t="s">
        <v>1796</v>
      </c>
      <c r="H351" s="1431">
        <f>((240*'Equipment Results Matrix'!$R$851)+(90*'Equipment Results Matrix'!$R$850)+'Equipment Results Matrix'!$R$852+'Equipment Results Matrix'!$T$857)*(1+'Equipment Results Matrix'!$T$859)</f>
        <v>1565.6039062499999</v>
      </c>
      <c r="I351" s="1371">
        <f t="shared" si="134"/>
        <v>4.5705</v>
      </c>
      <c r="J351" s="1372">
        <f>'Labor Results Matrix'!$G$346*(1+'Labor Results Matrix'!$K$346)</f>
        <v>81.419829983127514</v>
      </c>
      <c r="K351" s="1372">
        <f t="shared" si="128"/>
        <v>372.12933293788433</v>
      </c>
      <c r="L351" s="1372">
        <v>0</v>
      </c>
      <c r="M351" s="1372">
        <f t="shared" si="129"/>
        <v>1937.7332391878842</v>
      </c>
      <c r="N351" s="1517">
        <f>M351-$M$348</f>
        <v>-4500.0047763348848</v>
      </c>
      <c r="O351" s="1361">
        <f t="shared" si="130"/>
        <v>6.262415625</v>
      </c>
      <c r="P351" s="1371">
        <f t="shared" si="131"/>
        <v>1.8282E-2</v>
      </c>
      <c r="Q351" s="1372">
        <f t="shared" si="132"/>
        <v>1.4885173317515372</v>
      </c>
      <c r="R351" s="1372">
        <v>0</v>
      </c>
      <c r="S351" s="1432"/>
      <c r="T351" s="1372">
        <f t="shared" si="133"/>
        <v>7.7509329567515373</v>
      </c>
      <c r="U351" s="1372">
        <f>T351-$T$348</f>
        <v>-18.00001910533954</v>
      </c>
      <c r="V351" s="1461"/>
      <c r="W351" s="1366"/>
      <c r="X351" s="1366"/>
      <c r="Y351" s="1366"/>
      <c r="Z351" s="1366"/>
      <c r="AA351" s="1366"/>
      <c r="AB351" s="1366"/>
      <c r="AC351" s="1366"/>
      <c r="AD351" s="1366"/>
      <c r="AE351" s="1366"/>
      <c r="AF351" s="1366"/>
      <c r="AG351" s="1366"/>
      <c r="AH351" s="1366"/>
      <c r="AI351" s="1366"/>
      <c r="AJ351" s="1366"/>
      <c r="AK351" s="1366"/>
      <c r="AL351" s="1366"/>
      <c r="AM351" s="1366"/>
      <c r="AN351" s="1366"/>
      <c r="AO351" s="1366"/>
      <c r="AP351" s="1366"/>
      <c r="AQ351" s="1366"/>
      <c r="AR351" s="1366"/>
      <c r="AS351" s="1366"/>
      <c r="AT351" s="1366"/>
      <c r="AU351" s="1366"/>
      <c r="AV351" s="1366"/>
      <c r="AW351" s="1366"/>
      <c r="AX351" s="1366"/>
      <c r="AY351" s="1366"/>
      <c r="AZ351" s="1366"/>
      <c r="BA351" s="1366"/>
      <c r="BB351" s="1366"/>
      <c r="BC351" s="1366"/>
      <c r="BD351" s="1366"/>
      <c r="BE351" s="1366"/>
      <c r="BF351" s="1366"/>
      <c r="BG351" s="1366"/>
      <c r="BH351" s="1366"/>
      <c r="BI351" s="1366"/>
      <c r="BJ351" s="1366"/>
      <c r="BK351" s="1366"/>
      <c r="BL351" s="1366"/>
      <c r="BM351" s="1366"/>
      <c r="BN351" s="1366"/>
      <c r="BO351" s="1366"/>
      <c r="BP351" s="1366"/>
      <c r="BQ351" s="1366"/>
      <c r="BR351" s="1366"/>
      <c r="BS351" s="1366"/>
      <c r="BT351" s="1366"/>
      <c r="BU351" s="1366"/>
      <c r="BV351" s="1366"/>
      <c r="BW351" s="1366"/>
      <c r="BX351" s="1366"/>
      <c r="BY351" s="1366"/>
      <c r="BZ351" s="1366"/>
      <c r="CA351" s="1366"/>
      <c r="CB351" s="1366"/>
      <c r="CC351" s="1366"/>
      <c r="CD351" s="1366"/>
      <c r="CE351" s="1366"/>
      <c r="CF351" s="1366"/>
      <c r="CG351" s="1366"/>
      <c r="CH351" s="1366"/>
      <c r="CI351" s="1366"/>
      <c r="CJ351" s="1366"/>
      <c r="CK351" s="1366"/>
      <c r="CL351" s="1366"/>
      <c r="CM351" s="1366"/>
      <c r="CN351" s="1366"/>
      <c r="CO351" s="1366"/>
      <c r="CP351" s="1366"/>
      <c r="CQ351" s="1366"/>
      <c r="CR351" s="1366"/>
      <c r="CS351" s="1366"/>
      <c r="CT351" s="1366"/>
      <c r="CU351" s="1366"/>
      <c r="CV351" s="1366"/>
      <c r="CW351" s="1366"/>
      <c r="CX351" s="1366"/>
      <c r="CY351" s="1366"/>
      <c r="CZ351" s="1366"/>
      <c r="DA351" s="1366"/>
      <c r="DB351" s="1366"/>
      <c r="DC351" s="1366"/>
      <c r="DD351" s="1366"/>
      <c r="DE351" s="1366"/>
      <c r="DF351" s="1366"/>
      <c r="DG351" s="1366"/>
      <c r="DH351" s="1366"/>
      <c r="DI351" s="1366"/>
      <c r="DJ351" s="1366"/>
      <c r="DK351" s="1366"/>
      <c r="DL351" s="1366"/>
      <c r="DM351" s="1366"/>
      <c r="DN351" s="1366"/>
      <c r="DO351" s="1366"/>
      <c r="DP351" s="1366"/>
      <c r="DQ351" s="1366"/>
      <c r="DR351" s="1366"/>
      <c r="DS351" s="1366"/>
      <c r="DT351" s="1366"/>
      <c r="DU351" s="1366"/>
      <c r="DV351" s="1366"/>
    </row>
    <row r="352" spans="1:126" s="1367" customFormat="1" ht="30">
      <c r="A352" s="2494"/>
      <c r="B352" s="1653" t="s">
        <v>2432</v>
      </c>
      <c r="C352" s="1642" t="s">
        <v>47</v>
      </c>
      <c r="D352" s="1375" t="s">
        <v>2502</v>
      </c>
      <c r="E352" s="1364" t="s">
        <v>2097</v>
      </c>
      <c r="F352" s="1364" t="s">
        <v>2108</v>
      </c>
      <c r="G352" s="1185" t="s">
        <v>1796</v>
      </c>
      <c r="H352" s="1431">
        <f>((75000*'Equipment Results Matrix'!$R$872)+(50*'Equipment Results Matrix'!$R$873)+('Equipment Results Matrix'!$R$874*0.8)+'Equipment Results Matrix'!$R$875+'Equipment Results Matrix'!$R$877+'Equipment Results Matrix'!$R$881+'Equipment Results Matrix'!$T$879)*(1+'Equipment Results Matrix'!$T$881)</f>
        <v>3204.4720319384651</v>
      </c>
      <c r="I352" s="1371">
        <f>(0.0655*100)-0.3869</f>
        <v>6.1631000000000009</v>
      </c>
      <c r="J352" s="1372">
        <f>'Labor Results Matrix'!$G$368*(1+'Labor Results Matrix'!$K$368)</f>
        <v>74.311749587775111</v>
      </c>
      <c r="K352" s="1372">
        <f t="shared" si="128"/>
        <v>457.99074388441687</v>
      </c>
      <c r="L352" s="1372">
        <v>0</v>
      </c>
      <c r="M352" s="1372">
        <f t="shared" si="129"/>
        <v>3662.4627758228821</v>
      </c>
      <c r="N352" s="1518" t="s">
        <v>40</v>
      </c>
      <c r="O352" s="1361">
        <f>H352/100</f>
        <v>32.044720319384652</v>
      </c>
      <c r="P352" s="1371">
        <f>I352/100</f>
        <v>6.1631000000000012E-2</v>
      </c>
      <c r="Q352" s="1372">
        <f>K352/100</f>
        <v>4.5799074388441685</v>
      </c>
      <c r="R352" s="1372">
        <v>0</v>
      </c>
      <c r="S352" s="1432"/>
      <c r="T352" s="1372">
        <f t="shared" si="133"/>
        <v>36.624627758228819</v>
      </c>
      <c r="U352" s="1417" t="s">
        <v>40</v>
      </c>
      <c r="V352" s="1461"/>
      <c r="W352" s="1366"/>
      <c r="X352" s="1366"/>
      <c r="Y352" s="1366"/>
      <c r="Z352" s="1366"/>
      <c r="AA352" s="1366"/>
      <c r="AB352" s="1366"/>
      <c r="AC352" s="1366"/>
      <c r="AD352" s="1366"/>
      <c r="AE352" s="1366"/>
      <c r="AF352" s="1366"/>
      <c r="AG352" s="1366"/>
      <c r="AH352" s="1366"/>
      <c r="AI352" s="1366"/>
      <c r="AJ352" s="1366"/>
      <c r="AK352" s="1366"/>
      <c r="AL352" s="1366"/>
      <c r="AM352" s="1366"/>
      <c r="AN352" s="1366"/>
      <c r="AO352" s="1366"/>
      <c r="AP352" s="1366"/>
      <c r="AQ352" s="1366"/>
      <c r="AR352" s="1366"/>
      <c r="AS352" s="1366"/>
      <c r="AT352" s="1366"/>
      <c r="AU352" s="1366"/>
      <c r="AV352" s="1366"/>
      <c r="AW352" s="1366"/>
      <c r="AX352" s="1366"/>
      <c r="AY352" s="1366"/>
      <c r="AZ352" s="1366"/>
      <c r="BA352" s="1366"/>
      <c r="BB352" s="1366"/>
      <c r="BC352" s="1366"/>
      <c r="BD352" s="1366"/>
      <c r="BE352" s="1366"/>
      <c r="BF352" s="1366"/>
      <c r="BG352" s="1366"/>
      <c r="BH352" s="1366"/>
      <c r="BI352" s="1366"/>
      <c r="BJ352" s="1366"/>
      <c r="BK352" s="1366"/>
      <c r="BL352" s="1366"/>
      <c r="BM352" s="1366"/>
      <c r="BN352" s="1366"/>
      <c r="BO352" s="1366"/>
      <c r="BP352" s="1366"/>
      <c r="BQ352" s="1366"/>
      <c r="BR352" s="1366"/>
      <c r="BS352" s="1366"/>
      <c r="BT352" s="1366"/>
      <c r="BU352" s="1366"/>
      <c r="BV352" s="1366"/>
      <c r="BW352" s="1366"/>
      <c r="BX352" s="1366"/>
      <c r="BY352" s="1366"/>
      <c r="BZ352" s="1366"/>
      <c r="CA352" s="1366"/>
      <c r="CB352" s="1366"/>
      <c r="CC352" s="1366"/>
      <c r="CD352" s="1366"/>
      <c r="CE352" s="1366"/>
      <c r="CF352" s="1366"/>
      <c r="CG352" s="1366"/>
      <c r="CH352" s="1366"/>
      <c r="CI352" s="1366"/>
      <c r="CJ352" s="1366"/>
      <c r="CK352" s="1366"/>
      <c r="CL352" s="1366"/>
      <c r="CM352" s="1366"/>
      <c r="CN352" s="1366"/>
      <c r="CO352" s="1366"/>
      <c r="CP352" s="1366"/>
      <c r="CQ352" s="1366"/>
      <c r="CR352" s="1366"/>
      <c r="CS352" s="1366"/>
      <c r="CT352" s="1366"/>
      <c r="CU352" s="1366"/>
      <c r="CV352" s="1366"/>
      <c r="CW352" s="1366"/>
      <c r="CX352" s="1366"/>
      <c r="CY352" s="1366"/>
      <c r="CZ352" s="1366"/>
      <c r="DA352" s="1366"/>
      <c r="DB352" s="1366"/>
      <c r="DC352" s="1366"/>
      <c r="DD352" s="1366"/>
      <c r="DE352" s="1366"/>
      <c r="DF352" s="1366"/>
      <c r="DG352" s="1366"/>
      <c r="DH352" s="1366"/>
      <c r="DI352" s="1366"/>
      <c r="DJ352" s="1366"/>
      <c r="DK352" s="1366"/>
      <c r="DL352" s="1366"/>
      <c r="DM352" s="1366"/>
      <c r="DN352" s="1366"/>
      <c r="DO352" s="1366"/>
      <c r="DP352" s="1366"/>
      <c r="DQ352" s="1366"/>
      <c r="DR352" s="1366"/>
      <c r="DS352" s="1366"/>
      <c r="DT352" s="1366"/>
      <c r="DU352" s="1366"/>
      <c r="DV352" s="1366"/>
    </row>
    <row r="353" spans="1:126" s="1367" customFormat="1" ht="30">
      <c r="A353" s="2494"/>
      <c r="B353" s="1653">
        <v>348</v>
      </c>
      <c r="C353" s="1642" t="s">
        <v>49</v>
      </c>
      <c r="D353" s="1375" t="s">
        <v>2646</v>
      </c>
      <c r="E353" s="1364" t="s">
        <v>2097</v>
      </c>
      <c r="F353" s="1364" t="s">
        <v>2108</v>
      </c>
      <c r="G353" s="1185" t="s">
        <v>1796</v>
      </c>
      <c r="H353" s="1431">
        <f>((175*'Equipment Results Matrix'!$R$851)+(80*'Equipment Results Matrix'!$R$850)+'Equipment Results Matrix'!$R$852+'Equipment Results Matrix'!$T$857)*(1+'Equipment Results Matrix'!$T$859)</f>
        <v>939.91640625000036</v>
      </c>
      <c r="I353" s="1371">
        <f>0.1395*6+3.4545</f>
        <v>4.2915000000000001</v>
      </c>
      <c r="J353" s="1372">
        <f>'Labor Results Matrix'!$G$346*(1+'Labor Results Matrix'!$K$346)</f>
        <v>81.419829983127514</v>
      </c>
      <c r="K353" s="1372">
        <f t="shared" si="128"/>
        <v>349.41320037259175</v>
      </c>
      <c r="L353" s="1372">
        <v>0</v>
      </c>
      <c r="M353" s="1372">
        <f t="shared" si="129"/>
        <v>1289.3296066225921</v>
      </c>
      <c r="N353" s="1517">
        <f>M353-$M$352</f>
        <v>-2373.13316920029</v>
      </c>
      <c r="O353" s="1361">
        <f t="shared" ref="O353:O355" si="135">H353/100</f>
        <v>9.3991640625000041</v>
      </c>
      <c r="P353" s="1371">
        <f t="shared" ref="P353:P355" si="136">I353/100</f>
        <v>4.2915000000000002E-2</v>
      </c>
      <c r="Q353" s="1372">
        <f t="shared" ref="Q353:Q355" si="137">K353/100</f>
        <v>3.4941320037259174</v>
      </c>
      <c r="R353" s="1372">
        <v>0</v>
      </c>
      <c r="S353" s="1432"/>
      <c r="T353" s="1372">
        <f t="shared" si="133"/>
        <v>12.893296066225922</v>
      </c>
      <c r="U353" s="1372">
        <f>T353-$T$352</f>
        <v>-23.731331692002897</v>
      </c>
      <c r="V353" s="1461"/>
      <c r="W353" s="1366"/>
      <c r="X353" s="1366"/>
      <c r="Y353" s="1366"/>
      <c r="Z353" s="1366"/>
      <c r="AA353" s="1366"/>
      <c r="AB353" s="1366"/>
      <c r="AC353" s="1366"/>
      <c r="AD353" s="1366"/>
      <c r="AE353" s="1366"/>
      <c r="AF353" s="1366"/>
      <c r="AG353" s="1366"/>
      <c r="AH353" s="1366"/>
      <c r="AI353" s="1366"/>
      <c r="AJ353" s="1366"/>
      <c r="AK353" s="1366"/>
      <c r="AL353" s="1366"/>
      <c r="AM353" s="1366"/>
      <c r="AN353" s="1366"/>
      <c r="AO353" s="1366"/>
      <c r="AP353" s="1366"/>
      <c r="AQ353" s="1366"/>
      <c r="AR353" s="1366"/>
      <c r="AS353" s="1366"/>
      <c r="AT353" s="1366"/>
      <c r="AU353" s="1366"/>
      <c r="AV353" s="1366"/>
      <c r="AW353" s="1366"/>
      <c r="AX353" s="1366"/>
      <c r="AY353" s="1366"/>
      <c r="AZ353" s="1366"/>
      <c r="BA353" s="1366"/>
      <c r="BB353" s="1366"/>
      <c r="BC353" s="1366"/>
      <c r="BD353" s="1366"/>
      <c r="BE353" s="1366"/>
      <c r="BF353" s="1366"/>
      <c r="BG353" s="1366"/>
      <c r="BH353" s="1366"/>
      <c r="BI353" s="1366"/>
      <c r="BJ353" s="1366"/>
      <c r="BK353" s="1366"/>
      <c r="BL353" s="1366"/>
      <c r="BM353" s="1366"/>
      <c r="BN353" s="1366"/>
      <c r="BO353" s="1366"/>
      <c r="BP353" s="1366"/>
      <c r="BQ353" s="1366"/>
      <c r="BR353" s="1366"/>
      <c r="BS353" s="1366"/>
      <c r="BT353" s="1366"/>
      <c r="BU353" s="1366"/>
      <c r="BV353" s="1366"/>
      <c r="BW353" s="1366"/>
      <c r="BX353" s="1366"/>
      <c r="BY353" s="1366"/>
      <c r="BZ353" s="1366"/>
      <c r="CA353" s="1366"/>
      <c r="CB353" s="1366"/>
      <c r="CC353" s="1366"/>
      <c r="CD353" s="1366"/>
      <c r="CE353" s="1366"/>
      <c r="CF353" s="1366"/>
      <c r="CG353" s="1366"/>
      <c r="CH353" s="1366"/>
      <c r="CI353" s="1366"/>
      <c r="CJ353" s="1366"/>
      <c r="CK353" s="1366"/>
      <c r="CL353" s="1366"/>
      <c r="CM353" s="1366"/>
      <c r="CN353" s="1366"/>
      <c r="CO353" s="1366"/>
      <c r="CP353" s="1366"/>
      <c r="CQ353" s="1366"/>
      <c r="CR353" s="1366"/>
      <c r="CS353" s="1366"/>
      <c r="CT353" s="1366"/>
      <c r="CU353" s="1366"/>
      <c r="CV353" s="1366"/>
      <c r="CW353" s="1366"/>
      <c r="CX353" s="1366"/>
      <c r="CY353" s="1366"/>
      <c r="CZ353" s="1366"/>
      <c r="DA353" s="1366"/>
      <c r="DB353" s="1366"/>
      <c r="DC353" s="1366"/>
      <c r="DD353" s="1366"/>
      <c r="DE353" s="1366"/>
      <c r="DF353" s="1366"/>
      <c r="DG353" s="1366"/>
      <c r="DH353" s="1366"/>
      <c r="DI353" s="1366"/>
      <c r="DJ353" s="1366"/>
      <c r="DK353" s="1366"/>
      <c r="DL353" s="1366"/>
      <c r="DM353" s="1366"/>
      <c r="DN353" s="1366"/>
      <c r="DO353" s="1366"/>
      <c r="DP353" s="1366"/>
      <c r="DQ353" s="1366"/>
      <c r="DR353" s="1366"/>
      <c r="DS353" s="1366"/>
      <c r="DT353" s="1366"/>
      <c r="DU353" s="1366"/>
      <c r="DV353" s="1366"/>
    </row>
    <row r="354" spans="1:126" s="1367" customFormat="1" ht="30">
      <c r="A354" s="2494"/>
      <c r="B354" s="1653">
        <v>349</v>
      </c>
      <c r="C354" s="1642" t="s">
        <v>49</v>
      </c>
      <c r="D354" s="1375" t="s">
        <v>2647</v>
      </c>
      <c r="E354" s="1364" t="s">
        <v>2097</v>
      </c>
      <c r="F354" s="1364" t="s">
        <v>2108</v>
      </c>
      <c r="G354" s="1185" t="s">
        <v>1796</v>
      </c>
      <c r="H354" s="1431">
        <f>((175*'Equipment Results Matrix'!$R$851)+(85*'Equipment Results Matrix'!$R$850)+'Equipment Results Matrix'!$R$852+'Equipment Results Matrix'!$T$857)*(1+'Equipment Results Matrix'!$T$859)</f>
        <v>1027.2914062500004</v>
      </c>
      <c r="I354" s="1371">
        <f t="shared" ref="I354:I355" si="138">0.1395*6+3.4545</f>
        <v>4.2915000000000001</v>
      </c>
      <c r="J354" s="1372">
        <f>'Labor Results Matrix'!$G$346*(1+'Labor Results Matrix'!$K$346)</f>
        <v>81.419829983127514</v>
      </c>
      <c r="K354" s="1372">
        <f t="shared" si="128"/>
        <v>349.41320037259175</v>
      </c>
      <c r="L354" s="1372">
        <v>0</v>
      </c>
      <c r="M354" s="1372">
        <f t="shared" si="129"/>
        <v>1376.7046066225921</v>
      </c>
      <c r="N354" s="1517">
        <f>M354-$M$352</f>
        <v>-2285.75816920029</v>
      </c>
      <c r="O354" s="1361">
        <f t="shared" si="135"/>
        <v>10.272914062500003</v>
      </c>
      <c r="P354" s="1371">
        <f t="shared" si="136"/>
        <v>4.2915000000000002E-2</v>
      </c>
      <c r="Q354" s="1372">
        <f t="shared" si="137"/>
        <v>3.4941320037259174</v>
      </c>
      <c r="R354" s="1372">
        <v>0</v>
      </c>
      <c r="S354" s="1432"/>
      <c r="T354" s="1372">
        <f t="shared" si="133"/>
        <v>13.767046066225921</v>
      </c>
      <c r="U354" s="1372">
        <f>T354-$T$352</f>
        <v>-22.857581692002896</v>
      </c>
      <c r="V354" s="1461"/>
      <c r="W354" s="1366"/>
      <c r="X354" s="1366"/>
      <c r="Y354" s="1366"/>
      <c r="Z354" s="1366"/>
      <c r="AA354" s="1366"/>
      <c r="AB354" s="1366"/>
      <c r="AC354" s="1366"/>
      <c r="AD354" s="1366"/>
      <c r="AE354" s="1366"/>
      <c r="AF354" s="1366"/>
      <c r="AG354" s="1366"/>
      <c r="AH354" s="1366"/>
      <c r="AI354" s="1366"/>
      <c r="AJ354" s="1366"/>
      <c r="AK354" s="1366"/>
      <c r="AL354" s="1366"/>
      <c r="AM354" s="1366"/>
      <c r="AN354" s="1366"/>
      <c r="AO354" s="1366"/>
      <c r="AP354" s="1366"/>
      <c r="AQ354" s="1366"/>
      <c r="AR354" s="1366"/>
      <c r="AS354" s="1366"/>
      <c r="AT354" s="1366"/>
      <c r="AU354" s="1366"/>
      <c r="AV354" s="1366"/>
      <c r="AW354" s="1366"/>
      <c r="AX354" s="1366"/>
      <c r="AY354" s="1366"/>
      <c r="AZ354" s="1366"/>
      <c r="BA354" s="1366"/>
      <c r="BB354" s="1366"/>
      <c r="BC354" s="1366"/>
      <c r="BD354" s="1366"/>
      <c r="BE354" s="1366"/>
      <c r="BF354" s="1366"/>
      <c r="BG354" s="1366"/>
      <c r="BH354" s="1366"/>
      <c r="BI354" s="1366"/>
      <c r="BJ354" s="1366"/>
      <c r="BK354" s="1366"/>
      <c r="BL354" s="1366"/>
      <c r="BM354" s="1366"/>
      <c r="BN354" s="1366"/>
      <c r="BO354" s="1366"/>
      <c r="BP354" s="1366"/>
      <c r="BQ354" s="1366"/>
      <c r="BR354" s="1366"/>
      <c r="BS354" s="1366"/>
      <c r="BT354" s="1366"/>
      <c r="BU354" s="1366"/>
      <c r="BV354" s="1366"/>
      <c r="BW354" s="1366"/>
      <c r="BX354" s="1366"/>
      <c r="BY354" s="1366"/>
      <c r="BZ354" s="1366"/>
      <c r="CA354" s="1366"/>
      <c r="CB354" s="1366"/>
      <c r="CC354" s="1366"/>
      <c r="CD354" s="1366"/>
      <c r="CE354" s="1366"/>
      <c r="CF354" s="1366"/>
      <c r="CG354" s="1366"/>
      <c r="CH354" s="1366"/>
      <c r="CI354" s="1366"/>
      <c r="CJ354" s="1366"/>
      <c r="CK354" s="1366"/>
      <c r="CL354" s="1366"/>
      <c r="CM354" s="1366"/>
      <c r="CN354" s="1366"/>
      <c r="CO354" s="1366"/>
      <c r="CP354" s="1366"/>
      <c r="CQ354" s="1366"/>
      <c r="CR354" s="1366"/>
      <c r="CS354" s="1366"/>
      <c r="CT354" s="1366"/>
      <c r="CU354" s="1366"/>
      <c r="CV354" s="1366"/>
      <c r="CW354" s="1366"/>
      <c r="CX354" s="1366"/>
      <c r="CY354" s="1366"/>
      <c r="CZ354" s="1366"/>
      <c r="DA354" s="1366"/>
      <c r="DB354" s="1366"/>
      <c r="DC354" s="1366"/>
      <c r="DD354" s="1366"/>
      <c r="DE354" s="1366"/>
      <c r="DF354" s="1366"/>
      <c r="DG354" s="1366"/>
      <c r="DH354" s="1366"/>
      <c r="DI354" s="1366"/>
      <c r="DJ354" s="1366"/>
      <c r="DK354" s="1366"/>
      <c r="DL354" s="1366"/>
      <c r="DM354" s="1366"/>
      <c r="DN354" s="1366"/>
      <c r="DO354" s="1366"/>
      <c r="DP354" s="1366"/>
      <c r="DQ354" s="1366"/>
      <c r="DR354" s="1366"/>
      <c r="DS354" s="1366"/>
      <c r="DT354" s="1366"/>
      <c r="DU354" s="1366"/>
      <c r="DV354" s="1366"/>
    </row>
    <row r="355" spans="1:126" s="1367" customFormat="1" ht="30">
      <c r="A355" s="2494"/>
      <c r="B355" s="1653">
        <v>350</v>
      </c>
      <c r="C355" s="1642" t="s">
        <v>49</v>
      </c>
      <c r="D355" s="1375" t="s">
        <v>2648</v>
      </c>
      <c r="E355" s="1364" t="s">
        <v>2097</v>
      </c>
      <c r="F355" s="1364" t="s">
        <v>2108</v>
      </c>
      <c r="G355" s="1185" t="s">
        <v>1796</v>
      </c>
      <c r="H355" s="1431">
        <f>((175*'Equipment Results Matrix'!$R$851)+(90*'Equipment Results Matrix'!$R$850)+'Equipment Results Matrix'!$R$852+'Equipment Results Matrix'!$T$857)*(1+'Equipment Results Matrix'!$T$859)</f>
        <v>1114.6664062499999</v>
      </c>
      <c r="I355" s="1371">
        <f t="shared" si="138"/>
        <v>4.2915000000000001</v>
      </c>
      <c r="J355" s="1372">
        <f>'Labor Results Matrix'!$G$346*(1+'Labor Results Matrix'!$K$346)</f>
        <v>81.419829983127514</v>
      </c>
      <c r="K355" s="1372">
        <f t="shared" si="128"/>
        <v>349.41320037259175</v>
      </c>
      <c r="L355" s="1372">
        <v>0</v>
      </c>
      <c r="M355" s="1372">
        <f t="shared" si="129"/>
        <v>1464.0796066225917</v>
      </c>
      <c r="N355" s="1517">
        <f>M355-$M$352</f>
        <v>-2198.3831692002905</v>
      </c>
      <c r="O355" s="1361">
        <f t="shared" si="135"/>
        <v>11.146664062499999</v>
      </c>
      <c r="P355" s="1371">
        <f t="shared" si="136"/>
        <v>4.2915000000000002E-2</v>
      </c>
      <c r="Q355" s="1372">
        <f t="shared" si="137"/>
        <v>3.4941320037259174</v>
      </c>
      <c r="R355" s="1372">
        <v>0</v>
      </c>
      <c r="S355" s="1432"/>
      <c r="T355" s="1372">
        <f t="shared" si="133"/>
        <v>14.640796066225917</v>
      </c>
      <c r="U355" s="1372">
        <f>T355-$T$352</f>
        <v>-21.983831692002902</v>
      </c>
      <c r="V355" s="1461"/>
      <c r="W355" s="1366"/>
      <c r="X355" s="1366"/>
      <c r="Y355" s="1366"/>
      <c r="Z355" s="1366"/>
      <c r="AA355" s="1366"/>
      <c r="AB355" s="1366"/>
      <c r="AC355" s="1366"/>
      <c r="AD355" s="1366"/>
      <c r="AE355" s="1366"/>
      <c r="AF355" s="1366"/>
      <c r="AG355" s="1366"/>
      <c r="AH355" s="1366"/>
      <c r="AI355" s="1366"/>
      <c r="AJ355" s="1366"/>
      <c r="AK355" s="1366"/>
      <c r="AL355" s="1366"/>
      <c r="AM355" s="1366"/>
      <c r="AN355" s="1366"/>
      <c r="AO355" s="1366"/>
      <c r="AP355" s="1366"/>
      <c r="AQ355" s="1366"/>
      <c r="AR355" s="1366"/>
      <c r="AS355" s="1366"/>
      <c r="AT355" s="1366"/>
      <c r="AU355" s="1366"/>
      <c r="AV355" s="1366"/>
      <c r="AW355" s="1366"/>
      <c r="AX355" s="1366"/>
      <c r="AY355" s="1366"/>
      <c r="AZ355" s="1366"/>
      <c r="BA355" s="1366"/>
      <c r="BB355" s="1366"/>
      <c r="BC355" s="1366"/>
      <c r="BD355" s="1366"/>
      <c r="BE355" s="1366"/>
      <c r="BF355" s="1366"/>
      <c r="BG355" s="1366"/>
      <c r="BH355" s="1366"/>
      <c r="BI355" s="1366"/>
      <c r="BJ355" s="1366"/>
      <c r="BK355" s="1366"/>
      <c r="BL355" s="1366"/>
      <c r="BM355" s="1366"/>
      <c r="BN355" s="1366"/>
      <c r="BO355" s="1366"/>
      <c r="BP355" s="1366"/>
      <c r="BQ355" s="1366"/>
      <c r="BR355" s="1366"/>
      <c r="BS355" s="1366"/>
      <c r="BT355" s="1366"/>
      <c r="BU355" s="1366"/>
      <c r="BV355" s="1366"/>
      <c r="BW355" s="1366"/>
      <c r="BX355" s="1366"/>
      <c r="BY355" s="1366"/>
      <c r="BZ355" s="1366"/>
      <c r="CA355" s="1366"/>
      <c r="CB355" s="1366"/>
      <c r="CC355" s="1366"/>
      <c r="CD355" s="1366"/>
      <c r="CE355" s="1366"/>
      <c r="CF355" s="1366"/>
      <c r="CG355" s="1366"/>
      <c r="CH355" s="1366"/>
      <c r="CI355" s="1366"/>
      <c r="CJ355" s="1366"/>
      <c r="CK355" s="1366"/>
      <c r="CL355" s="1366"/>
      <c r="CM355" s="1366"/>
      <c r="CN355" s="1366"/>
      <c r="CO355" s="1366"/>
      <c r="CP355" s="1366"/>
      <c r="CQ355" s="1366"/>
      <c r="CR355" s="1366"/>
      <c r="CS355" s="1366"/>
      <c r="CT355" s="1366"/>
      <c r="CU355" s="1366"/>
      <c r="CV355" s="1366"/>
      <c r="CW355" s="1366"/>
      <c r="CX355" s="1366"/>
      <c r="CY355" s="1366"/>
      <c r="CZ355" s="1366"/>
      <c r="DA355" s="1366"/>
      <c r="DB355" s="1366"/>
      <c r="DC355" s="1366"/>
      <c r="DD355" s="1366"/>
      <c r="DE355" s="1366"/>
      <c r="DF355" s="1366"/>
      <c r="DG355" s="1366"/>
      <c r="DH355" s="1366"/>
      <c r="DI355" s="1366"/>
      <c r="DJ355" s="1366"/>
      <c r="DK355" s="1366"/>
      <c r="DL355" s="1366"/>
      <c r="DM355" s="1366"/>
      <c r="DN355" s="1366"/>
      <c r="DO355" s="1366"/>
      <c r="DP355" s="1366"/>
      <c r="DQ355" s="1366"/>
      <c r="DR355" s="1366"/>
      <c r="DS355" s="1366"/>
      <c r="DT355" s="1366"/>
      <c r="DU355" s="1366"/>
      <c r="DV355" s="1366"/>
    </row>
    <row r="356" spans="1:126" s="1367" customFormat="1" ht="30">
      <c r="A356" s="2494"/>
      <c r="B356" s="1653" t="s">
        <v>2575</v>
      </c>
      <c r="C356" s="1642" t="s">
        <v>47</v>
      </c>
      <c r="D356" s="1375" t="s">
        <v>2576</v>
      </c>
      <c r="E356" s="1364" t="s">
        <v>2097</v>
      </c>
      <c r="F356" s="1365" t="s">
        <v>2107</v>
      </c>
      <c r="G356" s="1185" t="s">
        <v>1796</v>
      </c>
      <c r="H356" s="1431">
        <f>((100000*'Equipment Results Matrix'!$R$872)+(100*'Equipment Results Matrix'!$R$873)+('Equipment Results Matrix'!$R$874*0.8)+'Equipment Results Matrix'!$R$875+'Equipment Results Matrix'!$R$877+'Equipment Results Matrix'!$R$881+'Equipment Results Matrix'!$T$879)*(1+'Equipment Results Matrix'!$T$881)</f>
        <v>5249.6343319384623</v>
      </c>
      <c r="I356" s="1371">
        <f>(0.0655*250)-0.3869</f>
        <v>15.988099999999999</v>
      </c>
      <c r="J356" s="1372">
        <f>'Labor Results Matrix'!$G$368*(1+'Labor Results Matrix'!$K$368)</f>
        <v>74.311749587775111</v>
      </c>
      <c r="K356" s="1372">
        <f>I356*J356</f>
        <v>1188.1036835843072</v>
      </c>
      <c r="L356" s="1372">
        <v>0</v>
      </c>
      <c r="M356" s="1372">
        <f>H356+K356</f>
        <v>6437.7380155227693</v>
      </c>
      <c r="N356" s="1455" t="s">
        <v>40</v>
      </c>
      <c r="O356" s="1361">
        <f>H356/250</f>
        <v>20.998537327753848</v>
      </c>
      <c r="P356" s="1371">
        <f>I356/250</f>
        <v>6.3952399999999993E-2</v>
      </c>
      <c r="Q356" s="1372">
        <f>K356/250</f>
        <v>4.7524147343372292</v>
      </c>
      <c r="R356" s="1372">
        <v>0</v>
      </c>
      <c r="S356" s="1432"/>
      <c r="T356" s="1372">
        <f>O356+Q356</f>
        <v>25.750952062091077</v>
      </c>
      <c r="U356" s="1417" t="s">
        <v>40</v>
      </c>
      <c r="V356" s="1461"/>
      <c r="W356" s="1366"/>
      <c r="X356" s="1366"/>
      <c r="Y356" s="1366"/>
      <c r="Z356" s="1366"/>
      <c r="AA356" s="1366"/>
      <c r="AB356" s="1366"/>
      <c r="AC356" s="1366"/>
      <c r="AD356" s="1366"/>
      <c r="AE356" s="1366"/>
      <c r="AF356" s="1366"/>
      <c r="AG356" s="1366"/>
      <c r="AH356" s="1366"/>
      <c r="AI356" s="1366"/>
      <c r="AJ356" s="1366"/>
      <c r="AK356" s="1366"/>
      <c r="AL356" s="1366"/>
      <c r="AM356" s="1366"/>
      <c r="AN356" s="1366"/>
      <c r="AO356" s="1366"/>
      <c r="AP356" s="1366"/>
      <c r="AQ356" s="1366"/>
      <c r="AR356" s="1366"/>
      <c r="AS356" s="1366"/>
      <c r="AT356" s="1366"/>
      <c r="AU356" s="1366"/>
      <c r="AV356" s="1366"/>
      <c r="AW356" s="1366"/>
      <c r="AX356" s="1366"/>
      <c r="AY356" s="1366"/>
      <c r="AZ356" s="1366"/>
      <c r="BA356" s="1366"/>
      <c r="BB356" s="1366"/>
      <c r="BC356" s="1366"/>
      <c r="BD356" s="1366"/>
      <c r="BE356" s="1366"/>
      <c r="BF356" s="1366"/>
      <c r="BG356" s="1366"/>
      <c r="BH356" s="1366"/>
      <c r="BI356" s="1366"/>
      <c r="BJ356" s="1366"/>
      <c r="BK356" s="1366"/>
      <c r="BL356" s="1366"/>
      <c r="BM356" s="1366"/>
      <c r="BN356" s="1366"/>
      <c r="BO356" s="1366"/>
      <c r="BP356" s="1366"/>
      <c r="BQ356" s="1366"/>
      <c r="BR356" s="1366"/>
      <c r="BS356" s="1366"/>
      <c r="BT356" s="1366"/>
      <c r="BU356" s="1366"/>
      <c r="BV356" s="1366"/>
      <c r="BW356" s="1366"/>
      <c r="BX356" s="1366"/>
      <c r="BY356" s="1366"/>
      <c r="BZ356" s="1366"/>
      <c r="CA356" s="1366"/>
      <c r="CB356" s="1366"/>
      <c r="CC356" s="1366"/>
      <c r="CD356" s="1366"/>
      <c r="CE356" s="1366"/>
      <c r="CF356" s="1366"/>
      <c r="CG356" s="1366"/>
      <c r="CH356" s="1366"/>
      <c r="CI356" s="1366"/>
      <c r="CJ356" s="1366"/>
      <c r="CK356" s="1366"/>
      <c r="CL356" s="1366"/>
      <c r="CM356" s="1366"/>
      <c r="CN356" s="1366"/>
      <c r="CO356" s="1366"/>
      <c r="CP356" s="1366"/>
      <c r="CQ356" s="1366"/>
      <c r="CR356" s="1366"/>
      <c r="CS356" s="1366"/>
      <c r="CT356" s="1366"/>
      <c r="CU356" s="1366"/>
      <c r="CV356" s="1366"/>
      <c r="CW356" s="1366"/>
      <c r="CX356" s="1366"/>
      <c r="CY356" s="1366"/>
      <c r="CZ356" s="1366"/>
      <c r="DA356" s="1366"/>
      <c r="DB356" s="1366"/>
      <c r="DC356" s="1366"/>
      <c r="DD356" s="1366"/>
      <c r="DE356" s="1366"/>
      <c r="DF356" s="1366"/>
      <c r="DG356" s="1366"/>
      <c r="DH356" s="1366"/>
      <c r="DI356" s="1366"/>
      <c r="DJ356" s="1366"/>
      <c r="DK356" s="1366"/>
      <c r="DL356" s="1366"/>
      <c r="DM356" s="1366"/>
      <c r="DN356" s="1366"/>
      <c r="DO356" s="1366"/>
      <c r="DP356" s="1366"/>
      <c r="DQ356" s="1366"/>
      <c r="DR356" s="1366"/>
      <c r="DS356" s="1366"/>
      <c r="DT356" s="1366"/>
      <c r="DU356" s="1366"/>
      <c r="DV356" s="1366"/>
    </row>
    <row r="357" spans="1:126" s="1367" customFormat="1" ht="30">
      <c r="A357" s="2494"/>
      <c r="B357" s="1659" t="s">
        <v>2575</v>
      </c>
      <c r="C357" s="1671" t="s">
        <v>49</v>
      </c>
      <c r="D357" s="1396" t="s">
        <v>2645</v>
      </c>
      <c r="E357" s="1376" t="s">
        <v>2097</v>
      </c>
      <c r="F357" s="1376" t="s">
        <v>2107</v>
      </c>
      <c r="G357" s="1377" t="s">
        <v>1796</v>
      </c>
      <c r="H357" s="1519">
        <f>((350*'Equipment Results Matrix'!$R$851)+(85*'Equipment Results Matrix'!$R$850)+'Equipment Results Matrix'!$R$852+'Equipment Results Matrix'!$T$857)*(1+'Equipment Results Matrix'!$T$859)</f>
        <v>2241.3539062500004</v>
      </c>
      <c r="I357" s="1419">
        <f t="shared" ref="I357" si="139">0.1395*8+3.4545</f>
        <v>4.5705</v>
      </c>
      <c r="J357" s="1420">
        <f>'Labor Results Matrix'!$G$346*(1+'Labor Results Matrix'!$K$346)</f>
        <v>81.419829983127514</v>
      </c>
      <c r="K357" s="1420">
        <f t="shared" ref="K357:K358" si="140">I357*J357</f>
        <v>372.12933293788433</v>
      </c>
      <c r="L357" s="1420">
        <v>0</v>
      </c>
      <c r="M357" s="1420">
        <f t="shared" ref="M357:M359" si="141">H357+K357</f>
        <v>2613.4832391878845</v>
      </c>
      <c r="N357" s="1520">
        <f>M357-$M$348</f>
        <v>-3824.2547763348848</v>
      </c>
      <c r="O357" s="1418">
        <f>H357/350</f>
        <v>6.4038683035714294</v>
      </c>
      <c r="P357" s="1419">
        <f>I357/350</f>
        <v>1.3058571428571428E-2</v>
      </c>
      <c r="Q357" s="1420">
        <f>K357/350</f>
        <v>1.0632266655368123</v>
      </c>
      <c r="R357" s="1420">
        <v>0</v>
      </c>
      <c r="S357" s="1420"/>
      <c r="T357" s="1420">
        <f t="shared" ref="T357" si="142">O357+Q357</f>
        <v>7.467094969108242</v>
      </c>
      <c r="U357" s="1420">
        <f>T357-$T$348</f>
        <v>-18.283857092982835</v>
      </c>
      <c r="V357" s="1465"/>
      <c r="W357" s="1366"/>
      <c r="X357" s="1366"/>
      <c r="Y357" s="1366"/>
      <c r="Z357" s="1366"/>
      <c r="AA357" s="1366"/>
      <c r="AB357" s="1366"/>
      <c r="AC357" s="1366"/>
      <c r="AD357" s="1366"/>
      <c r="AE357" s="1366"/>
      <c r="AF357" s="1366"/>
      <c r="AG357" s="1366"/>
      <c r="AH357" s="1366"/>
      <c r="AI357" s="1366"/>
      <c r="AJ357" s="1366"/>
      <c r="AK357" s="1366"/>
      <c r="AL357" s="1366"/>
      <c r="AM357" s="1366"/>
      <c r="AN357" s="1366"/>
      <c r="AO357" s="1366"/>
      <c r="AP357" s="1366"/>
      <c r="AQ357" s="1366"/>
      <c r="AR357" s="1366"/>
      <c r="AS357" s="1366"/>
      <c r="AT357" s="1366"/>
      <c r="AU357" s="1366"/>
      <c r="AV357" s="1366"/>
      <c r="AW357" s="1366"/>
      <c r="AX357" s="1366"/>
      <c r="AY357" s="1366"/>
      <c r="AZ357" s="1366"/>
      <c r="BA357" s="1366"/>
      <c r="BB357" s="1366"/>
      <c r="BC357" s="1366"/>
      <c r="BD357" s="1366"/>
      <c r="BE357" s="1366"/>
      <c r="BF357" s="1366"/>
      <c r="BG357" s="1366"/>
      <c r="BH357" s="1366"/>
      <c r="BI357" s="1366"/>
      <c r="BJ357" s="1366"/>
      <c r="BK357" s="1366"/>
      <c r="BL357" s="1366"/>
      <c r="BM357" s="1366"/>
      <c r="BN357" s="1366"/>
      <c r="BO357" s="1366"/>
      <c r="BP357" s="1366"/>
      <c r="BQ357" s="1366"/>
      <c r="BR357" s="1366"/>
      <c r="BS357" s="1366"/>
      <c r="BT357" s="1366"/>
      <c r="BU357" s="1366"/>
      <c r="BV357" s="1366"/>
      <c r="BW357" s="1366"/>
      <c r="BX357" s="1366"/>
      <c r="BY357" s="1366"/>
      <c r="BZ357" s="1366"/>
      <c r="CA357" s="1366"/>
      <c r="CB357" s="1366"/>
      <c r="CC357" s="1366"/>
      <c r="CD357" s="1366"/>
      <c r="CE357" s="1366"/>
      <c r="CF357" s="1366"/>
      <c r="CG357" s="1366"/>
      <c r="CH357" s="1366"/>
      <c r="CI357" s="1366"/>
      <c r="CJ357" s="1366"/>
      <c r="CK357" s="1366"/>
      <c r="CL357" s="1366"/>
      <c r="CM357" s="1366"/>
      <c r="CN357" s="1366"/>
      <c r="CO357" s="1366"/>
      <c r="CP357" s="1366"/>
      <c r="CQ357" s="1366"/>
      <c r="CR357" s="1366"/>
      <c r="CS357" s="1366"/>
      <c r="CT357" s="1366"/>
      <c r="CU357" s="1366"/>
      <c r="CV357" s="1366"/>
      <c r="CW357" s="1366"/>
      <c r="CX357" s="1366"/>
      <c r="CY357" s="1366"/>
      <c r="CZ357" s="1366"/>
      <c r="DA357" s="1366"/>
      <c r="DB357" s="1366"/>
      <c r="DC357" s="1366"/>
      <c r="DD357" s="1366"/>
      <c r="DE357" s="1366"/>
      <c r="DF357" s="1366"/>
      <c r="DG357" s="1366"/>
      <c r="DH357" s="1366"/>
      <c r="DI357" s="1366"/>
      <c r="DJ357" s="1366"/>
      <c r="DK357" s="1366"/>
      <c r="DL357" s="1366"/>
      <c r="DM357" s="1366"/>
      <c r="DN357" s="1366"/>
      <c r="DO357" s="1366"/>
      <c r="DP357" s="1366"/>
      <c r="DQ357" s="1366"/>
      <c r="DR357" s="1366"/>
      <c r="DS357" s="1366"/>
      <c r="DT357" s="1366"/>
      <c r="DU357" s="1366"/>
      <c r="DV357" s="1366"/>
    </row>
    <row r="358" spans="1:126" s="1367" customFormat="1">
      <c r="A358" s="2494"/>
      <c r="B358" s="1657" t="s">
        <v>2649</v>
      </c>
      <c r="C358" s="658" t="s">
        <v>47</v>
      </c>
      <c r="D358" s="1516" t="s">
        <v>243</v>
      </c>
      <c r="E358" s="1364" t="s">
        <v>2097</v>
      </c>
      <c r="F358" s="1365" t="s">
        <v>2107</v>
      </c>
      <c r="G358" s="1185" t="s">
        <v>1839</v>
      </c>
      <c r="H358" s="1521">
        <f>'Equipment Results Matrix'!Y850</f>
        <v>565.0487816359996</v>
      </c>
      <c r="I358" s="1434">
        <f>0.0315*40+2.9443</f>
        <v>4.2042999999999999</v>
      </c>
      <c r="J358" s="1388">
        <f>'Labor Results Matrix'!$G$314*(1+'Labor Results Matrix'!$K$314)</f>
        <v>78.188884348876428</v>
      </c>
      <c r="K358" s="1372">
        <f t="shared" si="140"/>
        <v>328.72952646798115</v>
      </c>
      <c r="L358" s="1372">
        <v>0</v>
      </c>
      <c r="M358" s="1372">
        <f t="shared" si="141"/>
        <v>893.77830810398075</v>
      </c>
      <c r="N358" s="1455" t="s">
        <v>40</v>
      </c>
      <c r="O358" s="1522"/>
      <c r="P358" s="1450"/>
      <c r="Q358" s="1432"/>
      <c r="R358" s="1432"/>
      <c r="S358" s="1432"/>
      <c r="T358" s="1432"/>
      <c r="U358" s="1432"/>
      <c r="V358" s="1461"/>
      <c r="W358" s="1366"/>
      <c r="X358" s="1366"/>
      <c r="Y358" s="1366"/>
      <c r="Z358" s="1366"/>
      <c r="AA358" s="1366"/>
      <c r="AB358" s="1366"/>
      <c r="AC358" s="1366"/>
      <c r="AD358" s="1366"/>
      <c r="AE358" s="1366"/>
      <c r="AF358" s="1366"/>
      <c r="AG358" s="1366"/>
      <c r="AH358" s="1366"/>
      <c r="AI358" s="1366"/>
      <c r="AJ358" s="1366"/>
      <c r="AK358" s="1366"/>
      <c r="AL358" s="1366"/>
      <c r="AM358" s="1366"/>
      <c r="AN358" s="1366"/>
      <c r="AO358" s="1366"/>
      <c r="AP358" s="1366"/>
      <c r="AQ358" s="1366"/>
      <c r="AR358" s="1366"/>
      <c r="AS358" s="1366"/>
      <c r="AT358" s="1366"/>
      <c r="AU358" s="1366"/>
      <c r="AV358" s="1366"/>
      <c r="AW358" s="1366"/>
      <c r="AX358" s="1366"/>
      <c r="AY358" s="1366"/>
      <c r="AZ358" s="1366"/>
      <c r="BA358" s="1366"/>
      <c r="BB358" s="1366"/>
      <c r="BC358" s="1366"/>
      <c r="BD358" s="1366"/>
      <c r="BE358" s="1366"/>
      <c r="BF358" s="1366"/>
      <c r="BG358" s="1366"/>
      <c r="BH358" s="1366"/>
      <c r="BI358" s="1366"/>
      <c r="BJ358" s="1366"/>
      <c r="BK358" s="1366"/>
      <c r="BL358" s="1366"/>
      <c r="BM358" s="1366"/>
      <c r="BN358" s="1366"/>
      <c r="BO358" s="1366"/>
      <c r="BP358" s="1366"/>
      <c r="BQ358" s="1366"/>
      <c r="BR358" s="1366"/>
      <c r="BS358" s="1366"/>
      <c r="BT358" s="1366"/>
      <c r="BU358" s="1366"/>
      <c r="BV358" s="1366"/>
      <c r="BW358" s="1366"/>
      <c r="BX358" s="1366"/>
      <c r="BY358" s="1366"/>
      <c r="BZ358" s="1366"/>
      <c r="CA358" s="1366"/>
      <c r="CB358" s="1366"/>
      <c r="CC358" s="1366"/>
      <c r="CD358" s="1366"/>
      <c r="CE358" s="1366"/>
      <c r="CF358" s="1366"/>
      <c r="CG358" s="1366"/>
      <c r="CH358" s="1366"/>
      <c r="CI358" s="1366"/>
      <c r="CJ358" s="1366"/>
      <c r="CK358" s="1366"/>
      <c r="CL358" s="1366"/>
      <c r="CM358" s="1366"/>
      <c r="CN358" s="1366"/>
      <c r="CO358" s="1366"/>
      <c r="CP358" s="1366"/>
      <c r="CQ358" s="1366"/>
      <c r="CR358" s="1366"/>
      <c r="CS358" s="1366"/>
      <c r="CT358" s="1366"/>
      <c r="CU358" s="1366"/>
      <c r="CV358" s="1366"/>
      <c r="CW358" s="1366"/>
      <c r="CX358" s="1366"/>
      <c r="CY358" s="1366"/>
      <c r="CZ358" s="1366"/>
      <c r="DA358" s="1366"/>
      <c r="DB358" s="1366"/>
      <c r="DC358" s="1366"/>
      <c r="DD358" s="1366"/>
      <c r="DE358" s="1366"/>
      <c r="DF358" s="1366"/>
      <c r="DG358" s="1366"/>
      <c r="DH358" s="1366"/>
      <c r="DI358" s="1366"/>
      <c r="DJ358" s="1366"/>
      <c r="DK358" s="1366"/>
      <c r="DL358" s="1366"/>
      <c r="DM358" s="1366"/>
      <c r="DN358" s="1366"/>
      <c r="DO358" s="1366"/>
      <c r="DP358" s="1366"/>
      <c r="DQ358" s="1366"/>
      <c r="DR358" s="1366"/>
      <c r="DS358" s="1366"/>
      <c r="DT358" s="1366"/>
      <c r="DU358" s="1366"/>
      <c r="DV358" s="1366"/>
    </row>
    <row r="359" spans="1:126" s="1367" customFormat="1" ht="30.75" thickBot="1">
      <c r="A359" s="2495"/>
      <c r="B359" s="1657" t="s">
        <v>2649</v>
      </c>
      <c r="C359" s="1641" t="s">
        <v>49</v>
      </c>
      <c r="D359" s="1516" t="s">
        <v>2650</v>
      </c>
      <c r="E359" s="1364" t="s">
        <v>2097</v>
      </c>
      <c r="F359" s="1365" t="s">
        <v>2107</v>
      </c>
      <c r="G359" s="1185" t="s">
        <v>1839</v>
      </c>
      <c r="H359" s="1521">
        <f>((90*'Equipment Results Matrix'!$R$850)+(120*'Equipment Results Matrix'!$R$851)+'Equipment Results Matrix'!$R$852+'Equipment Results Matrix'!$T$857)*(1+'Equipment Results Matrix'!$T$859)</f>
        <v>733.10390624999991</v>
      </c>
      <c r="I359" s="1371">
        <f>0.1395*4+3.4545</f>
        <v>4.0125000000000002</v>
      </c>
      <c r="J359" s="1372">
        <f>'Labor Results Matrix'!$G$346*(1+'Labor Results Matrix'!$K$346)</f>
        <v>81.419829983127514</v>
      </c>
      <c r="K359" s="1372">
        <f>I359*J359</f>
        <v>326.69706780729916</v>
      </c>
      <c r="L359" s="1372">
        <v>0</v>
      </c>
      <c r="M359" s="1372">
        <f t="shared" si="141"/>
        <v>1059.8009740572991</v>
      </c>
      <c r="N359" s="1523">
        <f>M359-M358</f>
        <v>166.02266595331832</v>
      </c>
      <c r="O359" s="1522"/>
      <c r="P359" s="1450"/>
      <c r="Q359" s="1432"/>
      <c r="R359" s="1432"/>
      <c r="S359" s="1432"/>
      <c r="T359" s="1432"/>
      <c r="U359" s="1432"/>
      <c r="V359" s="1461"/>
      <c r="W359" s="1366"/>
      <c r="X359" s="1366"/>
      <c r="Y359" s="1366"/>
      <c r="Z359" s="1366"/>
      <c r="AA359" s="1366"/>
      <c r="AB359" s="1366"/>
      <c r="AC359" s="1366"/>
      <c r="AD359" s="1366"/>
      <c r="AE359" s="1366"/>
      <c r="AF359" s="1366"/>
      <c r="AG359" s="1366"/>
      <c r="AH359" s="1366"/>
      <c r="AI359" s="1366"/>
      <c r="AJ359" s="1366"/>
      <c r="AK359" s="1366"/>
      <c r="AL359" s="1366"/>
      <c r="AM359" s="1366"/>
      <c r="AN359" s="1366"/>
      <c r="AO359" s="1366"/>
      <c r="AP359" s="1366"/>
      <c r="AQ359" s="1366"/>
      <c r="AR359" s="1366"/>
      <c r="AS359" s="1366"/>
      <c r="AT359" s="1366"/>
      <c r="AU359" s="1366"/>
      <c r="AV359" s="1366"/>
      <c r="AW359" s="1366"/>
      <c r="AX359" s="1366"/>
      <c r="AY359" s="1366"/>
      <c r="AZ359" s="1366"/>
      <c r="BA359" s="1366"/>
      <c r="BB359" s="1366"/>
      <c r="BC359" s="1366"/>
      <c r="BD359" s="1366"/>
      <c r="BE359" s="1366"/>
      <c r="BF359" s="1366"/>
      <c r="BG359" s="1366"/>
      <c r="BH359" s="1366"/>
      <c r="BI359" s="1366"/>
      <c r="BJ359" s="1366"/>
      <c r="BK359" s="1366"/>
      <c r="BL359" s="1366"/>
      <c r="BM359" s="1366"/>
      <c r="BN359" s="1366"/>
      <c r="BO359" s="1366"/>
      <c r="BP359" s="1366"/>
      <c r="BQ359" s="1366"/>
      <c r="BR359" s="1366"/>
      <c r="BS359" s="1366"/>
      <c r="BT359" s="1366"/>
      <c r="BU359" s="1366"/>
      <c r="BV359" s="1366"/>
      <c r="BW359" s="1366"/>
      <c r="BX359" s="1366"/>
      <c r="BY359" s="1366"/>
      <c r="BZ359" s="1366"/>
      <c r="CA359" s="1366"/>
      <c r="CB359" s="1366"/>
      <c r="CC359" s="1366"/>
      <c r="CD359" s="1366"/>
      <c r="CE359" s="1366"/>
      <c r="CF359" s="1366"/>
      <c r="CG359" s="1366"/>
      <c r="CH359" s="1366"/>
      <c r="CI359" s="1366"/>
      <c r="CJ359" s="1366"/>
      <c r="CK359" s="1366"/>
      <c r="CL359" s="1366"/>
      <c r="CM359" s="1366"/>
      <c r="CN359" s="1366"/>
      <c r="CO359" s="1366"/>
      <c r="CP359" s="1366"/>
      <c r="CQ359" s="1366"/>
      <c r="CR359" s="1366"/>
      <c r="CS359" s="1366"/>
      <c r="CT359" s="1366"/>
      <c r="CU359" s="1366"/>
      <c r="CV359" s="1366"/>
      <c r="CW359" s="1366"/>
      <c r="CX359" s="1366"/>
      <c r="CY359" s="1366"/>
      <c r="CZ359" s="1366"/>
      <c r="DA359" s="1366"/>
      <c r="DB359" s="1366"/>
      <c r="DC359" s="1366"/>
      <c r="DD359" s="1366"/>
      <c r="DE359" s="1366"/>
      <c r="DF359" s="1366"/>
      <c r="DG359" s="1366"/>
      <c r="DH359" s="1366"/>
      <c r="DI359" s="1366"/>
      <c r="DJ359" s="1366"/>
      <c r="DK359" s="1366"/>
      <c r="DL359" s="1366"/>
      <c r="DM359" s="1366"/>
      <c r="DN359" s="1366"/>
      <c r="DO359" s="1366"/>
      <c r="DP359" s="1366"/>
      <c r="DQ359" s="1366"/>
      <c r="DR359" s="1366"/>
      <c r="DS359" s="1366"/>
      <c r="DT359" s="1366"/>
      <c r="DU359" s="1366"/>
      <c r="DV359" s="1366"/>
    </row>
    <row r="360" spans="1:126" s="1479" customFormat="1" ht="19.5" thickBot="1">
      <c r="A360" s="695"/>
      <c r="B360" s="1652"/>
      <c r="C360" s="1652"/>
      <c r="D360" s="1318"/>
      <c r="E360" s="1318"/>
      <c r="F360" s="1318"/>
      <c r="G360" s="1318"/>
      <c r="H360" s="1389"/>
      <c r="I360" s="1446"/>
      <c r="J360" s="1390"/>
      <c r="K360" s="1389"/>
      <c r="L360" s="1532"/>
      <c r="M360" s="1389"/>
      <c r="N360" s="1497"/>
      <c r="O360" s="1386"/>
      <c r="P360" s="1387"/>
      <c r="Q360" s="1387"/>
      <c r="R360" s="1445"/>
      <c r="S360" s="1445"/>
      <c r="T360" s="1492"/>
      <c r="U360" s="1492"/>
      <c r="V360" s="1491"/>
      <c r="W360" s="1490"/>
      <c r="X360" s="1490"/>
      <c r="Y360" s="327"/>
      <c r="Z360" s="327"/>
      <c r="AA360" s="327"/>
      <c r="AB360" s="1490"/>
      <c r="AC360" s="1490"/>
      <c r="AD360" s="1490"/>
      <c r="AE360" s="1490"/>
      <c r="AF360" s="327"/>
      <c r="AG360" s="327"/>
      <c r="AH360" s="327"/>
      <c r="AI360" s="327"/>
      <c r="AJ360" s="327"/>
      <c r="AK360" s="1478"/>
      <c r="AL360" s="1478"/>
      <c r="AM360" s="1478"/>
      <c r="AN360" s="1478"/>
      <c r="AO360" s="1478"/>
      <c r="AP360" s="1478"/>
      <c r="AQ360" s="1478"/>
      <c r="AR360" s="1478"/>
      <c r="AS360" s="1478"/>
      <c r="AT360" s="1478"/>
      <c r="AU360" s="1478"/>
      <c r="AV360" s="1478"/>
      <c r="AW360" s="1478"/>
      <c r="AX360" s="1478"/>
      <c r="AY360" s="1478"/>
      <c r="AZ360" s="1478"/>
      <c r="BA360" s="1478"/>
      <c r="BB360" s="1478"/>
      <c r="BC360" s="1478"/>
      <c r="BD360" s="1478"/>
      <c r="BE360" s="1478"/>
      <c r="BF360" s="1478"/>
      <c r="BG360" s="1478"/>
      <c r="BH360" s="1478"/>
      <c r="BI360" s="1478"/>
      <c r="BJ360" s="1478"/>
      <c r="BK360" s="327"/>
      <c r="BL360" s="327"/>
      <c r="BM360" s="327"/>
      <c r="BN360" s="327"/>
      <c r="BO360" s="327"/>
      <c r="BP360" s="327"/>
      <c r="BQ360" s="327"/>
      <c r="BR360" s="327"/>
      <c r="BS360" s="327"/>
      <c r="BT360" s="327"/>
      <c r="BU360" s="327"/>
      <c r="BV360" s="327"/>
      <c r="BW360" s="327"/>
      <c r="BX360" s="327"/>
      <c r="BY360" s="327"/>
      <c r="BZ360" s="327"/>
      <c r="CA360" s="327"/>
      <c r="CB360" s="327"/>
      <c r="CC360" s="327"/>
      <c r="CD360" s="327"/>
      <c r="CE360" s="327"/>
      <c r="CF360" s="327"/>
      <c r="CG360" s="327"/>
      <c r="CH360" s="327"/>
      <c r="CI360" s="327"/>
      <c r="CJ360" s="327"/>
      <c r="CK360" s="327"/>
      <c r="CL360" s="327"/>
      <c r="CM360" s="327"/>
      <c r="CN360" s="327"/>
      <c r="CO360" s="327"/>
      <c r="CP360" s="327"/>
      <c r="CQ360" s="327"/>
      <c r="CR360" s="327"/>
      <c r="CS360" s="327"/>
      <c r="CT360" s="327"/>
      <c r="CU360" s="327"/>
      <c r="CV360" s="327"/>
      <c r="CW360" s="327"/>
      <c r="CX360" s="327"/>
      <c r="CY360" s="327"/>
      <c r="CZ360" s="327"/>
      <c r="DA360" s="327"/>
      <c r="DB360" s="327"/>
      <c r="DC360" s="327"/>
      <c r="DD360" s="327"/>
      <c r="DE360" s="327"/>
      <c r="DF360" s="327"/>
      <c r="DG360" s="327"/>
      <c r="DH360" s="327"/>
      <c r="DI360" s="327"/>
      <c r="DJ360" s="327"/>
      <c r="DK360" s="327"/>
      <c r="DL360" s="327"/>
      <c r="DM360" s="327"/>
      <c r="DN360" s="327"/>
      <c r="DO360" s="327"/>
      <c r="DP360" s="327"/>
      <c r="DQ360" s="327"/>
      <c r="DR360" s="327"/>
      <c r="DS360" s="327"/>
      <c r="DT360" s="327"/>
      <c r="DU360" s="327"/>
      <c r="DV360" s="327"/>
    </row>
    <row r="361" spans="1:126" s="1367" customFormat="1" ht="30">
      <c r="A361" s="2512" t="s">
        <v>1358</v>
      </c>
      <c r="B361" s="1656" t="s">
        <v>2471</v>
      </c>
      <c r="C361" s="1642" t="s">
        <v>47</v>
      </c>
      <c r="D361" s="1364" t="s">
        <v>2476</v>
      </c>
      <c r="E361" s="1364" t="s">
        <v>2097</v>
      </c>
      <c r="F361" s="1364" t="s">
        <v>2438</v>
      </c>
      <c r="G361" s="1185" t="s">
        <v>1839</v>
      </c>
      <c r="H361" s="1361">
        <f>((30*'Equipment Results Matrix'!$R$819)+(0.61*'Equipment Results Matrix'!$R$818)+'Equipment Results Matrix'!$R$820+'Equipment Results Matrix'!$R$822+'Equipment Results Matrix'!$T$825)*(1+'Equipment Results Matrix'!$T$827)</f>
        <v>685.73607962548124</v>
      </c>
      <c r="I361" s="1371">
        <f>0.0315*30+2.9443</f>
        <v>3.8893000000000004</v>
      </c>
      <c r="J361" s="1372">
        <f>'Labor Results Matrix'!$G$314*(1+'Labor Results Matrix'!$K$314)</f>
        <v>78.188884348876428</v>
      </c>
      <c r="K361" s="1372">
        <f>I361*J361</f>
        <v>304.1000278980851</v>
      </c>
      <c r="L361" s="1372">
        <v>0</v>
      </c>
      <c r="M361" s="1372">
        <f>H361+K361</f>
        <v>989.8361075235664</v>
      </c>
      <c r="N361" s="1455" t="s">
        <v>40</v>
      </c>
      <c r="O361" s="1429"/>
      <c r="P361" s="1430"/>
      <c r="Q361" s="1430"/>
      <c r="R361" s="1430"/>
      <c r="S361" s="1430"/>
      <c r="T361" s="1430"/>
      <c r="U361" s="1430"/>
      <c r="V361" s="1679"/>
      <c r="W361" s="1366"/>
      <c r="X361" s="1366"/>
      <c r="Y361" s="1366"/>
      <c r="Z361" s="1366"/>
      <c r="AA361" s="1366"/>
      <c r="AB361" s="1366"/>
      <c r="AC361" s="1366"/>
      <c r="AD361" s="1366"/>
      <c r="AE361" s="1366"/>
      <c r="AF361" s="1366"/>
      <c r="AG361" s="1366"/>
      <c r="AH361" s="1366"/>
      <c r="AI361" s="1366"/>
      <c r="AJ361" s="1366"/>
      <c r="AK361" s="1366"/>
      <c r="AL361" s="1366"/>
      <c r="AM361" s="1366"/>
      <c r="AN361" s="1366"/>
      <c r="AO361" s="1366"/>
      <c r="AP361" s="1366"/>
      <c r="AQ361" s="1366"/>
      <c r="AR361" s="1366"/>
      <c r="AS361" s="1366"/>
      <c r="AT361" s="1366"/>
      <c r="AU361" s="1366"/>
      <c r="AV361" s="1366"/>
      <c r="AW361" s="1366"/>
      <c r="AX361" s="1366"/>
      <c r="AY361" s="1366"/>
      <c r="AZ361" s="1366"/>
      <c r="BA361" s="1366"/>
      <c r="BB361" s="1366"/>
      <c r="BC361" s="1366"/>
      <c r="BD361" s="1366"/>
      <c r="BE361" s="1366"/>
      <c r="BF361" s="1366"/>
      <c r="BG361" s="1366"/>
      <c r="BH361" s="1366"/>
      <c r="BI361" s="1366"/>
      <c r="BJ361" s="1366"/>
      <c r="BK361" s="1366"/>
      <c r="BL361" s="1366"/>
      <c r="BM361" s="1366"/>
      <c r="BN361" s="1366"/>
      <c r="BO361" s="1366"/>
      <c r="BP361" s="1366"/>
      <c r="BQ361" s="1366"/>
      <c r="BR361" s="1366"/>
      <c r="BS361" s="1366"/>
      <c r="BT361" s="1366"/>
      <c r="BU361" s="1366"/>
      <c r="BV361" s="1366"/>
      <c r="BW361" s="1366"/>
      <c r="BX361" s="1366"/>
      <c r="BY361" s="1366"/>
      <c r="BZ361" s="1366"/>
      <c r="CA361" s="1366"/>
      <c r="CB361" s="1366"/>
      <c r="CC361" s="1366"/>
      <c r="CD361" s="1366"/>
      <c r="CE361" s="1366"/>
      <c r="CF361" s="1366"/>
      <c r="CG361" s="1366"/>
      <c r="CH361" s="1366"/>
      <c r="CI361" s="1366"/>
      <c r="CJ361" s="1366"/>
      <c r="CK361" s="1366"/>
      <c r="CL361" s="1366"/>
      <c r="CM361" s="1366"/>
      <c r="CN361" s="1366"/>
      <c r="CO361" s="1366"/>
      <c r="CP361" s="1366"/>
      <c r="CQ361" s="1366"/>
      <c r="CR361" s="1366"/>
      <c r="CS361" s="1366"/>
      <c r="CT361" s="1366"/>
      <c r="CU361" s="1366"/>
      <c r="CV361" s="1366"/>
      <c r="CW361" s="1366"/>
      <c r="CX361" s="1366"/>
      <c r="CY361" s="1366"/>
      <c r="CZ361" s="1366"/>
      <c r="DA361" s="1366"/>
      <c r="DB361" s="1366"/>
      <c r="DC361" s="1366"/>
      <c r="DD361" s="1366"/>
      <c r="DE361" s="1366"/>
      <c r="DF361" s="1366"/>
      <c r="DG361" s="1366"/>
      <c r="DH361" s="1366"/>
      <c r="DI361" s="1366"/>
      <c r="DJ361" s="1366"/>
      <c r="DK361" s="1366"/>
      <c r="DL361" s="1366"/>
      <c r="DM361" s="1366"/>
      <c r="DN361" s="1366"/>
      <c r="DO361" s="1366"/>
      <c r="DP361" s="1366"/>
      <c r="DQ361" s="1366"/>
      <c r="DR361" s="1366"/>
      <c r="DS361" s="1366"/>
      <c r="DT361" s="1366"/>
      <c r="DU361" s="1366"/>
      <c r="DV361" s="1366"/>
    </row>
    <row r="362" spans="1:126" s="1367" customFormat="1">
      <c r="A362" s="2494"/>
      <c r="B362" s="1653">
        <v>356</v>
      </c>
      <c r="C362" s="1642" t="s">
        <v>49</v>
      </c>
      <c r="D362" s="1364" t="s">
        <v>2455</v>
      </c>
      <c r="E362" s="1364" t="s">
        <v>2097</v>
      </c>
      <c r="F362" s="1364" t="s">
        <v>2108</v>
      </c>
      <c r="G362" s="1185" t="s">
        <v>1839</v>
      </c>
      <c r="H362" s="1361">
        <f>((30*'Equipment Results Matrix'!$R$819)+(0.62*'Equipment Results Matrix'!$R$818)+'Equipment Results Matrix'!$R$820+'Equipment Results Matrix'!$R$822+'Equipment Results Matrix'!$T$825)*(1+'Equipment Results Matrix'!$T$827)</f>
        <v>712.55990087948101</v>
      </c>
      <c r="I362" s="1371">
        <f t="shared" ref="I362:I367" si="143">0.0315*30+2.9443</f>
        <v>3.8893000000000004</v>
      </c>
      <c r="J362" s="1372">
        <f>'Labor Results Matrix'!$G$314*(1+'Labor Results Matrix'!$K$314)</f>
        <v>78.188884348876428</v>
      </c>
      <c r="K362" s="1372">
        <f t="shared" ref="K362:K395" si="144">I362*J362</f>
        <v>304.1000278980851</v>
      </c>
      <c r="L362" s="1372">
        <v>0</v>
      </c>
      <c r="M362" s="1372">
        <f t="shared" ref="M362:M395" si="145">H362+K362</f>
        <v>1016.6599287775662</v>
      </c>
      <c r="N362" s="1458">
        <f t="shared" ref="N362:N367" si="146">M362-$M$361</f>
        <v>26.823821253999768</v>
      </c>
      <c r="O362" s="1429"/>
      <c r="P362" s="1430"/>
      <c r="Q362" s="1430"/>
      <c r="R362" s="1430"/>
      <c r="S362" s="1430"/>
      <c r="T362" s="1430"/>
      <c r="U362" s="1430"/>
      <c r="V362" s="1679"/>
      <c r="W362" s="1366"/>
      <c r="X362" s="1366"/>
      <c r="Y362" s="1366"/>
      <c r="Z362" s="1366"/>
      <c r="AA362" s="1366"/>
      <c r="AB362" s="1366"/>
      <c r="AC362" s="1366"/>
      <c r="AD362" s="1366"/>
      <c r="AE362" s="1366"/>
      <c r="AF362" s="1366"/>
      <c r="AG362" s="1366"/>
      <c r="AH362" s="1366"/>
      <c r="AI362" s="1366"/>
      <c r="AJ362" s="1366"/>
      <c r="AK362" s="1366"/>
      <c r="AL362" s="1366"/>
      <c r="AM362" s="1366"/>
      <c r="AN362" s="1366"/>
      <c r="AO362" s="1366"/>
      <c r="AP362" s="1366"/>
      <c r="AQ362" s="1366"/>
      <c r="AR362" s="1366"/>
      <c r="AS362" s="1366"/>
      <c r="AT362" s="1366"/>
      <c r="AU362" s="1366"/>
      <c r="AV362" s="1366"/>
      <c r="AW362" s="1366"/>
      <c r="AX362" s="1366"/>
      <c r="AY362" s="1366"/>
      <c r="AZ362" s="1366"/>
      <c r="BA362" s="1366"/>
      <c r="BB362" s="1366"/>
      <c r="BC362" s="1366"/>
      <c r="BD362" s="1366"/>
      <c r="BE362" s="1366"/>
      <c r="BF362" s="1366"/>
      <c r="BG362" s="1366"/>
      <c r="BH362" s="1366"/>
      <c r="BI362" s="1366"/>
      <c r="BJ362" s="1366"/>
      <c r="BK362" s="1366"/>
      <c r="BL362" s="1366"/>
      <c r="BM362" s="1366"/>
      <c r="BN362" s="1366"/>
      <c r="BO362" s="1366"/>
      <c r="BP362" s="1366"/>
      <c r="BQ362" s="1366"/>
      <c r="BR362" s="1366"/>
      <c r="BS362" s="1366"/>
      <c r="BT362" s="1366"/>
      <c r="BU362" s="1366"/>
      <c r="BV362" s="1366"/>
      <c r="BW362" s="1366"/>
      <c r="BX362" s="1366"/>
      <c r="BY362" s="1366"/>
      <c r="BZ362" s="1366"/>
      <c r="CA362" s="1366"/>
      <c r="CB362" s="1366"/>
      <c r="CC362" s="1366"/>
      <c r="CD362" s="1366"/>
      <c r="CE362" s="1366"/>
      <c r="CF362" s="1366"/>
      <c r="CG362" s="1366"/>
      <c r="CH362" s="1366"/>
      <c r="CI362" s="1366"/>
      <c r="CJ362" s="1366"/>
      <c r="CK362" s="1366"/>
      <c r="CL362" s="1366"/>
      <c r="CM362" s="1366"/>
      <c r="CN362" s="1366"/>
      <c r="CO362" s="1366"/>
      <c r="CP362" s="1366"/>
      <c r="CQ362" s="1366"/>
      <c r="CR362" s="1366"/>
      <c r="CS362" s="1366"/>
      <c r="CT362" s="1366"/>
      <c r="CU362" s="1366"/>
      <c r="CV362" s="1366"/>
      <c r="CW362" s="1366"/>
      <c r="CX362" s="1366"/>
      <c r="CY362" s="1366"/>
      <c r="CZ362" s="1366"/>
      <c r="DA362" s="1366"/>
      <c r="DB362" s="1366"/>
      <c r="DC362" s="1366"/>
      <c r="DD362" s="1366"/>
      <c r="DE362" s="1366"/>
      <c r="DF362" s="1366"/>
      <c r="DG362" s="1366"/>
      <c r="DH362" s="1366"/>
      <c r="DI362" s="1366"/>
      <c r="DJ362" s="1366"/>
      <c r="DK362" s="1366"/>
      <c r="DL362" s="1366"/>
      <c r="DM362" s="1366"/>
      <c r="DN362" s="1366"/>
      <c r="DO362" s="1366"/>
      <c r="DP362" s="1366"/>
      <c r="DQ362" s="1366"/>
      <c r="DR362" s="1366"/>
      <c r="DS362" s="1366"/>
      <c r="DT362" s="1366"/>
      <c r="DU362" s="1366"/>
      <c r="DV362" s="1366"/>
    </row>
    <row r="363" spans="1:126" s="1367" customFormat="1">
      <c r="A363" s="2494"/>
      <c r="B363" s="1653">
        <v>377</v>
      </c>
      <c r="C363" s="1642" t="s">
        <v>49</v>
      </c>
      <c r="D363" s="1364" t="s">
        <v>239</v>
      </c>
      <c r="E363" s="1364" t="s">
        <v>2097</v>
      </c>
      <c r="F363" s="1364" t="s">
        <v>2107</v>
      </c>
      <c r="G363" s="1185" t="s">
        <v>1839</v>
      </c>
      <c r="H363" s="1361">
        <f>((30*'Equipment Results Matrix'!$R$819)+(0.62*'Equipment Results Matrix'!$R$818)+'Equipment Results Matrix'!$R$820+'Equipment Results Matrix'!$R$822+'Equipment Results Matrix'!$T$825)*(1+'Equipment Results Matrix'!$T$827)</f>
        <v>712.55990087948101</v>
      </c>
      <c r="I363" s="1371">
        <f t="shared" si="143"/>
        <v>3.8893000000000004</v>
      </c>
      <c r="J363" s="1372">
        <f>'Labor Results Matrix'!$G$314*(1+'Labor Results Matrix'!$K$314)</f>
        <v>78.188884348876428</v>
      </c>
      <c r="K363" s="1372">
        <f t="shared" si="144"/>
        <v>304.1000278980851</v>
      </c>
      <c r="L363" s="1372">
        <v>0</v>
      </c>
      <c r="M363" s="1372">
        <f t="shared" si="145"/>
        <v>1016.6599287775662</v>
      </c>
      <c r="N363" s="1458">
        <f t="shared" si="146"/>
        <v>26.823821253999768</v>
      </c>
      <c r="O363" s="1429"/>
      <c r="P363" s="1430"/>
      <c r="Q363" s="1430"/>
      <c r="R363" s="1430"/>
      <c r="S363" s="1430"/>
      <c r="T363" s="1430"/>
      <c r="U363" s="1430"/>
      <c r="V363" s="1679"/>
      <c r="W363" s="1366"/>
      <c r="X363" s="1366"/>
      <c r="Y363" s="1366"/>
      <c r="Z363" s="1366"/>
      <c r="AA363" s="1366"/>
      <c r="AB363" s="1366"/>
      <c r="AC363" s="1366"/>
      <c r="AD363" s="1366"/>
      <c r="AE363" s="1366"/>
      <c r="AF363" s="1366"/>
      <c r="AG363" s="1366"/>
      <c r="AH363" s="1366"/>
      <c r="AI363" s="1366"/>
      <c r="AJ363" s="1366"/>
      <c r="AK363" s="1366"/>
      <c r="AL363" s="1366"/>
      <c r="AM363" s="1366"/>
      <c r="AN363" s="1366"/>
      <c r="AO363" s="1366"/>
      <c r="AP363" s="1366"/>
      <c r="AQ363" s="1366"/>
      <c r="AR363" s="1366"/>
      <c r="AS363" s="1366"/>
      <c r="AT363" s="1366"/>
      <c r="AU363" s="1366"/>
      <c r="AV363" s="1366"/>
      <c r="AW363" s="1366"/>
      <c r="AX363" s="1366"/>
      <c r="AY363" s="1366"/>
      <c r="AZ363" s="1366"/>
      <c r="BA363" s="1366"/>
      <c r="BB363" s="1366"/>
      <c r="BC363" s="1366"/>
      <c r="BD363" s="1366"/>
      <c r="BE363" s="1366"/>
      <c r="BF363" s="1366"/>
      <c r="BG363" s="1366"/>
      <c r="BH363" s="1366"/>
      <c r="BI363" s="1366"/>
      <c r="BJ363" s="1366"/>
      <c r="BK363" s="1366"/>
      <c r="BL363" s="1366"/>
      <c r="BM363" s="1366"/>
      <c r="BN363" s="1366"/>
      <c r="BO363" s="1366"/>
      <c r="BP363" s="1366"/>
      <c r="BQ363" s="1366"/>
      <c r="BR363" s="1366"/>
      <c r="BS363" s="1366"/>
      <c r="BT363" s="1366"/>
      <c r="BU363" s="1366"/>
      <c r="BV363" s="1366"/>
      <c r="BW363" s="1366"/>
      <c r="BX363" s="1366"/>
      <c r="BY363" s="1366"/>
      <c r="BZ363" s="1366"/>
      <c r="CA363" s="1366"/>
      <c r="CB363" s="1366"/>
      <c r="CC363" s="1366"/>
      <c r="CD363" s="1366"/>
      <c r="CE363" s="1366"/>
      <c r="CF363" s="1366"/>
      <c r="CG363" s="1366"/>
      <c r="CH363" s="1366"/>
      <c r="CI363" s="1366"/>
      <c r="CJ363" s="1366"/>
      <c r="CK363" s="1366"/>
      <c r="CL363" s="1366"/>
      <c r="CM363" s="1366"/>
      <c r="CN363" s="1366"/>
      <c r="CO363" s="1366"/>
      <c r="CP363" s="1366"/>
      <c r="CQ363" s="1366"/>
      <c r="CR363" s="1366"/>
      <c r="CS363" s="1366"/>
      <c r="CT363" s="1366"/>
      <c r="CU363" s="1366"/>
      <c r="CV363" s="1366"/>
      <c r="CW363" s="1366"/>
      <c r="CX363" s="1366"/>
      <c r="CY363" s="1366"/>
      <c r="CZ363" s="1366"/>
      <c r="DA363" s="1366"/>
      <c r="DB363" s="1366"/>
      <c r="DC363" s="1366"/>
      <c r="DD363" s="1366"/>
      <c r="DE363" s="1366"/>
      <c r="DF363" s="1366"/>
      <c r="DG363" s="1366"/>
      <c r="DH363" s="1366"/>
      <c r="DI363" s="1366"/>
      <c r="DJ363" s="1366"/>
      <c r="DK363" s="1366"/>
      <c r="DL363" s="1366"/>
      <c r="DM363" s="1366"/>
      <c r="DN363" s="1366"/>
      <c r="DO363" s="1366"/>
      <c r="DP363" s="1366"/>
      <c r="DQ363" s="1366"/>
      <c r="DR363" s="1366"/>
      <c r="DS363" s="1366"/>
      <c r="DT363" s="1366"/>
      <c r="DU363" s="1366"/>
      <c r="DV363" s="1366"/>
    </row>
    <row r="364" spans="1:126" s="1367" customFormat="1">
      <c r="A364" s="2494"/>
      <c r="B364" s="1653">
        <v>357</v>
      </c>
      <c r="C364" s="1642" t="s">
        <v>49</v>
      </c>
      <c r="D364" s="1364" t="s">
        <v>2456</v>
      </c>
      <c r="E364" s="1364" t="s">
        <v>2097</v>
      </c>
      <c r="F364" s="1364" t="s">
        <v>2108</v>
      </c>
      <c r="G364" s="1185" t="s">
        <v>1839</v>
      </c>
      <c r="H364" s="1361">
        <f>((30*'Equipment Results Matrix'!$R$819)+(0.65*'Equipment Results Matrix'!$R$818)+'Equipment Results Matrix'!$R$820+'Equipment Results Matrix'!$R$822+'Equipment Results Matrix'!$T$825)*(1+'Equipment Results Matrix'!$T$827)</f>
        <v>793.03136464148133</v>
      </c>
      <c r="I364" s="1371">
        <f t="shared" si="143"/>
        <v>3.8893000000000004</v>
      </c>
      <c r="J364" s="1372">
        <f>'Labor Results Matrix'!$G$314*(1+'Labor Results Matrix'!$K$314)</f>
        <v>78.188884348876428</v>
      </c>
      <c r="K364" s="1372">
        <f t="shared" si="144"/>
        <v>304.1000278980851</v>
      </c>
      <c r="L364" s="1372">
        <v>0</v>
      </c>
      <c r="M364" s="1372">
        <f t="shared" si="145"/>
        <v>1097.1313925395664</v>
      </c>
      <c r="N364" s="1458">
        <f t="shared" si="146"/>
        <v>107.29528501599998</v>
      </c>
      <c r="O364" s="1429"/>
      <c r="P364" s="1430"/>
      <c r="Q364" s="1430"/>
      <c r="R364" s="1430"/>
      <c r="S364" s="1430"/>
      <c r="T364" s="1430"/>
      <c r="U364" s="1430"/>
      <c r="V364" s="1679"/>
      <c r="W364" s="1366"/>
      <c r="X364" s="1366"/>
      <c r="Y364" s="1366"/>
      <c r="Z364" s="1366"/>
      <c r="AA364" s="1366"/>
      <c r="AB364" s="1366"/>
      <c r="AC364" s="1366"/>
      <c r="AD364" s="1366"/>
      <c r="AE364" s="1366"/>
      <c r="AF364" s="1366"/>
      <c r="AG364" s="1366"/>
      <c r="AH364" s="1366"/>
      <c r="AI364" s="1366"/>
      <c r="AJ364" s="1366"/>
      <c r="AK364" s="1366"/>
      <c r="AL364" s="1366"/>
      <c r="AM364" s="1366"/>
      <c r="AN364" s="1366"/>
      <c r="AO364" s="1366"/>
      <c r="AP364" s="1366"/>
      <c r="AQ364" s="1366"/>
      <c r="AR364" s="1366"/>
      <c r="AS364" s="1366"/>
      <c r="AT364" s="1366"/>
      <c r="AU364" s="1366"/>
      <c r="AV364" s="1366"/>
      <c r="AW364" s="1366"/>
      <c r="AX364" s="1366"/>
      <c r="AY364" s="1366"/>
      <c r="AZ364" s="1366"/>
      <c r="BA364" s="1366"/>
      <c r="BB364" s="1366"/>
      <c r="BC364" s="1366"/>
      <c r="BD364" s="1366"/>
      <c r="BE364" s="1366"/>
      <c r="BF364" s="1366"/>
      <c r="BG364" s="1366"/>
      <c r="BH364" s="1366"/>
      <c r="BI364" s="1366"/>
      <c r="BJ364" s="1366"/>
      <c r="BK364" s="1366"/>
      <c r="BL364" s="1366"/>
      <c r="BM364" s="1366"/>
      <c r="BN364" s="1366"/>
      <c r="BO364" s="1366"/>
      <c r="BP364" s="1366"/>
      <c r="BQ364" s="1366"/>
      <c r="BR364" s="1366"/>
      <c r="BS364" s="1366"/>
      <c r="BT364" s="1366"/>
      <c r="BU364" s="1366"/>
      <c r="BV364" s="1366"/>
      <c r="BW364" s="1366"/>
      <c r="BX364" s="1366"/>
      <c r="BY364" s="1366"/>
      <c r="BZ364" s="1366"/>
      <c r="CA364" s="1366"/>
      <c r="CB364" s="1366"/>
      <c r="CC364" s="1366"/>
      <c r="CD364" s="1366"/>
      <c r="CE364" s="1366"/>
      <c r="CF364" s="1366"/>
      <c r="CG364" s="1366"/>
      <c r="CH364" s="1366"/>
      <c r="CI364" s="1366"/>
      <c r="CJ364" s="1366"/>
      <c r="CK364" s="1366"/>
      <c r="CL364" s="1366"/>
      <c r="CM364" s="1366"/>
      <c r="CN364" s="1366"/>
      <c r="CO364" s="1366"/>
      <c r="CP364" s="1366"/>
      <c r="CQ364" s="1366"/>
      <c r="CR364" s="1366"/>
      <c r="CS364" s="1366"/>
      <c r="CT364" s="1366"/>
      <c r="CU364" s="1366"/>
      <c r="CV364" s="1366"/>
      <c r="CW364" s="1366"/>
      <c r="CX364" s="1366"/>
      <c r="CY364" s="1366"/>
      <c r="CZ364" s="1366"/>
      <c r="DA364" s="1366"/>
      <c r="DB364" s="1366"/>
      <c r="DC364" s="1366"/>
      <c r="DD364" s="1366"/>
      <c r="DE364" s="1366"/>
      <c r="DF364" s="1366"/>
      <c r="DG364" s="1366"/>
      <c r="DH364" s="1366"/>
      <c r="DI364" s="1366"/>
      <c r="DJ364" s="1366"/>
      <c r="DK364" s="1366"/>
      <c r="DL364" s="1366"/>
      <c r="DM364" s="1366"/>
      <c r="DN364" s="1366"/>
      <c r="DO364" s="1366"/>
      <c r="DP364" s="1366"/>
      <c r="DQ364" s="1366"/>
      <c r="DR364" s="1366"/>
      <c r="DS364" s="1366"/>
      <c r="DT364" s="1366"/>
      <c r="DU364" s="1366"/>
      <c r="DV364" s="1366"/>
    </row>
    <row r="365" spans="1:126" s="1367" customFormat="1">
      <c r="A365" s="2494"/>
      <c r="B365" s="1653">
        <v>378</v>
      </c>
      <c r="C365" s="1642" t="s">
        <v>49</v>
      </c>
      <c r="D365" s="1364" t="s">
        <v>241</v>
      </c>
      <c r="E365" s="1364" t="s">
        <v>2097</v>
      </c>
      <c r="F365" s="1364" t="s">
        <v>2107</v>
      </c>
      <c r="G365" s="1185" t="s">
        <v>1839</v>
      </c>
      <c r="H365" s="1361">
        <f>((30*'Equipment Results Matrix'!$R$819)+(0.65*'Equipment Results Matrix'!$R$818)+'Equipment Results Matrix'!$R$820+'Equipment Results Matrix'!$R$822+'Equipment Results Matrix'!$T$825)*(1+'Equipment Results Matrix'!$T$827)</f>
        <v>793.03136464148133</v>
      </c>
      <c r="I365" s="1371">
        <f t="shared" si="143"/>
        <v>3.8893000000000004</v>
      </c>
      <c r="J365" s="1372">
        <f>'Labor Results Matrix'!$G$314*(1+'Labor Results Matrix'!$K$314)</f>
        <v>78.188884348876428</v>
      </c>
      <c r="K365" s="1372">
        <f t="shared" si="144"/>
        <v>304.1000278980851</v>
      </c>
      <c r="L365" s="1372">
        <v>0</v>
      </c>
      <c r="M365" s="1372">
        <f t="shared" si="145"/>
        <v>1097.1313925395664</v>
      </c>
      <c r="N365" s="1458">
        <f t="shared" si="146"/>
        <v>107.29528501599998</v>
      </c>
      <c r="O365" s="1429"/>
      <c r="P365" s="1430"/>
      <c r="Q365" s="1430"/>
      <c r="R365" s="1430"/>
      <c r="S365" s="1430"/>
      <c r="T365" s="1430"/>
      <c r="U365" s="1430"/>
      <c r="V365" s="1679"/>
      <c r="W365" s="1366"/>
      <c r="X365" s="1366"/>
      <c r="Y365" s="1366"/>
      <c r="Z365" s="1366"/>
      <c r="AA365" s="1366"/>
      <c r="AB365" s="1366"/>
      <c r="AC365" s="1366"/>
      <c r="AD365" s="1366"/>
      <c r="AE365" s="1366"/>
      <c r="AF365" s="1366"/>
      <c r="AG365" s="1366"/>
      <c r="AH365" s="1366"/>
      <c r="AI365" s="1366"/>
      <c r="AJ365" s="1366"/>
      <c r="AK365" s="1366"/>
      <c r="AL365" s="1366"/>
      <c r="AM365" s="1366"/>
      <c r="AN365" s="1366"/>
      <c r="AO365" s="1366"/>
      <c r="AP365" s="1366"/>
      <c r="AQ365" s="1366"/>
      <c r="AR365" s="1366"/>
      <c r="AS365" s="1366"/>
      <c r="AT365" s="1366"/>
      <c r="AU365" s="1366"/>
      <c r="AV365" s="1366"/>
      <c r="AW365" s="1366"/>
      <c r="AX365" s="1366"/>
      <c r="AY365" s="1366"/>
      <c r="AZ365" s="1366"/>
      <c r="BA365" s="1366"/>
      <c r="BB365" s="1366"/>
      <c r="BC365" s="1366"/>
      <c r="BD365" s="1366"/>
      <c r="BE365" s="1366"/>
      <c r="BF365" s="1366"/>
      <c r="BG365" s="1366"/>
      <c r="BH365" s="1366"/>
      <c r="BI365" s="1366"/>
      <c r="BJ365" s="1366"/>
      <c r="BK365" s="1366"/>
      <c r="BL365" s="1366"/>
      <c r="BM365" s="1366"/>
      <c r="BN365" s="1366"/>
      <c r="BO365" s="1366"/>
      <c r="BP365" s="1366"/>
      <c r="BQ365" s="1366"/>
      <c r="BR365" s="1366"/>
      <c r="BS365" s="1366"/>
      <c r="BT365" s="1366"/>
      <c r="BU365" s="1366"/>
      <c r="BV365" s="1366"/>
      <c r="BW365" s="1366"/>
      <c r="BX365" s="1366"/>
      <c r="BY365" s="1366"/>
      <c r="BZ365" s="1366"/>
      <c r="CA365" s="1366"/>
      <c r="CB365" s="1366"/>
      <c r="CC365" s="1366"/>
      <c r="CD365" s="1366"/>
      <c r="CE365" s="1366"/>
      <c r="CF365" s="1366"/>
      <c r="CG365" s="1366"/>
      <c r="CH365" s="1366"/>
      <c r="CI365" s="1366"/>
      <c r="CJ365" s="1366"/>
      <c r="CK365" s="1366"/>
      <c r="CL365" s="1366"/>
      <c r="CM365" s="1366"/>
      <c r="CN365" s="1366"/>
      <c r="CO365" s="1366"/>
      <c r="CP365" s="1366"/>
      <c r="CQ365" s="1366"/>
      <c r="CR365" s="1366"/>
      <c r="CS365" s="1366"/>
      <c r="CT365" s="1366"/>
      <c r="CU365" s="1366"/>
      <c r="CV365" s="1366"/>
      <c r="CW365" s="1366"/>
      <c r="CX365" s="1366"/>
      <c r="CY365" s="1366"/>
      <c r="CZ365" s="1366"/>
      <c r="DA365" s="1366"/>
      <c r="DB365" s="1366"/>
      <c r="DC365" s="1366"/>
      <c r="DD365" s="1366"/>
      <c r="DE365" s="1366"/>
      <c r="DF365" s="1366"/>
      <c r="DG365" s="1366"/>
      <c r="DH365" s="1366"/>
      <c r="DI365" s="1366"/>
      <c r="DJ365" s="1366"/>
      <c r="DK365" s="1366"/>
      <c r="DL365" s="1366"/>
      <c r="DM365" s="1366"/>
      <c r="DN365" s="1366"/>
      <c r="DO365" s="1366"/>
      <c r="DP365" s="1366"/>
      <c r="DQ365" s="1366"/>
      <c r="DR365" s="1366"/>
      <c r="DS365" s="1366"/>
      <c r="DT365" s="1366"/>
      <c r="DU365" s="1366"/>
      <c r="DV365" s="1366"/>
    </row>
    <row r="366" spans="1:126" s="1367" customFormat="1">
      <c r="A366" s="2494"/>
      <c r="B366" s="1653">
        <v>358</v>
      </c>
      <c r="C366" s="1642" t="s">
        <v>49</v>
      </c>
      <c r="D366" s="1364" t="s">
        <v>2457</v>
      </c>
      <c r="E366" s="1364" t="s">
        <v>2097</v>
      </c>
      <c r="F366" s="1364" t="s">
        <v>2108</v>
      </c>
      <c r="G366" s="1185" t="s">
        <v>1839</v>
      </c>
      <c r="H366" s="1361">
        <f>((30*'Equipment Results Matrix'!$R$819)+(0.7*'Equipment Results Matrix'!$R$818)+'Equipment Results Matrix'!$R$820+'Equipment Results Matrix'!$R$822+'Equipment Results Matrix'!$T$825)*(1+'Equipment Results Matrix'!$T$827)</f>
        <v>927.15047091148097</v>
      </c>
      <c r="I366" s="1371">
        <f t="shared" si="143"/>
        <v>3.8893000000000004</v>
      </c>
      <c r="J366" s="1372">
        <f>'Labor Results Matrix'!$G$314*(1+'Labor Results Matrix'!$K$314)</f>
        <v>78.188884348876428</v>
      </c>
      <c r="K366" s="1372">
        <f t="shared" si="144"/>
        <v>304.1000278980851</v>
      </c>
      <c r="L366" s="1372">
        <v>0</v>
      </c>
      <c r="M366" s="1372">
        <f t="shared" si="145"/>
        <v>1231.2504988095661</v>
      </c>
      <c r="N366" s="1458">
        <f t="shared" si="146"/>
        <v>241.41439128599973</v>
      </c>
      <c r="O366" s="1429"/>
      <c r="P366" s="1430"/>
      <c r="Q366" s="1430"/>
      <c r="R366" s="1430"/>
      <c r="S366" s="1430"/>
      <c r="T366" s="1430"/>
      <c r="U366" s="1430"/>
      <c r="V366" s="1679"/>
      <c r="W366" s="1366"/>
      <c r="X366" s="1366"/>
      <c r="Y366" s="1366"/>
      <c r="Z366" s="1366"/>
      <c r="AA366" s="1366"/>
      <c r="AB366" s="1366"/>
      <c r="AC366" s="1366"/>
      <c r="AD366" s="1366"/>
      <c r="AE366" s="1366"/>
      <c r="AF366" s="1366"/>
      <c r="AG366" s="1366"/>
      <c r="AH366" s="1366"/>
      <c r="AI366" s="1366"/>
      <c r="AJ366" s="1366"/>
      <c r="AK366" s="1366"/>
      <c r="AL366" s="1366"/>
      <c r="AM366" s="1366"/>
      <c r="AN366" s="1366"/>
      <c r="AO366" s="1366"/>
      <c r="AP366" s="1366"/>
      <c r="AQ366" s="1366"/>
      <c r="AR366" s="1366"/>
      <c r="AS366" s="1366"/>
      <c r="AT366" s="1366"/>
      <c r="AU366" s="1366"/>
      <c r="AV366" s="1366"/>
      <c r="AW366" s="1366"/>
      <c r="AX366" s="1366"/>
      <c r="AY366" s="1366"/>
      <c r="AZ366" s="1366"/>
      <c r="BA366" s="1366"/>
      <c r="BB366" s="1366"/>
      <c r="BC366" s="1366"/>
      <c r="BD366" s="1366"/>
      <c r="BE366" s="1366"/>
      <c r="BF366" s="1366"/>
      <c r="BG366" s="1366"/>
      <c r="BH366" s="1366"/>
      <c r="BI366" s="1366"/>
      <c r="BJ366" s="1366"/>
      <c r="BK366" s="1366"/>
      <c r="BL366" s="1366"/>
      <c r="BM366" s="1366"/>
      <c r="BN366" s="1366"/>
      <c r="BO366" s="1366"/>
      <c r="BP366" s="1366"/>
      <c r="BQ366" s="1366"/>
      <c r="BR366" s="1366"/>
      <c r="BS366" s="1366"/>
      <c r="BT366" s="1366"/>
      <c r="BU366" s="1366"/>
      <c r="BV366" s="1366"/>
      <c r="BW366" s="1366"/>
      <c r="BX366" s="1366"/>
      <c r="BY366" s="1366"/>
      <c r="BZ366" s="1366"/>
      <c r="CA366" s="1366"/>
      <c r="CB366" s="1366"/>
      <c r="CC366" s="1366"/>
      <c r="CD366" s="1366"/>
      <c r="CE366" s="1366"/>
      <c r="CF366" s="1366"/>
      <c r="CG366" s="1366"/>
      <c r="CH366" s="1366"/>
      <c r="CI366" s="1366"/>
      <c r="CJ366" s="1366"/>
      <c r="CK366" s="1366"/>
      <c r="CL366" s="1366"/>
      <c r="CM366" s="1366"/>
      <c r="CN366" s="1366"/>
      <c r="CO366" s="1366"/>
      <c r="CP366" s="1366"/>
      <c r="CQ366" s="1366"/>
      <c r="CR366" s="1366"/>
      <c r="CS366" s="1366"/>
      <c r="CT366" s="1366"/>
      <c r="CU366" s="1366"/>
      <c r="CV366" s="1366"/>
      <c r="CW366" s="1366"/>
      <c r="CX366" s="1366"/>
      <c r="CY366" s="1366"/>
      <c r="CZ366" s="1366"/>
      <c r="DA366" s="1366"/>
      <c r="DB366" s="1366"/>
      <c r="DC366" s="1366"/>
      <c r="DD366" s="1366"/>
      <c r="DE366" s="1366"/>
      <c r="DF366" s="1366"/>
      <c r="DG366" s="1366"/>
      <c r="DH366" s="1366"/>
      <c r="DI366" s="1366"/>
      <c r="DJ366" s="1366"/>
      <c r="DK366" s="1366"/>
      <c r="DL366" s="1366"/>
      <c r="DM366" s="1366"/>
      <c r="DN366" s="1366"/>
      <c r="DO366" s="1366"/>
      <c r="DP366" s="1366"/>
      <c r="DQ366" s="1366"/>
      <c r="DR366" s="1366"/>
      <c r="DS366" s="1366"/>
      <c r="DT366" s="1366"/>
      <c r="DU366" s="1366"/>
      <c r="DV366" s="1366"/>
    </row>
    <row r="367" spans="1:126" s="1367" customFormat="1">
      <c r="A367" s="2494"/>
      <c r="B367" s="1653">
        <v>379</v>
      </c>
      <c r="C367" s="1642" t="s">
        <v>49</v>
      </c>
      <c r="D367" s="1364" t="s">
        <v>242</v>
      </c>
      <c r="E367" s="1364" t="s">
        <v>2097</v>
      </c>
      <c r="F367" s="1364" t="s">
        <v>2107</v>
      </c>
      <c r="G367" s="1185" t="s">
        <v>1839</v>
      </c>
      <c r="H367" s="1361">
        <f>((30*'Equipment Results Matrix'!$R$819)+(0.7*'Equipment Results Matrix'!$R$818)+'Equipment Results Matrix'!$R$820+'Equipment Results Matrix'!$R$822+'Equipment Results Matrix'!$T$825)*(1+'Equipment Results Matrix'!$T$827)</f>
        <v>927.15047091148097</v>
      </c>
      <c r="I367" s="1371">
        <f t="shared" si="143"/>
        <v>3.8893000000000004</v>
      </c>
      <c r="J367" s="1372">
        <f>'Labor Results Matrix'!$G$314*(1+'Labor Results Matrix'!$K$314)</f>
        <v>78.188884348876428</v>
      </c>
      <c r="K367" s="1372">
        <f t="shared" si="144"/>
        <v>304.1000278980851</v>
      </c>
      <c r="L367" s="1372">
        <v>0</v>
      </c>
      <c r="M367" s="1372">
        <f t="shared" si="145"/>
        <v>1231.2504988095661</v>
      </c>
      <c r="N367" s="1458">
        <f t="shared" si="146"/>
        <v>241.41439128599973</v>
      </c>
      <c r="O367" s="1429"/>
      <c r="P367" s="1430"/>
      <c r="Q367" s="1430"/>
      <c r="R367" s="1430"/>
      <c r="S367" s="1430"/>
      <c r="T367" s="1430"/>
      <c r="U367" s="1430"/>
      <c r="V367" s="1679"/>
      <c r="W367" s="1366"/>
      <c r="X367" s="1366"/>
      <c r="Y367" s="1366"/>
      <c r="Z367" s="1366"/>
      <c r="AA367" s="1366"/>
      <c r="AB367" s="1366"/>
      <c r="AC367" s="1366"/>
      <c r="AD367" s="1366"/>
      <c r="AE367" s="1366"/>
      <c r="AF367" s="1366"/>
      <c r="AG367" s="1366"/>
      <c r="AH367" s="1366"/>
      <c r="AI367" s="1366"/>
      <c r="AJ367" s="1366"/>
      <c r="AK367" s="1366"/>
      <c r="AL367" s="1366"/>
      <c r="AM367" s="1366"/>
      <c r="AN367" s="1366"/>
      <c r="AO367" s="1366"/>
      <c r="AP367" s="1366"/>
      <c r="AQ367" s="1366"/>
      <c r="AR367" s="1366"/>
      <c r="AS367" s="1366"/>
      <c r="AT367" s="1366"/>
      <c r="AU367" s="1366"/>
      <c r="AV367" s="1366"/>
      <c r="AW367" s="1366"/>
      <c r="AX367" s="1366"/>
      <c r="AY367" s="1366"/>
      <c r="AZ367" s="1366"/>
      <c r="BA367" s="1366"/>
      <c r="BB367" s="1366"/>
      <c r="BC367" s="1366"/>
      <c r="BD367" s="1366"/>
      <c r="BE367" s="1366"/>
      <c r="BF367" s="1366"/>
      <c r="BG367" s="1366"/>
      <c r="BH367" s="1366"/>
      <c r="BI367" s="1366"/>
      <c r="BJ367" s="1366"/>
      <c r="BK367" s="1366"/>
      <c r="BL367" s="1366"/>
      <c r="BM367" s="1366"/>
      <c r="BN367" s="1366"/>
      <c r="BO367" s="1366"/>
      <c r="BP367" s="1366"/>
      <c r="BQ367" s="1366"/>
      <c r="BR367" s="1366"/>
      <c r="BS367" s="1366"/>
      <c r="BT367" s="1366"/>
      <c r="BU367" s="1366"/>
      <c r="BV367" s="1366"/>
      <c r="BW367" s="1366"/>
      <c r="BX367" s="1366"/>
      <c r="BY367" s="1366"/>
      <c r="BZ367" s="1366"/>
      <c r="CA367" s="1366"/>
      <c r="CB367" s="1366"/>
      <c r="CC367" s="1366"/>
      <c r="CD367" s="1366"/>
      <c r="CE367" s="1366"/>
      <c r="CF367" s="1366"/>
      <c r="CG367" s="1366"/>
      <c r="CH367" s="1366"/>
      <c r="CI367" s="1366"/>
      <c r="CJ367" s="1366"/>
      <c r="CK367" s="1366"/>
      <c r="CL367" s="1366"/>
      <c r="CM367" s="1366"/>
      <c r="CN367" s="1366"/>
      <c r="CO367" s="1366"/>
      <c r="CP367" s="1366"/>
      <c r="CQ367" s="1366"/>
      <c r="CR367" s="1366"/>
      <c r="CS367" s="1366"/>
      <c r="CT367" s="1366"/>
      <c r="CU367" s="1366"/>
      <c r="CV367" s="1366"/>
      <c r="CW367" s="1366"/>
      <c r="CX367" s="1366"/>
      <c r="CY367" s="1366"/>
      <c r="CZ367" s="1366"/>
      <c r="DA367" s="1366"/>
      <c r="DB367" s="1366"/>
      <c r="DC367" s="1366"/>
      <c r="DD367" s="1366"/>
      <c r="DE367" s="1366"/>
      <c r="DF367" s="1366"/>
      <c r="DG367" s="1366"/>
      <c r="DH367" s="1366"/>
      <c r="DI367" s="1366"/>
      <c r="DJ367" s="1366"/>
      <c r="DK367" s="1366"/>
      <c r="DL367" s="1366"/>
      <c r="DM367" s="1366"/>
      <c r="DN367" s="1366"/>
      <c r="DO367" s="1366"/>
      <c r="DP367" s="1366"/>
      <c r="DQ367" s="1366"/>
      <c r="DR367" s="1366"/>
      <c r="DS367" s="1366"/>
      <c r="DT367" s="1366"/>
      <c r="DU367" s="1366"/>
      <c r="DV367" s="1366"/>
    </row>
    <row r="368" spans="1:126" s="1367" customFormat="1" ht="30">
      <c r="A368" s="2494"/>
      <c r="B368" s="1656" t="s">
        <v>2472</v>
      </c>
      <c r="C368" s="1642" t="s">
        <v>47</v>
      </c>
      <c r="D368" s="1364" t="s">
        <v>2430</v>
      </c>
      <c r="E368" s="1364" t="s">
        <v>2097</v>
      </c>
      <c r="F368" s="1364" t="s">
        <v>2438</v>
      </c>
      <c r="G368" s="1185" t="s">
        <v>1839</v>
      </c>
      <c r="H368" s="1361">
        <f>((40*'Equipment Results Matrix'!$R$819)+(0.6*'Equipment Results Matrix'!$R$818)+'Equipment Results Matrix'!$R$820+'Equipment Results Matrix'!$R$822+'Equipment Results Matrix'!$T$825)*(1+'Equipment Results Matrix'!$T$827)</f>
        <v>763.19024487148113</v>
      </c>
      <c r="I368" s="1371">
        <f>0.0315*40+2.9443</f>
        <v>4.2042999999999999</v>
      </c>
      <c r="J368" s="1372">
        <f>'Labor Results Matrix'!$G$314*(1+'Labor Results Matrix'!$K$314)</f>
        <v>78.188884348876428</v>
      </c>
      <c r="K368" s="1372">
        <f t="shared" si="144"/>
        <v>328.72952646798115</v>
      </c>
      <c r="L368" s="1372">
        <v>0</v>
      </c>
      <c r="M368" s="1372">
        <f t="shared" si="145"/>
        <v>1091.9197713394624</v>
      </c>
      <c r="N368" s="1455" t="s">
        <v>40</v>
      </c>
      <c r="O368" s="1429"/>
      <c r="P368" s="1430"/>
      <c r="Q368" s="1430"/>
      <c r="R368" s="1430"/>
      <c r="S368" s="1430"/>
      <c r="T368" s="1430"/>
      <c r="U368" s="1430"/>
      <c r="V368" s="1679"/>
      <c r="W368" s="1366"/>
      <c r="X368" s="1366"/>
      <c r="Y368" s="1366"/>
      <c r="Z368" s="1366"/>
      <c r="AA368" s="1366"/>
      <c r="AB368" s="1366"/>
      <c r="AC368" s="1366"/>
      <c r="AD368" s="1366"/>
      <c r="AE368" s="1366"/>
      <c r="AF368" s="1366"/>
      <c r="AG368" s="1366"/>
      <c r="AH368" s="1366"/>
      <c r="AI368" s="1366"/>
      <c r="AJ368" s="1366"/>
      <c r="AK368" s="1366"/>
      <c r="AL368" s="1366"/>
      <c r="AM368" s="1366"/>
      <c r="AN368" s="1366"/>
      <c r="AO368" s="1366"/>
      <c r="AP368" s="1366"/>
      <c r="AQ368" s="1366"/>
      <c r="AR368" s="1366"/>
      <c r="AS368" s="1366"/>
      <c r="AT368" s="1366"/>
      <c r="AU368" s="1366"/>
      <c r="AV368" s="1366"/>
      <c r="AW368" s="1366"/>
      <c r="AX368" s="1366"/>
      <c r="AY368" s="1366"/>
      <c r="AZ368" s="1366"/>
      <c r="BA368" s="1366"/>
      <c r="BB368" s="1366"/>
      <c r="BC368" s="1366"/>
      <c r="BD368" s="1366"/>
      <c r="BE368" s="1366"/>
      <c r="BF368" s="1366"/>
      <c r="BG368" s="1366"/>
      <c r="BH368" s="1366"/>
      <c r="BI368" s="1366"/>
      <c r="BJ368" s="1366"/>
      <c r="BK368" s="1366"/>
      <c r="BL368" s="1366"/>
      <c r="BM368" s="1366"/>
      <c r="BN368" s="1366"/>
      <c r="BO368" s="1366"/>
      <c r="BP368" s="1366"/>
      <c r="BQ368" s="1366"/>
      <c r="BR368" s="1366"/>
      <c r="BS368" s="1366"/>
      <c r="BT368" s="1366"/>
      <c r="BU368" s="1366"/>
      <c r="BV368" s="1366"/>
      <c r="BW368" s="1366"/>
      <c r="BX368" s="1366"/>
      <c r="BY368" s="1366"/>
      <c r="BZ368" s="1366"/>
      <c r="CA368" s="1366"/>
      <c r="CB368" s="1366"/>
      <c r="CC368" s="1366"/>
      <c r="CD368" s="1366"/>
      <c r="CE368" s="1366"/>
      <c r="CF368" s="1366"/>
      <c r="CG368" s="1366"/>
      <c r="CH368" s="1366"/>
      <c r="CI368" s="1366"/>
      <c r="CJ368" s="1366"/>
      <c r="CK368" s="1366"/>
      <c r="CL368" s="1366"/>
      <c r="CM368" s="1366"/>
      <c r="CN368" s="1366"/>
      <c r="CO368" s="1366"/>
      <c r="CP368" s="1366"/>
      <c r="CQ368" s="1366"/>
      <c r="CR368" s="1366"/>
      <c r="CS368" s="1366"/>
      <c r="CT368" s="1366"/>
      <c r="CU368" s="1366"/>
      <c r="CV368" s="1366"/>
      <c r="CW368" s="1366"/>
      <c r="CX368" s="1366"/>
      <c r="CY368" s="1366"/>
      <c r="CZ368" s="1366"/>
      <c r="DA368" s="1366"/>
      <c r="DB368" s="1366"/>
      <c r="DC368" s="1366"/>
      <c r="DD368" s="1366"/>
      <c r="DE368" s="1366"/>
      <c r="DF368" s="1366"/>
      <c r="DG368" s="1366"/>
      <c r="DH368" s="1366"/>
      <c r="DI368" s="1366"/>
      <c r="DJ368" s="1366"/>
      <c r="DK368" s="1366"/>
      <c r="DL368" s="1366"/>
      <c r="DM368" s="1366"/>
      <c r="DN368" s="1366"/>
      <c r="DO368" s="1366"/>
      <c r="DP368" s="1366"/>
      <c r="DQ368" s="1366"/>
      <c r="DR368" s="1366"/>
      <c r="DS368" s="1366"/>
      <c r="DT368" s="1366"/>
      <c r="DU368" s="1366"/>
      <c r="DV368" s="1366"/>
    </row>
    <row r="369" spans="1:126" s="1367" customFormat="1">
      <c r="A369" s="2494"/>
      <c r="B369" s="1653">
        <v>359</v>
      </c>
      <c r="C369" s="1642" t="s">
        <v>49</v>
      </c>
      <c r="D369" s="1364" t="s">
        <v>2458</v>
      </c>
      <c r="E369" s="1364" t="s">
        <v>2097</v>
      </c>
      <c r="F369" s="1364" t="s">
        <v>2108</v>
      </c>
      <c r="G369" s="1185" t="s">
        <v>1839</v>
      </c>
      <c r="H369" s="1361">
        <f>((40*'Equipment Results Matrix'!$R$819)+(0.62*'Equipment Results Matrix'!$R$818)+'Equipment Results Matrix'!$R$820+'Equipment Results Matrix'!$R$822+'Equipment Results Matrix'!$T$825)*(1+'Equipment Results Matrix'!$T$827)</f>
        <v>816.837887379481</v>
      </c>
      <c r="I369" s="1371">
        <f t="shared" ref="I369:I374" si="147">0.0315*40+2.9443</f>
        <v>4.2042999999999999</v>
      </c>
      <c r="J369" s="1372">
        <f>'Labor Results Matrix'!$G$314*(1+'Labor Results Matrix'!$K$314)</f>
        <v>78.188884348876428</v>
      </c>
      <c r="K369" s="1372">
        <f t="shared" si="144"/>
        <v>328.72952646798115</v>
      </c>
      <c r="L369" s="1372">
        <v>0</v>
      </c>
      <c r="M369" s="1372">
        <f t="shared" si="145"/>
        <v>1145.5674138474621</v>
      </c>
      <c r="N369" s="1458">
        <f t="shared" ref="N369:N374" si="148">M369-$M$368</f>
        <v>53.647642507999763</v>
      </c>
      <c r="O369" s="1429"/>
      <c r="P369" s="1430"/>
      <c r="Q369" s="1430"/>
      <c r="R369" s="1430"/>
      <c r="S369" s="1430"/>
      <c r="T369" s="1430"/>
      <c r="U369" s="1430"/>
      <c r="V369" s="1679"/>
      <c r="W369" s="1366"/>
      <c r="X369" s="1366"/>
      <c r="Y369" s="1366"/>
      <c r="Z369" s="1366"/>
      <c r="AA369" s="1366"/>
      <c r="AB369" s="1366"/>
      <c r="AC369" s="1366"/>
      <c r="AD369" s="1366"/>
      <c r="AE369" s="1366"/>
      <c r="AF369" s="1366"/>
      <c r="AG369" s="1366"/>
      <c r="AH369" s="1366"/>
      <c r="AI369" s="1366"/>
      <c r="AJ369" s="1366"/>
      <c r="AK369" s="1366"/>
      <c r="AL369" s="1366"/>
      <c r="AM369" s="1366"/>
      <c r="AN369" s="1366"/>
      <c r="AO369" s="1366"/>
      <c r="AP369" s="1366"/>
      <c r="AQ369" s="1366"/>
      <c r="AR369" s="1366"/>
      <c r="AS369" s="1366"/>
      <c r="AT369" s="1366"/>
      <c r="AU369" s="1366"/>
      <c r="AV369" s="1366"/>
      <c r="AW369" s="1366"/>
      <c r="AX369" s="1366"/>
      <c r="AY369" s="1366"/>
      <c r="AZ369" s="1366"/>
      <c r="BA369" s="1366"/>
      <c r="BB369" s="1366"/>
      <c r="BC369" s="1366"/>
      <c r="BD369" s="1366"/>
      <c r="BE369" s="1366"/>
      <c r="BF369" s="1366"/>
      <c r="BG369" s="1366"/>
      <c r="BH369" s="1366"/>
      <c r="BI369" s="1366"/>
      <c r="BJ369" s="1366"/>
      <c r="BK369" s="1366"/>
      <c r="BL369" s="1366"/>
      <c r="BM369" s="1366"/>
      <c r="BN369" s="1366"/>
      <c r="BO369" s="1366"/>
      <c r="BP369" s="1366"/>
      <c r="BQ369" s="1366"/>
      <c r="BR369" s="1366"/>
      <c r="BS369" s="1366"/>
      <c r="BT369" s="1366"/>
      <c r="BU369" s="1366"/>
      <c r="BV369" s="1366"/>
      <c r="BW369" s="1366"/>
      <c r="BX369" s="1366"/>
      <c r="BY369" s="1366"/>
      <c r="BZ369" s="1366"/>
      <c r="CA369" s="1366"/>
      <c r="CB369" s="1366"/>
      <c r="CC369" s="1366"/>
      <c r="CD369" s="1366"/>
      <c r="CE369" s="1366"/>
      <c r="CF369" s="1366"/>
      <c r="CG369" s="1366"/>
      <c r="CH369" s="1366"/>
      <c r="CI369" s="1366"/>
      <c r="CJ369" s="1366"/>
      <c r="CK369" s="1366"/>
      <c r="CL369" s="1366"/>
      <c r="CM369" s="1366"/>
      <c r="CN369" s="1366"/>
      <c r="CO369" s="1366"/>
      <c r="CP369" s="1366"/>
      <c r="CQ369" s="1366"/>
      <c r="CR369" s="1366"/>
      <c r="CS369" s="1366"/>
      <c r="CT369" s="1366"/>
      <c r="CU369" s="1366"/>
      <c r="CV369" s="1366"/>
      <c r="CW369" s="1366"/>
      <c r="CX369" s="1366"/>
      <c r="CY369" s="1366"/>
      <c r="CZ369" s="1366"/>
      <c r="DA369" s="1366"/>
      <c r="DB369" s="1366"/>
      <c r="DC369" s="1366"/>
      <c r="DD369" s="1366"/>
      <c r="DE369" s="1366"/>
      <c r="DF369" s="1366"/>
      <c r="DG369" s="1366"/>
      <c r="DH369" s="1366"/>
      <c r="DI369" s="1366"/>
      <c r="DJ369" s="1366"/>
      <c r="DK369" s="1366"/>
      <c r="DL369" s="1366"/>
      <c r="DM369" s="1366"/>
      <c r="DN369" s="1366"/>
      <c r="DO369" s="1366"/>
      <c r="DP369" s="1366"/>
      <c r="DQ369" s="1366"/>
      <c r="DR369" s="1366"/>
      <c r="DS369" s="1366"/>
      <c r="DT369" s="1366"/>
      <c r="DU369" s="1366"/>
      <c r="DV369" s="1366"/>
    </row>
    <row r="370" spans="1:126" s="1367" customFormat="1">
      <c r="A370" s="2494"/>
      <c r="B370" s="1653">
        <v>380</v>
      </c>
      <c r="C370" s="1642" t="s">
        <v>49</v>
      </c>
      <c r="D370" s="1364" t="s">
        <v>244</v>
      </c>
      <c r="E370" s="1364" t="s">
        <v>2097</v>
      </c>
      <c r="F370" s="1364" t="s">
        <v>2107</v>
      </c>
      <c r="G370" s="1185" t="s">
        <v>1839</v>
      </c>
      <c r="H370" s="1361">
        <f>((40*'Equipment Results Matrix'!$R$819)+(0.62*'Equipment Results Matrix'!$R$818)+'Equipment Results Matrix'!$R$820+'Equipment Results Matrix'!$R$822+'Equipment Results Matrix'!$T$825)*(1+'Equipment Results Matrix'!$T$827)</f>
        <v>816.837887379481</v>
      </c>
      <c r="I370" s="1371">
        <f t="shared" si="147"/>
        <v>4.2042999999999999</v>
      </c>
      <c r="J370" s="1372">
        <f>'Labor Results Matrix'!$G$314*(1+'Labor Results Matrix'!$K$314)</f>
        <v>78.188884348876428</v>
      </c>
      <c r="K370" s="1372">
        <f t="shared" si="144"/>
        <v>328.72952646798115</v>
      </c>
      <c r="L370" s="1372">
        <v>0</v>
      </c>
      <c r="M370" s="1372">
        <f t="shared" si="145"/>
        <v>1145.5674138474621</v>
      </c>
      <c r="N370" s="1458">
        <f t="shared" si="148"/>
        <v>53.647642507999763</v>
      </c>
      <c r="O370" s="1429"/>
      <c r="P370" s="1430"/>
      <c r="Q370" s="1430"/>
      <c r="R370" s="1430"/>
      <c r="S370" s="1430"/>
      <c r="T370" s="1430"/>
      <c r="U370" s="1430"/>
      <c r="V370" s="1679"/>
      <c r="W370" s="1366"/>
      <c r="X370" s="1366"/>
      <c r="Y370" s="1366"/>
      <c r="Z370" s="1366"/>
      <c r="AA370" s="1366"/>
      <c r="AB370" s="1366"/>
      <c r="AC370" s="1366"/>
      <c r="AD370" s="1366"/>
      <c r="AE370" s="1366"/>
      <c r="AF370" s="1366"/>
      <c r="AG370" s="1366"/>
      <c r="AH370" s="1366"/>
      <c r="AI370" s="1366"/>
      <c r="AJ370" s="1366"/>
      <c r="AK370" s="1366"/>
      <c r="AL370" s="1366"/>
      <c r="AM370" s="1366"/>
      <c r="AN370" s="1366"/>
      <c r="AO370" s="1366"/>
      <c r="AP370" s="1366"/>
      <c r="AQ370" s="1366"/>
      <c r="AR370" s="1366"/>
      <c r="AS370" s="1366"/>
      <c r="AT370" s="1366"/>
      <c r="AU370" s="1366"/>
      <c r="AV370" s="1366"/>
      <c r="AW370" s="1366"/>
      <c r="AX370" s="1366"/>
      <c r="AY370" s="1366"/>
      <c r="AZ370" s="1366"/>
      <c r="BA370" s="1366"/>
      <c r="BB370" s="1366"/>
      <c r="BC370" s="1366"/>
      <c r="BD370" s="1366"/>
      <c r="BE370" s="1366"/>
      <c r="BF370" s="1366"/>
      <c r="BG370" s="1366"/>
      <c r="BH370" s="1366"/>
      <c r="BI370" s="1366"/>
      <c r="BJ370" s="1366"/>
      <c r="BK370" s="1366"/>
      <c r="BL370" s="1366"/>
      <c r="BM370" s="1366"/>
      <c r="BN370" s="1366"/>
      <c r="BO370" s="1366"/>
      <c r="BP370" s="1366"/>
      <c r="BQ370" s="1366"/>
      <c r="BR370" s="1366"/>
      <c r="BS370" s="1366"/>
      <c r="BT370" s="1366"/>
      <c r="BU370" s="1366"/>
      <c r="BV370" s="1366"/>
      <c r="BW370" s="1366"/>
      <c r="BX370" s="1366"/>
      <c r="BY370" s="1366"/>
      <c r="BZ370" s="1366"/>
      <c r="CA370" s="1366"/>
      <c r="CB370" s="1366"/>
      <c r="CC370" s="1366"/>
      <c r="CD370" s="1366"/>
      <c r="CE370" s="1366"/>
      <c r="CF370" s="1366"/>
      <c r="CG370" s="1366"/>
      <c r="CH370" s="1366"/>
      <c r="CI370" s="1366"/>
      <c r="CJ370" s="1366"/>
      <c r="CK370" s="1366"/>
      <c r="CL370" s="1366"/>
      <c r="CM370" s="1366"/>
      <c r="CN370" s="1366"/>
      <c r="CO370" s="1366"/>
      <c r="CP370" s="1366"/>
      <c r="CQ370" s="1366"/>
      <c r="CR370" s="1366"/>
      <c r="CS370" s="1366"/>
      <c r="CT370" s="1366"/>
      <c r="CU370" s="1366"/>
      <c r="CV370" s="1366"/>
      <c r="CW370" s="1366"/>
      <c r="CX370" s="1366"/>
      <c r="CY370" s="1366"/>
      <c r="CZ370" s="1366"/>
      <c r="DA370" s="1366"/>
      <c r="DB370" s="1366"/>
      <c r="DC370" s="1366"/>
      <c r="DD370" s="1366"/>
      <c r="DE370" s="1366"/>
      <c r="DF370" s="1366"/>
      <c r="DG370" s="1366"/>
      <c r="DH370" s="1366"/>
      <c r="DI370" s="1366"/>
      <c r="DJ370" s="1366"/>
      <c r="DK370" s="1366"/>
      <c r="DL370" s="1366"/>
      <c r="DM370" s="1366"/>
      <c r="DN370" s="1366"/>
      <c r="DO370" s="1366"/>
      <c r="DP370" s="1366"/>
      <c r="DQ370" s="1366"/>
      <c r="DR370" s="1366"/>
      <c r="DS370" s="1366"/>
      <c r="DT370" s="1366"/>
      <c r="DU370" s="1366"/>
      <c r="DV370" s="1366"/>
    </row>
    <row r="371" spans="1:126" s="1367" customFormat="1">
      <c r="A371" s="2494"/>
      <c r="B371" s="1653">
        <v>360</v>
      </c>
      <c r="C371" s="1642" t="s">
        <v>49</v>
      </c>
      <c r="D371" s="1364" t="s">
        <v>2459</v>
      </c>
      <c r="E371" s="1364" t="s">
        <v>2097</v>
      </c>
      <c r="F371" s="1364" t="s">
        <v>2108</v>
      </c>
      <c r="G371" s="1185" t="s">
        <v>1839</v>
      </c>
      <c r="H371" s="1361">
        <f>((40*'Equipment Results Matrix'!$R$819)+(0.67*'Equipment Results Matrix'!$R$818)+'Equipment Results Matrix'!$R$820+'Equipment Results Matrix'!$R$822+'Equipment Results Matrix'!$T$825)*(1+'Equipment Results Matrix'!$T$827)</f>
        <v>950.95699364948121</v>
      </c>
      <c r="I371" s="1371">
        <f t="shared" si="147"/>
        <v>4.2042999999999999</v>
      </c>
      <c r="J371" s="1372">
        <f>'Labor Results Matrix'!$G$314*(1+'Labor Results Matrix'!$K$314)</f>
        <v>78.188884348876428</v>
      </c>
      <c r="K371" s="1372">
        <f t="shared" si="144"/>
        <v>328.72952646798115</v>
      </c>
      <c r="L371" s="1372">
        <v>0</v>
      </c>
      <c r="M371" s="1372">
        <f t="shared" si="145"/>
        <v>1279.6865201174624</v>
      </c>
      <c r="N371" s="1458">
        <f t="shared" si="148"/>
        <v>187.76674877799996</v>
      </c>
      <c r="O371" s="1429"/>
      <c r="P371" s="1430"/>
      <c r="Q371" s="1430"/>
      <c r="R371" s="1430"/>
      <c r="S371" s="1430"/>
      <c r="T371" s="1430"/>
      <c r="U371" s="1430"/>
      <c r="V371" s="1679"/>
      <c r="W371" s="1366"/>
      <c r="X371" s="1366"/>
      <c r="Y371" s="1366"/>
      <c r="Z371" s="1366"/>
      <c r="AA371" s="1366"/>
      <c r="AB371" s="1366"/>
      <c r="AC371" s="1366"/>
      <c r="AD371" s="1366"/>
      <c r="AE371" s="1366"/>
      <c r="AF371" s="1366"/>
      <c r="AG371" s="1366"/>
      <c r="AH371" s="1366"/>
      <c r="AI371" s="1366"/>
      <c r="AJ371" s="1366"/>
      <c r="AK371" s="1366"/>
      <c r="AL371" s="1366"/>
      <c r="AM371" s="1366"/>
      <c r="AN371" s="1366"/>
      <c r="AO371" s="1366"/>
      <c r="AP371" s="1366"/>
      <c r="AQ371" s="1366"/>
      <c r="AR371" s="1366"/>
      <c r="AS371" s="1366"/>
      <c r="AT371" s="1366"/>
      <c r="AU371" s="1366"/>
      <c r="AV371" s="1366"/>
      <c r="AW371" s="1366"/>
      <c r="AX371" s="1366"/>
      <c r="AY371" s="1366"/>
      <c r="AZ371" s="1366"/>
      <c r="BA371" s="1366"/>
      <c r="BB371" s="1366"/>
      <c r="BC371" s="1366"/>
      <c r="BD371" s="1366"/>
      <c r="BE371" s="1366"/>
      <c r="BF371" s="1366"/>
      <c r="BG371" s="1366"/>
      <c r="BH371" s="1366"/>
      <c r="BI371" s="1366"/>
      <c r="BJ371" s="1366"/>
      <c r="BK371" s="1366"/>
      <c r="BL371" s="1366"/>
      <c r="BM371" s="1366"/>
      <c r="BN371" s="1366"/>
      <c r="BO371" s="1366"/>
      <c r="BP371" s="1366"/>
      <c r="BQ371" s="1366"/>
      <c r="BR371" s="1366"/>
      <c r="BS371" s="1366"/>
      <c r="BT371" s="1366"/>
      <c r="BU371" s="1366"/>
      <c r="BV371" s="1366"/>
      <c r="BW371" s="1366"/>
      <c r="BX371" s="1366"/>
      <c r="BY371" s="1366"/>
      <c r="BZ371" s="1366"/>
      <c r="CA371" s="1366"/>
      <c r="CB371" s="1366"/>
      <c r="CC371" s="1366"/>
      <c r="CD371" s="1366"/>
      <c r="CE371" s="1366"/>
      <c r="CF371" s="1366"/>
      <c r="CG371" s="1366"/>
      <c r="CH371" s="1366"/>
      <c r="CI371" s="1366"/>
      <c r="CJ371" s="1366"/>
      <c r="CK371" s="1366"/>
      <c r="CL371" s="1366"/>
      <c r="CM371" s="1366"/>
      <c r="CN371" s="1366"/>
      <c r="CO371" s="1366"/>
      <c r="CP371" s="1366"/>
      <c r="CQ371" s="1366"/>
      <c r="CR371" s="1366"/>
      <c r="CS371" s="1366"/>
      <c r="CT371" s="1366"/>
      <c r="CU371" s="1366"/>
      <c r="CV371" s="1366"/>
      <c r="CW371" s="1366"/>
      <c r="CX371" s="1366"/>
      <c r="CY371" s="1366"/>
      <c r="CZ371" s="1366"/>
      <c r="DA371" s="1366"/>
      <c r="DB371" s="1366"/>
      <c r="DC371" s="1366"/>
      <c r="DD371" s="1366"/>
      <c r="DE371" s="1366"/>
      <c r="DF371" s="1366"/>
      <c r="DG371" s="1366"/>
      <c r="DH371" s="1366"/>
      <c r="DI371" s="1366"/>
      <c r="DJ371" s="1366"/>
      <c r="DK371" s="1366"/>
      <c r="DL371" s="1366"/>
      <c r="DM371" s="1366"/>
      <c r="DN371" s="1366"/>
      <c r="DO371" s="1366"/>
      <c r="DP371" s="1366"/>
      <c r="DQ371" s="1366"/>
      <c r="DR371" s="1366"/>
      <c r="DS371" s="1366"/>
      <c r="DT371" s="1366"/>
      <c r="DU371" s="1366"/>
      <c r="DV371" s="1366"/>
    </row>
    <row r="372" spans="1:126" s="1367" customFormat="1">
      <c r="A372" s="2494"/>
      <c r="B372" s="1653">
        <v>381</v>
      </c>
      <c r="C372" s="1642" t="s">
        <v>49</v>
      </c>
      <c r="D372" s="1364" t="s">
        <v>245</v>
      </c>
      <c r="E372" s="1364" t="s">
        <v>2097</v>
      </c>
      <c r="F372" s="1364" t="s">
        <v>2107</v>
      </c>
      <c r="G372" s="1185" t="s">
        <v>1839</v>
      </c>
      <c r="H372" s="1361">
        <f>((40*'Equipment Results Matrix'!$R$819)+(0.67*'Equipment Results Matrix'!$R$818)+'Equipment Results Matrix'!$R$820+'Equipment Results Matrix'!$R$822+'Equipment Results Matrix'!$T$825)*(1+'Equipment Results Matrix'!$T$827)</f>
        <v>950.95699364948121</v>
      </c>
      <c r="I372" s="1371">
        <f t="shared" si="147"/>
        <v>4.2042999999999999</v>
      </c>
      <c r="J372" s="1372">
        <f>'Labor Results Matrix'!$G$314*(1+'Labor Results Matrix'!$K$314)</f>
        <v>78.188884348876428</v>
      </c>
      <c r="K372" s="1372">
        <f t="shared" si="144"/>
        <v>328.72952646798115</v>
      </c>
      <c r="L372" s="1372">
        <v>0</v>
      </c>
      <c r="M372" s="1372">
        <f t="shared" si="145"/>
        <v>1279.6865201174624</v>
      </c>
      <c r="N372" s="1458">
        <f t="shared" si="148"/>
        <v>187.76674877799996</v>
      </c>
      <c r="O372" s="1429"/>
      <c r="P372" s="1430"/>
      <c r="Q372" s="1430"/>
      <c r="R372" s="1430"/>
      <c r="S372" s="1430"/>
      <c r="T372" s="1430"/>
      <c r="U372" s="1430"/>
      <c r="V372" s="1679"/>
      <c r="W372" s="1366"/>
      <c r="X372" s="1366"/>
      <c r="Y372" s="1366"/>
      <c r="Z372" s="1366"/>
      <c r="AA372" s="1366"/>
      <c r="AB372" s="1366"/>
      <c r="AC372" s="1366"/>
      <c r="AD372" s="1366"/>
      <c r="AE372" s="1366"/>
      <c r="AF372" s="1366"/>
      <c r="AG372" s="1366"/>
      <c r="AH372" s="1366"/>
      <c r="AI372" s="1366"/>
      <c r="AJ372" s="1366"/>
      <c r="AK372" s="1366"/>
      <c r="AL372" s="1366"/>
      <c r="AM372" s="1366"/>
      <c r="AN372" s="1366"/>
      <c r="AO372" s="1366"/>
      <c r="AP372" s="1366"/>
      <c r="AQ372" s="1366"/>
      <c r="AR372" s="1366"/>
      <c r="AS372" s="1366"/>
      <c r="AT372" s="1366"/>
      <c r="AU372" s="1366"/>
      <c r="AV372" s="1366"/>
      <c r="AW372" s="1366"/>
      <c r="AX372" s="1366"/>
      <c r="AY372" s="1366"/>
      <c r="AZ372" s="1366"/>
      <c r="BA372" s="1366"/>
      <c r="BB372" s="1366"/>
      <c r="BC372" s="1366"/>
      <c r="BD372" s="1366"/>
      <c r="BE372" s="1366"/>
      <c r="BF372" s="1366"/>
      <c r="BG372" s="1366"/>
      <c r="BH372" s="1366"/>
      <c r="BI372" s="1366"/>
      <c r="BJ372" s="1366"/>
      <c r="BK372" s="1366"/>
      <c r="BL372" s="1366"/>
      <c r="BM372" s="1366"/>
      <c r="BN372" s="1366"/>
      <c r="BO372" s="1366"/>
      <c r="BP372" s="1366"/>
      <c r="BQ372" s="1366"/>
      <c r="BR372" s="1366"/>
      <c r="BS372" s="1366"/>
      <c r="BT372" s="1366"/>
      <c r="BU372" s="1366"/>
      <c r="BV372" s="1366"/>
      <c r="BW372" s="1366"/>
      <c r="BX372" s="1366"/>
      <c r="BY372" s="1366"/>
      <c r="BZ372" s="1366"/>
      <c r="CA372" s="1366"/>
      <c r="CB372" s="1366"/>
      <c r="CC372" s="1366"/>
      <c r="CD372" s="1366"/>
      <c r="CE372" s="1366"/>
      <c r="CF372" s="1366"/>
      <c r="CG372" s="1366"/>
      <c r="CH372" s="1366"/>
      <c r="CI372" s="1366"/>
      <c r="CJ372" s="1366"/>
      <c r="CK372" s="1366"/>
      <c r="CL372" s="1366"/>
      <c r="CM372" s="1366"/>
      <c r="CN372" s="1366"/>
      <c r="CO372" s="1366"/>
      <c r="CP372" s="1366"/>
      <c r="CQ372" s="1366"/>
      <c r="CR372" s="1366"/>
      <c r="CS372" s="1366"/>
      <c r="CT372" s="1366"/>
      <c r="CU372" s="1366"/>
      <c r="CV372" s="1366"/>
      <c r="CW372" s="1366"/>
      <c r="CX372" s="1366"/>
      <c r="CY372" s="1366"/>
      <c r="CZ372" s="1366"/>
      <c r="DA372" s="1366"/>
      <c r="DB372" s="1366"/>
      <c r="DC372" s="1366"/>
      <c r="DD372" s="1366"/>
      <c r="DE372" s="1366"/>
      <c r="DF372" s="1366"/>
      <c r="DG372" s="1366"/>
      <c r="DH372" s="1366"/>
      <c r="DI372" s="1366"/>
      <c r="DJ372" s="1366"/>
      <c r="DK372" s="1366"/>
      <c r="DL372" s="1366"/>
      <c r="DM372" s="1366"/>
      <c r="DN372" s="1366"/>
      <c r="DO372" s="1366"/>
      <c r="DP372" s="1366"/>
      <c r="DQ372" s="1366"/>
      <c r="DR372" s="1366"/>
      <c r="DS372" s="1366"/>
      <c r="DT372" s="1366"/>
      <c r="DU372" s="1366"/>
      <c r="DV372" s="1366"/>
    </row>
    <row r="373" spans="1:126" s="1367" customFormat="1">
      <c r="A373" s="2494"/>
      <c r="B373" s="1653">
        <v>361</v>
      </c>
      <c r="C373" s="1642" t="s">
        <v>49</v>
      </c>
      <c r="D373" s="1364" t="s">
        <v>2460</v>
      </c>
      <c r="E373" s="1364" t="s">
        <v>2097</v>
      </c>
      <c r="F373" s="1364" t="s">
        <v>2108</v>
      </c>
      <c r="G373" s="1185" t="s">
        <v>1839</v>
      </c>
      <c r="H373" s="1361">
        <f>((40*'Equipment Results Matrix'!$R$819)+(0.7*'Equipment Results Matrix'!$R$818)+'Equipment Results Matrix'!$R$820+'Equipment Results Matrix'!$R$822+'Equipment Results Matrix'!$T$825)*(1+'Equipment Results Matrix'!$T$827)</f>
        <v>1031.4284574114813</v>
      </c>
      <c r="I373" s="1371">
        <f t="shared" si="147"/>
        <v>4.2042999999999999</v>
      </c>
      <c r="J373" s="1372">
        <f>'Labor Results Matrix'!$G$314*(1+'Labor Results Matrix'!$K$314)</f>
        <v>78.188884348876428</v>
      </c>
      <c r="K373" s="1372">
        <f t="shared" si="144"/>
        <v>328.72952646798115</v>
      </c>
      <c r="L373" s="1372">
        <v>0</v>
      </c>
      <c r="M373" s="1372">
        <f t="shared" si="145"/>
        <v>1360.1579838794623</v>
      </c>
      <c r="N373" s="1458">
        <f t="shared" si="148"/>
        <v>268.23821253999995</v>
      </c>
      <c r="O373" s="1429"/>
      <c r="P373" s="1430"/>
      <c r="Q373" s="1430"/>
      <c r="R373" s="1430"/>
      <c r="S373" s="1430"/>
      <c r="T373" s="1430"/>
      <c r="U373" s="1430"/>
      <c r="V373" s="1679"/>
      <c r="W373" s="1366"/>
      <c r="X373" s="1366"/>
      <c r="Y373" s="1366"/>
      <c r="Z373" s="1366"/>
      <c r="AA373" s="1366"/>
      <c r="AB373" s="1366"/>
      <c r="AC373" s="1366"/>
      <c r="AD373" s="1366"/>
      <c r="AE373" s="1366"/>
      <c r="AF373" s="1366"/>
      <c r="AG373" s="1366"/>
      <c r="AH373" s="1366"/>
      <c r="AI373" s="1366"/>
      <c r="AJ373" s="1366"/>
      <c r="AK373" s="1366"/>
      <c r="AL373" s="1366"/>
      <c r="AM373" s="1366"/>
      <c r="AN373" s="1366"/>
      <c r="AO373" s="1366"/>
      <c r="AP373" s="1366"/>
      <c r="AQ373" s="1366"/>
      <c r="AR373" s="1366"/>
      <c r="AS373" s="1366"/>
      <c r="AT373" s="1366"/>
      <c r="AU373" s="1366"/>
      <c r="AV373" s="1366"/>
      <c r="AW373" s="1366"/>
      <c r="AX373" s="1366"/>
      <c r="AY373" s="1366"/>
      <c r="AZ373" s="1366"/>
      <c r="BA373" s="1366"/>
      <c r="BB373" s="1366"/>
      <c r="BC373" s="1366"/>
      <c r="BD373" s="1366"/>
      <c r="BE373" s="1366"/>
      <c r="BF373" s="1366"/>
      <c r="BG373" s="1366"/>
      <c r="BH373" s="1366"/>
      <c r="BI373" s="1366"/>
      <c r="BJ373" s="1366"/>
      <c r="BK373" s="1366"/>
      <c r="BL373" s="1366"/>
      <c r="BM373" s="1366"/>
      <c r="BN373" s="1366"/>
      <c r="BO373" s="1366"/>
      <c r="BP373" s="1366"/>
      <c r="BQ373" s="1366"/>
      <c r="BR373" s="1366"/>
      <c r="BS373" s="1366"/>
      <c r="BT373" s="1366"/>
      <c r="BU373" s="1366"/>
      <c r="BV373" s="1366"/>
      <c r="BW373" s="1366"/>
      <c r="BX373" s="1366"/>
      <c r="BY373" s="1366"/>
      <c r="BZ373" s="1366"/>
      <c r="CA373" s="1366"/>
      <c r="CB373" s="1366"/>
      <c r="CC373" s="1366"/>
      <c r="CD373" s="1366"/>
      <c r="CE373" s="1366"/>
      <c r="CF373" s="1366"/>
      <c r="CG373" s="1366"/>
      <c r="CH373" s="1366"/>
      <c r="CI373" s="1366"/>
      <c r="CJ373" s="1366"/>
      <c r="CK373" s="1366"/>
      <c r="CL373" s="1366"/>
      <c r="CM373" s="1366"/>
      <c r="CN373" s="1366"/>
      <c r="CO373" s="1366"/>
      <c r="CP373" s="1366"/>
      <c r="CQ373" s="1366"/>
      <c r="CR373" s="1366"/>
      <c r="CS373" s="1366"/>
      <c r="CT373" s="1366"/>
      <c r="CU373" s="1366"/>
      <c r="CV373" s="1366"/>
      <c r="CW373" s="1366"/>
      <c r="CX373" s="1366"/>
      <c r="CY373" s="1366"/>
      <c r="CZ373" s="1366"/>
      <c r="DA373" s="1366"/>
      <c r="DB373" s="1366"/>
      <c r="DC373" s="1366"/>
      <c r="DD373" s="1366"/>
      <c r="DE373" s="1366"/>
      <c r="DF373" s="1366"/>
      <c r="DG373" s="1366"/>
      <c r="DH373" s="1366"/>
      <c r="DI373" s="1366"/>
      <c r="DJ373" s="1366"/>
      <c r="DK373" s="1366"/>
      <c r="DL373" s="1366"/>
      <c r="DM373" s="1366"/>
      <c r="DN373" s="1366"/>
      <c r="DO373" s="1366"/>
      <c r="DP373" s="1366"/>
      <c r="DQ373" s="1366"/>
      <c r="DR373" s="1366"/>
      <c r="DS373" s="1366"/>
      <c r="DT373" s="1366"/>
      <c r="DU373" s="1366"/>
      <c r="DV373" s="1366"/>
    </row>
    <row r="374" spans="1:126" s="1367" customFormat="1">
      <c r="A374" s="2494"/>
      <c r="B374" s="1653">
        <v>382</v>
      </c>
      <c r="C374" s="1642" t="s">
        <v>49</v>
      </c>
      <c r="D374" s="1364" t="s">
        <v>246</v>
      </c>
      <c r="E374" s="1364" t="s">
        <v>2097</v>
      </c>
      <c r="F374" s="1364" t="s">
        <v>2107</v>
      </c>
      <c r="G374" s="1185" t="s">
        <v>1839</v>
      </c>
      <c r="H374" s="1361">
        <f>((40*'Equipment Results Matrix'!$R$819)+(0.7*'Equipment Results Matrix'!$R$818)+'Equipment Results Matrix'!$R$820+'Equipment Results Matrix'!$R$822+'Equipment Results Matrix'!$T$825)*(1+'Equipment Results Matrix'!$T$827)</f>
        <v>1031.4284574114813</v>
      </c>
      <c r="I374" s="1371">
        <f t="shared" si="147"/>
        <v>4.2042999999999999</v>
      </c>
      <c r="J374" s="1372">
        <f>'Labor Results Matrix'!$G$314*(1+'Labor Results Matrix'!$K$314)</f>
        <v>78.188884348876428</v>
      </c>
      <c r="K374" s="1372">
        <f t="shared" si="144"/>
        <v>328.72952646798115</v>
      </c>
      <c r="L374" s="1372">
        <v>0</v>
      </c>
      <c r="M374" s="1372">
        <f t="shared" si="145"/>
        <v>1360.1579838794623</v>
      </c>
      <c r="N374" s="1458">
        <f t="shared" si="148"/>
        <v>268.23821253999995</v>
      </c>
      <c r="O374" s="1429"/>
      <c r="P374" s="1430"/>
      <c r="Q374" s="1430"/>
      <c r="R374" s="1430"/>
      <c r="S374" s="1430"/>
      <c r="T374" s="1430"/>
      <c r="U374" s="1430"/>
      <c r="V374" s="1679"/>
      <c r="W374" s="1366"/>
      <c r="X374" s="1366"/>
      <c r="Y374" s="1366"/>
      <c r="Z374" s="1366"/>
      <c r="AA374" s="1366"/>
      <c r="AB374" s="1366"/>
      <c r="AC374" s="1366"/>
      <c r="AD374" s="1366"/>
      <c r="AE374" s="1366"/>
      <c r="AF374" s="1366"/>
      <c r="AG374" s="1366"/>
      <c r="AH374" s="1366"/>
      <c r="AI374" s="1366"/>
      <c r="AJ374" s="1366"/>
      <c r="AK374" s="1366"/>
      <c r="AL374" s="1366"/>
      <c r="AM374" s="1366"/>
      <c r="AN374" s="1366"/>
      <c r="AO374" s="1366"/>
      <c r="AP374" s="1366"/>
      <c r="AQ374" s="1366"/>
      <c r="AR374" s="1366"/>
      <c r="AS374" s="1366"/>
      <c r="AT374" s="1366"/>
      <c r="AU374" s="1366"/>
      <c r="AV374" s="1366"/>
      <c r="AW374" s="1366"/>
      <c r="AX374" s="1366"/>
      <c r="AY374" s="1366"/>
      <c r="AZ374" s="1366"/>
      <c r="BA374" s="1366"/>
      <c r="BB374" s="1366"/>
      <c r="BC374" s="1366"/>
      <c r="BD374" s="1366"/>
      <c r="BE374" s="1366"/>
      <c r="BF374" s="1366"/>
      <c r="BG374" s="1366"/>
      <c r="BH374" s="1366"/>
      <c r="BI374" s="1366"/>
      <c r="BJ374" s="1366"/>
      <c r="BK374" s="1366"/>
      <c r="BL374" s="1366"/>
      <c r="BM374" s="1366"/>
      <c r="BN374" s="1366"/>
      <c r="BO374" s="1366"/>
      <c r="BP374" s="1366"/>
      <c r="BQ374" s="1366"/>
      <c r="BR374" s="1366"/>
      <c r="BS374" s="1366"/>
      <c r="BT374" s="1366"/>
      <c r="BU374" s="1366"/>
      <c r="BV374" s="1366"/>
      <c r="BW374" s="1366"/>
      <c r="BX374" s="1366"/>
      <c r="BY374" s="1366"/>
      <c r="BZ374" s="1366"/>
      <c r="CA374" s="1366"/>
      <c r="CB374" s="1366"/>
      <c r="CC374" s="1366"/>
      <c r="CD374" s="1366"/>
      <c r="CE374" s="1366"/>
      <c r="CF374" s="1366"/>
      <c r="CG374" s="1366"/>
      <c r="CH374" s="1366"/>
      <c r="CI374" s="1366"/>
      <c r="CJ374" s="1366"/>
      <c r="CK374" s="1366"/>
      <c r="CL374" s="1366"/>
      <c r="CM374" s="1366"/>
      <c r="CN374" s="1366"/>
      <c r="CO374" s="1366"/>
      <c r="CP374" s="1366"/>
      <c r="CQ374" s="1366"/>
      <c r="CR374" s="1366"/>
      <c r="CS374" s="1366"/>
      <c r="CT374" s="1366"/>
      <c r="CU374" s="1366"/>
      <c r="CV374" s="1366"/>
      <c r="CW374" s="1366"/>
      <c r="CX374" s="1366"/>
      <c r="CY374" s="1366"/>
      <c r="CZ374" s="1366"/>
      <c r="DA374" s="1366"/>
      <c r="DB374" s="1366"/>
      <c r="DC374" s="1366"/>
      <c r="DD374" s="1366"/>
      <c r="DE374" s="1366"/>
      <c r="DF374" s="1366"/>
      <c r="DG374" s="1366"/>
      <c r="DH374" s="1366"/>
      <c r="DI374" s="1366"/>
      <c r="DJ374" s="1366"/>
      <c r="DK374" s="1366"/>
      <c r="DL374" s="1366"/>
      <c r="DM374" s="1366"/>
      <c r="DN374" s="1366"/>
      <c r="DO374" s="1366"/>
      <c r="DP374" s="1366"/>
      <c r="DQ374" s="1366"/>
      <c r="DR374" s="1366"/>
      <c r="DS374" s="1366"/>
      <c r="DT374" s="1366"/>
      <c r="DU374" s="1366"/>
      <c r="DV374" s="1366"/>
    </row>
    <row r="375" spans="1:126" s="1367" customFormat="1" ht="30">
      <c r="A375" s="2494"/>
      <c r="B375" s="1656" t="s">
        <v>2473</v>
      </c>
      <c r="C375" s="1642" t="s">
        <v>47</v>
      </c>
      <c r="D375" s="1364" t="s">
        <v>2477</v>
      </c>
      <c r="E375" s="1364" t="s">
        <v>2102</v>
      </c>
      <c r="F375" s="1364" t="s">
        <v>2438</v>
      </c>
      <c r="G375" s="1185" t="s">
        <v>1839</v>
      </c>
      <c r="H375" s="1361">
        <f>((50*'Equipment Results Matrix'!$R$819)+(0.58*'Equipment Results Matrix'!$R$818)+'Equipment Results Matrix'!$R$820+'Equipment Results Matrix'!$R$822+'Equipment Results Matrix'!$T$825)*(1+'Equipment Results Matrix'!$T$827)</f>
        <v>813.82058886348113</v>
      </c>
      <c r="I375" s="1371">
        <f>0.0315*50+2.9443</f>
        <v>4.5193000000000003</v>
      </c>
      <c r="J375" s="1372">
        <f>'Labor Results Matrix'!$G$314*(1+'Labor Results Matrix'!$K$314)</f>
        <v>78.188884348876428</v>
      </c>
      <c r="K375" s="1372">
        <f t="shared" si="144"/>
        <v>353.35902503787725</v>
      </c>
      <c r="L375" s="1372">
        <v>0</v>
      </c>
      <c r="M375" s="1372">
        <f t="shared" si="145"/>
        <v>1167.1796139013584</v>
      </c>
      <c r="N375" s="1455" t="s">
        <v>40</v>
      </c>
      <c r="O375" s="1429"/>
      <c r="P375" s="1430"/>
      <c r="Q375" s="1430"/>
      <c r="R375" s="1430"/>
      <c r="S375" s="1430"/>
      <c r="T375" s="1430"/>
      <c r="U375" s="1430"/>
      <c r="V375" s="1679"/>
      <c r="W375" s="1366"/>
      <c r="X375" s="1366"/>
      <c r="Y375" s="1366"/>
      <c r="Z375" s="1366"/>
      <c r="AA375" s="1366"/>
      <c r="AB375" s="1366"/>
      <c r="AC375" s="1366"/>
      <c r="AD375" s="1366"/>
      <c r="AE375" s="1366"/>
      <c r="AF375" s="1366"/>
      <c r="AG375" s="1366"/>
      <c r="AH375" s="1366"/>
      <c r="AI375" s="1366"/>
      <c r="AJ375" s="1366"/>
      <c r="AK375" s="1366"/>
      <c r="AL375" s="1366"/>
      <c r="AM375" s="1366"/>
      <c r="AN375" s="1366"/>
      <c r="AO375" s="1366"/>
      <c r="AP375" s="1366"/>
      <c r="AQ375" s="1366"/>
      <c r="AR375" s="1366"/>
      <c r="AS375" s="1366"/>
      <c r="AT375" s="1366"/>
      <c r="AU375" s="1366"/>
      <c r="AV375" s="1366"/>
      <c r="AW375" s="1366"/>
      <c r="AX375" s="1366"/>
      <c r="AY375" s="1366"/>
      <c r="AZ375" s="1366"/>
      <c r="BA375" s="1366"/>
      <c r="BB375" s="1366"/>
      <c r="BC375" s="1366"/>
      <c r="BD375" s="1366"/>
      <c r="BE375" s="1366"/>
      <c r="BF375" s="1366"/>
      <c r="BG375" s="1366"/>
      <c r="BH375" s="1366"/>
      <c r="BI375" s="1366"/>
      <c r="BJ375" s="1366"/>
      <c r="BK375" s="1366"/>
      <c r="BL375" s="1366"/>
      <c r="BM375" s="1366"/>
      <c r="BN375" s="1366"/>
      <c r="BO375" s="1366"/>
      <c r="BP375" s="1366"/>
      <c r="BQ375" s="1366"/>
      <c r="BR375" s="1366"/>
      <c r="BS375" s="1366"/>
      <c r="BT375" s="1366"/>
      <c r="BU375" s="1366"/>
      <c r="BV375" s="1366"/>
      <c r="BW375" s="1366"/>
      <c r="BX375" s="1366"/>
      <c r="BY375" s="1366"/>
      <c r="BZ375" s="1366"/>
      <c r="CA375" s="1366"/>
      <c r="CB375" s="1366"/>
      <c r="CC375" s="1366"/>
      <c r="CD375" s="1366"/>
      <c r="CE375" s="1366"/>
      <c r="CF375" s="1366"/>
      <c r="CG375" s="1366"/>
      <c r="CH375" s="1366"/>
      <c r="CI375" s="1366"/>
      <c r="CJ375" s="1366"/>
      <c r="CK375" s="1366"/>
      <c r="CL375" s="1366"/>
      <c r="CM375" s="1366"/>
      <c r="CN375" s="1366"/>
      <c r="CO375" s="1366"/>
      <c r="CP375" s="1366"/>
      <c r="CQ375" s="1366"/>
      <c r="CR375" s="1366"/>
      <c r="CS375" s="1366"/>
      <c r="CT375" s="1366"/>
      <c r="CU375" s="1366"/>
      <c r="CV375" s="1366"/>
      <c r="CW375" s="1366"/>
      <c r="CX375" s="1366"/>
      <c r="CY375" s="1366"/>
      <c r="CZ375" s="1366"/>
      <c r="DA375" s="1366"/>
      <c r="DB375" s="1366"/>
      <c r="DC375" s="1366"/>
      <c r="DD375" s="1366"/>
      <c r="DE375" s="1366"/>
      <c r="DF375" s="1366"/>
      <c r="DG375" s="1366"/>
      <c r="DH375" s="1366"/>
      <c r="DI375" s="1366"/>
      <c r="DJ375" s="1366"/>
      <c r="DK375" s="1366"/>
      <c r="DL375" s="1366"/>
      <c r="DM375" s="1366"/>
      <c r="DN375" s="1366"/>
      <c r="DO375" s="1366"/>
      <c r="DP375" s="1366"/>
      <c r="DQ375" s="1366"/>
      <c r="DR375" s="1366"/>
      <c r="DS375" s="1366"/>
      <c r="DT375" s="1366"/>
      <c r="DU375" s="1366"/>
      <c r="DV375" s="1366"/>
    </row>
    <row r="376" spans="1:126" s="1367" customFormat="1">
      <c r="A376" s="2494"/>
      <c r="B376" s="1653">
        <v>362</v>
      </c>
      <c r="C376" s="1642" t="s">
        <v>49</v>
      </c>
      <c r="D376" s="1364" t="s">
        <v>2461</v>
      </c>
      <c r="E376" s="1364" t="s">
        <v>2102</v>
      </c>
      <c r="F376" s="1364" t="s">
        <v>2108</v>
      </c>
      <c r="G376" s="1185" t="s">
        <v>1839</v>
      </c>
      <c r="H376" s="1361">
        <f>((50*'Equipment Results Matrix'!$R$819)+(0.62*'Equipment Results Matrix'!$R$818)+'Equipment Results Matrix'!$R$820+'Equipment Results Matrix'!$R$822+'Equipment Results Matrix'!$T$825)*(1+'Equipment Results Matrix'!$T$827)</f>
        <v>921.11587387948134</v>
      </c>
      <c r="I376" s="1371">
        <f t="shared" ref="I376:I381" si="149">0.0315*50+2.9443</f>
        <v>4.5193000000000003</v>
      </c>
      <c r="J376" s="1372">
        <f>'Labor Results Matrix'!$G$314*(1+'Labor Results Matrix'!$K$314)</f>
        <v>78.188884348876428</v>
      </c>
      <c r="K376" s="1372">
        <f t="shared" si="144"/>
        <v>353.35902503787725</v>
      </c>
      <c r="L376" s="1372">
        <v>0</v>
      </c>
      <c r="M376" s="1372">
        <f t="shared" si="145"/>
        <v>1274.4748989173586</v>
      </c>
      <c r="N376" s="1458">
        <f t="shared" ref="N376:N381" si="150">M376-$M$375</f>
        <v>107.29528501600021</v>
      </c>
      <c r="O376" s="1429"/>
      <c r="P376" s="1430"/>
      <c r="Q376" s="1430"/>
      <c r="R376" s="1430"/>
      <c r="S376" s="1430"/>
      <c r="T376" s="1430"/>
      <c r="U376" s="1430"/>
      <c r="V376" s="1679"/>
      <c r="W376" s="1366"/>
      <c r="X376" s="1366"/>
      <c r="Y376" s="1366"/>
      <c r="Z376" s="1366"/>
      <c r="AA376" s="1366"/>
      <c r="AB376" s="1366"/>
      <c r="AC376" s="1366"/>
      <c r="AD376" s="1366"/>
      <c r="AE376" s="1366"/>
      <c r="AF376" s="1366"/>
      <c r="AG376" s="1366"/>
      <c r="AH376" s="1366"/>
      <c r="AI376" s="1366"/>
      <c r="AJ376" s="1366"/>
      <c r="AK376" s="1366"/>
      <c r="AL376" s="1366"/>
      <c r="AM376" s="1366"/>
      <c r="AN376" s="1366"/>
      <c r="AO376" s="1366"/>
      <c r="AP376" s="1366"/>
      <c r="AQ376" s="1366"/>
      <c r="AR376" s="1366"/>
      <c r="AS376" s="1366"/>
      <c r="AT376" s="1366"/>
      <c r="AU376" s="1366"/>
      <c r="AV376" s="1366"/>
      <c r="AW376" s="1366"/>
      <c r="AX376" s="1366"/>
      <c r="AY376" s="1366"/>
      <c r="AZ376" s="1366"/>
      <c r="BA376" s="1366"/>
      <c r="BB376" s="1366"/>
      <c r="BC376" s="1366"/>
      <c r="BD376" s="1366"/>
      <c r="BE376" s="1366"/>
      <c r="BF376" s="1366"/>
      <c r="BG376" s="1366"/>
      <c r="BH376" s="1366"/>
      <c r="BI376" s="1366"/>
      <c r="BJ376" s="1366"/>
      <c r="BK376" s="1366"/>
      <c r="BL376" s="1366"/>
      <c r="BM376" s="1366"/>
      <c r="BN376" s="1366"/>
      <c r="BO376" s="1366"/>
      <c r="BP376" s="1366"/>
      <c r="BQ376" s="1366"/>
      <c r="BR376" s="1366"/>
      <c r="BS376" s="1366"/>
      <c r="BT376" s="1366"/>
      <c r="BU376" s="1366"/>
      <c r="BV376" s="1366"/>
      <c r="BW376" s="1366"/>
      <c r="BX376" s="1366"/>
      <c r="BY376" s="1366"/>
      <c r="BZ376" s="1366"/>
      <c r="CA376" s="1366"/>
      <c r="CB376" s="1366"/>
      <c r="CC376" s="1366"/>
      <c r="CD376" s="1366"/>
      <c r="CE376" s="1366"/>
      <c r="CF376" s="1366"/>
      <c r="CG376" s="1366"/>
      <c r="CH376" s="1366"/>
      <c r="CI376" s="1366"/>
      <c r="CJ376" s="1366"/>
      <c r="CK376" s="1366"/>
      <c r="CL376" s="1366"/>
      <c r="CM376" s="1366"/>
      <c r="CN376" s="1366"/>
      <c r="CO376" s="1366"/>
      <c r="CP376" s="1366"/>
      <c r="CQ376" s="1366"/>
      <c r="CR376" s="1366"/>
      <c r="CS376" s="1366"/>
      <c r="CT376" s="1366"/>
      <c r="CU376" s="1366"/>
      <c r="CV376" s="1366"/>
      <c r="CW376" s="1366"/>
      <c r="CX376" s="1366"/>
      <c r="CY376" s="1366"/>
      <c r="CZ376" s="1366"/>
      <c r="DA376" s="1366"/>
      <c r="DB376" s="1366"/>
      <c r="DC376" s="1366"/>
      <c r="DD376" s="1366"/>
      <c r="DE376" s="1366"/>
      <c r="DF376" s="1366"/>
      <c r="DG376" s="1366"/>
      <c r="DH376" s="1366"/>
      <c r="DI376" s="1366"/>
      <c r="DJ376" s="1366"/>
      <c r="DK376" s="1366"/>
      <c r="DL376" s="1366"/>
      <c r="DM376" s="1366"/>
      <c r="DN376" s="1366"/>
      <c r="DO376" s="1366"/>
      <c r="DP376" s="1366"/>
      <c r="DQ376" s="1366"/>
      <c r="DR376" s="1366"/>
      <c r="DS376" s="1366"/>
      <c r="DT376" s="1366"/>
      <c r="DU376" s="1366"/>
      <c r="DV376" s="1366"/>
    </row>
    <row r="377" spans="1:126" s="1367" customFormat="1">
      <c r="A377" s="2494"/>
      <c r="B377" s="1653">
        <v>383</v>
      </c>
      <c r="C377" s="1642" t="s">
        <v>49</v>
      </c>
      <c r="D377" s="1364" t="s">
        <v>248</v>
      </c>
      <c r="E377" s="1364" t="s">
        <v>2102</v>
      </c>
      <c r="F377" s="1364" t="s">
        <v>2107</v>
      </c>
      <c r="G377" s="1185" t="s">
        <v>1839</v>
      </c>
      <c r="H377" s="1361">
        <f>((50*'Equipment Results Matrix'!$R$819)+(0.62*'Equipment Results Matrix'!$R$818)+'Equipment Results Matrix'!$R$820+'Equipment Results Matrix'!$R$822+'Equipment Results Matrix'!$T$825)*(1+'Equipment Results Matrix'!$T$827)</f>
        <v>921.11587387948134</v>
      </c>
      <c r="I377" s="1371">
        <f t="shared" si="149"/>
        <v>4.5193000000000003</v>
      </c>
      <c r="J377" s="1372">
        <f>'Labor Results Matrix'!$G$314*(1+'Labor Results Matrix'!$K$314)</f>
        <v>78.188884348876428</v>
      </c>
      <c r="K377" s="1372">
        <f t="shared" si="144"/>
        <v>353.35902503787725</v>
      </c>
      <c r="L377" s="1372">
        <v>0</v>
      </c>
      <c r="M377" s="1372">
        <f t="shared" si="145"/>
        <v>1274.4748989173586</v>
      </c>
      <c r="N377" s="1458">
        <f t="shared" si="150"/>
        <v>107.29528501600021</v>
      </c>
      <c r="O377" s="1429"/>
      <c r="P377" s="1430"/>
      <c r="Q377" s="1430"/>
      <c r="R377" s="1430"/>
      <c r="S377" s="1430"/>
      <c r="T377" s="1430"/>
      <c r="U377" s="1430"/>
      <c r="V377" s="1679"/>
      <c r="W377" s="1366"/>
      <c r="X377" s="1366"/>
      <c r="Y377" s="1366"/>
      <c r="Z377" s="1366"/>
      <c r="AA377" s="1366"/>
      <c r="AB377" s="1366"/>
      <c r="AC377" s="1366"/>
      <c r="AD377" s="1366"/>
      <c r="AE377" s="1366"/>
      <c r="AF377" s="1366"/>
      <c r="AG377" s="1366"/>
      <c r="AH377" s="1366"/>
      <c r="AI377" s="1366"/>
      <c r="AJ377" s="1366"/>
      <c r="AK377" s="1366"/>
      <c r="AL377" s="1366"/>
      <c r="AM377" s="1366"/>
      <c r="AN377" s="1366"/>
      <c r="AO377" s="1366"/>
      <c r="AP377" s="1366"/>
      <c r="AQ377" s="1366"/>
      <c r="AR377" s="1366"/>
      <c r="AS377" s="1366"/>
      <c r="AT377" s="1366"/>
      <c r="AU377" s="1366"/>
      <c r="AV377" s="1366"/>
      <c r="AW377" s="1366"/>
      <c r="AX377" s="1366"/>
      <c r="AY377" s="1366"/>
      <c r="AZ377" s="1366"/>
      <c r="BA377" s="1366"/>
      <c r="BB377" s="1366"/>
      <c r="BC377" s="1366"/>
      <c r="BD377" s="1366"/>
      <c r="BE377" s="1366"/>
      <c r="BF377" s="1366"/>
      <c r="BG377" s="1366"/>
      <c r="BH377" s="1366"/>
      <c r="BI377" s="1366"/>
      <c r="BJ377" s="1366"/>
      <c r="BK377" s="1366"/>
      <c r="BL377" s="1366"/>
      <c r="BM377" s="1366"/>
      <c r="BN377" s="1366"/>
      <c r="BO377" s="1366"/>
      <c r="BP377" s="1366"/>
      <c r="BQ377" s="1366"/>
      <c r="BR377" s="1366"/>
      <c r="BS377" s="1366"/>
      <c r="BT377" s="1366"/>
      <c r="BU377" s="1366"/>
      <c r="BV377" s="1366"/>
      <c r="BW377" s="1366"/>
      <c r="BX377" s="1366"/>
      <c r="BY377" s="1366"/>
      <c r="BZ377" s="1366"/>
      <c r="CA377" s="1366"/>
      <c r="CB377" s="1366"/>
      <c r="CC377" s="1366"/>
      <c r="CD377" s="1366"/>
      <c r="CE377" s="1366"/>
      <c r="CF377" s="1366"/>
      <c r="CG377" s="1366"/>
      <c r="CH377" s="1366"/>
      <c r="CI377" s="1366"/>
      <c r="CJ377" s="1366"/>
      <c r="CK377" s="1366"/>
      <c r="CL377" s="1366"/>
      <c r="CM377" s="1366"/>
      <c r="CN377" s="1366"/>
      <c r="CO377" s="1366"/>
      <c r="CP377" s="1366"/>
      <c r="CQ377" s="1366"/>
      <c r="CR377" s="1366"/>
      <c r="CS377" s="1366"/>
      <c r="CT377" s="1366"/>
      <c r="CU377" s="1366"/>
      <c r="CV377" s="1366"/>
      <c r="CW377" s="1366"/>
      <c r="CX377" s="1366"/>
      <c r="CY377" s="1366"/>
      <c r="CZ377" s="1366"/>
      <c r="DA377" s="1366"/>
      <c r="DB377" s="1366"/>
      <c r="DC377" s="1366"/>
      <c r="DD377" s="1366"/>
      <c r="DE377" s="1366"/>
      <c r="DF377" s="1366"/>
      <c r="DG377" s="1366"/>
      <c r="DH377" s="1366"/>
      <c r="DI377" s="1366"/>
      <c r="DJ377" s="1366"/>
      <c r="DK377" s="1366"/>
      <c r="DL377" s="1366"/>
      <c r="DM377" s="1366"/>
      <c r="DN377" s="1366"/>
      <c r="DO377" s="1366"/>
      <c r="DP377" s="1366"/>
      <c r="DQ377" s="1366"/>
      <c r="DR377" s="1366"/>
      <c r="DS377" s="1366"/>
      <c r="DT377" s="1366"/>
      <c r="DU377" s="1366"/>
      <c r="DV377" s="1366"/>
    </row>
    <row r="378" spans="1:126" s="1367" customFormat="1">
      <c r="A378" s="2494"/>
      <c r="B378" s="1653">
        <v>363</v>
      </c>
      <c r="C378" s="1642" t="s">
        <v>49</v>
      </c>
      <c r="D378" s="1364" t="s">
        <v>2462</v>
      </c>
      <c r="E378" s="1364" t="s">
        <v>2102</v>
      </c>
      <c r="F378" s="1364" t="s">
        <v>2108</v>
      </c>
      <c r="G378" s="1185" t="s">
        <v>1839</v>
      </c>
      <c r="H378" s="1361">
        <f>((50*'Equipment Results Matrix'!$R$819)+(0.67*'Equipment Results Matrix'!$R$818)+'Equipment Results Matrix'!$R$820+'Equipment Results Matrix'!$R$822+'Equipment Results Matrix'!$T$825)*(1+'Equipment Results Matrix'!$T$827)</f>
        <v>1055.2349801494815</v>
      </c>
      <c r="I378" s="1371">
        <f t="shared" si="149"/>
        <v>4.5193000000000003</v>
      </c>
      <c r="J378" s="1372">
        <f>'Labor Results Matrix'!$G$314*(1+'Labor Results Matrix'!$K$314)</f>
        <v>78.188884348876428</v>
      </c>
      <c r="K378" s="1372">
        <f t="shared" si="144"/>
        <v>353.35902503787725</v>
      </c>
      <c r="L378" s="1372">
        <v>0</v>
      </c>
      <c r="M378" s="1372">
        <f t="shared" si="145"/>
        <v>1408.5940051873588</v>
      </c>
      <c r="N378" s="1458">
        <f t="shared" si="150"/>
        <v>241.41439128600041</v>
      </c>
      <c r="O378" s="1429"/>
      <c r="P378" s="1430"/>
      <c r="Q378" s="1430"/>
      <c r="R378" s="1430"/>
      <c r="S378" s="1430"/>
      <c r="T378" s="1430"/>
      <c r="U378" s="1430"/>
      <c r="V378" s="1679"/>
      <c r="W378" s="1366"/>
      <c r="X378" s="1366"/>
      <c r="Y378" s="1366"/>
      <c r="Z378" s="1366"/>
      <c r="AA378" s="1366"/>
      <c r="AB378" s="1366"/>
      <c r="AC378" s="1366"/>
      <c r="AD378" s="1366"/>
      <c r="AE378" s="1366"/>
      <c r="AF378" s="1366"/>
      <c r="AG378" s="1366"/>
      <c r="AH378" s="1366"/>
      <c r="AI378" s="1366"/>
      <c r="AJ378" s="1366"/>
      <c r="AK378" s="1366"/>
      <c r="AL378" s="1366"/>
      <c r="AM378" s="1366"/>
      <c r="AN378" s="1366"/>
      <c r="AO378" s="1366"/>
      <c r="AP378" s="1366"/>
      <c r="AQ378" s="1366"/>
      <c r="AR378" s="1366"/>
      <c r="AS378" s="1366"/>
      <c r="AT378" s="1366"/>
      <c r="AU378" s="1366"/>
      <c r="AV378" s="1366"/>
      <c r="AW378" s="1366"/>
      <c r="AX378" s="1366"/>
      <c r="AY378" s="1366"/>
      <c r="AZ378" s="1366"/>
      <c r="BA378" s="1366"/>
      <c r="BB378" s="1366"/>
      <c r="BC378" s="1366"/>
      <c r="BD378" s="1366"/>
      <c r="BE378" s="1366"/>
      <c r="BF378" s="1366"/>
      <c r="BG378" s="1366"/>
      <c r="BH378" s="1366"/>
      <c r="BI378" s="1366"/>
      <c r="BJ378" s="1366"/>
      <c r="BK378" s="1366"/>
      <c r="BL378" s="1366"/>
      <c r="BM378" s="1366"/>
      <c r="BN378" s="1366"/>
      <c r="BO378" s="1366"/>
      <c r="BP378" s="1366"/>
      <c r="BQ378" s="1366"/>
      <c r="BR378" s="1366"/>
      <c r="BS378" s="1366"/>
      <c r="BT378" s="1366"/>
      <c r="BU378" s="1366"/>
      <c r="BV378" s="1366"/>
      <c r="BW378" s="1366"/>
      <c r="BX378" s="1366"/>
      <c r="BY378" s="1366"/>
      <c r="BZ378" s="1366"/>
      <c r="CA378" s="1366"/>
      <c r="CB378" s="1366"/>
      <c r="CC378" s="1366"/>
      <c r="CD378" s="1366"/>
      <c r="CE378" s="1366"/>
      <c r="CF378" s="1366"/>
      <c r="CG378" s="1366"/>
      <c r="CH378" s="1366"/>
      <c r="CI378" s="1366"/>
      <c r="CJ378" s="1366"/>
      <c r="CK378" s="1366"/>
      <c r="CL378" s="1366"/>
      <c r="CM378" s="1366"/>
      <c r="CN378" s="1366"/>
      <c r="CO378" s="1366"/>
      <c r="CP378" s="1366"/>
      <c r="CQ378" s="1366"/>
      <c r="CR378" s="1366"/>
      <c r="CS378" s="1366"/>
      <c r="CT378" s="1366"/>
      <c r="CU378" s="1366"/>
      <c r="CV378" s="1366"/>
      <c r="CW378" s="1366"/>
      <c r="CX378" s="1366"/>
      <c r="CY378" s="1366"/>
      <c r="CZ378" s="1366"/>
      <c r="DA378" s="1366"/>
      <c r="DB378" s="1366"/>
      <c r="DC378" s="1366"/>
      <c r="DD378" s="1366"/>
      <c r="DE378" s="1366"/>
      <c r="DF378" s="1366"/>
      <c r="DG378" s="1366"/>
      <c r="DH378" s="1366"/>
      <c r="DI378" s="1366"/>
      <c r="DJ378" s="1366"/>
      <c r="DK378" s="1366"/>
      <c r="DL378" s="1366"/>
      <c r="DM378" s="1366"/>
      <c r="DN378" s="1366"/>
      <c r="DO378" s="1366"/>
      <c r="DP378" s="1366"/>
      <c r="DQ378" s="1366"/>
      <c r="DR378" s="1366"/>
      <c r="DS378" s="1366"/>
      <c r="DT378" s="1366"/>
      <c r="DU378" s="1366"/>
      <c r="DV378" s="1366"/>
    </row>
    <row r="379" spans="1:126" s="1367" customFormat="1">
      <c r="A379" s="2494"/>
      <c r="B379" s="1653">
        <v>384</v>
      </c>
      <c r="C379" s="1642" t="s">
        <v>49</v>
      </c>
      <c r="D379" s="1364" t="s">
        <v>249</v>
      </c>
      <c r="E379" s="1364" t="s">
        <v>2102</v>
      </c>
      <c r="F379" s="1364" t="s">
        <v>2107</v>
      </c>
      <c r="G379" s="1185" t="s">
        <v>1839</v>
      </c>
      <c r="H379" s="1361">
        <f>((50*'Equipment Results Matrix'!$R$819)+(0.67*'Equipment Results Matrix'!$R$818)+'Equipment Results Matrix'!$R$820+'Equipment Results Matrix'!$R$822+'Equipment Results Matrix'!$T$825)*(1+'Equipment Results Matrix'!$T$827)</f>
        <v>1055.2349801494815</v>
      </c>
      <c r="I379" s="1371">
        <f t="shared" si="149"/>
        <v>4.5193000000000003</v>
      </c>
      <c r="J379" s="1372">
        <f>'Labor Results Matrix'!$G$314*(1+'Labor Results Matrix'!$K$314)</f>
        <v>78.188884348876428</v>
      </c>
      <c r="K379" s="1372">
        <f t="shared" si="144"/>
        <v>353.35902503787725</v>
      </c>
      <c r="L379" s="1372">
        <v>0</v>
      </c>
      <c r="M379" s="1372">
        <f t="shared" si="145"/>
        <v>1408.5940051873588</v>
      </c>
      <c r="N379" s="1458">
        <f t="shared" si="150"/>
        <v>241.41439128600041</v>
      </c>
      <c r="O379" s="1429"/>
      <c r="P379" s="1430"/>
      <c r="Q379" s="1430"/>
      <c r="R379" s="1430"/>
      <c r="S379" s="1430"/>
      <c r="T379" s="1430"/>
      <c r="U379" s="1430"/>
      <c r="V379" s="1679"/>
      <c r="W379" s="1366"/>
      <c r="X379" s="1366"/>
      <c r="Y379" s="1366"/>
      <c r="Z379" s="1366"/>
      <c r="AA379" s="1366"/>
      <c r="AB379" s="1366"/>
      <c r="AC379" s="1366"/>
      <c r="AD379" s="1366"/>
      <c r="AE379" s="1366"/>
      <c r="AF379" s="1366"/>
      <c r="AG379" s="1366"/>
      <c r="AH379" s="1366"/>
      <c r="AI379" s="1366"/>
      <c r="AJ379" s="1366"/>
      <c r="AK379" s="1366"/>
      <c r="AL379" s="1366"/>
      <c r="AM379" s="1366"/>
      <c r="AN379" s="1366"/>
      <c r="AO379" s="1366"/>
      <c r="AP379" s="1366"/>
      <c r="AQ379" s="1366"/>
      <c r="AR379" s="1366"/>
      <c r="AS379" s="1366"/>
      <c r="AT379" s="1366"/>
      <c r="AU379" s="1366"/>
      <c r="AV379" s="1366"/>
      <c r="AW379" s="1366"/>
      <c r="AX379" s="1366"/>
      <c r="AY379" s="1366"/>
      <c r="AZ379" s="1366"/>
      <c r="BA379" s="1366"/>
      <c r="BB379" s="1366"/>
      <c r="BC379" s="1366"/>
      <c r="BD379" s="1366"/>
      <c r="BE379" s="1366"/>
      <c r="BF379" s="1366"/>
      <c r="BG379" s="1366"/>
      <c r="BH379" s="1366"/>
      <c r="BI379" s="1366"/>
      <c r="BJ379" s="1366"/>
      <c r="BK379" s="1366"/>
      <c r="BL379" s="1366"/>
      <c r="BM379" s="1366"/>
      <c r="BN379" s="1366"/>
      <c r="BO379" s="1366"/>
      <c r="BP379" s="1366"/>
      <c r="BQ379" s="1366"/>
      <c r="BR379" s="1366"/>
      <c r="BS379" s="1366"/>
      <c r="BT379" s="1366"/>
      <c r="BU379" s="1366"/>
      <c r="BV379" s="1366"/>
      <c r="BW379" s="1366"/>
      <c r="BX379" s="1366"/>
      <c r="BY379" s="1366"/>
      <c r="BZ379" s="1366"/>
      <c r="CA379" s="1366"/>
      <c r="CB379" s="1366"/>
      <c r="CC379" s="1366"/>
      <c r="CD379" s="1366"/>
      <c r="CE379" s="1366"/>
      <c r="CF379" s="1366"/>
      <c r="CG379" s="1366"/>
      <c r="CH379" s="1366"/>
      <c r="CI379" s="1366"/>
      <c r="CJ379" s="1366"/>
      <c r="CK379" s="1366"/>
      <c r="CL379" s="1366"/>
      <c r="CM379" s="1366"/>
      <c r="CN379" s="1366"/>
      <c r="CO379" s="1366"/>
      <c r="CP379" s="1366"/>
      <c r="CQ379" s="1366"/>
      <c r="CR379" s="1366"/>
      <c r="CS379" s="1366"/>
      <c r="CT379" s="1366"/>
      <c r="CU379" s="1366"/>
      <c r="CV379" s="1366"/>
      <c r="CW379" s="1366"/>
      <c r="CX379" s="1366"/>
      <c r="CY379" s="1366"/>
      <c r="CZ379" s="1366"/>
      <c r="DA379" s="1366"/>
      <c r="DB379" s="1366"/>
      <c r="DC379" s="1366"/>
      <c r="DD379" s="1366"/>
      <c r="DE379" s="1366"/>
      <c r="DF379" s="1366"/>
      <c r="DG379" s="1366"/>
      <c r="DH379" s="1366"/>
      <c r="DI379" s="1366"/>
      <c r="DJ379" s="1366"/>
      <c r="DK379" s="1366"/>
      <c r="DL379" s="1366"/>
      <c r="DM379" s="1366"/>
      <c r="DN379" s="1366"/>
      <c r="DO379" s="1366"/>
      <c r="DP379" s="1366"/>
      <c r="DQ379" s="1366"/>
      <c r="DR379" s="1366"/>
      <c r="DS379" s="1366"/>
      <c r="DT379" s="1366"/>
      <c r="DU379" s="1366"/>
      <c r="DV379" s="1366"/>
    </row>
    <row r="380" spans="1:126" s="1367" customFormat="1">
      <c r="A380" s="2494"/>
      <c r="B380" s="1653">
        <v>364</v>
      </c>
      <c r="C380" s="1642" t="s">
        <v>49</v>
      </c>
      <c r="D380" s="1364" t="s">
        <v>2463</v>
      </c>
      <c r="E380" s="1364" t="s">
        <v>2102</v>
      </c>
      <c r="F380" s="1364" t="s">
        <v>2108</v>
      </c>
      <c r="G380" s="1185" t="s">
        <v>1839</v>
      </c>
      <c r="H380" s="1361">
        <f>((50*'Equipment Results Matrix'!$R$819)+(0.7*'Equipment Results Matrix'!$R$818)+'Equipment Results Matrix'!$R$820+'Equipment Results Matrix'!$R$822+'Equipment Results Matrix'!$T$825)*(1+'Equipment Results Matrix'!$T$827)</f>
        <v>1135.7064439114811</v>
      </c>
      <c r="I380" s="1371">
        <f t="shared" si="149"/>
        <v>4.5193000000000003</v>
      </c>
      <c r="J380" s="1372">
        <f>'Labor Results Matrix'!$G$314*(1+'Labor Results Matrix'!$K$314)</f>
        <v>78.188884348876428</v>
      </c>
      <c r="K380" s="1372">
        <f t="shared" si="144"/>
        <v>353.35902503787725</v>
      </c>
      <c r="L380" s="1372">
        <v>0</v>
      </c>
      <c r="M380" s="1372">
        <f t="shared" si="145"/>
        <v>1489.0654689493583</v>
      </c>
      <c r="N380" s="1458">
        <f t="shared" si="150"/>
        <v>321.88585504799994</v>
      </c>
      <c r="O380" s="1429"/>
      <c r="P380" s="1430"/>
      <c r="Q380" s="1430"/>
      <c r="R380" s="1430"/>
      <c r="S380" s="1430"/>
      <c r="T380" s="1430"/>
      <c r="U380" s="1430"/>
      <c r="V380" s="1679"/>
      <c r="W380" s="1366"/>
      <c r="X380" s="1366"/>
      <c r="Y380" s="1366"/>
      <c r="Z380" s="1366"/>
      <c r="AA380" s="1366"/>
      <c r="AB380" s="1366"/>
      <c r="AC380" s="1366"/>
      <c r="AD380" s="1366"/>
      <c r="AE380" s="1366"/>
      <c r="AF380" s="1366"/>
      <c r="AG380" s="1366"/>
      <c r="AH380" s="1366"/>
      <c r="AI380" s="1366"/>
      <c r="AJ380" s="1366"/>
      <c r="AK380" s="1366"/>
      <c r="AL380" s="1366"/>
      <c r="AM380" s="1366"/>
      <c r="AN380" s="1366"/>
      <c r="AO380" s="1366"/>
      <c r="AP380" s="1366"/>
      <c r="AQ380" s="1366"/>
      <c r="AR380" s="1366"/>
      <c r="AS380" s="1366"/>
      <c r="AT380" s="1366"/>
      <c r="AU380" s="1366"/>
      <c r="AV380" s="1366"/>
      <c r="AW380" s="1366"/>
      <c r="AX380" s="1366"/>
      <c r="AY380" s="1366"/>
      <c r="AZ380" s="1366"/>
      <c r="BA380" s="1366"/>
      <c r="BB380" s="1366"/>
      <c r="BC380" s="1366"/>
      <c r="BD380" s="1366"/>
      <c r="BE380" s="1366"/>
      <c r="BF380" s="1366"/>
      <c r="BG380" s="1366"/>
      <c r="BH380" s="1366"/>
      <c r="BI380" s="1366"/>
      <c r="BJ380" s="1366"/>
      <c r="BK380" s="1366"/>
      <c r="BL380" s="1366"/>
      <c r="BM380" s="1366"/>
      <c r="BN380" s="1366"/>
      <c r="BO380" s="1366"/>
      <c r="BP380" s="1366"/>
      <c r="BQ380" s="1366"/>
      <c r="BR380" s="1366"/>
      <c r="BS380" s="1366"/>
      <c r="BT380" s="1366"/>
      <c r="BU380" s="1366"/>
      <c r="BV380" s="1366"/>
      <c r="BW380" s="1366"/>
      <c r="BX380" s="1366"/>
      <c r="BY380" s="1366"/>
      <c r="BZ380" s="1366"/>
      <c r="CA380" s="1366"/>
      <c r="CB380" s="1366"/>
      <c r="CC380" s="1366"/>
      <c r="CD380" s="1366"/>
      <c r="CE380" s="1366"/>
      <c r="CF380" s="1366"/>
      <c r="CG380" s="1366"/>
      <c r="CH380" s="1366"/>
      <c r="CI380" s="1366"/>
      <c r="CJ380" s="1366"/>
      <c r="CK380" s="1366"/>
      <c r="CL380" s="1366"/>
      <c r="CM380" s="1366"/>
      <c r="CN380" s="1366"/>
      <c r="CO380" s="1366"/>
      <c r="CP380" s="1366"/>
      <c r="CQ380" s="1366"/>
      <c r="CR380" s="1366"/>
      <c r="CS380" s="1366"/>
      <c r="CT380" s="1366"/>
      <c r="CU380" s="1366"/>
      <c r="CV380" s="1366"/>
      <c r="CW380" s="1366"/>
      <c r="CX380" s="1366"/>
      <c r="CY380" s="1366"/>
      <c r="CZ380" s="1366"/>
      <c r="DA380" s="1366"/>
      <c r="DB380" s="1366"/>
      <c r="DC380" s="1366"/>
      <c r="DD380" s="1366"/>
      <c r="DE380" s="1366"/>
      <c r="DF380" s="1366"/>
      <c r="DG380" s="1366"/>
      <c r="DH380" s="1366"/>
      <c r="DI380" s="1366"/>
      <c r="DJ380" s="1366"/>
      <c r="DK380" s="1366"/>
      <c r="DL380" s="1366"/>
      <c r="DM380" s="1366"/>
      <c r="DN380" s="1366"/>
      <c r="DO380" s="1366"/>
      <c r="DP380" s="1366"/>
      <c r="DQ380" s="1366"/>
      <c r="DR380" s="1366"/>
      <c r="DS380" s="1366"/>
      <c r="DT380" s="1366"/>
      <c r="DU380" s="1366"/>
      <c r="DV380" s="1366"/>
    </row>
    <row r="381" spans="1:126" s="1367" customFormat="1">
      <c r="A381" s="2494"/>
      <c r="B381" s="1653">
        <v>385</v>
      </c>
      <c r="C381" s="1642" t="s">
        <v>49</v>
      </c>
      <c r="D381" s="1364" t="s">
        <v>250</v>
      </c>
      <c r="E381" s="1364" t="s">
        <v>2102</v>
      </c>
      <c r="F381" s="1364" t="s">
        <v>2107</v>
      </c>
      <c r="G381" s="1185" t="s">
        <v>1839</v>
      </c>
      <c r="H381" s="1361">
        <f>((50*'Equipment Results Matrix'!$R$819)+(0.7*'Equipment Results Matrix'!$R$818)+'Equipment Results Matrix'!$R$820+'Equipment Results Matrix'!$R$822+'Equipment Results Matrix'!$T$825)*(1+'Equipment Results Matrix'!$T$827)</f>
        <v>1135.7064439114811</v>
      </c>
      <c r="I381" s="1371">
        <f t="shared" si="149"/>
        <v>4.5193000000000003</v>
      </c>
      <c r="J381" s="1372">
        <f>'Labor Results Matrix'!$G$314*(1+'Labor Results Matrix'!$K$314)</f>
        <v>78.188884348876428</v>
      </c>
      <c r="K381" s="1372">
        <f t="shared" si="144"/>
        <v>353.35902503787725</v>
      </c>
      <c r="L381" s="1372">
        <v>0</v>
      </c>
      <c r="M381" s="1372">
        <f t="shared" si="145"/>
        <v>1489.0654689493583</v>
      </c>
      <c r="N381" s="1458">
        <f t="shared" si="150"/>
        <v>321.88585504799994</v>
      </c>
      <c r="O381" s="1429"/>
      <c r="P381" s="1430"/>
      <c r="Q381" s="1430"/>
      <c r="R381" s="1430"/>
      <c r="S381" s="1430"/>
      <c r="T381" s="1430"/>
      <c r="U381" s="1430"/>
      <c r="V381" s="1679"/>
      <c r="W381" s="1366"/>
      <c r="X381" s="1366"/>
      <c r="Y381" s="1366"/>
      <c r="Z381" s="1366"/>
      <c r="AA381" s="1366"/>
      <c r="AB381" s="1366"/>
      <c r="AC381" s="1366"/>
      <c r="AD381" s="1366"/>
      <c r="AE381" s="1366"/>
      <c r="AF381" s="1366"/>
      <c r="AG381" s="1366"/>
      <c r="AH381" s="1366"/>
      <c r="AI381" s="1366"/>
      <c r="AJ381" s="1366"/>
      <c r="AK381" s="1366"/>
      <c r="AL381" s="1366"/>
      <c r="AM381" s="1366"/>
      <c r="AN381" s="1366"/>
      <c r="AO381" s="1366"/>
      <c r="AP381" s="1366"/>
      <c r="AQ381" s="1366"/>
      <c r="AR381" s="1366"/>
      <c r="AS381" s="1366"/>
      <c r="AT381" s="1366"/>
      <c r="AU381" s="1366"/>
      <c r="AV381" s="1366"/>
      <c r="AW381" s="1366"/>
      <c r="AX381" s="1366"/>
      <c r="AY381" s="1366"/>
      <c r="AZ381" s="1366"/>
      <c r="BA381" s="1366"/>
      <c r="BB381" s="1366"/>
      <c r="BC381" s="1366"/>
      <c r="BD381" s="1366"/>
      <c r="BE381" s="1366"/>
      <c r="BF381" s="1366"/>
      <c r="BG381" s="1366"/>
      <c r="BH381" s="1366"/>
      <c r="BI381" s="1366"/>
      <c r="BJ381" s="1366"/>
      <c r="BK381" s="1366"/>
      <c r="BL381" s="1366"/>
      <c r="BM381" s="1366"/>
      <c r="BN381" s="1366"/>
      <c r="BO381" s="1366"/>
      <c r="BP381" s="1366"/>
      <c r="BQ381" s="1366"/>
      <c r="BR381" s="1366"/>
      <c r="BS381" s="1366"/>
      <c r="BT381" s="1366"/>
      <c r="BU381" s="1366"/>
      <c r="BV381" s="1366"/>
      <c r="BW381" s="1366"/>
      <c r="BX381" s="1366"/>
      <c r="BY381" s="1366"/>
      <c r="BZ381" s="1366"/>
      <c r="CA381" s="1366"/>
      <c r="CB381" s="1366"/>
      <c r="CC381" s="1366"/>
      <c r="CD381" s="1366"/>
      <c r="CE381" s="1366"/>
      <c r="CF381" s="1366"/>
      <c r="CG381" s="1366"/>
      <c r="CH381" s="1366"/>
      <c r="CI381" s="1366"/>
      <c r="CJ381" s="1366"/>
      <c r="CK381" s="1366"/>
      <c r="CL381" s="1366"/>
      <c r="CM381" s="1366"/>
      <c r="CN381" s="1366"/>
      <c r="CO381" s="1366"/>
      <c r="CP381" s="1366"/>
      <c r="CQ381" s="1366"/>
      <c r="CR381" s="1366"/>
      <c r="CS381" s="1366"/>
      <c r="CT381" s="1366"/>
      <c r="CU381" s="1366"/>
      <c r="CV381" s="1366"/>
      <c r="CW381" s="1366"/>
      <c r="CX381" s="1366"/>
      <c r="CY381" s="1366"/>
      <c r="CZ381" s="1366"/>
      <c r="DA381" s="1366"/>
      <c r="DB381" s="1366"/>
      <c r="DC381" s="1366"/>
      <c r="DD381" s="1366"/>
      <c r="DE381" s="1366"/>
      <c r="DF381" s="1366"/>
      <c r="DG381" s="1366"/>
      <c r="DH381" s="1366"/>
      <c r="DI381" s="1366"/>
      <c r="DJ381" s="1366"/>
      <c r="DK381" s="1366"/>
      <c r="DL381" s="1366"/>
      <c r="DM381" s="1366"/>
      <c r="DN381" s="1366"/>
      <c r="DO381" s="1366"/>
      <c r="DP381" s="1366"/>
      <c r="DQ381" s="1366"/>
      <c r="DR381" s="1366"/>
      <c r="DS381" s="1366"/>
      <c r="DT381" s="1366"/>
      <c r="DU381" s="1366"/>
      <c r="DV381" s="1366"/>
    </row>
    <row r="382" spans="1:126" s="1367" customFormat="1" ht="30">
      <c r="A382" s="2494"/>
      <c r="B382" s="1656" t="s">
        <v>2474</v>
      </c>
      <c r="C382" s="1642" t="s">
        <v>47</v>
      </c>
      <c r="D382" s="1364" t="s">
        <v>2478</v>
      </c>
      <c r="E382" s="1364" t="s">
        <v>2102</v>
      </c>
      <c r="F382" s="1364" t="s">
        <v>2438</v>
      </c>
      <c r="G382" s="1185" t="s">
        <v>1839</v>
      </c>
      <c r="H382" s="1361">
        <f>((60*'Equipment Results Matrix'!$R$819)+(0.56*'Equipment Results Matrix'!$R$818)+'Equipment Results Matrix'!$R$820+'Equipment Results Matrix'!$R$822+'Equipment Results Matrix'!$T$825)*(1+'Equipment Results Matrix'!$T$827)</f>
        <v>864.45093285548103</v>
      </c>
      <c r="I382" s="1371">
        <f>0.0315*60+2.9443</f>
        <v>4.8343000000000007</v>
      </c>
      <c r="J382" s="1372">
        <f>'Labor Results Matrix'!$G$314*(1+'Labor Results Matrix'!$K$314)</f>
        <v>78.188884348876428</v>
      </c>
      <c r="K382" s="1372">
        <f t="shared" si="144"/>
        <v>377.98852360777335</v>
      </c>
      <c r="L382" s="1372">
        <v>0</v>
      </c>
      <c r="M382" s="1372">
        <f t="shared" si="145"/>
        <v>1242.4394564632544</v>
      </c>
      <c r="N382" s="1455" t="s">
        <v>40</v>
      </c>
      <c r="O382" s="1429"/>
      <c r="P382" s="1430"/>
      <c r="Q382" s="1430"/>
      <c r="R382" s="1430"/>
      <c r="S382" s="1430"/>
      <c r="T382" s="1430"/>
      <c r="U382" s="1430"/>
      <c r="V382" s="1679"/>
      <c r="W382" s="1366"/>
      <c r="X382" s="1366"/>
      <c r="Y382" s="1366"/>
      <c r="Z382" s="1366"/>
      <c r="AA382" s="1366"/>
      <c r="AB382" s="1366"/>
      <c r="AC382" s="1366"/>
      <c r="AD382" s="1366"/>
      <c r="AE382" s="1366"/>
      <c r="AF382" s="1366"/>
      <c r="AG382" s="1366"/>
      <c r="AH382" s="1366"/>
      <c r="AI382" s="1366"/>
      <c r="AJ382" s="1366"/>
      <c r="AK382" s="1366"/>
      <c r="AL382" s="1366"/>
      <c r="AM382" s="1366"/>
      <c r="AN382" s="1366"/>
      <c r="AO382" s="1366"/>
      <c r="AP382" s="1366"/>
      <c r="AQ382" s="1366"/>
      <c r="AR382" s="1366"/>
      <c r="AS382" s="1366"/>
      <c r="AT382" s="1366"/>
      <c r="AU382" s="1366"/>
      <c r="AV382" s="1366"/>
      <c r="AW382" s="1366"/>
      <c r="AX382" s="1366"/>
      <c r="AY382" s="1366"/>
      <c r="AZ382" s="1366"/>
      <c r="BA382" s="1366"/>
      <c r="BB382" s="1366"/>
      <c r="BC382" s="1366"/>
      <c r="BD382" s="1366"/>
      <c r="BE382" s="1366"/>
      <c r="BF382" s="1366"/>
      <c r="BG382" s="1366"/>
      <c r="BH382" s="1366"/>
      <c r="BI382" s="1366"/>
      <c r="BJ382" s="1366"/>
      <c r="BK382" s="1366"/>
      <c r="BL382" s="1366"/>
      <c r="BM382" s="1366"/>
      <c r="BN382" s="1366"/>
      <c r="BO382" s="1366"/>
      <c r="BP382" s="1366"/>
      <c r="BQ382" s="1366"/>
      <c r="BR382" s="1366"/>
      <c r="BS382" s="1366"/>
      <c r="BT382" s="1366"/>
      <c r="BU382" s="1366"/>
      <c r="BV382" s="1366"/>
      <c r="BW382" s="1366"/>
      <c r="BX382" s="1366"/>
      <c r="BY382" s="1366"/>
      <c r="BZ382" s="1366"/>
      <c r="CA382" s="1366"/>
      <c r="CB382" s="1366"/>
      <c r="CC382" s="1366"/>
      <c r="CD382" s="1366"/>
      <c r="CE382" s="1366"/>
      <c r="CF382" s="1366"/>
      <c r="CG382" s="1366"/>
      <c r="CH382" s="1366"/>
      <c r="CI382" s="1366"/>
      <c r="CJ382" s="1366"/>
      <c r="CK382" s="1366"/>
      <c r="CL382" s="1366"/>
      <c r="CM382" s="1366"/>
      <c r="CN382" s="1366"/>
      <c r="CO382" s="1366"/>
      <c r="CP382" s="1366"/>
      <c r="CQ382" s="1366"/>
      <c r="CR382" s="1366"/>
      <c r="CS382" s="1366"/>
      <c r="CT382" s="1366"/>
      <c r="CU382" s="1366"/>
      <c r="CV382" s="1366"/>
      <c r="CW382" s="1366"/>
      <c r="CX382" s="1366"/>
      <c r="CY382" s="1366"/>
      <c r="CZ382" s="1366"/>
      <c r="DA382" s="1366"/>
      <c r="DB382" s="1366"/>
      <c r="DC382" s="1366"/>
      <c r="DD382" s="1366"/>
      <c r="DE382" s="1366"/>
      <c r="DF382" s="1366"/>
      <c r="DG382" s="1366"/>
      <c r="DH382" s="1366"/>
      <c r="DI382" s="1366"/>
      <c r="DJ382" s="1366"/>
      <c r="DK382" s="1366"/>
      <c r="DL382" s="1366"/>
      <c r="DM382" s="1366"/>
      <c r="DN382" s="1366"/>
      <c r="DO382" s="1366"/>
      <c r="DP382" s="1366"/>
      <c r="DQ382" s="1366"/>
      <c r="DR382" s="1366"/>
      <c r="DS382" s="1366"/>
      <c r="DT382" s="1366"/>
      <c r="DU382" s="1366"/>
      <c r="DV382" s="1366"/>
    </row>
    <row r="383" spans="1:126" s="1367" customFormat="1">
      <c r="A383" s="2494"/>
      <c r="B383" s="1653">
        <v>365</v>
      </c>
      <c r="C383" s="1642" t="s">
        <v>49</v>
      </c>
      <c r="D383" s="1364" t="s">
        <v>2464</v>
      </c>
      <c r="E383" s="1364" t="s">
        <v>2102</v>
      </c>
      <c r="F383" s="1364" t="s">
        <v>2108</v>
      </c>
      <c r="G383" s="1185" t="s">
        <v>1839</v>
      </c>
      <c r="H383" s="1361">
        <f>((60*'Equipment Results Matrix'!$R$819)+(0.62*'Equipment Results Matrix'!$R$818)+'Equipment Results Matrix'!$R$820+'Equipment Results Matrix'!$R$822+'Equipment Results Matrix'!$T$825)*(1+'Equipment Results Matrix'!$T$827)</f>
        <v>1025.3938603794811</v>
      </c>
      <c r="I383" s="1371">
        <f t="shared" ref="I383:I388" si="151">0.0315*60+2.9443</f>
        <v>4.8343000000000007</v>
      </c>
      <c r="J383" s="1372">
        <f>'Labor Results Matrix'!$G$314*(1+'Labor Results Matrix'!$K$314)</f>
        <v>78.188884348876428</v>
      </c>
      <c r="K383" s="1372">
        <f t="shared" si="144"/>
        <v>377.98852360777335</v>
      </c>
      <c r="L383" s="1372">
        <v>0</v>
      </c>
      <c r="M383" s="1372">
        <f t="shared" si="145"/>
        <v>1403.3823839872543</v>
      </c>
      <c r="N383" s="1458">
        <f t="shared" ref="N383:N388" si="152">M383-$M$382</f>
        <v>160.94292752399997</v>
      </c>
      <c r="O383" s="1429"/>
      <c r="P383" s="1430"/>
      <c r="Q383" s="1430"/>
      <c r="R383" s="1430"/>
      <c r="S383" s="1430"/>
      <c r="T383" s="1430"/>
      <c r="U383" s="1430"/>
      <c r="V383" s="1679"/>
      <c r="W383" s="1366"/>
      <c r="X383" s="1366"/>
      <c r="Y383" s="1366"/>
      <c r="Z383" s="1366"/>
      <c r="AA383" s="1366"/>
      <c r="AB383" s="1366"/>
      <c r="AC383" s="1366"/>
      <c r="AD383" s="1366"/>
      <c r="AE383" s="1366"/>
      <c r="AF383" s="1366"/>
      <c r="AG383" s="1366"/>
      <c r="AH383" s="1366"/>
      <c r="AI383" s="1366"/>
      <c r="AJ383" s="1366"/>
      <c r="AK383" s="1366"/>
      <c r="AL383" s="1366"/>
      <c r="AM383" s="1366"/>
      <c r="AN383" s="1366"/>
      <c r="AO383" s="1366"/>
      <c r="AP383" s="1366"/>
      <c r="AQ383" s="1366"/>
      <c r="AR383" s="1366"/>
      <c r="AS383" s="1366"/>
      <c r="AT383" s="1366"/>
      <c r="AU383" s="1366"/>
      <c r="AV383" s="1366"/>
      <c r="AW383" s="1366"/>
      <c r="AX383" s="1366"/>
      <c r="AY383" s="1366"/>
      <c r="AZ383" s="1366"/>
      <c r="BA383" s="1366"/>
      <c r="BB383" s="1366"/>
      <c r="BC383" s="1366"/>
      <c r="BD383" s="1366"/>
      <c r="BE383" s="1366"/>
      <c r="BF383" s="1366"/>
      <c r="BG383" s="1366"/>
      <c r="BH383" s="1366"/>
      <c r="BI383" s="1366"/>
      <c r="BJ383" s="1366"/>
      <c r="BK383" s="1366"/>
      <c r="BL383" s="1366"/>
      <c r="BM383" s="1366"/>
      <c r="BN383" s="1366"/>
      <c r="BO383" s="1366"/>
      <c r="BP383" s="1366"/>
      <c r="BQ383" s="1366"/>
      <c r="BR383" s="1366"/>
      <c r="BS383" s="1366"/>
      <c r="BT383" s="1366"/>
      <c r="BU383" s="1366"/>
      <c r="BV383" s="1366"/>
      <c r="BW383" s="1366"/>
      <c r="BX383" s="1366"/>
      <c r="BY383" s="1366"/>
      <c r="BZ383" s="1366"/>
      <c r="CA383" s="1366"/>
      <c r="CB383" s="1366"/>
      <c r="CC383" s="1366"/>
      <c r="CD383" s="1366"/>
      <c r="CE383" s="1366"/>
      <c r="CF383" s="1366"/>
      <c r="CG383" s="1366"/>
      <c r="CH383" s="1366"/>
      <c r="CI383" s="1366"/>
      <c r="CJ383" s="1366"/>
      <c r="CK383" s="1366"/>
      <c r="CL383" s="1366"/>
      <c r="CM383" s="1366"/>
      <c r="CN383" s="1366"/>
      <c r="CO383" s="1366"/>
      <c r="CP383" s="1366"/>
      <c r="CQ383" s="1366"/>
      <c r="CR383" s="1366"/>
      <c r="CS383" s="1366"/>
      <c r="CT383" s="1366"/>
      <c r="CU383" s="1366"/>
      <c r="CV383" s="1366"/>
      <c r="CW383" s="1366"/>
      <c r="CX383" s="1366"/>
      <c r="CY383" s="1366"/>
      <c r="CZ383" s="1366"/>
      <c r="DA383" s="1366"/>
      <c r="DB383" s="1366"/>
      <c r="DC383" s="1366"/>
      <c r="DD383" s="1366"/>
      <c r="DE383" s="1366"/>
      <c r="DF383" s="1366"/>
      <c r="DG383" s="1366"/>
      <c r="DH383" s="1366"/>
      <c r="DI383" s="1366"/>
      <c r="DJ383" s="1366"/>
      <c r="DK383" s="1366"/>
      <c r="DL383" s="1366"/>
      <c r="DM383" s="1366"/>
      <c r="DN383" s="1366"/>
      <c r="DO383" s="1366"/>
      <c r="DP383" s="1366"/>
      <c r="DQ383" s="1366"/>
      <c r="DR383" s="1366"/>
      <c r="DS383" s="1366"/>
      <c r="DT383" s="1366"/>
      <c r="DU383" s="1366"/>
      <c r="DV383" s="1366"/>
    </row>
    <row r="384" spans="1:126" s="1367" customFormat="1">
      <c r="A384" s="2494"/>
      <c r="B384" s="1653">
        <v>386</v>
      </c>
      <c r="C384" s="1642" t="s">
        <v>49</v>
      </c>
      <c r="D384" s="1364" t="s">
        <v>252</v>
      </c>
      <c r="E384" s="1364" t="s">
        <v>2102</v>
      </c>
      <c r="F384" s="1364" t="s">
        <v>2107</v>
      </c>
      <c r="G384" s="1185" t="s">
        <v>1839</v>
      </c>
      <c r="H384" s="1361">
        <f>((60*'Equipment Results Matrix'!$R$819)+(0.62*'Equipment Results Matrix'!$R$818)+'Equipment Results Matrix'!$R$820+'Equipment Results Matrix'!$R$822+'Equipment Results Matrix'!$T$825)*(1+'Equipment Results Matrix'!$T$827)</f>
        <v>1025.3938603794811</v>
      </c>
      <c r="I384" s="1371">
        <f t="shared" si="151"/>
        <v>4.8343000000000007</v>
      </c>
      <c r="J384" s="1372">
        <f>'Labor Results Matrix'!$G$314*(1+'Labor Results Matrix'!$K$314)</f>
        <v>78.188884348876428</v>
      </c>
      <c r="K384" s="1372">
        <f t="shared" si="144"/>
        <v>377.98852360777335</v>
      </c>
      <c r="L384" s="1372">
        <v>0</v>
      </c>
      <c r="M384" s="1372">
        <f t="shared" si="145"/>
        <v>1403.3823839872543</v>
      </c>
      <c r="N384" s="1458">
        <f t="shared" si="152"/>
        <v>160.94292752399997</v>
      </c>
      <c r="O384" s="1429"/>
      <c r="P384" s="1430"/>
      <c r="Q384" s="1430"/>
      <c r="R384" s="1430"/>
      <c r="S384" s="1430"/>
      <c r="T384" s="1430"/>
      <c r="U384" s="1430"/>
      <c r="V384" s="1679"/>
      <c r="W384" s="1366"/>
      <c r="X384" s="1366"/>
      <c r="Y384" s="1366"/>
      <c r="Z384" s="1366"/>
      <c r="AA384" s="1366"/>
      <c r="AB384" s="1366"/>
      <c r="AC384" s="1366"/>
      <c r="AD384" s="1366"/>
      <c r="AE384" s="1366"/>
      <c r="AF384" s="1366"/>
      <c r="AG384" s="1366"/>
      <c r="AH384" s="1366"/>
      <c r="AI384" s="1366"/>
      <c r="AJ384" s="1366"/>
      <c r="AK384" s="1366"/>
      <c r="AL384" s="1366"/>
      <c r="AM384" s="1366"/>
      <c r="AN384" s="1366"/>
      <c r="AO384" s="1366"/>
      <c r="AP384" s="1366"/>
      <c r="AQ384" s="1366"/>
      <c r="AR384" s="1366"/>
      <c r="AS384" s="1366"/>
      <c r="AT384" s="1366"/>
      <c r="AU384" s="1366"/>
      <c r="AV384" s="1366"/>
      <c r="AW384" s="1366"/>
      <c r="AX384" s="1366"/>
      <c r="AY384" s="1366"/>
      <c r="AZ384" s="1366"/>
      <c r="BA384" s="1366"/>
      <c r="BB384" s="1366"/>
      <c r="BC384" s="1366"/>
      <c r="BD384" s="1366"/>
      <c r="BE384" s="1366"/>
      <c r="BF384" s="1366"/>
      <c r="BG384" s="1366"/>
      <c r="BH384" s="1366"/>
      <c r="BI384" s="1366"/>
      <c r="BJ384" s="1366"/>
      <c r="BK384" s="1366"/>
      <c r="BL384" s="1366"/>
      <c r="BM384" s="1366"/>
      <c r="BN384" s="1366"/>
      <c r="BO384" s="1366"/>
      <c r="BP384" s="1366"/>
      <c r="BQ384" s="1366"/>
      <c r="BR384" s="1366"/>
      <c r="BS384" s="1366"/>
      <c r="BT384" s="1366"/>
      <c r="BU384" s="1366"/>
      <c r="BV384" s="1366"/>
      <c r="BW384" s="1366"/>
      <c r="BX384" s="1366"/>
      <c r="BY384" s="1366"/>
      <c r="BZ384" s="1366"/>
      <c r="CA384" s="1366"/>
      <c r="CB384" s="1366"/>
      <c r="CC384" s="1366"/>
      <c r="CD384" s="1366"/>
      <c r="CE384" s="1366"/>
      <c r="CF384" s="1366"/>
      <c r="CG384" s="1366"/>
      <c r="CH384" s="1366"/>
      <c r="CI384" s="1366"/>
      <c r="CJ384" s="1366"/>
      <c r="CK384" s="1366"/>
      <c r="CL384" s="1366"/>
      <c r="CM384" s="1366"/>
      <c r="CN384" s="1366"/>
      <c r="CO384" s="1366"/>
      <c r="CP384" s="1366"/>
      <c r="CQ384" s="1366"/>
      <c r="CR384" s="1366"/>
      <c r="CS384" s="1366"/>
      <c r="CT384" s="1366"/>
      <c r="CU384" s="1366"/>
      <c r="CV384" s="1366"/>
      <c r="CW384" s="1366"/>
      <c r="CX384" s="1366"/>
      <c r="CY384" s="1366"/>
      <c r="CZ384" s="1366"/>
      <c r="DA384" s="1366"/>
      <c r="DB384" s="1366"/>
      <c r="DC384" s="1366"/>
      <c r="DD384" s="1366"/>
      <c r="DE384" s="1366"/>
      <c r="DF384" s="1366"/>
      <c r="DG384" s="1366"/>
      <c r="DH384" s="1366"/>
      <c r="DI384" s="1366"/>
      <c r="DJ384" s="1366"/>
      <c r="DK384" s="1366"/>
      <c r="DL384" s="1366"/>
      <c r="DM384" s="1366"/>
      <c r="DN384" s="1366"/>
      <c r="DO384" s="1366"/>
      <c r="DP384" s="1366"/>
      <c r="DQ384" s="1366"/>
      <c r="DR384" s="1366"/>
      <c r="DS384" s="1366"/>
      <c r="DT384" s="1366"/>
      <c r="DU384" s="1366"/>
      <c r="DV384" s="1366"/>
    </row>
    <row r="385" spans="1:126" s="1367" customFormat="1">
      <c r="A385" s="2494"/>
      <c r="B385" s="1653">
        <v>366</v>
      </c>
      <c r="C385" s="1642" t="s">
        <v>49</v>
      </c>
      <c r="D385" s="1364" t="s">
        <v>2465</v>
      </c>
      <c r="E385" s="1364" t="s">
        <v>2102</v>
      </c>
      <c r="F385" s="1364" t="s">
        <v>2108</v>
      </c>
      <c r="G385" s="1185" t="s">
        <v>1839</v>
      </c>
      <c r="H385" s="1361">
        <f>((60*'Equipment Results Matrix'!$R$819)+(0.66*'Equipment Results Matrix'!$R$818)+'Equipment Results Matrix'!$R$820+'Equipment Results Matrix'!$R$822+'Equipment Results Matrix'!$T$825)*(1+'Equipment Results Matrix'!$T$827)</f>
        <v>1132.6891453954809</v>
      </c>
      <c r="I385" s="1371">
        <f t="shared" si="151"/>
        <v>4.8343000000000007</v>
      </c>
      <c r="J385" s="1372">
        <f>'Labor Results Matrix'!$G$314*(1+'Labor Results Matrix'!$K$314)</f>
        <v>78.188884348876428</v>
      </c>
      <c r="K385" s="1372">
        <f t="shared" si="144"/>
        <v>377.98852360777335</v>
      </c>
      <c r="L385" s="1372">
        <v>0</v>
      </c>
      <c r="M385" s="1372">
        <f t="shared" si="145"/>
        <v>1510.6776690032543</v>
      </c>
      <c r="N385" s="1458">
        <f t="shared" si="152"/>
        <v>268.23821253999995</v>
      </c>
      <c r="O385" s="1429"/>
      <c r="P385" s="1430"/>
      <c r="Q385" s="1430"/>
      <c r="R385" s="1430"/>
      <c r="S385" s="1430"/>
      <c r="T385" s="1430"/>
      <c r="U385" s="1430"/>
      <c r="V385" s="1679"/>
      <c r="W385" s="1366"/>
      <c r="X385" s="1366"/>
      <c r="Y385" s="1366"/>
      <c r="Z385" s="1366"/>
      <c r="AA385" s="1366"/>
      <c r="AB385" s="1366"/>
      <c r="AC385" s="1366"/>
      <c r="AD385" s="1366"/>
      <c r="AE385" s="1366"/>
      <c r="AF385" s="1366"/>
      <c r="AG385" s="1366"/>
      <c r="AH385" s="1366"/>
      <c r="AI385" s="1366"/>
      <c r="AJ385" s="1366"/>
      <c r="AK385" s="1366"/>
      <c r="AL385" s="1366"/>
      <c r="AM385" s="1366"/>
      <c r="AN385" s="1366"/>
      <c r="AO385" s="1366"/>
      <c r="AP385" s="1366"/>
      <c r="AQ385" s="1366"/>
      <c r="AR385" s="1366"/>
      <c r="AS385" s="1366"/>
      <c r="AT385" s="1366"/>
      <c r="AU385" s="1366"/>
      <c r="AV385" s="1366"/>
      <c r="AW385" s="1366"/>
      <c r="AX385" s="1366"/>
      <c r="AY385" s="1366"/>
      <c r="AZ385" s="1366"/>
      <c r="BA385" s="1366"/>
      <c r="BB385" s="1366"/>
      <c r="BC385" s="1366"/>
      <c r="BD385" s="1366"/>
      <c r="BE385" s="1366"/>
      <c r="BF385" s="1366"/>
      <c r="BG385" s="1366"/>
      <c r="BH385" s="1366"/>
      <c r="BI385" s="1366"/>
      <c r="BJ385" s="1366"/>
      <c r="BK385" s="1366"/>
      <c r="BL385" s="1366"/>
      <c r="BM385" s="1366"/>
      <c r="BN385" s="1366"/>
      <c r="BO385" s="1366"/>
      <c r="BP385" s="1366"/>
      <c r="BQ385" s="1366"/>
      <c r="BR385" s="1366"/>
      <c r="BS385" s="1366"/>
      <c r="BT385" s="1366"/>
      <c r="BU385" s="1366"/>
      <c r="BV385" s="1366"/>
      <c r="BW385" s="1366"/>
      <c r="BX385" s="1366"/>
      <c r="BY385" s="1366"/>
      <c r="BZ385" s="1366"/>
      <c r="CA385" s="1366"/>
      <c r="CB385" s="1366"/>
      <c r="CC385" s="1366"/>
      <c r="CD385" s="1366"/>
      <c r="CE385" s="1366"/>
      <c r="CF385" s="1366"/>
      <c r="CG385" s="1366"/>
      <c r="CH385" s="1366"/>
      <c r="CI385" s="1366"/>
      <c r="CJ385" s="1366"/>
      <c r="CK385" s="1366"/>
      <c r="CL385" s="1366"/>
      <c r="CM385" s="1366"/>
      <c r="CN385" s="1366"/>
      <c r="CO385" s="1366"/>
      <c r="CP385" s="1366"/>
      <c r="CQ385" s="1366"/>
      <c r="CR385" s="1366"/>
      <c r="CS385" s="1366"/>
      <c r="CT385" s="1366"/>
      <c r="CU385" s="1366"/>
      <c r="CV385" s="1366"/>
      <c r="CW385" s="1366"/>
      <c r="CX385" s="1366"/>
      <c r="CY385" s="1366"/>
      <c r="CZ385" s="1366"/>
      <c r="DA385" s="1366"/>
      <c r="DB385" s="1366"/>
      <c r="DC385" s="1366"/>
      <c r="DD385" s="1366"/>
      <c r="DE385" s="1366"/>
      <c r="DF385" s="1366"/>
      <c r="DG385" s="1366"/>
      <c r="DH385" s="1366"/>
      <c r="DI385" s="1366"/>
      <c r="DJ385" s="1366"/>
      <c r="DK385" s="1366"/>
      <c r="DL385" s="1366"/>
      <c r="DM385" s="1366"/>
      <c r="DN385" s="1366"/>
      <c r="DO385" s="1366"/>
      <c r="DP385" s="1366"/>
      <c r="DQ385" s="1366"/>
      <c r="DR385" s="1366"/>
      <c r="DS385" s="1366"/>
      <c r="DT385" s="1366"/>
      <c r="DU385" s="1366"/>
      <c r="DV385" s="1366"/>
    </row>
    <row r="386" spans="1:126" s="1367" customFormat="1">
      <c r="A386" s="2494"/>
      <c r="B386" s="1653">
        <v>387</v>
      </c>
      <c r="C386" s="1642" t="s">
        <v>49</v>
      </c>
      <c r="D386" s="1364" t="s">
        <v>253</v>
      </c>
      <c r="E386" s="1364" t="s">
        <v>2102</v>
      </c>
      <c r="F386" s="1364" t="s">
        <v>2107</v>
      </c>
      <c r="G386" s="1185" t="s">
        <v>1839</v>
      </c>
      <c r="H386" s="1361">
        <f>((60*'Equipment Results Matrix'!$R$819)+(0.66*'Equipment Results Matrix'!$R$818)+'Equipment Results Matrix'!$R$820+'Equipment Results Matrix'!$R$822+'Equipment Results Matrix'!$T$825)*(1+'Equipment Results Matrix'!$T$827)</f>
        <v>1132.6891453954809</v>
      </c>
      <c r="I386" s="1371">
        <f t="shared" si="151"/>
        <v>4.8343000000000007</v>
      </c>
      <c r="J386" s="1372">
        <f>'Labor Results Matrix'!$G$314*(1+'Labor Results Matrix'!$K$314)</f>
        <v>78.188884348876428</v>
      </c>
      <c r="K386" s="1372">
        <f t="shared" si="144"/>
        <v>377.98852360777335</v>
      </c>
      <c r="L386" s="1372">
        <v>0</v>
      </c>
      <c r="M386" s="1372">
        <f t="shared" si="145"/>
        <v>1510.6776690032543</v>
      </c>
      <c r="N386" s="1458">
        <f t="shared" si="152"/>
        <v>268.23821253999995</v>
      </c>
      <c r="O386" s="1429"/>
      <c r="P386" s="1430"/>
      <c r="Q386" s="1430"/>
      <c r="R386" s="1430"/>
      <c r="S386" s="1430"/>
      <c r="T386" s="1430"/>
      <c r="U386" s="1430"/>
      <c r="V386" s="1679"/>
      <c r="W386" s="1366"/>
      <c r="X386" s="1366"/>
      <c r="Y386" s="1366"/>
      <c r="Z386" s="1366"/>
      <c r="AA386" s="1366"/>
      <c r="AB386" s="1366"/>
      <c r="AC386" s="1366"/>
      <c r="AD386" s="1366"/>
      <c r="AE386" s="1366"/>
      <c r="AF386" s="1366"/>
      <c r="AG386" s="1366"/>
      <c r="AH386" s="1366"/>
      <c r="AI386" s="1366"/>
      <c r="AJ386" s="1366"/>
      <c r="AK386" s="1366"/>
      <c r="AL386" s="1366"/>
      <c r="AM386" s="1366"/>
      <c r="AN386" s="1366"/>
      <c r="AO386" s="1366"/>
      <c r="AP386" s="1366"/>
      <c r="AQ386" s="1366"/>
      <c r="AR386" s="1366"/>
      <c r="AS386" s="1366"/>
      <c r="AT386" s="1366"/>
      <c r="AU386" s="1366"/>
      <c r="AV386" s="1366"/>
      <c r="AW386" s="1366"/>
      <c r="AX386" s="1366"/>
      <c r="AY386" s="1366"/>
      <c r="AZ386" s="1366"/>
      <c r="BA386" s="1366"/>
      <c r="BB386" s="1366"/>
      <c r="BC386" s="1366"/>
      <c r="BD386" s="1366"/>
      <c r="BE386" s="1366"/>
      <c r="BF386" s="1366"/>
      <c r="BG386" s="1366"/>
      <c r="BH386" s="1366"/>
      <c r="BI386" s="1366"/>
      <c r="BJ386" s="1366"/>
      <c r="BK386" s="1366"/>
      <c r="BL386" s="1366"/>
      <c r="BM386" s="1366"/>
      <c r="BN386" s="1366"/>
      <c r="BO386" s="1366"/>
      <c r="BP386" s="1366"/>
      <c r="BQ386" s="1366"/>
      <c r="BR386" s="1366"/>
      <c r="BS386" s="1366"/>
      <c r="BT386" s="1366"/>
      <c r="BU386" s="1366"/>
      <c r="BV386" s="1366"/>
      <c r="BW386" s="1366"/>
      <c r="BX386" s="1366"/>
      <c r="BY386" s="1366"/>
      <c r="BZ386" s="1366"/>
      <c r="CA386" s="1366"/>
      <c r="CB386" s="1366"/>
      <c r="CC386" s="1366"/>
      <c r="CD386" s="1366"/>
      <c r="CE386" s="1366"/>
      <c r="CF386" s="1366"/>
      <c r="CG386" s="1366"/>
      <c r="CH386" s="1366"/>
      <c r="CI386" s="1366"/>
      <c r="CJ386" s="1366"/>
      <c r="CK386" s="1366"/>
      <c r="CL386" s="1366"/>
      <c r="CM386" s="1366"/>
      <c r="CN386" s="1366"/>
      <c r="CO386" s="1366"/>
      <c r="CP386" s="1366"/>
      <c r="CQ386" s="1366"/>
      <c r="CR386" s="1366"/>
      <c r="CS386" s="1366"/>
      <c r="CT386" s="1366"/>
      <c r="CU386" s="1366"/>
      <c r="CV386" s="1366"/>
      <c r="CW386" s="1366"/>
      <c r="CX386" s="1366"/>
      <c r="CY386" s="1366"/>
      <c r="CZ386" s="1366"/>
      <c r="DA386" s="1366"/>
      <c r="DB386" s="1366"/>
      <c r="DC386" s="1366"/>
      <c r="DD386" s="1366"/>
      <c r="DE386" s="1366"/>
      <c r="DF386" s="1366"/>
      <c r="DG386" s="1366"/>
      <c r="DH386" s="1366"/>
      <c r="DI386" s="1366"/>
      <c r="DJ386" s="1366"/>
      <c r="DK386" s="1366"/>
      <c r="DL386" s="1366"/>
      <c r="DM386" s="1366"/>
      <c r="DN386" s="1366"/>
      <c r="DO386" s="1366"/>
      <c r="DP386" s="1366"/>
      <c r="DQ386" s="1366"/>
      <c r="DR386" s="1366"/>
      <c r="DS386" s="1366"/>
      <c r="DT386" s="1366"/>
      <c r="DU386" s="1366"/>
      <c r="DV386" s="1366"/>
    </row>
    <row r="387" spans="1:126" s="1367" customFormat="1">
      <c r="A387" s="2494"/>
      <c r="B387" s="1653">
        <v>367</v>
      </c>
      <c r="C387" s="1642" t="s">
        <v>49</v>
      </c>
      <c r="D387" s="1364" t="s">
        <v>2466</v>
      </c>
      <c r="E387" s="1364" t="s">
        <v>2102</v>
      </c>
      <c r="F387" s="1364" t="s">
        <v>2108</v>
      </c>
      <c r="G387" s="1185" t="s">
        <v>1839</v>
      </c>
      <c r="H387" s="1361">
        <f>((60*'Equipment Results Matrix'!$R$819)+(0.7*'Equipment Results Matrix'!$R$818)+'Equipment Results Matrix'!$R$820+'Equipment Results Matrix'!$R$822+'Equipment Results Matrix'!$T$825)*(1+'Equipment Results Matrix'!$T$827)</f>
        <v>1239.9844304114808</v>
      </c>
      <c r="I387" s="1371">
        <f t="shared" si="151"/>
        <v>4.8343000000000007</v>
      </c>
      <c r="J387" s="1372">
        <f>'Labor Results Matrix'!$G$314*(1+'Labor Results Matrix'!$K$314)</f>
        <v>78.188884348876428</v>
      </c>
      <c r="K387" s="1372">
        <f t="shared" si="144"/>
        <v>377.98852360777335</v>
      </c>
      <c r="L387" s="1372">
        <v>0</v>
      </c>
      <c r="M387" s="1372">
        <f t="shared" si="145"/>
        <v>1617.9729540192543</v>
      </c>
      <c r="N387" s="1458">
        <f t="shared" si="152"/>
        <v>375.53349755599993</v>
      </c>
      <c r="O387" s="1429"/>
      <c r="P387" s="1430"/>
      <c r="Q387" s="1430"/>
      <c r="R387" s="1430"/>
      <c r="S387" s="1430"/>
      <c r="T387" s="1430"/>
      <c r="U387" s="1430"/>
      <c r="V387" s="1679"/>
      <c r="W387" s="1366"/>
      <c r="X387" s="1366"/>
      <c r="Y387" s="1366"/>
      <c r="Z387" s="1366"/>
      <c r="AA387" s="1366"/>
      <c r="AB387" s="1366"/>
      <c r="AC387" s="1366"/>
      <c r="AD387" s="1366"/>
      <c r="AE387" s="1366"/>
      <c r="AF387" s="1366"/>
      <c r="AG387" s="1366"/>
      <c r="AH387" s="1366"/>
      <c r="AI387" s="1366"/>
      <c r="AJ387" s="1366"/>
      <c r="AK387" s="1366"/>
      <c r="AL387" s="1366"/>
      <c r="AM387" s="1366"/>
      <c r="AN387" s="1366"/>
      <c r="AO387" s="1366"/>
      <c r="AP387" s="1366"/>
      <c r="AQ387" s="1366"/>
      <c r="AR387" s="1366"/>
      <c r="AS387" s="1366"/>
      <c r="AT387" s="1366"/>
      <c r="AU387" s="1366"/>
      <c r="AV387" s="1366"/>
      <c r="AW387" s="1366"/>
      <c r="AX387" s="1366"/>
      <c r="AY387" s="1366"/>
      <c r="AZ387" s="1366"/>
      <c r="BA387" s="1366"/>
      <c r="BB387" s="1366"/>
      <c r="BC387" s="1366"/>
      <c r="BD387" s="1366"/>
      <c r="BE387" s="1366"/>
      <c r="BF387" s="1366"/>
      <c r="BG387" s="1366"/>
      <c r="BH387" s="1366"/>
      <c r="BI387" s="1366"/>
      <c r="BJ387" s="1366"/>
      <c r="BK387" s="1366"/>
      <c r="BL387" s="1366"/>
      <c r="BM387" s="1366"/>
      <c r="BN387" s="1366"/>
      <c r="BO387" s="1366"/>
      <c r="BP387" s="1366"/>
      <c r="BQ387" s="1366"/>
      <c r="BR387" s="1366"/>
      <c r="BS387" s="1366"/>
      <c r="BT387" s="1366"/>
      <c r="BU387" s="1366"/>
      <c r="BV387" s="1366"/>
      <c r="BW387" s="1366"/>
      <c r="BX387" s="1366"/>
      <c r="BY387" s="1366"/>
      <c r="BZ387" s="1366"/>
      <c r="CA387" s="1366"/>
      <c r="CB387" s="1366"/>
      <c r="CC387" s="1366"/>
      <c r="CD387" s="1366"/>
      <c r="CE387" s="1366"/>
      <c r="CF387" s="1366"/>
      <c r="CG387" s="1366"/>
      <c r="CH387" s="1366"/>
      <c r="CI387" s="1366"/>
      <c r="CJ387" s="1366"/>
      <c r="CK387" s="1366"/>
      <c r="CL387" s="1366"/>
      <c r="CM387" s="1366"/>
      <c r="CN387" s="1366"/>
      <c r="CO387" s="1366"/>
      <c r="CP387" s="1366"/>
      <c r="CQ387" s="1366"/>
      <c r="CR387" s="1366"/>
      <c r="CS387" s="1366"/>
      <c r="CT387" s="1366"/>
      <c r="CU387" s="1366"/>
      <c r="CV387" s="1366"/>
      <c r="CW387" s="1366"/>
      <c r="CX387" s="1366"/>
      <c r="CY387" s="1366"/>
      <c r="CZ387" s="1366"/>
      <c r="DA387" s="1366"/>
      <c r="DB387" s="1366"/>
      <c r="DC387" s="1366"/>
      <c r="DD387" s="1366"/>
      <c r="DE387" s="1366"/>
      <c r="DF387" s="1366"/>
      <c r="DG387" s="1366"/>
      <c r="DH387" s="1366"/>
      <c r="DI387" s="1366"/>
      <c r="DJ387" s="1366"/>
      <c r="DK387" s="1366"/>
      <c r="DL387" s="1366"/>
      <c r="DM387" s="1366"/>
      <c r="DN387" s="1366"/>
      <c r="DO387" s="1366"/>
      <c r="DP387" s="1366"/>
      <c r="DQ387" s="1366"/>
      <c r="DR387" s="1366"/>
      <c r="DS387" s="1366"/>
      <c r="DT387" s="1366"/>
      <c r="DU387" s="1366"/>
      <c r="DV387" s="1366"/>
    </row>
    <row r="388" spans="1:126" s="1367" customFormat="1">
      <c r="A388" s="2494"/>
      <c r="B388" s="1653">
        <v>388</v>
      </c>
      <c r="C388" s="1642" t="s">
        <v>49</v>
      </c>
      <c r="D388" s="1364" t="s">
        <v>254</v>
      </c>
      <c r="E388" s="1364" t="s">
        <v>2102</v>
      </c>
      <c r="F388" s="1364" t="s">
        <v>2107</v>
      </c>
      <c r="G388" s="1185" t="s">
        <v>1839</v>
      </c>
      <c r="H388" s="1361">
        <f>((60*'Equipment Results Matrix'!$R$819)+(0.7*'Equipment Results Matrix'!$R$818)+'Equipment Results Matrix'!$R$820+'Equipment Results Matrix'!$R$822+'Equipment Results Matrix'!$T$825)*(1+'Equipment Results Matrix'!$T$827)</f>
        <v>1239.9844304114808</v>
      </c>
      <c r="I388" s="1371">
        <f t="shared" si="151"/>
        <v>4.8343000000000007</v>
      </c>
      <c r="J388" s="1372">
        <f>'Labor Results Matrix'!$G$314*(1+'Labor Results Matrix'!$K$314)</f>
        <v>78.188884348876428</v>
      </c>
      <c r="K388" s="1372">
        <f t="shared" si="144"/>
        <v>377.98852360777335</v>
      </c>
      <c r="L388" s="1372">
        <v>0</v>
      </c>
      <c r="M388" s="1372">
        <f t="shared" si="145"/>
        <v>1617.9729540192543</v>
      </c>
      <c r="N388" s="1458">
        <f t="shared" si="152"/>
        <v>375.53349755599993</v>
      </c>
      <c r="O388" s="1429"/>
      <c r="P388" s="1430"/>
      <c r="Q388" s="1430"/>
      <c r="R388" s="1430"/>
      <c r="S388" s="1430"/>
      <c r="T388" s="1430"/>
      <c r="U388" s="1430"/>
      <c r="V388" s="1679"/>
      <c r="W388" s="1366"/>
      <c r="X388" s="1366"/>
      <c r="Y388" s="1366"/>
      <c r="Z388" s="1366"/>
      <c r="AA388" s="1366"/>
      <c r="AB388" s="1366"/>
      <c r="AC388" s="1366"/>
      <c r="AD388" s="1366"/>
      <c r="AE388" s="1366"/>
      <c r="AF388" s="1366"/>
      <c r="AG388" s="1366"/>
      <c r="AH388" s="1366"/>
      <c r="AI388" s="1366"/>
      <c r="AJ388" s="1366"/>
      <c r="AK388" s="1366"/>
      <c r="AL388" s="1366"/>
      <c r="AM388" s="1366"/>
      <c r="AN388" s="1366"/>
      <c r="AO388" s="1366"/>
      <c r="AP388" s="1366"/>
      <c r="AQ388" s="1366"/>
      <c r="AR388" s="1366"/>
      <c r="AS388" s="1366"/>
      <c r="AT388" s="1366"/>
      <c r="AU388" s="1366"/>
      <c r="AV388" s="1366"/>
      <c r="AW388" s="1366"/>
      <c r="AX388" s="1366"/>
      <c r="AY388" s="1366"/>
      <c r="AZ388" s="1366"/>
      <c r="BA388" s="1366"/>
      <c r="BB388" s="1366"/>
      <c r="BC388" s="1366"/>
      <c r="BD388" s="1366"/>
      <c r="BE388" s="1366"/>
      <c r="BF388" s="1366"/>
      <c r="BG388" s="1366"/>
      <c r="BH388" s="1366"/>
      <c r="BI388" s="1366"/>
      <c r="BJ388" s="1366"/>
      <c r="BK388" s="1366"/>
      <c r="BL388" s="1366"/>
      <c r="BM388" s="1366"/>
      <c r="BN388" s="1366"/>
      <c r="BO388" s="1366"/>
      <c r="BP388" s="1366"/>
      <c r="BQ388" s="1366"/>
      <c r="BR388" s="1366"/>
      <c r="BS388" s="1366"/>
      <c r="BT388" s="1366"/>
      <c r="BU388" s="1366"/>
      <c r="BV388" s="1366"/>
      <c r="BW388" s="1366"/>
      <c r="BX388" s="1366"/>
      <c r="BY388" s="1366"/>
      <c r="BZ388" s="1366"/>
      <c r="CA388" s="1366"/>
      <c r="CB388" s="1366"/>
      <c r="CC388" s="1366"/>
      <c r="CD388" s="1366"/>
      <c r="CE388" s="1366"/>
      <c r="CF388" s="1366"/>
      <c r="CG388" s="1366"/>
      <c r="CH388" s="1366"/>
      <c r="CI388" s="1366"/>
      <c r="CJ388" s="1366"/>
      <c r="CK388" s="1366"/>
      <c r="CL388" s="1366"/>
      <c r="CM388" s="1366"/>
      <c r="CN388" s="1366"/>
      <c r="CO388" s="1366"/>
      <c r="CP388" s="1366"/>
      <c r="CQ388" s="1366"/>
      <c r="CR388" s="1366"/>
      <c r="CS388" s="1366"/>
      <c r="CT388" s="1366"/>
      <c r="CU388" s="1366"/>
      <c r="CV388" s="1366"/>
      <c r="CW388" s="1366"/>
      <c r="CX388" s="1366"/>
      <c r="CY388" s="1366"/>
      <c r="CZ388" s="1366"/>
      <c r="DA388" s="1366"/>
      <c r="DB388" s="1366"/>
      <c r="DC388" s="1366"/>
      <c r="DD388" s="1366"/>
      <c r="DE388" s="1366"/>
      <c r="DF388" s="1366"/>
      <c r="DG388" s="1366"/>
      <c r="DH388" s="1366"/>
      <c r="DI388" s="1366"/>
      <c r="DJ388" s="1366"/>
      <c r="DK388" s="1366"/>
      <c r="DL388" s="1366"/>
      <c r="DM388" s="1366"/>
      <c r="DN388" s="1366"/>
      <c r="DO388" s="1366"/>
      <c r="DP388" s="1366"/>
      <c r="DQ388" s="1366"/>
      <c r="DR388" s="1366"/>
      <c r="DS388" s="1366"/>
      <c r="DT388" s="1366"/>
      <c r="DU388" s="1366"/>
      <c r="DV388" s="1366"/>
    </row>
    <row r="389" spans="1:126" s="1367" customFormat="1" ht="30">
      <c r="A389" s="2494"/>
      <c r="B389" s="1656" t="s">
        <v>2475</v>
      </c>
      <c r="C389" s="1642" t="s">
        <v>47</v>
      </c>
      <c r="D389" s="1364" t="s">
        <v>2479</v>
      </c>
      <c r="E389" s="1364" t="s">
        <v>2097</v>
      </c>
      <c r="F389" s="1364" t="s">
        <v>2438</v>
      </c>
      <c r="G389" s="1185" t="s">
        <v>1839</v>
      </c>
      <c r="H389" s="1361">
        <f>((75*'Equipment Results Matrix'!$R$819)+(0.53*'Equipment Results Matrix'!$R$818)+'Equipment Results Matrix'!$R$820+'Equipment Results Matrix'!$R$822+'Equipment Results Matrix'!$T$825)*(1+'Equipment Results Matrix'!$T$827)</f>
        <v>940.39644884348138</v>
      </c>
      <c r="I389" s="1371">
        <f>0.0315*75+2.9443</f>
        <v>5.3068</v>
      </c>
      <c r="J389" s="1372">
        <f>'Labor Results Matrix'!$G$314*(1+'Labor Results Matrix'!$K$314)</f>
        <v>78.188884348876428</v>
      </c>
      <c r="K389" s="1372">
        <f t="shared" si="144"/>
        <v>414.93277146261744</v>
      </c>
      <c r="L389" s="1372">
        <v>0</v>
      </c>
      <c r="M389" s="1372">
        <f t="shared" si="145"/>
        <v>1355.3292203060987</v>
      </c>
      <c r="N389" s="1455" t="s">
        <v>40</v>
      </c>
      <c r="O389" s="1429"/>
      <c r="P389" s="1430"/>
      <c r="Q389" s="1430"/>
      <c r="R389" s="1430"/>
      <c r="S389" s="1430"/>
      <c r="T389" s="1430"/>
      <c r="U389" s="1430"/>
      <c r="V389" s="1679"/>
      <c r="W389" s="1366"/>
      <c r="X389" s="1366"/>
      <c r="Y389" s="1366"/>
      <c r="Z389" s="1366"/>
      <c r="AA389" s="1366"/>
      <c r="AB389" s="1366"/>
      <c r="AC389" s="1366"/>
      <c r="AD389" s="1366"/>
      <c r="AE389" s="1366"/>
      <c r="AF389" s="1366"/>
      <c r="AG389" s="1366"/>
      <c r="AH389" s="1366"/>
      <c r="AI389" s="1366"/>
      <c r="AJ389" s="1366"/>
      <c r="AK389" s="1366"/>
      <c r="AL389" s="1366"/>
      <c r="AM389" s="1366"/>
      <c r="AN389" s="1366"/>
      <c r="AO389" s="1366"/>
      <c r="AP389" s="1366"/>
      <c r="AQ389" s="1366"/>
      <c r="AR389" s="1366"/>
      <c r="AS389" s="1366"/>
      <c r="AT389" s="1366"/>
      <c r="AU389" s="1366"/>
      <c r="AV389" s="1366"/>
      <c r="AW389" s="1366"/>
      <c r="AX389" s="1366"/>
      <c r="AY389" s="1366"/>
      <c r="AZ389" s="1366"/>
      <c r="BA389" s="1366"/>
      <c r="BB389" s="1366"/>
      <c r="BC389" s="1366"/>
      <c r="BD389" s="1366"/>
      <c r="BE389" s="1366"/>
      <c r="BF389" s="1366"/>
      <c r="BG389" s="1366"/>
      <c r="BH389" s="1366"/>
      <c r="BI389" s="1366"/>
      <c r="BJ389" s="1366"/>
      <c r="BK389" s="1366"/>
      <c r="BL389" s="1366"/>
      <c r="BM389" s="1366"/>
      <c r="BN389" s="1366"/>
      <c r="BO389" s="1366"/>
      <c r="BP389" s="1366"/>
      <c r="BQ389" s="1366"/>
      <c r="BR389" s="1366"/>
      <c r="BS389" s="1366"/>
      <c r="BT389" s="1366"/>
      <c r="BU389" s="1366"/>
      <c r="BV389" s="1366"/>
      <c r="BW389" s="1366"/>
      <c r="BX389" s="1366"/>
      <c r="BY389" s="1366"/>
      <c r="BZ389" s="1366"/>
      <c r="CA389" s="1366"/>
      <c r="CB389" s="1366"/>
      <c r="CC389" s="1366"/>
      <c r="CD389" s="1366"/>
      <c r="CE389" s="1366"/>
      <c r="CF389" s="1366"/>
      <c r="CG389" s="1366"/>
      <c r="CH389" s="1366"/>
      <c r="CI389" s="1366"/>
      <c r="CJ389" s="1366"/>
      <c r="CK389" s="1366"/>
      <c r="CL389" s="1366"/>
      <c r="CM389" s="1366"/>
      <c r="CN389" s="1366"/>
      <c r="CO389" s="1366"/>
      <c r="CP389" s="1366"/>
      <c r="CQ389" s="1366"/>
      <c r="CR389" s="1366"/>
      <c r="CS389" s="1366"/>
      <c r="CT389" s="1366"/>
      <c r="CU389" s="1366"/>
      <c r="CV389" s="1366"/>
      <c r="CW389" s="1366"/>
      <c r="CX389" s="1366"/>
      <c r="CY389" s="1366"/>
      <c r="CZ389" s="1366"/>
      <c r="DA389" s="1366"/>
      <c r="DB389" s="1366"/>
      <c r="DC389" s="1366"/>
      <c r="DD389" s="1366"/>
      <c r="DE389" s="1366"/>
      <c r="DF389" s="1366"/>
      <c r="DG389" s="1366"/>
      <c r="DH389" s="1366"/>
      <c r="DI389" s="1366"/>
      <c r="DJ389" s="1366"/>
      <c r="DK389" s="1366"/>
      <c r="DL389" s="1366"/>
      <c r="DM389" s="1366"/>
      <c r="DN389" s="1366"/>
      <c r="DO389" s="1366"/>
      <c r="DP389" s="1366"/>
      <c r="DQ389" s="1366"/>
      <c r="DR389" s="1366"/>
      <c r="DS389" s="1366"/>
      <c r="DT389" s="1366"/>
      <c r="DU389" s="1366"/>
      <c r="DV389" s="1366"/>
    </row>
    <row r="390" spans="1:126" s="1367" customFormat="1">
      <c r="A390" s="2494"/>
      <c r="B390" s="1653">
        <v>368</v>
      </c>
      <c r="C390" s="1642" t="s">
        <v>49</v>
      </c>
      <c r="D390" s="1364" t="s">
        <v>2467</v>
      </c>
      <c r="E390" s="1364" t="s">
        <v>2097</v>
      </c>
      <c r="F390" s="1364" t="s">
        <v>2108</v>
      </c>
      <c r="G390" s="1185" t="s">
        <v>1839</v>
      </c>
      <c r="H390" s="1361">
        <f>((75*'Equipment Results Matrix'!$R$819)+(0.62*'Equipment Results Matrix'!$R$818)+'Equipment Results Matrix'!$R$820+'Equipment Results Matrix'!$R$822+'Equipment Results Matrix'!$T$825)*(1+'Equipment Results Matrix'!$T$827)</f>
        <v>1181.810840129481</v>
      </c>
      <c r="I390" s="1371">
        <f t="shared" ref="I390:I395" si="153">0.0315*75+2.9443</f>
        <v>5.3068</v>
      </c>
      <c r="J390" s="1372">
        <f>'Labor Results Matrix'!$G$314*(1+'Labor Results Matrix'!$K$314)</f>
        <v>78.188884348876428</v>
      </c>
      <c r="K390" s="1372">
        <f t="shared" si="144"/>
        <v>414.93277146261744</v>
      </c>
      <c r="L390" s="1372">
        <v>0</v>
      </c>
      <c r="M390" s="1372">
        <f t="shared" si="145"/>
        <v>1596.7436115920984</v>
      </c>
      <c r="N390" s="1458">
        <f t="shared" ref="N390:N395" si="154">M390-$M$389</f>
        <v>241.41439128599973</v>
      </c>
      <c r="O390" s="1429"/>
      <c r="P390" s="1430"/>
      <c r="Q390" s="1430"/>
      <c r="R390" s="1430"/>
      <c r="S390" s="1430"/>
      <c r="T390" s="1430"/>
      <c r="U390" s="1430"/>
      <c r="V390" s="1679"/>
      <c r="W390" s="1366"/>
      <c r="X390" s="1366"/>
      <c r="Y390" s="1366"/>
      <c r="Z390" s="1366"/>
      <c r="AA390" s="1366"/>
      <c r="AB390" s="1366"/>
      <c r="AC390" s="1366"/>
      <c r="AD390" s="1366"/>
      <c r="AE390" s="1366"/>
      <c r="AF390" s="1366"/>
      <c r="AG390" s="1366"/>
      <c r="AH390" s="1366"/>
      <c r="AI390" s="1366"/>
      <c r="AJ390" s="1366"/>
      <c r="AK390" s="1366"/>
      <c r="AL390" s="1366"/>
      <c r="AM390" s="1366"/>
      <c r="AN390" s="1366"/>
      <c r="AO390" s="1366"/>
      <c r="AP390" s="1366"/>
      <c r="AQ390" s="1366"/>
      <c r="AR390" s="1366"/>
      <c r="AS390" s="1366"/>
      <c r="AT390" s="1366"/>
      <c r="AU390" s="1366"/>
      <c r="AV390" s="1366"/>
      <c r="AW390" s="1366"/>
      <c r="AX390" s="1366"/>
      <c r="AY390" s="1366"/>
      <c r="AZ390" s="1366"/>
      <c r="BA390" s="1366"/>
      <c r="BB390" s="1366"/>
      <c r="BC390" s="1366"/>
      <c r="BD390" s="1366"/>
      <c r="BE390" s="1366"/>
      <c r="BF390" s="1366"/>
      <c r="BG390" s="1366"/>
      <c r="BH390" s="1366"/>
      <c r="BI390" s="1366"/>
      <c r="BJ390" s="1366"/>
      <c r="BK390" s="1366"/>
      <c r="BL390" s="1366"/>
      <c r="BM390" s="1366"/>
      <c r="BN390" s="1366"/>
      <c r="BO390" s="1366"/>
      <c r="BP390" s="1366"/>
      <c r="BQ390" s="1366"/>
      <c r="BR390" s="1366"/>
      <c r="BS390" s="1366"/>
      <c r="BT390" s="1366"/>
      <c r="BU390" s="1366"/>
      <c r="BV390" s="1366"/>
      <c r="BW390" s="1366"/>
      <c r="BX390" s="1366"/>
      <c r="BY390" s="1366"/>
      <c r="BZ390" s="1366"/>
      <c r="CA390" s="1366"/>
      <c r="CB390" s="1366"/>
      <c r="CC390" s="1366"/>
      <c r="CD390" s="1366"/>
      <c r="CE390" s="1366"/>
      <c r="CF390" s="1366"/>
      <c r="CG390" s="1366"/>
      <c r="CH390" s="1366"/>
      <c r="CI390" s="1366"/>
      <c r="CJ390" s="1366"/>
      <c r="CK390" s="1366"/>
      <c r="CL390" s="1366"/>
      <c r="CM390" s="1366"/>
      <c r="CN390" s="1366"/>
      <c r="CO390" s="1366"/>
      <c r="CP390" s="1366"/>
      <c r="CQ390" s="1366"/>
      <c r="CR390" s="1366"/>
      <c r="CS390" s="1366"/>
      <c r="CT390" s="1366"/>
      <c r="CU390" s="1366"/>
      <c r="CV390" s="1366"/>
      <c r="CW390" s="1366"/>
      <c r="CX390" s="1366"/>
      <c r="CY390" s="1366"/>
      <c r="CZ390" s="1366"/>
      <c r="DA390" s="1366"/>
      <c r="DB390" s="1366"/>
      <c r="DC390" s="1366"/>
      <c r="DD390" s="1366"/>
      <c r="DE390" s="1366"/>
      <c r="DF390" s="1366"/>
      <c r="DG390" s="1366"/>
      <c r="DH390" s="1366"/>
      <c r="DI390" s="1366"/>
      <c r="DJ390" s="1366"/>
      <c r="DK390" s="1366"/>
      <c r="DL390" s="1366"/>
      <c r="DM390" s="1366"/>
      <c r="DN390" s="1366"/>
      <c r="DO390" s="1366"/>
      <c r="DP390" s="1366"/>
      <c r="DQ390" s="1366"/>
      <c r="DR390" s="1366"/>
      <c r="DS390" s="1366"/>
      <c r="DT390" s="1366"/>
      <c r="DU390" s="1366"/>
      <c r="DV390" s="1366"/>
    </row>
    <row r="391" spans="1:126" s="1367" customFormat="1">
      <c r="A391" s="2494"/>
      <c r="B391" s="1653">
        <v>389</v>
      </c>
      <c r="C391" s="1642" t="s">
        <v>49</v>
      </c>
      <c r="D391" s="1364" t="s">
        <v>256</v>
      </c>
      <c r="E391" s="1364" t="s">
        <v>2097</v>
      </c>
      <c r="F391" s="1364" t="s">
        <v>2107</v>
      </c>
      <c r="G391" s="1185" t="s">
        <v>1839</v>
      </c>
      <c r="H391" s="1361">
        <f>((75*'Equipment Results Matrix'!$R$819)+(0.62*'Equipment Results Matrix'!$R$818)+'Equipment Results Matrix'!$R$820+'Equipment Results Matrix'!$R$822+'Equipment Results Matrix'!$T$825)*(1+'Equipment Results Matrix'!$T$827)</f>
        <v>1181.810840129481</v>
      </c>
      <c r="I391" s="1371">
        <f t="shared" si="153"/>
        <v>5.3068</v>
      </c>
      <c r="J391" s="1372">
        <f>'Labor Results Matrix'!$G$314*(1+'Labor Results Matrix'!$K$314)</f>
        <v>78.188884348876428</v>
      </c>
      <c r="K391" s="1372">
        <f t="shared" si="144"/>
        <v>414.93277146261744</v>
      </c>
      <c r="L391" s="1372">
        <v>0</v>
      </c>
      <c r="M391" s="1372">
        <f t="shared" si="145"/>
        <v>1596.7436115920984</v>
      </c>
      <c r="N391" s="1458">
        <f t="shared" si="154"/>
        <v>241.41439128599973</v>
      </c>
      <c r="O391" s="1429"/>
      <c r="P391" s="1430"/>
      <c r="Q391" s="1430"/>
      <c r="R391" s="1430"/>
      <c r="S391" s="1430"/>
      <c r="T391" s="1430"/>
      <c r="U391" s="1430"/>
      <c r="V391" s="1679"/>
      <c r="W391" s="1366"/>
      <c r="X391" s="1366"/>
      <c r="Y391" s="1366"/>
      <c r="Z391" s="1366"/>
      <c r="AA391" s="1366"/>
      <c r="AB391" s="1366"/>
      <c r="AC391" s="1366"/>
      <c r="AD391" s="1366"/>
      <c r="AE391" s="1366"/>
      <c r="AF391" s="1366"/>
      <c r="AG391" s="1366"/>
      <c r="AH391" s="1366"/>
      <c r="AI391" s="1366"/>
      <c r="AJ391" s="1366"/>
      <c r="AK391" s="1366"/>
      <c r="AL391" s="1366"/>
      <c r="AM391" s="1366"/>
      <c r="AN391" s="1366"/>
      <c r="AO391" s="1366"/>
      <c r="AP391" s="1366"/>
      <c r="AQ391" s="1366"/>
      <c r="AR391" s="1366"/>
      <c r="AS391" s="1366"/>
      <c r="AT391" s="1366"/>
      <c r="AU391" s="1366"/>
      <c r="AV391" s="1366"/>
      <c r="AW391" s="1366"/>
      <c r="AX391" s="1366"/>
      <c r="AY391" s="1366"/>
      <c r="AZ391" s="1366"/>
      <c r="BA391" s="1366"/>
      <c r="BB391" s="1366"/>
      <c r="BC391" s="1366"/>
      <c r="BD391" s="1366"/>
      <c r="BE391" s="1366"/>
      <c r="BF391" s="1366"/>
      <c r="BG391" s="1366"/>
      <c r="BH391" s="1366"/>
      <c r="BI391" s="1366"/>
      <c r="BJ391" s="1366"/>
      <c r="BK391" s="1366"/>
      <c r="BL391" s="1366"/>
      <c r="BM391" s="1366"/>
      <c r="BN391" s="1366"/>
      <c r="BO391" s="1366"/>
      <c r="BP391" s="1366"/>
      <c r="BQ391" s="1366"/>
      <c r="BR391" s="1366"/>
      <c r="BS391" s="1366"/>
      <c r="BT391" s="1366"/>
      <c r="BU391" s="1366"/>
      <c r="BV391" s="1366"/>
      <c r="BW391" s="1366"/>
      <c r="BX391" s="1366"/>
      <c r="BY391" s="1366"/>
      <c r="BZ391" s="1366"/>
      <c r="CA391" s="1366"/>
      <c r="CB391" s="1366"/>
      <c r="CC391" s="1366"/>
      <c r="CD391" s="1366"/>
      <c r="CE391" s="1366"/>
      <c r="CF391" s="1366"/>
      <c r="CG391" s="1366"/>
      <c r="CH391" s="1366"/>
      <c r="CI391" s="1366"/>
      <c r="CJ391" s="1366"/>
      <c r="CK391" s="1366"/>
      <c r="CL391" s="1366"/>
      <c r="CM391" s="1366"/>
      <c r="CN391" s="1366"/>
      <c r="CO391" s="1366"/>
      <c r="CP391" s="1366"/>
      <c r="CQ391" s="1366"/>
      <c r="CR391" s="1366"/>
      <c r="CS391" s="1366"/>
      <c r="CT391" s="1366"/>
      <c r="CU391" s="1366"/>
      <c r="CV391" s="1366"/>
      <c r="CW391" s="1366"/>
      <c r="CX391" s="1366"/>
      <c r="CY391" s="1366"/>
      <c r="CZ391" s="1366"/>
      <c r="DA391" s="1366"/>
      <c r="DB391" s="1366"/>
      <c r="DC391" s="1366"/>
      <c r="DD391" s="1366"/>
      <c r="DE391" s="1366"/>
      <c r="DF391" s="1366"/>
      <c r="DG391" s="1366"/>
      <c r="DH391" s="1366"/>
      <c r="DI391" s="1366"/>
      <c r="DJ391" s="1366"/>
      <c r="DK391" s="1366"/>
      <c r="DL391" s="1366"/>
      <c r="DM391" s="1366"/>
      <c r="DN391" s="1366"/>
      <c r="DO391" s="1366"/>
      <c r="DP391" s="1366"/>
      <c r="DQ391" s="1366"/>
      <c r="DR391" s="1366"/>
      <c r="DS391" s="1366"/>
      <c r="DT391" s="1366"/>
      <c r="DU391" s="1366"/>
      <c r="DV391" s="1366"/>
    </row>
    <row r="392" spans="1:126" s="1367" customFormat="1">
      <c r="A392" s="2494"/>
      <c r="B392" s="1653">
        <v>369</v>
      </c>
      <c r="C392" s="1642" t="s">
        <v>49</v>
      </c>
      <c r="D392" s="1364" t="s">
        <v>2468</v>
      </c>
      <c r="E392" s="1364" t="s">
        <v>2097</v>
      </c>
      <c r="F392" s="1364" t="s">
        <v>2108</v>
      </c>
      <c r="G392" s="1185" t="s">
        <v>1839</v>
      </c>
      <c r="H392" s="1361">
        <f>((75*'Equipment Results Matrix'!$R$819)+(0.66*'Equipment Results Matrix'!$R$818)+'Equipment Results Matrix'!$R$820+'Equipment Results Matrix'!$R$822+'Equipment Results Matrix'!$T$825)*(1+'Equipment Results Matrix'!$T$827)</f>
        <v>1289.1061251454812</v>
      </c>
      <c r="I392" s="1371">
        <f t="shared" si="153"/>
        <v>5.3068</v>
      </c>
      <c r="J392" s="1372">
        <f>'Labor Results Matrix'!$G$314*(1+'Labor Results Matrix'!$K$314)</f>
        <v>78.188884348876428</v>
      </c>
      <c r="K392" s="1372">
        <f t="shared" si="144"/>
        <v>414.93277146261744</v>
      </c>
      <c r="L392" s="1372">
        <v>0</v>
      </c>
      <c r="M392" s="1372">
        <f t="shared" si="145"/>
        <v>1704.0388966080986</v>
      </c>
      <c r="N392" s="1458">
        <f t="shared" si="154"/>
        <v>348.70967630199993</v>
      </c>
      <c r="O392" s="1429"/>
      <c r="P392" s="1430"/>
      <c r="Q392" s="1430"/>
      <c r="R392" s="1430"/>
      <c r="S392" s="1430"/>
      <c r="T392" s="1430"/>
      <c r="U392" s="1430"/>
      <c r="V392" s="1679"/>
      <c r="W392" s="1366"/>
      <c r="X392" s="1366"/>
      <c r="Y392" s="1366"/>
      <c r="Z392" s="1366"/>
      <c r="AA392" s="1366"/>
      <c r="AB392" s="1366"/>
      <c r="AC392" s="1366"/>
      <c r="AD392" s="1366"/>
      <c r="AE392" s="1366"/>
      <c r="AF392" s="1366"/>
      <c r="AG392" s="1366"/>
      <c r="AH392" s="1366"/>
      <c r="AI392" s="1366"/>
      <c r="AJ392" s="1366"/>
      <c r="AK392" s="1366"/>
      <c r="AL392" s="1366"/>
      <c r="AM392" s="1366"/>
      <c r="AN392" s="1366"/>
      <c r="AO392" s="1366"/>
      <c r="AP392" s="1366"/>
      <c r="AQ392" s="1366"/>
      <c r="AR392" s="1366"/>
      <c r="AS392" s="1366"/>
      <c r="AT392" s="1366"/>
      <c r="AU392" s="1366"/>
      <c r="AV392" s="1366"/>
      <c r="AW392" s="1366"/>
      <c r="AX392" s="1366"/>
      <c r="AY392" s="1366"/>
      <c r="AZ392" s="1366"/>
      <c r="BA392" s="1366"/>
      <c r="BB392" s="1366"/>
      <c r="BC392" s="1366"/>
      <c r="BD392" s="1366"/>
      <c r="BE392" s="1366"/>
      <c r="BF392" s="1366"/>
      <c r="BG392" s="1366"/>
      <c r="BH392" s="1366"/>
      <c r="BI392" s="1366"/>
      <c r="BJ392" s="1366"/>
      <c r="BK392" s="1366"/>
      <c r="BL392" s="1366"/>
      <c r="BM392" s="1366"/>
      <c r="BN392" s="1366"/>
      <c r="BO392" s="1366"/>
      <c r="BP392" s="1366"/>
      <c r="BQ392" s="1366"/>
      <c r="BR392" s="1366"/>
      <c r="BS392" s="1366"/>
      <c r="BT392" s="1366"/>
      <c r="BU392" s="1366"/>
      <c r="BV392" s="1366"/>
      <c r="BW392" s="1366"/>
      <c r="BX392" s="1366"/>
      <c r="BY392" s="1366"/>
      <c r="BZ392" s="1366"/>
      <c r="CA392" s="1366"/>
      <c r="CB392" s="1366"/>
      <c r="CC392" s="1366"/>
      <c r="CD392" s="1366"/>
      <c r="CE392" s="1366"/>
      <c r="CF392" s="1366"/>
      <c r="CG392" s="1366"/>
      <c r="CH392" s="1366"/>
      <c r="CI392" s="1366"/>
      <c r="CJ392" s="1366"/>
      <c r="CK392" s="1366"/>
      <c r="CL392" s="1366"/>
      <c r="CM392" s="1366"/>
      <c r="CN392" s="1366"/>
      <c r="CO392" s="1366"/>
      <c r="CP392" s="1366"/>
      <c r="CQ392" s="1366"/>
      <c r="CR392" s="1366"/>
      <c r="CS392" s="1366"/>
      <c r="CT392" s="1366"/>
      <c r="CU392" s="1366"/>
      <c r="CV392" s="1366"/>
      <c r="CW392" s="1366"/>
      <c r="CX392" s="1366"/>
      <c r="CY392" s="1366"/>
      <c r="CZ392" s="1366"/>
      <c r="DA392" s="1366"/>
      <c r="DB392" s="1366"/>
      <c r="DC392" s="1366"/>
      <c r="DD392" s="1366"/>
      <c r="DE392" s="1366"/>
      <c r="DF392" s="1366"/>
      <c r="DG392" s="1366"/>
      <c r="DH392" s="1366"/>
      <c r="DI392" s="1366"/>
      <c r="DJ392" s="1366"/>
      <c r="DK392" s="1366"/>
      <c r="DL392" s="1366"/>
      <c r="DM392" s="1366"/>
      <c r="DN392" s="1366"/>
      <c r="DO392" s="1366"/>
      <c r="DP392" s="1366"/>
      <c r="DQ392" s="1366"/>
      <c r="DR392" s="1366"/>
      <c r="DS392" s="1366"/>
      <c r="DT392" s="1366"/>
      <c r="DU392" s="1366"/>
      <c r="DV392" s="1366"/>
    </row>
    <row r="393" spans="1:126" s="1367" customFormat="1">
      <c r="A393" s="2494"/>
      <c r="B393" s="1653">
        <v>390</v>
      </c>
      <c r="C393" s="1642" t="s">
        <v>49</v>
      </c>
      <c r="D393" s="1364" t="s">
        <v>257</v>
      </c>
      <c r="E393" s="1364" t="s">
        <v>2097</v>
      </c>
      <c r="F393" s="1364" t="s">
        <v>2107</v>
      </c>
      <c r="G393" s="1185" t="s">
        <v>1839</v>
      </c>
      <c r="H393" s="1361">
        <f>((75*'Equipment Results Matrix'!$R$819)+(0.66*'Equipment Results Matrix'!$R$818)+'Equipment Results Matrix'!$R$820+'Equipment Results Matrix'!$R$822+'Equipment Results Matrix'!$T$825)*(1+'Equipment Results Matrix'!$T$827)</f>
        <v>1289.1061251454812</v>
      </c>
      <c r="I393" s="1371">
        <f t="shared" si="153"/>
        <v>5.3068</v>
      </c>
      <c r="J393" s="1372">
        <f>'Labor Results Matrix'!$G$314*(1+'Labor Results Matrix'!$K$314)</f>
        <v>78.188884348876428</v>
      </c>
      <c r="K393" s="1372">
        <f t="shared" si="144"/>
        <v>414.93277146261744</v>
      </c>
      <c r="L393" s="1372">
        <v>0</v>
      </c>
      <c r="M393" s="1372">
        <f t="shared" si="145"/>
        <v>1704.0388966080986</v>
      </c>
      <c r="N393" s="1458">
        <f t="shared" si="154"/>
        <v>348.70967630199993</v>
      </c>
      <c r="O393" s="1429"/>
      <c r="P393" s="1430"/>
      <c r="Q393" s="1430"/>
      <c r="R393" s="1430"/>
      <c r="S393" s="1430"/>
      <c r="T393" s="1430"/>
      <c r="U393" s="1430"/>
      <c r="V393" s="1679"/>
      <c r="W393" s="1366"/>
      <c r="X393" s="1366"/>
      <c r="Y393" s="1366"/>
      <c r="Z393" s="1366"/>
      <c r="AA393" s="1366"/>
      <c r="AB393" s="1366"/>
      <c r="AC393" s="1366"/>
      <c r="AD393" s="1366"/>
      <c r="AE393" s="1366"/>
      <c r="AF393" s="1366"/>
      <c r="AG393" s="1366"/>
      <c r="AH393" s="1366"/>
      <c r="AI393" s="1366"/>
      <c r="AJ393" s="1366"/>
      <c r="AK393" s="1366"/>
      <c r="AL393" s="1366"/>
      <c r="AM393" s="1366"/>
      <c r="AN393" s="1366"/>
      <c r="AO393" s="1366"/>
      <c r="AP393" s="1366"/>
      <c r="AQ393" s="1366"/>
      <c r="AR393" s="1366"/>
      <c r="AS393" s="1366"/>
      <c r="AT393" s="1366"/>
      <c r="AU393" s="1366"/>
      <c r="AV393" s="1366"/>
      <c r="AW393" s="1366"/>
      <c r="AX393" s="1366"/>
      <c r="AY393" s="1366"/>
      <c r="AZ393" s="1366"/>
      <c r="BA393" s="1366"/>
      <c r="BB393" s="1366"/>
      <c r="BC393" s="1366"/>
      <c r="BD393" s="1366"/>
      <c r="BE393" s="1366"/>
      <c r="BF393" s="1366"/>
      <c r="BG393" s="1366"/>
      <c r="BH393" s="1366"/>
      <c r="BI393" s="1366"/>
      <c r="BJ393" s="1366"/>
      <c r="BK393" s="1366"/>
      <c r="BL393" s="1366"/>
      <c r="BM393" s="1366"/>
      <c r="BN393" s="1366"/>
      <c r="BO393" s="1366"/>
      <c r="BP393" s="1366"/>
      <c r="BQ393" s="1366"/>
      <c r="BR393" s="1366"/>
      <c r="BS393" s="1366"/>
      <c r="BT393" s="1366"/>
      <c r="BU393" s="1366"/>
      <c r="BV393" s="1366"/>
      <c r="BW393" s="1366"/>
      <c r="BX393" s="1366"/>
      <c r="BY393" s="1366"/>
      <c r="BZ393" s="1366"/>
      <c r="CA393" s="1366"/>
      <c r="CB393" s="1366"/>
      <c r="CC393" s="1366"/>
      <c r="CD393" s="1366"/>
      <c r="CE393" s="1366"/>
      <c r="CF393" s="1366"/>
      <c r="CG393" s="1366"/>
      <c r="CH393" s="1366"/>
      <c r="CI393" s="1366"/>
      <c r="CJ393" s="1366"/>
      <c r="CK393" s="1366"/>
      <c r="CL393" s="1366"/>
      <c r="CM393" s="1366"/>
      <c r="CN393" s="1366"/>
      <c r="CO393" s="1366"/>
      <c r="CP393" s="1366"/>
      <c r="CQ393" s="1366"/>
      <c r="CR393" s="1366"/>
      <c r="CS393" s="1366"/>
      <c r="CT393" s="1366"/>
      <c r="CU393" s="1366"/>
      <c r="CV393" s="1366"/>
      <c r="CW393" s="1366"/>
      <c r="CX393" s="1366"/>
      <c r="CY393" s="1366"/>
      <c r="CZ393" s="1366"/>
      <c r="DA393" s="1366"/>
      <c r="DB393" s="1366"/>
      <c r="DC393" s="1366"/>
      <c r="DD393" s="1366"/>
      <c r="DE393" s="1366"/>
      <c r="DF393" s="1366"/>
      <c r="DG393" s="1366"/>
      <c r="DH393" s="1366"/>
      <c r="DI393" s="1366"/>
      <c r="DJ393" s="1366"/>
      <c r="DK393" s="1366"/>
      <c r="DL393" s="1366"/>
      <c r="DM393" s="1366"/>
      <c r="DN393" s="1366"/>
      <c r="DO393" s="1366"/>
      <c r="DP393" s="1366"/>
      <c r="DQ393" s="1366"/>
      <c r="DR393" s="1366"/>
      <c r="DS393" s="1366"/>
      <c r="DT393" s="1366"/>
      <c r="DU393" s="1366"/>
      <c r="DV393" s="1366"/>
    </row>
    <row r="394" spans="1:126" s="1367" customFormat="1">
      <c r="A394" s="2494"/>
      <c r="B394" s="1653">
        <v>370</v>
      </c>
      <c r="C394" s="1642" t="s">
        <v>49</v>
      </c>
      <c r="D394" s="1364" t="s">
        <v>2469</v>
      </c>
      <c r="E394" s="1364" t="s">
        <v>2097</v>
      </c>
      <c r="F394" s="1364" t="s">
        <v>2108</v>
      </c>
      <c r="G394" s="1185" t="s">
        <v>1839</v>
      </c>
      <c r="H394" s="1361">
        <f>((75*'Equipment Results Matrix'!$R$819)+(0.7*'Equipment Results Matrix'!$R$818)+'Equipment Results Matrix'!$R$820+'Equipment Results Matrix'!$R$822+'Equipment Results Matrix'!$T$825)*(1+'Equipment Results Matrix'!$T$827)</f>
        <v>1396.4014101614807</v>
      </c>
      <c r="I394" s="1371">
        <f t="shared" si="153"/>
        <v>5.3068</v>
      </c>
      <c r="J394" s="1372">
        <f>'Labor Results Matrix'!$G$314*(1+'Labor Results Matrix'!$K$314)</f>
        <v>78.188884348876428</v>
      </c>
      <c r="K394" s="1372">
        <f t="shared" si="144"/>
        <v>414.93277146261744</v>
      </c>
      <c r="L394" s="1372">
        <v>0</v>
      </c>
      <c r="M394" s="1372">
        <f t="shared" si="145"/>
        <v>1811.3341816240982</v>
      </c>
      <c r="N394" s="1458">
        <f t="shared" si="154"/>
        <v>456.00496131799946</v>
      </c>
      <c r="O394" s="1429"/>
      <c r="P394" s="1430"/>
      <c r="Q394" s="1430"/>
      <c r="R394" s="1430"/>
      <c r="S394" s="1430"/>
      <c r="T394" s="1430"/>
      <c r="U394" s="1430"/>
      <c r="V394" s="1679"/>
      <c r="W394" s="1366"/>
      <c r="X394" s="1366"/>
      <c r="Y394" s="1366"/>
      <c r="Z394" s="1366"/>
      <c r="AA394" s="1366"/>
      <c r="AB394" s="1366"/>
      <c r="AC394" s="1366"/>
      <c r="AD394" s="1366"/>
      <c r="AE394" s="1366"/>
      <c r="AF394" s="1366"/>
      <c r="AG394" s="1366"/>
      <c r="AH394" s="1366"/>
      <c r="AI394" s="1366"/>
      <c r="AJ394" s="1366"/>
      <c r="AK394" s="1366"/>
      <c r="AL394" s="1366"/>
      <c r="AM394" s="1366"/>
      <c r="AN394" s="1366"/>
      <c r="AO394" s="1366"/>
      <c r="AP394" s="1366"/>
      <c r="AQ394" s="1366"/>
      <c r="AR394" s="1366"/>
      <c r="AS394" s="1366"/>
      <c r="AT394" s="1366"/>
      <c r="AU394" s="1366"/>
      <c r="AV394" s="1366"/>
      <c r="AW394" s="1366"/>
      <c r="AX394" s="1366"/>
      <c r="AY394" s="1366"/>
      <c r="AZ394" s="1366"/>
      <c r="BA394" s="1366"/>
      <c r="BB394" s="1366"/>
      <c r="BC394" s="1366"/>
      <c r="BD394" s="1366"/>
      <c r="BE394" s="1366"/>
      <c r="BF394" s="1366"/>
      <c r="BG394" s="1366"/>
      <c r="BH394" s="1366"/>
      <c r="BI394" s="1366"/>
      <c r="BJ394" s="1366"/>
      <c r="BK394" s="1366"/>
      <c r="BL394" s="1366"/>
      <c r="BM394" s="1366"/>
      <c r="BN394" s="1366"/>
      <c r="BO394" s="1366"/>
      <c r="BP394" s="1366"/>
      <c r="BQ394" s="1366"/>
      <c r="BR394" s="1366"/>
      <c r="BS394" s="1366"/>
      <c r="BT394" s="1366"/>
      <c r="BU394" s="1366"/>
      <c r="BV394" s="1366"/>
      <c r="BW394" s="1366"/>
      <c r="BX394" s="1366"/>
      <c r="BY394" s="1366"/>
      <c r="BZ394" s="1366"/>
      <c r="CA394" s="1366"/>
      <c r="CB394" s="1366"/>
      <c r="CC394" s="1366"/>
      <c r="CD394" s="1366"/>
      <c r="CE394" s="1366"/>
      <c r="CF394" s="1366"/>
      <c r="CG394" s="1366"/>
      <c r="CH394" s="1366"/>
      <c r="CI394" s="1366"/>
      <c r="CJ394" s="1366"/>
      <c r="CK394" s="1366"/>
      <c r="CL394" s="1366"/>
      <c r="CM394" s="1366"/>
      <c r="CN394" s="1366"/>
      <c r="CO394" s="1366"/>
      <c r="CP394" s="1366"/>
      <c r="CQ394" s="1366"/>
      <c r="CR394" s="1366"/>
      <c r="CS394" s="1366"/>
      <c r="CT394" s="1366"/>
      <c r="CU394" s="1366"/>
      <c r="CV394" s="1366"/>
      <c r="CW394" s="1366"/>
      <c r="CX394" s="1366"/>
      <c r="CY394" s="1366"/>
      <c r="CZ394" s="1366"/>
      <c r="DA394" s="1366"/>
      <c r="DB394" s="1366"/>
      <c r="DC394" s="1366"/>
      <c r="DD394" s="1366"/>
      <c r="DE394" s="1366"/>
      <c r="DF394" s="1366"/>
      <c r="DG394" s="1366"/>
      <c r="DH394" s="1366"/>
      <c r="DI394" s="1366"/>
      <c r="DJ394" s="1366"/>
      <c r="DK394" s="1366"/>
      <c r="DL394" s="1366"/>
      <c r="DM394" s="1366"/>
      <c r="DN394" s="1366"/>
      <c r="DO394" s="1366"/>
      <c r="DP394" s="1366"/>
      <c r="DQ394" s="1366"/>
      <c r="DR394" s="1366"/>
      <c r="DS394" s="1366"/>
      <c r="DT394" s="1366"/>
      <c r="DU394" s="1366"/>
      <c r="DV394" s="1366"/>
    </row>
    <row r="395" spans="1:126" s="1367" customFormat="1" ht="15.75" thickBot="1">
      <c r="A395" s="2494"/>
      <c r="B395" s="1653">
        <v>391</v>
      </c>
      <c r="C395" s="1642" t="s">
        <v>49</v>
      </c>
      <c r="D395" s="1364" t="s">
        <v>258</v>
      </c>
      <c r="E395" s="1364" t="s">
        <v>2097</v>
      </c>
      <c r="F395" s="1364" t="s">
        <v>2107</v>
      </c>
      <c r="G395" s="1185" t="s">
        <v>1839</v>
      </c>
      <c r="H395" s="1361">
        <f>((75*'Equipment Results Matrix'!$R$819)+(0.7*'Equipment Results Matrix'!$R$818)+'Equipment Results Matrix'!$R$820+'Equipment Results Matrix'!$R$822+'Equipment Results Matrix'!$T$825)*(1+'Equipment Results Matrix'!$T$827)</f>
        <v>1396.4014101614807</v>
      </c>
      <c r="I395" s="1371">
        <f t="shared" si="153"/>
        <v>5.3068</v>
      </c>
      <c r="J395" s="1372">
        <f>'Labor Results Matrix'!$G$314*(1+'Labor Results Matrix'!$K$314)</f>
        <v>78.188884348876428</v>
      </c>
      <c r="K395" s="1372">
        <f t="shared" si="144"/>
        <v>414.93277146261744</v>
      </c>
      <c r="L395" s="1372">
        <v>0</v>
      </c>
      <c r="M395" s="1372">
        <f t="shared" si="145"/>
        <v>1811.3341816240982</v>
      </c>
      <c r="N395" s="1458">
        <f t="shared" si="154"/>
        <v>456.00496131799946</v>
      </c>
      <c r="O395" s="1429"/>
      <c r="P395" s="1430"/>
      <c r="Q395" s="1430"/>
      <c r="R395" s="1430"/>
      <c r="S395" s="1430"/>
      <c r="T395" s="1430"/>
      <c r="U395" s="1430"/>
      <c r="V395" s="1679"/>
      <c r="W395" s="1366"/>
      <c r="X395" s="1366"/>
      <c r="Y395" s="1366"/>
      <c r="Z395" s="1366"/>
      <c r="AA395" s="1366"/>
      <c r="AB395" s="1366"/>
      <c r="AC395" s="1366"/>
      <c r="AD395" s="1366"/>
      <c r="AE395" s="1366"/>
      <c r="AF395" s="1366"/>
      <c r="AG395" s="1366"/>
      <c r="AH395" s="1366"/>
      <c r="AI395" s="1366"/>
      <c r="AJ395" s="1366"/>
      <c r="AK395" s="1366"/>
      <c r="AL395" s="1366"/>
      <c r="AM395" s="1366"/>
      <c r="AN395" s="1366"/>
      <c r="AO395" s="1366"/>
      <c r="AP395" s="1366"/>
      <c r="AQ395" s="1366"/>
      <c r="AR395" s="1366"/>
      <c r="AS395" s="1366"/>
      <c r="AT395" s="1366"/>
      <c r="AU395" s="1366"/>
      <c r="AV395" s="1366"/>
      <c r="AW395" s="1366"/>
      <c r="AX395" s="1366"/>
      <c r="AY395" s="1366"/>
      <c r="AZ395" s="1366"/>
      <c r="BA395" s="1366"/>
      <c r="BB395" s="1366"/>
      <c r="BC395" s="1366"/>
      <c r="BD395" s="1366"/>
      <c r="BE395" s="1366"/>
      <c r="BF395" s="1366"/>
      <c r="BG395" s="1366"/>
      <c r="BH395" s="1366"/>
      <c r="BI395" s="1366"/>
      <c r="BJ395" s="1366"/>
      <c r="BK395" s="1366"/>
      <c r="BL395" s="1366"/>
      <c r="BM395" s="1366"/>
      <c r="BN395" s="1366"/>
      <c r="BO395" s="1366"/>
      <c r="BP395" s="1366"/>
      <c r="BQ395" s="1366"/>
      <c r="BR395" s="1366"/>
      <c r="BS395" s="1366"/>
      <c r="BT395" s="1366"/>
      <c r="BU395" s="1366"/>
      <c r="BV395" s="1366"/>
      <c r="BW395" s="1366"/>
      <c r="BX395" s="1366"/>
      <c r="BY395" s="1366"/>
      <c r="BZ395" s="1366"/>
      <c r="CA395" s="1366"/>
      <c r="CB395" s="1366"/>
      <c r="CC395" s="1366"/>
      <c r="CD395" s="1366"/>
      <c r="CE395" s="1366"/>
      <c r="CF395" s="1366"/>
      <c r="CG395" s="1366"/>
      <c r="CH395" s="1366"/>
      <c r="CI395" s="1366"/>
      <c r="CJ395" s="1366"/>
      <c r="CK395" s="1366"/>
      <c r="CL395" s="1366"/>
      <c r="CM395" s="1366"/>
      <c r="CN395" s="1366"/>
      <c r="CO395" s="1366"/>
      <c r="CP395" s="1366"/>
      <c r="CQ395" s="1366"/>
      <c r="CR395" s="1366"/>
      <c r="CS395" s="1366"/>
      <c r="CT395" s="1366"/>
      <c r="CU395" s="1366"/>
      <c r="CV395" s="1366"/>
      <c r="CW395" s="1366"/>
      <c r="CX395" s="1366"/>
      <c r="CY395" s="1366"/>
      <c r="CZ395" s="1366"/>
      <c r="DA395" s="1366"/>
      <c r="DB395" s="1366"/>
      <c r="DC395" s="1366"/>
      <c r="DD395" s="1366"/>
      <c r="DE395" s="1366"/>
      <c r="DF395" s="1366"/>
      <c r="DG395" s="1366"/>
      <c r="DH395" s="1366"/>
      <c r="DI395" s="1366"/>
      <c r="DJ395" s="1366"/>
      <c r="DK395" s="1366"/>
      <c r="DL395" s="1366"/>
      <c r="DM395" s="1366"/>
      <c r="DN395" s="1366"/>
      <c r="DO395" s="1366"/>
      <c r="DP395" s="1366"/>
      <c r="DQ395" s="1366"/>
      <c r="DR395" s="1366"/>
      <c r="DS395" s="1366"/>
      <c r="DT395" s="1366"/>
      <c r="DU395" s="1366"/>
      <c r="DV395" s="1366"/>
    </row>
    <row r="396" spans="1:126" s="1479" customFormat="1" ht="19.5" thickBot="1">
      <c r="A396" s="695"/>
      <c r="B396" s="1654"/>
      <c r="C396" s="1654"/>
      <c r="D396" s="1343"/>
      <c r="E396" s="1343"/>
      <c r="F396" s="1343"/>
      <c r="G396" s="1343"/>
      <c r="H396" s="1422"/>
      <c r="I396" s="1447"/>
      <c r="J396" s="1423"/>
      <c r="K396" s="1422"/>
      <c r="L396" s="1527"/>
      <c r="M396" s="1422"/>
      <c r="N396" s="1503"/>
      <c r="O396" s="1413"/>
      <c r="P396" s="1414"/>
      <c r="Q396" s="1414"/>
      <c r="R396" s="1443"/>
      <c r="S396" s="1443"/>
      <c r="T396" s="1488"/>
      <c r="U396" s="1488"/>
      <c r="V396" s="1489"/>
      <c r="W396" s="1490"/>
      <c r="X396" s="1490"/>
      <c r="Y396" s="327"/>
      <c r="Z396" s="327"/>
      <c r="AA396" s="327"/>
      <c r="AB396" s="1490"/>
      <c r="AC396" s="1490"/>
      <c r="AD396" s="1490"/>
      <c r="AE396" s="1490"/>
      <c r="AF396" s="327"/>
      <c r="AG396" s="327"/>
      <c r="AH396" s="327"/>
      <c r="AI396" s="327"/>
      <c r="AJ396" s="327"/>
      <c r="AK396" s="1478"/>
      <c r="AL396" s="1478"/>
      <c r="AM396" s="1478"/>
      <c r="AN396" s="1478"/>
      <c r="AO396" s="1478"/>
      <c r="AP396" s="1478"/>
      <c r="AQ396" s="1478"/>
      <c r="AR396" s="1478"/>
      <c r="AS396" s="1478"/>
      <c r="AT396" s="1478"/>
      <c r="AU396" s="1478"/>
      <c r="AV396" s="1478"/>
      <c r="AW396" s="1478"/>
      <c r="AX396" s="1478"/>
      <c r="AY396" s="1478"/>
      <c r="AZ396" s="1478"/>
      <c r="BA396" s="1478"/>
      <c r="BB396" s="1478"/>
      <c r="BC396" s="1478"/>
      <c r="BD396" s="1478"/>
      <c r="BE396" s="1478"/>
      <c r="BF396" s="1478"/>
      <c r="BG396" s="1478"/>
      <c r="BH396" s="1478"/>
      <c r="BI396" s="1478"/>
      <c r="BJ396" s="1478"/>
      <c r="BK396" s="327"/>
      <c r="BL396" s="327"/>
      <c r="BM396" s="327"/>
      <c r="BN396" s="327"/>
      <c r="BO396" s="327"/>
      <c r="BP396" s="327"/>
      <c r="BQ396" s="327"/>
      <c r="BR396" s="327"/>
      <c r="BS396" s="327"/>
      <c r="BT396" s="327"/>
      <c r="BU396" s="327"/>
      <c r="BV396" s="327"/>
      <c r="BW396" s="327"/>
      <c r="BX396" s="327"/>
      <c r="BY396" s="327"/>
      <c r="BZ396" s="327"/>
      <c r="CA396" s="327"/>
      <c r="CB396" s="327"/>
      <c r="CC396" s="327"/>
      <c r="CD396" s="327"/>
      <c r="CE396" s="327"/>
      <c r="CF396" s="327"/>
      <c r="CG396" s="327"/>
      <c r="CH396" s="327"/>
      <c r="CI396" s="327"/>
      <c r="CJ396" s="327"/>
      <c r="CK396" s="327"/>
      <c r="CL396" s="327"/>
      <c r="CM396" s="327"/>
      <c r="CN396" s="327"/>
      <c r="CO396" s="327"/>
      <c r="CP396" s="327"/>
      <c r="CQ396" s="327"/>
      <c r="CR396" s="327"/>
      <c r="CS396" s="327"/>
      <c r="CT396" s="327"/>
      <c r="CU396" s="327"/>
      <c r="CV396" s="327"/>
      <c r="CW396" s="327"/>
      <c r="CX396" s="327"/>
      <c r="CY396" s="327"/>
      <c r="CZ396" s="327"/>
      <c r="DA396" s="327"/>
      <c r="DB396" s="327"/>
      <c r="DC396" s="327"/>
      <c r="DD396" s="327"/>
      <c r="DE396" s="327"/>
      <c r="DF396" s="327"/>
      <c r="DG396" s="327"/>
      <c r="DH396" s="327"/>
      <c r="DI396" s="327"/>
      <c r="DJ396" s="327"/>
      <c r="DK396" s="327"/>
      <c r="DL396" s="327"/>
      <c r="DM396" s="327"/>
      <c r="DN396" s="327"/>
      <c r="DO396" s="327"/>
      <c r="DP396" s="327"/>
      <c r="DQ396" s="327"/>
      <c r="DR396" s="327"/>
      <c r="DS396" s="327"/>
      <c r="DT396" s="327"/>
      <c r="DU396" s="327"/>
      <c r="DV396" s="327"/>
    </row>
    <row r="397" spans="1:126" s="1367" customFormat="1" ht="30">
      <c r="A397" s="2512" t="s">
        <v>636</v>
      </c>
      <c r="B397" s="1658">
        <v>344</v>
      </c>
      <c r="C397" s="1672" t="s">
        <v>49</v>
      </c>
      <c r="D397" s="1644" t="s">
        <v>2433</v>
      </c>
      <c r="E397" s="1645" t="s">
        <v>2102</v>
      </c>
      <c r="F397" s="1645" t="s">
        <v>2108</v>
      </c>
      <c r="G397" s="1650" t="s">
        <v>1839</v>
      </c>
      <c r="H397" s="1651"/>
      <c r="I397" s="1647"/>
      <c r="J397" s="1646"/>
      <c r="K397" s="1646"/>
      <c r="L397" s="1648"/>
      <c r="M397" s="1646"/>
      <c r="N397" s="1649"/>
      <c r="O397" s="1429"/>
      <c r="P397" s="1430"/>
      <c r="Q397" s="1430"/>
      <c r="R397" s="1430"/>
      <c r="S397" s="1430"/>
      <c r="T397" s="1430"/>
      <c r="U397" s="1430"/>
      <c r="V397" s="1679"/>
      <c r="W397" s="1366"/>
      <c r="X397" s="1366"/>
      <c r="Y397" s="1366"/>
      <c r="Z397" s="1366"/>
      <c r="AA397" s="1366"/>
      <c r="AB397" s="1366"/>
      <c r="AC397" s="1366"/>
      <c r="AD397" s="1366"/>
      <c r="AE397" s="1366"/>
      <c r="AF397" s="1366"/>
      <c r="AG397" s="1366"/>
      <c r="AH397" s="1366"/>
      <c r="AI397" s="1366"/>
      <c r="AJ397" s="1366"/>
      <c r="AK397" s="1366"/>
      <c r="AL397" s="1366"/>
      <c r="AM397" s="1366"/>
      <c r="AN397" s="1366"/>
      <c r="AO397" s="1366"/>
      <c r="AP397" s="1366"/>
      <c r="AQ397" s="1366"/>
      <c r="AR397" s="1366"/>
      <c r="AS397" s="1366"/>
      <c r="AT397" s="1366"/>
      <c r="AU397" s="1366"/>
      <c r="AV397" s="1366"/>
      <c r="AW397" s="1366"/>
      <c r="AX397" s="1366"/>
      <c r="AY397" s="1366"/>
      <c r="AZ397" s="1366"/>
      <c r="BA397" s="1366"/>
      <c r="BB397" s="1366"/>
      <c r="BC397" s="1366"/>
      <c r="BD397" s="1366"/>
      <c r="BE397" s="1366"/>
      <c r="BF397" s="1366"/>
      <c r="BG397" s="1366"/>
      <c r="BH397" s="1366"/>
      <c r="BI397" s="1366"/>
      <c r="BJ397" s="1366"/>
      <c r="BK397" s="1366"/>
      <c r="BL397" s="1366"/>
      <c r="BM397" s="1366"/>
      <c r="BN397" s="1366"/>
      <c r="BO397" s="1366"/>
      <c r="BP397" s="1366"/>
      <c r="BQ397" s="1366"/>
      <c r="BR397" s="1366"/>
      <c r="BS397" s="1366"/>
      <c r="BT397" s="1366"/>
      <c r="BU397" s="1366"/>
      <c r="BV397" s="1366"/>
      <c r="BW397" s="1366"/>
      <c r="BX397" s="1366"/>
      <c r="BY397" s="1366"/>
      <c r="BZ397" s="1366"/>
      <c r="CA397" s="1366"/>
      <c r="CB397" s="1366"/>
      <c r="CC397" s="1366"/>
      <c r="CD397" s="1366"/>
      <c r="CE397" s="1366"/>
      <c r="CF397" s="1366"/>
      <c r="CG397" s="1366"/>
      <c r="CH397" s="1366"/>
      <c r="CI397" s="1366"/>
      <c r="CJ397" s="1366"/>
      <c r="CK397" s="1366"/>
      <c r="CL397" s="1366"/>
      <c r="CM397" s="1366"/>
      <c r="CN397" s="1366"/>
      <c r="CO397" s="1366"/>
      <c r="CP397" s="1366"/>
      <c r="CQ397" s="1366"/>
      <c r="CR397" s="1366"/>
      <c r="CS397" s="1366"/>
      <c r="CT397" s="1366"/>
      <c r="CU397" s="1366"/>
      <c r="CV397" s="1366"/>
      <c r="CW397" s="1366"/>
      <c r="CX397" s="1366"/>
      <c r="CY397" s="1366"/>
      <c r="CZ397" s="1366"/>
      <c r="DA397" s="1366"/>
      <c r="DB397" s="1366"/>
      <c r="DC397" s="1366"/>
      <c r="DD397" s="1366"/>
      <c r="DE397" s="1366"/>
      <c r="DF397" s="1366"/>
      <c r="DG397" s="1366"/>
      <c r="DH397" s="1366"/>
      <c r="DI397" s="1366"/>
      <c r="DJ397" s="1366"/>
      <c r="DK397" s="1366"/>
      <c r="DL397" s="1366"/>
      <c r="DM397" s="1366"/>
      <c r="DN397" s="1366"/>
      <c r="DO397" s="1366"/>
      <c r="DP397" s="1366"/>
      <c r="DQ397" s="1366"/>
      <c r="DR397" s="1366"/>
      <c r="DS397" s="1366"/>
      <c r="DT397" s="1366"/>
      <c r="DU397" s="1366"/>
      <c r="DV397" s="1366"/>
    </row>
    <row r="398" spans="1:126" s="1367" customFormat="1" ht="30">
      <c r="A398" s="2494"/>
      <c r="B398" s="1653" t="s">
        <v>2434</v>
      </c>
      <c r="C398" s="1642" t="s">
        <v>47</v>
      </c>
      <c r="D398" s="1379" t="s">
        <v>2440</v>
      </c>
      <c r="E398" s="1364" t="s">
        <v>2102</v>
      </c>
      <c r="F398" s="1364" t="s">
        <v>2438</v>
      </c>
      <c r="G398" s="1185" t="s">
        <v>1839</v>
      </c>
      <c r="H398" s="1361">
        <f>((30*'Equipment Results Matrix'!R$840)+(0.93*'Equipment Results Matrix'!R$839)+'Equipment Results Matrix'!$R$841+'Equipment Results Matrix'!$T$846)*(1+'Equipment Results Matrix'!$T$848)</f>
        <v>361.48050610590332</v>
      </c>
      <c r="I398" s="1371">
        <f>(0.0222*30)+3.0515</f>
        <v>3.7174999999999998</v>
      </c>
      <c r="J398" s="1372">
        <f>'Labor Results Matrix'!$G$335*(1+'Labor Results Matrix'!$K$335)</f>
        <v>79.481262602576862</v>
      </c>
      <c r="K398" s="1372">
        <f>I398*J398</f>
        <v>295.47159372507946</v>
      </c>
      <c r="L398" s="1372">
        <v>0</v>
      </c>
      <c r="M398" s="1372">
        <f>H398+K398</f>
        <v>656.95209983098277</v>
      </c>
      <c r="N398" s="1458" t="s">
        <v>40</v>
      </c>
      <c r="O398" s="1429"/>
      <c r="P398" s="1430"/>
      <c r="Q398" s="1430"/>
      <c r="R398" s="1430"/>
      <c r="S398" s="1430"/>
      <c r="T398" s="1430"/>
      <c r="U398" s="1430"/>
      <c r="V398" s="1679"/>
      <c r="W398" s="1366"/>
      <c r="X398" s="1366"/>
      <c r="Y398" s="1366"/>
      <c r="Z398" s="1366"/>
      <c r="AA398" s="1366"/>
      <c r="AB398" s="1366"/>
      <c r="AC398" s="1366"/>
      <c r="AD398" s="1366"/>
      <c r="AE398" s="1366"/>
      <c r="AF398" s="1366"/>
      <c r="AG398" s="1366"/>
      <c r="AH398" s="1366"/>
      <c r="AI398" s="1366"/>
      <c r="AJ398" s="1366"/>
      <c r="AK398" s="1366"/>
      <c r="AL398" s="1366"/>
      <c r="AM398" s="1366"/>
      <c r="AN398" s="1366"/>
      <c r="AO398" s="1366"/>
      <c r="AP398" s="1366"/>
      <c r="AQ398" s="1366"/>
      <c r="AR398" s="1366"/>
      <c r="AS398" s="1366"/>
      <c r="AT398" s="1366"/>
      <c r="AU398" s="1366"/>
      <c r="AV398" s="1366"/>
      <c r="AW398" s="1366"/>
      <c r="AX398" s="1366"/>
      <c r="AY398" s="1366"/>
      <c r="AZ398" s="1366"/>
      <c r="BA398" s="1366"/>
      <c r="BB398" s="1366"/>
      <c r="BC398" s="1366"/>
      <c r="BD398" s="1366"/>
      <c r="BE398" s="1366"/>
      <c r="BF398" s="1366"/>
      <c r="BG398" s="1366"/>
      <c r="BH398" s="1366"/>
      <c r="BI398" s="1366"/>
      <c r="BJ398" s="1366"/>
      <c r="BK398" s="1366"/>
      <c r="BL398" s="1366"/>
      <c r="BM398" s="1366"/>
      <c r="BN398" s="1366"/>
      <c r="BO398" s="1366"/>
      <c r="BP398" s="1366"/>
      <c r="BQ398" s="1366"/>
      <c r="BR398" s="1366"/>
      <c r="BS398" s="1366"/>
      <c r="BT398" s="1366"/>
      <c r="BU398" s="1366"/>
      <c r="BV398" s="1366"/>
      <c r="BW398" s="1366"/>
      <c r="BX398" s="1366"/>
      <c r="BY398" s="1366"/>
      <c r="BZ398" s="1366"/>
      <c r="CA398" s="1366"/>
      <c r="CB398" s="1366"/>
      <c r="CC398" s="1366"/>
      <c r="CD398" s="1366"/>
      <c r="CE398" s="1366"/>
      <c r="CF398" s="1366"/>
      <c r="CG398" s="1366"/>
      <c r="CH398" s="1366"/>
      <c r="CI398" s="1366"/>
      <c r="CJ398" s="1366"/>
      <c r="CK398" s="1366"/>
      <c r="CL398" s="1366"/>
      <c r="CM398" s="1366"/>
      <c r="CN398" s="1366"/>
      <c r="CO398" s="1366"/>
      <c r="CP398" s="1366"/>
      <c r="CQ398" s="1366"/>
      <c r="CR398" s="1366"/>
      <c r="CS398" s="1366"/>
      <c r="CT398" s="1366"/>
      <c r="CU398" s="1366"/>
      <c r="CV398" s="1366"/>
      <c r="CW398" s="1366"/>
      <c r="CX398" s="1366"/>
      <c r="CY398" s="1366"/>
      <c r="CZ398" s="1366"/>
      <c r="DA398" s="1366"/>
      <c r="DB398" s="1366"/>
      <c r="DC398" s="1366"/>
      <c r="DD398" s="1366"/>
      <c r="DE398" s="1366"/>
      <c r="DF398" s="1366"/>
      <c r="DG398" s="1366"/>
      <c r="DH398" s="1366"/>
      <c r="DI398" s="1366"/>
      <c r="DJ398" s="1366"/>
      <c r="DK398" s="1366"/>
      <c r="DL398" s="1366"/>
      <c r="DM398" s="1366"/>
      <c r="DN398" s="1366"/>
      <c r="DO398" s="1366"/>
      <c r="DP398" s="1366"/>
      <c r="DQ398" s="1366"/>
      <c r="DR398" s="1366"/>
      <c r="DS398" s="1366"/>
      <c r="DT398" s="1366"/>
      <c r="DU398" s="1366"/>
      <c r="DV398" s="1366"/>
    </row>
    <row r="399" spans="1:126" s="1367" customFormat="1" ht="30">
      <c r="A399" s="2494"/>
      <c r="B399" s="1653">
        <v>351</v>
      </c>
      <c r="C399" s="1642" t="s">
        <v>49</v>
      </c>
      <c r="D399" s="1375" t="s">
        <v>2441</v>
      </c>
      <c r="E399" s="1364" t="s">
        <v>2102</v>
      </c>
      <c r="F399" s="1364" t="s">
        <v>2108</v>
      </c>
      <c r="G399" s="1185" t="s">
        <v>1839</v>
      </c>
      <c r="H399" s="1361">
        <f>((30*'Equipment Results Matrix'!R$840)+(0.95*'Equipment Results Matrix'!R$839)+'Equipment Results Matrix'!$R$841+'Equipment Results Matrix'!$T$846)*(1+'Equipment Results Matrix'!$T$848)</f>
        <v>566.56641956390195</v>
      </c>
      <c r="I399" s="1371">
        <f t="shared" ref="I399:I400" si="155">(0.0222*30)+3.0515</f>
        <v>3.7174999999999998</v>
      </c>
      <c r="J399" s="1372">
        <f>'Labor Results Matrix'!$G$335*(1+'Labor Results Matrix'!$K$335)</f>
        <v>79.481262602576862</v>
      </c>
      <c r="K399" s="1372">
        <f t="shared" ref="K399:K412" si="156">I399*J399</f>
        <v>295.47159372507946</v>
      </c>
      <c r="L399" s="1372">
        <v>0</v>
      </c>
      <c r="M399" s="1372">
        <f t="shared" ref="M399:M412" si="157">H399+K399</f>
        <v>862.03801328898135</v>
      </c>
      <c r="N399" s="1458">
        <f>M399-$M$398</f>
        <v>205.08591345799857</v>
      </c>
      <c r="O399" s="1429"/>
      <c r="P399" s="1430"/>
      <c r="Q399" s="1430"/>
      <c r="R399" s="1430"/>
      <c r="S399" s="1430"/>
      <c r="T399" s="1430"/>
      <c r="U399" s="1430"/>
      <c r="V399" s="1679"/>
      <c r="W399" s="1366"/>
      <c r="X399" s="1366"/>
      <c r="Y399" s="1366"/>
      <c r="Z399" s="1366"/>
      <c r="AA399" s="1366"/>
      <c r="AB399" s="1366"/>
      <c r="AC399" s="1366"/>
      <c r="AD399" s="1366"/>
      <c r="AE399" s="1366"/>
      <c r="AF399" s="1366"/>
      <c r="AG399" s="1366"/>
      <c r="AH399" s="1366"/>
      <c r="AI399" s="1366"/>
      <c r="AJ399" s="1366"/>
      <c r="AK399" s="1366"/>
      <c r="AL399" s="1366"/>
      <c r="AM399" s="1366"/>
      <c r="AN399" s="1366"/>
      <c r="AO399" s="1366"/>
      <c r="AP399" s="1366"/>
      <c r="AQ399" s="1366"/>
      <c r="AR399" s="1366"/>
      <c r="AS399" s="1366"/>
      <c r="AT399" s="1366"/>
      <c r="AU399" s="1366"/>
      <c r="AV399" s="1366"/>
      <c r="AW399" s="1366"/>
      <c r="AX399" s="1366"/>
      <c r="AY399" s="1366"/>
      <c r="AZ399" s="1366"/>
      <c r="BA399" s="1366"/>
      <c r="BB399" s="1366"/>
      <c r="BC399" s="1366"/>
      <c r="BD399" s="1366"/>
      <c r="BE399" s="1366"/>
      <c r="BF399" s="1366"/>
      <c r="BG399" s="1366"/>
      <c r="BH399" s="1366"/>
      <c r="BI399" s="1366"/>
      <c r="BJ399" s="1366"/>
      <c r="BK399" s="1366"/>
      <c r="BL399" s="1366"/>
      <c r="BM399" s="1366"/>
      <c r="BN399" s="1366"/>
      <c r="BO399" s="1366"/>
      <c r="BP399" s="1366"/>
      <c r="BQ399" s="1366"/>
      <c r="BR399" s="1366"/>
      <c r="BS399" s="1366"/>
      <c r="BT399" s="1366"/>
      <c r="BU399" s="1366"/>
      <c r="BV399" s="1366"/>
      <c r="BW399" s="1366"/>
      <c r="BX399" s="1366"/>
      <c r="BY399" s="1366"/>
      <c r="BZ399" s="1366"/>
      <c r="CA399" s="1366"/>
      <c r="CB399" s="1366"/>
      <c r="CC399" s="1366"/>
      <c r="CD399" s="1366"/>
      <c r="CE399" s="1366"/>
      <c r="CF399" s="1366"/>
      <c r="CG399" s="1366"/>
      <c r="CH399" s="1366"/>
      <c r="CI399" s="1366"/>
      <c r="CJ399" s="1366"/>
      <c r="CK399" s="1366"/>
      <c r="CL399" s="1366"/>
      <c r="CM399" s="1366"/>
      <c r="CN399" s="1366"/>
      <c r="CO399" s="1366"/>
      <c r="CP399" s="1366"/>
      <c r="CQ399" s="1366"/>
      <c r="CR399" s="1366"/>
      <c r="CS399" s="1366"/>
      <c r="CT399" s="1366"/>
      <c r="CU399" s="1366"/>
      <c r="CV399" s="1366"/>
      <c r="CW399" s="1366"/>
      <c r="CX399" s="1366"/>
      <c r="CY399" s="1366"/>
      <c r="CZ399" s="1366"/>
      <c r="DA399" s="1366"/>
      <c r="DB399" s="1366"/>
      <c r="DC399" s="1366"/>
      <c r="DD399" s="1366"/>
      <c r="DE399" s="1366"/>
      <c r="DF399" s="1366"/>
      <c r="DG399" s="1366"/>
      <c r="DH399" s="1366"/>
      <c r="DI399" s="1366"/>
      <c r="DJ399" s="1366"/>
      <c r="DK399" s="1366"/>
      <c r="DL399" s="1366"/>
      <c r="DM399" s="1366"/>
      <c r="DN399" s="1366"/>
      <c r="DO399" s="1366"/>
      <c r="DP399" s="1366"/>
      <c r="DQ399" s="1366"/>
      <c r="DR399" s="1366"/>
      <c r="DS399" s="1366"/>
      <c r="DT399" s="1366"/>
      <c r="DU399" s="1366"/>
      <c r="DV399" s="1366"/>
    </row>
    <row r="400" spans="1:126" s="1367" customFormat="1" ht="30">
      <c r="A400" s="2494"/>
      <c r="B400" s="1653">
        <v>371</v>
      </c>
      <c r="C400" s="1642" t="s">
        <v>49</v>
      </c>
      <c r="D400" s="1375" t="s">
        <v>2442</v>
      </c>
      <c r="E400" s="1364" t="s">
        <v>2102</v>
      </c>
      <c r="F400" s="1364" t="s">
        <v>2107</v>
      </c>
      <c r="G400" s="1185" t="s">
        <v>1839</v>
      </c>
      <c r="H400" s="1361">
        <f>((30*'Equipment Results Matrix'!R$840)+(0.95*'Equipment Results Matrix'!R$839)+'Equipment Results Matrix'!$R$841+'Equipment Results Matrix'!$T$846)*(1+'Equipment Results Matrix'!$T$848)</f>
        <v>566.56641956390195</v>
      </c>
      <c r="I400" s="1371">
        <f t="shared" si="155"/>
        <v>3.7174999999999998</v>
      </c>
      <c r="J400" s="1372">
        <f>'Labor Results Matrix'!$G$335*(1+'Labor Results Matrix'!$K$335)</f>
        <v>79.481262602576862</v>
      </c>
      <c r="K400" s="1372">
        <f t="shared" si="156"/>
        <v>295.47159372507946</v>
      </c>
      <c r="L400" s="1372">
        <v>0</v>
      </c>
      <c r="M400" s="1372">
        <f t="shared" si="157"/>
        <v>862.03801328898135</v>
      </c>
      <c r="N400" s="1458">
        <f>M400-$M$398</f>
        <v>205.08591345799857</v>
      </c>
      <c r="O400" s="1429"/>
      <c r="P400" s="1430"/>
      <c r="Q400" s="1430"/>
      <c r="R400" s="1430"/>
      <c r="S400" s="1430"/>
      <c r="T400" s="1430"/>
      <c r="U400" s="1430"/>
      <c r="V400" s="1679"/>
      <c r="W400" s="1366"/>
      <c r="X400" s="1366"/>
      <c r="Y400" s="1366"/>
      <c r="Z400" s="1366"/>
      <c r="AA400" s="1366"/>
      <c r="AB400" s="1366"/>
      <c r="AC400" s="1366"/>
      <c r="AD400" s="1366"/>
      <c r="AE400" s="1366"/>
      <c r="AF400" s="1366"/>
      <c r="AG400" s="1366"/>
      <c r="AH400" s="1366"/>
      <c r="AI400" s="1366"/>
      <c r="AJ400" s="1366"/>
      <c r="AK400" s="1366"/>
      <c r="AL400" s="1366"/>
      <c r="AM400" s="1366"/>
      <c r="AN400" s="1366"/>
      <c r="AO400" s="1366"/>
      <c r="AP400" s="1366"/>
      <c r="AQ400" s="1366"/>
      <c r="AR400" s="1366"/>
      <c r="AS400" s="1366"/>
      <c r="AT400" s="1366"/>
      <c r="AU400" s="1366"/>
      <c r="AV400" s="1366"/>
      <c r="AW400" s="1366"/>
      <c r="AX400" s="1366"/>
      <c r="AY400" s="1366"/>
      <c r="AZ400" s="1366"/>
      <c r="BA400" s="1366"/>
      <c r="BB400" s="1366"/>
      <c r="BC400" s="1366"/>
      <c r="BD400" s="1366"/>
      <c r="BE400" s="1366"/>
      <c r="BF400" s="1366"/>
      <c r="BG400" s="1366"/>
      <c r="BH400" s="1366"/>
      <c r="BI400" s="1366"/>
      <c r="BJ400" s="1366"/>
      <c r="BK400" s="1366"/>
      <c r="BL400" s="1366"/>
      <c r="BM400" s="1366"/>
      <c r="BN400" s="1366"/>
      <c r="BO400" s="1366"/>
      <c r="BP400" s="1366"/>
      <c r="BQ400" s="1366"/>
      <c r="BR400" s="1366"/>
      <c r="BS400" s="1366"/>
      <c r="BT400" s="1366"/>
      <c r="BU400" s="1366"/>
      <c r="BV400" s="1366"/>
      <c r="BW400" s="1366"/>
      <c r="BX400" s="1366"/>
      <c r="BY400" s="1366"/>
      <c r="BZ400" s="1366"/>
      <c r="CA400" s="1366"/>
      <c r="CB400" s="1366"/>
      <c r="CC400" s="1366"/>
      <c r="CD400" s="1366"/>
      <c r="CE400" s="1366"/>
      <c r="CF400" s="1366"/>
      <c r="CG400" s="1366"/>
      <c r="CH400" s="1366"/>
      <c r="CI400" s="1366"/>
      <c r="CJ400" s="1366"/>
      <c r="CK400" s="1366"/>
      <c r="CL400" s="1366"/>
      <c r="CM400" s="1366"/>
      <c r="CN400" s="1366"/>
      <c r="CO400" s="1366"/>
      <c r="CP400" s="1366"/>
      <c r="CQ400" s="1366"/>
      <c r="CR400" s="1366"/>
      <c r="CS400" s="1366"/>
      <c r="CT400" s="1366"/>
      <c r="CU400" s="1366"/>
      <c r="CV400" s="1366"/>
      <c r="CW400" s="1366"/>
      <c r="CX400" s="1366"/>
      <c r="CY400" s="1366"/>
      <c r="CZ400" s="1366"/>
      <c r="DA400" s="1366"/>
      <c r="DB400" s="1366"/>
      <c r="DC400" s="1366"/>
      <c r="DD400" s="1366"/>
      <c r="DE400" s="1366"/>
      <c r="DF400" s="1366"/>
      <c r="DG400" s="1366"/>
      <c r="DH400" s="1366"/>
      <c r="DI400" s="1366"/>
      <c r="DJ400" s="1366"/>
      <c r="DK400" s="1366"/>
      <c r="DL400" s="1366"/>
      <c r="DM400" s="1366"/>
      <c r="DN400" s="1366"/>
      <c r="DO400" s="1366"/>
      <c r="DP400" s="1366"/>
      <c r="DQ400" s="1366"/>
      <c r="DR400" s="1366"/>
      <c r="DS400" s="1366"/>
      <c r="DT400" s="1366"/>
      <c r="DU400" s="1366"/>
      <c r="DV400" s="1366"/>
    </row>
    <row r="401" spans="1:126" s="1367" customFormat="1" ht="30">
      <c r="A401" s="2494"/>
      <c r="B401" s="1653" t="s">
        <v>2435</v>
      </c>
      <c r="C401" s="1642" t="s">
        <v>47</v>
      </c>
      <c r="D401" s="1379" t="s">
        <v>2443</v>
      </c>
      <c r="E401" s="1364" t="s">
        <v>2102</v>
      </c>
      <c r="F401" s="1364" t="s">
        <v>2438</v>
      </c>
      <c r="G401" s="1185" t="s">
        <v>1839</v>
      </c>
      <c r="H401" s="1361">
        <f>((40*'Equipment Results Matrix'!R$840)+(0.92*'Equipment Results Matrix'!R$839)+'Equipment Results Matrix'!$R$841+'Equipment Results Matrix'!$T$846)*(1+'Equipment Results Matrix'!$T$848)</f>
        <v>420.92589387690447</v>
      </c>
      <c r="I401" s="1371">
        <f>(0.0222*40)+3.0515</f>
        <v>3.9394999999999998</v>
      </c>
      <c r="J401" s="1372">
        <f>'Labor Results Matrix'!$G$335*(1+'Labor Results Matrix'!$K$335)</f>
        <v>79.481262602576862</v>
      </c>
      <c r="K401" s="1372">
        <f t="shared" si="156"/>
        <v>313.11643402285154</v>
      </c>
      <c r="L401" s="1372">
        <v>0</v>
      </c>
      <c r="M401" s="1372">
        <f t="shared" si="157"/>
        <v>734.04232789975595</v>
      </c>
      <c r="N401" s="1458" t="s">
        <v>40</v>
      </c>
      <c r="O401" s="1429"/>
      <c r="P401" s="1430"/>
      <c r="Q401" s="1430"/>
      <c r="R401" s="1430"/>
      <c r="S401" s="1430"/>
      <c r="T401" s="1430"/>
      <c r="U401" s="1430"/>
      <c r="V401" s="1679"/>
      <c r="W401" s="1366"/>
      <c r="X401" s="1366"/>
      <c r="Y401" s="1366"/>
      <c r="Z401" s="1366"/>
      <c r="AA401" s="1366"/>
      <c r="AB401" s="1366"/>
      <c r="AC401" s="1366"/>
      <c r="AD401" s="1366"/>
      <c r="AE401" s="1366"/>
      <c r="AF401" s="1366"/>
      <c r="AG401" s="1366"/>
      <c r="AH401" s="1366"/>
      <c r="AI401" s="1366"/>
      <c r="AJ401" s="1366"/>
      <c r="AK401" s="1366"/>
      <c r="AL401" s="1366"/>
      <c r="AM401" s="1366"/>
      <c r="AN401" s="1366"/>
      <c r="AO401" s="1366"/>
      <c r="AP401" s="1366"/>
      <c r="AQ401" s="1366"/>
      <c r="AR401" s="1366"/>
      <c r="AS401" s="1366"/>
      <c r="AT401" s="1366"/>
      <c r="AU401" s="1366"/>
      <c r="AV401" s="1366"/>
      <c r="AW401" s="1366"/>
      <c r="AX401" s="1366"/>
      <c r="AY401" s="1366"/>
      <c r="AZ401" s="1366"/>
      <c r="BA401" s="1366"/>
      <c r="BB401" s="1366"/>
      <c r="BC401" s="1366"/>
      <c r="BD401" s="1366"/>
      <c r="BE401" s="1366"/>
      <c r="BF401" s="1366"/>
      <c r="BG401" s="1366"/>
      <c r="BH401" s="1366"/>
      <c r="BI401" s="1366"/>
      <c r="BJ401" s="1366"/>
      <c r="BK401" s="1366"/>
      <c r="BL401" s="1366"/>
      <c r="BM401" s="1366"/>
      <c r="BN401" s="1366"/>
      <c r="BO401" s="1366"/>
      <c r="BP401" s="1366"/>
      <c r="BQ401" s="1366"/>
      <c r="BR401" s="1366"/>
      <c r="BS401" s="1366"/>
      <c r="BT401" s="1366"/>
      <c r="BU401" s="1366"/>
      <c r="BV401" s="1366"/>
      <c r="BW401" s="1366"/>
      <c r="BX401" s="1366"/>
      <c r="BY401" s="1366"/>
      <c r="BZ401" s="1366"/>
      <c r="CA401" s="1366"/>
      <c r="CB401" s="1366"/>
      <c r="CC401" s="1366"/>
      <c r="CD401" s="1366"/>
      <c r="CE401" s="1366"/>
      <c r="CF401" s="1366"/>
      <c r="CG401" s="1366"/>
      <c r="CH401" s="1366"/>
      <c r="CI401" s="1366"/>
      <c r="CJ401" s="1366"/>
      <c r="CK401" s="1366"/>
      <c r="CL401" s="1366"/>
      <c r="CM401" s="1366"/>
      <c r="CN401" s="1366"/>
      <c r="CO401" s="1366"/>
      <c r="CP401" s="1366"/>
      <c r="CQ401" s="1366"/>
      <c r="CR401" s="1366"/>
      <c r="CS401" s="1366"/>
      <c r="CT401" s="1366"/>
      <c r="CU401" s="1366"/>
      <c r="CV401" s="1366"/>
      <c r="CW401" s="1366"/>
      <c r="CX401" s="1366"/>
      <c r="CY401" s="1366"/>
      <c r="CZ401" s="1366"/>
      <c r="DA401" s="1366"/>
      <c r="DB401" s="1366"/>
      <c r="DC401" s="1366"/>
      <c r="DD401" s="1366"/>
      <c r="DE401" s="1366"/>
      <c r="DF401" s="1366"/>
      <c r="DG401" s="1366"/>
      <c r="DH401" s="1366"/>
      <c r="DI401" s="1366"/>
      <c r="DJ401" s="1366"/>
      <c r="DK401" s="1366"/>
      <c r="DL401" s="1366"/>
      <c r="DM401" s="1366"/>
      <c r="DN401" s="1366"/>
      <c r="DO401" s="1366"/>
      <c r="DP401" s="1366"/>
      <c r="DQ401" s="1366"/>
      <c r="DR401" s="1366"/>
      <c r="DS401" s="1366"/>
      <c r="DT401" s="1366"/>
      <c r="DU401" s="1366"/>
      <c r="DV401" s="1366"/>
    </row>
    <row r="402" spans="1:126" s="1367" customFormat="1" ht="30">
      <c r="A402" s="2494"/>
      <c r="B402" s="1653">
        <v>352</v>
      </c>
      <c r="C402" s="1642" t="s">
        <v>49</v>
      </c>
      <c r="D402" s="1375" t="s">
        <v>2444</v>
      </c>
      <c r="E402" s="1364" t="s">
        <v>2102</v>
      </c>
      <c r="F402" s="1364" t="s">
        <v>2108</v>
      </c>
      <c r="G402" s="1185" t="s">
        <v>1839</v>
      </c>
      <c r="H402" s="1361">
        <f>((40*'Equipment Results Matrix'!R$840)+(0.94*'Equipment Results Matrix'!R$839)+'Equipment Results Matrix'!$R$841+'Equipment Results Matrix'!$T$846)*(1+'Equipment Results Matrix'!$T$848)</f>
        <v>626.0118073349031</v>
      </c>
      <c r="I402" s="1371">
        <f t="shared" ref="I402:I403" si="158">(0.0222*40)+3.0515</f>
        <v>3.9394999999999998</v>
      </c>
      <c r="J402" s="1372">
        <f>'Labor Results Matrix'!$G$335*(1+'Labor Results Matrix'!$K$335)</f>
        <v>79.481262602576862</v>
      </c>
      <c r="K402" s="1372">
        <f t="shared" si="156"/>
        <v>313.11643402285154</v>
      </c>
      <c r="L402" s="1372">
        <v>0</v>
      </c>
      <c r="M402" s="1372">
        <f t="shared" si="157"/>
        <v>939.12824135775463</v>
      </c>
      <c r="N402" s="1458">
        <f>M402-$M$401</f>
        <v>205.08591345799869</v>
      </c>
      <c r="O402" s="1429"/>
      <c r="P402" s="1430"/>
      <c r="Q402" s="1430"/>
      <c r="R402" s="1430"/>
      <c r="S402" s="1430"/>
      <c r="T402" s="1430"/>
      <c r="U402" s="1430"/>
      <c r="V402" s="1679"/>
      <c r="W402" s="1366"/>
      <c r="X402" s="1366"/>
      <c r="Y402" s="1366"/>
      <c r="Z402" s="1366"/>
      <c r="AA402" s="1366"/>
      <c r="AB402" s="1366"/>
      <c r="AC402" s="1366"/>
      <c r="AD402" s="1366"/>
      <c r="AE402" s="1366"/>
      <c r="AF402" s="1366"/>
      <c r="AG402" s="1366"/>
      <c r="AH402" s="1366"/>
      <c r="AI402" s="1366"/>
      <c r="AJ402" s="1366"/>
      <c r="AK402" s="1366"/>
      <c r="AL402" s="1366"/>
      <c r="AM402" s="1366"/>
      <c r="AN402" s="1366"/>
      <c r="AO402" s="1366"/>
      <c r="AP402" s="1366"/>
      <c r="AQ402" s="1366"/>
      <c r="AR402" s="1366"/>
      <c r="AS402" s="1366"/>
      <c r="AT402" s="1366"/>
      <c r="AU402" s="1366"/>
      <c r="AV402" s="1366"/>
      <c r="AW402" s="1366"/>
      <c r="AX402" s="1366"/>
      <c r="AY402" s="1366"/>
      <c r="AZ402" s="1366"/>
      <c r="BA402" s="1366"/>
      <c r="BB402" s="1366"/>
      <c r="BC402" s="1366"/>
      <c r="BD402" s="1366"/>
      <c r="BE402" s="1366"/>
      <c r="BF402" s="1366"/>
      <c r="BG402" s="1366"/>
      <c r="BH402" s="1366"/>
      <c r="BI402" s="1366"/>
      <c r="BJ402" s="1366"/>
      <c r="BK402" s="1366"/>
      <c r="BL402" s="1366"/>
      <c r="BM402" s="1366"/>
      <c r="BN402" s="1366"/>
      <c r="BO402" s="1366"/>
      <c r="BP402" s="1366"/>
      <c r="BQ402" s="1366"/>
      <c r="BR402" s="1366"/>
      <c r="BS402" s="1366"/>
      <c r="BT402" s="1366"/>
      <c r="BU402" s="1366"/>
      <c r="BV402" s="1366"/>
      <c r="BW402" s="1366"/>
      <c r="BX402" s="1366"/>
      <c r="BY402" s="1366"/>
      <c r="BZ402" s="1366"/>
      <c r="CA402" s="1366"/>
      <c r="CB402" s="1366"/>
      <c r="CC402" s="1366"/>
      <c r="CD402" s="1366"/>
      <c r="CE402" s="1366"/>
      <c r="CF402" s="1366"/>
      <c r="CG402" s="1366"/>
      <c r="CH402" s="1366"/>
      <c r="CI402" s="1366"/>
      <c r="CJ402" s="1366"/>
      <c r="CK402" s="1366"/>
      <c r="CL402" s="1366"/>
      <c r="CM402" s="1366"/>
      <c r="CN402" s="1366"/>
      <c r="CO402" s="1366"/>
      <c r="CP402" s="1366"/>
      <c r="CQ402" s="1366"/>
      <c r="CR402" s="1366"/>
      <c r="CS402" s="1366"/>
      <c r="CT402" s="1366"/>
      <c r="CU402" s="1366"/>
      <c r="CV402" s="1366"/>
      <c r="CW402" s="1366"/>
      <c r="CX402" s="1366"/>
      <c r="CY402" s="1366"/>
      <c r="CZ402" s="1366"/>
      <c r="DA402" s="1366"/>
      <c r="DB402" s="1366"/>
      <c r="DC402" s="1366"/>
      <c r="DD402" s="1366"/>
      <c r="DE402" s="1366"/>
      <c r="DF402" s="1366"/>
      <c r="DG402" s="1366"/>
      <c r="DH402" s="1366"/>
      <c r="DI402" s="1366"/>
      <c r="DJ402" s="1366"/>
      <c r="DK402" s="1366"/>
      <c r="DL402" s="1366"/>
      <c r="DM402" s="1366"/>
      <c r="DN402" s="1366"/>
      <c r="DO402" s="1366"/>
      <c r="DP402" s="1366"/>
      <c r="DQ402" s="1366"/>
      <c r="DR402" s="1366"/>
      <c r="DS402" s="1366"/>
      <c r="DT402" s="1366"/>
      <c r="DU402" s="1366"/>
      <c r="DV402" s="1366"/>
    </row>
    <row r="403" spans="1:126" s="1367" customFormat="1" ht="30">
      <c r="A403" s="2494"/>
      <c r="B403" s="1653">
        <v>372</v>
      </c>
      <c r="C403" s="1642" t="s">
        <v>49</v>
      </c>
      <c r="D403" s="1375" t="s">
        <v>2445</v>
      </c>
      <c r="E403" s="1364" t="s">
        <v>2102</v>
      </c>
      <c r="F403" s="1364" t="s">
        <v>2107</v>
      </c>
      <c r="G403" s="1185" t="s">
        <v>1839</v>
      </c>
      <c r="H403" s="1361">
        <f>((40*'Equipment Results Matrix'!R$840)+(0.94*'Equipment Results Matrix'!R$839)+'Equipment Results Matrix'!$R$841+'Equipment Results Matrix'!$T$846)*(1+'Equipment Results Matrix'!$T$848)</f>
        <v>626.0118073349031</v>
      </c>
      <c r="I403" s="1371">
        <f t="shared" si="158"/>
        <v>3.9394999999999998</v>
      </c>
      <c r="J403" s="1372">
        <f>'Labor Results Matrix'!$G$335*(1+'Labor Results Matrix'!$K$335)</f>
        <v>79.481262602576862</v>
      </c>
      <c r="K403" s="1372">
        <f t="shared" si="156"/>
        <v>313.11643402285154</v>
      </c>
      <c r="L403" s="1372">
        <v>0</v>
      </c>
      <c r="M403" s="1372">
        <f t="shared" si="157"/>
        <v>939.12824135775463</v>
      </c>
      <c r="N403" s="1458">
        <f>M403-$M$401</f>
        <v>205.08591345799869</v>
      </c>
      <c r="O403" s="1429"/>
      <c r="P403" s="1430"/>
      <c r="Q403" s="1430"/>
      <c r="R403" s="1430"/>
      <c r="S403" s="1430"/>
      <c r="T403" s="1430"/>
      <c r="U403" s="1430"/>
      <c r="V403" s="1679"/>
      <c r="W403" s="1366"/>
      <c r="X403" s="1366"/>
      <c r="Y403" s="1366"/>
      <c r="Z403" s="1366"/>
      <c r="AA403" s="1366"/>
      <c r="AB403" s="1366"/>
      <c r="AC403" s="1366"/>
      <c r="AD403" s="1366"/>
      <c r="AE403" s="1366"/>
      <c r="AF403" s="1366"/>
      <c r="AG403" s="1366"/>
      <c r="AH403" s="1366"/>
      <c r="AI403" s="1366"/>
      <c r="AJ403" s="1366"/>
      <c r="AK403" s="1366"/>
      <c r="AL403" s="1366"/>
      <c r="AM403" s="1366"/>
      <c r="AN403" s="1366"/>
      <c r="AO403" s="1366"/>
      <c r="AP403" s="1366"/>
      <c r="AQ403" s="1366"/>
      <c r="AR403" s="1366"/>
      <c r="AS403" s="1366"/>
      <c r="AT403" s="1366"/>
      <c r="AU403" s="1366"/>
      <c r="AV403" s="1366"/>
      <c r="AW403" s="1366"/>
      <c r="AX403" s="1366"/>
      <c r="AY403" s="1366"/>
      <c r="AZ403" s="1366"/>
      <c r="BA403" s="1366"/>
      <c r="BB403" s="1366"/>
      <c r="BC403" s="1366"/>
      <c r="BD403" s="1366"/>
      <c r="BE403" s="1366"/>
      <c r="BF403" s="1366"/>
      <c r="BG403" s="1366"/>
      <c r="BH403" s="1366"/>
      <c r="BI403" s="1366"/>
      <c r="BJ403" s="1366"/>
      <c r="BK403" s="1366"/>
      <c r="BL403" s="1366"/>
      <c r="BM403" s="1366"/>
      <c r="BN403" s="1366"/>
      <c r="BO403" s="1366"/>
      <c r="BP403" s="1366"/>
      <c r="BQ403" s="1366"/>
      <c r="BR403" s="1366"/>
      <c r="BS403" s="1366"/>
      <c r="BT403" s="1366"/>
      <c r="BU403" s="1366"/>
      <c r="BV403" s="1366"/>
      <c r="BW403" s="1366"/>
      <c r="BX403" s="1366"/>
      <c r="BY403" s="1366"/>
      <c r="BZ403" s="1366"/>
      <c r="CA403" s="1366"/>
      <c r="CB403" s="1366"/>
      <c r="CC403" s="1366"/>
      <c r="CD403" s="1366"/>
      <c r="CE403" s="1366"/>
      <c r="CF403" s="1366"/>
      <c r="CG403" s="1366"/>
      <c r="CH403" s="1366"/>
      <c r="CI403" s="1366"/>
      <c r="CJ403" s="1366"/>
      <c r="CK403" s="1366"/>
      <c r="CL403" s="1366"/>
      <c r="CM403" s="1366"/>
      <c r="CN403" s="1366"/>
      <c r="CO403" s="1366"/>
      <c r="CP403" s="1366"/>
      <c r="CQ403" s="1366"/>
      <c r="CR403" s="1366"/>
      <c r="CS403" s="1366"/>
      <c r="CT403" s="1366"/>
      <c r="CU403" s="1366"/>
      <c r="CV403" s="1366"/>
      <c r="CW403" s="1366"/>
      <c r="CX403" s="1366"/>
      <c r="CY403" s="1366"/>
      <c r="CZ403" s="1366"/>
      <c r="DA403" s="1366"/>
      <c r="DB403" s="1366"/>
      <c r="DC403" s="1366"/>
      <c r="DD403" s="1366"/>
      <c r="DE403" s="1366"/>
      <c r="DF403" s="1366"/>
      <c r="DG403" s="1366"/>
      <c r="DH403" s="1366"/>
      <c r="DI403" s="1366"/>
      <c r="DJ403" s="1366"/>
      <c r="DK403" s="1366"/>
      <c r="DL403" s="1366"/>
      <c r="DM403" s="1366"/>
      <c r="DN403" s="1366"/>
      <c r="DO403" s="1366"/>
      <c r="DP403" s="1366"/>
      <c r="DQ403" s="1366"/>
      <c r="DR403" s="1366"/>
      <c r="DS403" s="1366"/>
      <c r="DT403" s="1366"/>
      <c r="DU403" s="1366"/>
      <c r="DV403" s="1366"/>
    </row>
    <row r="404" spans="1:126" s="1367" customFormat="1" ht="30">
      <c r="A404" s="2494"/>
      <c r="B404" s="1653" t="s">
        <v>2436</v>
      </c>
      <c r="C404" s="1642" t="s">
        <v>47</v>
      </c>
      <c r="D404" s="1379" t="s">
        <v>2446</v>
      </c>
      <c r="E404" s="1364" t="s">
        <v>2102</v>
      </c>
      <c r="F404" s="1364" t="s">
        <v>2438</v>
      </c>
      <c r="G404" s="1185" t="s">
        <v>1839</v>
      </c>
      <c r="H404" s="1361">
        <f>((50*'Equipment Results Matrix'!R$840)+(0.9*'Equipment Results Matrix'!R$839)+'Equipment Results Matrix'!$R$841+'Equipment Results Matrix'!$T$846)*(1+'Equipment Results Matrix'!$T$848)</f>
        <v>377.82832491890417</v>
      </c>
      <c r="I404" s="1371">
        <f>(0.0222*50)+3.0515</f>
        <v>4.1615000000000002</v>
      </c>
      <c r="J404" s="1372">
        <f>'Labor Results Matrix'!$G$335*(1+'Labor Results Matrix'!$K$335)</f>
        <v>79.481262602576862</v>
      </c>
      <c r="K404" s="1372">
        <f t="shared" si="156"/>
        <v>330.76127432062361</v>
      </c>
      <c r="L404" s="1372">
        <v>0</v>
      </c>
      <c r="M404" s="1372">
        <f t="shared" si="157"/>
        <v>708.58959923952784</v>
      </c>
      <c r="N404" s="1458" t="s">
        <v>40</v>
      </c>
      <c r="O404" s="1429"/>
      <c r="P404" s="1430"/>
      <c r="Q404" s="1430"/>
      <c r="R404" s="1430"/>
      <c r="S404" s="1430"/>
      <c r="T404" s="1430"/>
      <c r="U404" s="1430"/>
      <c r="V404" s="1679"/>
      <c r="W404" s="1366"/>
      <c r="X404" s="1366"/>
      <c r="Y404" s="1366"/>
      <c r="Z404" s="1366"/>
      <c r="AA404" s="1366"/>
      <c r="AB404" s="1366"/>
      <c r="AC404" s="1366"/>
      <c r="AD404" s="1366"/>
      <c r="AE404" s="1366"/>
      <c r="AF404" s="1366"/>
      <c r="AG404" s="1366"/>
      <c r="AH404" s="1366"/>
      <c r="AI404" s="1366"/>
      <c r="AJ404" s="1366"/>
      <c r="AK404" s="1366"/>
      <c r="AL404" s="1366"/>
      <c r="AM404" s="1366"/>
      <c r="AN404" s="1366"/>
      <c r="AO404" s="1366"/>
      <c r="AP404" s="1366"/>
      <c r="AQ404" s="1366"/>
      <c r="AR404" s="1366"/>
      <c r="AS404" s="1366"/>
      <c r="AT404" s="1366"/>
      <c r="AU404" s="1366"/>
      <c r="AV404" s="1366"/>
      <c r="AW404" s="1366"/>
      <c r="AX404" s="1366"/>
      <c r="AY404" s="1366"/>
      <c r="AZ404" s="1366"/>
      <c r="BA404" s="1366"/>
      <c r="BB404" s="1366"/>
      <c r="BC404" s="1366"/>
      <c r="BD404" s="1366"/>
      <c r="BE404" s="1366"/>
      <c r="BF404" s="1366"/>
      <c r="BG404" s="1366"/>
      <c r="BH404" s="1366"/>
      <c r="BI404" s="1366"/>
      <c r="BJ404" s="1366"/>
      <c r="BK404" s="1366"/>
      <c r="BL404" s="1366"/>
      <c r="BM404" s="1366"/>
      <c r="BN404" s="1366"/>
      <c r="BO404" s="1366"/>
      <c r="BP404" s="1366"/>
      <c r="BQ404" s="1366"/>
      <c r="BR404" s="1366"/>
      <c r="BS404" s="1366"/>
      <c r="BT404" s="1366"/>
      <c r="BU404" s="1366"/>
      <c r="BV404" s="1366"/>
      <c r="BW404" s="1366"/>
      <c r="BX404" s="1366"/>
      <c r="BY404" s="1366"/>
      <c r="BZ404" s="1366"/>
      <c r="CA404" s="1366"/>
      <c r="CB404" s="1366"/>
      <c r="CC404" s="1366"/>
      <c r="CD404" s="1366"/>
      <c r="CE404" s="1366"/>
      <c r="CF404" s="1366"/>
      <c r="CG404" s="1366"/>
      <c r="CH404" s="1366"/>
      <c r="CI404" s="1366"/>
      <c r="CJ404" s="1366"/>
      <c r="CK404" s="1366"/>
      <c r="CL404" s="1366"/>
      <c r="CM404" s="1366"/>
      <c r="CN404" s="1366"/>
      <c r="CO404" s="1366"/>
      <c r="CP404" s="1366"/>
      <c r="CQ404" s="1366"/>
      <c r="CR404" s="1366"/>
      <c r="CS404" s="1366"/>
      <c r="CT404" s="1366"/>
      <c r="CU404" s="1366"/>
      <c r="CV404" s="1366"/>
      <c r="CW404" s="1366"/>
      <c r="CX404" s="1366"/>
      <c r="CY404" s="1366"/>
      <c r="CZ404" s="1366"/>
      <c r="DA404" s="1366"/>
      <c r="DB404" s="1366"/>
      <c r="DC404" s="1366"/>
      <c r="DD404" s="1366"/>
      <c r="DE404" s="1366"/>
      <c r="DF404" s="1366"/>
      <c r="DG404" s="1366"/>
      <c r="DH404" s="1366"/>
      <c r="DI404" s="1366"/>
      <c r="DJ404" s="1366"/>
      <c r="DK404" s="1366"/>
      <c r="DL404" s="1366"/>
      <c r="DM404" s="1366"/>
      <c r="DN404" s="1366"/>
      <c r="DO404" s="1366"/>
      <c r="DP404" s="1366"/>
      <c r="DQ404" s="1366"/>
      <c r="DR404" s="1366"/>
      <c r="DS404" s="1366"/>
      <c r="DT404" s="1366"/>
      <c r="DU404" s="1366"/>
      <c r="DV404" s="1366"/>
    </row>
    <row r="405" spans="1:126" s="1367" customFormat="1" ht="30">
      <c r="A405" s="2494"/>
      <c r="B405" s="1653">
        <v>353</v>
      </c>
      <c r="C405" s="1642" t="s">
        <v>49</v>
      </c>
      <c r="D405" s="1375" t="s">
        <v>2447</v>
      </c>
      <c r="E405" s="1364" t="s">
        <v>2102</v>
      </c>
      <c r="F405" s="1364" t="s">
        <v>2108</v>
      </c>
      <c r="G405" s="1185" t="s">
        <v>1839</v>
      </c>
      <c r="H405" s="1361">
        <f>((50*'Equipment Results Matrix'!R$840)+(0.93*'Equipment Results Matrix'!R$839)+'Equipment Results Matrix'!$R$841+'Equipment Results Matrix'!$T$846)*(1+'Equipment Results Matrix'!$T$848)</f>
        <v>685.45719510590425</v>
      </c>
      <c r="I405" s="1371">
        <f t="shared" ref="I405:I406" si="159">(0.0222*50)+3.0515</f>
        <v>4.1615000000000002</v>
      </c>
      <c r="J405" s="1372">
        <f>'Labor Results Matrix'!$G$335*(1+'Labor Results Matrix'!$K$335)</f>
        <v>79.481262602576862</v>
      </c>
      <c r="K405" s="1372">
        <f t="shared" si="156"/>
        <v>330.76127432062361</v>
      </c>
      <c r="L405" s="1372">
        <v>0</v>
      </c>
      <c r="M405" s="1372">
        <f t="shared" si="157"/>
        <v>1016.2184694265279</v>
      </c>
      <c r="N405" s="1458">
        <f>M405-$M$404</f>
        <v>307.62887018700008</v>
      </c>
      <c r="O405" s="1429"/>
      <c r="P405" s="1430"/>
      <c r="Q405" s="1430"/>
      <c r="R405" s="1430"/>
      <c r="S405" s="1430"/>
      <c r="T405" s="1430"/>
      <c r="U405" s="1430"/>
      <c r="V405" s="1679"/>
      <c r="W405" s="1366"/>
      <c r="X405" s="1366"/>
      <c r="Y405" s="1366"/>
      <c r="Z405" s="1366"/>
      <c r="AA405" s="1366"/>
      <c r="AB405" s="1366"/>
      <c r="AC405" s="1366"/>
      <c r="AD405" s="1366"/>
      <c r="AE405" s="1366"/>
      <c r="AF405" s="1366"/>
      <c r="AG405" s="1366"/>
      <c r="AH405" s="1366"/>
      <c r="AI405" s="1366"/>
      <c r="AJ405" s="1366"/>
      <c r="AK405" s="1366"/>
      <c r="AL405" s="1366"/>
      <c r="AM405" s="1366"/>
      <c r="AN405" s="1366"/>
      <c r="AO405" s="1366"/>
      <c r="AP405" s="1366"/>
      <c r="AQ405" s="1366"/>
      <c r="AR405" s="1366"/>
      <c r="AS405" s="1366"/>
      <c r="AT405" s="1366"/>
      <c r="AU405" s="1366"/>
      <c r="AV405" s="1366"/>
      <c r="AW405" s="1366"/>
      <c r="AX405" s="1366"/>
      <c r="AY405" s="1366"/>
      <c r="AZ405" s="1366"/>
      <c r="BA405" s="1366"/>
      <c r="BB405" s="1366"/>
      <c r="BC405" s="1366"/>
      <c r="BD405" s="1366"/>
      <c r="BE405" s="1366"/>
      <c r="BF405" s="1366"/>
      <c r="BG405" s="1366"/>
      <c r="BH405" s="1366"/>
      <c r="BI405" s="1366"/>
      <c r="BJ405" s="1366"/>
      <c r="BK405" s="1366"/>
      <c r="BL405" s="1366"/>
      <c r="BM405" s="1366"/>
      <c r="BN405" s="1366"/>
      <c r="BO405" s="1366"/>
      <c r="BP405" s="1366"/>
      <c r="BQ405" s="1366"/>
      <c r="BR405" s="1366"/>
      <c r="BS405" s="1366"/>
      <c r="BT405" s="1366"/>
      <c r="BU405" s="1366"/>
      <c r="BV405" s="1366"/>
      <c r="BW405" s="1366"/>
      <c r="BX405" s="1366"/>
      <c r="BY405" s="1366"/>
      <c r="BZ405" s="1366"/>
      <c r="CA405" s="1366"/>
      <c r="CB405" s="1366"/>
      <c r="CC405" s="1366"/>
      <c r="CD405" s="1366"/>
      <c r="CE405" s="1366"/>
      <c r="CF405" s="1366"/>
      <c r="CG405" s="1366"/>
      <c r="CH405" s="1366"/>
      <c r="CI405" s="1366"/>
      <c r="CJ405" s="1366"/>
      <c r="CK405" s="1366"/>
      <c r="CL405" s="1366"/>
      <c r="CM405" s="1366"/>
      <c r="CN405" s="1366"/>
      <c r="CO405" s="1366"/>
      <c r="CP405" s="1366"/>
      <c r="CQ405" s="1366"/>
      <c r="CR405" s="1366"/>
      <c r="CS405" s="1366"/>
      <c r="CT405" s="1366"/>
      <c r="CU405" s="1366"/>
      <c r="CV405" s="1366"/>
      <c r="CW405" s="1366"/>
      <c r="CX405" s="1366"/>
      <c r="CY405" s="1366"/>
      <c r="CZ405" s="1366"/>
      <c r="DA405" s="1366"/>
      <c r="DB405" s="1366"/>
      <c r="DC405" s="1366"/>
      <c r="DD405" s="1366"/>
      <c r="DE405" s="1366"/>
      <c r="DF405" s="1366"/>
      <c r="DG405" s="1366"/>
      <c r="DH405" s="1366"/>
      <c r="DI405" s="1366"/>
      <c r="DJ405" s="1366"/>
      <c r="DK405" s="1366"/>
      <c r="DL405" s="1366"/>
      <c r="DM405" s="1366"/>
      <c r="DN405" s="1366"/>
      <c r="DO405" s="1366"/>
      <c r="DP405" s="1366"/>
      <c r="DQ405" s="1366"/>
      <c r="DR405" s="1366"/>
      <c r="DS405" s="1366"/>
      <c r="DT405" s="1366"/>
      <c r="DU405" s="1366"/>
      <c r="DV405" s="1366"/>
    </row>
    <row r="406" spans="1:126" s="1367" customFormat="1" ht="30">
      <c r="A406" s="2494"/>
      <c r="B406" s="1653">
        <v>373</v>
      </c>
      <c r="C406" s="1642" t="s">
        <v>49</v>
      </c>
      <c r="D406" s="1375" t="s">
        <v>2448</v>
      </c>
      <c r="E406" s="1364" t="s">
        <v>2102</v>
      </c>
      <c r="F406" s="1364" t="s">
        <v>2107</v>
      </c>
      <c r="G406" s="1185" t="s">
        <v>1839</v>
      </c>
      <c r="H406" s="1361">
        <f>((50*'Equipment Results Matrix'!R$840)+(0.93*'Equipment Results Matrix'!R$839)+'Equipment Results Matrix'!$R$841+'Equipment Results Matrix'!$T$846)*(1+'Equipment Results Matrix'!$T$848)</f>
        <v>685.45719510590425</v>
      </c>
      <c r="I406" s="1371">
        <f t="shared" si="159"/>
        <v>4.1615000000000002</v>
      </c>
      <c r="J406" s="1372">
        <f>'Labor Results Matrix'!$G$335*(1+'Labor Results Matrix'!$K$335)</f>
        <v>79.481262602576862</v>
      </c>
      <c r="K406" s="1372">
        <f t="shared" si="156"/>
        <v>330.76127432062361</v>
      </c>
      <c r="L406" s="1372">
        <v>0</v>
      </c>
      <c r="M406" s="1372">
        <f t="shared" si="157"/>
        <v>1016.2184694265279</v>
      </c>
      <c r="N406" s="1458">
        <f>M406-$M$404</f>
        <v>307.62887018700008</v>
      </c>
      <c r="O406" s="1429"/>
      <c r="P406" s="1430"/>
      <c r="Q406" s="1430"/>
      <c r="R406" s="1430"/>
      <c r="S406" s="1430"/>
      <c r="T406" s="1430"/>
      <c r="U406" s="1430"/>
      <c r="V406" s="1679"/>
      <c r="W406" s="1366"/>
      <c r="X406" s="1366"/>
      <c r="Y406" s="1366"/>
      <c r="Z406" s="1366"/>
      <c r="AA406" s="1366"/>
      <c r="AB406" s="1366"/>
      <c r="AC406" s="1366"/>
      <c r="AD406" s="1366"/>
      <c r="AE406" s="1366"/>
      <c r="AF406" s="1366"/>
      <c r="AG406" s="1366"/>
      <c r="AH406" s="1366"/>
      <c r="AI406" s="1366"/>
      <c r="AJ406" s="1366"/>
      <c r="AK406" s="1366"/>
      <c r="AL406" s="1366"/>
      <c r="AM406" s="1366"/>
      <c r="AN406" s="1366"/>
      <c r="AO406" s="1366"/>
      <c r="AP406" s="1366"/>
      <c r="AQ406" s="1366"/>
      <c r="AR406" s="1366"/>
      <c r="AS406" s="1366"/>
      <c r="AT406" s="1366"/>
      <c r="AU406" s="1366"/>
      <c r="AV406" s="1366"/>
      <c r="AW406" s="1366"/>
      <c r="AX406" s="1366"/>
      <c r="AY406" s="1366"/>
      <c r="AZ406" s="1366"/>
      <c r="BA406" s="1366"/>
      <c r="BB406" s="1366"/>
      <c r="BC406" s="1366"/>
      <c r="BD406" s="1366"/>
      <c r="BE406" s="1366"/>
      <c r="BF406" s="1366"/>
      <c r="BG406" s="1366"/>
      <c r="BH406" s="1366"/>
      <c r="BI406" s="1366"/>
      <c r="BJ406" s="1366"/>
      <c r="BK406" s="1366"/>
      <c r="BL406" s="1366"/>
      <c r="BM406" s="1366"/>
      <c r="BN406" s="1366"/>
      <c r="BO406" s="1366"/>
      <c r="BP406" s="1366"/>
      <c r="BQ406" s="1366"/>
      <c r="BR406" s="1366"/>
      <c r="BS406" s="1366"/>
      <c r="BT406" s="1366"/>
      <c r="BU406" s="1366"/>
      <c r="BV406" s="1366"/>
      <c r="BW406" s="1366"/>
      <c r="BX406" s="1366"/>
      <c r="BY406" s="1366"/>
      <c r="BZ406" s="1366"/>
      <c r="CA406" s="1366"/>
      <c r="CB406" s="1366"/>
      <c r="CC406" s="1366"/>
      <c r="CD406" s="1366"/>
      <c r="CE406" s="1366"/>
      <c r="CF406" s="1366"/>
      <c r="CG406" s="1366"/>
      <c r="CH406" s="1366"/>
      <c r="CI406" s="1366"/>
      <c r="CJ406" s="1366"/>
      <c r="CK406" s="1366"/>
      <c r="CL406" s="1366"/>
      <c r="CM406" s="1366"/>
      <c r="CN406" s="1366"/>
      <c r="CO406" s="1366"/>
      <c r="CP406" s="1366"/>
      <c r="CQ406" s="1366"/>
      <c r="CR406" s="1366"/>
      <c r="CS406" s="1366"/>
      <c r="CT406" s="1366"/>
      <c r="CU406" s="1366"/>
      <c r="CV406" s="1366"/>
      <c r="CW406" s="1366"/>
      <c r="CX406" s="1366"/>
      <c r="CY406" s="1366"/>
      <c r="CZ406" s="1366"/>
      <c r="DA406" s="1366"/>
      <c r="DB406" s="1366"/>
      <c r="DC406" s="1366"/>
      <c r="DD406" s="1366"/>
      <c r="DE406" s="1366"/>
      <c r="DF406" s="1366"/>
      <c r="DG406" s="1366"/>
      <c r="DH406" s="1366"/>
      <c r="DI406" s="1366"/>
      <c r="DJ406" s="1366"/>
      <c r="DK406" s="1366"/>
      <c r="DL406" s="1366"/>
      <c r="DM406" s="1366"/>
      <c r="DN406" s="1366"/>
      <c r="DO406" s="1366"/>
      <c r="DP406" s="1366"/>
      <c r="DQ406" s="1366"/>
      <c r="DR406" s="1366"/>
      <c r="DS406" s="1366"/>
      <c r="DT406" s="1366"/>
      <c r="DU406" s="1366"/>
      <c r="DV406" s="1366"/>
    </row>
    <row r="407" spans="1:126" s="1367" customFormat="1" ht="30">
      <c r="A407" s="2494"/>
      <c r="B407" s="1653" t="s">
        <v>2437</v>
      </c>
      <c r="C407" s="1642" t="s">
        <v>47</v>
      </c>
      <c r="D407" s="1379" t="s">
        <v>2449</v>
      </c>
      <c r="E407" s="1364" t="s">
        <v>2102</v>
      </c>
      <c r="F407" s="1364" t="s">
        <v>2438</v>
      </c>
      <c r="G407" s="1185" t="s">
        <v>1839</v>
      </c>
      <c r="H407" s="1361">
        <f>((60*'Equipment Results Matrix'!R$840)+(0.89*'Equipment Results Matrix'!R$839)+'Equipment Results Matrix'!$R$841+'Equipment Results Matrix'!$T$846)*(1+'Equipment Results Matrix'!$T$848)</f>
        <v>437.27371268990322</v>
      </c>
      <c r="I407" s="1371">
        <f>(0.0222*60)+3.0515</f>
        <v>4.3834999999999997</v>
      </c>
      <c r="J407" s="1372">
        <f>'Labor Results Matrix'!$G$335*(1+'Labor Results Matrix'!$K$335)</f>
        <v>79.481262602576862</v>
      </c>
      <c r="K407" s="1372">
        <f t="shared" si="156"/>
        <v>348.40611461839563</v>
      </c>
      <c r="L407" s="1372">
        <v>0</v>
      </c>
      <c r="M407" s="1372">
        <f t="shared" si="157"/>
        <v>785.67982730829885</v>
      </c>
      <c r="N407" s="1458" t="s">
        <v>40</v>
      </c>
      <c r="O407" s="1429"/>
      <c r="P407" s="1430"/>
      <c r="Q407" s="1430"/>
      <c r="R407" s="1430"/>
      <c r="S407" s="1430"/>
      <c r="T407" s="1430"/>
      <c r="U407" s="1430"/>
      <c r="V407" s="1679"/>
      <c r="W407" s="1366"/>
      <c r="X407" s="1366"/>
      <c r="Y407" s="1366"/>
      <c r="Z407" s="1366"/>
      <c r="AA407" s="1366"/>
      <c r="AB407" s="1366"/>
      <c r="AC407" s="1366"/>
      <c r="AD407" s="1366"/>
      <c r="AE407" s="1366"/>
      <c r="AF407" s="1366"/>
      <c r="AG407" s="1366"/>
      <c r="AH407" s="1366"/>
      <c r="AI407" s="1366"/>
      <c r="AJ407" s="1366"/>
      <c r="AK407" s="1366"/>
      <c r="AL407" s="1366"/>
      <c r="AM407" s="1366"/>
      <c r="AN407" s="1366"/>
      <c r="AO407" s="1366"/>
      <c r="AP407" s="1366"/>
      <c r="AQ407" s="1366"/>
      <c r="AR407" s="1366"/>
      <c r="AS407" s="1366"/>
      <c r="AT407" s="1366"/>
      <c r="AU407" s="1366"/>
      <c r="AV407" s="1366"/>
      <c r="AW407" s="1366"/>
      <c r="AX407" s="1366"/>
      <c r="AY407" s="1366"/>
      <c r="AZ407" s="1366"/>
      <c r="BA407" s="1366"/>
      <c r="BB407" s="1366"/>
      <c r="BC407" s="1366"/>
      <c r="BD407" s="1366"/>
      <c r="BE407" s="1366"/>
      <c r="BF407" s="1366"/>
      <c r="BG407" s="1366"/>
      <c r="BH407" s="1366"/>
      <c r="BI407" s="1366"/>
      <c r="BJ407" s="1366"/>
      <c r="BK407" s="1366"/>
      <c r="BL407" s="1366"/>
      <c r="BM407" s="1366"/>
      <c r="BN407" s="1366"/>
      <c r="BO407" s="1366"/>
      <c r="BP407" s="1366"/>
      <c r="BQ407" s="1366"/>
      <c r="BR407" s="1366"/>
      <c r="BS407" s="1366"/>
      <c r="BT407" s="1366"/>
      <c r="BU407" s="1366"/>
      <c r="BV407" s="1366"/>
      <c r="BW407" s="1366"/>
      <c r="BX407" s="1366"/>
      <c r="BY407" s="1366"/>
      <c r="BZ407" s="1366"/>
      <c r="CA407" s="1366"/>
      <c r="CB407" s="1366"/>
      <c r="CC407" s="1366"/>
      <c r="CD407" s="1366"/>
      <c r="CE407" s="1366"/>
      <c r="CF407" s="1366"/>
      <c r="CG407" s="1366"/>
      <c r="CH407" s="1366"/>
      <c r="CI407" s="1366"/>
      <c r="CJ407" s="1366"/>
      <c r="CK407" s="1366"/>
      <c r="CL407" s="1366"/>
      <c r="CM407" s="1366"/>
      <c r="CN407" s="1366"/>
      <c r="CO407" s="1366"/>
      <c r="CP407" s="1366"/>
      <c r="CQ407" s="1366"/>
      <c r="CR407" s="1366"/>
      <c r="CS407" s="1366"/>
      <c r="CT407" s="1366"/>
      <c r="CU407" s="1366"/>
      <c r="CV407" s="1366"/>
      <c r="CW407" s="1366"/>
      <c r="CX407" s="1366"/>
      <c r="CY407" s="1366"/>
      <c r="CZ407" s="1366"/>
      <c r="DA407" s="1366"/>
      <c r="DB407" s="1366"/>
      <c r="DC407" s="1366"/>
      <c r="DD407" s="1366"/>
      <c r="DE407" s="1366"/>
      <c r="DF407" s="1366"/>
      <c r="DG407" s="1366"/>
      <c r="DH407" s="1366"/>
      <c r="DI407" s="1366"/>
      <c r="DJ407" s="1366"/>
      <c r="DK407" s="1366"/>
      <c r="DL407" s="1366"/>
      <c r="DM407" s="1366"/>
      <c r="DN407" s="1366"/>
      <c r="DO407" s="1366"/>
      <c r="DP407" s="1366"/>
      <c r="DQ407" s="1366"/>
      <c r="DR407" s="1366"/>
      <c r="DS407" s="1366"/>
      <c r="DT407" s="1366"/>
      <c r="DU407" s="1366"/>
      <c r="DV407" s="1366"/>
    </row>
    <row r="408" spans="1:126" s="1367" customFormat="1" ht="30">
      <c r="A408" s="2494"/>
      <c r="B408" s="1653">
        <v>354</v>
      </c>
      <c r="C408" s="1642" t="s">
        <v>49</v>
      </c>
      <c r="D408" s="1375" t="s">
        <v>2450</v>
      </c>
      <c r="E408" s="1364" t="s">
        <v>2102</v>
      </c>
      <c r="F408" s="1364" t="s">
        <v>2108</v>
      </c>
      <c r="G408" s="1185" t="s">
        <v>1839</v>
      </c>
      <c r="H408" s="1361">
        <f>((60*'Equipment Results Matrix'!R$840)+(0.92*'Equipment Results Matrix'!R$839)+'Equipment Results Matrix'!$R$841+'Equipment Results Matrix'!$T$846)*(1+'Equipment Results Matrix'!$T$848)</f>
        <v>744.9025828769054</v>
      </c>
      <c r="I408" s="1371">
        <f t="shared" ref="I408:I409" si="160">(0.0222*60)+3.0515</f>
        <v>4.3834999999999997</v>
      </c>
      <c r="J408" s="1372">
        <f>'Labor Results Matrix'!$G$335*(1+'Labor Results Matrix'!$K$335)</f>
        <v>79.481262602576862</v>
      </c>
      <c r="K408" s="1372">
        <f t="shared" si="156"/>
        <v>348.40611461839563</v>
      </c>
      <c r="L408" s="1372">
        <v>0</v>
      </c>
      <c r="M408" s="1372">
        <f t="shared" si="157"/>
        <v>1093.308697495301</v>
      </c>
      <c r="N408" s="1458">
        <f>M408-$M$407</f>
        <v>307.62887018700212</v>
      </c>
      <c r="O408" s="1429"/>
      <c r="P408" s="1430"/>
      <c r="Q408" s="1430"/>
      <c r="R408" s="1430"/>
      <c r="S408" s="1430"/>
      <c r="T408" s="1430"/>
      <c r="U408" s="1430"/>
      <c r="V408" s="1679"/>
      <c r="W408" s="1366"/>
      <c r="X408" s="1366"/>
      <c r="Y408" s="1366"/>
      <c r="Z408" s="1366"/>
      <c r="AA408" s="1366"/>
      <c r="AB408" s="1366"/>
      <c r="AC408" s="1366"/>
      <c r="AD408" s="1366"/>
      <c r="AE408" s="1366"/>
      <c r="AF408" s="1366"/>
      <c r="AG408" s="1366"/>
      <c r="AH408" s="1366"/>
      <c r="AI408" s="1366"/>
      <c r="AJ408" s="1366"/>
      <c r="AK408" s="1366"/>
      <c r="AL408" s="1366"/>
      <c r="AM408" s="1366"/>
      <c r="AN408" s="1366"/>
      <c r="AO408" s="1366"/>
      <c r="AP408" s="1366"/>
      <c r="AQ408" s="1366"/>
      <c r="AR408" s="1366"/>
      <c r="AS408" s="1366"/>
      <c r="AT408" s="1366"/>
      <c r="AU408" s="1366"/>
      <c r="AV408" s="1366"/>
      <c r="AW408" s="1366"/>
      <c r="AX408" s="1366"/>
      <c r="AY408" s="1366"/>
      <c r="AZ408" s="1366"/>
      <c r="BA408" s="1366"/>
      <c r="BB408" s="1366"/>
      <c r="BC408" s="1366"/>
      <c r="BD408" s="1366"/>
      <c r="BE408" s="1366"/>
      <c r="BF408" s="1366"/>
      <c r="BG408" s="1366"/>
      <c r="BH408" s="1366"/>
      <c r="BI408" s="1366"/>
      <c r="BJ408" s="1366"/>
      <c r="BK408" s="1366"/>
      <c r="BL408" s="1366"/>
      <c r="BM408" s="1366"/>
      <c r="BN408" s="1366"/>
      <c r="BO408" s="1366"/>
      <c r="BP408" s="1366"/>
      <c r="BQ408" s="1366"/>
      <c r="BR408" s="1366"/>
      <c r="BS408" s="1366"/>
      <c r="BT408" s="1366"/>
      <c r="BU408" s="1366"/>
      <c r="BV408" s="1366"/>
      <c r="BW408" s="1366"/>
      <c r="BX408" s="1366"/>
      <c r="BY408" s="1366"/>
      <c r="BZ408" s="1366"/>
      <c r="CA408" s="1366"/>
      <c r="CB408" s="1366"/>
      <c r="CC408" s="1366"/>
      <c r="CD408" s="1366"/>
      <c r="CE408" s="1366"/>
      <c r="CF408" s="1366"/>
      <c r="CG408" s="1366"/>
      <c r="CH408" s="1366"/>
      <c r="CI408" s="1366"/>
      <c r="CJ408" s="1366"/>
      <c r="CK408" s="1366"/>
      <c r="CL408" s="1366"/>
      <c r="CM408" s="1366"/>
      <c r="CN408" s="1366"/>
      <c r="CO408" s="1366"/>
      <c r="CP408" s="1366"/>
      <c r="CQ408" s="1366"/>
      <c r="CR408" s="1366"/>
      <c r="CS408" s="1366"/>
      <c r="CT408" s="1366"/>
      <c r="CU408" s="1366"/>
      <c r="CV408" s="1366"/>
      <c r="CW408" s="1366"/>
      <c r="CX408" s="1366"/>
      <c r="CY408" s="1366"/>
      <c r="CZ408" s="1366"/>
      <c r="DA408" s="1366"/>
      <c r="DB408" s="1366"/>
      <c r="DC408" s="1366"/>
      <c r="DD408" s="1366"/>
      <c r="DE408" s="1366"/>
      <c r="DF408" s="1366"/>
      <c r="DG408" s="1366"/>
      <c r="DH408" s="1366"/>
      <c r="DI408" s="1366"/>
      <c r="DJ408" s="1366"/>
      <c r="DK408" s="1366"/>
      <c r="DL408" s="1366"/>
      <c r="DM408" s="1366"/>
      <c r="DN408" s="1366"/>
      <c r="DO408" s="1366"/>
      <c r="DP408" s="1366"/>
      <c r="DQ408" s="1366"/>
      <c r="DR408" s="1366"/>
      <c r="DS408" s="1366"/>
      <c r="DT408" s="1366"/>
      <c r="DU408" s="1366"/>
      <c r="DV408" s="1366"/>
    </row>
    <row r="409" spans="1:126" s="1367" customFormat="1" ht="30">
      <c r="A409" s="2494"/>
      <c r="B409" s="1653">
        <v>374</v>
      </c>
      <c r="C409" s="1642" t="s">
        <v>49</v>
      </c>
      <c r="D409" s="1375" t="s">
        <v>2451</v>
      </c>
      <c r="E409" s="1364" t="s">
        <v>2102</v>
      </c>
      <c r="F409" s="1364" t="s">
        <v>2107</v>
      </c>
      <c r="G409" s="1185" t="s">
        <v>1839</v>
      </c>
      <c r="H409" s="1361">
        <f>((60*'Equipment Results Matrix'!R$840)+(0.92*'Equipment Results Matrix'!R$839)+'Equipment Results Matrix'!$R$841+'Equipment Results Matrix'!$T$846)*(1+'Equipment Results Matrix'!$T$848)</f>
        <v>744.9025828769054</v>
      </c>
      <c r="I409" s="1371">
        <f t="shared" si="160"/>
        <v>4.3834999999999997</v>
      </c>
      <c r="J409" s="1372">
        <f>'Labor Results Matrix'!$G$335*(1+'Labor Results Matrix'!$K$335)</f>
        <v>79.481262602576862</v>
      </c>
      <c r="K409" s="1372">
        <f t="shared" si="156"/>
        <v>348.40611461839563</v>
      </c>
      <c r="L409" s="1372">
        <v>0</v>
      </c>
      <c r="M409" s="1372">
        <f t="shared" si="157"/>
        <v>1093.308697495301</v>
      </c>
      <c r="N409" s="1458">
        <f>M409-$M$407</f>
        <v>307.62887018700212</v>
      </c>
      <c r="O409" s="1429"/>
      <c r="P409" s="1430"/>
      <c r="Q409" s="1430"/>
      <c r="R409" s="1430"/>
      <c r="S409" s="1430"/>
      <c r="T409" s="1430"/>
      <c r="U409" s="1430"/>
      <c r="V409" s="1679"/>
      <c r="W409" s="1366"/>
      <c r="X409" s="1366"/>
      <c r="Y409" s="1366"/>
      <c r="Z409" s="1366"/>
      <c r="AA409" s="1366"/>
      <c r="AB409" s="1366"/>
      <c r="AC409" s="1366"/>
      <c r="AD409" s="1366"/>
      <c r="AE409" s="1366"/>
      <c r="AF409" s="1366"/>
      <c r="AG409" s="1366"/>
      <c r="AH409" s="1366"/>
      <c r="AI409" s="1366"/>
      <c r="AJ409" s="1366"/>
      <c r="AK409" s="1366"/>
      <c r="AL409" s="1366"/>
      <c r="AM409" s="1366"/>
      <c r="AN409" s="1366"/>
      <c r="AO409" s="1366"/>
      <c r="AP409" s="1366"/>
      <c r="AQ409" s="1366"/>
      <c r="AR409" s="1366"/>
      <c r="AS409" s="1366"/>
      <c r="AT409" s="1366"/>
      <c r="AU409" s="1366"/>
      <c r="AV409" s="1366"/>
      <c r="AW409" s="1366"/>
      <c r="AX409" s="1366"/>
      <c r="AY409" s="1366"/>
      <c r="AZ409" s="1366"/>
      <c r="BA409" s="1366"/>
      <c r="BB409" s="1366"/>
      <c r="BC409" s="1366"/>
      <c r="BD409" s="1366"/>
      <c r="BE409" s="1366"/>
      <c r="BF409" s="1366"/>
      <c r="BG409" s="1366"/>
      <c r="BH409" s="1366"/>
      <c r="BI409" s="1366"/>
      <c r="BJ409" s="1366"/>
      <c r="BK409" s="1366"/>
      <c r="BL409" s="1366"/>
      <c r="BM409" s="1366"/>
      <c r="BN409" s="1366"/>
      <c r="BO409" s="1366"/>
      <c r="BP409" s="1366"/>
      <c r="BQ409" s="1366"/>
      <c r="BR409" s="1366"/>
      <c r="BS409" s="1366"/>
      <c r="BT409" s="1366"/>
      <c r="BU409" s="1366"/>
      <c r="BV409" s="1366"/>
      <c r="BW409" s="1366"/>
      <c r="BX409" s="1366"/>
      <c r="BY409" s="1366"/>
      <c r="BZ409" s="1366"/>
      <c r="CA409" s="1366"/>
      <c r="CB409" s="1366"/>
      <c r="CC409" s="1366"/>
      <c r="CD409" s="1366"/>
      <c r="CE409" s="1366"/>
      <c r="CF409" s="1366"/>
      <c r="CG409" s="1366"/>
      <c r="CH409" s="1366"/>
      <c r="CI409" s="1366"/>
      <c r="CJ409" s="1366"/>
      <c r="CK409" s="1366"/>
      <c r="CL409" s="1366"/>
      <c r="CM409" s="1366"/>
      <c r="CN409" s="1366"/>
      <c r="CO409" s="1366"/>
      <c r="CP409" s="1366"/>
      <c r="CQ409" s="1366"/>
      <c r="CR409" s="1366"/>
      <c r="CS409" s="1366"/>
      <c r="CT409" s="1366"/>
      <c r="CU409" s="1366"/>
      <c r="CV409" s="1366"/>
      <c r="CW409" s="1366"/>
      <c r="CX409" s="1366"/>
      <c r="CY409" s="1366"/>
      <c r="CZ409" s="1366"/>
      <c r="DA409" s="1366"/>
      <c r="DB409" s="1366"/>
      <c r="DC409" s="1366"/>
      <c r="DD409" s="1366"/>
      <c r="DE409" s="1366"/>
      <c r="DF409" s="1366"/>
      <c r="DG409" s="1366"/>
      <c r="DH409" s="1366"/>
      <c r="DI409" s="1366"/>
      <c r="DJ409" s="1366"/>
      <c r="DK409" s="1366"/>
      <c r="DL409" s="1366"/>
      <c r="DM409" s="1366"/>
      <c r="DN409" s="1366"/>
      <c r="DO409" s="1366"/>
      <c r="DP409" s="1366"/>
      <c r="DQ409" s="1366"/>
      <c r="DR409" s="1366"/>
      <c r="DS409" s="1366"/>
      <c r="DT409" s="1366"/>
      <c r="DU409" s="1366"/>
      <c r="DV409" s="1366"/>
    </row>
    <row r="410" spans="1:126" s="1367" customFormat="1" ht="30">
      <c r="A410" s="2494"/>
      <c r="B410" s="1653" t="s">
        <v>2439</v>
      </c>
      <c r="C410" s="1642" t="s">
        <v>47</v>
      </c>
      <c r="D410" s="1379" t="s">
        <v>2452</v>
      </c>
      <c r="E410" s="1364" t="s">
        <v>2102</v>
      </c>
      <c r="F410" s="1364" t="s">
        <v>2438</v>
      </c>
      <c r="G410" s="1185" t="s">
        <v>1839</v>
      </c>
      <c r="H410" s="1361">
        <f>((75*'Equipment Results Matrix'!R$840)+(0.87*'Equipment Results Matrix'!R$839)+'Equipment Results Matrix'!$R$841+'Equipment Results Matrix'!$T$846)*(1+'Equipment Results Matrix'!$T$848)</f>
        <v>475.17031598190323</v>
      </c>
      <c r="I410" s="1371">
        <f>(0.0222*75)+3.0515</f>
        <v>4.7164999999999999</v>
      </c>
      <c r="J410" s="1372">
        <f>'Labor Results Matrix'!$G$335*(1+'Labor Results Matrix'!$K$335)</f>
        <v>79.481262602576862</v>
      </c>
      <c r="K410" s="1372">
        <f t="shared" si="156"/>
        <v>374.87337506505378</v>
      </c>
      <c r="L410" s="1372">
        <v>0</v>
      </c>
      <c r="M410" s="1372">
        <f t="shared" si="157"/>
        <v>850.04369104695706</v>
      </c>
      <c r="N410" s="1458" t="s">
        <v>40</v>
      </c>
      <c r="O410" s="1429"/>
      <c r="P410" s="1430"/>
      <c r="Q410" s="1430"/>
      <c r="R410" s="1430"/>
      <c r="S410" s="1430"/>
      <c r="T410" s="1430"/>
      <c r="U410" s="1430"/>
      <c r="V410" s="1679"/>
      <c r="W410" s="1366"/>
      <c r="X410" s="1366"/>
      <c r="Y410" s="1366"/>
      <c r="Z410" s="1366"/>
      <c r="AA410" s="1366"/>
      <c r="AB410" s="1366"/>
      <c r="AC410" s="1366"/>
      <c r="AD410" s="1366"/>
      <c r="AE410" s="1366"/>
      <c r="AF410" s="1366"/>
      <c r="AG410" s="1366"/>
      <c r="AH410" s="1366"/>
      <c r="AI410" s="1366"/>
      <c r="AJ410" s="1366"/>
      <c r="AK410" s="1366"/>
      <c r="AL410" s="1366"/>
      <c r="AM410" s="1366"/>
      <c r="AN410" s="1366"/>
      <c r="AO410" s="1366"/>
      <c r="AP410" s="1366"/>
      <c r="AQ410" s="1366"/>
      <c r="AR410" s="1366"/>
      <c r="AS410" s="1366"/>
      <c r="AT410" s="1366"/>
      <c r="AU410" s="1366"/>
      <c r="AV410" s="1366"/>
      <c r="AW410" s="1366"/>
      <c r="AX410" s="1366"/>
      <c r="AY410" s="1366"/>
      <c r="AZ410" s="1366"/>
      <c r="BA410" s="1366"/>
      <c r="BB410" s="1366"/>
      <c r="BC410" s="1366"/>
      <c r="BD410" s="1366"/>
      <c r="BE410" s="1366"/>
      <c r="BF410" s="1366"/>
      <c r="BG410" s="1366"/>
      <c r="BH410" s="1366"/>
      <c r="BI410" s="1366"/>
      <c r="BJ410" s="1366"/>
      <c r="BK410" s="1366"/>
      <c r="BL410" s="1366"/>
      <c r="BM410" s="1366"/>
      <c r="BN410" s="1366"/>
      <c r="BO410" s="1366"/>
      <c r="BP410" s="1366"/>
      <c r="BQ410" s="1366"/>
      <c r="BR410" s="1366"/>
      <c r="BS410" s="1366"/>
      <c r="BT410" s="1366"/>
      <c r="BU410" s="1366"/>
      <c r="BV410" s="1366"/>
      <c r="BW410" s="1366"/>
      <c r="BX410" s="1366"/>
      <c r="BY410" s="1366"/>
      <c r="BZ410" s="1366"/>
      <c r="CA410" s="1366"/>
      <c r="CB410" s="1366"/>
      <c r="CC410" s="1366"/>
      <c r="CD410" s="1366"/>
      <c r="CE410" s="1366"/>
      <c r="CF410" s="1366"/>
      <c r="CG410" s="1366"/>
      <c r="CH410" s="1366"/>
      <c r="CI410" s="1366"/>
      <c r="CJ410" s="1366"/>
      <c r="CK410" s="1366"/>
      <c r="CL410" s="1366"/>
      <c r="CM410" s="1366"/>
      <c r="CN410" s="1366"/>
      <c r="CO410" s="1366"/>
      <c r="CP410" s="1366"/>
      <c r="CQ410" s="1366"/>
      <c r="CR410" s="1366"/>
      <c r="CS410" s="1366"/>
      <c r="CT410" s="1366"/>
      <c r="CU410" s="1366"/>
      <c r="CV410" s="1366"/>
      <c r="CW410" s="1366"/>
      <c r="CX410" s="1366"/>
      <c r="CY410" s="1366"/>
      <c r="CZ410" s="1366"/>
      <c r="DA410" s="1366"/>
      <c r="DB410" s="1366"/>
      <c r="DC410" s="1366"/>
      <c r="DD410" s="1366"/>
      <c r="DE410" s="1366"/>
      <c r="DF410" s="1366"/>
      <c r="DG410" s="1366"/>
      <c r="DH410" s="1366"/>
      <c r="DI410" s="1366"/>
      <c r="DJ410" s="1366"/>
      <c r="DK410" s="1366"/>
      <c r="DL410" s="1366"/>
      <c r="DM410" s="1366"/>
      <c r="DN410" s="1366"/>
      <c r="DO410" s="1366"/>
      <c r="DP410" s="1366"/>
      <c r="DQ410" s="1366"/>
      <c r="DR410" s="1366"/>
      <c r="DS410" s="1366"/>
      <c r="DT410" s="1366"/>
      <c r="DU410" s="1366"/>
      <c r="DV410" s="1366"/>
    </row>
    <row r="411" spans="1:126" s="1367" customFormat="1" ht="30">
      <c r="A411" s="2494"/>
      <c r="B411" s="1653">
        <v>355</v>
      </c>
      <c r="C411" s="1642" t="s">
        <v>49</v>
      </c>
      <c r="D411" s="1375" t="s">
        <v>2453</v>
      </c>
      <c r="E411" s="1364" t="s">
        <v>2102</v>
      </c>
      <c r="F411" s="1364" t="s">
        <v>2108</v>
      </c>
      <c r="G411" s="1185" t="s">
        <v>1839</v>
      </c>
      <c r="H411" s="1361">
        <f>((75*'Equipment Results Matrix'!R$840)+(0.91*'Equipment Results Matrix'!R$839)+'Equipment Results Matrix'!$R$841+'Equipment Results Matrix'!$T$846)*(1+'Equipment Results Matrix'!$T$848)</f>
        <v>885.34214289790475</v>
      </c>
      <c r="I411" s="1371">
        <f t="shared" ref="I411:I412" si="161">(0.0222*75)+3.0515</f>
        <v>4.7164999999999999</v>
      </c>
      <c r="J411" s="1372">
        <f>'Labor Results Matrix'!$G$335*(1+'Labor Results Matrix'!$K$335)</f>
        <v>79.481262602576862</v>
      </c>
      <c r="K411" s="1372">
        <f t="shared" si="156"/>
        <v>374.87337506505378</v>
      </c>
      <c r="L411" s="1372">
        <v>0</v>
      </c>
      <c r="M411" s="1372">
        <f t="shared" si="157"/>
        <v>1260.2155179629585</v>
      </c>
      <c r="N411" s="1458">
        <f>M411-$M$410</f>
        <v>410.17182691600146</v>
      </c>
      <c r="O411" s="1429"/>
      <c r="P411" s="1430"/>
      <c r="Q411" s="1430"/>
      <c r="R411" s="1430"/>
      <c r="S411" s="1430"/>
      <c r="T411" s="1430"/>
      <c r="U411" s="1430"/>
      <c r="V411" s="1679"/>
      <c r="W411" s="1366"/>
      <c r="X411" s="1366"/>
      <c r="Y411" s="1366"/>
      <c r="Z411" s="1366"/>
      <c r="AA411" s="1366"/>
      <c r="AB411" s="1366"/>
      <c r="AC411" s="1366"/>
      <c r="AD411" s="1366"/>
      <c r="AE411" s="1366"/>
      <c r="AF411" s="1366"/>
      <c r="AG411" s="1366"/>
      <c r="AH411" s="1366"/>
      <c r="AI411" s="1366"/>
      <c r="AJ411" s="1366"/>
      <c r="AK411" s="1366"/>
      <c r="AL411" s="1366"/>
      <c r="AM411" s="1366"/>
      <c r="AN411" s="1366"/>
      <c r="AO411" s="1366"/>
      <c r="AP411" s="1366"/>
      <c r="AQ411" s="1366"/>
      <c r="AR411" s="1366"/>
      <c r="AS411" s="1366"/>
      <c r="AT411" s="1366"/>
      <c r="AU411" s="1366"/>
      <c r="AV411" s="1366"/>
      <c r="AW411" s="1366"/>
      <c r="AX411" s="1366"/>
      <c r="AY411" s="1366"/>
      <c r="AZ411" s="1366"/>
      <c r="BA411" s="1366"/>
      <c r="BB411" s="1366"/>
      <c r="BC411" s="1366"/>
      <c r="BD411" s="1366"/>
      <c r="BE411" s="1366"/>
      <c r="BF411" s="1366"/>
      <c r="BG411" s="1366"/>
      <c r="BH411" s="1366"/>
      <c r="BI411" s="1366"/>
      <c r="BJ411" s="1366"/>
      <c r="BK411" s="1366"/>
      <c r="BL411" s="1366"/>
      <c r="BM411" s="1366"/>
      <c r="BN411" s="1366"/>
      <c r="BO411" s="1366"/>
      <c r="BP411" s="1366"/>
      <c r="BQ411" s="1366"/>
      <c r="BR411" s="1366"/>
      <c r="BS411" s="1366"/>
      <c r="BT411" s="1366"/>
      <c r="BU411" s="1366"/>
      <c r="BV411" s="1366"/>
      <c r="BW411" s="1366"/>
      <c r="BX411" s="1366"/>
      <c r="BY411" s="1366"/>
      <c r="BZ411" s="1366"/>
      <c r="CA411" s="1366"/>
      <c r="CB411" s="1366"/>
      <c r="CC411" s="1366"/>
      <c r="CD411" s="1366"/>
      <c r="CE411" s="1366"/>
      <c r="CF411" s="1366"/>
      <c r="CG411" s="1366"/>
      <c r="CH411" s="1366"/>
      <c r="CI411" s="1366"/>
      <c r="CJ411" s="1366"/>
      <c r="CK411" s="1366"/>
      <c r="CL411" s="1366"/>
      <c r="CM411" s="1366"/>
      <c r="CN411" s="1366"/>
      <c r="CO411" s="1366"/>
      <c r="CP411" s="1366"/>
      <c r="CQ411" s="1366"/>
      <c r="CR411" s="1366"/>
      <c r="CS411" s="1366"/>
      <c r="CT411" s="1366"/>
      <c r="CU411" s="1366"/>
      <c r="CV411" s="1366"/>
      <c r="CW411" s="1366"/>
      <c r="CX411" s="1366"/>
      <c r="CY411" s="1366"/>
      <c r="CZ411" s="1366"/>
      <c r="DA411" s="1366"/>
      <c r="DB411" s="1366"/>
      <c r="DC411" s="1366"/>
      <c r="DD411" s="1366"/>
      <c r="DE411" s="1366"/>
      <c r="DF411" s="1366"/>
      <c r="DG411" s="1366"/>
      <c r="DH411" s="1366"/>
      <c r="DI411" s="1366"/>
      <c r="DJ411" s="1366"/>
      <c r="DK411" s="1366"/>
      <c r="DL411" s="1366"/>
      <c r="DM411" s="1366"/>
      <c r="DN411" s="1366"/>
      <c r="DO411" s="1366"/>
      <c r="DP411" s="1366"/>
      <c r="DQ411" s="1366"/>
      <c r="DR411" s="1366"/>
      <c r="DS411" s="1366"/>
      <c r="DT411" s="1366"/>
      <c r="DU411" s="1366"/>
      <c r="DV411" s="1366"/>
    </row>
    <row r="412" spans="1:126" s="1367" customFormat="1" ht="30.75" thickBot="1">
      <c r="A412" s="2494"/>
      <c r="B412" s="1653">
        <v>375</v>
      </c>
      <c r="C412" s="1642" t="s">
        <v>49</v>
      </c>
      <c r="D412" s="1375" t="s">
        <v>2454</v>
      </c>
      <c r="E412" s="1364" t="s">
        <v>2102</v>
      </c>
      <c r="F412" s="1364" t="s">
        <v>2107</v>
      </c>
      <c r="G412" s="1185" t="s">
        <v>1839</v>
      </c>
      <c r="H412" s="1361">
        <f>((75*'Equipment Results Matrix'!R$840)+(0.91*'Equipment Results Matrix'!R$839)+'Equipment Results Matrix'!$R$841+'Equipment Results Matrix'!$T$846)*(1+'Equipment Results Matrix'!$T$848)</f>
        <v>885.34214289790475</v>
      </c>
      <c r="I412" s="1371">
        <f t="shared" si="161"/>
        <v>4.7164999999999999</v>
      </c>
      <c r="J412" s="1372">
        <f>'Labor Results Matrix'!$G$335*(1+'Labor Results Matrix'!$K$335)</f>
        <v>79.481262602576862</v>
      </c>
      <c r="K412" s="1372">
        <f t="shared" si="156"/>
        <v>374.87337506505378</v>
      </c>
      <c r="L412" s="1372">
        <v>0</v>
      </c>
      <c r="M412" s="1372">
        <f t="shared" si="157"/>
        <v>1260.2155179629585</v>
      </c>
      <c r="N412" s="1458">
        <f>M412-$M$410</f>
        <v>410.17182691600146</v>
      </c>
      <c r="O412" s="1429"/>
      <c r="P412" s="1430"/>
      <c r="Q412" s="1430"/>
      <c r="R412" s="1430"/>
      <c r="S412" s="1430"/>
      <c r="T412" s="1430"/>
      <c r="U412" s="1430"/>
      <c r="V412" s="1679"/>
      <c r="W412" s="1366"/>
      <c r="X412" s="1366"/>
      <c r="Y412" s="1366"/>
      <c r="Z412" s="1366"/>
      <c r="AA412" s="1366"/>
      <c r="AB412" s="1366"/>
      <c r="AC412" s="1366"/>
      <c r="AD412" s="1366"/>
      <c r="AE412" s="1366"/>
      <c r="AF412" s="1366"/>
      <c r="AG412" s="1366"/>
      <c r="AH412" s="1366"/>
      <c r="AI412" s="1366"/>
      <c r="AJ412" s="1366"/>
      <c r="AK412" s="1366"/>
      <c r="AL412" s="1366"/>
      <c r="AM412" s="1366"/>
      <c r="AN412" s="1366"/>
      <c r="AO412" s="1366"/>
      <c r="AP412" s="1366"/>
      <c r="AQ412" s="1366"/>
      <c r="AR412" s="1366"/>
      <c r="AS412" s="1366"/>
      <c r="AT412" s="1366"/>
      <c r="AU412" s="1366"/>
      <c r="AV412" s="1366"/>
      <c r="AW412" s="1366"/>
      <c r="AX412" s="1366"/>
      <c r="AY412" s="1366"/>
      <c r="AZ412" s="1366"/>
      <c r="BA412" s="1366"/>
      <c r="BB412" s="1366"/>
      <c r="BC412" s="1366"/>
      <c r="BD412" s="1366"/>
      <c r="BE412" s="1366"/>
      <c r="BF412" s="1366"/>
      <c r="BG412" s="1366"/>
      <c r="BH412" s="1366"/>
      <c r="BI412" s="1366"/>
      <c r="BJ412" s="1366"/>
      <c r="BK412" s="1366"/>
      <c r="BL412" s="1366"/>
      <c r="BM412" s="1366"/>
      <c r="BN412" s="1366"/>
      <c r="BO412" s="1366"/>
      <c r="BP412" s="1366"/>
      <c r="BQ412" s="1366"/>
      <c r="BR412" s="1366"/>
      <c r="BS412" s="1366"/>
      <c r="BT412" s="1366"/>
      <c r="BU412" s="1366"/>
      <c r="BV412" s="1366"/>
      <c r="BW412" s="1366"/>
      <c r="BX412" s="1366"/>
      <c r="BY412" s="1366"/>
      <c r="BZ412" s="1366"/>
      <c r="CA412" s="1366"/>
      <c r="CB412" s="1366"/>
      <c r="CC412" s="1366"/>
      <c r="CD412" s="1366"/>
      <c r="CE412" s="1366"/>
      <c r="CF412" s="1366"/>
      <c r="CG412" s="1366"/>
      <c r="CH412" s="1366"/>
      <c r="CI412" s="1366"/>
      <c r="CJ412" s="1366"/>
      <c r="CK412" s="1366"/>
      <c r="CL412" s="1366"/>
      <c r="CM412" s="1366"/>
      <c r="CN412" s="1366"/>
      <c r="CO412" s="1366"/>
      <c r="CP412" s="1366"/>
      <c r="CQ412" s="1366"/>
      <c r="CR412" s="1366"/>
      <c r="CS412" s="1366"/>
      <c r="CT412" s="1366"/>
      <c r="CU412" s="1366"/>
      <c r="CV412" s="1366"/>
      <c r="CW412" s="1366"/>
      <c r="CX412" s="1366"/>
      <c r="CY412" s="1366"/>
      <c r="CZ412" s="1366"/>
      <c r="DA412" s="1366"/>
      <c r="DB412" s="1366"/>
      <c r="DC412" s="1366"/>
      <c r="DD412" s="1366"/>
      <c r="DE412" s="1366"/>
      <c r="DF412" s="1366"/>
      <c r="DG412" s="1366"/>
      <c r="DH412" s="1366"/>
      <c r="DI412" s="1366"/>
      <c r="DJ412" s="1366"/>
      <c r="DK412" s="1366"/>
      <c r="DL412" s="1366"/>
      <c r="DM412" s="1366"/>
      <c r="DN412" s="1366"/>
      <c r="DO412" s="1366"/>
      <c r="DP412" s="1366"/>
      <c r="DQ412" s="1366"/>
      <c r="DR412" s="1366"/>
      <c r="DS412" s="1366"/>
      <c r="DT412" s="1366"/>
      <c r="DU412" s="1366"/>
      <c r="DV412" s="1366"/>
    </row>
    <row r="413" spans="1:126" s="1479" customFormat="1" ht="19.5" thickBot="1">
      <c r="A413" s="695"/>
      <c r="B413" s="1654"/>
      <c r="C413" s="1654"/>
      <c r="D413" s="1343"/>
      <c r="E413" s="1343"/>
      <c r="F413" s="1343"/>
      <c r="G413" s="1343"/>
      <c r="H413" s="1422"/>
      <c r="I413" s="1447"/>
      <c r="J413" s="1423"/>
      <c r="K413" s="1422"/>
      <c r="L413" s="1527"/>
      <c r="M413" s="1422"/>
      <c r="N413" s="1503"/>
      <c r="O413" s="1422"/>
      <c r="P413" s="1423"/>
      <c r="Q413" s="1423"/>
      <c r="R413" s="1447"/>
      <c r="S413" s="1447"/>
      <c r="T413" s="1473"/>
      <c r="U413" s="1473"/>
      <c r="V413" s="1503"/>
      <c r="W413" s="1490"/>
      <c r="X413" s="1490"/>
      <c r="Y413" s="327"/>
      <c r="Z413" s="327"/>
      <c r="AA413" s="327"/>
      <c r="AB413" s="1490"/>
      <c r="AC413" s="1490"/>
      <c r="AD413" s="1490"/>
      <c r="AE413" s="1490"/>
      <c r="AF413" s="327"/>
      <c r="AG413" s="327"/>
      <c r="AH413" s="327"/>
      <c r="AI413" s="327"/>
      <c r="AJ413" s="327"/>
      <c r="AK413" s="1478"/>
      <c r="AL413" s="1478"/>
      <c r="AM413" s="1478"/>
      <c r="AN413" s="1478"/>
      <c r="AO413" s="1478"/>
      <c r="AP413" s="1478"/>
      <c r="AQ413" s="1478"/>
      <c r="AR413" s="1478"/>
      <c r="AS413" s="1478"/>
      <c r="AT413" s="1478"/>
      <c r="AU413" s="1478"/>
      <c r="AV413" s="1478"/>
      <c r="AW413" s="1478"/>
      <c r="AX413" s="1478"/>
      <c r="AY413" s="1478"/>
      <c r="AZ413" s="1478"/>
      <c r="BA413" s="1478"/>
      <c r="BB413" s="1478"/>
      <c r="BC413" s="1478"/>
      <c r="BD413" s="1478"/>
      <c r="BE413" s="1478"/>
      <c r="BF413" s="1478"/>
      <c r="BG413" s="1478"/>
      <c r="BH413" s="1478"/>
      <c r="BI413" s="1478"/>
      <c r="BJ413" s="1478"/>
      <c r="BK413" s="327"/>
      <c r="BL413" s="327"/>
      <c r="BM413" s="327"/>
      <c r="BN413" s="327"/>
      <c r="BO413" s="327"/>
      <c r="BP413" s="327"/>
      <c r="BQ413" s="327"/>
      <c r="BR413" s="327"/>
      <c r="BS413" s="327"/>
      <c r="BT413" s="327"/>
      <c r="BU413" s="327"/>
      <c r="BV413" s="327"/>
      <c r="BW413" s="327"/>
      <c r="BX413" s="327"/>
      <c r="BY413" s="327"/>
      <c r="BZ413" s="327"/>
      <c r="CA413" s="327"/>
      <c r="CB413" s="327"/>
      <c r="CC413" s="327"/>
      <c r="CD413" s="327"/>
      <c r="CE413" s="327"/>
      <c r="CF413" s="327"/>
      <c r="CG413" s="327"/>
      <c r="CH413" s="327"/>
      <c r="CI413" s="327"/>
      <c r="CJ413" s="327"/>
      <c r="CK413" s="327"/>
      <c r="CL413" s="327"/>
      <c r="CM413" s="327"/>
      <c r="CN413" s="327"/>
      <c r="CO413" s="327"/>
      <c r="CP413" s="327"/>
      <c r="CQ413" s="327"/>
      <c r="CR413" s="327"/>
      <c r="CS413" s="327"/>
      <c r="CT413" s="327"/>
      <c r="CU413" s="327"/>
      <c r="CV413" s="327"/>
      <c r="CW413" s="327"/>
      <c r="CX413" s="327"/>
      <c r="CY413" s="327"/>
      <c r="CZ413" s="327"/>
      <c r="DA413" s="327"/>
      <c r="DB413" s="327"/>
      <c r="DC413" s="327"/>
      <c r="DD413" s="327"/>
      <c r="DE413" s="327"/>
      <c r="DF413" s="327"/>
      <c r="DG413" s="327"/>
      <c r="DH413" s="327"/>
      <c r="DI413" s="327"/>
      <c r="DJ413" s="327"/>
      <c r="DK413" s="327"/>
      <c r="DL413" s="327"/>
      <c r="DM413" s="327"/>
      <c r="DN413" s="327"/>
      <c r="DO413" s="327"/>
      <c r="DP413" s="327"/>
      <c r="DQ413" s="327"/>
      <c r="DR413" s="327"/>
      <c r="DS413" s="327"/>
      <c r="DT413" s="327"/>
      <c r="DU413" s="327"/>
      <c r="DV413" s="327"/>
    </row>
    <row r="414" spans="1:126" s="1367" customFormat="1" ht="30.75" customHeight="1">
      <c r="A414" s="2493" t="s">
        <v>287</v>
      </c>
      <c r="B414" s="2501" t="s">
        <v>2698</v>
      </c>
      <c r="C414" s="623" t="str">
        <f>'Equipment Results Matrix'!W861</f>
        <v>Baseline</v>
      </c>
      <c r="D414" s="1560" t="str">
        <f>'Equipment Results Matrix'!X861</f>
        <v>Small Electric Storage Water Heater 40 Gal;  EF = 0.92; Recov Eff = 0.98</v>
      </c>
      <c r="E414" s="383" t="s">
        <v>2102</v>
      </c>
      <c r="F414" s="383" t="s">
        <v>2107</v>
      </c>
      <c r="G414" s="1540" t="s">
        <v>1839</v>
      </c>
      <c r="H414" s="1600">
        <f>H401</f>
        <v>420.92589387690447</v>
      </c>
      <c r="I414" s="1564">
        <f t="shared" ref="I414:N415" si="162">I401</f>
        <v>3.9394999999999998</v>
      </c>
      <c r="J414" s="1601">
        <f t="shared" si="162"/>
        <v>79.481262602576862</v>
      </c>
      <c r="K414" s="1601">
        <f t="shared" si="162"/>
        <v>313.11643402285154</v>
      </c>
      <c r="L414" s="1601">
        <f t="shared" si="162"/>
        <v>0</v>
      </c>
      <c r="M414" s="1601">
        <f t="shared" si="162"/>
        <v>734.04232789975595</v>
      </c>
      <c r="N414" s="1602" t="str">
        <f t="shared" si="162"/>
        <v>-</v>
      </c>
      <c r="O414" s="1429"/>
      <c r="P414" s="1430"/>
      <c r="Q414" s="1430"/>
      <c r="R414" s="1430"/>
      <c r="S414" s="1430"/>
      <c r="T414" s="1430"/>
      <c r="U414" s="1430"/>
      <c r="V414" s="1679"/>
      <c r="W414" s="1366"/>
      <c r="X414" s="1366"/>
      <c r="Y414" s="1366"/>
      <c r="Z414" s="1366"/>
      <c r="AA414" s="1366"/>
      <c r="AB414" s="1366"/>
      <c r="AC414" s="1366"/>
      <c r="AD414" s="1366"/>
      <c r="AE414" s="1366"/>
      <c r="AF414" s="1366"/>
      <c r="AG414" s="1366"/>
      <c r="AH414" s="1366"/>
      <c r="AI414" s="1366"/>
      <c r="AJ414" s="1366"/>
      <c r="AK414" s="1366"/>
      <c r="AL414" s="1366"/>
      <c r="AM414" s="1366"/>
      <c r="AN414" s="1366"/>
      <c r="AO414" s="1366"/>
      <c r="AP414" s="1366"/>
      <c r="AQ414" s="1366"/>
      <c r="AR414" s="1366"/>
      <c r="AS414" s="1366"/>
      <c r="AT414" s="1366"/>
      <c r="AU414" s="1366"/>
      <c r="AV414" s="1366"/>
      <c r="AW414" s="1366"/>
      <c r="AX414" s="1366"/>
      <c r="AY414" s="1366"/>
      <c r="AZ414" s="1366"/>
      <c r="BA414" s="1366"/>
      <c r="BB414" s="1366"/>
      <c r="BC414" s="1366"/>
      <c r="BD414" s="1366"/>
      <c r="BE414" s="1366"/>
      <c r="BF414" s="1366"/>
      <c r="BG414" s="1366"/>
      <c r="BH414" s="1366"/>
      <c r="BI414" s="1366"/>
      <c r="BJ414" s="1366"/>
      <c r="BK414" s="1366"/>
      <c r="BL414" s="1366"/>
      <c r="BM414" s="1366"/>
      <c r="BN414" s="1366"/>
      <c r="BO414" s="1366"/>
      <c r="BP414" s="1366"/>
      <c r="BQ414" s="1366"/>
      <c r="BR414" s="1366"/>
      <c r="BS414" s="1366"/>
      <c r="BT414" s="1366"/>
      <c r="BU414" s="1366"/>
      <c r="BV414" s="1366"/>
      <c r="BW414" s="1366"/>
      <c r="BX414" s="1366"/>
      <c r="BY414" s="1366"/>
      <c r="BZ414" s="1366"/>
      <c r="CA414" s="1366"/>
      <c r="CB414" s="1366"/>
      <c r="CC414" s="1366"/>
      <c r="CD414" s="1366"/>
      <c r="CE414" s="1366"/>
      <c r="CF414" s="1366"/>
      <c r="CG414" s="1366"/>
      <c r="CH414" s="1366"/>
      <c r="CI414" s="1366"/>
      <c r="CJ414" s="1366"/>
      <c r="CK414" s="1366"/>
      <c r="CL414" s="1366"/>
      <c r="CM414" s="1366"/>
      <c r="CN414" s="1366"/>
      <c r="CO414" s="1366"/>
      <c r="CP414" s="1366"/>
      <c r="CQ414" s="1366"/>
      <c r="CR414" s="1366"/>
      <c r="CS414" s="1366"/>
      <c r="CT414" s="1366"/>
      <c r="CU414" s="1366"/>
      <c r="CV414" s="1366"/>
      <c r="CW414" s="1366"/>
      <c r="CX414" s="1366"/>
      <c r="CY414" s="1366"/>
      <c r="CZ414" s="1366"/>
      <c r="DA414" s="1366"/>
      <c r="DB414" s="1366"/>
      <c r="DC414" s="1366"/>
      <c r="DD414" s="1366"/>
      <c r="DE414" s="1366"/>
      <c r="DF414" s="1366"/>
      <c r="DG414" s="1366"/>
      <c r="DH414" s="1366"/>
      <c r="DI414" s="1366"/>
      <c r="DJ414" s="1366"/>
      <c r="DK414" s="1366"/>
      <c r="DL414" s="1366"/>
      <c r="DM414" s="1366"/>
      <c r="DN414" s="1366"/>
      <c r="DO414" s="1366"/>
      <c r="DP414" s="1366"/>
      <c r="DQ414" s="1366"/>
      <c r="DR414" s="1366"/>
      <c r="DS414" s="1366"/>
      <c r="DT414" s="1366"/>
      <c r="DU414" s="1366"/>
      <c r="DV414" s="1366"/>
    </row>
    <row r="415" spans="1:126" s="1367" customFormat="1" ht="15" customHeight="1">
      <c r="A415" s="2494"/>
      <c r="B415" s="2502"/>
      <c r="C415" s="1642" t="str">
        <f>'Equipment Results Matrix'!W862</f>
        <v>Measure</v>
      </c>
      <c r="D415" s="1364" t="str">
        <f>'Equipment Results Matrix'!X862</f>
        <v>Heat pump water heater, 40 gallons, 4.0  kw, 2.0 EF, 240 volt</v>
      </c>
      <c r="E415" s="1364" t="s">
        <v>2102</v>
      </c>
      <c r="F415" s="1364" t="s">
        <v>2107</v>
      </c>
      <c r="G415" s="1543" t="s">
        <v>1839</v>
      </c>
      <c r="H415" s="1603">
        <f>'Equipment Results Matrix'!Y862</f>
        <v>1761.23</v>
      </c>
      <c r="I415" s="1371">
        <f>'Labor Results Matrix'!$E$357+'Labor Results Matrix'!$E$358</f>
        <v>7.95</v>
      </c>
      <c r="J415" s="1372">
        <f>'Labor Results Matrix'!$G$357*(1+'Labor Results Matrix'!$K$357)</f>
        <v>58.828687534034223</v>
      </c>
      <c r="K415" s="1372">
        <f>I415*J415</f>
        <v>467.68806589557209</v>
      </c>
      <c r="L415" s="1604">
        <f t="shared" si="162"/>
        <v>0</v>
      </c>
      <c r="M415" s="1604">
        <f>H415+K415+L415</f>
        <v>2228.918065895572</v>
      </c>
      <c r="N415" s="1605">
        <f>M415-$M$414</f>
        <v>1494.8757379958161</v>
      </c>
      <c r="O415" s="1429"/>
      <c r="P415" s="1430"/>
      <c r="Q415" s="1430"/>
      <c r="R415" s="1430"/>
      <c r="S415" s="1430"/>
      <c r="T415" s="1430"/>
      <c r="U415" s="1430"/>
      <c r="V415" s="1679"/>
      <c r="W415" s="1366"/>
      <c r="X415" s="1366"/>
      <c r="Y415" s="1366"/>
      <c r="Z415" s="1366"/>
      <c r="AA415" s="1366"/>
      <c r="AB415" s="1366"/>
      <c r="AC415" s="1366"/>
      <c r="AD415" s="1366"/>
      <c r="AE415" s="1366"/>
      <c r="AF415" s="1366"/>
      <c r="AG415" s="1366"/>
      <c r="AH415" s="1366"/>
      <c r="AI415" s="1366"/>
      <c r="AJ415" s="1366"/>
      <c r="AK415" s="1366"/>
      <c r="AL415" s="1366"/>
      <c r="AM415" s="1366"/>
      <c r="AN415" s="1366"/>
      <c r="AO415" s="1366"/>
      <c r="AP415" s="1366"/>
      <c r="AQ415" s="1366"/>
      <c r="AR415" s="1366"/>
      <c r="AS415" s="1366"/>
      <c r="AT415" s="1366"/>
      <c r="AU415" s="1366"/>
      <c r="AV415" s="1366"/>
      <c r="AW415" s="1366"/>
      <c r="AX415" s="1366"/>
      <c r="AY415" s="1366"/>
      <c r="AZ415" s="1366"/>
      <c r="BA415" s="1366"/>
      <c r="BB415" s="1366"/>
      <c r="BC415" s="1366"/>
      <c r="BD415" s="1366"/>
      <c r="BE415" s="1366"/>
      <c r="BF415" s="1366"/>
      <c r="BG415" s="1366"/>
      <c r="BH415" s="1366"/>
      <c r="BI415" s="1366"/>
      <c r="BJ415" s="1366"/>
      <c r="BK415" s="1366"/>
      <c r="BL415" s="1366"/>
      <c r="BM415" s="1366"/>
      <c r="BN415" s="1366"/>
      <c r="BO415" s="1366"/>
      <c r="BP415" s="1366"/>
      <c r="BQ415" s="1366"/>
      <c r="BR415" s="1366"/>
      <c r="BS415" s="1366"/>
      <c r="BT415" s="1366"/>
      <c r="BU415" s="1366"/>
      <c r="BV415" s="1366"/>
      <c r="BW415" s="1366"/>
      <c r="BX415" s="1366"/>
      <c r="BY415" s="1366"/>
      <c r="BZ415" s="1366"/>
      <c r="CA415" s="1366"/>
      <c r="CB415" s="1366"/>
      <c r="CC415" s="1366"/>
      <c r="CD415" s="1366"/>
      <c r="CE415" s="1366"/>
      <c r="CF415" s="1366"/>
      <c r="CG415" s="1366"/>
      <c r="CH415" s="1366"/>
      <c r="CI415" s="1366"/>
      <c r="CJ415" s="1366"/>
      <c r="CK415" s="1366"/>
      <c r="CL415" s="1366"/>
      <c r="CM415" s="1366"/>
      <c r="CN415" s="1366"/>
      <c r="CO415" s="1366"/>
      <c r="CP415" s="1366"/>
      <c r="CQ415" s="1366"/>
      <c r="CR415" s="1366"/>
      <c r="CS415" s="1366"/>
      <c r="CT415" s="1366"/>
      <c r="CU415" s="1366"/>
      <c r="CV415" s="1366"/>
      <c r="CW415" s="1366"/>
      <c r="CX415" s="1366"/>
      <c r="CY415" s="1366"/>
      <c r="CZ415" s="1366"/>
      <c r="DA415" s="1366"/>
      <c r="DB415" s="1366"/>
      <c r="DC415" s="1366"/>
      <c r="DD415" s="1366"/>
      <c r="DE415" s="1366"/>
      <c r="DF415" s="1366"/>
      <c r="DG415" s="1366"/>
      <c r="DH415" s="1366"/>
      <c r="DI415" s="1366"/>
      <c r="DJ415" s="1366"/>
      <c r="DK415" s="1366"/>
      <c r="DL415" s="1366"/>
      <c r="DM415" s="1366"/>
      <c r="DN415" s="1366"/>
      <c r="DO415" s="1366"/>
      <c r="DP415" s="1366"/>
      <c r="DQ415" s="1366"/>
      <c r="DR415" s="1366"/>
      <c r="DS415" s="1366"/>
      <c r="DT415" s="1366"/>
      <c r="DU415" s="1366"/>
      <c r="DV415" s="1366"/>
    </row>
    <row r="416" spans="1:126" s="1367" customFormat="1" ht="30" customHeight="1">
      <c r="A416" s="2494"/>
      <c r="B416" s="2502"/>
      <c r="C416" s="1642" t="s">
        <v>47</v>
      </c>
      <c r="D416" s="1375" t="str">
        <f>D404</f>
        <v>Small Electric Storage Water Heater 50 Gal,  EF = 0.90, Recov Eff = 0.98 lte 12kW</v>
      </c>
      <c r="E416" s="1364" t="str">
        <f>E404</f>
        <v>RobNc</v>
      </c>
      <c r="F416" s="1364" t="str">
        <f t="shared" ref="F416:N416" si="163">F404</f>
        <v>Com/Res</v>
      </c>
      <c r="G416" s="1543" t="str">
        <f t="shared" si="163"/>
        <v>unit</v>
      </c>
      <c r="H416" s="1599">
        <f t="shared" si="163"/>
        <v>377.82832491890417</v>
      </c>
      <c r="I416" s="1598">
        <f t="shared" si="163"/>
        <v>4.1615000000000002</v>
      </c>
      <c r="J416" s="1597">
        <f t="shared" si="163"/>
        <v>79.481262602576862</v>
      </c>
      <c r="K416" s="1597">
        <f t="shared" si="163"/>
        <v>330.76127432062361</v>
      </c>
      <c r="L416" s="1597">
        <f t="shared" si="163"/>
        <v>0</v>
      </c>
      <c r="M416" s="1597">
        <f t="shared" si="163"/>
        <v>708.58959923952784</v>
      </c>
      <c r="N416" s="1455" t="str">
        <f t="shared" si="163"/>
        <v>-</v>
      </c>
      <c r="O416" s="1429"/>
      <c r="P416" s="1430"/>
      <c r="Q416" s="1430"/>
      <c r="R416" s="1430"/>
      <c r="S416" s="1430"/>
      <c r="T416" s="1430"/>
      <c r="U416" s="1430"/>
      <c r="V416" s="1679"/>
      <c r="W416" s="1366"/>
      <c r="X416" s="1366"/>
      <c r="Y416" s="1366"/>
      <c r="Z416" s="1366"/>
      <c r="AA416" s="1366"/>
      <c r="AB416" s="1366"/>
      <c r="AC416" s="1366"/>
      <c r="AD416" s="1366"/>
      <c r="AE416" s="1366"/>
      <c r="AF416" s="1366"/>
      <c r="AG416" s="1366"/>
      <c r="AH416" s="1366"/>
      <c r="AI416" s="1366"/>
      <c r="AJ416" s="1366"/>
      <c r="AK416" s="1366"/>
      <c r="AL416" s="1366"/>
      <c r="AM416" s="1366"/>
      <c r="AN416" s="1366"/>
      <c r="AO416" s="1366"/>
      <c r="AP416" s="1366"/>
      <c r="AQ416" s="1366"/>
      <c r="AR416" s="1366"/>
      <c r="AS416" s="1366"/>
      <c r="AT416" s="1366"/>
      <c r="AU416" s="1366"/>
      <c r="AV416" s="1366"/>
      <c r="AW416" s="1366"/>
      <c r="AX416" s="1366"/>
      <c r="AY416" s="1366"/>
      <c r="AZ416" s="1366"/>
      <c r="BA416" s="1366"/>
      <c r="BB416" s="1366"/>
      <c r="BC416" s="1366"/>
      <c r="BD416" s="1366"/>
      <c r="BE416" s="1366"/>
      <c r="BF416" s="1366"/>
      <c r="BG416" s="1366"/>
      <c r="BH416" s="1366"/>
      <c r="BI416" s="1366"/>
      <c r="BJ416" s="1366"/>
      <c r="BK416" s="1366"/>
      <c r="BL416" s="1366"/>
      <c r="BM416" s="1366"/>
      <c r="BN416" s="1366"/>
      <c r="BO416" s="1366"/>
      <c r="BP416" s="1366"/>
      <c r="BQ416" s="1366"/>
      <c r="BR416" s="1366"/>
      <c r="BS416" s="1366"/>
      <c r="BT416" s="1366"/>
      <c r="BU416" s="1366"/>
      <c r="BV416" s="1366"/>
      <c r="BW416" s="1366"/>
      <c r="BX416" s="1366"/>
      <c r="BY416" s="1366"/>
      <c r="BZ416" s="1366"/>
      <c r="CA416" s="1366"/>
      <c r="CB416" s="1366"/>
      <c r="CC416" s="1366"/>
      <c r="CD416" s="1366"/>
      <c r="CE416" s="1366"/>
      <c r="CF416" s="1366"/>
      <c r="CG416" s="1366"/>
      <c r="CH416" s="1366"/>
      <c r="CI416" s="1366"/>
      <c r="CJ416" s="1366"/>
      <c r="CK416" s="1366"/>
      <c r="CL416" s="1366"/>
      <c r="CM416" s="1366"/>
      <c r="CN416" s="1366"/>
      <c r="CO416" s="1366"/>
      <c r="CP416" s="1366"/>
      <c r="CQ416" s="1366"/>
      <c r="CR416" s="1366"/>
      <c r="CS416" s="1366"/>
      <c r="CT416" s="1366"/>
      <c r="CU416" s="1366"/>
      <c r="CV416" s="1366"/>
      <c r="CW416" s="1366"/>
      <c r="CX416" s="1366"/>
      <c r="CY416" s="1366"/>
      <c r="CZ416" s="1366"/>
      <c r="DA416" s="1366"/>
      <c r="DB416" s="1366"/>
      <c r="DC416" s="1366"/>
      <c r="DD416" s="1366"/>
      <c r="DE416" s="1366"/>
      <c r="DF416" s="1366"/>
      <c r="DG416" s="1366"/>
      <c r="DH416" s="1366"/>
      <c r="DI416" s="1366"/>
      <c r="DJ416" s="1366"/>
      <c r="DK416" s="1366"/>
      <c r="DL416" s="1366"/>
      <c r="DM416" s="1366"/>
      <c r="DN416" s="1366"/>
      <c r="DO416" s="1366"/>
      <c r="DP416" s="1366"/>
      <c r="DQ416" s="1366"/>
      <c r="DR416" s="1366"/>
      <c r="DS416" s="1366"/>
      <c r="DT416" s="1366"/>
      <c r="DU416" s="1366"/>
      <c r="DV416" s="1366"/>
    </row>
    <row r="417" spans="1:126" s="1367" customFormat="1" ht="15" customHeight="1">
      <c r="A417" s="2494"/>
      <c r="B417" s="2502"/>
      <c r="C417" s="1642" t="str">
        <f>'Equipment Results Matrix'!W863</f>
        <v>Measure</v>
      </c>
      <c r="D417" s="1364" t="str">
        <f>'Equipment Results Matrix'!X863</f>
        <v>Heat pump water heater, 50 gallons, 4.5  kw, 2.4 EF, 240 volt</v>
      </c>
      <c r="E417" s="1364" t="s">
        <v>2102</v>
      </c>
      <c r="F417" s="1364" t="s">
        <v>2107</v>
      </c>
      <c r="G417" s="1543" t="s">
        <v>1839</v>
      </c>
      <c r="H417" s="1603">
        <f>'Equipment Results Matrix'!Y863</f>
        <v>1565.4059999999999</v>
      </c>
      <c r="I417" s="1371">
        <f>'Labor Results Matrix'!$E$357+'Labor Results Matrix'!$E$358</f>
        <v>7.95</v>
      </c>
      <c r="J417" s="1372">
        <f>'Labor Results Matrix'!$G$357*(1+'Labor Results Matrix'!$K$357)</f>
        <v>58.828687534034223</v>
      </c>
      <c r="K417" s="1372">
        <f>I417*J417</f>
        <v>467.68806589557209</v>
      </c>
      <c r="L417" s="1604">
        <f t="shared" ref="L417" si="164">L403</f>
        <v>0</v>
      </c>
      <c r="M417" s="1604">
        <f t="shared" ref="M417:M420" si="165">H417+K417+L417</f>
        <v>2033.0940658955719</v>
      </c>
      <c r="N417" s="1605">
        <f>M417-$M$416</f>
        <v>1324.5044666560441</v>
      </c>
      <c r="O417" s="1429"/>
      <c r="P417" s="1430"/>
      <c r="Q417" s="1430"/>
      <c r="R417" s="1430"/>
      <c r="S417" s="1430"/>
      <c r="T417" s="1430"/>
      <c r="U417" s="1430"/>
      <c r="V417" s="1679"/>
      <c r="W417" s="1366"/>
      <c r="X417" s="1366"/>
      <c r="Y417" s="1366"/>
      <c r="Z417" s="1366"/>
      <c r="AA417" s="1366"/>
      <c r="AB417" s="1366"/>
      <c r="AC417" s="1366"/>
      <c r="AD417" s="1366"/>
      <c r="AE417" s="1366"/>
      <c r="AF417" s="1366"/>
      <c r="AG417" s="1366"/>
      <c r="AH417" s="1366"/>
      <c r="AI417" s="1366"/>
      <c r="AJ417" s="1366"/>
      <c r="AK417" s="1366"/>
      <c r="AL417" s="1366"/>
      <c r="AM417" s="1366"/>
      <c r="AN417" s="1366"/>
      <c r="AO417" s="1366"/>
      <c r="AP417" s="1366"/>
      <c r="AQ417" s="1366"/>
      <c r="AR417" s="1366"/>
      <c r="AS417" s="1366"/>
      <c r="AT417" s="1366"/>
      <c r="AU417" s="1366"/>
      <c r="AV417" s="1366"/>
      <c r="AW417" s="1366"/>
      <c r="AX417" s="1366"/>
      <c r="AY417" s="1366"/>
      <c r="AZ417" s="1366"/>
      <c r="BA417" s="1366"/>
      <c r="BB417" s="1366"/>
      <c r="BC417" s="1366"/>
      <c r="BD417" s="1366"/>
      <c r="BE417" s="1366"/>
      <c r="BF417" s="1366"/>
      <c r="BG417" s="1366"/>
      <c r="BH417" s="1366"/>
      <c r="BI417" s="1366"/>
      <c r="BJ417" s="1366"/>
      <c r="BK417" s="1366"/>
      <c r="BL417" s="1366"/>
      <c r="BM417" s="1366"/>
      <c r="BN417" s="1366"/>
      <c r="BO417" s="1366"/>
      <c r="BP417" s="1366"/>
      <c r="BQ417" s="1366"/>
      <c r="BR417" s="1366"/>
      <c r="BS417" s="1366"/>
      <c r="BT417" s="1366"/>
      <c r="BU417" s="1366"/>
      <c r="BV417" s="1366"/>
      <c r="BW417" s="1366"/>
      <c r="BX417" s="1366"/>
      <c r="BY417" s="1366"/>
      <c r="BZ417" s="1366"/>
      <c r="CA417" s="1366"/>
      <c r="CB417" s="1366"/>
      <c r="CC417" s="1366"/>
      <c r="CD417" s="1366"/>
      <c r="CE417" s="1366"/>
      <c r="CF417" s="1366"/>
      <c r="CG417" s="1366"/>
      <c r="CH417" s="1366"/>
      <c r="CI417" s="1366"/>
      <c r="CJ417" s="1366"/>
      <c r="CK417" s="1366"/>
      <c r="CL417" s="1366"/>
      <c r="CM417" s="1366"/>
      <c r="CN417" s="1366"/>
      <c r="CO417" s="1366"/>
      <c r="CP417" s="1366"/>
      <c r="CQ417" s="1366"/>
      <c r="CR417" s="1366"/>
      <c r="CS417" s="1366"/>
      <c r="CT417" s="1366"/>
      <c r="CU417" s="1366"/>
      <c r="CV417" s="1366"/>
      <c r="CW417" s="1366"/>
      <c r="CX417" s="1366"/>
      <c r="CY417" s="1366"/>
      <c r="CZ417" s="1366"/>
      <c r="DA417" s="1366"/>
      <c r="DB417" s="1366"/>
      <c r="DC417" s="1366"/>
      <c r="DD417" s="1366"/>
      <c r="DE417" s="1366"/>
      <c r="DF417" s="1366"/>
      <c r="DG417" s="1366"/>
      <c r="DH417" s="1366"/>
      <c r="DI417" s="1366"/>
      <c r="DJ417" s="1366"/>
      <c r="DK417" s="1366"/>
      <c r="DL417" s="1366"/>
      <c r="DM417" s="1366"/>
      <c r="DN417" s="1366"/>
      <c r="DO417" s="1366"/>
      <c r="DP417" s="1366"/>
      <c r="DQ417" s="1366"/>
      <c r="DR417" s="1366"/>
      <c r="DS417" s="1366"/>
      <c r="DT417" s="1366"/>
      <c r="DU417" s="1366"/>
      <c r="DV417" s="1366"/>
    </row>
    <row r="418" spans="1:126" s="1367" customFormat="1" ht="15" customHeight="1">
      <c r="A418" s="2494"/>
      <c r="B418" s="2502"/>
      <c r="C418" s="1642" t="str">
        <f>'Equipment Results Matrix'!W864</f>
        <v>Measure</v>
      </c>
      <c r="D418" s="1364" t="str">
        <f>'Equipment Results Matrix'!X864</f>
        <v>Heat pump water heater, 50 gallons, 5.5  kw, 2.45 EF, 230 volt</v>
      </c>
      <c r="E418" s="1364" t="s">
        <v>2102</v>
      </c>
      <c r="F418" s="1364" t="s">
        <v>2107</v>
      </c>
      <c r="G418" s="1543" t="s">
        <v>1839</v>
      </c>
      <c r="H418" s="1603">
        <f>'Equipment Results Matrix'!Y864</f>
        <v>1295.8154999999997</v>
      </c>
      <c r="I418" s="1371">
        <f>'Labor Results Matrix'!$E$357+'Labor Results Matrix'!$E$358</f>
        <v>7.95</v>
      </c>
      <c r="J418" s="1372">
        <f>'Labor Results Matrix'!$G$357*(1+'Labor Results Matrix'!$K$357)</f>
        <v>58.828687534034223</v>
      </c>
      <c r="K418" s="1372">
        <f>I418*J418</f>
        <v>467.68806589557209</v>
      </c>
      <c r="L418" s="1604">
        <f t="shared" ref="L418" si="166">L404</f>
        <v>0</v>
      </c>
      <c r="M418" s="1604">
        <f t="shared" si="165"/>
        <v>1763.5035658955717</v>
      </c>
      <c r="N418" s="1605">
        <f>M418-$M$416</f>
        <v>1054.9139666560438</v>
      </c>
      <c r="O418" s="1429"/>
      <c r="P418" s="1430"/>
      <c r="Q418" s="1430"/>
      <c r="R418" s="1430"/>
      <c r="S418" s="1430"/>
      <c r="T418" s="1430"/>
      <c r="U418" s="1430"/>
      <c r="V418" s="1679"/>
      <c r="W418" s="1366"/>
      <c r="X418" s="1366"/>
      <c r="Y418" s="1366"/>
      <c r="Z418" s="1366"/>
      <c r="AA418" s="1366"/>
      <c r="AB418" s="1366"/>
      <c r="AC418" s="1366"/>
      <c r="AD418" s="1366"/>
      <c r="AE418" s="1366"/>
      <c r="AF418" s="1366"/>
      <c r="AG418" s="1366"/>
      <c r="AH418" s="1366"/>
      <c r="AI418" s="1366"/>
      <c r="AJ418" s="1366"/>
      <c r="AK418" s="1366"/>
      <c r="AL418" s="1366"/>
      <c r="AM418" s="1366"/>
      <c r="AN418" s="1366"/>
      <c r="AO418" s="1366"/>
      <c r="AP418" s="1366"/>
      <c r="AQ418" s="1366"/>
      <c r="AR418" s="1366"/>
      <c r="AS418" s="1366"/>
      <c r="AT418" s="1366"/>
      <c r="AU418" s="1366"/>
      <c r="AV418" s="1366"/>
      <c r="AW418" s="1366"/>
      <c r="AX418" s="1366"/>
      <c r="AY418" s="1366"/>
      <c r="AZ418" s="1366"/>
      <c r="BA418" s="1366"/>
      <c r="BB418" s="1366"/>
      <c r="BC418" s="1366"/>
      <c r="BD418" s="1366"/>
      <c r="BE418" s="1366"/>
      <c r="BF418" s="1366"/>
      <c r="BG418" s="1366"/>
      <c r="BH418" s="1366"/>
      <c r="BI418" s="1366"/>
      <c r="BJ418" s="1366"/>
      <c r="BK418" s="1366"/>
      <c r="BL418" s="1366"/>
      <c r="BM418" s="1366"/>
      <c r="BN418" s="1366"/>
      <c r="BO418" s="1366"/>
      <c r="BP418" s="1366"/>
      <c r="BQ418" s="1366"/>
      <c r="BR418" s="1366"/>
      <c r="BS418" s="1366"/>
      <c r="BT418" s="1366"/>
      <c r="BU418" s="1366"/>
      <c r="BV418" s="1366"/>
      <c r="BW418" s="1366"/>
      <c r="BX418" s="1366"/>
      <c r="BY418" s="1366"/>
      <c r="BZ418" s="1366"/>
      <c r="CA418" s="1366"/>
      <c r="CB418" s="1366"/>
      <c r="CC418" s="1366"/>
      <c r="CD418" s="1366"/>
      <c r="CE418" s="1366"/>
      <c r="CF418" s="1366"/>
      <c r="CG418" s="1366"/>
      <c r="CH418" s="1366"/>
      <c r="CI418" s="1366"/>
      <c r="CJ418" s="1366"/>
      <c r="CK418" s="1366"/>
      <c r="CL418" s="1366"/>
      <c r="CM418" s="1366"/>
      <c r="CN418" s="1366"/>
      <c r="CO418" s="1366"/>
      <c r="CP418" s="1366"/>
      <c r="CQ418" s="1366"/>
      <c r="CR418" s="1366"/>
      <c r="CS418" s="1366"/>
      <c r="CT418" s="1366"/>
      <c r="CU418" s="1366"/>
      <c r="CV418" s="1366"/>
      <c r="CW418" s="1366"/>
      <c r="CX418" s="1366"/>
      <c r="CY418" s="1366"/>
      <c r="CZ418" s="1366"/>
      <c r="DA418" s="1366"/>
      <c r="DB418" s="1366"/>
      <c r="DC418" s="1366"/>
      <c r="DD418" s="1366"/>
      <c r="DE418" s="1366"/>
      <c r="DF418" s="1366"/>
      <c r="DG418" s="1366"/>
      <c r="DH418" s="1366"/>
      <c r="DI418" s="1366"/>
      <c r="DJ418" s="1366"/>
      <c r="DK418" s="1366"/>
      <c r="DL418" s="1366"/>
      <c r="DM418" s="1366"/>
      <c r="DN418" s="1366"/>
      <c r="DO418" s="1366"/>
      <c r="DP418" s="1366"/>
      <c r="DQ418" s="1366"/>
      <c r="DR418" s="1366"/>
      <c r="DS418" s="1366"/>
      <c r="DT418" s="1366"/>
      <c r="DU418" s="1366"/>
      <c r="DV418" s="1366"/>
    </row>
    <row r="419" spans="1:126" s="1367" customFormat="1" ht="30">
      <c r="A419" s="2494"/>
      <c r="B419" s="2502"/>
      <c r="C419" s="1642" t="s">
        <v>47</v>
      </c>
      <c r="D419" s="1375" t="str">
        <f>D407</f>
        <v>Small Electric Storage Water Heater 60 Gal,  EF = 0.89, Recov Eff = 0.98 lte 12kW</v>
      </c>
      <c r="E419" s="1375" t="str">
        <f t="shared" ref="E419:N419" si="167">E407</f>
        <v>RobNc</v>
      </c>
      <c r="F419" s="1375" t="str">
        <f t="shared" si="167"/>
        <v>Com/Res</v>
      </c>
      <c r="G419" s="1609" t="str">
        <f t="shared" si="167"/>
        <v>unit</v>
      </c>
      <c r="H419" s="1606">
        <f t="shared" si="167"/>
        <v>437.27371268990322</v>
      </c>
      <c r="I419" s="1607">
        <f t="shared" si="167"/>
        <v>4.3834999999999997</v>
      </c>
      <c r="J419" s="1608">
        <f t="shared" si="167"/>
        <v>79.481262602576862</v>
      </c>
      <c r="K419" s="1608">
        <f t="shared" si="167"/>
        <v>348.40611461839563</v>
      </c>
      <c r="L419" s="1608">
        <f t="shared" si="167"/>
        <v>0</v>
      </c>
      <c r="M419" s="1608">
        <f t="shared" si="167"/>
        <v>785.67982730829885</v>
      </c>
      <c r="N419" s="1613" t="str">
        <f t="shared" si="167"/>
        <v>-</v>
      </c>
      <c r="O419" s="1429"/>
      <c r="P419" s="1430"/>
      <c r="Q419" s="1430"/>
      <c r="R419" s="1430"/>
      <c r="S419" s="1430"/>
      <c r="T419" s="1430"/>
      <c r="U419" s="1430"/>
      <c r="V419" s="1679"/>
      <c r="W419" s="1366"/>
      <c r="X419" s="1366"/>
      <c r="Y419" s="1366"/>
      <c r="Z419" s="1366"/>
      <c r="AA419" s="1366"/>
      <c r="AB419" s="1366"/>
      <c r="AC419" s="1366"/>
      <c r="AD419" s="1366"/>
      <c r="AE419" s="1366"/>
      <c r="AF419" s="1366"/>
      <c r="AG419" s="1366"/>
      <c r="AH419" s="1366"/>
      <c r="AI419" s="1366"/>
      <c r="AJ419" s="1366"/>
      <c r="AK419" s="1366"/>
      <c r="AL419" s="1366"/>
      <c r="AM419" s="1366"/>
      <c r="AN419" s="1366"/>
      <c r="AO419" s="1366"/>
      <c r="AP419" s="1366"/>
      <c r="AQ419" s="1366"/>
      <c r="AR419" s="1366"/>
      <c r="AS419" s="1366"/>
      <c r="AT419" s="1366"/>
      <c r="AU419" s="1366"/>
      <c r="AV419" s="1366"/>
      <c r="AW419" s="1366"/>
      <c r="AX419" s="1366"/>
      <c r="AY419" s="1366"/>
      <c r="AZ419" s="1366"/>
      <c r="BA419" s="1366"/>
      <c r="BB419" s="1366"/>
      <c r="BC419" s="1366"/>
      <c r="BD419" s="1366"/>
      <c r="BE419" s="1366"/>
      <c r="BF419" s="1366"/>
      <c r="BG419" s="1366"/>
      <c r="BH419" s="1366"/>
      <c r="BI419" s="1366"/>
      <c r="BJ419" s="1366"/>
      <c r="BK419" s="1366"/>
      <c r="BL419" s="1366"/>
      <c r="BM419" s="1366"/>
      <c r="BN419" s="1366"/>
      <c r="BO419" s="1366"/>
      <c r="BP419" s="1366"/>
      <c r="BQ419" s="1366"/>
      <c r="BR419" s="1366"/>
      <c r="BS419" s="1366"/>
      <c r="BT419" s="1366"/>
      <c r="BU419" s="1366"/>
      <c r="BV419" s="1366"/>
      <c r="BW419" s="1366"/>
      <c r="BX419" s="1366"/>
      <c r="BY419" s="1366"/>
      <c r="BZ419" s="1366"/>
      <c r="CA419" s="1366"/>
      <c r="CB419" s="1366"/>
      <c r="CC419" s="1366"/>
      <c r="CD419" s="1366"/>
      <c r="CE419" s="1366"/>
      <c r="CF419" s="1366"/>
      <c r="CG419" s="1366"/>
      <c r="CH419" s="1366"/>
      <c r="CI419" s="1366"/>
      <c r="CJ419" s="1366"/>
      <c r="CK419" s="1366"/>
      <c r="CL419" s="1366"/>
      <c r="CM419" s="1366"/>
      <c r="CN419" s="1366"/>
      <c r="CO419" s="1366"/>
      <c r="CP419" s="1366"/>
      <c r="CQ419" s="1366"/>
      <c r="CR419" s="1366"/>
      <c r="CS419" s="1366"/>
      <c r="CT419" s="1366"/>
      <c r="CU419" s="1366"/>
      <c r="CV419" s="1366"/>
      <c r="CW419" s="1366"/>
      <c r="CX419" s="1366"/>
      <c r="CY419" s="1366"/>
      <c r="CZ419" s="1366"/>
      <c r="DA419" s="1366"/>
      <c r="DB419" s="1366"/>
      <c r="DC419" s="1366"/>
      <c r="DD419" s="1366"/>
      <c r="DE419" s="1366"/>
      <c r="DF419" s="1366"/>
      <c r="DG419" s="1366"/>
      <c r="DH419" s="1366"/>
      <c r="DI419" s="1366"/>
      <c r="DJ419" s="1366"/>
      <c r="DK419" s="1366"/>
      <c r="DL419" s="1366"/>
      <c r="DM419" s="1366"/>
      <c r="DN419" s="1366"/>
      <c r="DO419" s="1366"/>
      <c r="DP419" s="1366"/>
      <c r="DQ419" s="1366"/>
      <c r="DR419" s="1366"/>
      <c r="DS419" s="1366"/>
      <c r="DT419" s="1366"/>
      <c r="DU419" s="1366"/>
      <c r="DV419" s="1366"/>
    </row>
    <row r="420" spans="1:126" s="1367" customFormat="1" ht="15" customHeight="1" thickBot="1">
      <c r="A420" s="2494"/>
      <c r="B420" s="2502"/>
      <c r="C420" s="1577" t="str">
        <f>'Equipment Results Matrix'!W865</f>
        <v>Measure</v>
      </c>
      <c r="D420" s="1546" t="str">
        <f>'Equipment Results Matrix'!X865</f>
        <v>Heat pump water heater, 60 gallons, 4.5  kw, 2.33 EF, 240 volt</v>
      </c>
      <c r="E420" s="1546" t="s">
        <v>2102</v>
      </c>
      <c r="F420" s="1546" t="s">
        <v>2107</v>
      </c>
      <c r="G420" s="1547" t="s">
        <v>1839</v>
      </c>
      <c r="H420" s="1610">
        <f>'Equipment Results Matrix'!Y865</f>
        <v>1852.4607000000001</v>
      </c>
      <c r="I420" s="1571">
        <f>'Labor Results Matrix'!$E$357+'Labor Results Matrix'!$E$358</f>
        <v>7.95</v>
      </c>
      <c r="J420" s="1372">
        <f>'Labor Results Matrix'!$G$357*(1+'Labor Results Matrix'!$K$357)</f>
        <v>58.828687534034223</v>
      </c>
      <c r="K420" s="1372">
        <f>I420*J420</f>
        <v>467.68806589557209</v>
      </c>
      <c r="L420" s="1611">
        <f t="shared" ref="L420" si="168">L405</f>
        <v>0</v>
      </c>
      <c r="M420" s="1611">
        <f t="shared" si="165"/>
        <v>2320.1487658955721</v>
      </c>
      <c r="N420" s="1612">
        <f>M420-M419</f>
        <v>1534.4689385872732</v>
      </c>
      <c r="O420" s="1429"/>
      <c r="P420" s="1430"/>
      <c r="Q420" s="1430"/>
      <c r="R420" s="1430"/>
      <c r="S420" s="1430"/>
      <c r="T420" s="1430"/>
      <c r="U420" s="1430"/>
      <c r="V420" s="1679"/>
      <c r="W420" s="1366"/>
      <c r="X420" s="1366"/>
      <c r="Y420" s="1366"/>
      <c r="Z420" s="1366"/>
      <c r="AA420" s="1366"/>
      <c r="AB420" s="1366"/>
      <c r="AC420" s="1366"/>
      <c r="AD420" s="1366"/>
      <c r="AE420" s="1366"/>
      <c r="AF420" s="1366"/>
      <c r="AG420" s="1366"/>
      <c r="AH420" s="1366"/>
      <c r="AI420" s="1366"/>
      <c r="AJ420" s="1366"/>
      <c r="AK420" s="1366"/>
      <c r="AL420" s="1366"/>
      <c r="AM420" s="1366"/>
      <c r="AN420" s="1366"/>
      <c r="AO420" s="1366"/>
      <c r="AP420" s="1366"/>
      <c r="AQ420" s="1366"/>
      <c r="AR420" s="1366"/>
      <c r="AS420" s="1366"/>
      <c r="AT420" s="1366"/>
      <c r="AU420" s="1366"/>
      <c r="AV420" s="1366"/>
      <c r="AW420" s="1366"/>
      <c r="AX420" s="1366"/>
      <c r="AY420" s="1366"/>
      <c r="AZ420" s="1366"/>
      <c r="BA420" s="1366"/>
      <c r="BB420" s="1366"/>
      <c r="BC420" s="1366"/>
      <c r="BD420" s="1366"/>
      <c r="BE420" s="1366"/>
      <c r="BF420" s="1366"/>
      <c r="BG420" s="1366"/>
      <c r="BH420" s="1366"/>
      <c r="BI420" s="1366"/>
      <c r="BJ420" s="1366"/>
      <c r="BK420" s="1366"/>
      <c r="BL420" s="1366"/>
      <c r="BM420" s="1366"/>
      <c r="BN420" s="1366"/>
      <c r="BO420" s="1366"/>
      <c r="BP420" s="1366"/>
      <c r="BQ420" s="1366"/>
      <c r="BR420" s="1366"/>
      <c r="BS420" s="1366"/>
      <c r="BT420" s="1366"/>
      <c r="BU420" s="1366"/>
      <c r="BV420" s="1366"/>
      <c r="BW420" s="1366"/>
      <c r="BX420" s="1366"/>
      <c r="BY420" s="1366"/>
      <c r="BZ420" s="1366"/>
      <c r="CA420" s="1366"/>
      <c r="CB420" s="1366"/>
      <c r="CC420" s="1366"/>
      <c r="CD420" s="1366"/>
      <c r="CE420" s="1366"/>
      <c r="CF420" s="1366"/>
      <c r="CG420" s="1366"/>
      <c r="CH420" s="1366"/>
      <c r="CI420" s="1366"/>
      <c r="CJ420" s="1366"/>
      <c r="CK420" s="1366"/>
      <c r="CL420" s="1366"/>
      <c r="CM420" s="1366"/>
      <c r="CN420" s="1366"/>
      <c r="CO420" s="1366"/>
      <c r="CP420" s="1366"/>
      <c r="CQ420" s="1366"/>
      <c r="CR420" s="1366"/>
      <c r="CS420" s="1366"/>
      <c r="CT420" s="1366"/>
      <c r="CU420" s="1366"/>
      <c r="CV420" s="1366"/>
      <c r="CW420" s="1366"/>
      <c r="CX420" s="1366"/>
      <c r="CY420" s="1366"/>
      <c r="CZ420" s="1366"/>
      <c r="DA420" s="1366"/>
      <c r="DB420" s="1366"/>
      <c r="DC420" s="1366"/>
      <c r="DD420" s="1366"/>
      <c r="DE420" s="1366"/>
      <c r="DF420" s="1366"/>
      <c r="DG420" s="1366"/>
      <c r="DH420" s="1366"/>
      <c r="DI420" s="1366"/>
      <c r="DJ420" s="1366"/>
      <c r="DK420" s="1366"/>
      <c r="DL420" s="1366"/>
      <c r="DM420" s="1366"/>
      <c r="DN420" s="1366"/>
      <c r="DO420" s="1366"/>
      <c r="DP420" s="1366"/>
      <c r="DQ420" s="1366"/>
      <c r="DR420" s="1366"/>
      <c r="DS420" s="1366"/>
      <c r="DT420" s="1366"/>
      <c r="DU420" s="1366"/>
      <c r="DV420" s="1366"/>
    </row>
    <row r="421" spans="1:126" s="1367" customFormat="1" ht="24" thickBot="1">
      <c r="A421" s="721" t="s">
        <v>1110</v>
      </c>
      <c r="B421" s="1347"/>
      <c r="C421" s="1347"/>
      <c r="D421" s="1347"/>
      <c r="E421" s="1347"/>
      <c r="F421" s="1347"/>
      <c r="G421" s="1347"/>
      <c r="H421" s="1428"/>
      <c r="I421" s="1448"/>
      <c r="J421" s="1428"/>
      <c r="K421" s="1428"/>
      <c r="L421" s="1534"/>
      <c r="M421" s="1428"/>
      <c r="N421" s="1459"/>
      <c r="O421" s="1428"/>
      <c r="P421" s="1428"/>
      <c r="Q421" s="1428"/>
      <c r="R421" s="1428"/>
      <c r="S421" s="1428"/>
      <c r="T421" s="1428"/>
      <c r="U421" s="1428"/>
      <c r="V421" s="1459"/>
      <c r="W421" s="1366"/>
      <c r="X421" s="1366"/>
      <c r="Y421" s="1366"/>
      <c r="Z421" s="1366"/>
      <c r="AA421" s="1366"/>
      <c r="AB421" s="1366"/>
      <c r="AC421" s="1366"/>
      <c r="AD421" s="1366"/>
      <c r="AE421" s="1366"/>
      <c r="AF421" s="1366"/>
      <c r="AG421" s="1366"/>
      <c r="AH421" s="1366"/>
      <c r="AI421" s="1366"/>
      <c r="AJ421" s="1366"/>
      <c r="AK421" s="1366"/>
      <c r="AL421" s="1366"/>
      <c r="AM421" s="1366"/>
      <c r="AN421" s="1366"/>
      <c r="AO421" s="1366"/>
      <c r="AP421" s="1366"/>
      <c r="AQ421" s="1366"/>
      <c r="AR421" s="1366"/>
      <c r="AS421" s="1366"/>
      <c r="AT421" s="1366"/>
      <c r="AU421" s="1366"/>
      <c r="AV421" s="1366"/>
      <c r="AW421" s="1366"/>
      <c r="AX421" s="1366"/>
      <c r="AY421" s="1366"/>
      <c r="AZ421" s="1366"/>
      <c r="BA421" s="1366"/>
      <c r="BB421" s="1366"/>
      <c r="BC421" s="1366"/>
      <c r="BD421" s="1366"/>
      <c r="BE421" s="1366"/>
      <c r="BF421" s="1366"/>
      <c r="BG421" s="1366"/>
      <c r="BH421" s="1366"/>
      <c r="BI421" s="1366"/>
      <c r="BJ421" s="1366"/>
      <c r="BK421" s="1366"/>
      <c r="BL421" s="1366"/>
      <c r="BM421" s="1366"/>
      <c r="BN421" s="1366"/>
      <c r="BO421" s="1366"/>
      <c r="BP421" s="1366"/>
      <c r="BQ421" s="1366"/>
      <c r="BR421" s="1366"/>
      <c r="BS421" s="1366"/>
      <c r="BT421" s="1366"/>
      <c r="BU421" s="1366"/>
      <c r="BV421" s="1366"/>
      <c r="BW421" s="1366"/>
      <c r="BX421" s="1366"/>
      <c r="BY421" s="1366"/>
      <c r="BZ421" s="1366"/>
      <c r="CA421" s="1366"/>
      <c r="CB421" s="1366"/>
      <c r="CC421" s="1366"/>
      <c r="CD421" s="1366"/>
      <c r="CE421" s="1366"/>
      <c r="CF421" s="1366"/>
      <c r="CG421" s="1366"/>
      <c r="CH421" s="1366"/>
      <c r="CI421" s="1366"/>
      <c r="CJ421" s="1366"/>
      <c r="CK421" s="1366"/>
      <c r="CL421" s="1366"/>
      <c r="CM421" s="1366"/>
      <c r="CN421" s="1366"/>
      <c r="CO421" s="1366"/>
      <c r="CP421" s="1366"/>
      <c r="CQ421" s="1366"/>
      <c r="CR421" s="1366"/>
      <c r="CS421" s="1366"/>
      <c r="CT421" s="1366"/>
      <c r="CU421" s="1366"/>
      <c r="CV421" s="1366"/>
      <c r="CW421" s="1366"/>
      <c r="CX421" s="1366"/>
      <c r="CY421" s="1366"/>
      <c r="CZ421" s="1366"/>
      <c r="DA421" s="1366"/>
      <c r="DB421" s="1366"/>
      <c r="DC421" s="1366"/>
      <c r="DD421" s="1366"/>
      <c r="DE421" s="1366"/>
      <c r="DF421" s="1366"/>
      <c r="DG421" s="1366"/>
      <c r="DH421" s="1366"/>
      <c r="DI421" s="1366"/>
      <c r="DJ421" s="1366"/>
      <c r="DK421" s="1366"/>
      <c r="DL421" s="1366"/>
      <c r="DM421" s="1366"/>
      <c r="DN421" s="1366"/>
      <c r="DO421" s="1366"/>
      <c r="DP421" s="1366"/>
      <c r="DQ421" s="1366"/>
      <c r="DR421" s="1366"/>
      <c r="DS421" s="1366"/>
      <c r="DT421" s="1366"/>
      <c r="DU421" s="1366"/>
      <c r="DV421" s="1366"/>
    </row>
    <row r="422" spans="1:126" s="1367" customFormat="1" ht="30">
      <c r="A422" s="2493" t="s">
        <v>1359</v>
      </c>
      <c r="B422" s="1653" t="s">
        <v>2480</v>
      </c>
      <c r="C422" s="1642" t="s">
        <v>47</v>
      </c>
      <c r="D422" s="1375" t="s">
        <v>2481</v>
      </c>
      <c r="E422" s="1364" t="s">
        <v>2097</v>
      </c>
      <c r="F422" s="1364" t="s">
        <v>2108</v>
      </c>
      <c r="G422" s="1185" t="s">
        <v>1796</v>
      </c>
      <c r="H422" s="1361">
        <f>((75*'Equipment Results Matrix'!$R$873)+(125000*'Equipment Results Matrix'!$R$872)+('Equipment Results Matrix'!$R$874*0.8)+'Equipment Results Matrix'!$R$875+'Equipment Results Matrix'!$R$877+'Equipment Results Matrix'!$R$881+'Equipment Results Matrix'!$T$879)*(1+'Equipment Results Matrix'!$T$881)</f>
        <v>4713.9344319384654</v>
      </c>
      <c r="I422" s="1371">
        <f>0.0655*125-0.3869</f>
        <v>7.8006000000000002</v>
      </c>
      <c r="J422" s="1372">
        <f>'Labor Results Matrix'!$G$368*(1+'Labor Results Matrix'!$K$368)</f>
        <v>74.311749587775111</v>
      </c>
      <c r="K422" s="1372">
        <f>I422*J422</f>
        <v>579.67623383439854</v>
      </c>
      <c r="L422" s="1372">
        <v>0</v>
      </c>
      <c r="M422" s="1372">
        <f>H422+K422</f>
        <v>5293.6106657728642</v>
      </c>
      <c r="N422" s="1455" t="s">
        <v>40</v>
      </c>
      <c r="O422" s="1361">
        <f>H422/125</f>
        <v>37.711475455507724</v>
      </c>
      <c r="P422" s="1371">
        <f>I422/125</f>
        <v>6.2404800000000003E-2</v>
      </c>
      <c r="Q422" s="1372">
        <f>K422/125</f>
        <v>4.6374098706751887</v>
      </c>
      <c r="R422" s="1372">
        <v>0</v>
      </c>
      <c r="S422" s="1432"/>
      <c r="T422" s="1372">
        <f>O422+Q422</f>
        <v>42.348885326182909</v>
      </c>
      <c r="U422" s="1417" t="s">
        <v>40</v>
      </c>
      <c r="V422" s="1681"/>
      <c r="W422" s="1366"/>
      <c r="X422" s="1366"/>
      <c r="Y422" s="1366"/>
      <c r="Z422" s="1366"/>
      <c r="AA422" s="1366"/>
      <c r="AB422" s="1366"/>
      <c r="AC422" s="1366"/>
      <c r="AD422" s="1366"/>
      <c r="AE422" s="1366"/>
      <c r="AF422" s="1366"/>
      <c r="AG422" s="1366"/>
      <c r="AH422" s="1366"/>
      <c r="AI422" s="1366"/>
      <c r="AJ422" s="1366"/>
      <c r="AK422" s="1366"/>
      <c r="AL422" s="1366"/>
      <c r="AM422" s="1366"/>
      <c r="AN422" s="1366"/>
      <c r="AO422" s="1366"/>
      <c r="AP422" s="1366"/>
      <c r="AQ422" s="1366"/>
      <c r="AR422" s="1366"/>
      <c r="AS422" s="1366"/>
      <c r="AT422" s="1366"/>
      <c r="AU422" s="1366"/>
      <c r="AV422" s="1366"/>
      <c r="AW422" s="1366"/>
      <c r="AX422" s="1366"/>
      <c r="AY422" s="1366"/>
      <c r="AZ422" s="1366"/>
      <c r="BA422" s="1366"/>
      <c r="BB422" s="1366"/>
      <c r="BC422" s="1366"/>
      <c r="BD422" s="1366"/>
      <c r="BE422" s="1366"/>
      <c r="BF422" s="1366"/>
      <c r="BG422" s="1366"/>
      <c r="BH422" s="1366"/>
      <c r="BI422" s="1366"/>
      <c r="BJ422" s="1366"/>
      <c r="BK422" s="1366"/>
      <c r="BL422" s="1366"/>
      <c r="BM422" s="1366"/>
      <c r="BN422" s="1366"/>
      <c r="BO422" s="1366"/>
      <c r="BP422" s="1366"/>
      <c r="BQ422" s="1366"/>
      <c r="BR422" s="1366"/>
      <c r="BS422" s="1366"/>
      <c r="BT422" s="1366"/>
      <c r="BU422" s="1366"/>
      <c r="BV422" s="1366"/>
      <c r="BW422" s="1366"/>
      <c r="BX422" s="1366"/>
      <c r="BY422" s="1366"/>
      <c r="BZ422" s="1366"/>
      <c r="CA422" s="1366"/>
      <c r="CB422" s="1366"/>
      <c r="CC422" s="1366"/>
      <c r="CD422" s="1366"/>
      <c r="CE422" s="1366"/>
      <c r="CF422" s="1366"/>
      <c r="CG422" s="1366"/>
      <c r="CH422" s="1366"/>
      <c r="CI422" s="1366"/>
      <c r="CJ422" s="1366"/>
      <c r="CK422" s="1366"/>
      <c r="CL422" s="1366"/>
      <c r="CM422" s="1366"/>
      <c r="CN422" s="1366"/>
      <c r="CO422" s="1366"/>
      <c r="CP422" s="1366"/>
      <c r="CQ422" s="1366"/>
      <c r="CR422" s="1366"/>
      <c r="CS422" s="1366"/>
      <c r="CT422" s="1366"/>
      <c r="CU422" s="1366"/>
      <c r="CV422" s="1366"/>
      <c r="CW422" s="1366"/>
      <c r="CX422" s="1366"/>
      <c r="CY422" s="1366"/>
      <c r="CZ422" s="1366"/>
      <c r="DA422" s="1366"/>
      <c r="DB422" s="1366"/>
      <c r="DC422" s="1366"/>
      <c r="DD422" s="1366"/>
      <c r="DE422" s="1366"/>
      <c r="DF422" s="1366"/>
      <c r="DG422" s="1366"/>
      <c r="DH422" s="1366"/>
      <c r="DI422" s="1366"/>
      <c r="DJ422" s="1366"/>
      <c r="DK422" s="1366"/>
      <c r="DL422" s="1366"/>
      <c r="DM422" s="1366"/>
      <c r="DN422" s="1366"/>
      <c r="DO422" s="1366"/>
      <c r="DP422" s="1366"/>
      <c r="DQ422" s="1366"/>
      <c r="DR422" s="1366"/>
      <c r="DS422" s="1366"/>
      <c r="DT422" s="1366"/>
      <c r="DU422" s="1366"/>
      <c r="DV422" s="1366"/>
    </row>
    <row r="423" spans="1:126" s="1367" customFormat="1" ht="30">
      <c r="A423" s="2494"/>
      <c r="B423" s="1653">
        <v>392</v>
      </c>
      <c r="C423" s="1642" t="s">
        <v>49</v>
      </c>
      <c r="D423" s="1375" t="s">
        <v>2482</v>
      </c>
      <c r="E423" s="1364" t="s">
        <v>2097</v>
      </c>
      <c r="F423" s="1364" t="s">
        <v>2108</v>
      </c>
      <c r="G423" s="1185" t="s">
        <v>1796</v>
      </c>
      <c r="H423" s="1361">
        <f>((75*'Equipment Results Matrix'!$R$873)+(125000*'Equipment Results Matrix'!$R$872)+('Equipment Results Matrix'!$R$874*0.83)+'Equipment Results Matrix'!$R$875+'Equipment Results Matrix'!$R$877+'Equipment Results Matrix'!$R$881+'Equipment Results Matrix'!$T$879)*(1+'Equipment Results Matrix'!$T$881)</f>
        <v>5105.9551612434616</v>
      </c>
      <c r="I423" s="1371">
        <f t="shared" ref="I423:I424" si="169">0.0655*125-0.3869</f>
        <v>7.8006000000000002</v>
      </c>
      <c r="J423" s="1372">
        <f>'Labor Results Matrix'!$G$368*(1+'Labor Results Matrix'!$K$368)</f>
        <v>74.311749587775111</v>
      </c>
      <c r="K423" s="1372">
        <f t="shared" ref="K423:K426" si="170">I423*J423</f>
        <v>579.67623383439854</v>
      </c>
      <c r="L423" s="1372">
        <v>0</v>
      </c>
      <c r="M423" s="1372">
        <f t="shared" ref="M423:M426" si="171">H423+K423</f>
        <v>5685.6313950778604</v>
      </c>
      <c r="N423" s="1458">
        <f>M423-$M$422</f>
        <v>392.02072930499617</v>
      </c>
      <c r="O423" s="1361">
        <f t="shared" ref="O423:P424" si="172">H423/125</f>
        <v>40.847641289947695</v>
      </c>
      <c r="P423" s="1371">
        <f t="shared" si="172"/>
        <v>6.2404800000000003E-2</v>
      </c>
      <c r="Q423" s="1372">
        <f t="shared" ref="Q423:Q424" si="173">K423/125</f>
        <v>4.6374098706751887</v>
      </c>
      <c r="R423" s="1372">
        <v>0</v>
      </c>
      <c r="S423" s="1432"/>
      <c r="T423" s="1372">
        <f t="shared" ref="T423:T426" si="174">O423+Q423</f>
        <v>45.485051160622888</v>
      </c>
      <c r="U423" s="1372">
        <f>T423-$T$422</f>
        <v>3.1361658344399785</v>
      </c>
      <c r="V423" s="1681"/>
      <c r="W423" s="1366"/>
      <c r="X423" s="1366"/>
      <c r="Y423" s="1366"/>
      <c r="Z423" s="1366"/>
      <c r="AA423" s="1366"/>
      <c r="AB423" s="1366"/>
      <c r="AC423" s="1366"/>
      <c r="AD423" s="1366"/>
      <c r="AE423" s="1366"/>
      <c r="AF423" s="1366"/>
      <c r="AG423" s="1366"/>
      <c r="AH423" s="1366"/>
      <c r="AI423" s="1366"/>
      <c r="AJ423" s="1366"/>
      <c r="AK423" s="1366"/>
      <c r="AL423" s="1366"/>
      <c r="AM423" s="1366"/>
      <c r="AN423" s="1366"/>
      <c r="AO423" s="1366"/>
      <c r="AP423" s="1366"/>
      <c r="AQ423" s="1366"/>
      <c r="AR423" s="1366"/>
      <c r="AS423" s="1366"/>
      <c r="AT423" s="1366"/>
      <c r="AU423" s="1366"/>
      <c r="AV423" s="1366"/>
      <c r="AW423" s="1366"/>
      <c r="AX423" s="1366"/>
      <c r="AY423" s="1366"/>
      <c r="AZ423" s="1366"/>
      <c r="BA423" s="1366"/>
      <c r="BB423" s="1366"/>
      <c r="BC423" s="1366"/>
      <c r="BD423" s="1366"/>
      <c r="BE423" s="1366"/>
      <c r="BF423" s="1366"/>
      <c r="BG423" s="1366"/>
      <c r="BH423" s="1366"/>
      <c r="BI423" s="1366"/>
      <c r="BJ423" s="1366"/>
      <c r="BK423" s="1366"/>
      <c r="BL423" s="1366"/>
      <c r="BM423" s="1366"/>
      <c r="BN423" s="1366"/>
      <c r="BO423" s="1366"/>
      <c r="BP423" s="1366"/>
      <c r="BQ423" s="1366"/>
      <c r="BR423" s="1366"/>
      <c r="BS423" s="1366"/>
      <c r="BT423" s="1366"/>
      <c r="BU423" s="1366"/>
      <c r="BV423" s="1366"/>
      <c r="BW423" s="1366"/>
      <c r="BX423" s="1366"/>
      <c r="BY423" s="1366"/>
      <c r="BZ423" s="1366"/>
      <c r="CA423" s="1366"/>
      <c r="CB423" s="1366"/>
      <c r="CC423" s="1366"/>
      <c r="CD423" s="1366"/>
      <c r="CE423" s="1366"/>
      <c r="CF423" s="1366"/>
      <c r="CG423" s="1366"/>
      <c r="CH423" s="1366"/>
      <c r="CI423" s="1366"/>
      <c r="CJ423" s="1366"/>
      <c r="CK423" s="1366"/>
      <c r="CL423" s="1366"/>
      <c r="CM423" s="1366"/>
      <c r="CN423" s="1366"/>
      <c r="CO423" s="1366"/>
      <c r="CP423" s="1366"/>
      <c r="CQ423" s="1366"/>
      <c r="CR423" s="1366"/>
      <c r="CS423" s="1366"/>
      <c r="CT423" s="1366"/>
      <c r="CU423" s="1366"/>
      <c r="CV423" s="1366"/>
      <c r="CW423" s="1366"/>
      <c r="CX423" s="1366"/>
      <c r="CY423" s="1366"/>
      <c r="CZ423" s="1366"/>
      <c r="DA423" s="1366"/>
      <c r="DB423" s="1366"/>
      <c r="DC423" s="1366"/>
      <c r="DD423" s="1366"/>
      <c r="DE423" s="1366"/>
      <c r="DF423" s="1366"/>
      <c r="DG423" s="1366"/>
      <c r="DH423" s="1366"/>
      <c r="DI423" s="1366"/>
      <c r="DJ423" s="1366"/>
      <c r="DK423" s="1366"/>
      <c r="DL423" s="1366"/>
      <c r="DM423" s="1366"/>
      <c r="DN423" s="1366"/>
      <c r="DO423" s="1366"/>
      <c r="DP423" s="1366"/>
      <c r="DQ423" s="1366"/>
      <c r="DR423" s="1366"/>
      <c r="DS423" s="1366"/>
      <c r="DT423" s="1366"/>
      <c r="DU423" s="1366"/>
      <c r="DV423" s="1366"/>
    </row>
    <row r="424" spans="1:126" s="1367" customFormat="1" ht="30">
      <c r="A424" s="2494"/>
      <c r="B424" s="1653">
        <v>393</v>
      </c>
      <c r="C424" s="1642" t="s">
        <v>49</v>
      </c>
      <c r="D424" s="1375" t="s">
        <v>2483</v>
      </c>
      <c r="E424" s="1364" t="s">
        <v>2097</v>
      </c>
      <c r="F424" s="1364" t="s">
        <v>2108</v>
      </c>
      <c r="G424" s="1185" t="s">
        <v>1796</v>
      </c>
      <c r="H424" s="1361">
        <f>((75*'Equipment Results Matrix'!$R$873)+(125000*'Equipment Results Matrix'!$R$872)+('Equipment Results Matrix'!$R$874*0.9)+'Equipment Results Matrix'!$R$875+'Equipment Results Matrix'!$R$877+'Equipment Results Matrix'!$R$881+'Equipment Results Matrix'!$T$879)*(1+'Equipment Results Matrix'!$T$881)</f>
        <v>6020.6701962884636</v>
      </c>
      <c r="I424" s="1371">
        <f t="shared" si="169"/>
        <v>7.8006000000000002</v>
      </c>
      <c r="J424" s="1372">
        <f>'Labor Results Matrix'!$G$368*(1+'Labor Results Matrix'!$K$368)</f>
        <v>74.311749587775111</v>
      </c>
      <c r="K424" s="1372">
        <f t="shared" si="170"/>
        <v>579.67623383439854</v>
      </c>
      <c r="L424" s="1372">
        <v>0</v>
      </c>
      <c r="M424" s="1372">
        <f t="shared" si="171"/>
        <v>6600.3464301228623</v>
      </c>
      <c r="N424" s="1458">
        <f>M424-$M$422</f>
        <v>1306.7357643499981</v>
      </c>
      <c r="O424" s="1361">
        <f t="shared" si="172"/>
        <v>48.165361570307709</v>
      </c>
      <c r="P424" s="1371">
        <f t="shared" si="172"/>
        <v>6.2404800000000003E-2</v>
      </c>
      <c r="Q424" s="1372">
        <f t="shared" si="173"/>
        <v>4.6374098706751887</v>
      </c>
      <c r="R424" s="1372">
        <v>0</v>
      </c>
      <c r="S424" s="1432"/>
      <c r="T424" s="1372">
        <f t="shared" si="174"/>
        <v>52.802771440982895</v>
      </c>
      <c r="U424" s="1372">
        <f>T424-$T$422</f>
        <v>10.453886114799985</v>
      </c>
      <c r="V424" s="1681"/>
      <c r="W424" s="1366"/>
      <c r="X424" s="1366"/>
      <c r="Y424" s="1366"/>
      <c r="Z424" s="1366"/>
      <c r="AA424" s="1366"/>
      <c r="AB424" s="1366"/>
      <c r="AC424" s="1366"/>
      <c r="AD424" s="1366"/>
      <c r="AE424" s="1366"/>
      <c r="AF424" s="1366"/>
      <c r="AG424" s="1366"/>
      <c r="AH424" s="1366"/>
      <c r="AI424" s="1366"/>
      <c r="AJ424" s="1366"/>
      <c r="AK424" s="1366"/>
      <c r="AL424" s="1366"/>
      <c r="AM424" s="1366"/>
      <c r="AN424" s="1366"/>
      <c r="AO424" s="1366"/>
      <c r="AP424" s="1366"/>
      <c r="AQ424" s="1366"/>
      <c r="AR424" s="1366"/>
      <c r="AS424" s="1366"/>
      <c r="AT424" s="1366"/>
      <c r="AU424" s="1366"/>
      <c r="AV424" s="1366"/>
      <c r="AW424" s="1366"/>
      <c r="AX424" s="1366"/>
      <c r="AY424" s="1366"/>
      <c r="AZ424" s="1366"/>
      <c r="BA424" s="1366"/>
      <c r="BB424" s="1366"/>
      <c r="BC424" s="1366"/>
      <c r="BD424" s="1366"/>
      <c r="BE424" s="1366"/>
      <c r="BF424" s="1366"/>
      <c r="BG424" s="1366"/>
      <c r="BH424" s="1366"/>
      <c r="BI424" s="1366"/>
      <c r="BJ424" s="1366"/>
      <c r="BK424" s="1366"/>
      <c r="BL424" s="1366"/>
      <c r="BM424" s="1366"/>
      <c r="BN424" s="1366"/>
      <c r="BO424" s="1366"/>
      <c r="BP424" s="1366"/>
      <c r="BQ424" s="1366"/>
      <c r="BR424" s="1366"/>
      <c r="BS424" s="1366"/>
      <c r="BT424" s="1366"/>
      <c r="BU424" s="1366"/>
      <c r="BV424" s="1366"/>
      <c r="BW424" s="1366"/>
      <c r="BX424" s="1366"/>
      <c r="BY424" s="1366"/>
      <c r="BZ424" s="1366"/>
      <c r="CA424" s="1366"/>
      <c r="CB424" s="1366"/>
      <c r="CC424" s="1366"/>
      <c r="CD424" s="1366"/>
      <c r="CE424" s="1366"/>
      <c r="CF424" s="1366"/>
      <c r="CG424" s="1366"/>
      <c r="CH424" s="1366"/>
      <c r="CI424" s="1366"/>
      <c r="CJ424" s="1366"/>
      <c r="CK424" s="1366"/>
      <c r="CL424" s="1366"/>
      <c r="CM424" s="1366"/>
      <c r="CN424" s="1366"/>
      <c r="CO424" s="1366"/>
      <c r="CP424" s="1366"/>
      <c r="CQ424" s="1366"/>
      <c r="CR424" s="1366"/>
      <c r="CS424" s="1366"/>
      <c r="CT424" s="1366"/>
      <c r="CU424" s="1366"/>
      <c r="CV424" s="1366"/>
      <c r="CW424" s="1366"/>
      <c r="CX424" s="1366"/>
      <c r="CY424" s="1366"/>
      <c r="CZ424" s="1366"/>
      <c r="DA424" s="1366"/>
      <c r="DB424" s="1366"/>
      <c r="DC424" s="1366"/>
      <c r="DD424" s="1366"/>
      <c r="DE424" s="1366"/>
      <c r="DF424" s="1366"/>
      <c r="DG424" s="1366"/>
      <c r="DH424" s="1366"/>
      <c r="DI424" s="1366"/>
      <c r="DJ424" s="1366"/>
      <c r="DK424" s="1366"/>
      <c r="DL424" s="1366"/>
      <c r="DM424" s="1366"/>
      <c r="DN424" s="1366"/>
      <c r="DO424" s="1366"/>
      <c r="DP424" s="1366"/>
      <c r="DQ424" s="1366"/>
      <c r="DR424" s="1366"/>
      <c r="DS424" s="1366"/>
      <c r="DT424" s="1366"/>
      <c r="DU424" s="1366"/>
      <c r="DV424" s="1366"/>
    </row>
    <row r="425" spans="1:126" s="1367" customFormat="1" ht="30">
      <c r="A425" s="2494"/>
      <c r="B425" s="1653">
        <v>100110</v>
      </c>
      <c r="C425" s="1642" t="s">
        <v>47</v>
      </c>
      <c r="D425" s="1375" t="s">
        <v>2484</v>
      </c>
      <c r="E425" s="1364" t="s">
        <v>2102</v>
      </c>
      <c r="F425" s="1364" t="s">
        <v>2107</v>
      </c>
      <c r="G425" s="1185" t="s">
        <v>1796</v>
      </c>
      <c r="H425" s="1361">
        <f>((80*'Equipment Results Matrix'!$R$873)+(175000*'Equipment Results Matrix'!$R$872)+('Equipment Results Matrix'!$R$874*0.8)+'Equipment Results Matrix'!$R$875+'Equipment Results Matrix'!$R$877+'Equipment Results Matrix'!$R$881+'Equipment Results Matrix'!$T$879)*(1+'Equipment Results Matrix'!$T$881)</f>
        <v>5535.166911938466</v>
      </c>
      <c r="I425" s="1371">
        <f>0.0655*175-0.3869</f>
        <v>11.0756</v>
      </c>
      <c r="J425" s="1372">
        <f>'Labor Results Matrix'!$G$368*(1+'Labor Results Matrix'!$K$368)</f>
        <v>74.311749587775111</v>
      </c>
      <c r="K425" s="1372">
        <f t="shared" si="170"/>
        <v>823.047213734362</v>
      </c>
      <c r="L425" s="1372">
        <v>0</v>
      </c>
      <c r="M425" s="1372">
        <f t="shared" si="171"/>
        <v>6358.2141256728282</v>
      </c>
      <c r="N425" s="1455" t="s">
        <v>40</v>
      </c>
      <c r="O425" s="1361">
        <f>H425/175</f>
        <v>31.629525211076949</v>
      </c>
      <c r="P425" s="1371">
        <f>I425/175</f>
        <v>6.3289142857142849E-2</v>
      </c>
      <c r="Q425" s="1372">
        <f>K425/175</f>
        <v>4.7031269356249261</v>
      </c>
      <c r="R425" s="1372">
        <v>0</v>
      </c>
      <c r="S425" s="1432"/>
      <c r="T425" s="1372">
        <f t="shared" si="174"/>
        <v>36.332652146701875</v>
      </c>
      <c r="U425" s="1417" t="s">
        <v>40</v>
      </c>
      <c r="V425" s="1681"/>
      <c r="W425" s="1366"/>
      <c r="X425" s="1366"/>
      <c r="Y425" s="1366"/>
      <c r="Z425" s="1366"/>
      <c r="AA425" s="1366"/>
      <c r="AB425" s="1366"/>
      <c r="AC425" s="1366"/>
      <c r="AD425" s="1366"/>
      <c r="AE425" s="1366"/>
      <c r="AF425" s="1366"/>
      <c r="AG425" s="1366"/>
      <c r="AH425" s="1366"/>
      <c r="AI425" s="1366"/>
      <c r="AJ425" s="1366"/>
      <c r="AK425" s="1366"/>
      <c r="AL425" s="1366"/>
      <c r="AM425" s="1366"/>
      <c r="AN425" s="1366"/>
      <c r="AO425" s="1366"/>
      <c r="AP425" s="1366"/>
      <c r="AQ425" s="1366"/>
      <c r="AR425" s="1366"/>
      <c r="AS425" s="1366"/>
      <c r="AT425" s="1366"/>
      <c r="AU425" s="1366"/>
      <c r="AV425" s="1366"/>
      <c r="AW425" s="1366"/>
      <c r="AX425" s="1366"/>
      <c r="AY425" s="1366"/>
      <c r="AZ425" s="1366"/>
      <c r="BA425" s="1366"/>
      <c r="BB425" s="1366"/>
      <c r="BC425" s="1366"/>
      <c r="BD425" s="1366"/>
      <c r="BE425" s="1366"/>
      <c r="BF425" s="1366"/>
      <c r="BG425" s="1366"/>
      <c r="BH425" s="1366"/>
      <c r="BI425" s="1366"/>
      <c r="BJ425" s="1366"/>
      <c r="BK425" s="1366"/>
      <c r="BL425" s="1366"/>
      <c r="BM425" s="1366"/>
      <c r="BN425" s="1366"/>
      <c r="BO425" s="1366"/>
      <c r="BP425" s="1366"/>
      <c r="BQ425" s="1366"/>
      <c r="BR425" s="1366"/>
      <c r="BS425" s="1366"/>
      <c r="BT425" s="1366"/>
      <c r="BU425" s="1366"/>
      <c r="BV425" s="1366"/>
      <c r="BW425" s="1366"/>
      <c r="BX425" s="1366"/>
      <c r="BY425" s="1366"/>
      <c r="BZ425" s="1366"/>
      <c r="CA425" s="1366"/>
      <c r="CB425" s="1366"/>
      <c r="CC425" s="1366"/>
      <c r="CD425" s="1366"/>
      <c r="CE425" s="1366"/>
      <c r="CF425" s="1366"/>
      <c r="CG425" s="1366"/>
      <c r="CH425" s="1366"/>
      <c r="CI425" s="1366"/>
      <c r="CJ425" s="1366"/>
      <c r="CK425" s="1366"/>
      <c r="CL425" s="1366"/>
      <c r="CM425" s="1366"/>
      <c r="CN425" s="1366"/>
      <c r="CO425" s="1366"/>
      <c r="CP425" s="1366"/>
      <c r="CQ425" s="1366"/>
      <c r="CR425" s="1366"/>
      <c r="CS425" s="1366"/>
      <c r="CT425" s="1366"/>
      <c r="CU425" s="1366"/>
      <c r="CV425" s="1366"/>
      <c r="CW425" s="1366"/>
      <c r="CX425" s="1366"/>
      <c r="CY425" s="1366"/>
      <c r="CZ425" s="1366"/>
      <c r="DA425" s="1366"/>
      <c r="DB425" s="1366"/>
      <c r="DC425" s="1366"/>
      <c r="DD425" s="1366"/>
      <c r="DE425" s="1366"/>
      <c r="DF425" s="1366"/>
      <c r="DG425" s="1366"/>
      <c r="DH425" s="1366"/>
      <c r="DI425" s="1366"/>
      <c r="DJ425" s="1366"/>
      <c r="DK425" s="1366"/>
      <c r="DL425" s="1366"/>
      <c r="DM425" s="1366"/>
      <c r="DN425" s="1366"/>
      <c r="DO425" s="1366"/>
      <c r="DP425" s="1366"/>
      <c r="DQ425" s="1366"/>
      <c r="DR425" s="1366"/>
      <c r="DS425" s="1366"/>
      <c r="DT425" s="1366"/>
      <c r="DU425" s="1366"/>
      <c r="DV425" s="1366"/>
    </row>
    <row r="426" spans="1:126" s="1367" customFormat="1" ht="30.75" thickBot="1">
      <c r="A426" s="2495"/>
      <c r="B426" s="1653">
        <v>100110</v>
      </c>
      <c r="C426" s="1642" t="s">
        <v>49</v>
      </c>
      <c r="D426" s="1375" t="s">
        <v>2672</v>
      </c>
      <c r="E426" s="1364" t="s">
        <v>2102</v>
      </c>
      <c r="F426" s="1364" t="s">
        <v>2107</v>
      </c>
      <c r="G426" s="1185" t="s">
        <v>1796</v>
      </c>
      <c r="H426" s="1361">
        <f>((80*'Equipment Results Matrix'!$R$873)+(175000*'Equipment Results Matrix'!$R$872)+('Equipment Results Matrix'!$R$874*0.83)+'Equipment Results Matrix'!$R$875+'Equipment Results Matrix'!$R$877+'Equipment Results Matrix'!$R$881+'Equipment Results Matrix'!$T$879)*(1+'Equipment Results Matrix'!$T$881)</f>
        <v>5927.1876412434622</v>
      </c>
      <c r="I426" s="1371">
        <f>0.0655*175-0.3869</f>
        <v>11.0756</v>
      </c>
      <c r="J426" s="1372">
        <f>'Labor Results Matrix'!$G$368*(1+'Labor Results Matrix'!$K$368)</f>
        <v>74.311749587775111</v>
      </c>
      <c r="K426" s="1372">
        <f t="shared" si="170"/>
        <v>823.047213734362</v>
      </c>
      <c r="L426" s="1372">
        <v>0</v>
      </c>
      <c r="M426" s="1372">
        <f t="shared" si="171"/>
        <v>6750.2348549778244</v>
      </c>
      <c r="N426" s="1458">
        <f>M426-M425</f>
        <v>392.02072930499617</v>
      </c>
      <c r="O426" s="1361">
        <f>H426/175</f>
        <v>33.869643664248358</v>
      </c>
      <c r="P426" s="1371">
        <f>I426/175</f>
        <v>6.3289142857142849E-2</v>
      </c>
      <c r="Q426" s="1372">
        <f>K426/175</f>
        <v>4.7031269356249261</v>
      </c>
      <c r="R426" s="1372">
        <v>0</v>
      </c>
      <c r="S426" s="1432"/>
      <c r="T426" s="1372">
        <f t="shared" si="174"/>
        <v>38.57277059987328</v>
      </c>
      <c r="U426" s="1372">
        <f>T426-T425</f>
        <v>2.2401184531714051</v>
      </c>
      <c r="V426" s="1681"/>
      <c r="W426" s="1366"/>
      <c r="X426" s="1366"/>
      <c r="Y426" s="1366"/>
      <c r="Z426" s="1366"/>
      <c r="AA426" s="1366"/>
      <c r="AB426" s="1366"/>
      <c r="AC426" s="1366"/>
      <c r="AD426" s="1366"/>
      <c r="AE426" s="1366"/>
      <c r="AF426" s="1366"/>
      <c r="AG426" s="1366"/>
      <c r="AH426" s="1366"/>
      <c r="AI426" s="1366"/>
      <c r="AJ426" s="1366"/>
      <c r="AK426" s="1366"/>
      <c r="AL426" s="1366"/>
      <c r="AM426" s="1366"/>
      <c r="AN426" s="1366"/>
      <c r="AO426" s="1366"/>
      <c r="AP426" s="1366"/>
      <c r="AQ426" s="1366"/>
      <c r="AR426" s="1366"/>
      <c r="AS426" s="1366"/>
      <c r="AT426" s="1366"/>
      <c r="AU426" s="1366"/>
      <c r="AV426" s="1366"/>
      <c r="AW426" s="1366"/>
      <c r="AX426" s="1366"/>
      <c r="AY426" s="1366"/>
      <c r="AZ426" s="1366"/>
      <c r="BA426" s="1366"/>
      <c r="BB426" s="1366"/>
      <c r="BC426" s="1366"/>
      <c r="BD426" s="1366"/>
      <c r="BE426" s="1366"/>
      <c r="BF426" s="1366"/>
      <c r="BG426" s="1366"/>
      <c r="BH426" s="1366"/>
      <c r="BI426" s="1366"/>
      <c r="BJ426" s="1366"/>
      <c r="BK426" s="1366"/>
      <c r="BL426" s="1366"/>
      <c r="BM426" s="1366"/>
      <c r="BN426" s="1366"/>
      <c r="BO426" s="1366"/>
      <c r="BP426" s="1366"/>
      <c r="BQ426" s="1366"/>
      <c r="BR426" s="1366"/>
      <c r="BS426" s="1366"/>
      <c r="BT426" s="1366"/>
      <c r="BU426" s="1366"/>
      <c r="BV426" s="1366"/>
      <c r="BW426" s="1366"/>
      <c r="BX426" s="1366"/>
      <c r="BY426" s="1366"/>
      <c r="BZ426" s="1366"/>
      <c r="CA426" s="1366"/>
      <c r="CB426" s="1366"/>
      <c r="CC426" s="1366"/>
      <c r="CD426" s="1366"/>
      <c r="CE426" s="1366"/>
      <c r="CF426" s="1366"/>
      <c r="CG426" s="1366"/>
      <c r="CH426" s="1366"/>
      <c r="CI426" s="1366"/>
      <c r="CJ426" s="1366"/>
      <c r="CK426" s="1366"/>
      <c r="CL426" s="1366"/>
      <c r="CM426" s="1366"/>
      <c r="CN426" s="1366"/>
      <c r="CO426" s="1366"/>
      <c r="CP426" s="1366"/>
      <c r="CQ426" s="1366"/>
      <c r="CR426" s="1366"/>
      <c r="CS426" s="1366"/>
      <c r="CT426" s="1366"/>
      <c r="CU426" s="1366"/>
      <c r="CV426" s="1366"/>
      <c r="CW426" s="1366"/>
      <c r="CX426" s="1366"/>
      <c r="CY426" s="1366"/>
      <c r="CZ426" s="1366"/>
      <c r="DA426" s="1366"/>
      <c r="DB426" s="1366"/>
      <c r="DC426" s="1366"/>
      <c r="DD426" s="1366"/>
      <c r="DE426" s="1366"/>
      <c r="DF426" s="1366"/>
      <c r="DG426" s="1366"/>
      <c r="DH426" s="1366"/>
      <c r="DI426" s="1366"/>
      <c r="DJ426" s="1366"/>
      <c r="DK426" s="1366"/>
      <c r="DL426" s="1366"/>
      <c r="DM426" s="1366"/>
      <c r="DN426" s="1366"/>
      <c r="DO426" s="1366"/>
      <c r="DP426" s="1366"/>
      <c r="DQ426" s="1366"/>
      <c r="DR426" s="1366"/>
      <c r="DS426" s="1366"/>
      <c r="DT426" s="1366"/>
      <c r="DU426" s="1366"/>
      <c r="DV426" s="1366"/>
    </row>
    <row r="427" spans="1:126" s="1479" customFormat="1" ht="19.5" thickBot="1">
      <c r="A427" s="695"/>
      <c r="B427" s="1660"/>
      <c r="C427" s="1660"/>
      <c r="D427" s="699"/>
      <c r="E427" s="699"/>
      <c r="F427" s="699"/>
      <c r="G427" s="699"/>
      <c r="H427" s="1386"/>
      <c r="I427" s="1445"/>
      <c r="J427" s="1387"/>
      <c r="K427" s="1386"/>
      <c r="L427" s="1531"/>
      <c r="M427" s="1386"/>
      <c r="N427" s="1491"/>
      <c r="O427" s="1386"/>
      <c r="P427" s="1387"/>
      <c r="Q427" s="1387"/>
      <c r="R427" s="1445"/>
      <c r="S427" s="1445"/>
      <c r="T427" s="1492"/>
      <c r="U427" s="1492"/>
      <c r="V427" s="1491"/>
      <c r="W427" s="1490"/>
      <c r="X427" s="1490"/>
      <c r="Y427" s="327"/>
      <c r="Z427" s="327"/>
      <c r="AA427" s="327"/>
      <c r="AB427" s="1490"/>
      <c r="AC427" s="1490"/>
      <c r="AD427" s="1490"/>
      <c r="AE427" s="1490"/>
      <c r="AF427" s="327"/>
      <c r="AG427" s="327"/>
      <c r="AH427" s="327"/>
      <c r="AI427" s="327"/>
      <c r="AJ427" s="327"/>
      <c r="AK427" s="1478"/>
      <c r="AL427" s="1478"/>
      <c r="AM427" s="1478"/>
      <c r="AN427" s="1478"/>
      <c r="AO427" s="1478"/>
      <c r="AP427" s="1478"/>
      <c r="AQ427" s="1478"/>
      <c r="AR427" s="1478"/>
      <c r="AS427" s="1478"/>
      <c r="AT427" s="1478"/>
      <c r="AU427" s="1478"/>
      <c r="AV427" s="1478"/>
      <c r="AW427" s="1478"/>
      <c r="AX427" s="1478"/>
      <c r="AY427" s="1478"/>
      <c r="AZ427" s="1478"/>
      <c r="BA427" s="1478"/>
      <c r="BB427" s="1478"/>
      <c r="BC427" s="1478"/>
      <c r="BD427" s="1478"/>
      <c r="BE427" s="1478"/>
      <c r="BF427" s="1478"/>
      <c r="BG427" s="1478"/>
      <c r="BH427" s="1478"/>
      <c r="BI427" s="1478"/>
      <c r="BJ427" s="1478"/>
      <c r="BK427" s="327"/>
      <c r="BL427" s="327"/>
      <c r="BM427" s="327"/>
      <c r="BN427" s="327"/>
      <c r="BO427" s="327"/>
      <c r="BP427" s="327"/>
      <c r="BQ427" s="327"/>
      <c r="BR427" s="327"/>
      <c r="BS427" s="327"/>
      <c r="BT427" s="327"/>
      <c r="BU427" s="327"/>
      <c r="BV427" s="327"/>
      <c r="BW427" s="327"/>
      <c r="BX427" s="327"/>
      <c r="BY427" s="327"/>
      <c r="BZ427" s="327"/>
      <c r="CA427" s="327"/>
      <c r="CB427" s="327"/>
      <c r="CC427" s="327"/>
      <c r="CD427" s="327"/>
      <c r="CE427" s="327"/>
      <c r="CF427" s="327"/>
      <c r="CG427" s="327"/>
      <c r="CH427" s="327"/>
      <c r="CI427" s="327"/>
      <c r="CJ427" s="327"/>
      <c r="CK427" s="327"/>
      <c r="CL427" s="327"/>
      <c r="CM427" s="327"/>
      <c r="CN427" s="327"/>
      <c r="CO427" s="327"/>
      <c r="CP427" s="327"/>
      <c r="CQ427" s="327"/>
      <c r="CR427" s="327"/>
      <c r="CS427" s="327"/>
      <c r="CT427" s="327"/>
      <c r="CU427" s="327"/>
      <c r="CV427" s="327"/>
      <c r="CW427" s="327"/>
      <c r="CX427" s="327"/>
      <c r="CY427" s="327"/>
      <c r="CZ427" s="327"/>
      <c r="DA427" s="327"/>
      <c r="DB427" s="327"/>
      <c r="DC427" s="327"/>
      <c r="DD427" s="327"/>
      <c r="DE427" s="327"/>
      <c r="DF427" s="327"/>
      <c r="DG427" s="327"/>
      <c r="DH427" s="327"/>
      <c r="DI427" s="327"/>
      <c r="DJ427" s="327"/>
      <c r="DK427" s="327"/>
      <c r="DL427" s="327"/>
      <c r="DM427" s="327"/>
      <c r="DN427" s="327"/>
      <c r="DO427" s="327"/>
      <c r="DP427" s="327"/>
      <c r="DQ427" s="327"/>
      <c r="DR427" s="327"/>
      <c r="DS427" s="327"/>
      <c r="DT427" s="327"/>
      <c r="DU427" s="327"/>
      <c r="DV427" s="327"/>
    </row>
    <row r="428" spans="1:126" s="1367" customFormat="1" ht="30">
      <c r="A428" s="2493" t="s">
        <v>1360</v>
      </c>
      <c r="B428" s="1656" t="s">
        <v>2573</v>
      </c>
      <c r="C428" s="1642" t="s">
        <v>47</v>
      </c>
      <c r="D428" s="1375" t="s">
        <v>2322</v>
      </c>
      <c r="E428" s="1364" t="s">
        <v>2102</v>
      </c>
      <c r="F428" s="1364" t="s">
        <v>2108</v>
      </c>
      <c r="G428" s="1185" t="s">
        <v>1796</v>
      </c>
      <c r="H428" s="1361">
        <f>((250*'Equipment Results Matrix'!$R$888)+(0.82*'Equipment Results Matrix'!$R$889)+'Equipment Results Matrix'!$T$895)*(1+'Equipment Results Matrix'!$T$897)</f>
        <v>2574.3950466000097</v>
      </c>
      <c r="I428" s="1371">
        <f>0.0638*250+18.887</f>
        <v>34.837000000000003</v>
      </c>
      <c r="J428" s="1372">
        <f>'Labor Results Matrix'!$G$384*(1+'Labor Results Matrix'!$K$384)</f>
        <v>79.642809884289406</v>
      </c>
      <c r="K428" s="1372">
        <f>I428*J428</f>
        <v>2774.5165679389902</v>
      </c>
      <c r="L428" s="1372">
        <f>(('Labor Results Matrix'!$I$385*250)+'Labor Results Matrix'!$J$385)*(1+'Labor Results Matrix'!$K$384)</f>
        <v>10842.28125</v>
      </c>
      <c r="M428" s="1372">
        <f>H428+K428+L428</f>
        <v>16191.192864539</v>
      </c>
      <c r="N428" s="1455" t="s">
        <v>40</v>
      </c>
      <c r="O428" s="1361">
        <f>H428/250</f>
        <v>10.297580186400038</v>
      </c>
      <c r="P428" s="1371">
        <f>I428/250</f>
        <v>0.139348</v>
      </c>
      <c r="Q428" s="1372">
        <f>K428/250</f>
        <v>11.098066271755961</v>
      </c>
      <c r="R428" s="1372">
        <f>'Labor Results Matrix'!$I$385*(1+'Labor Results Matrix'!$K$384)</f>
        <v>36.611624999999997</v>
      </c>
      <c r="S428" s="1372">
        <f>'Labor Results Matrix'!$J$385*(1+'Labor Results Matrix'!$K$384)</f>
        <v>1689.3749999999998</v>
      </c>
      <c r="T428" s="1372">
        <f>O428+Q428+R428</f>
        <v>58.007271458155998</v>
      </c>
      <c r="U428" s="1417" t="s">
        <v>40</v>
      </c>
      <c r="V428" s="1455" t="s">
        <v>40</v>
      </c>
      <c r="W428" s="1366"/>
      <c r="X428" s="1366"/>
      <c r="Y428" s="1366"/>
      <c r="Z428" s="1366"/>
      <c r="AA428" s="1366"/>
      <c r="AB428" s="1366"/>
      <c r="AC428" s="1366"/>
      <c r="AD428" s="1366"/>
      <c r="AE428" s="1366"/>
      <c r="AF428" s="1366"/>
      <c r="AG428" s="1366"/>
      <c r="AH428" s="1366"/>
      <c r="AI428" s="1366"/>
      <c r="AJ428" s="1366"/>
      <c r="AK428" s="1366"/>
      <c r="AL428" s="1366"/>
      <c r="AM428" s="1366"/>
      <c r="AN428" s="1366"/>
      <c r="AO428" s="1366"/>
      <c r="AP428" s="1366"/>
      <c r="AQ428" s="1366"/>
      <c r="AR428" s="1366"/>
      <c r="AS428" s="1366"/>
      <c r="AT428" s="1366"/>
      <c r="AU428" s="1366"/>
      <c r="AV428" s="1366"/>
      <c r="AW428" s="1366"/>
      <c r="AX428" s="1366"/>
      <c r="AY428" s="1366"/>
      <c r="AZ428" s="1366"/>
      <c r="BA428" s="1366"/>
      <c r="BB428" s="1366"/>
      <c r="BC428" s="1366"/>
      <c r="BD428" s="1366"/>
      <c r="BE428" s="1366"/>
      <c r="BF428" s="1366"/>
      <c r="BG428" s="1366"/>
      <c r="BH428" s="1366"/>
      <c r="BI428" s="1366"/>
      <c r="BJ428" s="1366"/>
      <c r="BK428" s="1366"/>
      <c r="BL428" s="1366"/>
      <c r="BM428" s="1366"/>
      <c r="BN428" s="1366"/>
      <c r="BO428" s="1366"/>
      <c r="BP428" s="1366"/>
      <c r="BQ428" s="1366"/>
      <c r="BR428" s="1366"/>
      <c r="BS428" s="1366"/>
      <c r="BT428" s="1366"/>
      <c r="BU428" s="1366"/>
      <c r="BV428" s="1366"/>
      <c r="BW428" s="1366"/>
      <c r="BX428" s="1366"/>
      <c r="BY428" s="1366"/>
      <c r="BZ428" s="1366"/>
      <c r="CA428" s="1366"/>
      <c r="CB428" s="1366"/>
      <c r="CC428" s="1366"/>
      <c r="CD428" s="1366"/>
      <c r="CE428" s="1366"/>
      <c r="CF428" s="1366"/>
      <c r="CG428" s="1366"/>
      <c r="CH428" s="1366"/>
      <c r="CI428" s="1366"/>
      <c r="CJ428" s="1366"/>
      <c r="CK428" s="1366"/>
      <c r="CL428" s="1366"/>
      <c r="CM428" s="1366"/>
      <c r="CN428" s="1366"/>
      <c r="CO428" s="1366"/>
      <c r="CP428" s="1366"/>
      <c r="CQ428" s="1366"/>
      <c r="CR428" s="1366"/>
      <c r="CS428" s="1366"/>
      <c r="CT428" s="1366"/>
      <c r="CU428" s="1366"/>
      <c r="CV428" s="1366"/>
      <c r="CW428" s="1366"/>
      <c r="CX428" s="1366"/>
      <c r="CY428" s="1366"/>
      <c r="CZ428" s="1366"/>
      <c r="DA428" s="1366"/>
      <c r="DB428" s="1366"/>
      <c r="DC428" s="1366"/>
      <c r="DD428" s="1366"/>
      <c r="DE428" s="1366"/>
      <c r="DF428" s="1366"/>
      <c r="DG428" s="1366"/>
      <c r="DH428" s="1366"/>
      <c r="DI428" s="1366"/>
      <c r="DJ428" s="1366"/>
      <c r="DK428" s="1366"/>
      <c r="DL428" s="1366"/>
      <c r="DM428" s="1366"/>
      <c r="DN428" s="1366"/>
      <c r="DO428" s="1366"/>
      <c r="DP428" s="1366"/>
      <c r="DQ428" s="1366"/>
      <c r="DR428" s="1366"/>
      <c r="DS428" s="1366"/>
      <c r="DT428" s="1366"/>
      <c r="DU428" s="1366"/>
      <c r="DV428" s="1366"/>
    </row>
    <row r="429" spans="1:126" s="1367" customFormat="1" ht="30">
      <c r="A429" s="2494"/>
      <c r="B429" s="1656" t="s">
        <v>2574</v>
      </c>
      <c r="C429" s="1642" t="s">
        <v>49</v>
      </c>
      <c r="D429" s="1375" t="s">
        <v>2323</v>
      </c>
      <c r="E429" s="1364" t="s">
        <v>2102</v>
      </c>
      <c r="F429" s="1364" t="s">
        <v>2108</v>
      </c>
      <c r="G429" s="1185" t="s">
        <v>1796</v>
      </c>
      <c r="H429" s="1361">
        <f>((250*'Equipment Results Matrix'!$R$888)+(0.845*'Equipment Results Matrix'!$R$889)+'Equipment Results Matrix'!$T$895)*(1+'Equipment Results Matrix'!$T$897)</f>
        <v>6187.5485873500102</v>
      </c>
      <c r="I429" s="1371">
        <f>0.0638*250+18.887</f>
        <v>34.837000000000003</v>
      </c>
      <c r="J429" s="1372">
        <f>'Labor Results Matrix'!$G$384*(1+'Labor Results Matrix'!$K$384)</f>
        <v>79.642809884289406</v>
      </c>
      <c r="K429" s="1372">
        <f t="shared" ref="K429:K430" si="175">I429*J429</f>
        <v>2774.5165679389902</v>
      </c>
      <c r="L429" s="1372">
        <f>(('Labor Results Matrix'!$I$385*250)+'Labor Results Matrix'!$J$385)*(1+'Labor Results Matrix'!$K$384)</f>
        <v>10842.28125</v>
      </c>
      <c r="M429" s="1372">
        <f t="shared" ref="M429:M430" si="176">H429+K429+L429</f>
        <v>19804.346405289001</v>
      </c>
      <c r="N429" s="1458">
        <f>M429-$M$428</f>
        <v>3613.1535407500014</v>
      </c>
      <c r="O429" s="1361">
        <f t="shared" ref="O429:O430" si="177">H429/250</f>
        <v>24.75019434940004</v>
      </c>
      <c r="P429" s="1371">
        <f t="shared" ref="P429:P430" si="178">I429/250</f>
        <v>0.139348</v>
      </c>
      <c r="Q429" s="1372">
        <f t="shared" ref="Q429:Q430" si="179">K429/250</f>
        <v>11.098066271755961</v>
      </c>
      <c r="R429" s="1372">
        <f>'Labor Results Matrix'!$I$385*(1+'Labor Results Matrix'!$K$384)</f>
        <v>36.611624999999997</v>
      </c>
      <c r="S429" s="1372">
        <f>'Labor Results Matrix'!$J$385*(1+'Labor Results Matrix'!$K$384)</f>
        <v>1689.3749999999998</v>
      </c>
      <c r="T429" s="1372">
        <f t="shared" ref="T429:T430" si="180">O429+Q429+R429</f>
        <v>72.459885621155991</v>
      </c>
      <c r="U429" s="1372">
        <f>T429-$T$428</f>
        <v>14.452614162999993</v>
      </c>
      <c r="V429" s="1458">
        <f>S429-$S$428</f>
        <v>0</v>
      </c>
      <c r="W429" s="1366"/>
      <c r="X429" s="1366"/>
      <c r="Y429" s="1366"/>
      <c r="Z429" s="1366"/>
      <c r="AA429" s="1366"/>
      <c r="AB429" s="1366"/>
      <c r="AC429" s="1366"/>
      <c r="AD429" s="1366"/>
      <c r="AE429" s="1366"/>
      <c r="AF429" s="1366"/>
      <c r="AG429" s="1366"/>
      <c r="AH429" s="1366"/>
      <c r="AI429" s="1366"/>
      <c r="AJ429" s="1366"/>
      <c r="AK429" s="1366"/>
      <c r="AL429" s="1366"/>
      <c r="AM429" s="1366"/>
      <c r="AN429" s="1366"/>
      <c r="AO429" s="1366"/>
      <c r="AP429" s="1366"/>
      <c r="AQ429" s="1366"/>
      <c r="AR429" s="1366"/>
      <c r="AS429" s="1366"/>
      <c r="AT429" s="1366"/>
      <c r="AU429" s="1366"/>
      <c r="AV429" s="1366"/>
      <c r="AW429" s="1366"/>
      <c r="AX429" s="1366"/>
      <c r="AY429" s="1366"/>
      <c r="AZ429" s="1366"/>
      <c r="BA429" s="1366"/>
      <c r="BB429" s="1366"/>
      <c r="BC429" s="1366"/>
      <c r="BD429" s="1366"/>
      <c r="BE429" s="1366"/>
      <c r="BF429" s="1366"/>
      <c r="BG429" s="1366"/>
      <c r="BH429" s="1366"/>
      <c r="BI429" s="1366"/>
      <c r="BJ429" s="1366"/>
      <c r="BK429" s="1366"/>
      <c r="BL429" s="1366"/>
      <c r="BM429" s="1366"/>
      <c r="BN429" s="1366"/>
      <c r="BO429" s="1366"/>
      <c r="BP429" s="1366"/>
      <c r="BQ429" s="1366"/>
      <c r="BR429" s="1366"/>
      <c r="BS429" s="1366"/>
      <c r="BT429" s="1366"/>
      <c r="BU429" s="1366"/>
      <c r="BV429" s="1366"/>
      <c r="BW429" s="1366"/>
      <c r="BX429" s="1366"/>
      <c r="BY429" s="1366"/>
      <c r="BZ429" s="1366"/>
      <c r="CA429" s="1366"/>
      <c r="CB429" s="1366"/>
      <c r="CC429" s="1366"/>
      <c r="CD429" s="1366"/>
      <c r="CE429" s="1366"/>
      <c r="CF429" s="1366"/>
      <c r="CG429" s="1366"/>
      <c r="CH429" s="1366"/>
      <c r="CI429" s="1366"/>
      <c r="CJ429" s="1366"/>
      <c r="CK429" s="1366"/>
      <c r="CL429" s="1366"/>
      <c r="CM429" s="1366"/>
      <c r="CN429" s="1366"/>
      <c r="CO429" s="1366"/>
      <c r="CP429" s="1366"/>
      <c r="CQ429" s="1366"/>
      <c r="CR429" s="1366"/>
      <c r="CS429" s="1366"/>
      <c r="CT429" s="1366"/>
      <c r="CU429" s="1366"/>
      <c r="CV429" s="1366"/>
      <c r="CW429" s="1366"/>
      <c r="CX429" s="1366"/>
      <c r="CY429" s="1366"/>
      <c r="CZ429" s="1366"/>
      <c r="DA429" s="1366"/>
      <c r="DB429" s="1366"/>
      <c r="DC429" s="1366"/>
      <c r="DD429" s="1366"/>
      <c r="DE429" s="1366"/>
      <c r="DF429" s="1366"/>
      <c r="DG429" s="1366"/>
      <c r="DH429" s="1366"/>
      <c r="DI429" s="1366"/>
      <c r="DJ429" s="1366"/>
      <c r="DK429" s="1366"/>
      <c r="DL429" s="1366"/>
      <c r="DM429" s="1366"/>
      <c r="DN429" s="1366"/>
      <c r="DO429" s="1366"/>
      <c r="DP429" s="1366"/>
      <c r="DQ429" s="1366"/>
      <c r="DR429" s="1366"/>
      <c r="DS429" s="1366"/>
      <c r="DT429" s="1366"/>
      <c r="DU429" s="1366"/>
      <c r="DV429" s="1366"/>
    </row>
    <row r="430" spans="1:126" s="1367" customFormat="1" ht="30.75" thickBot="1">
      <c r="A430" s="2494"/>
      <c r="B430" s="1653">
        <v>162</v>
      </c>
      <c r="C430" s="1642" t="s">
        <v>49</v>
      </c>
      <c r="D430" s="1375" t="s">
        <v>2324</v>
      </c>
      <c r="E430" s="1364" t="s">
        <v>2102</v>
      </c>
      <c r="F430" s="1364" t="s">
        <v>2108</v>
      </c>
      <c r="G430" s="1185" t="s">
        <v>1796</v>
      </c>
      <c r="H430" s="1361">
        <f>((250*'Equipment Results Matrix'!$R$888)+(0.845*'Equipment Results Matrix'!$R$889)+'Equipment Results Matrix'!$T$895)*(1+'Equipment Results Matrix'!$T$897)</f>
        <v>6187.5485873500102</v>
      </c>
      <c r="I430" s="1371">
        <f>0.0638*250+18.887</f>
        <v>34.837000000000003</v>
      </c>
      <c r="J430" s="1372">
        <f>'Labor Results Matrix'!$G$384*(1+'Labor Results Matrix'!$K$384)</f>
        <v>79.642809884289406</v>
      </c>
      <c r="K430" s="1372">
        <f t="shared" si="175"/>
        <v>2774.5165679389902</v>
      </c>
      <c r="L430" s="1372">
        <f>(('Labor Results Matrix'!$I$385*250)+'Labor Results Matrix'!$J$385)*(1+'Labor Results Matrix'!$K$384)</f>
        <v>10842.28125</v>
      </c>
      <c r="M430" s="1372">
        <f t="shared" si="176"/>
        <v>19804.346405289001</v>
      </c>
      <c r="N430" s="1458">
        <f>M430-$M$428</f>
        <v>3613.1535407500014</v>
      </c>
      <c r="O430" s="1361">
        <f t="shared" si="177"/>
        <v>24.75019434940004</v>
      </c>
      <c r="P430" s="1371">
        <f t="shared" si="178"/>
        <v>0.139348</v>
      </c>
      <c r="Q430" s="1372">
        <f t="shared" si="179"/>
        <v>11.098066271755961</v>
      </c>
      <c r="R430" s="1372">
        <f>'Labor Results Matrix'!$I$385*(1+'Labor Results Matrix'!$K$384)</f>
        <v>36.611624999999997</v>
      </c>
      <c r="S430" s="1372">
        <f>'Labor Results Matrix'!$J$385*(1+'Labor Results Matrix'!$K$384)</f>
        <v>1689.3749999999998</v>
      </c>
      <c r="T430" s="1372">
        <f t="shared" si="180"/>
        <v>72.459885621155991</v>
      </c>
      <c r="U430" s="1372">
        <f>T430-$T$428</f>
        <v>14.452614162999993</v>
      </c>
      <c r="V430" s="1458">
        <f>S430-$S$428</f>
        <v>0</v>
      </c>
      <c r="W430" s="1366"/>
      <c r="X430" s="1366"/>
      <c r="Y430" s="1366"/>
      <c r="Z430" s="1366"/>
      <c r="AA430" s="1366"/>
      <c r="AB430" s="1366"/>
      <c r="AC430" s="1366"/>
      <c r="AD430" s="1366"/>
      <c r="AE430" s="1366"/>
      <c r="AF430" s="1366"/>
      <c r="AG430" s="1366"/>
      <c r="AH430" s="1366"/>
      <c r="AI430" s="1366"/>
      <c r="AJ430" s="1366"/>
      <c r="AK430" s="1366"/>
      <c r="AL430" s="1366"/>
      <c r="AM430" s="1366"/>
      <c r="AN430" s="1366"/>
      <c r="AO430" s="1366"/>
      <c r="AP430" s="1366"/>
      <c r="AQ430" s="1366"/>
      <c r="AR430" s="1366"/>
      <c r="AS430" s="1366"/>
      <c r="AT430" s="1366"/>
      <c r="AU430" s="1366"/>
      <c r="AV430" s="1366"/>
      <c r="AW430" s="1366"/>
      <c r="AX430" s="1366"/>
      <c r="AY430" s="1366"/>
      <c r="AZ430" s="1366"/>
      <c r="BA430" s="1366"/>
      <c r="BB430" s="1366"/>
      <c r="BC430" s="1366"/>
      <c r="BD430" s="1366"/>
      <c r="BE430" s="1366"/>
      <c r="BF430" s="1366"/>
      <c r="BG430" s="1366"/>
      <c r="BH430" s="1366"/>
      <c r="BI430" s="1366"/>
      <c r="BJ430" s="1366"/>
      <c r="BK430" s="1366"/>
      <c r="BL430" s="1366"/>
      <c r="BM430" s="1366"/>
      <c r="BN430" s="1366"/>
      <c r="BO430" s="1366"/>
      <c r="BP430" s="1366"/>
      <c r="BQ430" s="1366"/>
      <c r="BR430" s="1366"/>
      <c r="BS430" s="1366"/>
      <c r="BT430" s="1366"/>
      <c r="BU430" s="1366"/>
      <c r="BV430" s="1366"/>
      <c r="BW430" s="1366"/>
      <c r="BX430" s="1366"/>
      <c r="BY430" s="1366"/>
      <c r="BZ430" s="1366"/>
      <c r="CA430" s="1366"/>
      <c r="CB430" s="1366"/>
      <c r="CC430" s="1366"/>
      <c r="CD430" s="1366"/>
      <c r="CE430" s="1366"/>
      <c r="CF430" s="1366"/>
      <c r="CG430" s="1366"/>
      <c r="CH430" s="1366"/>
      <c r="CI430" s="1366"/>
      <c r="CJ430" s="1366"/>
      <c r="CK430" s="1366"/>
      <c r="CL430" s="1366"/>
      <c r="CM430" s="1366"/>
      <c r="CN430" s="1366"/>
      <c r="CO430" s="1366"/>
      <c r="CP430" s="1366"/>
      <c r="CQ430" s="1366"/>
      <c r="CR430" s="1366"/>
      <c r="CS430" s="1366"/>
      <c r="CT430" s="1366"/>
      <c r="CU430" s="1366"/>
      <c r="CV430" s="1366"/>
      <c r="CW430" s="1366"/>
      <c r="CX430" s="1366"/>
      <c r="CY430" s="1366"/>
      <c r="CZ430" s="1366"/>
      <c r="DA430" s="1366"/>
      <c r="DB430" s="1366"/>
      <c r="DC430" s="1366"/>
      <c r="DD430" s="1366"/>
      <c r="DE430" s="1366"/>
      <c r="DF430" s="1366"/>
      <c r="DG430" s="1366"/>
      <c r="DH430" s="1366"/>
      <c r="DI430" s="1366"/>
      <c r="DJ430" s="1366"/>
      <c r="DK430" s="1366"/>
      <c r="DL430" s="1366"/>
      <c r="DM430" s="1366"/>
      <c r="DN430" s="1366"/>
      <c r="DO430" s="1366"/>
      <c r="DP430" s="1366"/>
      <c r="DQ430" s="1366"/>
      <c r="DR430" s="1366"/>
      <c r="DS430" s="1366"/>
      <c r="DT430" s="1366"/>
      <c r="DU430" s="1366"/>
      <c r="DV430" s="1366"/>
    </row>
    <row r="431" spans="1:126" s="1479" customFormat="1" ht="19.5" thickBot="1">
      <c r="A431" s="695"/>
      <c r="B431" s="1652"/>
      <c r="C431" s="1652"/>
      <c r="D431" s="1318"/>
      <c r="E431" s="1318"/>
      <c r="F431" s="1318"/>
      <c r="G431" s="1318"/>
      <c r="H431" s="1389"/>
      <c r="I431" s="1446"/>
      <c r="J431" s="1390"/>
      <c r="K431" s="1389"/>
      <c r="L431" s="1532"/>
      <c r="M431" s="1389"/>
      <c r="N431" s="1497"/>
      <c r="O431" s="1389"/>
      <c r="P431" s="1390"/>
      <c r="Q431" s="1390"/>
      <c r="R431" s="1446"/>
      <c r="S431" s="1446"/>
      <c r="T431" s="1498"/>
      <c r="U431" s="1498"/>
      <c r="V431" s="1497"/>
      <c r="W431" s="1490"/>
      <c r="X431" s="1490"/>
      <c r="Y431" s="327"/>
      <c r="Z431" s="327"/>
      <c r="AA431" s="327"/>
      <c r="AB431" s="1490"/>
      <c r="AC431" s="1490"/>
      <c r="AD431" s="1490"/>
      <c r="AE431" s="1490"/>
      <c r="AF431" s="327"/>
      <c r="AG431" s="327"/>
      <c r="AH431" s="327"/>
      <c r="AI431" s="327"/>
      <c r="AJ431" s="327"/>
      <c r="AK431" s="1478"/>
      <c r="AL431" s="1478"/>
      <c r="AM431" s="1478"/>
      <c r="AN431" s="1478"/>
      <c r="AO431" s="1478"/>
      <c r="AP431" s="1478"/>
      <c r="AQ431" s="1478"/>
      <c r="AR431" s="1478"/>
      <c r="AS431" s="1478"/>
      <c r="AT431" s="1478"/>
      <c r="AU431" s="1478"/>
      <c r="AV431" s="1478"/>
      <c r="AW431" s="1478"/>
      <c r="AX431" s="1478"/>
      <c r="AY431" s="1478"/>
      <c r="AZ431" s="1478"/>
      <c r="BA431" s="1478"/>
      <c r="BB431" s="1478"/>
      <c r="BC431" s="1478"/>
      <c r="BD431" s="1478"/>
      <c r="BE431" s="1478"/>
      <c r="BF431" s="1478"/>
      <c r="BG431" s="1478"/>
      <c r="BH431" s="1478"/>
      <c r="BI431" s="1478"/>
      <c r="BJ431" s="1478"/>
      <c r="BK431" s="327"/>
      <c r="BL431" s="327"/>
      <c r="BM431" s="327"/>
      <c r="BN431" s="327"/>
      <c r="BO431" s="327"/>
      <c r="BP431" s="327"/>
      <c r="BQ431" s="327"/>
      <c r="BR431" s="327"/>
      <c r="BS431" s="327"/>
      <c r="BT431" s="327"/>
      <c r="BU431" s="327"/>
      <c r="BV431" s="327"/>
      <c r="BW431" s="327"/>
      <c r="BX431" s="327"/>
      <c r="BY431" s="327"/>
      <c r="BZ431" s="327"/>
      <c r="CA431" s="327"/>
      <c r="CB431" s="327"/>
      <c r="CC431" s="327"/>
      <c r="CD431" s="327"/>
      <c r="CE431" s="327"/>
      <c r="CF431" s="327"/>
      <c r="CG431" s="327"/>
      <c r="CH431" s="327"/>
      <c r="CI431" s="327"/>
      <c r="CJ431" s="327"/>
      <c r="CK431" s="327"/>
      <c r="CL431" s="327"/>
      <c r="CM431" s="327"/>
      <c r="CN431" s="327"/>
      <c r="CO431" s="327"/>
      <c r="CP431" s="327"/>
      <c r="CQ431" s="327"/>
      <c r="CR431" s="327"/>
      <c r="CS431" s="327"/>
      <c r="CT431" s="327"/>
      <c r="CU431" s="327"/>
      <c r="CV431" s="327"/>
      <c r="CW431" s="327"/>
      <c r="CX431" s="327"/>
      <c r="CY431" s="327"/>
      <c r="CZ431" s="327"/>
      <c r="DA431" s="327"/>
      <c r="DB431" s="327"/>
      <c r="DC431" s="327"/>
      <c r="DD431" s="327"/>
      <c r="DE431" s="327"/>
      <c r="DF431" s="327"/>
      <c r="DG431" s="327"/>
      <c r="DH431" s="327"/>
      <c r="DI431" s="327"/>
      <c r="DJ431" s="327"/>
      <c r="DK431" s="327"/>
      <c r="DL431" s="327"/>
      <c r="DM431" s="327"/>
      <c r="DN431" s="327"/>
      <c r="DO431" s="327"/>
      <c r="DP431" s="327"/>
      <c r="DQ431" s="327"/>
      <c r="DR431" s="327"/>
      <c r="DS431" s="327"/>
      <c r="DT431" s="327"/>
      <c r="DU431" s="327"/>
      <c r="DV431" s="327"/>
    </row>
    <row r="432" spans="1:126" s="1367" customFormat="1" ht="30">
      <c r="A432" s="2493" t="s">
        <v>1361</v>
      </c>
      <c r="B432" s="1656" t="s">
        <v>2571</v>
      </c>
      <c r="C432" s="1642" t="s">
        <v>47</v>
      </c>
      <c r="D432" s="1375" t="s">
        <v>2333</v>
      </c>
      <c r="E432" s="1364" t="s">
        <v>2102</v>
      </c>
      <c r="F432" s="1364" t="s">
        <v>2108</v>
      </c>
      <c r="G432" s="1185" t="s">
        <v>1796</v>
      </c>
      <c r="H432" s="1361">
        <f>((1400*'Equipment Results Matrix'!$R$899)+(0.82*'Equipment Results Matrix'!$R$900)+'Equipment Results Matrix'!$R$901+'Equipment Results Matrix'!$T$906)*(1+'Equipment Results Matrix'!$T$908)</f>
        <v>17640.703070951964</v>
      </c>
      <c r="I432" s="1371">
        <f>0.047*1400+31.307</f>
        <v>97.106999999999999</v>
      </c>
      <c r="J432" s="1372">
        <f>'Labor Results Matrix'!$G$384*(1+'Labor Results Matrix'!$K$384)</f>
        <v>79.642809884289406</v>
      </c>
      <c r="K432" s="1372">
        <f>I432*J432</f>
        <v>7733.8743394336916</v>
      </c>
      <c r="L432" s="1372">
        <f>(('Labor Results Matrix'!$I$398*1400)+'Labor Results Matrix'!$J$398)*(1+'Labor Results Matrix'!$K$395)</f>
        <v>27618.922499999997</v>
      </c>
      <c r="M432" s="1372">
        <f>H432+K432+L432</f>
        <v>52993.499910385653</v>
      </c>
      <c r="N432" s="1455" t="s">
        <v>40</v>
      </c>
      <c r="O432" s="1361">
        <f>H432/1400</f>
        <v>12.600502193537118</v>
      </c>
      <c r="P432" s="1371">
        <f>I432/1400</f>
        <v>6.9362142857142858E-2</v>
      </c>
      <c r="Q432" s="1372">
        <f>K432/1400</f>
        <v>5.5241959567383514</v>
      </c>
      <c r="R432" s="1372">
        <f>'Labor Results Matrix'!$I$398*(1+'Labor Results Matrix'!$K$395)</f>
        <v>16.5858375</v>
      </c>
      <c r="S432" s="1372">
        <f>'Labor Results Matrix'!$J$398*(1+'Labor Results Matrix'!$K$395)</f>
        <v>4398.75</v>
      </c>
      <c r="T432" s="1372">
        <f>O432+Q432+R432</f>
        <v>34.710535650275474</v>
      </c>
      <c r="U432" s="1417" t="s">
        <v>40</v>
      </c>
      <c r="V432" s="1455" t="s">
        <v>40</v>
      </c>
      <c r="W432" s="1366"/>
      <c r="X432" s="1366"/>
      <c r="Y432" s="1366"/>
      <c r="Z432" s="1366"/>
      <c r="AA432" s="1366"/>
      <c r="AB432" s="1366"/>
      <c r="AC432" s="1366"/>
      <c r="AD432" s="1366"/>
      <c r="AE432" s="1366"/>
      <c r="AF432" s="1366"/>
      <c r="AG432" s="1366"/>
      <c r="AH432" s="1366"/>
      <c r="AI432" s="1366"/>
      <c r="AJ432" s="1366"/>
      <c r="AK432" s="1366"/>
      <c r="AL432" s="1366"/>
      <c r="AM432" s="1366"/>
      <c r="AN432" s="1366"/>
      <c r="AO432" s="1366"/>
      <c r="AP432" s="1366"/>
      <c r="AQ432" s="1366"/>
      <c r="AR432" s="1366"/>
      <c r="AS432" s="1366"/>
      <c r="AT432" s="1366"/>
      <c r="AU432" s="1366"/>
      <c r="AV432" s="1366"/>
      <c r="AW432" s="1366"/>
      <c r="AX432" s="1366"/>
      <c r="AY432" s="1366"/>
      <c r="AZ432" s="1366"/>
      <c r="BA432" s="1366"/>
      <c r="BB432" s="1366"/>
      <c r="BC432" s="1366"/>
      <c r="BD432" s="1366"/>
      <c r="BE432" s="1366"/>
      <c r="BF432" s="1366"/>
      <c r="BG432" s="1366"/>
      <c r="BH432" s="1366"/>
      <c r="BI432" s="1366"/>
      <c r="BJ432" s="1366"/>
      <c r="BK432" s="1366"/>
      <c r="BL432" s="1366"/>
      <c r="BM432" s="1366"/>
      <c r="BN432" s="1366"/>
      <c r="BO432" s="1366"/>
      <c r="BP432" s="1366"/>
      <c r="BQ432" s="1366"/>
      <c r="BR432" s="1366"/>
      <c r="BS432" s="1366"/>
      <c r="BT432" s="1366"/>
      <c r="BU432" s="1366"/>
      <c r="BV432" s="1366"/>
      <c r="BW432" s="1366"/>
      <c r="BX432" s="1366"/>
      <c r="BY432" s="1366"/>
      <c r="BZ432" s="1366"/>
      <c r="CA432" s="1366"/>
      <c r="CB432" s="1366"/>
      <c r="CC432" s="1366"/>
      <c r="CD432" s="1366"/>
      <c r="CE432" s="1366"/>
      <c r="CF432" s="1366"/>
      <c r="CG432" s="1366"/>
      <c r="CH432" s="1366"/>
      <c r="CI432" s="1366"/>
      <c r="CJ432" s="1366"/>
      <c r="CK432" s="1366"/>
      <c r="CL432" s="1366"/>
      <c r="CM432" s="1366"/>
      <c r="CN432" s="1366"/>
      <c r="CO432" s="1366"/>
      <c r="CP432" s="1366"/>
      <c r="CQ432" s="1366"/>
      <c r="CR432" s="1366"/>
      <c r="CS432" s="1366"/>
      <c r="CT432" s="1366"/>
      <c r="CU432" s="1366"/>
      <c r="CV432" s="1366"/>
      <c r="CW432" s="1366"/>
      <c r="CX432" s="1366"/>
      <c r="CY432" s="1366"/>
      <c r="CZ432" s="1366"/>
      <c r="DA432" s="1366"/>
      <c r="DB432" s="1366"/>
      <c r="DC432" s="1366"/>
      <c r="DD432" s="1366"/>
      <c r="DE432" s="1366"/>
      <c r="DF432" s="1366"/>
      <c r="DG432" s="1366"/>
      <c r="DH432" s="1366"/>
      <c r="DI432" s="1366"/>
      <c r="DJ432" s="1366"/>
      <c r="DK432" s="1366"/>
      <c r="DL432" s="1366"/>
      <c r="DM432" s="1366"/>
      <c r="DN432" s="1366"/>
      <c r="DO432" s="1366"/>
      <c r="DP432" s="1366"/>
      <c r="DQ432" s="1366"/>
      <c r="DR432" s="1366"/>
      <c r="DS432" s="1366"/>
      <c r="DT432" s="1366"/>
      <c r="DU432" s="1366"/>
      <c r="DV432" s="1366"/>
    </row>
    <row r="433" spans="1:126" s="1367" customFormat="1" ht="30">
      <c r="A433" s="2494"/>
      <c r="B433" s="1653" t="s">
        <v>2572</v>
      </c>
      <c r="C433" s="1642" t="s">
        <v>49</v>
      </c>
      <c r="D433" s="1375" t="s">
        <v>2325</v>
      </c>
      <c r="E433" s="1364" t="s">
        <v>2102</v>
      </c>
      <c r="F433" s="1364" t="s">
        <v>2108</v>
      </c>
      <c r="G433" s="1185" t="s">
        <v>1796</v>
      </c>
      <c r="H433" s="1361">
        <f>((1400*'Equipment Results Matrix'!$R$899)+(0.85*'Equipment Results Matrix'!$R$900)+'Equipment Results Matrix'!$R$901+'Equipment Results Matrix'!$T$906)*(1+'Equipment Results Matrix'!$T$908)</f>
        <v>37354.936568352001</v>
      </c>
      <c r="I433" s="1371">
        <f t="shared" ref="I433:I434" si="181">0.047*1400+31.307</f>
        <v>97.106999999999999</v>
      </c>
      <c r="J433" s="1372">
        <f>'Labor Results Matrix'!$G$384*(1+'Labor Results Matrix'!$K$384)</f>
        <v>79.642809884289406</v>
      </c>
      <c r="K433" s="1372">
        <f t="shared" ref="K433:K437" si="182">I433*J433</f>
        <v>7733.8743394336916</v>
      </c>
      <c r="L433" s="1372">
        <f>(('Labor Results Matrix'!$I$398*1400)+'Labor Results Matrix'!$J$398)*(1+'Labor Results Matrix'!$K$395)</f>
        <v>27618.922499999997</v>
      </c>
      <c r="M433" s="1372">
        <f t="shared" ref="M433:M437" si="183">H433+K433+L433</f>
        <v>72707.733407785694</v>
      </c>
      <c r="N433" s="1458">
        <f>M433-$M$432</f>
        <v>19714.233497400041</v>
      </c>
      <c r="O433" s="1361">
        <f t="shared" ref="O433:O434" si="184">H433/1400</f>
        <v>26.682097548822856</v>
      </c>
      <c r="P433" s="1371">
        <f t="shared" ref="P433:P434" si="185">I433/1400</f>
        <v>6.9362142857142858E-2</v>
      </c>
      <c r="Q433" s="1372">
        <f t="shared" ref="Q433:Q434" si="186">K433/1400</f>
        <v>5.5241959567383514</v>
      </c>
      <c r="R433" s="1372">
        <f>'Labor Results Matrix'!$I$398*(1+'Labor Results Matrix'!$K$395)</f>
        <v>16.5858375</v>
      </c>
      <c r="S433" s="1372">
        <f>'Labor Results Matrix'!$J$398*(1+'Labor Results Matrix'!$K$395)</f>
        <v>4398.75</v>
      </c>
      <c r="T433" s="1372">
        <f t="shared" ref="T433:T437" si="187">O433+Q433+R433</f>
        <v>48.792131005561203</v>
      </c>
      <c r="U433" s="1372">
        <f>T433-$T$432</f>
        <v>14.081595355285728</v>
      </c>
      <c r="V433" s="1458">
        <f>S433-$S$432</f>
        <v>0</v>
      </c>
      <c r="W433" s="1366"/>
      <c r="X433" s="1366"/>
      <c r="Y433" s="1366"/>
      <c r="Z433" s="1366"/>
      <c r="AA433" s="1366"/>
      <c r="AB433" s="1366"/>
      <c r="AC433" s="1366"/>
      <c r="AD433" s="1366"/>
      <c r="AE433" s="1366"/>
      <c r="AF433" s="1366"/>
      <c r="AG433" s="1366"/>
      <c r="AH433" s="1366"/>
      <c r="AI433" s="1366"/>
      <c r="AJ433" s="1366"/>
      <c r="AK433" s="1366"/>
      <c r="AL433" s="1366"/>
      <c r="AM433" s="1366"/>
      <c r="AN433" s="1366"/>
      <c r="AO433" s="1366"/>
      <c r="AP433" s="1366"/>
      <c r="AQ433" s="1366"/>
      <c r="AR433" s="1366"/>
      <c r="AS433" s="1366"/>
      <c r="AT433" s="1366"/>
      <c r="AU433" s="1366"/>
      <c r="AV433" s="1366"/>
      <c r="AW433" s="1366"/>
      <c r="AX433" s="1366"/>
      <c r="AY433" s="1366"/>
      <c r="AZ433" s="1366"/>
      <c r="BA433" s="1366"/>
      <c r="BB433" s="1366"/>
      <c r="BC433" s="1366"/>
      <c r="BD433" s="1366"/>
      <c r="BE433" s="1366"/>
      <c r="BF433" s="1366"/>
      <c r="BG433" s="1366"/>
      <c r="BH433" s="1366"/>
      <c r="BI433" s="1366"/>
      <c r="BJ433" s="1366"/>
      <c r="BK433" s="1366"/>
      <c r="BL433" s="1366"/>
      <c r="BM433" s="1366"/>
      <c r="BN433" s="1366"/>
      <c r="BO433" s="1366"/>
      <c r="BP433" s="1366"/>
      <c r="BQ433" s="1366"/>
      <c r="BR433" s="1366"/>
      <c r="BS433" s="1366"/>
      <c r="BT433" s="1366"/>
      <c r="BU433" s="1366"/>
      <c r="BV433" s="1366"/>
      <c r="BW433" s="1366"/>
      <c r="BX433" s="1366"/>
      <c r="BY433" s="1366"/>
      <c r="BZ433" s="1366"/>
      <c r="CA433" s="1366"/>
      <c r="CB433" s="1366"/>
      <c r="CC433" s="1366"/>
      <c r="CD433" s="1366"/>
      <c r="CE433" s="1366"/>
      <c r="CF433" s="1366"/>
      <c r="CG433" s="1366"/>
      <c r="CH433" s="1366"/>
      <c r="CI433" s="1366"/>
      <c r="CJ433" s="1366"/>
      <c r="CK433" s="1366"/>
      <c r="CL433" s="1366"/>
      <c r="CM433" s="1366"/>
      <c r="CN433" s="1366"/>
      <c r="CO433" s="1366"/>
      <c r="CP433" s="1366"/>
      <c r="CQ433" s="1366"/>
      <c r="CR433" s="1366"/>
      <c r="CS433" s="1366"/>
      <c r="CT433" s="1366"/>
      <c r="CU433" s="1366"/>
      <c r="CV433" s="1366"/>
      <c r="CW433" s="1366"/>
      <c r="CX433" s="1366"/>
      <c r="CY433" s="1366"/>
      <c r="CZ433" s="1366"/>
      <c r="DA433" s="1366"/>
      <c r="DB433" s="1366"/>
      <c r="DC433" s="1366"/>
      <c r="DD433" s="1366"/>
      <c r="DE433" s="1366"/>
      <c r="DF433" s="1366"/>
      <c r="DG433" s="1366"/>
      <c r="DH433" s="1366"/>
      <c r="DI433" s="1366"/>
      <c r="DJ433" s="1366"/>
      <c r="DK433" s="1366"/>
      <c r="DL433" s="1366"/>
      <c r="DM433" s="1366"/>
      <c r="DN433" s="1366"/>
      <c r="DO433" s="1366"/>
      <c r="DP433" s="1366"/>
      <c r="DQ433" s="1366"/>
      <c r="DR433" s="1366"/>
      <c r="DS433" s="1366"/>
      <c r="DT433" s="1366"/>
      <c r="DU433" s="1366"/>
      <c r="DV433" s="1366"/>
    </row>
    <row r="434" spans="1:126" s="1367" customFormat="1" ht="30">
      <c r="A434" s="2494"/>
      <c r="B434" s="1653">
        <v>165</v>
      </c>
      <c r="C434" s="1642" t="s">
        <v>49</v>
      </c>
      <c r="D434" s="1375" t="s">
        <v>2326</v>
      </c>
      <c r="E434" s="1364" t="s">
        <v>2102</v>
      </c>
      <c r="F434" s="1364" t="s">
        <v>2108</v>
      </c>
      <c r="G434" s="1185" t="s">
        <v>1796</v>
      </c>
      <c r="H434" s="1361">
        <f>((1400*'Equipment Results Matrix'!$R$899)+(0.85*'Equipment Results Matrix'!$R$900)+'Equipment Results Matrix'!$R$901+'Equipment Results Matrix'!$T$906)*(1+'Equipment Results Matrix'!$T$908)</f>
        <v>37354.936568352001</v>
      </c>
      <c r="I434" s="1371">
        <f t="shared" si="181"/>
        <v>97.106999999999999</v>
      </c>
      <c r="J434" s="1372">
        <f>'Labor Results Matrix'!$G$384*(1+'Labor Results Matrix'!$K$384)</f>
        <v>79.642809884289406</v>
      </c>
      <c r="K434" s="1372">
        <f t="shared" si="182"/>
        <v>7733.8743394336916</v>
      </c>
      <c r="L434" s="1372">
        <f>(('Labor Results Matrix'!$I$398*1400)+'Labor Results Matrix'!$J$398)*(1+'Labor Results Matrix'!$K$395)</f>
        <v>27618.922499999997</v>
      </c>
      <c r="M434" s="1372">
        <f t="shared" si="183"/>
        <v>72707.733407785694</v>
      </c>
      <c r="N434" s="1458">
        <f>M434-$M$432</f>
        <v>19714.233497400041</v>
      </c>
      <c r="O434" s="1361">
        <f t="shared" si="184"/>
        <v>26.682097548822856</v>
      </c>
      <c r="P434" s="1371">
        <f t="shared" si="185"/>
        <v>6.9362142857142858E-2</v>
      </c>
      <c r="Q434" s="1372">
        <f t="shared" si="186"/>
        <v>5.5241959567383514</v>
      </c>
      <c r="R434" s="1372">
        <f>'Labor Results Matrix'!$I$398*(1+'Labor Results Matrix'!$K$395)</f>
        <v>16.5858375</v>
      </c>
      <c r="S434" s="1372">
        <f>'Labor Results Matrix'!$J$398*(1+'Labor Results Matrix'!$K$395)</f>
        <v>4398.75</v>
      </c>
      <c r="T434" s="1372">
        <f t="shared" si="187"/>
        <v>48.792131005561203</v>
      </c>
      <c r="U434" s="1372">
        <f>T434-$T$432</f>
        <v>14.081595355285728</v>
      </c>
      <c r="V434" s="1458">
        <f>S434-$S$432</f>
        <v>0</v>
      </c>
      <c r="W434" s="1366"/>
      <c r="X434" s="1366"/>
      <c r="Y434" s="1366"/>
      <c r="Z434" s="1366"/>
      <c r="AA434" s="1366"/>
      <c r="AB434" s="1366"/>
      <c r="AC434" s="1366"/>
      <c r="AD434" s="1366"/>
      <c r="AE434" s="1366"/>
      <c r="AF434" s="1366"/>
      <c r="AG434" s="1366"/>
      <c r="AH434" s="1366"/>
      <c r="AI434" s="1366"/>
      <c r="AJ434" s="1366"/>
      <c r="AK434" s="1366"/>
      <c r="AL434" s="1366"/>
      <c r="AM434" s="1366"/>
      <c r="AN434" s="1366"/>
      <c r="AO434" s="1366"/>
      <c r="AP434" s="1366"/>
      <c r="AQ434" s="1366"/>
      <c r="AR434" s="1366"/>
      <c r="AS434" s="1366"/>
      <c r="AT434" s="1366"/>
      <c r="AU434" s="1366"/>
      <c r="AV434" s="1366"/>
      <c r="AW434" s="1366"/>
      <c r="AX434" s="1366"/>
      <c r="AY434" s="1366"/>
      <c r="AZ434" s="1366"/>
      <c r="BA434" s="1366"/>
      <c r="BB434" s="1366"/>
      <c r="BC434" s="1366"/>
      <c r="BD434" s="1366"/>
      <c r="BE434" s="1366"/>
      <c r="BF434" s="1366"/>
      <c r="BG434" s="1366"/>
      <c r="BH434" s="1366"/>
      <c r="BI434" s="1366"/>
      <c r="BJ434" s="1366"/>
      <c r="BK434" s="1366"/>
      <c r="BL434" s="1366"/>
      <c r="BM434" s="1366"/>
      <c r="BN434" s="1366"/>
      <c r="BO434" s="1366"/>
      <c r="BP434" s="1366"/>
      <c r="BQ434" s="1366"/>
      <c r="BR434" s="1366"/>
      <c r="BS434" s="1366"/>
      <c r="BT434" s="1366"/>
      <c r="BU434" s="1366"/>
      <c r="BV434" s="1366"/>
      <c r="BW434" s="1366"/>
      <c r="BX434" s="1366"/>
      <c r="BY434" s="1366"/>
      <c r="BZ434" s="1366"/>
      <c r="CA434" s="1366"/>
      <c r="CB434" s="1366"/>
      <c r="CC434" s="1366"/>
      <c r="CD434" s="1366"/>
      <c r="CE434" s="1366"/>
      <c r="CF434" s="1366"/>
      <c r="CG434" s="1366"/>
      <c r="CH434" s="1366"/>
      <c r="CI434" s="1366"/>
      <c r="CJ434" s="1366"/>
      <c r="CK434" s="1366"/>
      <c r="CL434" s="1366"/>
      <c r="CM434" s="1366"/>
      <c r="CN434" s="1366"/>
      <c r="CO434" s="1366"/>
      <c r="CP434" s="1366"/>
      <c r="CQ434" s="1366"/>
      <c r="CR434" s="1366"/>
      <c r="CS434" s="1366"/>
      <c r="CT434" s="1366"/>
      <c r="CU434" s="1366"/>
      <c r="CV434" s="1366"/>
      <c r="CW434" s="1366"/>
      <c r="CX434" s="1366"/>
      <c r="CY434" s="1366"/>
      <c r="CZ434" s="1366"/>
      <c r="DA434" s="1366"/>
      <c r="DB434" s="1366"/>
      <c r="DC434" s="1366"/>
      <c r="DD434" s="1366"/>
      <c r="DE434" s="1366"/>
      <c r="DF434" s="1366"/>
      <c r="DG434" s="1366"/>
      <c r="DH434" s="1366"/>
      <c r="DI434" s="1366"/>
      <c r="DJ434" s="1366"/>
      <c r="DK434" s="1366"/>
      <c r="DL434" s="1366"/>
      <c r="DM434" s="1366"/>
      <c r="DN434" s="1366"/>
      <c r="DO434" s="1366"/>
      <c r="DP434" s="1366"/>
      <c r="DQ434" s="1366"/>
      <c r="DR434" s="1366"/>
      <c r="DS434" s="1366"/>
      <c r="DT434" s="1366"/>
      <c r="DU434" s="1366"/>
      <c r="DV434" s="1366"/>
    </row>
    <row r="435" spans="1:126" s="1367" customFormat="1" ht="30">
      <c r="A435" s="2494"/>
      <c r="B435" s="1653" t="s">
        <v>2321</v>
      </c>
      <c r="C435" s="1642" t="s">
        <v>47</v>
      </c>
      <c r="D435" s="1375" t="s">
        <v>2327</v>
      </c>
      <c r="E435" s="1364" t="s">
        <v>2102</v>
      </c>
      <c r="F435" s="1364" t="s">
        <v>2108</v>
      </c>
      <c r="G435" s="1185" t="s">
        <v>1796</v>
      </c>
      <c r="H435" s="1361">
        <f>((3000*'Equipment Results Matrix'!$R$899)+(0.82*'Equipment Results Matrix'!$R$900)+'Equipment Results Matrix'!$R$901+'Equipment Results Matrix'!$T$906)*(1+'Equipment Results Matrix'!$T$908)</f>
        <v>45794.127070952018</v>
      </c>
      <c r="I435" s="1371">
        <f>0.047*3000+31.307</f>
        <v>172.30699999999999</v>
      </c>
      <c r="J435" s="1372">
        <f>'Labor Results Matrix'!$G$384*(1+'Labor Results Matrix'!$K$384)</f>
        <v>79.642809884289406</v>
      </c>
      <c r="K435" s="1372">
        <f t="shared" si="182"/>
        <v>13723.013642732254</v>
      </c>
      <c r="L435" s="1372">
        <f>(('Labor Results Matrix'!$I$401*3000)+'Labor Results Matrix'!$J$401)*(1+'Labor Results Matrix'!$K$395)</f>
        <v>37859.85</v>
      </c>
      <c r="M435" s="1372">
        <f t="shared" si="183"/>
        <v>97376.990713684267</v>
      </c>
      <c r="N435" s="1455" t="s">
        <v>40</v>
      </c>
      <c r="O435" s="1361">
        <f>H435/3000</f>
        <v>15.264709023650672</v>
      </c>
      <c r="P435" s="1371">
        <f>I435/3000</f>
        <v>5.7435666666666663E-2</v>
      </c>
      <c r="Q435" s="1372">
        <f>K435/3000</f>
        <v>4.5743378809107513</v>
      </c>
      <c r="R435" s="1372">
        <f>'Labor Results Matrix'!$I$401*(1+'Labor Results Matrix'!$K$395)</f>
        <v>10.548074999999999</v>
      </c>
      <c r="S435" s="1372">
        <f>'Labor Results Matrix'!$J$401*(1+'Labor Results Matrix'!$K$395)</f>
        <v>6215.625</v>
      </c>
      <c r="T435" s="1372">
        <f t="shared" si="187"/>
        <v>30.387121904561425</v>
      </c>
      <c r="U435" s="1417" t="s">
        <v>40</v>
      </c>
      <c r="V435" s="1455" t="s">
        <v>40</v>
      </c>
      <c r="W435" s="1366"/>
      <c r="X435" s="1366"/>
      <c r="Y435" s="1366"/>
      <c r="Z435" s="1366"/>
      <c r="AA435" s="1366"/>
      <c r="AB435" s="1366"/>
      <c r="AC435" s="1366"/>
      <c r="AD435" s="1366"/>
      <c r="AE435" s="1366"/>
      <c r="AF435" s="1366"/>
      <c r="AG435" s="1366"/>
      <c r="AH435" s="1366"/>
      <c r="AI435" s="1366"/>
      <c r="AJ435" s="1366"/>
      <c r="AK435" s="1366"/>
      <c r="AL435" s="1366"/>
      <c r="AM435" s="1366"/>
      <c r="AN435" s="1366"/>
      <c r="AO435" s="1366"/>
      <c r="AP435" s="1366"/>
      <c r="AQ435" s="1366"/>
      <c r="AR435" s="1366"/>
      <c r="AS435" s="1366"/>
      <c r="AT435" s="1366"/>
      <c r="AU435" s="1366"/>
      <c r="AV435" s="1366"/>
      <c r="AW435" s="1366"/>
      <c r="AX435" s="1366"/>
      <c r="AY435" s="1366"/>
      <c r="AZ435" s="1366"/>
      <c r="BA435" s="1366"/>
      <c r="BB435" s="1366"/>
      <c r="BC435" s="1366"/>
      <c r="BD435" s="1366"/>
      <c r="BE435" s="1366"/>
      <c r="BF435" s="1366"/>
      <c r="BG435" s="1366"/>
      <c r="BH435" s="1366"/>
      <c r="BI435" s="1366"/>
      <c r="BJ435" s="1366"/>
      <c r="BK435" s="1366"/>
      <c r="BL435" s="1366"/>
      <c r="BM435" s="1366"/>
      <c r="BN435" s="1366"/>
      <c r="BO435" s="1366"/>
      <c r="BP435" s="1366"/>
      <c r="BQ435" s="1366"/>
      <c r="BR435" s="1366"/>
      <c r="BS435" s="1366"/>
      <c r="BT435" s="1366"/>
      <c r="BU435" s="1366"/>
      <c r="BV435" s="1366"/>
      <c r="BW435" s="1366"/>
      <c r="BX435" s="1366"/>
      <c r="BY435" s="1366"/>
      <c r="BZ435" s="1366"/>
      <c r="CA435" s="1366"/>
      <c r="CB435" s="1366"/>
      <c r="CC435" s="1366"/>
      <c r="CD435" s="1366"/>
      <c r="CE435" s="1366"/>
      <c r="CF435" s="1366"/>
      <c r="CG435" s="1366"/>
      <c r="CH435" s="1366"/>
      <c r="CI435" s="1366"/>
      <c r="CJ435" s="1366"/>
      <c r="CK435" s="1366"/>
      <c r="CL435" s="1366"/>
      <c r="CM435" s="1366"/>
      <c r="CN435" s="1366"/>
      <c r="CO435" s="1366"/>
      <c r="CP435" s="1366"/>
      <c r="CQ435" s="1366"/>
      <c r="CR435" s="1366"/>
      <c r="CS435" s="1366"/>
      <c r="CT435" s="1366"/>
      <c r="CU435" s="1366"/>
      <c r="CV435" s="1366"/>
      <c r="CW435" s="1366"/>
      <c r="CX435" s="1366"/>
      <c r="CY435" s="1366"/>
      <c r="CZ435" s="1366"/>
      <c r="DA435" s="1366"/>
      <c r="DB435" s="1366"/>
      <c r="DC435" s="1366"/>
      <c r="DD435" s="1366"/>
      <c r="DE435" s="1366"/>
      <c r="DF435" s="1366"/>
      <c r="DG435" s="1366"/>
      <c r="DH435" s="1366"/>
      <c r="DI435" s="1366"/>
      <c r="DJ435" s="1366"/>
      <c r="DK435" s="1366"/>
      <c r="DL435" s="1366"/>
      <c r="DM435" s="1366"/>
      <c r="DN435" s="1366"/>
      <c r="DO435" s="1366"/>
      <c r="DP435" s="1366"/>
      <c r="DQ435" s="1366"/>
      <c r="DR435" s="1366"/>
      <c r="DS435" s="1366"/>
      <c r="DT435" s="1366"/>
      <c r="DU435" s="1366"/>
      <c r="DV435" s="1366"/>
    </row>
    <row r="436" spans="1:126" s="1367" customFormat="1" ht="30">
      <c r="A436" s="2494"/>
      <c r="B436" s="1653">
        <v>167</v>
      </c>
      <c r="C436" s="1642" t="s">
        <v>49</v>
      </c>
      <c r="D436" s="1375" t="s">
        <v>2328</v>
      </c>
      <c r="E436" s="1364" t="s">
        <v>2102</v>
      </c>
      <c r="F436" s="1364" t="s">
        <v>2108</v>
      </c>
      <c r="G436" s="1185" t="s">
        <v>1796</v>
      </c>
      <c r="H436" s="1361">
        <f>((3000*'Equipment Results Matrix'!$R$899)+(0.85*'Equipment Results Matrix'!$R$900)+'Equipment Results Matrix'!$R$901+'Equipment Results Matrix'!$T$906)*(1+'Equipment Results Matrix'!$T$908)</f>
        <v>65508.360568352051</v>
      </c>
      <c r="I436" s="1371">
        <f t="shared" ref="I436:I437" si="188">0.047*3000+31.307</f>
        <v>172.30699999999999</v>
      </c>
      <c r="J436" s="1372">
        <f>'Labor Results Matrix'!$G$384*(1+'Labor Results Matrix'!$K$384)</f>
        <v>79.642809884289406</v>
      </c>
      <c r="K436" s="1372">
        <f t="shared" si="182"/>
        <v>13723.013642732254</v>
      </c>
      <c r="L436" s="1372">
        <f>(('Labor Results Matrix'!$I$401*3000)+'Labor Results Matrix'!$J$401)*(1+'Labor Results Matrix'!$K$395)</f>
        <v>37859.85</v>
      </c>
      <c r="M436" s="1372">
        <f t="shared" si="183"/>
        <v>117091.22421108431</v>
      </c>
      <c r="N436" s="1458">
        <f>M436-$M$435</f>
        <v>19714.233497400041</v>
      </c>
      <c r="O436" s="1361">
        <f t="shared" ref="O436:O437" si="189">H436/3000</f>
        <v>21.836120189450682</v>
      </c>
      <c r="P436" s="1371">
        <f t="shared" ref="P436:P437" si="190">I436/3000</f>
        <v>5.7435666666666663E-2</v>
      </c>
      <c r="Q436" s="1372">
        <f t="shared" ref="Q436:Q437" si="191">K436/3000</f>
        <v>4.5743378809107513</v>
      </c>
      <c r="R436" s="1372">
        <f>'Labor Results Matrix'!$I$401*(1+'Labor Results Matrix'!$K$395)</f>
        <v>10.548074999999999</v>
      </c>
      <c r="S436" s="1372">
        <f>'Labor Results Matrix'!$J$401*(1+'Labor Results Matrix'!$K$395)</f>
        <v>6215.625</v>
      </c>
      <c r="T436" s="1372">
        <f t="shared" si="187"/>
        <v>36.958533070361433</v>
      </c>
      <c r="U436" s="1372">
        <f>T436-$T$435</f>
        <v>6.5714111658000078</v>
      </c>
      <c r="V436" s="1458">
        <f>S436-$S$435</f>
        <v>0</v>
      </c>
      <c r="W436" s="1366"/>
      <c r="X436" s="1366"/>
      <c r="Y436" s="1366"/>
      <c r="Z436" s="1366"/>
      <c r="AA436" s="1366"/>
      <c r="AB436" s="1366"/>
      <c r="AC436" s="1366"/>
      <c r="AD436" s="1366"/>
      <c r="AE436" s="1366"/>
      <c r="AF436" s="1366"/>
      <c r="AG436" s="1366"/>
      <c r="AH436" s="1366"/>
      <c r="AI436" s="1366"/>
      <c r="AJ436" s="1366"/>
      <c r="AK436" s="1366"/>
      <c r="AL436" s="1366"/>
      <c r="AM436" s="1366"/>
      <c r="AN436" s="1366"/>
      <c r="AO436" s="1366"/>
      <c r="AP436" s="1366"/>
      <c r="AQ436" s="1366"/>
      <c r="AR436" s="1366"/>
      <c r="AS436" s="1366"/>
      <c r="AT436" s="1366"/>
      <c r="AU436" s="1366"/>
      <c r="AV436" s="1366"/>
      <c r="AW436" s="1366"/>
      <c r="AX436" s="1366"/>
      <c r="AY436" s="1366"/>
      <c r="AZ436" s="1366"/>
      <c r="BA436" s="1366"/>
      <c r="BB436" s="1366"/>
      <c r="BC436" s="1366"/>
      <c r="BD436" s="1366"/>
      <c r="BE436" s="1366"/>
      <c r="BF436" s="1366"/>
      <c r="BG436" s="1366"/>
      <c r="BH436" s="1366"/>
      <c r="BI436" s="1366"/>
      <c r="BJ436" s="1366"/>
      <c r="BK436" s="1366"/>
      <c r="BL436" s="1366"/>
      <c r="BM436" s="1366"/>
      <c r="BN436" s="1366"/>
      <c r="BO436" s="1366"/>
      <c r="BP436" s="1366"/>
      <c r="BQ436" s="1366"/>
      <c r="BR436" s="1366"/>
      <c r="BS436" s="1366"/>
      <c r="BT436" s="1366"/>
      <c r="BU436" s="1366"/>
      <c r="BV436" s="1366"/>
      <c r="BW436" s="1366"/>
      <c r="BX436" s="1366"/>
      <c r="BY436" s="1366"/>
      <c r="BZ436" s="1366"/>
      <c r="CA436" s="1366"/>
      <c r="CB436" s="1366"/>
      <c r="CC436" s="1366"/>
      <c r="CD436" s="1366"/>
      <c r="CE436" s="1366"/>
      <c r="CF436" s="1366"/>
      <c r="CG436" s="1366"/>
      <c r="CH436" s="1366"/>
      <c r="CI436" s="1366"/>
      <c r="CJ436" s="1366"/>
      <c r="CK436" s="1366"/>
      <c r="CL436" s="1366"/>
      <c r="CM436" s="1366"/>
      <c r="CN436" s="1366"/>
      <c r="CO436" s="1366"/>
      <c r="CP436" s="1366"/>
      <c r="CQ436" s="1366"/>
      <c r="CR436" s="1366"/>
      <c r="CS436" s="1366"/>
      <c r="CT436" s="1366"/>
      <c r="CU436" s="1366"/>
      <c r="CV436" s="1366"/>
      <c r="CW436" s="1366"/>
      <c r="CX436" s="1366"/>
      <c r="CY436" s="1366"/>
      <c r="CZ436" s="1366"/>
      <c r="DA436" s="1366"/>
      <c r="DB436" s="1366"/>
      <c r="DC436" s="1366"/>
      <c r="DD436" s="1366"/>
      <c r="DE436" s="1366"/>
      <c r="DF436" s="1366"/>
      <c r="DG436" s="1366"/>
      <c r="DH436" s="1366"/>
      <c r="DI436" s="1366"/>
      <c r="DJ436" s="1366"/>
      <c r="DK436" s="1366"/>
      <c r="DL436" s="1366"/>
      <c r="DM436" s="1366"/>
      <c r="DN436" s="1366"/>
      <c r="DO436" s="1366"/>
      <c r="DP436" s="1366"/>
      <c r="DQ436" s="1366"/>
      <c r="DR436" s="1366"/>
      <c r="DS436" s="1366"/>
      <c r="DT436" s="1366"/>
      <c r="DU436" s="1366"/>
      <c r="DV436" s="1366"/>
    </row>
    <row r="437" spans="1:126" s="1367" customFormat="1" ht="30.75" thickBot="1">
      <c r="A437" s="2494"/>
      <c r="B437" s="1653">
        <v>168</v>
      </c>
      <c r="C437" s="1642" t="s">
        <v>49</v>
      </c>
      <c r="D437" s="1375" t="s">
        <v>2329</v>
      </c>
      <c r="E437" s="1364" t="s">
        <v>2102</v>
      </c>
      <c r="F437" s="1364" t="s">
        <v>2108</v>
      </c>
      <c r="G437" s="1185" t="s">
        <v>1796</v>
      </c>
      <c r="H437" s="1361">
        <f>((3000*'Equipment Results Matrix'!$R$899)+(0.85*'Equipment Results Matrix'!$R$900)+'Equipment Results Matrix'!$R$901+'Equipment Results Matrix'!$T$906)*(1+'Equipment Results Matrix'!$T$908)</f>
        <v>65508.360568352051</v>
      </c>
      <c r="I437" s="1371">
        <f t="shared" si="188"/>
        <v>172.30699999999999</v>
      </c>
      <c r="J437" s="1372">
        <f>'Labor Results Matrix'!$G$384*(1+'Labor Results Matrix'!$K$384)</f>
        <v>79.642809884289406</v>
      </c>
      <c r="K437" s="1372">
        <f t="shared" si="182"/>
        <v>13723.013642732254</v>
      </c>
      <c r="L437" s="1372">
        <f>(('Labor Results Matrix'!$I$401*3000)+'Labor Results Matrix'!$J$401)*(1+'Labor Results Matrix'!$K$395)</f>
        <v>37859.85</v>
      </c>
      <c r="M437" s="1372">
        <f t="shared" si="183"/>
        <v>117091.22421108431</v>
      </c>
      <c r="N437" s="1458">
        <f>M437-$M$435</f>
        <v>19714.233497400041</v>
      </c>
      <c r="O437" s="1361">
        <f t="shared" si="189"/>
        <v>21.836120189450682</v>
      </c>
      <c r="P437" s="1371">
        <f t="shared" si="190"/>
        <v>5.7435666666666663E-2</v>
      </c>
      <c r="Q437" s="1372">
        <f t="shared" si="191"/>
        <v>4.5743378809107513</v>
      </c>
      <c r="R437" s="1372">
        <f>'Labor Results Matrix'!$I$401*(1+'Labor Results Matrix'!$K$395)</f>
        <v>10.548074999999999</v>
      </c>
      <c r="S437" s="1372">
        <f>'Labor Results Matrix'!$J$401*(1+'Labor Results Matrix'!$K$395)</f>
        <v>6215.625</v>
      </c>
      <c r="T437" s="1372">
        <f t="shared" si="187"/>
        <v>36.958533070361433</v>
      </c>
      <c r="U437" s="1372">
        <f>T437-$T$435</f>
        <v>6.5714111658000078</v>
      </c>
      <c r="V437" s="1458">
        <f>S437-$S$435</f>
        <v>0</v>
      </c>
      <c r="W437" s="1366"/>
      <c r="X437" s="1366"/>
      <c r="Y437" s="1366"/>
      <c r="Z437" s="1366"/>
      <c r="AA437" s="1366"/>
      <c r="AB437" s="1366"/>
      <c r="AC437" s="1366"/>
      <c r="AD437" s="1366"/>
      <c r="AE437" s="1366"/>
      <c r="AF437" s="1366"/>
      <c r="AG437" s="1366"/>
      <c r="AH437" s="1366"/>
      <c r="AI437" s="1366"/>
      <c r="AJ437" s="1366"/>
      <c r="AK437" s="1366"/>
      <c r="AL437" s="1366"/>
      <c r="AM437" s="1366"/>
      <c r="AN437" s="1366"/>
      <c r="AO437" s="1366"/>
      <c r="AP437" s="1366"/>
      <c r="AQ437" s="1366"/>
      <c r="AR437" s="1366"/>
      <c r="AS437" s="1366"/>
      <c r="AT437" s="1366"/>
      <c r="AU437" s="1366"/>
      <c r="AV437" s="1366"/>
      <c r="AW437" s="1366"/>
      <c r="AX437" s="1366"/>
      <c r="AY437" s="1366"/>
      <c r="AZ437" s="1366"/>
      <c r="BA437" s="1366"/>
      <c r="BB437" s="1366"/>
      <c r="BC437" s="1366"/>
      <c r="BD437" s="1366"/>
      <c r="BE437" s="1366"/>
      <c r="BF437" s="1366"/>
      <c r="BG437" s="1366"/>
      <c r="BH437" s="1366"/>
      <c r="BI437" s="1366"/>
      <c r="BJ437" s="1366"/>
      <c r="BK437" s="1366"/>
      <c r="BL437" s="1366"/>
      <c r="BM437" s="1366"/>
      <c r="BN437" s="1366"/>
      <c r="BO437" s="1366"/>
      <c r="BP437" s="1366"/>
      <c r="BQ437" s="1366"/>
      <c r="BR437" s="1366"/>
      <c r="BS437" s="1366"/>
      <c r="BT437" s="1366"/>
      <c r="BU437" s="1366"/>
      <c r="BV437" s="1366"/>
      <c r="BW437" s="1366"/>
      <c r="BX437" s="1366"/>
      <c r="BY437" s="1366"/>
      <c r="BZ437" s="1366"/>
      <c r="CA437" s="1366"/>
      <c r="CB437" s="1366"/>
      <c r="CC437" s="1366"/>
      <c r="CD437" s="1366"/>
      <c r="CE437" s="1366"/>
      <c r="CF437" s="1366"/>
      <c r="CG437" s="1366"/>
      <c r="CH437" s="1366"/>
      <c r="CI437" s="1366"/>
      <c r="CJ437" s="1366"/>
      <c r="CK437" s="1366"/>
      <c r="CL437" s="1366"/>
      <c r="CM437" s="1366"/>
      <c r="CN437" s="1366"/>
      <c r="CO437" s="1366"/>
      <c r="CP437" s="1366"/>
      <c r="CQ437" s="1366"/>
      <c r="CR437" s="1366"/>
      <c r="CS437" s="1366"/>
      <c r="CT437" s="1366"/>
      <c r="CU437" s="1366"/>
      <c r="CV437" s="1366"/>
      <c r="CW437" s="1366"/>
      <c r="CX437" s="1366"/>
      <c r="CY437" s="1366"/>
      <c r="CZ437" s="1366"/>
      <c r="DA437" s="1366"/>
      <c r="DB437" s="1366"/>
      <c r="DC437" s="1366"/>
      <c r="DD437" s="1366"/>
      <c r="DE437" s="1366"/>
      <c r="DF437" s="1366"/>
      <c r="DG437" s="1366"/>
      <c r="DH437" s="1366"/>
      <c r="DI437" s="1366"/>
      <c r="DJ437" s="1366"/>
      <c r="DK437" s="1366"/>
      <c r="DL437" s="1366"/>
      <c r="DM437" s="1366"/>
      <c r="DN437" s="1366"/>
      <c r="DO437" s="1366"/>
      <c r="DP437" s="1366"/>
      <c r="DQ437" s="1366"/>
      <c r="DR437" s="1366"/>
      <c r="DS437" s="1366"/>
      <c r="DT437" s="1366"/>
      <c r="DU437" s="1366"/>
      <c r="DV437" s="1366"/>
    </row>
    <row r="438" spans="1:126" s="1479" customFormat="1" ht="19.5" thickBot="1">
      <c r="A438" s="695"/>
      <c r="B438" s="1652"/>
      <c r="C438" s="1652"/>
      <c r="D438" s="1318"/>
      <c r="E438" s="1318"/>
      <c r="F438" s="1318"/>
      <c r="G438" s="1318"/>
      <c r="H438" s="1389"/>
      <c r="I438" s="1446"/>
      <c r="J438" s="1390"/>
      <c r="K438" s="1389"/>
      <c r="L438" s="1532"/>
      <c r="M438" s="1389"/>
      <c r="N438" s="1497"/>
      <c r="O438" s="1389"/>
      <c r="P438" s="1390"/>
      <c r="Q438" s="1390"/>
      <c r="R438" s="1446"/>
      <c r="S438" s="1446"/>
      <c r="T438" s="1498"/>
      <c r="U438" s="1498"/>
      <c r="V438" s="1497"/>
      <c r="W438" s="1490"/>
      <c r="X438" s="1490"/>
      <c r="Y438" s="327"/>
      <c r="Z438" s="327"/>
      <c r="AA438" s="327"/>
      <c r="AB438" s="1490"/>
      <c r="AC438" s="1490"/>
      <c r="AD438" s="1490"/>
      <c r="AE438" s="1490"/>
      <c r="AF438" s="327"/>
      <c r="AG438" s="327"/>
      <c r="AH438" s="327"/>
      <c r="AI438" s="327"/>
      <c r="AJ438" s="327"/>
      <c r="AK438" s="1478"/>
      <c r="AL438" s="1478"/>
      <c r="AM438" s="1478"/>
      <c r="AN438" s="1478"/>
      <c r="AO438" s="1478"/>
      <c r="AP438" s="1478"/>
      <c r="AQ438" s="1478"/>
      <c r="AR438" s="1478"/>
      <c r="AS438" s="1478"/>
      <c r="AT438" s="1478"/>
      <c r="AU438" s="1478"/>
      <c r="AV438" s="1478"/>
      <c r="AW438" s="1478"/>
      <c r="AX438" s="1478"/>
      <c r="AY438" s="1478"/>
      <c r="AZ438" s="1478"/>
      <c r="BA438" s="1478"/>
      <c r="BB438" s="1478"/>
      <c r="BC438" s="1478"/>
      <c r="BD438" s="1478"/>
      <c r="BE438" s="1478"/>
      <c r="BF438" s="1478"/>
      <c r="BG438" s="1478"/>
      <c r="BH438" s="1478"/>
      <c r="BI438" s="1478"/>
      <c r="BJ438" s="1478"/>
      <c r="BK438" s="327"/>
      <c r="BL438" s="327"/>
      <c r="BM438" s="327"/>
      <c r="BN438" s="327"/>
      <c r="BO438" s="327"/>
      <c r="BP438" s="327"/>
      <c r="BQ438" s="327"/>
      <c r="BR438" s="327"/>
      <c r="BS438" s="327"/>
      <c r="BT438" s="327"/>
      <c r="BU438" s="327"/>
      <c r="BV438" s="327"/>
      <c r="BW438" s="327"/>
      <c r="BX438" s="327"/>
      <c r="BY438" s="327"/>
      <c r="BZ438" s="327"/>
      <c r="CA438" s="327"/>
      <c r="CB438" s="327"/>
      <c r="CC438" s="327"/>
      <c r="CD438" s="327"/>
      <c r="CE438" s="327"/>
      <c r="CF438" s="327"/>
      <c r="CG438" s="327"/>
      <c r="CH438" s="327"/>
      <c r="CI438" s="327"/>
      <c r="CJ438" s="327"/>
      <c r="CK438" s="327"/>
      <c r="CL438" s="327"/>
      <c r="CM438" s="327"/>
      <c r="CN438" s="327"/>
      <c r="CO438" s="327"/>
      <c r="CP438" s="327"/>
      <c r="CQ438" s="327"/>
      <c r="CR438" s="327"/>
      <c r="CS438" s="327"/>
      <c r="CT438" s="327"/>
      <c r="CU438" s="327"/>
      <c r="CV438" s="327"/>
      <c r="CW438" s="327"/>
      <c r="CX438" s="327"/>
      <c r="CY438" s="327"/>
      <c r="CZ438" s="327"/>
      <c r="DA438" s="327"/>
      <c r="DB438" s="327"/>
      <c r="DC438" s="327"/>
      <c r="DD438" s="327"/>
      <c r="DE438" s="327"/>
      <c r="DF438" s="327"/>
      <c r="DG438" s="327"/>
      <c r="DH438" s="327"/>
      <c r="DI438" s="327"/>
      <c r="DJ438" s="327"/>
      <c r="DK438" s="327"/>
      <c r="DL438" s="327"/>
      <c r="DM438" s="327"/>
      <c r="DN438" s="327"/>
      <c r="DO438" s="327"/>
      <c r="DP438" s="327"/>
      <c r="DQ438" s="327"/>
      <c r="DR438" s="327"/>
      <c r="DS438" s="327"/>
      <c r="DT438" s="327"/>
      <c r="DU438" s="327"/>
      <c r="DV438" s="327"/>
    </row>
    <row r="439" spans="1:126" s="1367" customFormat="1" ht="30">
      <c r="A439" s="2493" t="s">
        <v>1362</v>
      </c>
      <c r="B439" s="1653">
        <v>163</v>
      </c>
      <c r="C439" s="1642" t="s">
        <v>47</v>
      </c>
      <c r="D439" s="1375" t="s">
        <v>2331</v>
      </c>
      <c r="E439" s="1364" t="s">
        <v>2102</v>
      </c>
      <c r="F439" s="1364" t="s">
        <v>2108</v>
      </c>
      <c r="G439" s="1185" t="s">
        <v>1796</v>
      </c>
      <c r="H439" s="1361">
        <f>H428</f>
        <v>2574.3950466000097</v>
      </c>
      <c r="I439" s="1371">
        <f t="shared" ref="I439:M439" si="192">I428</f>
        <v>34.837000000000003</v>
      </c>
      <c r="J439" s="1372">
        <f t="shared" si="192"/>
        <v>79.642809884289406</v>
      </c>
      <c r="K439" s="1372">
        <f t="shared" si="192"/>
        <v>2774.5165679389902</v>
      </c>
      <c r="L439" s="1372">
        <f t="shared" si="192"/>
        <v>10842.28125</v>
      </c>
      <c r="M439" s="1372">
        <f t="shared" si="192"/>
        <v>16191.192864539</v>
      </c>
      <c r="N439" s="1455" t="s">
        <v>40</v>
      </c>
      <c r="O439" s="1361">
        <f>O428</f>
        <v>10.297580186400038</v>
      </c>
      <c r="P439" s="1372">
        <f t="shared" ref="P439:T439" si="193">P428</f>
        <v>0.139348</v>
      </c>
      <c r="Q439" s="1372">
        <f t="shared" si="193"/>
        <v>11.098066271755961</v>
      </c>
      <c r="R439" s="1372">
        <f t="shared" si="193"/>
        <v>36.611624999999997</v>
      </c>
      <c r="S439" s="1372">
        <f t="shared" si="193"/>
        <v>1689.3749999999998</v>
      </c>
      <c r="T439" s="1372">
        <f t="shared" si="193"/>
        <v>58.007271458155998</v>
      </c>
      <c r="U439" s="1417" t="s">
        <v>40</v>
      </c>
      <c r="V439" s="1455" t="s">
        <v>40</v>
      </c>
      <c r="W439" s="1366"/>
      <c r="X439" s="1366"/>
      <c r="Y439" s="1366"/>
      <c r="Z439" s="1366"/>
      <c r="AA439" s="1366"/>
      <c r="AB439" s="1366"/>
      <c r="AC439" s="1366"/>
      <c r="AD439" s="1366"/>
      <c r="AE439" s="1366"/>
      <c r="AF439" s="1366"/>
      <c r="AG439" s="1366"/>
      <c r="AH439" s="1366"/>
      <c r="AI439" s="1366"/>
      <c r="AJ439" s="1366"/>
      <c r="AK439" s="1366"/>
      <c r="AL439" s="1366"/>
      <c r="AM439" s="1366"/>
      <c r="AN439" s="1366"/>
      <c r="AO439" s="1366"/>
      <c r="AP439" s="1366"/>
      <c r="AQ439" s="1366"/>
      <c r="AR439" s="1366"/>
      <c r="AS439" s="1366"/>
      <c r="AT439" s="1366"/>
      <c r="AU439" s="1366"/>
      <c r="AV439" s="1366"/>
      <c r="AW439" s="1366"/>
      <c r="AX439" s="1366"/>
      <c r="AY439" s="1366"/>
      <c r="AZ439" s="1366"/>
      <c r="BA439" s="1366"/>
      <c r="BB439" s="1366"/>
      <c r="BC439" s="1366"/>
      <c r="BD439" s="1366"/>
      <c r="BE439" s="1366"/>
      <c r="BF439" s="1366"/>
      <c r="BG439" s="1366"/>
      <c r="BH439" s="1366"/>
      <c r="BI439" s="1366"/>
      <c r="BJ439" s="1366"/>
      <c r="BK439" s="1366"/>
      <c r="BL439" s="1366"/>
      <c r="BM439" s="1366"/>
      <c r="BN439" s="1366"/>
      <c r="BO439" s="1366"/>
      <c r="BP439" s="1366"/>
      <c r="BQ439" s="1366"/>
      <c r="BR439" s="1366"/>
      <c r="BS439" s="1366"/>
      <c r="BT439" s="1366"/>
      <c r="BU439" s="1366"/>
      <c r="BV439" s="1366"/>
      <c r="BW439" s="1366"/>
      <c r="BX439" s="1366"/>
      <c r="BY439" s="1366"/>
      <c r="BZ439" s="1366"/>
      <c r="CA439" s="1366"/>
      <c r="CB439" s="1366"/>
      <c r="CC439" s="1366"/>
      <c r="CD439" s="1366"/>
      <c r="CE439" s="1366"/>
      <c r="CF439" s="1366"/>
      <c r="CG439" s="1366"/>
      <c r="CH439" s="1366"/>
      <c r="CI439" s="1366"/>
      <c r="CJ439" s="1366"/>
      <c r="CK439" s="1366"/>
      <c r="CL439" s="1366"/>
      <c r="CM439" s="1366"/>
      <c r="CN439" s="1366"/>
      <c r="CO439" s="1366"/>
      <c r="CP439" s="1366"/>
      <c r="CQ439" s="1366"/>
      <c r="CR439" s="1366"/>
      <c r="CS439" s="1366"/>
      <c r="CT439" s="1366"/>
      <c r="CU439" s="1366"/>
      <c r="CV439" s="1366"/>
      <c r="CW439" s="1366"/>
      <c r="CX439" s="1366"/>
      <c r="CY439" s="1366"/>
      <c r="CZ439" s="1366"/>
      <c r="DA439" s="1366"/>
      <c r="DB439" s="1366"/>
      <c r="DC439" s="1366"/>
      <c r="DD439" s="1366"/>
      <c r="DE439" s="1366"/>
      <c r="DF439" s="1366"/>
      <c r="DG439" s="1366"/>
      <c r="DH439" s="1366"/>
      <c r="DI439" s="1366"/>
      <c r="DJ439" s="1366"/>
      <c r="DK439" s="1366"/>
      <c r="DL439" s="1366"/>
      <c r="DM439" s="1366"/>
      <c r="DN439" s="1366"/>
      <c r="DO439" s="1366"/>
      <c r="DP439" s="1366"/>
      <c r="DQ439" s="1366"/>
      <c r="DR439" s="1366"/>
      <c r="DS439" s="1366"/>
      <c r="DT439" s="1366"/>
      <c r="DU439" s="1366"/>
      <c r="DV439" s="1366"/>
    </row>
    <row r="440" spans="1:126" s="1367" customFormat="1" ht="30">
      <c r="A440" s="2494"/>
      <c r="B440" s="1653">
        <v>163</v>
      </c>
      <c r="C440" s="1642" t="s">
        <v>49</v>
      </c>
      <c r="D440" s="1375" t="s">
        <v>2332</v>
      </c>
      <c r="E440" s="1364" t="s">
        <v>2102</v>
      </c>
      <c r="F440" s="1364" t="s">
        <v>2108</v>
      </c>
      <c r="G440" s="1185" t="s">
        <v>1796</v>
      </c>
      <c r="H440" s="1361">
        <f>((250*'Equipment Results Matrix'!$R$912)+(0.94*'Equipment Results Matrix'!$R$913)+'Equipment Results Matrix'!$R$914+'Equipment Results Matrix'!$T$919)*(1+'Equipment Results Matrix'!$T$921)</f>
        <v>10075.138226010009</v>
      </c>
      <c r="I440" s="1371">
        <f>0.07*250+5.6985</f>
        <v>23.198499999999999</v>
      </c>
      <c r="J440" s="1372">
        <f>'Labor Results Matrix'!$G$414*(1+'Labor Results Matrix'!$K$414)</f>
        <v>76.468318945260449</v>
      </c>
      <c r="K440" s="1372">
        <f>I440*J440</f>
        <v>1773.9502970516244</v>
      </c>
      <c r="L440" s="1372">
        <f>(('Labor Results Matrix'!$I$415*250)+'Labor Results Matrix'!$J$415)*(1+'Labor Results Matrix'!$K$414)</f>
        <v>10842.28125</v>
      </c>
      <c r="M440" s="1372">
        <f>H440+K440+L440</f>
        <v>22691.369773061633</v>
      </c>
      <c r="N440" s="1458">
        <f>M440-M439</f>
        <v>6500.1769085226333</v>
      </c>
      <c r="O440" s="1361">
        <f>H440/250</f>
        <v>40.300552904040039</v>
      </c>
      <c r="P440" s="1417">
        <f>I440/250</f>
        <v>9.2794000000000001E-2</v>
      </c>
      <c r="Q440" s="1372">
        <f>K440/250</f>
        <v>7.0958011882064973</v>
      </c>
      <c r="R440" s="1417">
        <f>'Labor Results Matrix'!I415*(1+'Labor Results Matrix'!$K$414)</f>
        <v>36.611624999999997</v>
      </c>
      <c r="S440" s="1417">
        <f>'Labor Results Matrix'!J415*(1+'Labor Results Matrix'!$K$414)</f>
        <v>1689.3749999999998</v>
      </c>
      <c r="T440" s="1372">
        <f>O440+Q440+R440</f>
        <v>84.007979092246529</v>
      </c>
      <c r="U440" s="1372">
        <f>T440-T439</f>
        <v>26.000707634090531</v>
      </c>
      <c r="V440" s="1458">
        <f>S440-S439</f>
        <v>0</v>
      </c>
      <c r="W440" s="1366"/>
      <c r="X440" s="1366"/>
      <c r="Y440" s="1366"/>
      <c r="Z440" s="1366"/>
      <c r="AA440" s="1366"/>
      <c r="AB440" s="1366"/>
      <c r="AC440" s="1366"/>
      <c r="AD440" s="1366"/>
      <c r="AE440" s="1366"/>
      <c r="AF440" s="1366"/>
      <c r="AG440" s="1366"/>
      <c r="AH440" s="1366"/>
      <c r="AI440" s="1366"/>
      <c r="AJ440" s="1366"/>
      <c r="AK440" s="1366"/>
      <c r="AL440" s="1366"/>
      <c r="AM440" s="1366"/>
      <c r="AN440" s="1366"/>
      <c r="AO440" s="1366"/>
      <c r="AP440" s="1366"/>
      <c r="AQ440" s="1366"/>
      <c r="AR440" s="1366"/>
      <c r="AS440" s="1366"/>
      <c r="AT440" s="1366"/>
      <c r="AU440" s="1366"/>
      <c r="AV440" s="1366"/>
      <c r="AW440" s="1366"/>
      <c r="AX440" s="1366"/>
      <c r="AY440" s="1366"/>
      <c r="AZ440" s="1366"/>
      <c r="BA440" s="1366"/>
      <c r="BB440" s="1366"/>
      <c r="BC440" s="1366"/>
      <c r="BD440" s="1366"/>
      <c r="BE440" s="1366"/>
      <c r="BF440" s="1366"/>
      <c r="BG440" s="1366"/>
      <c r="BH440" s="1366"/>
      <c r="BI440" s="1366"/>
      <c r="BJ440" s="1366"/>
      <c r="BK440" s="1366"/>
      <c r="BL440" s="1366"/>
      <c r="BM440" s="1366"/>
      <c r="BN440" s="1366"/>
      <c r="BO440" s="1366"/>
      <c r="BP440" s="1366"/>
      <c r="BQ440" s="1366"/>
      <c r="BR440" s="1366"/>
      <c r="BS440" s="1366"/>
      <c r="BT440" s="1366"/>
      <c r="BU440" s="1366"/>
      <c r="BV440" s="1366"/>
      <c r="BW440" s="1366"/>
      <c r="BX440" s="1366"/>
      <c r="BY440" s="1366"/>
      <c r="BZ440" s="1366"/>
      <c r="CA440" s="1366"/>
      <c r="CB440" s="1366"/>
      <c r="CC440" s="1366"/>
      <c r="CD440" s="1366"/>
      <c r="CE440" s="1366"/>
      <c r="CF440" s="1366"/>
      <c r="CG440" s="1366"/>
      <c r="CH440" s="1366"/>
      <c r="CI440" s="1366"/>
      <c r="CJ440" s="1366"/>
      <c r="CK440" s="1366"/>
      <c r="CL440" s="1366"/>
      <c r="CM440" s="1366"/>
      <c r="CN440" s="1366"/>
      <c r="CO440" s="1366"/>
      <c r="CP440" s="1366"/>
      <c r="CQ440" s="1366"/>
      <c r="CR440" s="1366"/>
      <c r="CS440" s="1366"/>
      <c r="CT440" s="1366"/>
      <c r="CU440" s="1366"/>
      <c r="CV440" s="1366"/>
      <c r="CW440" s="1366"/>
      <c r="CX440" s="1366"/>
      <c r="CY440" s="1366"/>
      <c r="CZ440" s="1366"/>
      <c r="DA440" s="1366"/>
      <c r="DB440" s="1366"/>
      <c r="DC440" s="1366"/>
      <c r="DD440" s="1366"/>
      <c r="DE440" s="1366"/>
      <c r="DF440" s="1366"/>
      <c r="DG440" s="1366"/>
      <c r="DH440" s="1366"/>
      <c r="DI440" s="1366"/>
      <c r="DJ440" s="1366"/>
      <c r="DK440" s="1366"/>
      <c r="DL440" s="1366"/>
      <c r="DM440" s="1366"/>
      <c r="DN440" s="1366"/>
      <c r="DO440" s="1366"/>
      <c r="DP440" s="1366"/>
      <c r="DQ440" s="1366"/>
      <c r="DR440" s="1366"/>
      <c r="DS440" s="1366"/>
      <c r="DT440" s="1366"/>
      <c r="DU440" s="1366"/>
      <c r="DV440" s="1366"/>
    </row>
    <row r="441" spans="1:126" s="1367" customFormat="1" ht="30">
      <c r="A441" s="2494"/>
      <c r="B441" s="1653">
        <v>166</v>
      </c>
      <c r="C441" s="1642" t="s">
        <v>47</v>
      </c>
      <c r="D441" s="1375" t="s">
        <v>2333</v>
      </c>
      <c r="E441" s="1364" t="s">
        <v>2102</v>
      </c>
      <c r="F441" s="1364" t="s">
        <v>2108</v>
      </c>
      <c r="G441" s="1185" t="s">
        <v>1796</v>
      </c>
      <c r="H441" s="1361">
        <f>H432</f>
        <v>17640.703070951964</v>
      </c>
      <c r="I441" s="1371">
        <f t="shared" ref="I441:M441" si="194">I432</f>
        <v>97.106999999999999</v>
      </c>
      <c r="J441" s="1372">
        <f t="shared" si="194"/>
        <v>79.642809884289406</v>
      </c>
      <c r="K441" s="1372">
        <f t="shared" si="194"/>
        <v>7733.8743394336916</v>
      </c>
      <c r="L441" s="1372">
        <f t="shared" si="194"/>
        <v>27618.922499999997</v>
      </c>
      <c r="M441" s="1372">
        <f t="shared" si="194"/>
        <v>52993.499910385653</v>
      </c>
      <c r="N441" s="1455" t="s">
        <v>40</v>
      </c>
      <c r="O441" s="1361">
        <f>O432</f>
        <v>12.600502193537118</v>
      </c>
      <c r="P441" s="1372">
        <f t="shared" ref="P441:T441" si="195">P432</f>
        <v>6.9362142857142858E-2</v>
      </c>
      <c r="Q441" s="1372">
        <f t="shared" si="195"/>
        <v>5.5241959567383514</v>
      </c>
      <c r="R441" s="1372">
        <f t="shared" si="195"/>
        <v>16.5858375</v>
      </c>
      <c r="S441" s="1372">
        <f t="shared" si="195"/>
        <v>4398.75</v>
      </c>
      <c r="T441" s="1372">
        <f t="shared" si="195"/>
        <v>34.710535650275474</v>
      </c>
      <c r="U441" s="1417" t="s">
        <v>40</v>
      </c>
      <c r="V441" s="1455" t="s">
        <v>40</v>
      </c>
      <c r="W441" s="1366"/>
      <c r="X441" s="1366"/>
      <c r="Y441" s="1366"/>
      <c r="Z441" s="1366"/>
      <c r="AA441" s="1366"/>
      <c r="AB441" s="1366"/>
      <c r="AC441" s="1366"/>
      <c r="AD441" s="1366"/>
      <c r="AE441" s="1366"/>
      <c r="AF441" s="1366"/>
      <c r="AG441" s="1366"/>
      <c r="AH441" s="1366"/>
      <c r="AI441" s="1366"/>
      <c r="AJ441" s="1366"/>
      <c r="AK441" s="1366"/>
      <c r="AL441" s="1366"/>
      <c r="AM441" s="1366"/>
      <c r="AN441" s="1366"/>
      <c r="AO441" s="1366"/>
      <c r="AP441" s="1366"/>
      <c r="AQ441" s="1366"/>
      <c r="AR441" s="1366"/>
      <c r="AS441" s="1366"/>
      <c r="AT441" s="1366"/>
      <c r="AU441" s="1366"/>
      <c r="AV441" s="1366"/>
      <c r="AW441" s="1366"/>
      <c r="AX441" s="1366"/>
      <c r="AY441" s="1366"/>
      <c r="AZ441" s="1366"/>
      <c r="BA441" s="1366"/>
      <c r="BB441" s="1366"/>
      <c r="BC441" s="1366"/>
      <c r="BD441" s="1366"/>
      <c r="BE441" s="1366"/>
      <c r="BF441" s="1366"/>
      <c r="BG441" s="1366"/>
      <c r="BH441" s="1366"/>
      <c r="BI441" s="1366"/>
      <c r="BJ441" s="1366"/>
      <c r="BK441" s="1366"/>
      <c r="BL441" s="1366"/>
      <c r="BM441" s="1366"/>
      <c r="BN441" s="1366"/>
      <c r="BO441" s="1366"/>
      <c r="BP441" s="1366"/>
      <c r="BQ441" s="1366"/>
      <c r="BR441" s="1366"/>
      <c r="BS441" s="1366"/>
      <c r="BT441" s="1366"/>
      <c r="BU441" s="1366"/>
      <c r="BV441" s="1366"/>
      <c r="BW441" s="1366"/>
      <c r="BX441" s="1366"/>
      <c r="BY441" s="1366"/>
      <c r="BZ441" s="1366"/>
      <c r="CA441" s="1366"/>
      <c r="CB441" s="1366"/>
      <c r="CC441" s="1366"/>
      <c r="CD441" s="1366"/>
      <c r="CE441" s="1366"/>
      <c r="CF441" s="1366"/>
      <c r="CG441" s="1366"/>
      <c r="CH441" s="1366"/>
      <c r="CI441" s="1366"/>
      <c r="CJ441" s="1366"/>
      <c r="CK441" s="1366"/>
      <c r="CL441" s="1366"/>
      <c r="CM441" s="1366"/>
      <c r="CN441" s="1366"/>
      <c r="CO441" s="1366"/>
      <c r="CP441" s="1366"/>
      <c r="CQ441" s="1366"/>
      <c r="CR441" s="1366"/>
      <c r="CS441" s="1366"/>
      <c r="CT441" s="1366"/>
      <c r="CU441" s="1366"/>
      <c r="CV441" s="1366"/>
      <c r="CW441" s="1366"/>
      <c r="CX441" s="1366"/>
      <c r="CY441" s="1366"/>
      <c r="CZ441" s="1366"/>
      <c r="DA441" s="1366"/>
      <c r="DB441" s="1366"/>
      <c r="DC441" s="1366"/>
      <c r="DD441" s="1366"/>
      <c r="DE441" s="1366"/>
      <c r="DF441" s="1366"/>
      <c r="DG441" s="1366"/>
      <c r="DH441" s="1366"/>
      <c r="DI441" s="1366"/>
      <c r="DJ441" s="1366"/>
      <c r="DK441" s="1366"/>
      <c r="DL441" s="1366"/>
      <c r="DM441" s="1366"/>
      <c r="DN441" s="1366"/>
      <c r="DO441" s="1366"/>
      <c r="DP441" s="1366"/>
      <c r="DQ441" s="1366"/>
      <c r="DR441" s="1366"/>
      <c r="DS441" s="1366"/>
      <c r="DT441" s="1366"/>
      <c r="DU441" s="1366"/>
      <c r="DV441" s="1366"/>
    </row>
    <row r="442" spans="1:126" s="1367" customFormat="1" ht="30.75" thickBot="1">
      <c r="A442" s="2494"/>
      <c r="B442" s="1653">
        <v>166</v>
      </c>
      <c r="C442" s="1642" t="s">
        <v>49</v>
      </c>
      <c r="D442" s="1375" t="s">
        <v>2330</v>
      </c>
      <c r="E442" s="1364" t="s">
        <v>2102</v>
      </c>
      <c r="F442" s="1364" t="s">
        <v>2108</v>
      </c>
      <c r="G442" s="1185" t="s">
        <v>1796</v>
      </c>
      <c r="H442" s="1361">
        <f>((1400*'Equipment Results Matrix'!$R$912)+(0.94*'Equipment Results Matrix'!$R$913)+'Equipment Results Matrix'!$R$914+'Equipment Results Matrix'!$T$919)*(1+'Equipment Results Matrix'!$T$921)</f>
        <v>24823.911226009997</v>
      </c>
      <c r="I442" s="1371">
        <f>0.07*1400+5.6985</f>
        <v>103.69850000000001</v>
      </c>
      <c r="J442" s="1372">
        <f>'Labor Results Matrix'!$G$414*(1+'Labor Results Matrix'!$K$414)</f>
        <v>76.468318945260449</v>
      </c>
      <c r="K442" s="1372">
        <f>I442*J442</f>
        <v>7929.6499721450919</v>
      </c>
      <c r="L442" s="1372">
        <f>(('Labor Results Matrix'!$I$420*1400)+'Labor Results Matrix'!$J$420)*(1+'Labor Results Matrix'!$K$414)</f>
        <v>27618.922499999997</v>
      </c>
      <c r="M442" s="1372">
        <f>H442+K442+L442</f>
        <v>60372.483698155091</v>
      </c>
      <c r="N442" s="1458">
        <f>M442-M441</f>
        <v>7378.9837877694372</v>
      </c>
      <c r="O442" s="1361">
        <f>H442/1400</f>
        <v>17.731365161435711</v>
      </c>
      <c r="P442" s="1417">
        <f>I442/1400</f>
        <v>7.4070357142857146E-2</v>
      </c>
      <c r="Q442" s="1372">
        <f>K442/1400</f>
        <v>5.6640356943893515</v>
      </c>
      <c r="R442" s="1417">
        <f>'Labor Results Matrix'!I420*(1+'Labor Results Matrix'!$K$414)</f>
        <v>16.5858375</v>
      </c>
      <c r="S442" s="1417">
        <f>'Labor Results Matrix'!J420*(1+'Labor Results Matrix'!$K$414)</f>
        <v>4398.75</v>
      </c>
      <c r="T442" s="1372">
        <f>O442+Q442+R442</f>
        <v>39.981238355825063</v>
      </c>
      <c r="U442" s="1372">
        <f>T442-T441</f>
        <v>5.2707027055495885</v>
      </c>
      <c r="V442" s="1458">
        <f>S442-S441</f>
        <v>0</v>
      </c>
      <c r="W442" s="1366"/>
      <c r="X442" s="1366"/>
      <c r="Y442" s="1366"/>
      <c r="Z442" s="1366"/>
      <c r="AA442" s="1366"/>
      <c r="AB442" s="1366"/>
      <c r="AC442" s="1366"/>
      <c r="AD442" s="1366"/>
      <c r="AE442" s="1366"/>
      <c r="AF442" s="1366"/>
      <c r="AG442" s="1366"/>
      <c r="AH442" s="1366"/>
      <c r="AI442" s="1366"/>
      <c r="AJ442" s="1366"/>
      <c r="AK442" s="1366"/>
      <c r="AL442" s="1366"/>
      <c r="AM442" s="1366"/>
      <c r="AN442" s="1366"/>
      <c r="AO442" s="1366"/>
      <c r="AP442" s="1366"/>
      <c r="AQ442" s="1366"/>
      <c r="AR442" s="1366"/>
      <c r="AS442" s="1366"/>
      <c r="AT442" s="1366"/>
      <c r="AU442" s="1366"/>
      <c r="AV442" s="1366"/>
      <c r="AW442" s="1366"/>
      <c r="AX442" s="1366"/>
      <c r="AY442" s="1366"/>
      <c r="AZ442" s="1366"/>
      <c r="BA442" s="1366"/>
      <c r="BB442" s="1366"/>
      <c r="BC442" s="1366"/>
      <c r="BD442" s="1366"/>
      <c r="BE442" s="1366"/>
      <c r="BF442" s="1366"/>
      <c r="BG442" s="1366"/>
      <c r="BH442" s="1366"/>
      <c r="BI442" s="1366"/>
      <c r="BJ442" s="1366"/>
      <c r="BK442" s="1366"/>
      <c r="BL442" s="1366"/>
      <c r="BM442" s="1366"/>
      <c r="BN442" s="1366"/>
      <c r="BO442" s="1366"/>
      <c r="BP442" s="1366"/>
      <c r="BQ442" s="1366"/>
      <c r="BR442" s="1366"/>
      <c r="BS442" s="1366"/>
      <c r="BT442" s="1366"/>
      <c r="BU442" s="1366"/>
      <c r="BV442" s="1366"/>
      <c r="BW442" s="1366"/>
      <c r="BX442" s="1366"/>
      <c r="BY442" s="1366"/>
      <c r="BZ442" s="1366"/>
      <c r="CA442" s="1366"/>
      <c r="CB442" s="1366"/>
      <c r="CC442" s="1366"/>
      <c r="CD442" s="1366"/>
      <c r="CE442" s="1366"/>
      <c r="CF442" s="1366"/>
      <c r="CG442" s="1366"/>
      <c r="CH442" s="1366"/>
      <c r="CI442" s="1366"/>
      <c r="CJ442" s="1366"/>
      <c r="CK442" s="1366"/>
      <c r="CL442" s="1366"/>
      <c r="CM442" s="1366"/>
      <c r="CN442" s="1366"/>
      <c r="CO442" s="1366"/>
      <c r="CP442" s="1366"/>
      <c r="CQ442" s="1366"/>
      <c r="CR442" s="1366"/>
      <c r="CS442" s="1366"/>
      <c r="CT442" s="1366"/>
      <c r="CU442" s="1366"/>
      <c r="CV442" s="1366"/>
      <c r="CW442" s="1366"/>
      <c r="CX442" s="1366"/>
      <c r="CY442" s="1366"/>
      <c r="CZ442" s="1366"/>
      <c r="DA442" s="1366"/>
      <c r="DB442" s="1366"/>
      <c r="DC442" s="1366"/>
      <c r="DD442" s="1366"/>
      <c r="DE442" s="1366"/>
      <c r="DF442" s="1366"/>
      <c r="DG442" s="1366"/>
      <c r="DH442" s="1366"/>
      <c r="DI442" s="1366"/>
      <c r="DJ442" s="1366"/>
      <c r="DK442" s="1366"/>
      <c r="DL442" s="1366"/>
      <c r="DM442" s="1366"/>
      <c r="DN442" s="1366"/>
      <c r="DO442" s="1366"/>
      <c r="DP442" s="1366"/>
      <c r="DQ442" s="1366"/>
      <c r="DR442" s="1366"/>
      <c r="DS442" s="1366"/>
      <c r="DT442" s="1366"/>
      <c r="DU442" s="1366"/>
      <c r="DV442" s="1366"/>
    </row>
    <row r="443" spans="1:126" s="1367" customFormat="1" ht="24" thickBot="1">
      <c r="A443" s="721" t="s">
        <v>2737</v>
      </c>
      <c r="B443" s="1347"/>
      <c r="C443" s="1347"/>
      <c r="D443" s="1347"/>
      <c r="E443" s="1347"/>
      <c r="F443" s="1347"/>
      <c r="G443" s="1347"/>
      <c r="H443" s="1428"/>
      <c r="I443" s="1448"/>
      <c r="J443" s="1428"/>
      <c r="K443" s="1428"/>
      <c r="L443" s="1534"/>
      <c r="M443" s="1428"/>
      <c r="N443" s="1459"/>
      <c r="O443" s="1415"/>
      <c r="P443" s="1415"/>
      <c r="Q443" s="1415"/>
      <c r="R443" s="1415"/>
      <c r="S443" s="1415"/>
      <c r="T443" s="1415"/>
      <c r="U443" s="1415"/>
      <c r="V443" s="1454"/>
      <c r="W443" s="1366"/>
      <c r="X443" s="1366"/>
      <c r="Y443" s="1366"/>
      <c r="Z443" s="1366"/>
      <c r="AA443" s="1366"/>
      <c r="AB443" s="1366"/>
      <c r="AC443" s="1366"/>
      <c r="AD443" s="1366"/>
      <c r="AE443" s="1366"/>
      <c r="AF443" s="1366"/>
      <c r="AG443" s="1366"/>
      <c r="AH443" s="1366"/>
      <c r="AI443" s="1366"/>
      <c r="AJ443" s="1366"/>
      <c r="AK443" s="1366"/>
      <c r="AL443" s="1366"/>
      <c r="AM443" s="1366"/>
      <c r="AN443" s="1366"/>
      <c r="AO443" s="1366"/>
      <c r="AP443" s="1366"/>
      <c r="AQ443" s="1366"/>
      <c r="AR443" s="1366"/>
      <c r="AS443" s="1366"/>
      <c r="AT443" s="1366"/>
      <c r="AU443" s="1366"/>
      <c r="AV443" s="1366"/>
      <c r="AW443" s="1366"/>
      <c r="AX443" s="1366"/>
      <c r="AY443" s="1366"/>
      <c r="AZ443" s="1366"/>
      <c r="BA443" s="1366"/>
      <c r="BB443" s="1366"/>
      <c r="BC443" s="1366"/>
      <c r="BD443" s="1366"/>
      <c r="BE443" s="1366"/>
      <c r="BF443" s="1366"/>
      <c r="BG443" s="1366"/>
      <c r="BH443" s="1366"/>
      <c r="BI443" s="1366"/>
      <c r="BJ443" s="1366"/>
      <c r="BK443" s="1366"/>
      <c r="BL443" s="1366"/>
      <c r="BM443" s="1366"/>
      <c r="BN443" s="1366"/>
      <c r="BO443" s="1366"/>
      <c r="BP443" s="1366"/>
      <c r="BQ443" s="1366"/>
      <c r="BR443" s="1366"/>
      <c r="BS443" s="1366"/>
      <c r="BT443" s="1366"/>
      <c r="BU443" s="1366"/>
      <c r="BV443" s="1366"/>
      <c r="BW443" s="1366"/>
      <c r="BX443" s="1366"/>
      <c r="BY443" s="1366"/>
      <c r="BZ443" s="1366"/>
      <c r="CA443" s="1366"/>
      <c r="CB443" s="1366"/>
      <c r="CC443" s="1366"/>
      <c r="CD443" s="1366"/>
      <c r="CE443" s="1366"/>
      <c r="CF443" s="1366"/>
      <c r="CG443" s="1366"/>
      <c r="CH443" s="1366"/>
      <c r="CI443" s="1366"/>
      <c r="CJ443" s="1366"/>
      <c r="CK443" s="1366"/>
      <c r="CL443" s="1366"/>
      <c r="CM443" s="1366"/>
      <c r="CN443" s="1366"/>
      <c r="CO443" s="1366"/>
      <c r="CP443" s="1366"/>
      <c r="CQ443" s="1366"/>
      <c r="CR443" s="1366"/>
      <c r="CS443" s="1366"/>
      <c r="CT443" s="1366"/>
      <c r="CU443" s="1366"/>
      <c r="CV443" s="1366"/>
      <c r="CW443" s="1366"/>
      <c r="CX443" s="1366"/>
      <c r="CY443" s="1366"/>
      <c r="CZ443" s="1366"/>
      <c r="DA443" s="1366"/>
      <c r="DB443" s="1366"/>
      <c r="DC443" s="1366"/>
      <c r="DD443" s="1366"/>
      <c r="DE443" s="1366"/>
      <c r="DF443" s="1366"/>
      <c r="DG443" s="1366"/>
      <c r="DH443" s="1366"/>
      <c r="DI443" s="1366"/>
      <c r="DJ443" s="1366"/>
      <c r="DK443" s="1366"/>
      <c r="DL443" s="1366"/>
      <c r="DM443" s="1366"/>
      <c r="DN443" s="1366"/>
      <c r="DO443" s="1366"/>
      <c r="DP443" s="1366"/>
      <c r="DQ443" s="1366"/>
      <c r="DR443" s="1366"/>
      <c r="DS443" s="1366"/>
      <c r="DT443" s="1366"/>
      <c r="DU443" s="1366"/>
      <c r="DV443" s="1366"/>
    </row>
    <row r="444" spans="1:126" s="1378" customFormat="1" ht="15" customHeight="1">
      <c r="A444" s="2529" t="s">
        <v>912</v>
      </c>
      <c r="B444" s="1659" t="s">
        <v>2662</v>
      </c>
      <c r="C444" s="1671" t="s">
        <v>47</v>
      </c>
      <c r="D444" s="1396" t="s">
        <v>2335</v>
      </c>
      <c r="E444" s="1376" t="s">
        <v>2097</v>
      </c>
      <c r="F444" s="1376" t="s">
        <v>2627</v>
      </c>
      <c r="G444" s="1377" t="s">
        <v>1907</v>
      </c>
      <c r="H444" s="1514"/>
      <c r="I444" s="1419"/>
      <c r="J444" s="1513"/>
      <c r="K444" s="1513"/>
      <c r="L444" s="1420"/>
      <c r="M444" s="1513"/>
      <c r="N444" s="1465"/>
      <c r="O444" s="1429"/>
      <c r="P444" s="1430"/>
      <c r="Q444" s="1430"/>
      <c r="R444" s="1430"/>
      <c r="S444" s="1430"/>
      <c r="T444" s="1430"/>
      <c r="U444" s="1430"/>
      <c r="V444" s="1679"/>
      <c r="W444" s="1366"/>
      <c r="X444" s="1366"/>
      <c r="Y444" s="1366"/>
      <c r="Z444" s="1366"/>
      <c r="AA444" s="1366"/>
      <c r="AB444" s="1366"/>
      <c r="AC444" s="1366"/>
      <c r="AD444" s="1366"/>
      <c r="AE444" s="1366"/>
      <c r="AF444" s="1366"/>
      <c r="AG444" s="1366"/>
      <c r="AH444" s="1366"/>
      <c r="AI444" s="1366"/>
      <c r="AJ444" s="1366"/>
      <c r="AK444" s="1366"/>
      <c r="AL444" s="1366"/>
      <c r="AM444" s="1366"/>
      <c r="AN444" s="1366"/>
      <c r="AO444" s="1366"/>
      <c r="AP444" s="1366"/>
      <c r="AQ444" s="1366"/>
      <c r="AR444" s="1366"/>
      <c r="AS444" s="1366"/>
      <c r="AT444" s="1366"/>
      <c r="AU444" s="1366"/>
      <c r="AV444" s="1366"/>
      <c r="AW444" s="1366"/>
      <c r="AX444" s="1366"/>
      <c r="AY444" s="1366"/>
      <c r="AZ444" s="1366"/>
      <c r="BA444" s="1366"/>
      <c r="BB444" s="1366"/>
      <c r="BC444" s="1366"/>
      <c r="BD444" s="1366"/>
      <c r="BE444" s="1366"/>
      <c r="BF444" s="1366"/>
      <c r="BG444" s="1366"/>
      <c r="BH444" s="1366"/>
      <c r="BI444" s="1366"/>
      <c r="BJ444" s="1366"/>
      <c r="BK444" s="1366"/>
      <c r="BL444" s="1366"/>
      <c r="BM444" s="1366"/>
      <c r="BN444" s="1366"/>
      <c r="BO444" s="1366"/>
      <c r="BP444" s="1366"/>
      <c r="BQ444" s="1366"/>
      <c r="BR444" s="1366"/>
      <c r="BS444" s="1366"/>
      <c r="BT444" s="1366"/>
      <c r="BU444" s="1366"/>
      <c r="BV444" s="1366"/>
      <c r="BW444" s="1366"/>
      <c r="BX444" s="1366"/>
      <c r="BY444" s="1366"/>
      <c r="BZ444" s="1366"/>
      <c r="CA444" s="1366"/>
      <c r="CB444" s="1366"/>
      <c r="CC444" s="1366"/>
      <c r="CD444" s="1366"/>
      <c r="CE444" s="1366"/>
      <c r="CF444" s="1366"/>
      <c r="CG444" s="1366"/>
      <c r="CH444" s="1366"/>
      <c r="CI444" s="1366"/>
      <c r="CJ444" s="1366"/>
      <c r="CK444" s="1366"/>
      <c r="CL444" s="1366"/>
      <c r="CM444" s="1366"/>
      <c r="CN444" s="1366"/>
      <c r="CO444" s="1366"/>
      <c r="CP444" s="1366"/>
      <c r="CQ444" s="1366"/>
      <c r="CR444" s="1366"/>
      <c r="CS444" s="1366"/>
      <c r="CT444" s="1366"/>
      <c r="CU444" s="1366"/>
      <c r="CV444" s="1366"/>
      <c r="CW444" s="1366"/>
      <c r="CX444" s="1366"/>
      <c r="CY444" s="1366"/>
      <c r="CZ444" s="1366"/>
      <c r="DA444" s="1366"/>
      <c r="DB444" s="1366"/>
      <c r="DC444" s="1366"/>
      <c r="DD444" s="1366"/>
      <c r="DE444" s="1366"/>
      <c r="DF444" s="1366"/>
      <c r="DG444" s="1366"/>
      <c r="DH444" s="1366"/>
      <c r="DI444" s="1366"/>
      <c r="DJ444" s="1366"/>
      <c r="DK444" s="1366"/>
      <c r="DL444" s="1366"/>
      <c r="DM444" s="1366"/>
      <c r="DN444" s="1366"/>
      <c r="DO444" s="1366"/>
      <c r="DP444" s="1366"/>
      <c r="DQ444" s="1366"/>
      <c r="DR444" s="1366"/>
      <c r="DS444" s="1366"/>
      <c r="DT444" s="1366"/>
      <c r="DU444" s="1366"/>
      <c r="DV444" s="1366"/>
    </row>
    <row r="445" spans="1:126" s="1378" customFormat="1" ht="30">
      <c r="A445" s="2530"/>
      <c r="B445" s="1659">
        <v>201</v>
      </c>
      <c r="C445" s="1671" t="s">
        <v>49</v>
      </c>
      <c r="D445" s="1396" t="s">
        <v>2336</v>
      </c>
      <c r="E445" s="1376" t="s">
        <v>2097</v>
      </c>
      <c r="F445" s="1376" t="s">
        <v>2107</v>
      </c>
      <c r="G445" s="1377" t="s">
        <v>1907</v>
      </c>
      <c r="H445" s="1514"/>
      <c r="I445" s="1419"/>
      <c r="J445" s="1513"/>
      <c r="K445" s="1513"/>
      <c r="L445" s="1420"/>
      <c r="M445" s="1513"/>
      <c r="N445" s="1465"/>
      <c r="O445" s="1429"/>
      <c r="P445" s="1430"/>
      <c r="Q445" s="1430"/>
      <c r="R445" s="1430"/>
      <c r="S445" s="1430"/>
      <c r="T445" s="1430"/>
      <c r="U445" s="1430"/>
      <c r="V445" s="1679"/>
      <c r="W445" s="1366"/>
      <c r="X445" s="1366"/>
      <c r="Y445" s="1366"/>
      <c r="Z445" s="1366"/>
      <c r="AA445" s="1366"/>
      <c r="AB445" s="1366"/>
      <c r="AC445" s="1366"/>
      <c r="AD445" s="1366"/>
      <c r="AE445" s="1366"/>
      <c r="AF445" s="1366"/>
      <c r="AG445" s="1366"/>
      <c r="AH445" s="1366"/>
      <c r="AI445" s="1366"/>
      <c r="AJ445" s="1366"/>
      <c r="AK445" s="1366"/>
      <c r="AL445" s="1366"/>
      <c r="AM445" s="1366"/>
      <c r="AN445" s="1366"/>
      <c r="AO445" s="1366"/>
      <c r="AP445" s="1366"/>
      <c r="AQ445" s="1366"/>
      <c r="AR445" s="1366"/>
      <c r="AS445" s="1366"/>
      <c r="AT445" s="1366"/>
      <c r="AU445" s="1366"/>
      <c r="AV445" s="1366"/>
      <c r="AW445" s="1366"/>
      <c r="AX445" s="1366"/>
      <c r="AY445" s="1366"/>
      <c r="AZ445" s="1366"/>
      <c r="BA445" s="1366"/>
      <c r="BB445" s="1366"/>
      <c r="BC445" s="1366"/>
      <c r="BD445" s="1366"/>
      <c r="BE445" s="1366"/>
      <c r="BF445" s="1366"/>
      <c r="BG445" s="1366"/>
      <c r="BH445" s="1366"/>
      <c r="BI445" s="1366"/>
      <c r="BJ445" s="1366"/>
      <c r="BK445" s="1366"/>
      <c r="BL445" s="1366"/>
      <c r="BM445" s="1366"/>
      <c r="BN445" s="1366"/>
      <c r="BO445" s="1366"/>
      <c r="BP445" s="1366"/>
      <c r="BQ445" s="1366"/>
      <c r="BR445" s="1366"/>
      <c r="BS445" s="1366"/>
      <c r="BT445" s="1366"/>
      <c r="BU445" s="1366"/>
      <c r="BV445" s="1366"/>
      <c r="BW445" s="1366"/>
      <c r="BX445" s="1366"/>
      <c r="BY445" s="1366"/>
      <c r="BZ445" s="1366"/>
      <c r="CA445" s="1366"/>
      <c r="CB445" s="1366"/>
      <c r="CC445" s="1366"/>
      <c r="CD445" s="1366"/>
      <c r="CE445" s="1366"/>
      <c r="CF445" s="1366"/>
      <c r="CG445" s="1366"/>
      <c r="CH445" s="1366"/>
      <c r="CI445" s="1366"/>
      <c r="CJ445" s="1366"/>
      <c r="CK445" s="1366"/>
      <c r="CL445" s="1366"/>
      <c r="CM445" s="1366"/>
      <c r="CN445" s="1366"/>
      <c r="CO445" s="1366"/>
      <c r="CP445" s="1366"/>
      <c r="CQ445" s="1366"/>
      <c r="CR445" s="1366"/>
      <c r="CS445" s="1366"/>
      <c r="CT445" s="1366"/>
      <c r="CU445" s="1366"/>
      <c r="CV445" s="1366"/>
      <c r="CW445" s="1366"/>
      <c r="CX445" s="1366"/>
      <c r="CY445" s="1366"/>
      <c r="CZ445" s="1366"/>
      <c r="DA445" s="1366"/>
      <c r="DB445" s="1366"/>
      <c r="DC445" s="1366"/>
      <c r="DD445" s="1366"/>
      <c r="DE445" s="1366"/>
      <c r="DF445" s="1366"/>
      <c r="DG445" s="1366"/>
      <c r="DH445" s="1366"/>
      <c r="DI445" s="1366"/>
      <c r="DJ445" s="1366"/>
      <c r="DK445" s="1366"/>
      <c r="DL445" s="1366"/>
      <c r="DM445" s="1366"/>
      <c r="DN445" s="1366"/>
      <c r="DO445" s="1366"/>
      <c r="DP445" s="1366"/>
      <c r="DQ445" s="1366"/>
      <c r="DR445" s="1366"/>
      <c r="DS445" s="1366"/>
      <c r="DT445" s="1366"/>
      <c r="DU445" s="1366"/>
      <c r="DV445" s="1366"/>
    </row>
    <row r="446" spans="1:126" s="1378" customFormat="1" ht="30">
      <c r="A446" s="2530"/>
      <c r="B446" s="1659">
        <v>2225</v>
      </c>
      <c r="C446" s="1671" t="s">
        <v>49</v>
      </c>
      <c r="D446" s="1396" t="s">
        <v>2628</v>
      </c>
      <c r="E446" s="1376" t="s">
        <v>2097</v>
      </c>
      <c r="F446" s="1376" t="s">
        <v>2108</v>
      </c>
      <c r="G446" s="1377" t="s">
        <v>1907</v>
      </c>
      <c r="H446" s="1514"/>
      <c r="I446" s="1419"/>
      <c r="J446" s="1513"/>
      <c r="K446" s="1513"/>
      <c r="L446" s="1420"/>
      <c r="M446" s="1513"/>
      <c r="N446" s="1465"/>
      <c r="O446" s="1429"/>
      <c r="P446" s="1430"/>
      <c r="Q446" s="1430"/>
      <c r="R446" s="1430"/>
      <c r="S446" s="1430"/>
      <c r="T446" s="1430"/>
      <c r="U446" s="1430"/>
      <c r="V446" s="1679"/>
      <c r="W446" s="1366"/>
      <c r="X446" s="1366"/>
      <c r="Y446" s="1366"/>
      <c r="Z446" s="1366"/>
      <c r="AA446" s="1366"/>
      <c r="AB446" s="1366"/>
      <c r="AC446" s="1366"/>
      <c r="AD446" s="1366"/>
      <c r="AE446" s="1366"/>
      <c r="AF446" s="1366"/>
      <c r="AG446" s="1366"/>
      <c r="AH446" s="1366"/>
      <c r="AI446" s="1366"/>
      <c r="AJ446" s="1366"/>
      <c r="AK446" s="1366"/>
      <c r="AL446" s="1366"/>
      <c r="AM446" s="1366"/>
      <c r="AN446" s="1366"/>
      <c r="AO446" s="1366"/>
      <c r="AP446" s="1366"/>
      <c r="AQ446" s="1366"/>
      <c r="AR446" s="1366"/>
      <c r="AS446" s="1366"/>
      <c r="AT446" s="1366"/>
      <c r="AU446" s="1366"/>
      <c r="AV446" s="1366"/>
      <c r="AW446" s="1366"/>
      <c r="AX446" s="1366"/>
      <c r="AY446" s="1366"/>
      <c r="AZ446" s="1366"/>
      <c r="BA446" s="1366"/>
      <c r="BB446" s="1366"/>
      <c r="BC446" s="1366"/>
      <c r="BD446" s="1366"/>
      <c r="BE446" s="1366"/>
      <c r="BF446" s="1366"/>
      <c r="BG446" s="1366"/>
      <c r="BH446" s="1366"/>
      <c r="BI446" s="1366"/>
      <c r="BJ446" s="1366"/>
      <c r="BK446" s="1366"/>
      <c r="BL446" s="1366"/>
      <c r="BM446" s="1366"/>
      <c r="BN446" s="1366"/>
      <c r="BO446" s="1366"/>
      <c r="BP446" s="1366"/>
      <c r="BQ446" s="1366"/>
      <c r="BR446" s="1366"/>
      <c r="BS446" s="1366"/>
      <c r="BT446" s="1366"/>
      <c r="BU446" s="1366"/>
      <c r="BV446" s="1366"/>
      <c r="BW446" s="1366"/>
      <c r="BX446" s="1366"/>
      <c r="BY446" s="1366"/>
      <c r="BZ446" s="1366"/>
      <c r="CA446" s="1366"/>
      <c r="CB446" s="1366"/>
      <c r="CC446" s="1366"/>
      <c r="CD446" s="1366"/>
      <c r="CE446" s="1366"/>
      <c r="CF446" s="1366"/>
      <c r="CG446" s="1366"/>
      <c r="CH446" s="1366"/>
      <c r="CI446" s="1366"/>
      <c r="CJ446" s="1366"/>
      <c r="CK446" s="1366"/>
      <c r="CL446" s="1366"/>
      <c r="CM446" s="1366"/>
      <c r="CN446" s="1366"/>
      <c r="CO446" s="1366"/>
      <c r="CP446" s="1366"/>
      <c r="CQ446" s="1366"/>
      <c r="CR446" s="1366"/>
      <c r="CS446" s="1366"/>
      <c r="CT446" s="1366"/>
      <c r="CU446" s="1366"/>
      <c r="CV446" s="1366"/>
      <c r="CW446" s="1366"/>
      <c r="CX446" s="1366"/>
      <c r="CY446" s="1366"/>
      <c r="CZ446" s="1366"/>
      <c r="DA446" s="1366"/>
      <c r="DB446" s="1366"/>
      <c r="DC446" s="1366"/>
      <c r="DD446" s="1366"/>
      <c r="DE446" s="1366"/>
      <c r="DF446" s="1366"/>
      <c r="DG446" s="1366"/>
      <c r="DH446" s="1366"/>
      <c r="DI446" s="1366"/>
      <c r="DJ446" s="1366"/>
      <c r="DK446" s="1366"/>
      <c r="DL446" s="1366"/>
      <c r="DM446" s="1366"/>
      <c r="DN446" s="1366"/>
      <c r="DO446" s="1366"/>
      <c r="DP446" s="1366"/>
      <c r="DQ446" s="1366"/>
      <c r="DR446" s="1366"/>
      <c r="DS446" s="1366"/>
      <c r="DT446" s="1366"/>
      <c r="DU446" s="1366"/>
      <c r="DV446" s="1366"/>
    </row>
    <row r="447" spans="1:126" s="1367" customFormat="1" ht="30">
      <c r="A447" s="2530"/>
      <c r="B447" s="1656" t="s">
        <v>2629</v>
      </c>
      <c r="C447" s="1642" t="s">
        <v>47</v>
      </c>
      <c r="D447" s="1394" t="s">
        <v>2339</v>
      </c>
      <c r="E447" s="1364" t="s">
        <v>2097</v>
      </c>
      <c r="F447" s="1364" t="s">
        <v>2627</v>
      </c>
      <c r="G447" s="1185" t="s">
        <v>1907</v>
      </c>
      <c r="H447" s="1361">
        <f>('Equipment Results Matrix'!$R$979*0)+('Equipment Results Matrix'!$R$980*0)+('Equipment Results Matrix'!$R$978*1.5)+'Equipment Results Matrix'!$R$962+'Equipment Results Matrix'!$R$968+'Equipment Results Matrix'!$R$970+'Equipment Results Matrix'!$R$972+'Equipment Results Matrix'!$R$975+'Equipment Results Matrix'!$R$976+'Equipment Results Matrix'!$T$969</f>
        <v>1.1363265288286024</v>
      </c>
      <c r="I447" s="1371">
        <f>'Labor Results Matrix'!$E$470</f>
        <v>7.9629999999999992E-2</v>
      </c>
      <c r="J447" s="1372">
        <f>'Labor Results Matrix'!$G$470*(1+'Labor Results Matrix'!$K$470)</f>
        <v>72.260416710552065</v>
      </c>
      <c r="K447" s="1372">
        <f>I447*J447</f>
        <v>5.7540969826612605</v>
      </c>
      <c r="L447" s="1372">
        <v>0</v>
      </c>
      <c r="M447" s="1372">
        <f>H447+K447</f>
        <v>6.8904235114898631</v>
      </c>
      <c r="N447" s="1455" t="s">
        <v>40</v>
      </c>
      <c r="O447" s="1429"/>
      <c r="P447" s="1430"/>
      <c r="Q447" s="1430"/>
      <c r="R447" s="1430"/>
      <c r="S447" s="1430"/>
      <c r="T447" s="1430"/>
      <c r="U447" s="1430"/>
      <c r="V447" s="1679"/>
      <c r="W447" s="1366"/>
      <c r="X447" s="1366"/>
      <c r="Y447" s="1366"/>
      <c r="Z447" s="1366"/>
      <c r="AA447" s="1366"/>
      <c r="AB447" s="1366"/>
      <c r="AC447" s="1366"/>
      <c r="AD447" s="1366"/>
      <c r="AE447" s="1366"/>
      <c r="AF447" s="1366"/>
      <c r="AG447" s="1366"/>
      <c r="AH447" s="1366"/>
      <c r="AI447" s="1366"/>
      <c r="AJ447" s="1366"/>
      <c r="AK447" s="1366"/>
      <c r="AL447" s="1366"/>
      <c r="AM447" s="1366"/>
      <c r="AN447" s="1366"/>
      <c r="AO447" s="1366"/>
      <c r="AP447" s="1366"/>
      <c r="AQ447" s="1366"/>
      <c r="AR447" s="1366"/>
      <c r="AS447" s="1366"/>
      <c r="AT447" s="1366"/>
      <c r="AU447" s="1366"/>
      <c r="AV447" s="1366"/>
      <c r="AW447" s="1366"/>
      <c r="AX447" s="1366"/>
      <c r="AY447" s="1366"/>
      <c r="AZ447" s="1366"/>
      <c r="BA447" s="1366"/>
      <c r="BB447" s="1366"/>
      <c r="BC447" s="1366"/>
      <c r="BD447" s="1366"/>
      <c r="BE447" s="1366"/>
      <c r="BF447" s="1366"/>
      <c r="BG447" s="1366"/>
      <c r="BH447" s="1366"/>
      <c r="BI447" s="1366"/>
      <c r="BJ447" s="1366"/>
      <c r="BK447" s="1366"/>
      <c r="BL447" s="1366"/>
      <c r="BM447" s="1366"/>
      <c r="BN447" s="1366"/>
      <c r="BO447" s="1366"/>
      <c r="BP447" s="1366"/>
      <c r="BQ447" s="1366"/>
      <c r="BR447" s="1366"/>
      <c r="BS447" s="1366"/>
      <c r="BT447" s="1366"/>
      <c r="BU447" s="1366"/>
      <c r="BV447" s="1366"/>
      <c r="BW447" s="1366"/>
      <c r="BX447" s="1366"/>
      <c r="BY447" s="1366"/>
      <c r="BZ447" s="1366"/>
      <c r="CA447" s="1366"/>
      <c r="CB447" s="1366"/>
      <c r="CC447" s="1366"/>
      <c r="CD447" s="1366"/>
      <c r="CE447" s="1366"/>
      <c r="CF447" s="1366"/>
      <c r="CG447" s="1366"/>
      <c r="CH447" s="1366"/>
      <c r="CI447" s="1366"/>
      <c r="CJ447" s="1366"/>
      <c r="CK447" s="1366"/>
      <c r="CL447" s="1366"/>
      <c r="CM447" s="1366"/>
      <c r="CN447" s="1366"/>
      <c r="CO447" s="1366"/>
      <c r="CP447" s="1366"/>
      <c r="CQ447" s="1366"/>
      <c r="CR447" s="1366"/>
      <c r="CS447" s="1366"/>
      <c r="CT447" s="1366"/>
      <c r="CU447" s="1366"/>
      <c r="CV447" s="1366"/>
      <c r="CW447" s="1366"/>
      <c r="CX447" s="1366"/>
      <c r="CY447" s="1366"/>
      <c r="CZ447" s="1366"/>
      <c r="DA447" s="1366"/>
      <c r="DB447" s="1366"/>
      <c r="DC447" s="1366"/>
      <c r="DD447" s="1366"/>
      <c r="DE447" s="1366"/>
      <c r="DF447" s="1366"/>
      <c r="DG447" s="1366"/>
      <c r="DH447" s="1366"/>
      <c r="DI447" s="1366"/>
      <c r="DJ447" s="1366"/>
      <c r="DK447" s="1366"/>
      <c r="DL447" s="1366"/>
      <c r="DM447" s="1366"/>
      <c r="DN447" s="1366"/>
      <c r="DO447" s="1366"/>
      <c r="DP447" s="1366"/>
      <c r="DQ447" s="1366"/>
      <c r="DR447" s="1366"/>
      <c r="DS447" s="1366"/>
      <c r="DT447" s="1366"/>
      <c r="DU447" s="1366"/>
      <c r="DV447" s="1366"/>
    </row>
    <row r="448" spans="1:126" s="1367" customFormat="1" ht="30">
      <c r="A448" s="2530"/>
      <c r="B448" s="1657">
        <v>234</v>
      </c>
      <c r="C448" s="1642" t="s">
        <v>49</v>
      </c>
      <c r="D448" s="1379" t="s">
        <v>2346</v>
      </c>
      <c r="E448" s="1364" t="s">
        <v>2097</v>
      </c>
      <c r="F448" s="1364" t="s">
        <v>2107</v>
      </c>
      <c r="G448" s="1185" t="s">
        <v>1907</v>
      </c>
      <c r="H448" s="1361">
        <f>(7*'Equipment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2.6565158137312848</v>
      </c>
      <c r="I448" s="1371">
        <f>'Labor Results Matrix'!$E$532</f>
        <v>7.9629999999999992E-2</v>
      </c>
      <c r="J448" s="1372">
        <f>'Labor Results Matrix'!$G$532*(1+'Labor Results Matrix'!$K$532)</f>
        <v>72.260416710552065</v>
      </c>
      <c r="K448" s="1372">
        <f t="shared" ref="K448:K520" si="196">I448*J448</f>
        <v>5.7540969826612605</v>
      </c>
      <c r="L448" s="1372">
        <v>0</v>
      </c>
      <c r="M448" s="1372">
        <f t="shared" ref="M448:M520" si="197">H448+K448</f>
        <v>8.4106127963925452</v>
      </c>
      <c r="N448" s="1458">
        <f>M448-$M$447</f>
        <v>1.5201892849026821</v>
      </c>
      <c r="O448" s="1429"/>
      <c r="P448" s="1430"/>
      <c r="Q448" s="1430"/>
      <c r="R448" s="1430"/>
      <c r="S448" s="1430"/>
      <c r="T448" s="1430"/>
      <c r="U448" s="1430"/>
      <c r="V448" s="1679"/>
      <c r="W448" s="1366"/>
      <c r="X448" s="1366"/>
      <c r="Y448" s="1366"/>
      <c r="Z448" s="1366"/>
      <c r="AA448" s="1366"/>
      <c r="AB448" s="1366"/>
      <c r="AC448" s="1366"/>
      <c r="AD448" s="1366"/>
      <c r="AE448" s="1366"/>
      <c r="AF448" s="1366"/>
      <c r="AG448" s="1366"/>
      <c r="AH448" s="1366"/>
      <c r="AI448" s="1366"/>
      <c r="AJ448" s="1366"/>
      <c r="AK448" s="1366"/>
      <c r="AL448" s="1366"/>
      <c r="AM448" s="1366"/>
      <c r="AN448" s="1366"/>
      <c r="AO448" s="1366"/>
      <c r="AP448" s="1366"/>
      <c r="AQ448" s="1366"/>
      <c r="AR448" s="1366"/>
      <c r="AS448" s="1366"/>
      <c r="AT448" s="1366"/>
      <c r="AU448" s="1366"/>
      <c r="AV448" s="1366"/>
      <c r="AW448" s="1366"/>
      <c r="AX448" s="1366"/>
      <c r="AY448" s="1366"/>
      <c r="AZ448" s="1366"/>
      <c r="BA448" s="1366"/>
      <c r="BB448" s="1366"/>
      <c r="BC448" s="1366"/>
      <c r="BD448" s="1366"/>
      <c r="BE448" s="1366"/>
      <c r="BF448" s="1366"/>
      <c r="BG448" s="1366"/>
      <c r="BH448" s="1366"/>
      <c r="BI448" s="1366"/>
      <c r="BJ448" s="1366"/>
      <c r="BK448" s="1366"/>
      <c r="BL448" s="1366"/>
      <c r="BM448" s="1366"/>
      <c r="BN448" s="1366"/>
      <c r="BO448" s="1366"/>
      <c r="BP448" s="1366"/>
      <c r="BQ448" s="1366"/>
      <c r="BR448" s="1366"/>
      <c r="BS448" s="1366"/>
      <c r="BT448" s="1366"/>
      <c r="BU448" s="1366"/>
      <c r="BV448" s="1366"/>
      <c r="BW448" s="1366"/>
      <c r="BX448" s="1366"/>
      <c r="BY448" s="1366"/>
      <c r="BZ448" s="1366"/>
      <c r="CA448" s="1366"/>
      <c r="CB448" s="1366"/>
      <c r="CC448" s="1366"/>
      <c r="CD448" s="1366"/>
      <c r="CE448" s="1366"/>
      <c r="CF448" s="1366"/>
      <c r="CG448" s="1366"/>
      <c r="CH448" s="1366"/>
      <c r="CI448" s="1366"/>
      <c r="CJ448" s="1366"/>
      <c r="CK448" s="1366"/>
      <c r="CL448" s="1366"/>
      <c r="CM448" s="1366"/>
      <c r="CN448" s="1366"/>
      <c r="CO448" s="1366"/>
      <c r="CP448" s="1366"/>
      <c r="CQ448" s="1366"/>
      <c r="CR448" s="1366"/>
      <c r="CS448" s="1366"/>
      <c r="CT448" s="1366"/>
      <c r="CU448" s="1366"/>
      <c r="CV448" s="1366"/>
      <c r="CW448" s="1366"/>
      <c r="CX448" s="1366"/>
      <c r="CY448" s="1366"/>
      <c r="CZ448" s="1366"/>
      <c r="DA448" s="1366"/>
      <c r="DB448" s="1366"/>
      <c r="DC448" s="1366"/>
      <c r="DD448" s="1366"/>
      <c r="DE448" s="1366"/>
      <c r="DF448" s="1366"/>
      <c r="DG448" s="1366"/>
      <c r="DH448" s="1366"/>
      <c r="DI448" s="1366"/>
      <c r="DJ448" s="1366"/>
      <c r="DK448" s="1366"/>
      <c r="DL448" s="1366"/>
      <c r="DM448" s="1366"/>
      <c r="DN448" s="1366"/>
      <c r="DO448" s="1366"/>
      <c r="DP448" s="1366"/>
      <c r="DQ448" s="1366"/>
      <c r="DR448" s="1366"/>
      <c r="DS448" s="1366"/>
      <c r="DT448" s="1366"/>
      <c r="DU448" s="1366"/>
      <c r="DV448" s="1366"/>
    </row>
    <row r="449" spans="1:126" s="1367" customFormat="1" ht="30">
      <c r="A449" s="2530"/>
      <c r="B449" s="1653">
        <v>236</v>
      </c>
      <c r="C449" s="1642" t="s">
        <v>49</v>
      </c>
      <c r="D449" s="1375" t="s">
        <v>2347</v>
      </c>
      <c r="E449" s="1364" t="s">
        <v>2097</v>
      </c>
      <c r="F449" s="1364" t="s">
        <v>2107</v>
      </c>
      <c r="G449" s="1185" t="s">
        <v>1907</v>
      </c>
      <c r="H449" s="1361">
        <f>(8*'Equipment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2.7230158137312848</v>
      </c>
      <c r="I449" s="1371">
        <f>'Labor Results Matrix'!$E$532</f>
        <v>7.9629999999999992E-2</v>
      </c>
      <c r="J449" s="1372">
        <f>'Labor Results Matrix'!$G$532*(1+'Labor Results Matrix'!$K$532)</f>
        <v>72.260416710552065</v>
      </c>
      <c r="K449" s="1372">
        <f t="shared" si="196"/>
        <v>5.7540969826612605</v>
      </c>
      <c r="L449" s="1372">
        <v>0</v>
      </c>
      <c r="M449" s="1372">
        <f t="shared" si="197"/>
        <v>8.4771127963925448</v>
      </c>
      <c r="N449" s="1458">
        <f t="shared" ref="N449:N452" si="198">M449-$M$447</f>
        <v>1.5866892849026817</v>
      </c>
      <c r="O449" s="1429"/>
      <c r="P449" s="1430"/>
      <c r="Q449" s="1430"/>
      <c r="R449" s="1430"/>
      <c r="S449" s="1430"/>
      <c r="T449" s="1430"/>
      <c r="U449" s="1430"/>
      <c r="V449" s="1679"/>
      <c r="W449" s="1366"/>
      <c r="X449" s="1366"/>
      <c r="Y449" s="1366"/>
      <c r="Z449" s="1366"/>
      <c r="AA449" s="1366"/>
      <c r="AB449" s="1366"/>
      <c r="AC449" s="1366"/>
      <c r="AD449" s="1366"/>
      <c r="AE449" s="1366"/>
      <c r="AF449" s="1366"/>
      <c r="AG449" s="1366"/>
      <c r="AH449" s="1366"/>
      <c r="AI449" s="1366"/>
      <c r="AJ449" s="1366"/>
      <c r="AK449" s="1366"/>
      <c r="AL449" s="1366"/>
      <c r="AM449" s="1366"/>
      <c r="AN449" s="1366"/>
      <c r="AO449" s="1366"/>
      <c r="AP449" s="1366"/>
      <c r="AQ449" s="1366"/>
      <c r="AR449" s="1366"/>
      <c r="AS449" s="1366"/>
      <c r="AT449" s="1366"/>
      <c r="AU449" s="1366"/>
      <c r="AV449" s="1366"/>
      <c r="AW449" s="1366"/>
      <c r="AX449" s="1366"/>
      <c r="AY449" s="1366"/>
      <c r="AZ449" s="1366"/>
      <c r="BA449" s="1366"/>
      <c r="BB449" s="1366"/>
      <c r="BC449" s="1366"/>
      <c r="BD449" s="1366"/>
      <c r="BE449" s="1366"/>
      <c r="BF449" s="1366"/>
      <c r="BG449" s="1366"/>
      <c r="BH449" s="1366"/>
      <c r="BI449" s="1366"/>
      <c r="BJ449" s="1366"/>
      <c r="BK449" s="1366"/>
      <c r="BL449" s="1366"/>
      <c r="BM449" s="1366"/>
      <c r="BN449" s="1366"/>
      <c r="BO449" s="1366"/>
      <c r="BP449" s="1366"/>
      <c r="BQ449" s="1366"/>
      <c r="BR449" s="1366"/>
      <c r="BS449" s="1366"/>
      <c r="BT449" s="1366"/>
      <c r="BU449" s="1366"/>
      <c r="BV449" s="1366"/>
      <c r="BW449" s="1366"/>
      <c r="BX449" s="1366"/>
      <c r="BY449" s="1366"/>
      <c r="BZ449" s="1366"/>
      <c r="CA449" s="1366"/>
      <c r="CB449" s="1366"/>
      <c r="CC449" s="1366"/>
      <c r="CD449" s="1366"/>
      <c r="CE449" s="1366"/>
      <c r="CF449" s="1366"/>
      <c r="CG449" s="1366"/>
      <c r="CH449" s="1366"/>
      <c r="CI449" s="1366"/>
      <c r="CJ449" s="1366"/>
      <c r="CK449" s="1366"/>
      <c r="CL449" s="1366"/>
      <c r="CM449" s="1366"/>
      <c r="CN449" s="1366"/>
      <c r="CO449" s="1366"/>
      <c r="CP449" s="1366"/>
      <c r="CQ449" s="1366"/>
      <c r="CR449" s="1366"/>
      <c r="CS449" s="1366"/>
      <c r="CT449" s="1366"/>
      <c r="CU449" s="1366"/>
      <c r="CV449" s="1366"/>
      <c r="CW449" s="1366"/>
      <c r="CX449" s="1366"/>
      <c r="CY449" s="1366"/>
      <c r="CZ449" s="1366"/>
      <c r="DA449" s="1366"/>
      <c r="DB449" s="1366"/>
      <c r="DC449" s="1366"/>
      <c r="DD449" s="1366"/>
      <c r="DE449" s="1366"/>
      <c r="DF449" s="1366"/>
      <c r="DG449" s="1366"/>
      <c r="DH449" s="1366"/>
      <c r="DI449" s="1366"/>
      <c r="DJ449" s="1366"/>
      <c r="DK449" s="1366"/>
      <c r="DL449" s="1366"/>
      <c r="DM449" s="1366"/>
      <c r="DN449" s="1366"/>
      <c r="DO449" s="1366"/>
      <c r="DP449" s="1366"/>
      <c r="DQ449" s="1366"/>
      <c r="DR449" s="1366"/>
      <c r="DS449" s="1366"/>
      <c r="DT449" s="1366"/>
      <c r="DU449" s="1366"/>
      <c r="DV449" s="1366"/>
    </row>
    <row r="450" spans="1:126" s="1367" customFormat="1" ht="30">
      <c r="A450" s="2530"/>
      <c r="B450" s="1653">
        <v>237</v>
      </c>
      <c r="C450" s="1642" t="s">
        <v>49</v>
      </c>
      <c r="D450" s="1375" t="s">
        <v>2348</v>
      </c>
      <c r="E450" s="1364" t="s">
        <v>2097</v>
      </c>
      <c r="F450" s="1364" t="s">
        <v>2107</v>
      </c>
      <c r="G450" s="1185" t="s">
        <v>1907</v>
      </c>
      <c r="H450" s="1361">
        <f>(9*'Equipment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2.7895158137312848</v>
      </c>
      <c r="I450" s="1371">
        <f>'Labor Results Matrix'!$E$532</f>
        <v>7.9629999999999992E-2</v>
      </c>
      <c r="J450" s="1372">
        <f>'Labor Results Matrix'!$G$532*(1+'Labor Results Matrix'!$K$532)</f>
        <v>72.260416710552065</v>
      </c>
      <c r="K450" s="1372">
        <f t="shared" si="196"/>
        <v>5.7540969826612605</v>
      </c>
      <c r="L450" s="1372">
        <v>0</v>
      </c>
      <c r="M450" s="1372">
        <f t="shared" si="197"/>
        <v>8.5436127963925443</v>
      </c>
      <c r="N450" s="1458">
        <f t="shared" si="198"/>
        <v>1.6531892849026812</v>
      </c>
      <c r="O450" s="1429"/>
      <c r="P450" s="1430"/>
      <c r="Q450" s="1430"/>
      <c r="R450" s="1430"/>
      <c r="S450" s="1430"/>
      <c r="T450" s="1430"/>
      <c r="U450" s="1430"/>
      <c r="V450" s="1679"/>
      <c r="W450" s="1366"/>
      <c r="X450" s="1366"/>
      <c r="Y450" s="1366"/>
      <c r="Z450" s="1366"/>
      <c r="AA450" s="1366"/>
      <c r="AB450" s="1366"/>
      <c r="AC450" s="1366"/>
      <c r="AD450" s="1366"/>
      <c r="AE450" s="1366"/>
      <c r="AF450" s="1366"/>
      <c r="AG450" s="1366"/>
      <c r="AH450" s="1366"/>
      <c r="AI450" s="1366"/>
      <c r="AJ450" s="1366"/>
      <c r="AK450" s="1366"/>
      <c r="AL450" s="1366"/>
      <c r="AM450" s="1366"/>
      <c r="AN450" s="1366"/>
      <c r="AO450" s="1366"/>
      <c r="AP450" s="1366"/>
      <c r="AQ450" s="1366"/>
      <c r="AR450" s="1366"/>
      <c r="AS450" s="1366"/>
      <c r="AT450" s="1366"/>
      <c r="AU450" s="1366"/>
      <c r="AV450" s="1366"/>
      <c r="AW450" s="1366"/>
      <c r="AX450" s="1366"/>
      <c r="AY450" s="1366"/>
      <c r="AZ450" s="1366"/>
      <c r="BA450" s="1366"/>
      <c r="BB450" s="1366"/>
      <c r="BC450" s="1366"/>
      <c r="BD450" s="1366"/>
      <c r="BE450" s="1366"/>
      <c r="BF450" s="1366"/>
      <c r="BG450" s="1366"/>
      <c r="BH450" s="1366"/>
      <c r="BI450" s="1366"/>
      <c r="BJ450" s="1366"/>
      <c r="BK450" s="1366"/>
      <c r="BL450" s="1366"/>
      <c r="BM450" s="1366"/>
      <c r="BN450" s="1366"/>
      <c r="BO450" s="1366"/>
      <c r="BP450" s="1366"/>
      <c r="BQ450" s="1366"/>
      <c r="BR450" s="1366"/>
      <c r="BS450" s="1366"/>
      <c r="BT450" s="1366"/>
      <c r="BU450" s="1366"/>
      <c r="BV450" s="1366"/>
      <c r="BW450" s="1366"/>
      <c r="BX450" s="1366"/>
      <c r="BY450" s="1366"/>
      <c r="BZ450" s="1366"/>
      <c r="CA450" s="1366"/>
      <c r="CB450" s="1366"/>
      <c r="CC450" s="1366"/>
      <c r="CD450" s="1366"/>
      <c r="CE450" s="1366"/>
      <c r="CF450" s="1366"/>
      <c r="CG450" s="1366"/>
      <c r="CH450" s="1366"/>
      <c r="CI450" s="1366"/>
      <c r="CJ450" s="1366"/>
      <c r="CK450" s="1366"/>
      <c r="CL450" s="1366"/>
      <c r="CM450" s="1366"/>
      <c r="CN450" s="1366"/>
      <c r="CO450" s="1366"/>
      <c r="CP450" s="1366"/>
      <c r="CQ450" s="1366"/>
      <c r="CR450" s="1366"/>
      <c r="CS450" s="1366"/>
      <c r="CT450" s="1366"/>
      <c r="CU450" s="1366"/>
      <c r="CV450" s="1366"/>
      <c r="CW450" s="1366"/>
      <c r="CX450" s="1366"/>
      <c r="CY450" s="1366"/>
      <c r="CZ450" s="1366"/>
      <c r="DA450" s="1366"/>
      <c r="DB450" s="1366"/>
      <c r="DC450" s="1366"/>
      <c r="DD450" s="1366"/>
      <c r="DE450" s="1366"/>
      <c r="DF450" s="1366"/>
      <c r="DG450" s="1366"/>
      <c r="DH450" s="1366"/>
      <c r="DI450" s="1366"/>
      <c r="DJ450" s="1366"/>
      <c r="DK450" s="1366"/>
      <c r="DL450" s="1366"/>
      <c r="DM450" s="1366"/>
      <c r="DN450" s="1366"/>
      <c r="DO450" s="1366"/>
      <c r="DP450" s="1366"/>
      <c r="DQ450" s="1366"/>
      <c r="DR450" s="1366"/>
      <c r="DS450" s="1366"/>
      <c r="DT450" s="1366"/>
      <c r="DU450" s="1366"/>
      <c r="DV450" s="1366"/>
    </row>
    <row r="451" spans="1:126" s="1367" customFormat="1" ht="30">
      <c r="A451" s="2530"/>
      <c r="B451" s="1653">
        <v>202</v>
      </c>
      <c r="C451" s="1642" t="s">
        <v>49</v>
      </c>
      <c r="D451" s="1375" t="s">
        <v>2349</v>
      </c>
      <c r="E451" s="1364" t="s">
        <v>2097</v>
      </c>
      <c r="F451" s="1364" t="s">
        <v>2107</v>
      </c>
      <c r="G451" s="1185" t="s">
        <v>1907</v>
      </c>
      <c r="H451" s="1361">
        <f>(10*'Equipment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2.8560158137312848</v>
      </c>
      <c r="I451" s="1371">
        <f>'Labor Results Matrix'!$E$532</f>
        <v>7.9629999999999992E-2</v>
      </c>
      <c r="J451" s="1372">
        <f>'Labor Results Matrix'!$G$532*(1+'Labor Results Matrix'!$K$532)</f>
        <v>72.260416710552065</v>
      </c>
      <c r="K451" s="1372">
        <f t="shared" si="196"/>
        <v>5.7540969826612605</v>
      </c>
      <c r="L451" s="1372">
        <v>0</v>
      </c>
      <c r="M451" s="1372">
        <f t="shared" si="197"/>
        <v>8.6101127963925457</v>
      </c>
      <c r="N451" s="1458">
        <f t="shared" si="198"/>
        <v>1.7196892849026826</v>
      </c>
      <c r="O451" s="1429"/>
      <c r="P451" s="1430"/>
      <c r="Q451" s="1430"/>
      <c r="R451" s="1430"/>
      <c r="S451" s="1430"/>
      <c r="T451" s="1430"/>
      <c r="U451" s="1430"/>
      <c r="V451" s="1679"/>
      <c r="W451" s="1366"/>
      <c r="X451" s="1366"/>
      <c r="Y451" s="1366"/>
      <c r="Z451" s="1366"/>
      <c r="AA451" s="1366"/>
      <c r="AB451" s="1366"/>
      <c r="AC451" s="1366"/>
      <c r="AD451" s="1366"/>
      <c r="AE451" s="1366"/>
      <c r="AF451" s="1366"/>
      <c r="AG451" s="1366"/>
      <c r="AH451" s="1366"/>
      <c r="AI451" s="1366"/>
      <c r="AJ451" s="1366"/>
      <c r="AK451" s="1366"/>
      <c r="AL451" s="1366"/>
      <c r="AM451" s="1366"/>
      <c r="AN451" s="1366"/>
      <c r="AO451" s="1366"/>
      <c r="AP451" s="1366"/>
      <c r="AQ451" s="1366"/>
      <c r="AR451" s="1366"/>
      <c r="AS451" s="1366"/>
      <c r="AT451" s="1366"/>
      <c r="AU451" s="1366"/>
      <c r="AV451" s="1366"/>
      <c r="AW451" s="1366"/>
      <c r="AX451" s="1366"/>
      <c r="AY451" s="1366"/>
      <c r="AZ451" s="1366"/>
      <c r="BA451" s="1366"/>
      <c r="BB451" s="1366"/>
      <c r="BC451" s="1366"/>
      <c r="BD451" s="1366"/>
      <c r="BE451" s="1366"/>
      <c r="BF451" s="1366"/>
      <c r="BG451" s="1366"/>
      <c r="BH451" s="1366"/>
      <c r="BI451" s="1366"/>
      <c r="BJ451" s="1366"/>
      <c r="BK451" s="1366"/>
      <c r="BL451" s="1366"/>
      <c r="BM451" s="1366"/>
      <c r="BN451" s="1366"/>
      <c r="BO451" s="1366"/>
      <c r="BP451" s="1366"/>
      <c r="BQ451" s="1366"/>
      <c r="BR451" s="1366"/>
      <c r="BS451" s="1366"/>
      <c r="BT451" s="1366"/>
      <c r="BU451" s="1366"/>
      <c r="BV451" s="1366"/>
      <c r="BW451" s="1366"/>
      <c r="BX451" s="1366"/>
      <c r="BY451" s="1366"/>
      <c r="BZ451" s="1366"/>
      <c r="CA451" s="1366"/>
      <c r="CB451" s="1366"/>
      <c r="CC451" s="1366"/>
      <c r="CD451" s="1366"/>
      <c r="CE451" s="1366"/>
      <c r="CF451" s="1366"/>
      <c r="CG451" s="1366"/>
      <c r="CH451" s="1366"/>
      <c r="CI451" s="1366"/>
      <c r="CJ451" s="1366"/>
      <c r="CK451" s="1366"/>
      <c r="CL451" s="1366"/>
      <c r="CM451" s="1366"/>
      <c r="CN451" s="1366"/>
      <c r="CO451" s="1366"/>
      <c r="CP451" s="1366"/>
      <c r="CQ451" s="1366"/>
      <c r="CR451" s="1366"/>
      <c r="CS451" s="1366"/>
      <c r="CT451" s="1366"/>
      <c r="CU451" s="1366"/>
      <c r="CV451" s="1366"/>
      <c r="CW451" s="1366"/>
      <c r="CX451" s="1366"/>
      <c r="CY451" s="1366"/>
      <c r="CZ451" s="1366"/>
      <c r="DA451" s="1366"/>
      <c r="DB451" s="1366"/>
      <c r="DC451" s="1366"/>
      <c r="DD451" s="1366"/>
      <c r="DE451" s="1366"/>
      <c r="DF451" s="1366"/>
      <c r="DG451" s="1366"/>
      <c r="DH451" s="1366"/>
      <c r="DI451" s="1366"/>
      <c r="DJ451" s="1366"/>
      <c r="DK451" s="1366"/>
      <c r="DL451" s="1366"/>
      <c r="DM451" s="1366"/>
      <c r="DN451" s="1366"/>
      <c r="DO451" s="1366"/>
      <c r="DP451" s="1366"/>
      <c r="DQ451" s="1366"/>
      <c r="DR451" s="1366"/>
      <c r="DS451" s="1366"/>
      <c r="DT451" s="1366"/>
      <c r="DU451" s="1366"/>
      <c r="DV451" s="1366"/>
    </row>
    <row r="452" spans="1:126" s="1367" customFormat="1" ht="30">
      <c r="A452" s="2530"/>
      <c r="B452" s="1653">
        <v>203</v>
      </c>
      <c r="C452" s="1642" t="s">
        <v>49</v>
      </c>
      <c r="D452" s="1375" t="s">
        <v>2350</v>
      </c>
      <c r="E452" s="1364" t="s">
        <v>2097</v>
      </c>
      <c r="F452" s="1364" t="s">
        <v>2107</v>
      </c>
      <c r="G452" s="1185" t="s">
        <v>1907</v>
      </c>
      <c r="H452" s="1361">
        <f>(11*'Equipment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2.9225158137312848</v>
      </c>
      <c r="I452" s="1371">
        <f>'Labor Results Matrix'!$E$532</f>
        <v>7.9629999999999992E-2</v>
      </c>
      <c r="J452" s="1372">
        <f>'Labor Results Matrix'!$G$532*(1+'Labor Results Matrix'!$K$532)</f>
        <v>72.260416710552065</v>
      </c>
      <c r="K452" s="1372">
        <f t="shared" si="196"/>
        <v>5.7540969826612605</v>
      </c>
      <c r="L452" s="1372">
        <v>0</v>
      </c>
      <c r="M452" s="1372">
        <f t="shared" si="197"/>
        <v>8.6766127963925452</v>
      </c>
      <c r="N452" s="1458">
        <f t="shared" si="198"/>
        <v>1.7861892849026821</v>
      </c>
      <c r="O452" s="1429"/>
      <c r="P452" s="1430"/>
      <c r="Q452" s="1430"/>
      <c r="R452" s="1430"/>
      <c r="S452" s="1430"/>
      <c r="T452" s="1430"/>
      <c r="U452" s="1430"/>
      <c r="V452" s="1679"/>
      <c r="W452" s="1366"/>
      <c r="X452" s="1366"/>
      <c r="Y452" s="1366"/>
      <c r="Z452" s="1366"/>
      <c r="AA452" s="1366"/>
      <c r="AB452" s="1366"/>
      <c r="AC452" s="1366"/>
      <c r="AD452" s="1366"/>
      <c r="AE452" s="1366"/>
      <c r="AF452" s="1366"/>
      <c r="AG452" s="1366"/>
      <c r="AH452" s="1366"/>
      <c r="AI452" s="1366"/>
      <c r="AJ452" s="1366"/>
      <c r="AK452" s="1366"/>
      <c r="AL452" s="1366"/>
      <c r="AM452" s="1366"/>
      <c r="AN452" s="1366"/>
      <c r="AO452" s="1366"/>
      <c r="AP452" s="1366"/>
      <c r="AQ452" s="1366"/>
      <c r="AR452" s="1366"/>
      <c r="AS452" s="1366"/>
      <c r="AT452" s="1366"/>
      <c r="AU452" s="1366"/>
      <c r="AV452" s="1366"/>
      <c r="AW452" s="1366"/>
      <c r="AX452" s="1366"/>
      <c r="AY452" s="1366"/>
      <c r="AZ452" s="1366"/>
      <c r="BA452" s="1366"/>
      <c r="BB452" s="1366"/>
      <c r="BC452" s="1366"/>
      <c r="BD452" s="1366"/>
      <c r="BE452" s="1366"/>
      <c r="BF452" s="1366"/>
      <c r="BG452" s="1366"/>
      <c r="BH452" s="1366"/>
      <c r="BI452" s="1366"/>
      <c r="BJ452" s="1366"/>
      <c r="BK452" s="1366"/>
      <c r="BL452" s="1366"/>
      <c r="BM452" s="1366"/>
      <c r="BN452" s="1366"/>
      <c r="BO452" s="1366"/>
      <c r="BP452" s="1366"/>
      <c r="BQ452" s="1366"/>
      <c r="BR452" s="1366"/>
      <c r="BS452" s="1366"/>
      <c r="BT452" s="1366"/>
      <c r="BU452" s="1366"/>
      <c r="BV452" s="1366"/>
      <c r="BW452" s="1366"/>
      <c r="BX452" s="1366"/>
      <c r="BY452" s="1366"/>
      <c r="BZ452" s="1366"/>
      <c r="CA452" s="1366"/>
      <c r="CB452" s="1366"/>
      <c r="CC452" s="1366"/>
      <c r="CD452" s="1366"/>
      <c r="CE452" s="1366"/>
      <c r="CF452" s="1366"/>
      <c r="CG452" s="1366"/>
      <c r="CH452" s="1366"/>
      <c r="CI452" s="1366"/>
      <c r="CJ452" s="1366"/>
      <c r="CK452" s="1366"/>
      <c r="CL452" s="1366"/>
      <c r="CM452" s="1366"/>
      <c r="CN452" s="1366"/>
      <c r="CO452" s="1366"/>
      <c r="CP452" s="1366"/>
      <c r="CQ452" s="1366"/>
      <c r="CR452" s="1366"/>
      <c r="CS452" s="1366"/>
      <c r="CT452" s="1366"/>
      <c r="CU452" s="1366"/>
      <c r="CV452" s="1366"/>
      <c r="CW452" s="1366"/>
      <c r="CX452" s="1366"/>
      <c r="CY452" s="1366"/>
      <c r="CZ452" s="1366"/>
      <c r="DA452" s="1366"/>
      <c r="DB452" s="1366"/>
      <c r="DC452" s="1366"/>
      <c r="DD452" s="1366"/>
      <c r="DE452" s="1366"/>
      <c r="DF452" s="1366"/>
      <c r="DG452" s="1366"/>
      <c r="DH452" s="1366"/>
      <c r="DI452" s="1366"/>
      <c r="DJ452" s="1366"/>
      <c r="DK452" s="1366"/>
      <c r="DL452" s="1366"/>
      <c r="DM452" s="1366"/>
      <c r="DN452" s="1366"/>
      <c r="DO452" s="1366"/>
      <c r="DP452" s="1366"/>
      <c r="DQ452" s="1366"/>
      <c r="DR452" s="1366"/>
      <c r="DS452" s="1366"/>
      <c r="DT452" s="1366"/>
      <c r="DU452" s="1366"/>
      <c r="DV452" s="1366"/>
    </row>
    <row r="453" spans="1:126" s="1367" customFormat="1" ht="30">
      <c r="A453" s="2530"/>
      <c r="B453" s="1653">
        <v>2194</v>
      </c>
      <c r="C453" s="1642" t="s">
        <v>49</v>
      </c>
      <c r="D453" s="1375" t="s">
        <v>2598</v>
      </c>
      <c r="E453" s="1364" t="s">
        <v>2097</v>
      </c>
      <c r="F453" s="1365" t="s">
        <v>2108</v>
      </c>
      <c r="G453" s="506" t="s">
        <v>1907</v>
      </c>
      <c r="H453" s="1361">
        <f>(7*'Equipment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2.6565158137312848</v>
      </c>
      <c r="I453" s="1371">
        <f>'Labor Results Matrix'!$E$532</f>
        <v>7.9629999999999992E-2</v>
      </c>
      <c r="J453" s="1372">
        <f>'Labor Results Matrix'!$G$532*(1+'Labor Results Matrix'!$K$532)</f>
        <v>72.260416710552065</v>
      </c>
      <c r="K453" s="1372">
        <f t="shared" ref="K453:K457" si="199">I453*J453</f>
        <v>5.7540969826612605</v>
      </c>
      <c r="L453" s="1372">
        <v>0</v>
      </c>
      <c r="M453" s="1372">
        <f t="shared" ref="M453:M457" si="200">H453+K453</f>
        <v>8.4106127963925452</v>
      </c>
      <c r="N453" s="1458">
        <f>M453-$M$447</f>
        <v>1.5201892849026821</v>
      </c>
      <c r="O453" s="1429"/>
      <c r="P453" s="1430"/>
      <c r="Q453" s="1430"/>
      <c r="R453" s="1430"/>
      <c r="S453" s="1430"/>
      <c r="T453" s="1430"/>
      <c r="U453" s="1430"/>
      <c r="V453" s="1679"/>
      <c r="W453" s="1366"/>
      <c r="X453" s="1366"/>
      <c r="Y453" s="1366"/>
      <c r="Z453" s="1366"/>
      <c r="AA453" s="1366"/>
      <c r="AB453" s="1366"/>
      <c r="AC453" s="1366"/>
      <c r="AD453" s="1366"/>
      <c r="AE453" s="1366"/>
      <c r="AF453" s="1366"/>
      <c r="AG453" s="1366"/>
      <c r="AH453" s="1366"/>
      <c r="AI453" s="1366"/>
      <c r="AJ453" s="1366"/>
      <c r="AK453" s="1366"/>
      <c r="AL453" s="1366"/>
      <c r="AM453" s="1366"/>
      <c r="AN453" s="1366"/>
      <c r="AO453" s="1366"/>
      <c r="AP453" s="1366"/>
      <c r="AQ453" s="1366"/>
      <c r="AR453" s="1366"/>
      <c r="AS453" s="1366"/>
      <c r="AT453" s="1366"/>
      <c r="AU453" s="1366"/>
      <c r="AV453" s="1366"/>
      <c r="AW453" s="1366"/>
      <c r="AX453" s="1366"/>
      <c r="AY453" s="1366"/>
      <c r="AZ453" s="1366"/>
      <c r="BA453" s="1366"/>
      <c r="BB453" s="1366"/>
      <c r="BC453" s="1366"/>
      <c r="BD453" s="1366"/>
      <c r="BE453" s="1366"/>
      <c r="BF453" s="1366"/>
      <c r="BG453" s="1366"/>
      <c r="BH453" s="1366"/>
      <c r="BI453" s="1366"/>
      <c r="BJ453" s="1366"/>
      <c r="BK453" s="1366"/>
      <c r="BL453" s="1366"/>
      <c r="BM453" s="1366"/>
      <c r="BN453" s="1366"/>
      <c r="BO453" s="1366"/>
      <c r="BP453" s="1366"/>
      <c r="BQ453" s="1366"/>
      <c r="BR453" s="1366"/>
      <c r="BS453" s="1366"/>
      <c r="BT453" s="1366"/>
      <c r="BU453" s="1366"/>
      <c r="BV453" s="1366"/>
      <c r="BW453" s="1366"/>
      <c r="BX453" s="1366"/>
      <c r="BY453" s="1366"/>
      <c r="BZ453" s="1366"/>
      <c r="CA453" s="1366"/>
      <c r="CB453" s="1366"/>
      <c r="CC453" s="1366"/>
      <c r="CD453" s="1366"/>
      <c r="CE453" s="1366"/>
      <c r="CF453" s="1366"/>
      <c r="CG453" s="1366"/>
      <c r="CH453" s="1366"/>
      <c r="CI453" s="1366"/>
      <c r="CJ453" s="1366"/>
      <c r="CK453" s="1366"/>
      <c r="CL453" s="1366"/>
      <c r="CM453" s="1366"/>
      <c r="CN453" s="1366"/>
      <c r="CO453" s="1366"/>
      <c r="CP453" s="1366"/>
      <c r="CQ453" s="1366"/>
      <c r="CR453" s="1366"/>
      <c r="CS453" s="1366"/>
      <c r="CT453" s="1366"/>
      <c r="CU453" s="1366"/>
      <c r="CV453" s="1366"/>
      <c r="CW453" s="1366"/>
      <c r="CX453" s="1366"/>
      <c r="CY453" s="1366"/>
      <c r="CZ453" s="1366"/>
      <c r="DA453" s="1366"/>
      <c r="DB453" s="1366"/>
      <c r="DC453" s="1366"/>
      <c r="DD453" s="1366"/>
      <c r="DE453" s="1366"/>
      <c r="DF453" s="1366"/>
      <c r="DG453" s="1366"/>
      <c r="DH453" s="1366"/>
      <c r="DI453" s="1366"/>
      <c r="DJ453" s="1366"/>
      <c r="DK453" s="1366"/>
      <c r="DL453" s="1366"/>
      <c r="DM453" s="1366"/>
      <c r="DN453" s="1366"/>
      <c r="DO453" s="1366"/>
      <c r="DP453" s="1366"/>
      <c r="DQ453" s="1366"/>
      <c r="DR453" s="1366"/>
      <c r="DS453" s="1366"/>
      <c r="DT453" s="1366"/>
      <c r="DU453" s="1366"/>
      <c r="DV453" s="1366"/>
    </row>
    <row r="454" spans="1:126" s="1367" customFormat="1" ht="30">
      <c r="A454" s="2530"/>
      <c r="B454" s="1653">
        <v>2195</v>
      </c>
      <c r="C454" s="1642" t="s">
        <v>49</v>
      </c>
      <c r="D454" s="1375" t="s">
        <v>2599</v>
      </c>
      <c r="E454" s="1364" t="s">
        <v>2097</v>
      </c>
      <c r="F454" s="1365" t="s">
        <v>2108</v>
      </c>
      <c r="G454" s="506" t="s">
        <v>1907</v>
      </c>
      <c r="H454" s="1361">
        <f>(8*'Equipment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2.7230158137312848</v>
      </c>
      <c r="I454" s="1371">
        <f>'Labor Results Matrix'!$E$532</f>
        <v>7.9629999999999992E-2</v>
      </c>
      <c r="J454" s="1372">
        <f>'Labor Results Matrix'!$G$532*(1+'Labor Results Matrix'!$K$532)</f>
        <v>72.260416710552065</v>
      </c>
      <c r="K454" s="1372">
        <f t="shared" si="199"/>
        <v>5.7540969826612605</v>
      </c>
      <c r="L454" s="1372">
        <v>0</v>
      </c>
      <c r="M454" s="1372">
        <f t="shared" si="200"/>
        <v>8.4771127963925448</v>
      </c>
      <c r="N454" s="1458">
        <f t="shared" ref="N454:N457" si="201">M454-$M$447</f>
        <v>1.5866892849026817</v>
      </c>
      <c r="O454" s="1429"/>
      <c r="P454" s="1430"/>
      <c r="Q454" s="1430"/>
      <c r="R454" s="1430"/>
      <c r="S454" s="1430"/>
      <c r="T454" s="1430"/>
      <c r="U454" s="1430"/>
      <c r="V454" s="1679"/>
      <c r="W454" s="1366"/>
      <c r="X454" s="1366"/>
      <c r="Y454" s="1366"/>
      <c r="Z454" s="1366"/>
      <c r="AA454" s="1366"/>
      <c r="AB454" s="1366"/>
      <c r="AC454" s="1366"/>
      <c r="AD454" s="1366"/>
      <c r="AE454" s="1366"/>
      <c r="AF454" s="1366"/>
      <c r="AG454" s="1366"/>
      <c r="AH454" s="1366"/>
      <c r="AI454" s="1366"/>
      <c r="AJ454" s="1366"/>
      <c r="AK454" s="1366"/>
      <c r="AL454" s="1366"/>
      <c r="AM454" s="1366"/>
      <c r="AN454" s="1366"/>
      <c r="AO454" s="1366"/>
      <c r="AP454" s="1366"/>
      <c r="AQ454" s="1366"/>
      <c r="AR454" s="1366"/>
      <c r="AS454" s="1366"/>
      <c r="AT454" s="1366"/>
      <c r="AU454" s="1366"/>
      <c r="AV454" s="1366"/>
      <c r="AW454" s="1366"/>
      <c r="AX454" s="1366"/>
      <c r="AY454" s="1366"/>
      <c r="AZ454" s="1366"/>
      <c r="BA454" s="1366"/>
      <c r="BB454" s="1366"/>
      <c r="BC454" s="1366"/>
      <c r="BD454" s="1366"/>
      <c r="BE454" s="1366"/>
      <c r="BF454" s="1366"/>
      <c r="BG454" s="1366"/>
      <c r="BH454" s="1366"/>
      <c r="BI454" s="1366"/>
      <c r="BJ454" s="1366"/>
      <c r="BK454" s="1366"/>
      <c r="BL454" s="1366"/>
      <c r="BM454" s="1366"/>
      <c r="BN454" s="1366"/>
      <c r="BO454" s="1366"/>
      <c r="BP454" s="1366"/>
      <c r="BQ454" s="1366"/>
      <c r="BR454" s="1366"/>
      <c r="BS454" s="1366"/>
      <c r="BT454" s="1366"/>
      <c r="BU454" s="1366"/>
      <c r="BV454" s="1366"/>
      <c r="BW454" s="1366"/>
      <c r="BX454" s="1366"/>
      <c r="BY454" s="1366"/>
      <c r="BZ454" s="1366"/>
      <c r="CA454" s="1366"/>
      <c r="CB454" s="1366"/>
      <c r="CC454" s="1366"/>
      <c r="CD454" s="1366"/>
      <c r="CE454" s="1366"/>
      <c r="CF454" s="1366"/>
      <c r="CG454" s="1366"/>
      <c r="CH454" s="1366"/>
      <c r="CI454" s="1366"/>
      <c r="CJ454" s="1366"/>
      <c r="CK454" s="1366"/>
      <c r="CL454" s="1366"/>
      <c r="CM454" s="1366"/>
      <c r="CN454" s="1366"/>
      <c r="CO454" s="1366"/>
      <c r="CP454" s="1366"/>
      <c r="CQ454" s="1366"/>
      <c r="CR454" s="1366"/>
      <c r="CS454" s="1366"/>
      <c r="CT454" s="1366"/>
      <c r="CU454" s="1366"/>
      <c r="CV454" s="1366"/>
      <c r="CW454" s="1366"/>
      <c r="CX454" s="1366"/>
      <c r="CY454" s="1366"/>
      <c r="CZ454" s="1366"/>
      <c r="DA454" s="1366"/>
      <c r="DB454" s="1366"/>
      <c r="DC454" s="1366"/>
      <c r="DD454" s="1366"/>
      <c r="DE454" s="1366"/>
      <c r="DF454" s="1366"/>
      <c r="DG454" s="1366"/>
      <c r="DH454" s="1366"/>
      <c r="DI454" s="1366"/>
      <c r="DJ454" s="1366"/>
      <c r="DK454" s="1366"/>
      <c r="DL454" s="1366"/>
      <c r="DM454" s="1366"/>
      <c r="DN454" s="1366"/>
      <c r="DO454" s="1366"/>
      <c r="DP454" s="1366"/>
      <c r="DQ454" s="1366"/>
      <c r="DR454" s="1366"/>
      <c r="DS454" s="1366"/>
      <c r="DT454" s="1366"/>
      <c r="DU454" s="1366"/>
      <c r="DV454" s="1366"/>
    </row>
    <row r="455" spans="1:126" s="1367" customFormat="1" ht="30">
      <c r="A455" s="2530"/>
      <c r="B455" s="1653">
        <v>2196</v>
      </c>
      <c r="C455" s="1642" t="s">
        <v>49</v>
      </c>
      <c r="D455" s="1375" t="s">
        <v>2600</v>
      </c>
      <c r="E455" s="1364" t="s">
        <v>2097</v>
      </c>
      <c r="F455" s="1365" t="s">
        <v>2108</v>
      </c>
      <c r="G455" s="506" t="s">
        <v>1907</v>
      </c>
      <c r="H455" s="1361">
        <f>(9*'Equipment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2.7895158137312848</v>
      </c>
      <c r="I455" s="1371">
        <f>'Labor Results Matrix'!$E$532</f>
        <v>7.9629999999999992E-2</v>
      </c>
      <c r="J455" s="1372">
        <f>'Labor Results Matrix'!$G$532*(1+'Labor Results Matrix'!$K$532)</f>
        <v>72.260416710552065</v>
      </c>
      <c r="K455" s="1372">
        <f t="shared" si="199"/>
        <v>5.7540969826612605</v>
      </c>
      <c r="L455" s="1372">
        <v>0</v>
      </c>
      <c r="M455" s="1372">
        <f t="shared" si="200"/>
        <v>8.5436127963925443</v>
      </c>
      <c r="N455" s="1458">
        <f t="shared" si="201"/>
        <v>1.6531892849026812</v>
      </c>
      <c r="O455" s="1429"/>
      <c r="P455" s="1430"/>
      <c r="Q455" s="1430"/>
      <c r="R455" s="1430"/>
      <c r="S455" s="1430"/>
      <c r="T455" s="1430"/>
      <c r="U455" s="1430"/>
      <c r="V455" s="1679"/>
      <c r="W455" s="1366"/>
      <c r="X455" s="1366"/>
      <c r="Y455" s="1366"/>
      <c r="Z455" s="1366"/>
      <c r="AA455" s="1366"/>
      <c r="AB455" s="1366"/>
      <c r="AC455" s="1366"/>
      <c r="AD455" s="1366"/>
      <c r="AE455" s="1366"/>
      <c r="AF455" s="1366"/>
      <c r="AG455" s="1366"/>
      <c r="AH455" s="1366"/>
      <c r="AI455" s="1366"/>
      <c r="AJ455" s="1366"/>
      <c r="AK455" s="1366"/>
      <c r="AL455" s="1366"/>
      <c r="AM455" s="1366"/>
      <c r="AN455" s="1366"/>
      <c r="AO455" s="1366"/>
      <c r="AP455" s="1366"/>
      <c r="AQ455" s="1366"/>
      <c r="AR455" s="1366"/>
      <c r="AS455" s="1366"/>
      <c r="AT455" s="1366"/>
      <c r="AU455" s="1366"/>
      <c r="AV455" s="1366"/>
      <c r="AW455" s="1366"/>
      <c r="AX455" s="1366"/>
      <c r="AY455" s="1366"/>
      <c r="AZ455" s="1366"/>
      <c r="BA455" s="1366"/>
      <c r="BB455" s="1366"/>
      <c r="BC455" s="1366"/>
      <c r="BD455" s="1366"/>
      <c r="BE455" s="1366"/>
      <c r="BF455" s="1366"/>
      <c r="BG455" s="1366"/>
      <c r="BH455" s="1366"/>
      <c r="BI455" s="1366"/>
      <c r="BJ455" s="1366"/>
      <c r="BK455" s="1366"/>
      <c r="BL455" s="1366"/>
      <c r="BM455" s="1366"/>
      <c r="BN455" s="1366"/>
      <c r="BO455" s="1366"/>
      <c r="BP455" s="1366"/>
      <c r="BQ455" s="1366"/>
      <c r="BR455" s="1366"/>
      <c r="BS455" s="1366"/>
      <c r="BT455" s="1366"/>
      <c r="BU455" s="1366"/>
      <c r="BV455" s="1366"/>
      <c r="BW455" s="1366"/>
      <c r="BX455" s="1366"/>
      <c r="BY455" s="1366"/>
      <c r="BZ455" s="1366"/>
      <c r="CA455" s="1366"/>
      <c r="CB455" s="1366"/>
      <c r="CC455" s="1366"/>
      <c r="CD455" s="1366"/>
      <c r="CE455" s="1366"/>
      <c r="CF455" s="1366"/>
      <c r="CG455" s="1366"/>
      <c r="CH455" s="1366"/>
      <c r="CI455" s="1366"/>
      <c r="CJ455" s="1366"/>
      <c r="CK455" s="1366"/>
      <c r="CL455" s="1366"/>
      <c r="CM455" s="1366"/>
      <c r="CN455" s="1366"/>
      <c r="CO455" s="1366"/>
      <c r="CP455" s="1366"/>
      <c r="CQ455" s="1366"/>
      <c r="CR455" s="1366"/>
      <c r="CS455" s="1366"/>
      <c r="CT455" s="1366"/>
      <c r="CU455" s="1366"/>
      <c r="CV455" s="1366"/>
      <c r="CW455" s="1366"/>
      <c r="CX455" s="1366"/>
      <c r="CY455" s="1366"/>
      <c r="CZ455" s="1366"/>
      <c r="DA455" s="1366"/>
      <c r="DB455" s="1366"/>
      <c r="DC455" s="1366"/>
      <c r="DD455" s="1366"/>
      <c r="DE455" s="1366"/>
      <c r="DF455" s="1366"/>
      <c r="DG455" s="1366"/>
      <c r="DH455" s="1366"/>
      <c r="DI455" s="1366"/>
      <c r="DJ455" s="1366"/>
      <c r="DK455" s="1366"/>
      <c r="DL455" s="1366"/>
      <c r="DM455" s="1366"/>
      <c r="DN455" s="1366"/>
      <c r="DO455" s="1366"/>
      <c r="DP455" s="1366"/>
      <c r="DQ455" s="1366"/>
      <c r="DR455" s="1366"/>
      <c r="DS455" s="1366"/>
      <c r="DT455" s="1366"/>
      <c r="DU455" s="1366"/>
      <c r="DV455" s="1366"/>
    </row>
    <row r="456" spans="1:126" s="1367" customFormat="1" ht="30">
      <c r="A456" s="2530"/>
      <c r="B456" s="1653">
        <v>2197</v>
      </c>
      <c r="C456" s="1642" t="s">
        <v>49</v>
      </c>
      <c r="D456" s="1375" t="s">
        <v>2601</v>
      </c>
      <c r="E456" s="1364" t="s">
        <v>2097</v>
      </c>
      <c r="F456" s="1365" t="s">
        <v>2108</v>
      </c>
      <c r="G456" s="506" t="s">
        <v>1907</v>
      </c>
      <c r="H456" s="1361">
        <f>(10*'Equipment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2.8560158137312848</v>
      </c>
      <c r="I456" s="1371">
        <f>'Labor Results Matrix'!$E$532</f>
        <v>7.9629999999999992E-2</v>
      </c>
      <c r="J456" s="1372">
        <f>'Labor Results Matrix'!$G$532*(1+'Labor Results Matrix'!$K$532)</f>
        <v>72.260416710552065</v>
      </c>
      <c r="K456" s="1372">
        <f t="shared" si="199"/>
        <v>5.7540969826612605</v>
      </c>
      <c r="L456" s="1372">
        <v>0</v>
      </c>
      <c r="M456" s="1372">
        <f t="shared" si="200"/>
        <v>8.6101127963925457</v>
      </c>
      <c r="N456" s="1458">
        <f t="shared" si="201"/>
        <v>1.7196892849026826</v>
      </c>
      <c r="O456" s="1429"/>
      <c r="P456" s="1430"/>
      <c r="Q456" s="1430"/>
      <c r="R456" s="1430"/>
      <c r="S456" s="1430"/>
      <c r="T456" s="1430"/>
      <c r="U456" s="1430"/>
      <c r="V456" s="1679"/>
      <c r="W456" s="1366"/>
      <c r="X456" s="1366"/>
      <c r="Y456" s="1366"/>
      <c r="Z456" s="1366"/>
      <c r="AA456" s="1366"/>
      <c r="AB456" s="1366"/>
      <c r="AC456" s="1366"/>
      <c r="AD456" s="1366"/>
      <c r="AE456" s="1366"/>
      <c r="AF456" s="1366"/>
      <c r="AG456" s="1366"/>
      <c r="AH456" s="1366"/>
      <c r="AI456" s="1366"/>
      <c r="AJ456" s="1366"/>
      <c r="AK456" s="1366"/>
      <c r="AL456" s="1366"/>
      <c r="AM456" s="1366"/>
      <c r="AN456" s="1366"/>
      <c r="AO456" s="1366"/>
      <c r="AP456" s="1366"/>
      <c r="AQ456" s="1366"/>
      <c r="AR456" s="1366"/>
      <c r="AS456" s="1366"/>
      <c r="AT456" s="1366"/>
      <c r="AU456" s="1366"/>
      <c r="AV456" s="1366"/>
      <c r="AW456" s="1366"/>
      <c r="AX456" s="1366"/>
      <c r="AY456" s="1366"/>
      <c r="AZ456" s="1366"/>
      <c r="BA456" s="1366"/>
      <c r="BB456" s="1366"/>
      <c r="BC456" s="1366"/>
      <c r="BD456" s="1366"/>
      <c r="BE456" s="1366"/>
      <c r="BF456" s="1366"/>
      <c r="BG456" s="1366"/>
      <c r="BH456" s="1366"/>
      <c r="BI456" s="1366"/>
      <c r="BJ456" s="1366"/>
      <c r="BK456" s="1366"/>
      <c r="BL456" s="1366"/>
      <c r="BM456" s="1366"/>
      <c r="BN456" s="1366"/>
      <c r="BO456" s="1366"/>
      <c r="BP456" s="1366"/>
      <c r="BQ456" s="1366"/>
      <c r="BR456" s="1366"/>
      <c r="BS456" s="1366"/>
      <c r="BT456" s="1366"/>
      <c r="BU456" s="1366"/>
      <c r="BV456" s="1366"/>
      <c r="BW456" s="1366"/>
      <c r="BX456" s="1366"/>
      <c r="BY456" s="1366"/>
      <c r="BZ456" s="1366"/>
      <c r="CA456" s="1366"/>
      <c r="CB456" s="1366"/>
      <c r="CC456" s="1366"/>
      <c r="CD456" s="1366"/>
      <c r="CE456" s="1366"/>
      <c r="CF456" s="1366"/>
      <c r="CG456" s="1366"/>
      <c r="CH456" s="1366"/>
      <c r="CI456" s="1366"/>
      <c r="CJ456" s="1366"/>
      <c r="CK456" s="1366"/>
      <c r="CL456" s="1366"/>
      <c r="CM456" s="1366"/>
      <c r="CN456" s="1366"/>
      <c r="CO456" s="1366"/>
      <c r="CP456" s="1366"/>
      <c r="CQ456" s="1366"/>
      <c r="CR456" s="1366"/>
      <c r="CS456" s="1366"/>
      <c r="CT456" s="1366"/>
      <c r="CU456" s="1366"/>
      <c r="CV456" s="1366"/>
      <c r="CW456" s="1366"/>
      <c r="CX456" s="1366"/>
      <c r="CY456" s="1366"/>
      <c r="CZ456" s="1366"/>
      <c r="DA456" s="1366"/>
      <c r="DB456" s="1366"/>
      <c r="DC456" s="1366"/>
      <c r="DD456" s="1366"/>
      <c r="DE456" s="1366"/>
      <c r="DF456" s="1366"/>
      <c r="DG456" s="1366"/>
      <c r="DH456" s="1366"/>
      <c r="DI456" s="1366"/>
      <c r="DJ456" s="1366"/>
      <c r="DK456" s="1366"/>
      <c r="DL456" s="1366"/>
      <c r="DM456" s="1366"/>
      <c r="DN456" s="1366"/>
      <c r="DO456" s="1366"/>
      <c r="DP456" s="1366"/>
      <c r="DQ456" s="1366"/>
      <c r="DR456" s="1366"/>
      <c r="DS456" s="1366"/>
      <c r="DT456" s="1366"/>
      <c r="DU456" s="1366"/>
      <c r="DV456" s="1366"/>
    </row>
    <row r="457" spans="1:126" s="1367" customFormat="1" ht="30">
      <c r="A457" s="2530"/>
      <c r="B457" s="1653">
        <v>2198</v>
      </c>
      <c r="C457" s="1642" t="s">
        <v>49</v>
      </c>
      <c r="D457" s="1375" t="s">
        <v>2602</v>
      </c>
      <c r="E457" s="1364" t="s">
        <v>2097</v>
      </c>
      <c r="F457" s="1365" t="s">
        <v>2108</v>
      </c>
      <c r="G457" s="506" t="s">
        <v>1907</v>
      </c>
      <c r="H457" s="1361">
        <f>(11*'Equipment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2.9225158137312848</v>
      </c>
      <c r="I457" s="1371">
        <f>'Labor Results Matrix'!$E$532</f>
        <v>7.9629999999999992E-2</v>
      </c>
      <c r="J457" s="1372">
        <f>'Labor Results Matrix'!$G$532*(1+'Labor Results Matrix'!$K$532)</f>
        <v>72.260416710552065</v>
      </c>
      <c r="K457" s="1372">
        <f t="shared" si="199"/>
        <v>5.7540969826612605</v>
      </c>
      <c r="L457" s="1372">
        <v>0</v>
      </c>
      <c r="M457" s="1372">
        <f t="shared" si="200"/>
        <v>8.6766127963925452</v>
      </c>
      <c r="N457" s="1458">
        <f t="shared" si="201"/>
        <v>1.7861892849026821</v>
      </c>
      <c r="O457" s="1429"/>
      <c r="P457" s="1430"/>
      <c r="Q457" s="1430"/>
      <c r="R457" s="1430"/>
      <c r="S457" s="1430"/>
      <c r="T457" s="1430"/>
      <c r="U457" s="1430"/>
      <c r="V457" s="1679"/>
      <c r="W457" s="1366"/>
      <c r="X457" s="1366"/>
      <c r="Y457" s="1366"/>
      <c r="Z457" s="1366"/>
      <c r="AA457" s="1366"/>
      <c r="AB457" s="1366"/>
      <c r="AC457" s="1366"/>
      <c r="AD457" s="1366"/>
      <c r="AE457" s="1366"/>
      <c r="AF457" s="1366"/>
      <c r="AG457" s="1366"/>
      <c r="AH457" s="1366"/>
      <c r="AI457" s="1366"/>
      <c r="AJ457" s="1366"/>
      <c r="AK457" s="1366"/>
      <c r="AL457" s="1366"/>
      <c r="AM457" s="1366"/>
      <c r="AN457" s="1366"/>
      <c r="AO457" s="1366"/>
      <c r="AP457" s="1366"/>
      <c r="AQ457" s="1366"/>
      <c r="AR457" s="1366"/>
      <c r="AS457" s="1366"/>
      <c r="AT457" s="1366"/>
      <c r="AU457" s="1366"/>
      <c r="AV457" s="1366"/>
      <c r="AW457" s="1366"/>
      <c r="AX457" s="1366"/>
      <c r="AY457" s="1366"/>
      <c r="AZ457" s="1366"/>
      <c r="BA457" s="1366"/>
      <c r="BB457" s="1366"/>
      <c r="BC457" s="1366"/>
      <c r="BD457" s="1366"/>
      <c r="BE457" s="1366"/>
      <c r="BF457" s="1366"/>
      <c r="BG457" s="1366"/>
      <c r="BH457" s="1366"/>
      <c r="BI457" s="1366"/>
      <c r="BJ457" s="1366"/>
      <c r="BK457" s="1366"/>
      <c r="BL457" s="1366"/>
      <c r="BM457" s="1366"/>
      <c r="BN457" s="1366"/>
      <c r="BO457" s="1366"/>
      <c r="BP457" s="1366"/>
      <c r="BQ457" s="1366"/>
      <c r="BR457" s="1366"/>
      <c r="BS457" s="1366"/>
      <c r="BT457" s="1366"/>
      <c r="BU457" s="1366"/>
      <c r="BV457" s="1366"/>
      <c r="BW457" s="1366"/>
      <c r="BX457" s="1366"/>
      <c r="BY457" s="1366"/>
      <c r="BZ457" s="1366"/>
      <c r="CA457" s="1366"/>
      <c r="CB457" s="1366"/>
      <c r="CC457" s="1366"/>
      <c r="CD457" s="1366"/>
      <c r="CE457" s="1366"/>
      <c r="CF457" s="1366"/>
      <c r="CG457" s="1366"/>
      <c r="CH457" s="1366"/>
      <c r="CI457" s="1366"/>
      <c r="CJ457" s="1366"/>
      <c r="CK457" s="1366"/>
      <c r="CL457" s="1366"/>
      <c r="CM457" s="1366"/>
      <c r="CN457" s="1366"/>
      <c r="CO457" s="1366"/>
      <c r="CP457" s="1366"/>
      <c r="CQ457" s="1366"/>
      <c r="CR457" s="1366"/>
      <c r="CS457" s="1366"/>
      <c r="CT457" s="1366"/>
      <c r="CU457" s="1366"/>
      <c r="CV457" s="1366"/>
      <c r="CW457" s="1366"/>
      <c r="CX457" s="1366"/>
      <c r="CY457" s="1366"/>
      <c r="CZ457" s="1366"/>
      <c r="DA457" s="1366"/>
      <c r="DB457" s="1366"/>
      <c r="DC457" s="1366"/>
      <c r="DD457" s="1366"/>
      <c r="DE457" s="1366"/>
      <c r="DF457" s="1366"/>
      <c r="DG457" s="1366"/>
      <c r="DH457" s="1366"/>
      <c r="DI457" s="1366"/>
      <c r="DJ457" s="1366"/>
      <c r="DK457" s="1366"/>
      <c r="DL457" s="1366"/>
      <c r="DM457" s="1366"/>
      <c r="DN457" s="1366"/>
      <c r="DO457" s="1366"/>
      <c r="DP457" s="1366"/>
      <c r="DQ457" s="1366"/>
      <c r="DR457" s="1366"/>
      <c r="DS457" s="1366"/>
      <c r="DT457" s="1366"/>
      <c r="DU457" s="1366"/>
      <c r="DV457" s="1366"/>
    </row>
    <row r="458" spans="1:126" s="1367" customFormat="1" ht="15" customHeight="1">
      <c r="A458" s="2530"/>
      <c r="B458" s="1653" t="s">
        <v>2635</v>
      </c>
      <c r="C458" s="1642" t="s">
        <v>47</v>
      </c>
      <c r="D458" s="1380" t="s">
        <v>2340</v>
      </c>
      <c r="E458" s="1364" t="s">
        <v>2097</v>
      </c>
      <c r="F458" s="1364" t="s">
        <v>2627</v>
      </c>
      <c r="G458" s="1185" t="s">
        <v>1907</v>
      </c>
      <c r="H458" s="1361">
        <f>('Equipment Results Matrix'!$R$979*(45-30))+('Equipment Results Matrix'!$R$980*0)+('Equipment Results Matrix'!$R$978*1.5)+'Equipment Results Matrix'!$R$962+'Equipment Results Matrix'!$R$968+'Equipment Results Matrix'!$R$970+'Equipment Results Matrix'!$R$972+'Equipment Results Matrix'!$R$975+'Equipment Results Matrix'!$R$976+'Equipment Results Matrix'!$T$969</f>
        <v>1.2743265288286023</v>
      </c>
      <c r="I458" s="1371">
        <f>'Labor Results Matrix'!$E$470</f>
        <v>7.9629999999999992E-2</v>
      </c>
      <c r="J458" s="1372">
        <f>'Labor Results Matrix'!$G$470*(1+'Labor Results Matrix'!$K$470)</f>
        <v>72.260416710552065</v>
      </c>
      <c r="K458" s="1372">
        <f t="shared" si="196"/>
        <v>5.7540969826612605</v>
      </c>
      <c r="L458" s="1372">
        <v>0</v>
      </c>
      <c r="M458" s="1372">
        <f t="shared" si="197"/>
        <v>7.028423511489863</v>
      </c>
      <c r="N458" s="1455" t="s">
        <v>40</v>
      </c>
      <c r="O458" s="1429"/>
      <c r="P458" s="1430"/>
      <c r="Q458" s="1430"/>
      <c r="R458" s="1430"/>
      <c r="S458" s="1430"/>
      <c r="T458" s="1430"/>
      <c r="U458" s="1430"/>
      <c r="V458" s="1679"/>
      <c r="W458" s="1366"/>
      <c r="X458" s="1366"/>
      <c r="Y458" s="1366"/>
      <c r="Z458" s="1366"/>
      <c r="AA458" s="1366"/>
      <c r="AB458" s="1366"/>
      <c r="AC458" s="1366"/>
      <c r="AD458" s="1366"/>
      <c r="AE458" s="1366"/>
      <c r="AF458" s="1366"/>
      <c r="AG458" s="1366"/>
      <c r="AH458" s="1366"/>
      <c r="AI458" s="1366"/>
      <c r="AJ458" s="1366"/>
      <c r="AK458" s="1366"/>
      <c r="AL458" s="1366"/>
      <c r="AM458" s="1366"/>
      <c r="AN458" s="1366"/>
      <c r="AO458" s="1366"/>
      <c r="AP458" s="1366"/>
      <c r="AQ458" s="1366"/>
      <c r="AR458" s="1366"/>
      <c r="AS458" s="1366"/>
      <c r="AT458" s="1366"/>
      <c r="AU458" s="1366"/>
      <c r="AV458" s="1366"/>
      <c r="AW458" s="1366"/>
      <c r="AX458" s="1366"/>
      <c r="AY458" s="1366"/>
      <c r="AZ458" s="1366"/>
      <c r="BA458" s="1366"/>
      <c r="BB458" s="1366"/>
      <c r="BC458" s="1366"/>
      <c r="BD458" s="1366"/>
      <c r="BE458" s="1366"/>
      <c r="BF458" s="1366"/>
      <c r="BG458" s="1366"/>
      <c r="BH458" s="1366"/>
      <c r="BI458" s="1366"/>
      <c r="BJ458" s="1366"/>
      <c r="BK458" s="1366"/>
      <c r="BL458" s="1366"/>
      <c r="BM458" s="1366"/>
      <c r="BN458" s="1366"/>
      <c r="BO458" s="1366"/>
      <c r="BP458" s="1366"/>
      <c r="BQ458" s="1366"/>
      <c r="BR458" s="1366"/>
      <c r="BS458" s="1366"/>
      <c r="BT458" s="1366"/>
      <c r="BU458" s="1366"/>
      <c r="BV458" s="1366"/>
      <c r="BW458" s="1366"/>
      <c r="BX458" s="1366"/>
      <c r="BY458" s="1366"/>
      <c r="BZ458" s="1366"/>
      <c r="CA458" s="1366"/>
      <c r="CB458" s="1366"/>
      <c r="CC458" s="1366"/>
      <c r="CD458" s="1366"/>
      <c r="CE458" s="1366"/>
      <c r="CF458" s="1366"/>
      <c r="CG458" s="1366"/>
      <c r="CH458" s="1366"/>
      <c r="CI458" s="1366"/>
      <c r="CJ458" s="1366"/>
      <c r="CK458" s="1366"/>
      <c r="CL458" s="1366"/>
      <c r="CM458" s="1366"/>
      <c r="CN458" s="1366"/>
      <c r="CO458" s="1366"/>
      <c r="CP458" s="1366"/>
      <c r="CQ458" s="1366"/>
      <c r="CR458" s="1366"/>
      <c r="CS458" s="1366"/>
      <c r="CT458" s="1366"/>
      <c r="CU458" s="1366"/>
      <c r="CV458" s="1366"/>
      <c r="CW458" s="1366"/>
      <c r="CX458" s="1366"/>
      <c r="CY458" s="1366"/>
      <c r="CZ458" s="1366"/>
      <c r="DA458" s="1366"/>
      <c r="DB458" s="1366"/>
      <c r="DC458" s="1366"/>
      <c r="DD458" s="1366"/>
      <c r="DE458" s="1366"/>
      <c r="DF458" s="1366"/>
      <c r="DG458" s="1366"/>
      <c r="DH458" s="1366"/>
      <c r="DI458" s="1366"/>
      <c r="DJ458" s="1366"/>
      <c r="DK458" s="1366"/>
      <c r="DL458" s="1366"/>
      <c r="DM458" s="1366"/>
      <c r="DN458" s="1366"/>
      <c r="DO458" s="1366"/>
      <c r="DP458" s="1366"/>
      <c r="DQ458" s="1366"/>
      <c r="DR458" s="1366"/>
      <c r="DS458" s="1366"/>
      <c r="DT458" s="1366"/>
      <c r="DU458" s="1366"/>
      <c r="DV458" s="1366"/>
    </row>
    <row r="459" spans="1:126" s="1367" customFormat="1" ht="30">
      <c r="A459" s="2530"/>
      <c r="B459" s="1653">
        <v>204</v>
      </c>
      <c r="C459" s="1642" t="s">
        <v>49</v>
      </c>
      <c r="D459" s="1375" t="s">
        <v>2351</v>
      </c>
      <c r="E459" s="1364" t="s">
        <v>2097</v>
      </c>
      <c r="F459" s="1364" t="s">
        <v>2107</v>
      </c>
      <c r="G459" s="1185" t="s">
        <v>1907</v>
      </c>
      <c r="H459" s="1361">
        <f>(12*'Equipment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2.9890158137312848</v>
      </c>
      <c r="I459" s="1371">
        <f>'Labor Results Matrix'!$E$532</f>
        <v>7.9629999999999992E-2</v>
      </c>
      <c r="J459" s="1372">
        <f>'Labor Results Matrix'!$G$532*(1+'Labor Results Matrix'!$K$532)</f>
        <v>72.260416710552065</v>
      </c>
      <c r="K459" s="1372">
        <f t="shared" si="196"/>
        <v>5.7540969826612605</v>
      </c>
      <c r="L459" s="1372">
        <v>0</v>
      </c>
      <c r="M459" s="1372">
        <f t="shared" si="197"/>
        <v>8.7431127963925448</v>
      </c>
      <c r="N459" s="1458">
        <f>M459-$M$458</f>
        <v>1.7146892849026818</v>
      </c>
      <c r="O459" s="1429"/>
      <c r="P459" s="1430"/>
      <c r="Q459" s="1430"/>
      <c r="R459" s="1430"/>
      <c r="S459" s="1430"/>
      <c r="T459" s="1430"/>
      <c r="U459" s="1430"/>
      <c r="V459" s="1679"/>
      <c r="W459" s="1366"/>
      <c r="X459" s="1366"/>
      <c r="Y459" s="1366"/>
      <c r="Z459" s="1366"/>
      <c r="AA459" s="1366"/>
      <c r="AB459" s="1366"/>
      <c r="AC459" s="1366"/>
      <c r="AD459" s="1366"/>
      <c r="AE459" s="1366"/>
      <c r="AF459" s="1366"/>
      <c r="AG459" s="1366"/>
      <c r="AH459" s="1366"/>
      <c r="AI459" s="1366"/>
      <c r="AJ459" s="1366"/>
      <c r="AK459" s="1366"/>
      <c r="AL459" s="1366"/>
      <c r="AM459" s="1366"/>
      <c r="AN459" s="1366"/>
      <c r="AO459" s="1366"/>
      <c r="AP459" s="1366"/>
      <c r="AQ459" s="1366"/>
      <c r="AR459" s="1366"/>
      <c r="AS459" s="1366"/>
      <c r="AT459" s="1366"/>
      <c r="AU459" s="1366"/>
      <c r="AV459" s="1366"/>
      <c r="AW459" s="1366"/>
      <c r="AX459" s="1366"/>
      <c r="AY459" s="1366"/>
      <c r="AZ459" s="1366"/>
      <c r="BA459" s="1366"/>
      <c r="BB459" s="1366"/>
      <c r="BC459" s="1366"/>
      <c r="BD459" s="1366"/>
      <c r="BE459" s="1366"/>
      <c r="BF459" s="1366"/>
      <c r="BG459" s="1366"/>
      <c r="BH459" s="1366"/>
      <c r="BI459" s="1366"/>
      <c r="BJ459" s="1366"/>
      <c r="BK459" s="1366"/>
      <c r="BL459" s="1366"/>
      <c r="BM459" s="1366"/>
      <c r="BN459" s="1366"/>
      <c r="BO459" s="1366"/>
      <c r="BP459" s="1366"/>
      <c r="BQ459" s="1366"/>
      <c r="BR459" s="1366"/>
      <c r="BS459" s="1366"/>
      <c r="BT459" s="1366"/>
      <c r="BU459" s="1366"/>
      <c r="BV459" s="1366"/>
      <c r="BW459" s="1366"/>
      <c r="BX459" s="1366"/>
      <c r="BY459" s="1366"/>
      <c r="BZ459" s="1366"/>
      <c r="CA459" s="1366"/>
      <c r="CB459" s="1366"/>
      <c r="CC459" s="1366"/>
      <c r="CD459" s="1366"/>
      <c r="CE459" s="1366"/>
      <c r="CF459" s="1366"/>
      <c r="CG459" s="1366"/>
      <c r="CH459" s="1366"/>
      <c r="CI459" s="1366"/>
      <c r="CJ459" s="1366"/>
      <c r="CK459" s="1366"/>
      <c r="CL459" s="1366"/>
      <c r="CM459" s="1366"/>
      <c r="CN459" s="1366"/>
      <c r="CO459" s="1366"/>
      <c r="CP459" s="1366"/>
      <c r="CQ459" s="1366"/>
      <c r="CR459" s="1366"/>
      <c r="CS459" s="1366"/>
      <c r="CT459" s="1366"/>
      <c r="CU459" s="1366"/>
      <c r="CV459" s="1366"/>
      <c r="CW459" s="1366"/>
      <c r="CX459" s="1366"/>
      <c r="CY459" s="1366"/>
      <c r="CZ459" s="1366"/>
      <c r="DA459" s="1366"/>
      <c r="DB459" s="1366"/>
      <c r="DC459" s="1366"/>
      <c r="DD459" s="1366"/>
      <c r="DE459" s="1366"/>
      <c r="DF459" s="1366"/>
      <c r="DG459" s="1366"/>
      <c r="DH459" s="1366"/>
      <c r="DI459" s="1366"/>
      <c r="DJ459" s="1366"/>
      <c r="DK459" s="1366"/>
      <c r="DL459" s="1366"/>
      <c r="DM459" s="1366"/>
      <c r="DN459" s="1366"/>
      <c r="DO459" s="1366"/>
      <c r="DP459" s="1366"/>
      <c r="DQ459" s="1366"/>
      <c r="DR459" s="1366"/>
      <c r="DS459" s="1366"/>
      <c r="DT459" s="1366"/>
      <c r="DU459" s="1366"/>
      <c r="DV459" s="1366"/>
    </row>
    <row r="460" spans="1:126" s="1367" customFormat="1" ht="30">
      <c r="A460" s="2530"/>
      <c r="B460" s="1653">
        <v>205</v>
      </c>
      <c r="C460" s="1642" t="s">
        <v>49</v>
      </c>
      <c r="D460" s="1375" t="s">
        <v>2352</v>
      </c>
      <c r="E460" s="1364" t="s">
        <v>2097</v>
      </c>
      <c r="F460" s="1364" t="s">
        <v>2107</v>
      </c>
      <c r="G460" s="1185" t="s">
        <v>1907</v>
      </c>
      <c r="H460" s="1361">
        <f>(13*'Equipment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3.0555158137312848</v>
      </c>
      <c r="I460" s="1371">
        <f>'Labor Results Matrix'!$E$532</f>
        <v>7.9629999999999992E-2</v>
      </c>
      <c r="J460" s="1372">
        <f>'Labor Results Matrix'!$G$532*(1+'Labor Results Matrix'!$K$532)</f>
        <v>72.260416710552065</v>
      </c>
      <c r="K460" s="1372">
        <f t="shared" si="196"/>
        <v>5.7540969826612605</v>
      </c>
      <c r="L460" s="1372">
        <v>0</v>
      </c>
      <c r="M460" s="1372">
        <f t="shared" si="197"/>
        <v>8.8096127963925461</v>
      </c>
      <c r="N460" s="1458">
        <f>M460-$M$458</f>
        <v>1.7811892849026831</v>
      </c>
      <c r="O460" s="1429"/>
      <c r="P460" s="1430"/>
      <c r="Q460" s="1430"/>
      <c r="R460" s="1430"/>
      <c r="S460" s="1430"/>
      <c r="T460" s="1430"/>
      <c r="U460" s="1430"/>
      <c r="V460" s="1679"/>
      <c r="W460" s="1366"/>
      <c r="X460" s="1366"/>
      <c r="Y460" s="1366"/>
      <c r="Z460" s="1366"/>
      <c r="AA460" s="1366"/>
      <c r="AB460" s="1366"/>
      <c r="AC460" s="1366"/>
      <c r="AD460" s="1366"/>
      <c r="AE460" s="1366"/>
      <c r="AF460" s="1366"/>
      <c r="AG460" s="1366"/>
      <c r="AH460" s="1366"/>
      <c r="AI460" s="1366"/>
      <c r="AJ460" s="1366"/>
      <c r="AK460" s="1366"/>
      <c r="AL460" s="1366"/>
      <c r="AM460" s="1366"/>
      <c r="AN460" s="1366"/>
      <c r="AO460" s="1366"/>
      <c r="AP460" s="1366"/>
      <c r="AQ460" s="1366"/>
      <c r="AR460" s="1366"/>
      <c r="AS460" s="1366"/>
      <c r="AT460" s="1366"/>
      <c r="AU460" s="1366"/>
      <c r="AV460" s="1366"/>
      <c r="AW460" s="1366"/>
      <c r="AX460" s="1366"/>
      <c r="AY460" s="1366"/>
      <c r="AZ460" s="1366"/>
      <c r="BA460" s="1366"/>
      <c r="BB460" s="1366"/>
      <c r="BC460" s="1366"/>
      <c r="BD460" s="1366"/>
      <c r="BE460" s="1366"/>
      <c r="BF460" s="1366"/>
      <c r="BG460" s="1366"/>
      <c r="BH460" s="1366"/>
      <c r="BI460" s="1366"/>
      <c r="BJ460" s="1366"/>
      <c r="BK460" s="1366"/>
      <c r="BL460" s="1366"/>
      <c r="BM460" s="1366"/>
      <c r="BN460" s="1366"/>
      <c r="BO460" s="1366"/>
      <c r="BP460" s="1366"/>
      <c r="BQ460" s="1366"/>
      <c r="BR460" s="1366"/>
      <c r="BS460" s="1366"/>
      <c r="BT460" s="1366"/>
      <c r="BU460" s="1366"/>
      <c r="BV460" s="1366"/>
      <c r="BW460" s="1366"/>
      <c r="BX460" s="1366"/>
      <c r="BY460" s="1366"/>
      <c r="BZ460" s="1366"/>
      <c r="CA460" s="1366"/>
      <c r="CB460" s="1366"/>
      <c r="CC460" s="1366"/>
      <c r="CD460" s="1366"/>
      <c r="CE460" s="1366"/>
      <c r="CF460" s="1366"/>
      <c r="CG460" s="1366"/>
      <c r="CH460" s="1366"/>
      <c r="CI460" s="1366"/>
      <c r="CJ460" s="1366"/>
      <c r="CK460" s="1366"/>
      <c r="CL460" s="1366"/>
      <c r="CM460" s="1366"/>
      <c r="CN460" s="1366"/>
      <c r="CO460" s="1366"/>
      <c r="CP460" s="1366"/>
      <c r="CQ460" s="1366"/>
      <c r="CR460" s="1366"/>
      <c r="CS460" s="1366"/>
      <c r="CT460" s="1366"/>
      <c r="CU460" s="1366"/>
      <c r="CV460" s="1366"/>
      <c r="CW460" s="1366"/>
      <c r="CX460" s="1366"/>
      <c r="CY460" s="1366"/>
      <c r="CZ460" s="1366"/>
      <c r="DA460" s="1366"/>
      <c r="DB460" s="1366"/>
      <c r="DC460" s="1366"/>
      <c r="DD460" s="1366"/>
      <c r="DE460" s="1366"/>
      <c r="DF460" s="1366"/>
      <c r="DG460" s="1366"/>
      <c r="DH460" s="1366"/>
      <c r="DI460" s="1366"/>
      <c r="DJ460" s="1366"/>
      <c r="DK460" s="1366"/>
      <c r="DL460" s="1366"/>
      <c r="DM460" s="1366"/>
      <c r="DN460" s="1366"/>
      <c r="DO460" s="1366"/>
      <c r="DP460" s="1366"/>
      <c r="DQ460" s="1366"/>
      <c r="DR460" s="1366"/>
      <c r="DS460" s="1366"/>
      <c r="DT460" s="1366"/>
      <c r="DU460" s="1366"/>
      <c r="DV460" s="1366"/>
    </row>
    <row r="461" spans="1:126" s="1367" customFormat="1" ht="30">
      <c r="A461" s="2530"/>
      <c r="B461" s="1653">
        <v>2199</v>
      </c>
      <c r="C461" s="1642" t="s">
        <v>49</v>
      </c>
      <c r="D461" s="1375" t="s">
        <v>2603</v>
      </c>
      <c r="E461" s="1364" t="s">
        <v>2097</v>
      </c>
      <c r="F461" s="1365" t="s">
        <v>2108</v>
      </c>
      <c r="G461" s="506" t="s">
        <v>1907</v>
      </c>
      <c r="H461" s="1361">
        <f>(12*'Equipment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2.9890158137312848</v>
      </c>
      <c r="I461" s="1371">
        <f>'Labor Results Matrix'!$E$532</f>
        <v>7.9629999999999992E-2</v>
      </c>
      <c r="J461" s="1372">
        <f>'Labor Results Matrix'!$G$532*(1+'Labor Results Matrix'!$K$532)</f>
        <v>72.260416710552065</v>
      </c>
      <c r="K461" s="1372">
        <f t="shared" ref="K461:K462" si="202">I461*J461</f>
        <v>5.7540969826612605</v>
      </c>
      <c r="L461" s="1372">
        <v>0</v>
      </c>
      <c r="M461" s="1372">
        <f t="shared" ref="M461:M462" si="203">H461+K461</f>
        <v>8.7431127963925448</v>
      </c>
      <c r="N461" s="1458">
        <f>M461-$M$458</f>
        <v>1.7146892849026818</v>
      </c>
      <c r="O461" s="1429"/>
      <c r="P461" s="1430"/>
      <c r="Q461" s="1430"/>
      <c r="R461" s="1430"/>
      <c r="S461" s="1430"/>
      <c r="T461" s="1430"/>
      <c r="U461" s="1430"/>
      <c r="V461" s="1679"/>
      <c r="W461" s="1366"/>
      <c r="X461" s="1366"/>
      <c r="Y461" s="1366"/>
      <c r="Z461" s="1366"/>
      <c r="AA461" s="1366"/>
      <c r="AB461" s="1366"/>
      <c r="AC461" s="1366"/>
      <c r="AD461" s="1366"/>
      <c r="AE461" s="1366"/>
      <c r="AF461" s="1366"/>
      <c r="AG461" s="1366"/>
      <c r="AH461" s="1366"/>
      <c r="AI461" s="1366"/>
      <c r="AJ461" s="1366"/>
      <c r="AK461" s="1366"/>
      <c r="AL461" s="1366"/>
      <c r="AM461" s="1366"/>
      <c r="AN461" s="1366"/>
      <c r="AO461" s="1366"/>
      <c r="AP461" s="1366"/>
      <c r="AQ461" s="1366"/>
      <c r="AR461" s="1366"/>
      <c r="AS461" s="1366"/>
      <c r="AT461" s="1366"/>
      <c r="AU461" s="1366"/>
      <c r="AV461" s="1366"/>
      <c r="AW461" s="1366"/>
      <c r="AX461" s="1366"/>
      <c r="AY461" s="1366"/>
      <c r="AZ461" s="1366"/>
      <c r="BA461" s="1366"/>
      <c r="BB461" s="1366"/>
      <c r="BC461" s="1366"/>
      <c r="BD461" s="1366"/>
      <c r="BE461" s="1366"/>
      <c r="BF461" s="1366"/>
      <c r="BG461" s="1366"/>
      <c r="BH461" s="1366"/>
      <c r="BI461" s="1366"/>
      <c r="BJ461" s="1366"/>
      <c r="BK461" s="1366"/>
      <c r="BL461" s="1366"/>
      <c r="BM461" s="1366"/>
      <c r="BN461" s="1366"/>
      <c r="BO461" s="1366"/>
      <c r="BP461" s="1366"/>
      <c r="BQ461" s="1366"/>
      <c r="BR461" s="1366"/>
      <c r="BS461" s="1366"/>
      <c r="BT461" s="1366"/>
      <c r="BU461" s="1366"/>
      <c r="BV461" s="1366"/>
      <c r="BW461" s="1366"/>
      <c r="BX461" s="1366"/>
      <c r="BY461" s="1366"/>
      <c r="BZ461" s="1366"/>
      <c r="CA461" s="1366"/>
      <c r="CB461" s="1366"/>
      <c r="CC461" s="1366"/>
      <c r="CD461" s="1366"/>
      <c r="CE461" s="1366"/>
      <c r="CF461" s="1366"/>
      <c r="CG461" s="1366"/>
      <c r="CH461" s="1366"/>
      <c r="CI461" s="1366"/>
      <c r="CJ461" s="1366"/>
      <c r="CK461" s="1366"/>
      <c r="CL461" s="1366"/>
      <c r="CM461" s="1366"/>
      <c r="CN461" s="1366"/>
      <c r="CO461" s="1366"/>
      <c r="CP461" s="1366"/>
      <c r="CQ461" s="1366"/>
      <c r="CR461" s="1366"/>
      <c r="CS461" s="1366"/>
      <c r="CT461" s="1366"/>
      <c r="CU461" s="1366"/>
      <c r="CV461" s="1366"/>
      <c r="CW461" s="1366"/>
      <c r="CX461" s="1366"/>
      <c r="CY461" s="1366"/>
      <c r="CZ461" s="1366"/>
      <c r="DA461" s="1366"/>
      <c r="DB461" s="1366"/>
      <c r="DC461" s="1366"/>
      <c r="DD461" s="1366"/>
      <c r="DE461" s="1366"/>
      <c r="DF461" s="1366"/>
      <c r="DG461" s="1366"/>
      <c r="DH461" s="1366"/>
      <c r="DI461" s="1366"/>
      <c r="DJ461" s="1366"/>
      <c r="DK461" s="1366"/>
      <c r="DL461" s="1366"/>
      <c r="DM461" s="1366"/>
      <c r="DN461" s="1366"/>
      <c r="DO461" s="1366"/>
      <c r="DP461" s="1366"/>
      <c r="DQ461" s="1366"/>
      <c r="DR461" s="1366"/>
      <c r="DS461" s="1366"/>
      <c r="DT461" s="1366"/>
      <c r="DU461" s="1366"/>
      <c r="DV461" s="1366"/>
    </row>
    <row r="462" spans="1:126" s="1367" customFormat="1" ht="30">
      <c r="A462" s="2530"/>
      <c r="B462" s="1653">
        <v>2200</v>
      </c>
      <c r="C462" s="1642" t="s">
        <v>49</v>
      </c>
      <c r="D462" s="1375" t="s">
        <v>2604</v>
      </c>
      <c r="E462" s="1364" t="s">
        <v>2097</v>
      </c>
      <c r="F462" s="1365" t="s">
        <v>2108</v>
      </c>
      <c r="G462" s="506" t="s">
        <v>1907</v>
      </c>
      <c r="H462" s="1361">
        <f>(13*'Equipment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3.0555158137312848</v>
      </c>
      <c r="I462" s="1371">
        <f>'Labor Results Matrix'!$E$532</f>
        <v>7.9629999999999992E-2</v>
      </c>
      <c r="J462" s="1372">
        <f>'Labor Results Matrix'!$G$532*(1+'Labor Results Matrix'!$K$532)</f>
        <v>72.260416710552065</v>
      </c>
      <c r="K462" s="1372">
        <f t="shared" si="202"/>
        <v>5.7540969826612605</v>
      </c>
      <c r="L462" s="1372">
        <v>0</v>
      </c>
      <c r="M462" s="1372">
        <f t="shared" si="203"/>
        <v>8.8096127963925461</v>
      </c>
      <c r="N462" s="1458">
        <f>M462-$M$458</f>
        <v>1.7811892849026831</v>
      </c>
      <c r="O462" s="1429"/>
      <c r="P462" s="1430"/>
      <c r="Q462" s="1430"/>
      <c r="R462" s="1430"/>
      <c r="S462" s="1430"/>
      <c r="T462" s="1430"/>
      <c r="U462" s="1430"/>
      <c r="V462" s="1679"/>
      <c r="W462" s="1366"/>
      <c r="X462" s="1366"/>
      <c r="Y462" s="1366"/>
      <c r="Z462" s="1366"/>
      <c r="AA462" s="1366"/>
      <c r="AB462" s="1366"/>
      <c r="AC462" s="1366"/>
      <c r="AD462" s="1366"/>
      <c r="AE462" s="1366"/>
      <c r="AF462" s="1366"/>
      <c r="AG462" s="1366"/>
      <c r="AH462" s="1366"/>
      <c r="AI462" s="1366"/>
      <c r="AJ462" s="1366"/>
      <c r="AK462" s="1366"/>
      <c r="AL462" s="1366"/>
      <c r="AM462" s="1366"/>
      <c r="AN462" s="1366"/>
      <c r="AO462" s="1366"/>
      <c r="AP462" s="1366"/>
      <c r="AQ462" s="1366"/>
      <c r="AR462" s="1366"/>
      <c r="AS462" s="1366"/>
      <c r="AT462" s="1366"/>
      <c r="AU462" s="1366"/>
      <c r="AV462" s="1366"/>
      <c r="AW462" s="1366"/>
      <c r="AX462" s="1366"/>
      <c r="AY462" s="1366"/>
      <c r="AZ462" s="1366"/>
      <c r="BA462" s="1366"/>
      <c r="BB462" s="1366"/>
      <c r="BC462" s="1366"/>
      <c r="BD462" s="1366"/>
      <c r="BE462" s="1366"/>
      <c r="BF462" s="1366"/>
      <c r="BG462" s="1366"/>
      <c r="BH462" s="1366"/>
      <c r="BI462" s="1366"/>
      <c r="BJ462" s="1366"/>
      <c r="BK462" s="1366"/>
      <c r="BL462" s="1366"/>
      <c r="BM462" s="1366"/>
      <c r="BN462" s="1366"/>
      <c r="BO462" s="1366"/>
      <c r="BP462" s="1366"/>
      <c r="BQ462" s="1366"/>
      <c r="BR462" s="1366"/>
      <c r="BS462" s="1366"/>
      <c r="BT462" s="1366"/>
      <c r="BU462" s="1366"/>
      <c r="BV462" s="1366"/>
      <c r="BW462" s="1366"/>
      <c r="BX462" s="1366"/>
      <c r="BY462" s="1366"/>
      <c r="BZ462" s="1366"/>
      <c r="CA462" s="1366"/>
      <c r="CB462" s="1366"/>
      <c r="CC462" s="1366"/>
      <c r="CD462" s="1366"/>
      <c r="CE462" s="1366"/>
      <c r="CF462" s="1366"/>
      <c r="CG462" s="1366"/>
      <c r="CH462" s="1366"/>
      <c r="CI462" s="1366"/>
      <c r="CJ462" s="1366"/>
      <c r="CK462" s="1366"/>
      <c r="CL462" s="1366"/>
      <c r="CM462" s="1366"/>
      <c r="CN462" s="1366"/>
      <c r="CO462" s="1366"/>
      <c r="CP462" s="1366"/>
      <c r="CQ462" s="1366"/>
      <c r="CR462" s="1366"/>
      <c r="CS462" s="1366"/>
      <c r="CT462" s="1366"/>
      <c r="CU462" s="1366"/>
      <c r="CV462" s="1366"/>
      <c r="CW462" s="1366"/>
      <c r="CX462" s="1366"/>
      <c r="CY462" s="1366"/>
      <c r="CZ462" s="1366"/>
      <c r="DA462" s="1366"/>
      <c r="DB462" s="1366"/>
      <c r="DC462" s="1366"/>
      <c r="DD462" s="1366"/>
      <c r="DE462" s="1366"/>
      <c r="DF462" s="1366"/>
      <c r="DG462" s="1366"/>
      <c r="DH462" s="1366"/>
      <c r="DI462" s="1366"/>
      <c r="DJ462" s="1366"/>
      <c r="DK462" s="1366"/>
      <c r="DL462" s="1366"/>
      <c r="DM462" s="1366"/>
      <c r="DN462" s="1366"/>
      <c r="DO462" s="1366"/>
      <c r="DP462" s="1366"/>
      <c r="DQ462" s="1366"/>
      <c r="DR462" s="1366"/>
      <c r="DS462" s="1366"/>
      <c r="DT462" s="1366"/>
      <c r="DU462" s="1366"/>
      <c r="DV462" s="1366"/>
    </row>
    <row r="463" spans="1:126" s="1367" customFormat="1" ht="15" customHeight="1">
      <c r="A463" s="2530"/>
      <c r="B463" s="1653" t="s">
        <v>2636</v>
      </c>
      <c r="C463" s="1642" t="s">
        <v>47</v>
      </c>
      <c r="D463" s="1380" t="s">
        <v>2341</v>
      </c>
      <c r="E463" s="1364" t="s">
        <v>2097</v>
      </c>
      <c r="F463" s="1364" t="s">
        <v>2627</v>
      </c>
      <c r="G463" s="1185" t="s">
        <v>1907</v>
      </c>
      <c r="H463" s="1361">
        <f>('Equipment Results Matrix'!$R$979*(55-30))+('Equipment Results Matrix'!$R$980*0)+('Equipment Results Matrix'!$R$978*1.5)+'Equipment Results Matrix'!$R$962+'Equipment Results Matrix'!$R$968+'Equipment Results Matrix'!$R$970+'Equipment Results Matrix'!$R$972+'Equipment Results Matrix'!$R$975+'Equipment Results Matrix'!$R$976+'Equipment Results Matrix'!$T$969</f>
        <v>1.3663265288286024</v>
      </c>
      <c r="I463" s="1371">
        <f>'Labor Results Matrix'!$E$470</f>
        <v>7.9629999999999992E-2</v>
      </c>
      <c r="J463" s="1372">
        <f>'Labor Results Matrix'!$G$470*(1+'Labor Results Matrix'!$K$470)</f>
        <v>72.260416710552065</v>
      </c>
      <c r="K463" s="1372">
        <f t="shared" si="196"/>
        <v>5.7540969826612605</v>
      </c>
      <c r="L463" s="1372">
        <v>0</v>
      </c>
      <c r="M463" s="1372">
        <f t="shared" si="197"/>
        <v>7.1204235114898626</v>
      </c>
      <c r="N463" s="1455" t="s">
        <v>40</v>
      </c>
      <c r="O463" s="1429"/>
      <c r="P463" s="1430"/>
      <c r="Q463" s="1430"/>
      <c r="R463" s="1430"/>
      <c r="S463" s="1430"/>
      <c r="T463" s="1430"/>
      <c r="U463" s="1430"/>
      <c r="V463" s="1679"/>
      <c r="W463" s="1366"/>
      <c r="X463" s="1366"/>
      <c r="Y463" s="1366"/>
      <c r="Z463" s="1366"/>
      <c r="AA463" s="1366"/>
      <c r="AB463" s="1366"/>
      <c r="AC463" s="1366"/>
      <c r="AD463" s="1366"/>
      <c r="AE463" s="1366"/>
      <c r="AF463" s="1366"/>
      <c r="AG463" s="1366"/>
      <c r="AH463" s="1366"/>
      <c r="AI463" s="1366"/>
      <c r="AJ463" s="1366"/>
      <c r="AK463" s="1366"/>
      <c r="AL463" s="1366"/>
      <c r="AM463" s="1366"/>
      <c r="AN463" s="1366"/>
      <c r="AO463" s="1366"/>
      <c r="AP463" s="1366"/>
      <c r="AQ463" s="1366"/>
      <c r="AR463" s="1366"/>
      <c r="AS463" s="1366"/>
      <c r="AT463" s="1366"/>
      <c r="AU463" s="1366"/>
      <c r="AV463" s="1366"/>
      <c r="AW463" s="1366"/>
      <c r="AX463" s="1366"/>
      <c r="AY463" s="1366"/>
      <c r="AZ463" s="1366"/>
      <c r="BA463" s="1366"/>
      <c r="BB463" s="1366"/>
      <c r="BC463" s="1366"/>
      <c r="BD463" s="1366"/>
      <c r="BE463" s="1366"/>
      <c r="BF463" s="1366"/>
      <c r="BG463" s="1366"/>
      <c r="BH463" s="1366"/>
      <c r="BI463" s="1366"/>
      <c r="BJ463" s="1366"/>
      <c r="BK463" s="1366"/>
      <c r="BL463" s="1366"/>
      <c r="BM463" s="1366"/>
      <c r="BN463" s="1366"/>
      <c r="BO463" s="1366"/>
      <c r="BP463" s="1366"/>
      <c r="BQ463" s="1366"/>
      <c r="BR463" s="1366"/>
      <c r="BS463" s="1366"/>
      <c r="BT463" s="1366"/>
      <c r="BU463" s="1366"/>
      <c r="BV463" s="1366"/>
      <c r="BW463" s="1366"/>
      <c r="BX463" s="1366"/>
      <c r="BY463" s="1366"/>
      <c r="BZ463" s="1366"/>
      <c r="CA463" s="1366"/>
      <c r="CB463" s="1366"/>
      <c r="CC463" s="1366"/>
      <c r="CD463" s="1366"/>
      <c r="CE463" s="1366"/>
      <c r="CF463" s="1366"/>
      <c r="CG463" s="1366"/>
      <c r="CH463" s="1366"/>
      <c r="CI463" s="1366"/>
      <c r="CJ463" s="1366"/>
      <c r="CK463" s="1366"/>
      <c r="CL463" s="1366"/>
      <c r="CM463" s="1366"/>
      <c r="CN463" s="1366"/>
      <c r="CO463" s="1366"/>
      <c r="CP463" s="1366"/>
      <c r="CQ463" s="1366"/>
      <c r="CR463" s="1366"/>
      <c r="CS463" s="1366"/>
      <c r="CT463" s="1366"/>
      <c r="CU463" s="1366"/>
      <c r="CV463" s="1366"/>
      <c r="CW463" s="1366"/>
      <c r="CX463" s="1366"/>
      <c r="CY463" s="1366"/>
      <c r="CZ463" s="1366"/>
      <c r="DA463" s="1366"/>
      <c r="DB463" s="1366"/>
      <c r="DC463" s="1366"/>
      <c r="DD463" s="1366"/>
      <c r="DE463" s="1366"/>
      <c r="DF463" s="1366"/>
      <c r="DG463" s="1366"/>
      <c r="DH463" s="1366"/>
      <c r="DI463" s="1366"/>
      <c r="DJ463" s="1366"/>
      <c r="DK463" s="1366"/>
      <c r="DL463" s="1366"/>
      <c r="DM463" s="1366"/>
      <c r="DN463" s="1366"/>
      <c r="DO463" s="1366"/>
      <c r="DP463" s="1366"/>
      <c r="DQ463" s="1366"/>
      <c r="DR463" s="1366"/>
      <c r="DS463" s="1366"/>
      <c r="DT463" s="1366"/>
      <c r="DU463" s="1366"/>
      <c r="DV463" s="1366"/>
    </row>
    <row r="464" spans="1:126" s="1367" customFormat="1" ht="30">
      <c r="A464" s="2530"/>
      <c r="B464" s="1653">
        <v>206</v>
      </c>
      <c r="C464" s="1642" t="s">
        <v>49</v>
      </c>
      <c r="D464" s="1375" t="s">
        <v>2353</v>
      </c>
      <c r="E464" s="1364" t="s">
        <v>2097</v>
      </c>
      <c r="F464" s="1364" t="s">
        <v>2107</v>
      </c>
      <c r="G464" s="1185" t="s">
        <v>1907</v>
      </c>
      <c r="H464" s="1361">
        <f>(14*'Equipment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3.1220158137312848</v>
      </c>
      <c r="I464" s="1371">
        <f>'Labor Results Matrix'!$E$532</f>
        <v>7.9629999999999992E-2</v>
      </c>
      <c r="J464" s="1372">
        <f>'Labor Results Matrix'!$G$532*(1+'Labor Results Matrix'!$K$532)</f>
        <v>72.260416710552065</v>
      </c>
      <c r="K464" s="1372">
        <f t="shared" si="196"/>
        <v>5.7540969826612605</v>
      </c>
      <c r="L464" s="1372">
        <v>0</v>
      </c>
      <c r="M464" s="1372">
        <f t="shared" si="197"/>
        <v>8.8761127963925457</v>
      </c>
      <c r="N464" s="1458">
        <f>M464-$M$463</f>
        <v>1.7556892849026831</v>
      </c>
      <c r="O464" s="1429"/>
      <c r="P464" s="1430"/>
      <c r="Q464" s="1430"/>
      <c r="R464" s="1430"/>
      <c r="S464" s="1430"/>
      <c r="T464" s="1430"/>
      <c r="U464" s="1430"/>
      <c r="V464" s="1679"/>
      <c r="W464" s="1366"/>
      <c r="X464" s="1366"/>
      <c r="Y464" s="1366"/>
      <c r="Z464" s="1366"/>
      <c r="AA464" s="1366"/>
      <c r="AB464" s="1366"/>
      <c r="AC464" s="1366"/>
      <c r="AD464" s="1366"/>
      <c r="AE464" s="1366"/>
      <c r="AF464" s="1366"/>
      <c r="AG464" s="1366"/>
      <c r="AH464" s="1366"/>
      <c r="AI464" s="1366"/>
      <c r="AJ464" s="1366"/>
      <c r="AK464" s="1366"/>
      <c r="AL464" s="1366"/>
      <c r="AM464" s="1366"/>
      <c r="AN464" s="1366"/>
      <c r="AO464" s="1366"/>
      <c r="AP464" s="1366"/>
      <c r="AQ464" s="1366"/>
      <c r="AR464" s="1366"/>
      <c r="AS464" s="1366"/>
      <c r="AT464" s="1366"/>
      <c r="AU464" s="1366"/>
      <c r="AV464" s="1366"/>
      <c r="AW464" s="1366"/>
      <c r="AX464" s="1366"/>
      <c r="AY464" s="1366"/>
      <c r="AZ464" s="1366"/>
      <c r="BA464" s="1366"/>
      <c r="BB464" s="1366"/>
      <c r="BC464" s="1366"/>
      <c r="BD464" s="1366"/>
      <c r="BE464" s="1366"/>
      <c r="BF464" s="1366"/>
      <c r="BG464" s="1366"/>
      <c r="BH464" s="1366"/>
      <c r="BI464" s="1366"/>
      <c r="BJ464" s="1366"/>
      <c r="BK464" s="1366"/>
      <c r="BL464" s="1366"/>
      <c r="BM464" s="1366"/>
      <c r="BN464" s="1366"/>
      <c r="BO464" s="1366"/>
      <c r="BP464" s="1366"/>
      <c r="BQ464" s="1366"/>
      <c r="BR464" s="1366"/>
      <c r="BS464" s="1366"/>
      <c r="BT464" s="1366"/>
      <c r="BU464" s="1366"/>
      <c r="BV464" s="1366"/>
      <c r="BW464" s="1366"/>
      <c r="BX464" s="1366"/>
      <c r="BY464" s="1366"/>
      <c r="BZ464" s="1366"/>
      <c r="CA464" s="1366"/>
      <c r="CB464" s="1366"/>
      <c r="CC464" s="1366"/>
      <c r="CD464" s="1366"/>
      <c r="CE464" s="1366"/>
      <c r="CF464" s="1366"/>
      <c r="CG464" s="1366"/>
      <c r="CH464" s="1366"/>
      <c r="CI464" s="1366"/>
      <c r="CJ464" s="1366"/>
      <c r="CK464" s="1366"/>
      <c r="CL464" s="1366"/>
      <c r="CM464" s="1366"/>
      <c r="CN464" s="1366"/>
      <c r="CO464" s="1366"/>
      <c r="CP464" s="1366"/>
      <c r="CQ464" s="1366"/>
      <c r="CR464" s="1366"/>
      <c r="CS464" s="1366"/>
      <c r="CT464" s="1366"/>
      <c r="CU464" s="1366"/>
      <c r="CV464" s="1366"/>
      <c r="CW464" s="1366"/>
      <c r="CX464" s="1366"/>
      <c r="CY464" s="1366"/>
      <c r="CZ464" s="1366"/>
      <c r="DA464" s="1366"/>
      <c r="DB464" s="1366"/>
      <c r="DC464" s="1366"/>
      <c r="DD464" s="1366"/>
      <c r="DE464" s="1366"/>
      <c r="DF464" s="1366"/>
      <c r="DG464" s="1366"/>
      <c r="DH464" s="1366"/>
      <c r="DI464" s="1366"/>
      <c r="DJ464" s="1366"/>
      <c r="DK464" s="1366"/>
      <c r="DL464" s="1366"/>
      <c r="DM464" s="1366"/>
      <c r="DN464" s="1366"/>
      <c r="DO464" s="1366"/>
      <c r="DP464" s="1366"/>
      <c r="DQ464" s="1366"/>
      <c r="DR464" s="1366"/>
      <c r="DS464" s="1366"/>
      <c r="DT464" s="1366"/>
      <c r="DU464" s="1366"/>
      <c r="DV464" s="1366"/>
    </row>
    <row r="465" spans="1:126" s="1367" customFormat="1" ht="30">
      <c r="A465" s="2530"/>
      <c r="B465" s="1653">
        <v>208</v>
      </c>
      <c r="C465" s="1642" t="s">
        <v>49</v>
      </c>
      <c r="D465" s="1375" t="s">
        <v>2354</v>
      </c>
      <c r="E465" s="1364" t="s">
        <v>2097</v>
      </c>
      <c r="F465" s="1364" t="s">
        <v>2107</v>
      </c>
      <c r="G465" s="1185" t="s">
        <v>1907</v>
      </c>
      <c r="H465" s="1361">
        <f>(15*'Equipment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3.1885158137312848</v>
      </c>
      <c r="I465" s="1371">
        <f>'Labor Results Matrix'!$E$532</f>
        <v>7.9629999999999992E-2</v>
      </c>
      <c r="J465" s="1372">
        <f>'Labor Results Matrix'!$G$532*(1+'Labor Results Matrix'!$K$532)</f>
        <v>72.260416710552065</v>
      </c>
      <c r="K465" s="1372">
        <f t="shared" si="196"/>
        <v>5.7540969826612605</v>
      </c>
      <c r="L465" s="1372">
        <v>0</v>
      </c>
      <c r="M465" s="1372">
        <f t="shared" si="197"/>
        <v>8.9426127963925452</v>
      </c>
      <c r="N465" s="1458">
        <f>M465-$M$463</f>
        <v>1.8221892849026826</v>
      </c>
      <c r="O465" s="1429"/>
      <c r="P465" s="1430"/>
      <c r="Q465" s="1430"/>
      <c r="R465" s="1430"/>
      <c r="S465" s="1430"/>
      <c r="T465" s="1430"/>
      <c r="U465" s="1430"/>
      <c r="V465" s="1679"/>
      <c r="W465" s="1366"/>
      <c r="X465" s="1366"/>
      <c r="Y465" s="1366"/>
      <c r="Z465" s="1366"/>
      <c r="AA465" s="1366"/>
      <c r="AB465" s="1366"/>
      <c r="AC465" s="1366"/>
      <c r="AD465" s="1366"/>
      <c r="AE465" s="1366"/>
      <c r="AF465" s="1366"/>
      <c r="AG465" s="1366"/>
      <c r="AH465" s="1366"/>
      <c r="AI465" s="1366"/>
      <c r="AJ465" s="1366"/>
      <c r="AK465" s="1366"/>
      <c r="AL465" s="1366"/>
      <c r="AM465" s="1366"/>
      <c r="AN465" s="1366"/>
      <c r="AO465" s="1366"/>
      <c r="AP465" s="1366"/>
      <c r="AQ465" s="1366"/>
      <c r="AR465" s="1366"/>
      <c r="AS465" s="1366"/>
      <c r="AT465" s="1366"/>
      <c r="AU465" s="1366"/>
      <c r="AV465" s="1366"/>
      <c r="AW465" s="1366"/>
      <c r="AX465" s="1366"/>
      <c r="AY465" s="1366"/>
      <c r="AZ465" s="1366"/>
      <c r="BA465" s="1366"/>
      <c r="BB465" s="1366"/>
      <c r="BC465" s="1366"/>
      <c r="BD465" s="1366"/>
      <c r="BE465" s="1366"/>
      <c r="BF465" s="1366"/>
      <c r="BG465" s="1366"/>
      <c r="BH465" s="1366"/>
      <c r="BI465" s="1366"/>
      <c r="BJ465" s="1366"/>
      <c r="BK465" s="1366"/>
      <c r="BL465" s="1366"/>
      <c r="BM465" s="1366"/>
      <c r="BN465" s="1366"/>
      <c r="BO465" s="1366"/>
      <c r="BP465" s="1366"/>
      <c r="BQ465" s="1366"/>
      <c r="BR465" s="1366"/>
      <c r="BS465" s="1366"/>
      <c r="BT465" s="1366"/>
      <c r="BU465" s="1366"/>
      <c r="BV465" s="1366"/>
      <c r="BW465" s="1366"/>
      <c r="BX465" s="1366"/>
      <c r="BY465" s="1366"/>
      <c r="BZ465" s="1366"/>
      <c r="CA465" s="1366"/>
      <c r="CB465" s="1366"/>
      <c r="CC465" s="1366"/>
      <c r="CD465" s="1366"/>
      <c r="CE465" s="1366"/>
      <c r="CF465" s="1366"/>
      <c r="CG465" s="1366"/>
      <c r="CH465" s="1366"/>
      <c r="CI465" s="1366"/>
      <c r="CJ465" s="1366"/>
      <c r="CK465" s="1366"/>
      <c r="CL465" s="1366"/>
      <c r="CM465" s="1366"/>
      <c r="CN465" s="1366"/>
      <c r="CO465" s="1366"/>
      <c r="CP465" s="1366"/>
      <c r="CQ465" s="1366"/>
      <c r="CR465" s="1366"/>
      <c r="CS465" s="1366"/>
      <c r="CT465" s="1366"/>
      <c r="CU465" s="1366"/>
      <c r="CV465" s="1366"/>
      <c r="CW465" s="1366"/>
      <c r="CX465" s="1366"/>
      <c r="CY465" s="1366"/>
      <c r="CZ465" s="1366"/>
      <c r="DA465" s="1366"/>
      <c r="DB465" s="1366"/>
      <c r="DC465" s="1366"/>
      <c r="DD465" s="1366"/>
      <c r="DE465" s="1366"/>
      <c r="DF465" s="1366"/>
      <c r="DG465" s="1366"/>
      <c r="DH465" s="1366"/>
      <c r="DI465" s="1366"/>
      <c r="DJ465" s="1366"/>
      <c r="DK465" s="1366"/>
      <c r="DL465" s="1366"/>
      <c r="DM465" s="1366"/>
      <c r="DN465" s="1366"/>
      <c r="DO465" s="1366"/>
      <c r="DP465" s="1366"/>
      <c r="DQ465" s="1366"/>
      <c r="DR465" s="1366"/>
      <c r="DS465" s="1366"/>
      <c r="DT465" s="1366"/>
      <c r="DU465" s="1366"/>
      <c r="DV465" s="1366"/>
    </row>
    <row r="466" spans="1:126" s="1367" customFormat="1" ht="30">
      <c r="A466" s="2530"/>
      <c r="B466" s="1653">
        <v>2201</v>
      </c>
      <c r="C466" s="1642" t="s">
        <v>49</v>
      </c>
      <c r="D466" s="1375" t="s">
        <v>2605</v>
      </c>
      <c r="E466" s="1364" t="s">
        <v>2097</v>
      </c>
      <c r="F466" s="1365" t="s">
        <v>2108</v>
      </c>
      <c r="G466" s="506" t="s">
        <v>1907</v>
      </c>
      <c r="H466" s="1361">
        <f>(14*'Equipment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3.1220158137312848</v>
      </c>
      <c r="I466" s="1371">
        <f>'Labor Results Matrix'!$E$532</f>
        <v>7.9629999999999992E-2</v>
      </c>
      <c r="J466" s="1372">
        <f>'Labor Results Matrix'!$G$532*(1+'Labor Results Matrix'!$K$532)</f>
        <v>72.260416710552065</v>
      </c>
      <c r="K466" s="1372">
        <f t="shared" ref="K466:K467" si="204">I466*J466</f>
        <v>5.7540969826612605</v>
      </c>
      <c r="L466" s="1372">
        <v>0</v>
      </c>
      <c r="M466" s="1372">
        <f t="shared" ref="M466:M467" si="205">H466+K466</f>
        <v>8.8761127963925457</v>
      </c>
      <c r="N466" s="1458">
        <f>M466-$M$463</f>
        <v>1.7556892849026831</v>
      </c>
      <c r="O466" s="1429"/>
      <c r="P466" s="1430"/>
      <c r="Q466" s="1430"/>
      <c r="R466" s="1430"/>
      <c r="S466" s="1430"/>
      <c r="T466" s="1430"/>
      <c r="U466" s="1430"/>
      <c r="V466" s="1679"/>
      <c r="W466" s="1366"/>
      <c r="X466" s="1366"/>
      <c r="Y466" s="1366"/>
      <c r="Z466" s="1366"/>
      <c r="AA466" s="1366"/>
      <c r="AB466" s="1366"/>
      <c r="AC466" s="1366"/>
      <c r="AD466" s="1366"/>
      <c r="AE466" s="1366"/>
      <c r="AF466" s="1366"/>
      <c r="AG466" s="1366"/>
      <c r="AH466" s="1366"/>
      <c r="AI466" s="1366"/>
      <c r="AJ466" s="1366"/>
      <c r="AK466" s="1366"/>
      <c r="AL466" s="1366"/>
      <c r="AM466" s="1366"/>
      <c r="AN466" s="1366"/>
      <c r="AO466" s="1366"/>
      <c r="AP466" s="1366"/>
      <c r="AQ466" s="1366"/>
      <c r="AR466" s="1366"/>
      <c r="AS466" s="1366"/>
      <c r="AT466" s="1366"/>
      <c r="AU466" s="1366"/>
      <c r="AV466" s="1366"/>
      <c r="AW466" s="1366"/>
      <c r="AX466" s="1366"/>
      <c r="AY466" s="1366"/>
      <c r="AZ466" s="1366"/>
      <c r="BA466" s="1366"/>
      <c r="BB466" s="1366"/>
      <c r="BC466" s="1366"/>
      <c r="BD466" s="1366"/>
      <c r="BE466" s="1366"/>
      <c r="BF466" s="1366"/>
      <c r="BG466" s="1366"/>
      <c r="BH466" s="1366"/>
      <c r="BI466" s="1366"/>
      <c r="BJ466" s="1366"/>
      <c r="BK466" s="1366"/>
      <c r="BL466" s="1366"/>
      <c r="BM466" s="1366"/>
      <c r="BN466" s="1366"/>
      <c r="BO466" s="1366"/>
      <c r="BP466" s="1366"/>
      <c r="BQ466" s="1366"/>
      <c r="BR466" s="1366"/>
      <c r="BS466" s="1366"/>
      <c r="BT466" s="1366"/>
      <c r="BU466" s="1366"/>
      <c r="BV466" s="1366"/>
      <c r="BW466" s="1366"/>
      <c r="BX466" s="1366"/>
      <c r="BY466" s="1366"/>
      <c r="BZ466" s="1366"/>
      <c r="CA466" s="1366"/>
      <c r="CB466" s="1366"/>
      <c r="CC466" s="1366"/>
      <c r="CD466" s="1366"/>
      <c r="CE466" s="1366"/>
      <c r="CF466" s="1366"/>
      <c r="CG466" s="1366"/>
      <c r="CH466" s="1366"/>
      <c r="CI466" s="1366"/>
      <c r="CJ466" s="1366"/>
      <c r="CK466" s="1366"/>
      <c r="CL466" s="1366"/>
      <c r="CM466" s="1366"/>
      <c r="CN466" s="1366"/>
      <c r="CO466" s="1366"/>
      <c r="CP466" s="1366"/>
      <c r="CQ466" s="1366"/>
      <c r="CR466" s="1366"/>
      <c r="CS466" s="1366"/>
      <c r="CT466" s="1366"/>
      <c r="CU466" s="1366"/>
      <c r="CV466" s="1366"/>
      <c r="CW466" s="1366"/>
      <c r="CX466" s="1366"/>
      <c r="CY466" s="1366"/>
      <c r="CZ466" s="1366"/>
      <c r="DA466" s="1366"/>
      <c r="DB466" s="1366"/>
      <c r="DC466" s="1366"/>
      <c r="DD466" s="1366"/>
      <c r="DE466" s="1366"/>
      <c r="DF466" s="1366"/>
      <c r="DG466" s="1366"/>
      <c r="DH466" s="1366"/>
      <c r="DI466" s="1366"/>
      <c r="DJ466" s="1366"/>
      <c r="DK466" s="1366"/>
      <c r="DL466" s="1366"/>
      <c r="DM466" s="1366"/>
      <c r="DN466" s="1366"/>
      <c r="DO466" s="1366"/>
      <c r="DP466" s="1366"/>
      <c r="DQ466" s="1366"/>
      <c r="DR466" s="1366"/>
      <c r="DS466" s="1366"/>
      <c r="DT466" s="1366"/>
      <c r="DU466" s="1366"/>
      <c r="DV466" s="1366"/>
    </row>
    <row r="467" spans="1:126" s="1367" customFormat="1" ht="30">
      <c r="A467" s="2530"/>
      <c r="B467" s="1653">
        <v>2202</v>
      </c>
      <c r="C467" s="1642" t="s">
        <v>49</v>
      </c>
      <c r="D467" s="1375" t="s">
        <v>2606</v>
      </c>
      <c r="E467" s="1364" t="s">
        <v>2097</v>
      </c>
      <c r="F467" s="1365" t="s">
        <v>2108</v>
      </c>
      <c r="G467" s="506" t="s">
        <v>1907</v>
      </c>
      <c r="H467" s="1361">
        <f>(15*'Equipment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3.1885158137312848</v>
      </c>
      <c r="I467" s="1371">
        <f>'Labor Results Matrix'!$E$532</f>
        <v>7.9629999999999992E-2</v>
      </c>
      <c r="J467" s="1372">
        <f>'Labor Results Matrix'!$G$532*(1+'Labor Results Matrix'!$K$532)</f>
        <v>72.260416710552065</v>
      </c>
      <c r="K467" s="1372">
        <f t="shared" si="204"/>
        <v>5.7540969826612605</v>
      </c>
      <c r="L467" s="1372">
        <v>0</v>
      </c>
      <c r="M467" s="1372">
        <f t="shared" si="205"/>
        <v>8.9426127963925452</v>
      </c>
      <c r="N467" s="1458">
        <f>M467-$M$463</f>
        <v>1.8221892849026826</v>
      </c>
      <c r="O467" s="1429"/>
      <c r="P467" s="1430"/>
      <c r="Q467" s="1430"/>
      <c r="R467" s="1430"/>
      <c r="S467" s="1430"/>
      <c r="T467" s="1430"/>
      <c r="U467" s="1430"/>
      <c r="V467" s="1679"/>
      <c r="W467" s="1366"/>
      <c r="X467" s="1366"/>
      <c r="Y467" s="1366"/>
      <c r="Z467" s="1366"/>
      <c r="AA467" s="1366"/>
      <c r="AB467" s="1366"/>
      <c r="AC467" s="1366"/>
      <c r="AD467" s="1366"/>
      <c r="AE467" s="1366"/>
      <c r="AF467" s="1366"/>
      <c r="AG467" s="1366"/>
      <c r="AH467" s="1366"/>
      <c r="AI467" s="1366"/>
      <c r="AJ467" s="1366"/>
      <c r="AK467" s="1366"/>
      <c r="AL467" s="1366"/>
      <c r="AM467" s="1366"/>
      <c r="AN467" s="1366"/>
      <c r="AO467" s="1366"/>
      <c r="AP467" s="1366"/>
      <c r="AQ467" s="1366"/>
      <c r="AR467" s="1366"/>
      <c r="AS467" s="1366"/>
      <c r="AT467" s="1366"/>
      <c r="AU467" s="1366"/>
      <c r="AV467" s="1366"/>
      <c r="AW467" s="1366"/>
      <c r="AX467" s="1366"/>
      <c r="AY467" s="1366"/>
      <c r="AZ467" s="1366"/>
      <c r="BA467" s="1366"/>
      <c r="BB467" s="1366"/>
      <c r="BC467" s="1366"/>
      <c r="BD467" s="1366"/>
      <c r="BE467" s="1366"/>
      <c r="BF467" s="1366"/>
      <c r="BG467" s="1366"/>
      <c r="BH467" s="1366"/>
      <c r="BI467" s="1366"/>
      <c r="BJ467" s="1366"/>
      <c r="BK467" s="1366"/>
      <c r="BL467" s="1366"/>
      <c r="BM467" s="1366"/>
      <c r="BN467" s="1366"/>
      <c r="BO467" s="1366"/>
      <c r="BP467" s="1366"/>
      <c r="BQ467" s="1366"/>
      <c r="BR467" s="1366"/>
      <c r="BS467" s="1366"/>
      <c r="BT467" s="1366"/>
      <c r="BU467" s="1366"/>
      <c r="BV467" s="1366"/>
      <c r="BW467" s="1366"/>
      <c r="BX467" s="1366"/>
      <c r="BY467" s="1366"/>
      <c r="BZ467" s="1366"/>
      <c r="CA467" s="1366"/>
      <c r="CB467" s="1366"/>
      <c r="CC467" s="1366"/>
      <c r="CD467" s="1366"/>
      <c r="CE467" s="1366"/>
      <c r="CF467" s="1366"/>
      <c r="CG467" s="1366"/>
      <c r="CH467" s="1366"/>
      <c r="CI467" s="1366"/>
      <c r="CJ467" s="1366"/>
      <c r="CK467" s="1366"/>
      <c r="CL467" s="1366"/>
      <c r="CM467" s="1366"/>
      <c r="CN467" s="1366"/>
      <c r="CO467" s="1366"/>
      <c r="CP467" s="1366"/>
      <c r="CQ467" s="1366"/>
      <c r="CR467" s="1366"/>
      <c r="CS467" s="1366"/>
      <c r="CT467" s="1366"/>
      <c r="CU467" s="1366"/>
      <c r="CV467" s="1366"/>
      <c r="CW467" s="1366"/>
      <c r="CX467" s="1366"/>
      <c r="CY467" s="1366"/>
      <c r="CZ467" s="1366"/>
      <c r="DA467" s="1366"/>
      <c r="DB467" s="1366"/>
      <c r="DC467" s="1366"/>
      <c r="DD467" s="1366"/>
      <c r="DE467" s="1366"/>
      <c r="DF467" s="1366"/>
      <c r="DG467" s="1366"/>
      <c r="DH467" s="1366"/>
      <c r="DI467" s="1366"/>
      <c r="DJ467" s="1366"/>
      <c r="DK467" s="1366"/>
      <c r="DL467" s="1366"/>
      <c r="DM467" s="1366"/>
      <c r="DN467" s="1366"/>
      <c r="DO467" s="1366"/>
      <c r="DP467" s="1366"/>
      <c r="DQ467" s="1366"/>
      <c r="DR467" s="1366"/>
      <c r="DS467" s="1366"/>
      <c r="DT467" s="1366"/>
      <c r="DU467" s="1366"/>
      <c r="DV467" s="1366"/>
    </row>
    <row r="468" spans="1:126" s="1367" customFormat="1" ht="15" customHeight="1">
      <c r="A468" s="2530"/>
      <c r="B468" s="1653" t="s">
        <v>2637</v>
      </c>
      <c r="C468" s="1642" t="s">
        <v>47</v>
      </c>
      <c r="D468" s="1380" t="s">
        <v>2342</v>
      </c>
      <c r="E468" s="1364" t="s">
        <v>2097</v>
      </c>
      <c r="F468" s="1364" t="s">
        <v>2627</v>
      </c>
      <c r="G468" s="1185" t="s">
        <v>1907</v>
      </c>
      <c r="H468" s="1361">
        <f>('Equipment Results Matrix'!$R$979*(65-30))+('Equipment Results Matrix'!$R$980*0)+('Equipment Results Matrix'!$R$978*1.5)+'Equipment Results Matrix'!$R$962+'Equipment Results Matrix'!$R$968+'Equipment Results Matrix'!$R$970+'Equipment Results Matrix'!$R$972+'Equipment Results Matrix'!$R$975+'Equipment Results Matrix'!$R$976+'Equipment Results Matrix'!$T$969</f>
        <v>1.4583265288286025</v>
      </c>
      <c r="I468" s="1371">
        <f>'Labor Results Matrix'!$E$470</f>
        <v>7.9629999999999992E-2</v>
      </c>
      <c r="J468" s="1372">
        <f>'Labor Results Matrix'!$G$470*(1+'Labor Results Matrix'!$K$470)</f>
        <v>72.260416710552065</v>
      </c>
      <c r="K468" s="1372">
        <f t="shared" si="196"/>
        <v>5.7540969826612605</v>
      </c>
      <c r="L468" s="1372">
        <v>0</v>
      </c>
      <c r="M468" s="1372">
        <f t="shared" si="197"/>
        <v>7.2124235114898632</v>
      </c>
      <c r="N468" s="1455" t="s">
        <v>40</v>
      </c>
      <c r="O468" s="1429"/>
      <c r="P468" s="1430"/>
      <c r="Q468" s="1430"/>
      <c r="R468" s="1430"/>
      <c r="S468" s="1430"/>
      <c r="T468" s="1430"/>
      <c r="U468" s="1430"/>
      <c r="V468" s="1679"/>
      <c r="W468" s="1366"/>
      <c r="X468" s="1366"/>
      <c r="Y468" s="1366"/>
      <c r="Z468" s="1366"/>
      <c r="AA468" s="1366"/>
      <c r="AB468" s="1366"/>
      <c r="AC468" s="1366"/>
      <c r="AD468" s="1366"/>
      <c r="AE468" s="1366"/>
      <c r="AF468" s="1366"/>
      <c r="AG468" s="1366"/>
      <c r="AH468" s="1366"/>
      <c r="AI468" s="1366"/>
      <c r="AJ468" s="1366"/>
      <c r="AK468" s="1366"/>
      <c r="AL468" s="1366"/>
      <c r="AM468" s="1366"/>
      <c r="AN468" s="1366"/>
      <c r="AO468" s="1366"/>
      <c r="AP468" s="1366"/>
      <c r="AQ468" s="1366"/>
      <c r="AR468" s="1366"/>
      <c r="AS468" s="1366"/>
      <c r="AT468" s="1366"/>
      <c r="AU468" s="1366"/>
      <c r="AV468" s="1366"/>
      <c r="AW468" s="1366"/>
      <c r="AX468" s="1366"/>
      <c r="AY468" s="1366"/>
      <c r="AZ468" s="1366"/>
      <c r="BA468" s="1366"/>
      <c r="BB468" s="1366"/>
      <c r="BC468" s="1366"/>
      <c r="BD468" s="1366"/>
      <c r="BE468" s="1366"/>
      <c r="BF468" s="1366"/>
      <c r="BG468" s="1366"/>
      <c r="BH468" s="1366"/>
      <c r="BI468" s="1366"/>
      <c r="BJ468" s="1366"/>
      <c r="BK468" s="1366"/>
      <c r="BL468" s="1366"/>
      <c r="BM468" s="1366"/>
      <c r="BN468" s="1366"/>
      <c r="BO468" s="1366"/>
      <c r="BP468" s="1366"/>
      <c r="BQ468" s="1366"/>
      <c r="BR468" s="1366"/>
      <c r="BS468" s="1366"/>
      <c r="BT468" s="1366"/>
      <c r="BU468" s="1366"/>
      <c r="BV468" s="1366"/>
      <c r="BW468" s="1366"/>
      <c r="BX468" s="1366"/>
      <c r="BY468" s="1366"/>
      <c r="BZ468" s="1366"/>
      <c r="CA468" s="1366"/>
      <c r="CB468" s="1366"/>
      <c r="CC468" s="1366"/>
      <c r="CD468" s="1366"/>
      <c r="CE468" s="1366"/>
      <c r="CF468" s="1366"/>
      <c r="CG468" s="1366"/>
      <c r="CH468" s="1366"/>
      <c r="CI468" s="1366"/>
      <c r="CJ468" s="1366"/>
      <c r="CK468" s="1366"/>
      <c r="CL468" s="1366"/>
      <c r="CM468" s="1366"/>
      <c r="CN468" s="1366"/>
      <c r="CO468" s="1366"/>
      <c r="CP468" s="1366"/>
      <c r="CQ468" s="1366"/>
      <c r="CR468" s="1366"/>
      <c r="CS468" s="1366"/>
      <c r="CT468" s="1366"/>
      <c r="CU468" s="1366"/>
      <c r="CV468" s="1366"/>
      <c r="CW468" s="1366"/>
      <c r="CX468" s="1366"/>
      <c r="CY468" s="1366"/>
      <c r="CZ468" s="1366"/>
      <c r="DA468" s="1366"/>
      <c r="DB468" s="1366"/>
      <c r="DC468" s="1366"/>
      <c r="DD468" s="1366"/>
      <c r="DE468" s="1366"/>
      <c r="DF468" s="1366"/>
      <c r="DG468" s="1366"/>
      <c r="DH468" s="1366"/>
      <c r="DI468" s="1366"/>
      <c r="DJ468" s="1366"/>
      <c r="DK468" s="1366"/>
      <c r="DL468" s="1366"/>
      <c r="DM468" s="1366"/>
      <c r="DN468" s="1366"/>
      <c r="DO468" s="1366"/>
      <c r="DP468" s="1366"/>
      <c r="DQ468" s="1366"/>
      <c r="DR468" s="1366"/>
      <c r="DS468" s="1366"/>
      <c r="DT468" s="1366"/>
      <c r="DU468" s="1366"/>
      <c r="DV468" s="1366"/>
    </row>
    <row r="469" spans="1:126" s="1367" customFormat="1" ht="30">
      <c r="A469" s="2530"/>
      <c r="B469" s="1653">
        <v>209</v>
      </c>
      <c r="C469" s="1642" t="s">
        <v>49</v>
      </c>
      <c r="D469" s="1375" t="s">
        <v>2355</v>
      </c>
      <c r="E469" s="1364" t="s">
        <v>2097</v>
      </c>
      <c r="F469" s="1364" t="s">
        <v>2107</v>
      </c>
      <c r="G469" s="1185" t="s">
        <v>1907</v>
      </c>
      <c r="H469" s="1361">
        <f>(16*'Equipment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3.2550158137312848</v>
      </c>
      <c r="I469" s="1371">
        <f>'Labor Results Matrix'!$E$532</f>
        <v>7.9629999999999992E-2</v>
      </c>
      <c r="J469" s="1372">
        <f>'Labor Results Matrix'!$G$532*(1+'Labor Results Matrix'!$K$532)</f>
        <v>72.260416710552065</v>
      </c>
      <c r="K469" s="1372">
        <f t="shared" si="196"/>
        <v>5.7540969826612605</v>
      </c>
      <c r="L469" s="1372">
        <v>0</v>
      </c>
      <c r="M469" s="1372">
        <f t="shared" si="197"/>
        <v>9.0091127963925448</v>
      </c>
      <c r="N469" s="1458">
        <f>M469-$M$468</f>
        <v>1.7966892849026816</v>
      </c>
      <c r="O469" s="1429"/>
      <c r="P469" s="1430"/>
      <c r="Q469" s="1430"/>
      <c r="R469" s="1430"/>
      <c r="S469" s="1430"/>
      <c r="T469" s="1430"/>
      <c r="U469" s="1430"/>
      <c r="V469" s="1679"/>
      <c r="W469" s="1366"/>
      <c r="X469" s="1366"/>
      <c r="Y469" s="1366"/>
      <c r="Z469" s="1366"/>
      <c r="AA469" s="1366"/>
      <c r="AB469" s="1366"/>
      <c r="AC469" s="1366"/>
      <c r="AD469" s="1366"/>
      <c r="AE469" s="1366"/>
      <c r="AF469" s="1366"/>
      <c r="AG469" s="1366"/>
      <c r="AH469" s="1366"/>
      <c r="AI469" s="1366"/>
      <c r="AJ469" s="1366"/>
      <c r="AK469" s="1366"/>
      <c r="AL469" s="1366"/>
      <c r="AM469" s="1366"/>
      <c r="AN469" s="1366"/>
      <c r="AO469" s="1366"/>
      <c r="AP469" s="1366"/>
      <c r="AQ469" s="1366"/>
      <c r="AR469" s="1366"/>
      <c r="AS469" s="1366"/>
      <c r="AT469" s="1366"/>
      <c r="AU469" s="1366"/>
      <c r="AV469" s="1366"/>
      <c r="AW469" s="1366"/>
      <c r="AX469" s="1366"/>
      <c r="AY469" s="1366"/>
      <c r="AZ469" s="1366"/>
      <c r="BA469" s="1366"/>
      <c r="BB469" s="1366"/>
      <c r="BC469" s="1366"/>
      <c r="BD469" s="1366"/>
      <c r="BE469" s="1366"/>
      <c r="BF469" s="1366"/>
      <c r="BG469" s="1366"/>
      <c r="BH469" s="1366"/>
      <c r="BI469" s="1366"/>
      <c r="BJ469" s="1366"/>
      <c r="BK469" s="1366"/>
      <c r="BL469" s="1366"/>
      <c r="BM469" s="1366"/>
      <c r="BN469" s="1366"/>
      <c r="BO469" s="1366"/>
      <c r="BP469" s="1366"/>
      <c r="BQ469" s="1366"/>
      <c r="BR469" s="1366"/>
      <c r="BS469" s="1366"/>
      <c r="BT469" s="1366"/>
      <c r="BU469" s="1366"/>
      <c r="BV469" s="1366"/>
      <c r="BW469" s="1366"/>
      <c r="BX469" s="1366"/>
      <c r="BY469" s="1366"/>
      <c r="BZ469" s="1366"/>
      <c r="CA469" s="1366"/>
      <c r="CB469" s="1366"/>
      <c r="CC469" s="1366"/>
      <c r="CD469" s="1366"/>
      <c r="CE469" s="1366"/>
      <c r="CF469" s="1366"/>
      <c r="CG469" s="1366"/>
      <c r="CH469" s="1366"/>
      <c r="CI469" s="1366"/>
      <c r="CJ469" s="1366"/>
      <c r="CK469" s="1366"/>
      <c r="CL469" s="1366"/>
      <c r="CM469" s="1366"/>
      <c r="CN469" s="1366"/>
      <c r="CO469" s="1366"/>
      <c r="CP469" s="1366"/>
      <c r="CQ469" s="1366"/>
      <c r="CR469" s="1366"/>
      <c r="CS469" s="1366"/>
      <c r="CT469" s="1366"/>
      <c r="CU469" s="1366"/>
      <c r="CV469" s="1366"/>
      <c r="CW469" s="1366"/>
      <c r="CX469" s="1366"/>
      <c r="CY469" s="1366"/>
      <c r="CZ469" s="1366"/>
      <c r="DA469" s="1366"/>
      <c r="DB469" s="1366"/>
      <c r="DC469" s="1366"/>
      <c r="DD469" s="1366"/>
      <c r="DE469" s="1366"/>
      <c r="DF469" s="1366"/>
      <c r="DG469" s="1366"/>
      <c r="DH469" s="1366"/>
      <c r="DI469" s="1366"/>
      <c r="DJ469" s="1366"/>
      <c r="DK469" s="1366"/>
      <c r="DL469" s="1366"/>
      <c r="DM469" s="1366"/>
      <c r="DN469" s="1366"/>
      <c r="DO469" s="1366"/>
      <c r="DP469" s="1366"/>
      <c r="DQ469" s="1366"/>
      <c r="DR469" s="1366"/>
      <c r="DS469" s="1366"/>
      <c r="DT469" s="1366"/>
      <c r="DU469" s="1366"/>
      <c r="DV469" s="1366"/>
    </row>
    <row r="470" spans="1:126" s="1367" customFormat="1" ht="30">
      <c r="A470" s="2530"/>
      <c r="B470" s="1653">
        <v>210</v>
      </c>
      <c r="C470" s="1642" t="s">
        <v>49</v>
      </c>
      <c r="D470" s="1375" t="s">
        <v>2356</v>
      </c>
      <c r="E470" s="1364" t="s">
        <v>2097</v>
      </c>
      <c r="F470" s="1364" t="s">
        <v>2107</v>
      </c>
      <c r="G470" s="1185" t="s">
        <v>1907</v>
      </c>
      <c r="H470" s="1361">
        <f>(17*'Equipment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3.3215158137312848</v>
      </c>
      <c r="I470" s="1371">
        <f>'Labor Results Matrix'!$E$532</f>
        <v>7.9629999999999992E-2</v>
      </c>
      <c r="J470" s="1372">
        <f>'Labor Results Matrix'!$G$532*(1+'Labor Results Matrix'!$K$532)</f>
        <v>72.260416710552065</v>
      </c>
      <c r="K470" s="1372">
        <f t="shared" si="196"/>
        <v>5.7540969826612605</v>
      </c>
      <c r="L470" s="1372">
        <v>0</v>
      </c>
      <c r="M470" s="1372">
        <f t="shared" si="197"/>
        <v>9.0756127963925444</v>
      </c>
      <c r="N470" s="1458">
        <f>M470-$M$468</f>
        <v>1.8631892849026812</v>
      </c>
      <c r="O470" s="1429"/>
      <c r="P470" s="1430"/>
      <c r="Q470" s="1430"/>
      <c r="R470" s="1430"/>
      <c r="S470" s="1430"/>
      <c r="T470" s="1430"/>
      <c r="U470" s="1430"/>
      <c r="V470" s="1679"/>
      <c r="W470" s="1366"/>
      <c r="X470" s="1366"/>
      <c r="Y470" s="1366"/>
      <c r="Z470" s="1366"/>
      <c r="AA470" s="1366"/>
      <c r="AB470" s="1366"/>
      <c r="AC470" s="1366"/>
      <c r="AD470" s="1366"/>
      <c r="AE470" s="1366"/>
      <c r="AF470" s="1366"/>
      <c r="AG470" s="1366"/>
      <c r="AH470" s="1366"/>
      <c r="AI470" s="1366"/>
      <c r="AJ470" s="1366"/>
      <c r="AK470" s="1366"/>
      <c r="AL470" s="1366"/>
      <c r="AM470" s="1366"/>
      <c r="AN470" s="1366"/>
      <c r="AO470" s="1366"/>
      <c r="AP470" s="1366"/>
      <c r="AQ470" s="1366"/>
      <c r="AR470" s="1366"/>
      <c r="AS470" s="1366"/>
      <c r="AT470" s="1366"/>
      <c r="AU470" s="1366"/>
      <c r="AV470" s="1366"/>
      <c r="AW470" s="1366"/>
      <c r="AX470" s="1366"/>
      <c r="AY470" s="1366"/>
      <c r="AZ470" s="1366"/>
      <c r="BA470" s="1366"/>
      <c r="BB470" s="1366"/>
      <c r="BC470" s="1366"/>
      <c r="BD470" s="1366"/>
      <c r="BE470" s="1366"/>
      <c r="BF470" s="1366"/>
      <c r="BG470" s="1366"/>
      <c r="BH470" s="1366"/>
      <c r="BI470" s="1366"/>
      <c r="BJ470" s="1366"/>
      <c r="BK470" s="1366"/>
      <c r="BL470" s="1366"/>
      <c r="BM470" s="1366"/>
      <c r="BN470" s="1366"/>
      <c r="BO470" s="1366"/>
      <c r="BP470" s="1366"/>
      <c r="BQ470" s="1366"/>
      <c r="BR470" s="1366"/>
      <c r="BS470" s="1366"/>
      <c r="BT470" s="1366"/>
      <c r="BU470" s="1366"/>
      <c r="BV470" s="1366"/>
      <c r="BW470" s="1366"/>
      <c r="BX470" s="1366"/>
      <c r="BY470" s="1366"/>
      <c r="BZ470" s="1366"/>
      <c r="CA470" s="1366"/>
      <c r="CB470" s="1366"/>
      <c r="CC470" s="1366"/>
      <c r="CD470" s="1366"/>
      <c r="CE470" s="1366"/>
      <c r="CF470" s="1366"/>
      <c r="CG470" s="1366"/>
      <c r="CH470" s="1366"/>
      <c r="CI470" s="1366"/>
      <c r="CJ470" s="1366"/>
      <c r="CK470" s="1366"/>
      <c r="CL470" s="1366"/>
      <c r="CM470" s="1366"/>
      <c r="CN470" s="1366"/>
      <c r="CO470" s="1366"/>
      <c r="CP470" s="1366"/>
      <c r="CQ470" s="1366"/>
      <c r="CR470" s="1366"/>
      <c r="CS470" s="1366"/>
      <c r="CT470" s="1366"/>
      <c r="CU470" s="1366"/>
      <c r="CV470" s="1366"/>
      <c r="CW470" s="1366"/>
      <c r="CX470" s="1366"/>
      <c r="CY470" s="1366"/>
      <c r="CZ470" s="1366"/>
      <c r="DA470" s="1366"/>
      <c r="DB470" s="1366"/>
      <c r="DC470" s="1366"/>
      <c r="DD470" s="1366"/>
      <c r="DE470" s="1366"/>
      <c r="DF470" s="1366"/>
      <c r="DG470" s="1366"/>
      <c r="DH470" s="1366"/>
      <c r="DI470" s="1366"/>
      <c r="DJ470" s="1366"/>
      <c r="DK470" s="1366"/>
      <c r="DL470" s="1366"/>
      <c r="DM470" s="1366"/>
      <c r="DN470" s="1366"/>
      <c r="DO470" s="1366"/>
      <c r="DP470" s="1366"/>
      <c r="DQ470" s="1366"/>
      <c r="DR470" s="1366"/>
      <c r="DS470" s="1366"/>
      <c r="DT470" s="1366"/>
      <c r="DU470" s="1366"/>
      <c r="DV470" s="1366"/>
    </row>
    <row r="471" spans="1:126" s="1367" customFormat="1" ht="30">
      <c r="A471" s="2530"/>
      <c r="B471" s="1653">
        <v>2203</v>
      </c>
      <c r="C471" s="1642" t="s">
        <v>49</v>
      </c>
      <c r="D471" s="1375" t="s">
        <v>2607</v>
      </c>
      <c r="E471" s="1364" t="s">
        <v>2097</v>
      </c>
      <c r="F471" s="1365" t="s">
        <v>2108</v>
      </c>
      <c r="G471" s="506" t="s">
        <v>1907</v>
      </c>
      <c r="H471" s="1361">
        <f>(16*'Equipment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3.2550158137312848</v>
      </c>
      <c r="I471" s="1371">
        <f>'Labor Results Matrix'!$E$532</f>
        <v>7.9629999999999992E-2</v>
      </c>
      <c r="J471" s="1372">
        <f>'Labor Results Matrix'!$G$532*(1+'Labor Results Matrix'!$K$532)</f>
        <v>72.260416710552065</v>
      </c>
      <c r="K471" s="1372">
        <f t="shared" ref="K471:K472" si="206">I471*J471</f>
        <v>5.7540969826612605</v>
      </c>
      <c r="L471" s="1372">
        <v>0</v>
      </c>
      <c r="M471" s="1372">
        <f t="shared" ref="M471:M472" si="207">H471+K471</f>
        <v>9.0091127963925448</v>
      </c>
      <c r="N471" s="1458">
        <f>M471-$M$468</f>
        <v>1.7966892849026816</v>
      </c>
      <c r="O471" s="1429"/>
      <c r="P471" s="1430"/>
      <c r="Q471" s="1430"/>
      <c r="R471" s="1430"/>
      <c r="S471" s="1430"/>
      <c r="T471" s="1430"/>
      <c r="U471" s="1430"/>
      <c r="V471" s="1679"/>
      <c r="W471" s="1366"/>
      <c r="X471" s="1366"/>
      <c r="Y471" s="1366"/>
      <c r="Z471" s="1366"/>
      <c r="AA471" s="1366"/>
      <c r="AB471" s="1366"/>
      <c r="AC471" s="1366"/>
      <c r="AD471" s="1366"/>
      <c r="AE471" s="1366"/>
      <c r="AF471" s="1366"/>
      <c r="AG471" s="1366"/>
      <c r="AH471" s="1366"/>
      <c r="AI471" s="1366"/>
      <c r="AJ471" s="1366"/>
      <c r="AK471" s="1366"/>
      <c r="AL471" s="1366"/>
      <c r="AM471" s="1366"/>
      <c r="AN471" s="1366"/>
      <c r="AO471" s="1366"/>
      <c r="AP471" s="1366"/>
      <c r="AQ471" s="1366"/>
      <c r="AR471" s="1366"/>
      <c r="AS471" s="1366"/>
      <c r="AT471" s="1366"/>
      <c r="AU471" s="1366"/>
      <c r="AV471" s="1366"/>
      <c r="AW471" s="1366"/>
      <c r="AX471" s="1366"/>
      <c r="AY471" s="1366"/>
      <c r="AZ471" s="1366"/>
      <c r="BA471" s="1366"/>
      <c r="BB471" s="1366"/>
      <c r="BC471" s="1366"/>
      <c r="BD471" s="1366"/>
      <c r="BE471" s="1366"/>
      <c r="BF471" s="1366"/>
      <c r="BG471" s="1366"/>
      <c r="BH471" s="1366"/>
      <c r="BI471" s="1366"/>
      <c r="BJ471" s="1366"/>
      <c r="BK471" s="1366"/>
      <c r="BL471" s="1366"/>
      <c r="BM471" s="1366"/>
      <c r="BN471" s="1366"/>
      <c r="BO471" s="1366"/>
      <c r="BP471" s="1366"/>
      <c r="BQ471" s="1366"/>
      <c r="BR471" s="1366"/>
      <c r="BS471" s="1366"/>
      <c r="BT471" s="1366"/>
      <c r="BU471" s="1366"/>
      <c r="BV471" s="1366"/>
      <c r="BW471" s="1366"/>
      <c r="BX471" s="1366"/>
      <c r="BY471" s="1366"/>
      <c r="BZ471" s="1366"/>
      <c r="CA471" s="1366"/>
      <c r="CB471" s="1366"/>
      <c r="CC471" s="1366"/>
      <c r="CD471" s="1366"/>
      <c r="CE471" s="1366"/>
      <c r="CF471" s="1366"/>
      <c r="CG471" s="1366"/>
      <c r="CH471" s="1366"/>
      <c r="CI471" s="1366"/>
      <c r="CJ471" s="1366"/>
      <c r="CK471" s="1366"/>
      <c r="CL471" s="1366"/>
      <c r="CM471" s="1366"/>
      <c r="CN471" s="1366"/>
      <c r="CO471" s="1366"/>
      <c r="CP471" s="1366"/>
      <c r="CQ471" s="1366"/>
      <c r="CR471" s="1366"/>
      <c r="CS471" s="1366"/>
      <c r="CT471" s="1366"/>
      <c r="CU471" s="1366"/>
      <c r="CV471" s="1366"/>
      <c r="CW471" s="1366"/>
      <c r="CX471" s="1366"/>
      <c r="CY471" s="1366"/>
      <c r="CZ471" s="1366"/>
      <c r="DA471" s="1366"/>
      <c r="DB471" s="1366"/>
      <c r="DC471" s="1366"/>
      <c r="DD471" s="1366"/>
      <c r="DE471" s="1366"/>
      <c r="DF471" s="1366"/>
      <c r="DG471" s="1366"/>
      <c r="DH471" s="1366"/>
      <c r="DI471" s="1366"/>
      <c r="DJ471" s="1366"/>
      <c r="DK471" s="1366"/>
      <c r="DL471" s="1366"/>
      <c r="DM471" s="1366"/>
      <c r="DN471" s="1366"/>
      <c r="DO471" s="1366"/>
      <c r="DP471" s="1366"/>
      <c r="DQ471" s="1366"/>
      <c r="DR471" s="1366"/>
      <c r="DS471" s="1366"/>
      <c r="DT471" s="1366"/>
      <c r="DU471" s="1366"/>
      <c r="DV471" s="1366"/>
    </row>
    <row r="472" spans="1:126" s="1367" customFormat="1" ht="30">
      <c r="A472" s="2530"/>
      <c r="B472" s="1653">
        <v>2204</v>
      </c>
      <c r="C472" s="1642" t="s">
        <v>49</v>
      </c>
      <c r="D472" s="1375" t="s">
        <v>2608</v>
      </c>
      <c r="E472" s="1364" t="s">
        <v>2097</v>
      </c>
      <c r="F472" s="1365" t="s">
        <v>2108</v>
      </c>
      <c r="G472" s="506" t="s">
        <v>1907</v>
      </c>
      <c r="H472" s="1361">
        <f>(17*'Equipment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3.3215158137312848</v>
      </c>
      <c r="I472" s="1371">
        <f>'Labor Results Matrix'!$E$532</f>
        <v>7.9629999999999992E-2</v>
      </c>
      <c r="J472" s="1372">
        <f>'Labor Results Matrix'!$G$532*(1+'Labor Results Matrix'!$K$532)</f>
        <v>72.260416710552065</v>
      </c>
      <c r="K472" s="1372">
        <f t="shared" si="206"/>
        <v>5.7540969826612605</v>
      </c>
      <c r="L472" s="1372">
        <v>0</v>
      </c>
      <c r="M472" s="1372">
        <f t="shared" si="207"/>
        <v>9.0756127963925444</v>
      </c>
      <c r="N472" s="1458">
        <f>M472-$M$468</f>
        <v>1.8631892849026812</v>
      </c>
      <c r="O472" s="1429"/>
      <c r="P472" s="1430"/>
      <c r="Q472" s="1430"/>
      <c r="R472" s="1430"/>
      <c r="S472" s="1430"/>
      <c r="T472" s="1430"/>
      <c r="U472" s="1430"/>
      <c r="V472" s="1679"/>
      <c r="W472" s="1366"/>
      <c r="X472" s="1366"/>
      <c r="Y472" s="1366"/>
      <c r="Z472" s="1366"/>
      <c r="AA472" s="1366"/>
      <c r="AB472" s="1366"/>
      <c r="AC472" s="1366"/>
      <c r="AD472" s="1366"/>
      <c r="AE472" s="1366"/>
      <c r="AF472" s="1366"/>
      <c r="AG472" s="1366"/>
      <c r="AH472" s="1366"/>
      <c r="AI472" s="1366"/>
      <c r="AJ472" s="1366"/>
      <c r="AK472" s="1366"/>
      <c r="AL472" s="1366"/>
      <c r="AM472" s="1366"/>
      <c r="AN472" s="1366"/>
      <c r="AO472" s="1366"/>
      <c r="AP472" s="1366"/>
      <c r="AQ472" s="1366"/>
      <c r="AR472" s="1366"/>
      <c r="AS472" s="1366"/>
      <c r="AT472" s="1366"/>
      <c r="AU472" s="1366"/>
      <c r="AV472" s="1366"/>
      <c r="AW472" s="1366"/>
      <c r="AX472" s="1366"/>
      <c r="AY472" s="1366"/>
      <c r="AZ472" s="1366"/>
      <c r="BA472" s="1366"/>
      <c r="BB472" s="1366"/>
      <c r="BC472" s="1366"/>
      <c r="BD472" s="1366"/>
      <c r="BE472" s="1366"/>
      <c r="BF472" s="1366"/>
      <c r="BG472" s="1366"/>
      <c r="BH472" s="1366"/>
      <c r="BI472" s="1366"/>
      <c r="BJ472" s="1366"/>
      <c r="BK472" s="1366"/>
      <c r="BL472" s="1366"/>
      <c r="BM472" s="1366"/>
      <c r="BN472" s="1366"/>
      <c r="BO472" s="1366"/>
      <c r="BP472" s="1366"/>
      <c r="BQ472" s="1366"/>
      <c r="BR472" s="1366"/>
      <c r="BS472" s="1366"/>
      <c r="BT472" s="1366"/>
      <c r="BU472" s="1366"/>
      <c r="BV472" s="1366"/>
      <c r="BW472" s="1366"/>
      <c r="BX472" s="1366"/>
      <c r="BY472" s="1366"/>
      <c r="BZ472" s="1366"/>
      <c r="CA472" s="1366"/>
      <c r="CB472" s="1366"/>
      <c r="CC472" s="1366"/>
      <c r="CD472" s="1366"/>
      <c r="CE472" s="1366"/>
      <c r="CF472" s="1366"/>
      <c r="CG472" s="1366"/>
      <c r="CH472" s="1366"/>
      <c r="CI472" s="1366"/>
      <c r="CJ472" s="1366"/>
      <c r="CK472" s="1366"/>
      <c r="CL472" s="1366"/>
      <c r="CM472" s="1366"/>
      <c r="CN472" s="1366"/>
      <c r="CO472" s="1366"/>
      <c r="CP472" s="1366"/>
      <c r="CQ472" s="1366"/>
      <c r="CR472" s="1366"/>
      <c r="CS472" s="1366"/>
      <c r="CT472" s="1366"/>
      <c r="CU472" s="1366"/>
      <c r="CV472" s="1366"/>
      <c r="CW472" s="1366"/>
      <c r="CX472" s="1366"/>
      <c r="CY472" s="1366"/>
      <c r="CZ472" s="1366"/>
      <c r="DA472" s="1366"/>
      <c r="DB472" s="1366"/>
      <c r="DC472" s="1366"/>
      <c r="DD472" s="1366"/>
      <c r="DE472" s="1366"/>
      <c r="DF472" s="1366"/>
      <c r="DG472" s="1366"/>
      <c r="DH472" s="1366"/>
      <c r="DI472" s="1366"/>
      <c r="DJ472" s="1366"/>
      <c r="DK472" s="1366"/>
      <c r="DL472" s="1366"/>
      <c r="DM472" s="1366"/>
      <c r="DN472" s="1366"/>
      <c r="DO472" s="1366"/>
      <c r="DP472" s="1366"/>
      <c r="DQ472" s="1366"/>
      <c r="DR472" s="1366"/>
      <c r="DS472" s="1366"/>
      <c r="DT472" s="1366"/>
      <c r="DU472" s="1366"/>
      <c r="DV472" s="1366"/>
    </row>
    <row r="473" spans="1:126" s="1367" customFormat="1" ht="30">
      <c r="A473" s="2530"/>
      <c r="B473" s="1656" t="s">
        <v>2638</v>
      </c>
      <c r="C473" s="1642" t="s">
        <v>47</v>
      </c>
      <c r="D473" s="1380" t="s">
        <v>2343</v>
      </c>
      <c r="E473" s="1364" t="s">
        <v>2097</v>
      </c>
      <c r="F473" s="1364" t="s">
        <v>2627</v>
      </c>
      <c r="G473" s="1185" t="s">
        <v>1907</v>
      </c>
      <c r="H473" s="1361">
        <f>('Equipment Results Matrix'!$R$979*(70-30))+('Equipment Results Matrix'!$R$980*0)+('Equipment Results Matrix'!$R$978*1.5)+'Equipment Results Matrix'!$R$962+'Equipment Results Matrix'!$R$968+'Equipment Results Matrix'!$R$970+'Equipment Results Matrix'!$R$972+'Equipment Results Matrix'!$R$975+'Equipment Results Matrix'!$R$976+'Equipment Results Matrix'!$T$969</f>
        <v>1.5043265288286023</v>
      </c>
      <c r="I473" s="1371">
        <f>'Labor Results Matrix'!$E$470</f>
        <v>7.9629999999999992E-2</v>
      </c>
      <c r="J473" s="1372">
        <f>'Labor Results Matrix'!$G$470*(1+'Labor Results Matrix'!$K$470)</f>
        <v>72.260416710552065</v>
      </c>
      <c r="K473" s="1372">
        <f t="shared" si="196"/>
        <v>5.7540969826612605</v>
      </c>
      <c r="L473" s="1372">
        <v>0</v>
      </c>
      <c r="M473" s="1372">
        <f t="shared" si="197"/>
        <v>7.2584235114898625</v>
      </c>
      <c r="N473" s="1455" t="s">
        <v>40</v>
      </c>
      <c r="O473" s="1429"/>
      <c r="P473" s="1430"/>
      <c r="Q473" s="1430"/>
      <c r="R473" s="1430"/>
      <c r="S473" s="1430"/>
      <c r="T473" s="1430"/>
      <c r="U473" s="1430"/>
      <c r="V473" s="1679"/>
      <c r="W473" s="1366"/>
      <c r="X473" s="1366"/>
      <c r="Y473" s="1366"/>
      <c r="Z473" s="1366"/>
      <c r="AA473" s="1366"/>
      <c r="AB473" s="1366"/>
      <c r="AC473" s="1366"/>
      <c r="AD473" s="1366"/>
      <c r="AE473" s="1366"/>
      <c r="AF473" s="1366"/>
      <c r="AG473" s="1366"/>
      <c r="AH473" s="1366"/>
      <c r="AI473" s="1366"/>
      <c r="AJ473" s="1366"/>
      <c r="AK473" s="1366"/>
      <c r="AL473" s="1366"/>
      <c r="AM473" s="1366"/>
      <c r="AN473" s="1366"/>
      <c r="AO473" s="1366"/>
      <c r="AP473" s="1366"/>
      <c r="AQ473" s="1366"/>
      <c r="AR473" s="1366"/>
      <c r="AS473" s="1366"/>
      <c r="AT473" s="1366"/>
      <c r="AU473" s="1366"/>
      <c r="AV473" s="1366"/>
      <c r="AW473" s="1366"/>
      <c r="AX473" s="1366"/>
      <c r="AY473" s="1366"/>
      <c r="AZ473" s="1366"/>
      <c r="BA473" s="1366"/>
      <c r="BB473" s="1366"/>
      <c r="BC473" s="1366"/>
      <c r="BD473" s="1366"/>
      <c r="BE473" s="1366"/>
      <c r="BF473" s="1366"/>
      <c r="BG473" s="1366"/>
      <c r="BH473" s="1366"/>
      <c r="BI473" s="1366"/>
      <c r="BJ473" s="1366"/>
      <c r="BK473" s="1366"/>
      <c r="BL473" s="1366"/>
      <c r="BM473" s="1366"/>
      <c r="BN473" s="1366"/>
      <c r="BO473" s="1366"/>
      <c r="BP473" s="1366"/>
      <c r="BQ473" s="1366"/>
      <c r="BR473" s="1366"/>
      <c r="BS473" s="1366"/>
      <c r="BT473" s="1366"/>
      <c r="BU473" s="1366"/>
      <c r="BV473" s="1366"/>
      <c r="BW473" s="1366"/>
      <c r="BX473" s="1366"/>
      <c r="BY473" s="1366"/>
      <c r="BZ473" s="1366"/>
      <c r="CA473" s="1366"/>
      <c r="CB473" s="1366"/>
      <c r="CC473" s="1366"/>
      <c r="CD473" s="1366"/>
      <c r="CE473" s="1366"/>
      <c r="CF473" s="1366"/>
      <c r="CG473" s="1366"/>
      <c r="CH473" s="1366"/>
      <c r="CI473" s="1366"/>
      <c r="CJ473" s="1366"/>
      <c r="CK473" s="1366"/>
      <c r="CL473" s="1366"/>
      <c r="CM473" s="1366"/>
      <c r="CN473" s="1366"/>
      <c r="CO473" s="1366"/>
      <c r="CP473" s="1366"/>
      <c r="CQ473" s="1366"/>
      <c r="CR473" s="1366"/>
      <c r="CS473" s="1366"/>
      <c r="CT473" s="1366"/>
      <c r="CU473" s="1366"/>
      <c r="CV473" s="1366"/>
      <c r="CW473" s="1366"/>
      <c r="CX473" s="1366"/>
      <c r="CY473" s="1366"/>
      <c r="CZ473" s="1366"/>
      <c r="DA473" s="1366"/>
      <c r="DB473" s="1366"/>
      <c r="DC473" s="1366"/>
      <c r="DD473" s="1366"/>
      <c r="DE473" s="1366"/>
      <c r="DF473" s="1366"/>
      <c r="DG473" s="1366"/>
      <c r="DH473" s="1366"/>
      <c r="DI473" s="1366"/>
      <c r="DJ473" s="1366"/>
      <c r="DK473" s="1366"/>
      <c r="DL473" s="1366"/>
      <c r="DM473" s="1366"/>
      <c r="DN473" s="1366"/>
      <c r="DO473" s="1366"/>
      <c r="DP473" s="1366"/>
      <c r="DQ473" s="1366"/>
      <c r="DR473" s="1366"/>
      <c r="DS473" s="1366"/>
      <c r="DT473" s="1366"/>
      <c r="DU473" s="1366"/>
      <c r="DV473" s="1366"/>
    </row>
    <row r="474" spans="1:126" s="1367" customFormat="1" ht="30">
      <c r="A474" s="2530"/>
      <c r="B474" s="1653">
        <v>211</v>
      </c>
      <c r="C474" s="1642" t="s">
        <v>49</v>
      </c>
      <c r="D474" s="1375" t="s">
        <v>2357</v>
      </c>
      <c r="E474" s="1364" t="s">
        <v>2097</v>
      </c>
      <c r="F474" s="1364" t="s">
        <v>2107</v>
      </c>
      <c r="G474" s="1185" t="s">
        <v>1907</v>
      </c>
      <c r="H474" s="1361">
        <f>(18*'Equipment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3.3880158137312848</v>
      </c>
      <c r="I474" s="1371">
        <f>'Labor Results Matrix'!$E$532</f>
        <v>7.9629999999999992E-2</v>
      </c>
      <c r="J474" s="1372">
        <f>'Labor Results Matrix'!$G$532*(1+'Labor Results Matrix'!$K$532)</f>
        <v>72.260416710552065</v>
      </c>
      <c r="K474" s="1372">
        <f t="shared" si="196"/>
        <v>5.7540969826612605</v>
      </c>
      <c r="L474" s="1372">
        <v>0</v>
      </c>
      <c r="M474" s="1372">
        <f t="shared" si="197"/>
        <v>9.1421127963925457</v>
      </c>
      <c r="N474" s="1458">
        <f t="shared" ref="N474:N483" si="208">M474-$M$473</f>
        <v>1.8836892849026832</v>
      </c>
      <c r="O474" s="1429"/>
      <c r="P474" s="1430"/>
      <c r="Q474" s="1430"/>
      <c r="R474" s="1430"/>
      <c r="S474" s="1430"/>
      <c r="T474" s="1430"/>
      <c r="U474" s="1430"/>
      <c r="V474" s="1679"/>
      <c r="W474" s="1366"/>
      <c r="X474" s="1366"/>
      <c r="Y474" s="1366"/>
      <c r="Z474" s="1366"/>
      <c r="AA474" s="1366"/>
      <c r="AB474" s="1366"/>
      <c r="AC474" s="1366"/>
      <c r="AD474" s="1366"/>
      <c r="AE474" s="1366"/>
      <c r="AF474" s="1366"/>
      <c r="AG474" s="1366"/>
      <c r="AH474" s="1366"/>
      <c r="AI474" s="1366"/>
      <c r="AJ474" s="1366"/>
      <c r="AK474" s="1366"/>
      <c r="AL474" s="1366"/>
      <c r="AM474" s="1366"/>
      <c r="AN474" s="1366"/>
      <c r="AO474" s="1366"/>
      <c r="AP474" s="1366"/>
      <c r="AQ474" s="1366"/>
      <c r="AR474" s="1366"/>
      <c r="AS474" s="1366"/>
      <c r="AT474" s="1366"/>
      <c r="AU474" s="1366"/>
      <c r="AV474" s="1366"/>
      <c r="AW474" s="1366"/>
      <c r="AX474" s="1366"/>
      <c r="AY474" s="1366"/>
      <c r="AZ474" s="1366"/>
      <c r="BA474" s="1366"/>
      <c r="BB474" s="1366"/>
      <c r="BC474" s="1366"/>
      <c r="BD474" s="1366"/>
      <c r="BE474" s="1366"/>
      <c r="BF474" s="1366"/>
      <c r="BG474" s="1366"/>
      <c r="BH474" s="1366"/>
      <c r="BI474" s="1366"/>
      <c r="BJ474" s="1366"/>
      <c r="BK474" s="1366"/>
      <c r="BL474" s="1366"/>
      <c r="BM474" s="1366"/>
      <c r="BN474" s="1366"/>
      <c r="BO474" s="1366"/>
      <c r="BP474" s="1366"/>
      <c r="BQ474" s="1366"/>
      <c r="BR474" s="1366"/>
      <c r="BS474" s="1366"/>
      <c r="BT474" s="1366"/>
      <c r="BU474" s="1366"/>
      <c r="BV474" s="1366"/>
      <c r="BW474" s="1366"/>
      <c r="BX474" s="1366"/>
      <c r="BY474" s="1366"/>
      <c r="BZ474" s="1366"/>
      <c r="CA474" s="1366"/>
      <c r="CB474" s="1366"/>
      <c r="CC474" s="1366"/>
      <c r="CD474" s="1366"/>
      <c r="CE474" s="1366"/>
      <c r="CF474" s="1366"/>
      <c r="CG474" s="1366"/>
      <c r="CH474" s="1366"/>
      <c r="CI474" s="1366"/>
      <c r="CJ474" s="1366"/>
      <c r="CK474" s="1366"/>
      <c r="CL474" s="1366"/>
      <c r="CM474" s="1366"/>
      <c r="CN474" s="1366"/>
      <c r="CO474" s="1366"/>
      <c r="CP474" s="1366"/>
      <c r="CQ474" s="1366"/>
      <c r="CR474" s="1366"/>
      <c r="CS474" s="1366"/>
      <c r="CT474" s="1366"/>
      <c r="CU474" s="1366"/>
      <c r="CV474" s="1366"/>
      <c r="CW474" s="1366"/>
      <c r="CX474" s="1366"/>
      <c r="CY474" s="1366"/>
      <c r="CZ474" s="1366"/>
      <c r="DA474" s="1366"/>
      <c r="DB474" s="1366"/>
      <c r="DC474" s="1366"/>
      <c r="DD474" s="1366"/>
      <c r="DE474" s="1366"/>
      <c r="DF474" s="1366"/>
      <c r="DG474" s="1366"/>
      <c r="DH474" s="1366"/>
      <c r="DI474" s="1366"/>
      <c r="DJ474" s="1366"/>
      <c r="DK474" s="1366"/>
      <c r="DL474" s="1366"/>
      <c r="DM474" s="1366"/>
      <c r="DN474" s="1366"/>
      <c r="DO474" s="1366"/>
      <c r="DP474" s="1366"/>
      <c r="DQ474" s="1366"/>
      <c r="DR474" s="1366"/>
      <c r="DS474" s="1366"/>
      <c r="DT474" s="1366"/>
      <c r="DU474" s="1366"/>
      <c r="DV474" s="1366"/>
    </row>
    <row r="475" spans="1:126" s="1367" customFormat="1" ht="30">
      <c r="A475" s="2530"/>
      <c r="B475" s="1653">
        <v>212</v>
      </c>
      <c r="C475" s="1642" t="s">
        <v>49</v>
      </c>
      <c r="D475" s="1375" t="s">
        <v>2358</v>
      </c>
      <c r="E475" s="1364" t="s">
        <v>2097</v>
      </c>
      <c r="F475" s="1364" t="s">
        <v>2107</v>
      </c>
      <c r="G475" s="1185" t="s">
        <v>1907</v>
      </c>
      <c r="H475" s="1361">
        <f>(19*'Equipment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3.4545158137312848</v>
      </c>
      <c r="I475" s="1371">
        <f>'Labor Results Matrix'!$E$532</f>
        <v>7.9629999999999992E-2</v>
      </c>
      <c r="J475" s="1372">
        <f>'Labor Results Matrix'!$G$532*(1+'Labor Results Matrix'!$K$532)</f>
        <v>72.260416710552065</v>
      </c>
      <c r="K475" s="1372">
        <f t="shared" si="196"/>
        <v>5.7540969826612605</v>
      </c>
      <c r="L475" s="1372">
        <v>0</v>
      </c>
      <c r="M475" s="1372">
        <f t="shared" si="197"/>
        <v>9.2086127963925453</v>
      </c>
      <c r="N475" s="1458">
        <f t="shared" si="208"/>
        <v>1.9501892849026827</v>
      </c>
      <c r="O475" s="1429"/>
      <c r="P475" s="1430"/>
      <c r="Q475" s="1430"/>
      <c r="R475" s="1430"/>
      <c r="S475" s="1430"/>
      <c r="T475" s="1430"/>
      <c r="U475" s="1430"/>
      <c r="V475" s="1679"/>
      <c r="W475" s="1366"/>
      <c r="X475" s="1366"/>
      <c r="Y475" s="1366"/>
      <c r="Z475" s="1366"/>
      <c r="AA475" s="1366"/>
      <c r="AB475" s="1366"/>
      <c r="AC475" s="1366"/>
      <c r="AD475" s="1366"/>
      <c r="AE475" s="1366"/>
      <c r="AF475" s="1366"/>
      <c r="AG475" s="1366"/>
      <c r="AH475" s="1366"/>
      <c r="AI475" s="1366"/>
      <c r="AJ475" s="1366"/>
      <c r="AK475" s="1366"/>
      <c r="AL475" s="1366"/>
      <c r="AM475" s="1366"/>
      <c r="AN475" s="1366"/>
      <c r="AO475" s="1366"/>
      <c r="AP475" s="1366"/>
      <c r="AQ475" s="1366"/>
      <c r="AR475" s="1366"/>
      <c r="AS475" s="1366"/>
      <c r="AT475" s="1366"/>
      <c r="AU475" s="1366"/>
      <c r="AV475" s="1366"/>
      <c r="AW475" s="1366"/>
      <c r="AX475" s="1366"/>
      <c r="AY475" s="1366"/>
      <c r="AZ475" s="1366"/>
      <c r="BA475" s="1366"/>
      <c r="BB475" s="1366"/>
      <c r="BC475" s="1366"/>
      <c r="BD475" s="1366"/>
      <c r="BE475" s="1366"/>
      <c r="BF475" s="1366"/>
      <c r="BG475" s="1366"/>
      <c r="BH475" s="1366"/>
      <c r="BI475" s="1366"/>
      <c r="BJ475" s="1366"/>
      <c r="BK475" s="1366"/>
      <c r="BL475" s="1366"/>
      <c r="BM475" s="1366"/>
      <c r="BN475" s="1366"/>
      <c r="BO475" s="1366"/>
      <c r="BP475" s="1366"/>
      <c r="BQ475" s="1366"/>
      <c r="BR475" s="1366"/>
      <c r="BS475" s="1366"/>
      <c r="BT475" s="1366"/>
      <c r="BU475" s="1366"/>
      <c r="BV475" s="1366"/>
      <c r="BW475" s="1366"/>
      <c r="BX475" s="1366"/>
      <c r="BY475" s="1366"/>
      <c r="BZ475" s="1366"/>
      <c r="CA475" s="1366"/>
      <c r="CB475" s="1366"/>
      <c r="CC475" s="1366"/>
      <c r="CD475" s="1366"/>
      <c r="CE475" s="1366"/>
      <c r="CF475" s="1366"/>
      <c r="CG475" s="1366"/>
      <c r="CH475" s="1366"/>
      <c r="CI475" s="1366"/>
      <c r="CJ475" s="1366"/>
      <c r="CK475" s="1366"/>
      <c r="CL475" s="1366"/>
      <c r="CM475" s="1366"/>
      <c r="CN475" s="1366"/>
      <c r="CO475" s="1366"/>
      <c r="CP475" s="1366"/>
      <c r="CQ475" s="1366"/>
      <c r="CR475" s="1366"/>
      <c r="CS475" s="1366"/>
      <c r="CT475" s="1366"/>
      <c r="CU475" s="1366"/>
      <c r="CV475" s="1366"/>
      <c r="CW475" s="1366"/>
      <c r="CX475" s="1366"/>
      <c r="CY475" s="1366"/>
      <c r="CZ475" s="1366"/>
      <c r="DA475" s="1366"/>
      <c r="DB475" s="1366"/>
      <c r="DC475" s="1366"/>
      <c r="DD475" s="1366"/>
      <c r="DE475" s="1366"/>
      <c r="DF475" s="1366"/>
      <c r="DG475" s="1366"/>
      <c r="DH475" s="1366"/>
      <c r="DI475" s="1366"/>
      <c r="DJ475" s="1366"/>
      <c r="DK475" s="1366"/>
      <c r="DL475" s="1366"/>
      <c r="DM475" s="1366"/>
      <c r="DN475" s="1366"/>
      <c r="DO475" s="1366"/>
      <c r="DP475" s="1366"/>
      <c r="DQ475" s="1366"/>
      <c r="DR475" s="1366"/>
      <c r="DS475" s="1366"/>
      <c r="DT475" s="1366"/>
      <c r="DU475" s="1366"/>
      <c r="DV475" s="1366"/>
    </row>
    <row r="476" spans="1:126" s="1367" customFormat="1" ht="30">
      <c r="A476" s="2530"/>
      <c r="B476" s="1653">
        <v>214</v>
      </c>
      <c r="C476" s="1642" t="s">
        <v>49</v>
      </c>
      <c r="D476" s="1375" t="s">
        <v>2359</v>
      </c>
      <c r="E476" s="1364" t="s">
        <v>2097</v>
      </c>
      <c r="F476" s="1364" t="s">
        <v>2107</v>
      </c>
      <c r="G476" s="1185" t="s">
        <v>1907</v>
      </c>
      <c r="H476" s="1361">
        <f>(20*'Equipment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3.5210158137312848</v>
      </c>
      <c r="I476" s="1371">
        <f>'Labor Results Matrix'!$E$532</f>
        <v>7.9629999999999992E-2</v>
      </c>
      <c r="J476" s="1372">
        <f>'Labor Results Matrix'!$G$532*(1+'Labor Results Matrix'!$K$532)</f>
        <v>72.260416710552065</v>
      </c>
      <c r="K476" s="1372">
        <f t="shared" si="196"/>
        <v>5.7540969826612605</v>
      </c>
      <c r="L476" s="1372">
        <v>0</v>
      </c>
      <c r="M476" s="1372">
        <f t="shared" si="197"/>
        <v>9.2751127963925448</v>
      </c>
      <c r="N476" s="1458">
        <f t="shared" si="208"/>
        <v>2.0166892849026823</v>
      </c>
      <c r="O476" s="1429"/>
      <c r="P476" s="1430"/>
      <c r="Q476" s="1430"/>
      <c r="R476" s="1430"/>
      <c r="S476" s="1430"/>
      <c r="T476" s="1430"/>
      <c r="U476" s="1430"/>
      <c r="V476" s="1679"/>
      <c r="W476" s="1366"/>
      <c r="X476" s="1366"/>
      <c r="Y476" s="1366"/>
      <c r="Z476" s="1366"/>
      <c r="AA476" s="1366"/>
      <c r="AB476" s="1366"/>
      <c r="AC476" s="1366"/>
      <c r="AD476" s="1366"/>
      <c r="AE476" s="1366"/>
      <c r="AF476" s="1366"/>
      <c r="AG476" s="1366"/>
      <c r="AH476" s="1366"/>
      <c r="AI476" s="1366"/>
      <c r="AJ476" s="1366"/>
      <c r="AK476" s="1366"/>
      <c r="AL476" s="1366"/>
      <c r="AM476" s="1366"/>
      <c r="AN476" s="1366"/>
      <c r="AO476" s="1366"/>
      <c r="AP476" s="1366"/>
      <c r="AQ476" s="1366"/>
      <c r="AR476" s="1366"/>
      <c r="AS476" s="1366"/>
      <c r="AT476" s="1366"/>
      <c r="AU476" s="1366"/>
      <c r="AV476" s="1366"/>
      <c r="AW476" s="1366"/>
      <c r="AX476" s="1366"/>
      <c r="AY476" s="1366"/>
      <c r="AZ476" s="1366"/>
      <c r="BA476" s="1366"/>
      <c r="BB476" s="1366"/>
      <c r="BC476" s="1366"/>
      <c r="BD476" s="1366"/>
      <c r="BE476" s="1366"/>
      <c r="BF476" s="1366"/>
      <c r="BG476" s="1366"/>
      <c r="BH476" s="1366"/>
      <c r="BI476" s="1366"/>
      <c r="BJ476" s="1366"/>
      <c r="BK476" s="1366"/>
      <c r="BL476" s="1366"/>
      <c r="BM476" s="1366"/>
      <c r="BN476" s="1366"/>
      <c r="BO476" s="1366"/>
      <c r="BP476" s="1366"/>
      <c r="BQ476" s="1366"/>
      <c r="BR476" s="1366"/>
      <c r="BS476" s="1366"/>
      <c r="BT476" s="1366"/>
      <c r="BU476" s="1366"/>
      <c r="BV476" s="1366"/>
      <c r="BW476" s="1366"/>
      <c r="BX476" s="1366"/>
      <c r="BY476" s="1366"/>
      <c r="BZ476" s="1366"/>
      <c r="CA476" s="1366"/>
      <c r="CB476" s="1366"/>
      <c r="CC476" s="1366"/>
      <c r="CD476" s="1366"/>
      <c r="CE476" s="1366"/>
      <c r="CF476" s="1366"/>
      <c r="CG476" s="1366"/>
      <c r="CH476" s="1366"/>
      <c r="CI476" s="1366"/>
      <c r="CJ476" s="1366"/>
      <c r="CK476" s="1366"/>
      <c r="CL476" s="1366"/>
      <c r="CM476" s="1366"/>
      <c r="CN476" s="1366"/>
      <c r="CO476" s="1366"/>
      <c r="CP476" s="1366"/>
      <c r="CQ476" s="1366"/>
      <c r="CR476" s="1366"/>
      <c r="CS476" s="1366"/>
      <c r="CT476" s="1366"/>
      <c r="CU476" s="1366"/>
      <c r="CV476" s="1366"/>
      <c r="CW476" s="1366"/>
      <c r="CX476" s="1366"/>
      <c r="CY476" s="1366"/>
      <c r="CZ476" s="1366"/>
      <c r="DA476" s="1366"/>
      <c r="DB476" s="1366"/>
      <c r="DC476" s="1366"/>
      <c r="DD476" s="1366"/>
      <c r="DE476" s="1366"/>
      <c r="DF476" s="1366"/>
      <c r="DG476" s="1366"/>
      <c r="DH476" s="1366"/>
      <c r="DI476" s="1366"/>
      <c r="DJ476" s="1366"/>
      <c r="DK476" s="1366"/>
      <c r="DL476" s="1366"/>
      <c r="DM476" s="1366"/>
      <c r="DN476" s="1366"/>
      <c r="DO476" s="1366"/>
      <c r="DP476" s="1366"/>
      <c r="DQ476" s="1366"/>
      <c r="DR476" s="1366"/>
      <c r="DS476" s="1366"/>
      <c r="DT476" s="1366"/>
      <c r="DU476" s="1366"/>
      <c r="DV476" s="1366"/>
    </row>
    <row r="477" spans="1:126" s="1367" customFormat="1" ht="30">
      <c r="A477" s="2530"/>
      <c r="B477" s="1653">
        <v>215</v>
      </c>
      <c r="C477" s="1642" t="s">
        <v>49</v>
      </c>
      <c r="D477" s="1375" t="s">
        <v>2360</v>
      </c>
      <c r="E477" s="1364" t="s">
        <v>2097</v>
      </c>
      <c r="F477" s="1364" t="s">
        <v>2107</v>
      </c>
      <c r="G477" s="1185" t="s">
        <v>1907</v>
      </c>
      <c r="H477" s="1361">
        <f>(21*'Equipment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3.5875158137312848</v>
      </c>
      <c r="I477" s="1371">
        <f>'Labor Results Matrix'!$E$532</f>
        <v>7.9629999999999992E-2</v>
      </c>
      <c r="J477" s="1372">
        <f>'Labor Results Matrix'!$G$532*(1+'Labor Results Matrix'!$K$532)</f>
        <v>72.260416710552065</v>
      </c>
      <c r="K477" s="1372">
        <f t="shared" si="196"/>
        <v>5.7540969826612605</v>
      </c>
      <c r="L477" s="1372">
        <v>0</v>
      </c>
      <c r="M477" s="1372">
        <f t="shared" si="197"/>
        <v>9.3416127963925462</v>
      </c>
      <c r="N477" s="1458">
        <f t="shared" si="208"/>
        <v>2.0831892849026836</v>
      </c>
      <c r="O477" s="1429"/>
      <c r="P477" s="1430"/>
      <c r="Q477" s="1430"/>
      <c r="R477" s="1430"/>
      <c r="S477" s="1430"/>
      <c r="T477" s="1430"/>
      <c r="U477" s="1430"/>
      <c r="V477" s="1679"/>
      <c r="W477" s="1366"/>
      <c r="X477" s="1366"/>
      <c r="Y477" s="1366"/>
      <c r="Z477" s="1366"/>
      <c r="AA477" s="1366"/>
      <c r="AB477" s="1366"/>
      <c r="AC477" s="1366"/>
      <c r="AD477" s="1366"/>
      <c r="AE477" s="1366"/>
      <c r="AF477" s="1366"/>
      <c r="AG477" s="1366"/>
      <c r="AH477" s="1366"/>
      <c r="AI477" s="1366"/>
      <c r="AJ477" s="1366"/>
      <c r="AK477" s="1366"/>
      <c r="AL477" s="1366"/>
      <c r="AM477" s="1366"/>
      <c r="AN477" s="1366"/>
      <c r="AO477" s="1366"/>
      <c r="AP477" s="1366"/>
      <c r="AQ477" s="1366"/>
      <c r="AR477" s="1366"/>
      <c r="AS477" s="1366"/>
      <c r="AT477" s="1366"/>
      <c r="AU477" s="1366"/>
      <c r="AV477" s="1366"/>
      <c r="AW477" s="1366"/>
      <c r="AX477" s="1366"/>
      <c r="AY477" s="1366"/>
      <c r="AZ477" s="1366"/>
      <c r="BA477" s="1366"/>
      <c r="BB477" s="1366"/>
      <c r="BC477" s="1366"/>
      <c r="BD477" s="1366"/>
      <c r="BE477" s="1366"/>
      <c r="BF477" s="1366"/>
      <c r="BG477" s="1366"/>
      <c r="BH477" s="1366"/>
      <c r="BI477" s="1366"/>
      <c r="BJ477" s="1366"/>
      <c r="BK477" s="1366"/>
      <c r="BL477" s="1366"/>
      <c r="BM477" s="1366"/>
      <c r="BN477" s="1366"/>
      <c r="BO477" s="1366"/>
      <c r="BP477" s="1366"/>
      <c r="BQ477" s="1366"/>
      <c r="BR477" s="1366"/>
      <c r="BS477" s="1366"/>
      <c r="BT477" s="1366"/>
      <c r="BU477" s="1366"/>
      <c r="BV477" s="1366"/>
      <c r="BW477" s="1366"/>
      <c r="BX477" s="1366"/>
      <c r="BY477" s="1366"/>
      <c r="BZ477" s="1366"/>
      <c r="CA477" s="1366"/>
      <c r="CB477" s="1366"/>
      <c r="CC477" s="1366"/>
      <c r="CD477" s="1366"/>
      <c r="CE477" s="1366"/>
      <c r="CF477" s="1366"/>
      <c r="CG477" s="1366"/>
      <c r="CH477" s="1366"/>
      <c r="CI477" s="1366"/>
      <c r="CJ477" s="1366"/>
      <c r="CK477" s="1366"/>
      <c r="CL477" s="1366"/>
      <c r="CM477" s="1366"/>
      <c r="CN477" s="1366"/>
      <c r="CO477" s="1366"/>
      <c r="CP477" s="1366"/>
      <c r="CQ477" s="1366"/>
      <c r="CR477" s="1366"/>
      <c r="CS477" s="1366"/>
      <c r="CT477" s="1366"/>
      <c r="CU477" s="1366"/>
      <c r="CV477" s="1366"/>
      <c r="CW477" s="1366"/>
      <c r="CX477" s="1366"/>
      <c r="CY477" s="1366"/>
      <c r="CZ477" s="1366"/>
      <c r="DA477" s="1366"/>
      <c r="DB477" s="1366"/>
      <c r="DC477" s="1366"/>
      <c r="DD477" s="1366"/>
      <c r="DE477" s="1366"/>
      <c r="DF477" s="1366"/>
      <c r="DG477" s="1366"/>
      <c r="DH477" s="1366"/>
      <c r="DI477" s="1366"/>
      <c r="DJ477" s="1366"/>
      <c r="DK477" s="1366"/>
      <c r="DL477" s="1366"/>
      <c r="DM477" s="1366"/>
      <c r="DN477" s="1366"/>
      <c r="DO477" s="1366"/>
      <c r="DP477" s="1366"/>
      <c r="DQ477" s="1366"/>
      <c r="DR477" s="1366"/>
      <c r="DS477" s="1366"/>
      <c r="DT477" s="1366"/>
      <c r="DU477" s="1366"/>
      <c r="DV477" s="1366"/>
    </row>
    <row r="478" spans="1:126" s="1367" customFormat="1" ht="30">
      <c r="A478" s="2530"/>
      <c r="B478" s="1653">
        <v>216</v>
      </c>
      <c r="C478" s="1642" t="s">
        <v>49</v>
      </c>
      <c r="D478" s="1375" t="s">
        <v>2361</v>
      </c>
      <c r="E478" s="1364" t="s">
        <v>2097</v>
      </c>
      <c r="F478" s="1364" t="s">
        <v>2107</v>
      </c>
      <c r="G478" s="1185" t="s">
        <v>1907</v>
      </c>
      <c r="H478" s="1361">
        <f>(22*'Equipment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3.6540158137312848</v>
      </c>
      <c r="I478" s="1371">
        <f>'Labor Results Matrix'!$E$532</f>
        <v>7.9629999999999992E-2</v>
      </c>
      <c r="J478" s="1372">
        <f>'Labor Results Matrix'!$G$532*(1+'Labor Results Matrix'!$K$532)</f>
        <v>72.260416710552065</v>
      </c>
      <c r="K478" s="1372">
        <f t="shared" si="196"/>
        <v>5.7540969826612605</v>
      </c>
      <c r="L478" s="1372">
        <v>0</v>
      </c>
      <c r="M478" s="1372">
        <f t="shared" si="197"/>
        <v>9.4081127963925457</v>
      </c>
      <c r="N478" s="1458">
        <f t="shared" si="208"/>
        <v>2.1496892849026832</v>
      </c>
      <c r="O478" s="1429"/>
      <c r="P478" s="1430"/>
      <c r="Q478" s="1430"/>
      <c r="R478" s="1430"/>
      <c r="S478" s="1430"/>
      <c r="T478" s="1430"/>
      <c r="U478" s="1430"/>
      <c r="V478" s="1679"/>
      <c r="W478" s="1366"/>
      <c r="X478" s="1366"/>
      <c r="Y478" s="1366"/>
      <c r="Z478" s="1366"/>
      <c r="AA478" s="1366"/>
      <c r="AB478" s="1366"/>
      <c r="AC478" s="1366"/>
      <c r="AD478" s="1366"/>
      <c r="AE478" s="1366"/>
      <c r="AF478" s="1366"/>
      <c r="AG478" s="1366"/>
      <c r="AH478" s="1366"/>
      <c r="AI478" s="1366"/>
      <c r="AJ478" s="1366"/>
      <c r="AK478" s="1366"/>
      <c r="AL478" s="1366"/>
      <c r="AM478" s="1366"/>
      <c r="AN478" s="1366"/>
      <c r="AO478" s="1366"/>
      <c r="AP478" s="1366"/>
      <c r="AQ478" s="1366"/>
      <c r="AR478" s="1366"/>
      <c r="AS478" s="1366"/>
      <c r="AT478" s="1366"/>
      <c r="AU478" s="1366"/>
      <c r="AV478" s="1366"/>
      <c r="AW478" s="1366"/>
      <c r="AX478" s="1366"/>
      <c r="AY478" s="1366"/>
      <c r="AZ478" s="1366"/>
      <c r="BA478" s="1366"/>
      <c r="BB478" s="1366"/>
      <c r="BC478" s="1366"/>
      <c r="BD478" s="1366"/>
      <c r="BE478" s="1366"/>
      <c r="BF478" s="1366"/>
      <c r="BG478" s="1366"/>
      <c r="BH478" s="1366"/>
      <c r="BI478" s="1366"/>
      <c r="BJ478" s="1366"/>
      <c r="BK478" s="1366"/>
      <c r="BL478" s="1366"/>
      <c r="BM478" s="1366"/>
      <c r="BN478" s="1366"/>
      <c r="BO478" s="1366"/>
      <c r="BP478" s="1366"/>
      <c r="BQ478" s="1366"/>
      <c r="BR478" s="1366"/>
      <c r="BS478" s="1366"/>
      <c r="BT478" s="1366"/>
      <c r="BU478" s="1366"/>
      <c r="BV478" s="1366"/>
      <c r="BW478" s="1366"/>
      <c r="BX478" s="1366"/>
      <c r="BY478" s="1366"/>
      <c r="BZ478" s="1366"/>
      <c r="CA478" s="1366"/>
      <c r="CB478" s="1366"/>
      <c r="CC478" s="1366"/>
      <c r="CD478" s="1366"/>
      <c r="CE478" s="1366"/>
      <c r="CF478" s="1366"/>
      <c r="CG478" s="1366"/>
      <c r="CH478" s="1366"/>
      <c r="CI478" s="1366"/>
      <c r="CJ478" s="1366"/>
      <c r="CK478" s="1366"/>
      <c r="CL478" s="1366"/>
      <c r="CM478" s="1366"/>
      <c r="CN478" s="1366"/>
      <c r="CO478" s="1366"/>
      <c r="CP478" s="1366"/>
      <c r="CQ478" s="1366"/>
      <c r="CR478" s="1366"/>
      <c r="CS478" s="1366"/>
      <c r="CT478" s="1366"/>
      <c r="CU478" s="1366"/>
      <c r="CV478" s="1366"/>
      <c r="CW478" s="1366"/>
      <c r="CX478" s="1366"/>
      <c r="CY478" s="1366"/>
      <c r="CZ478" s="1366"/>
      <c r="DA478" s="1366"/>
      <c r="DB478" s="1366"/>
      <c r="DC478" s="1366"/>
      <c r="DD478" s="1366"/>
      <c r="DE478" s="1366"/>
      <c r="DF478" s="1366"/>
      <c r="DG478" s="1366"/>
      <c r="DH478" s="1366"/>
      <c r="DI478" s="1366"/>
      <c r="DJ478" s="1366"/>
      <c r="DK478" s="1366"/>
      <c r="DL478" s="1366"/>
      <c r="DM478" s="1366"/>
      <c r="DN478" s="1366"/>
      <c r="DO478" s="1366"/>
      <c r="DP478" s="1366"/>
      <c r="DQ478" s="1366"/>
      <c r="DR478" s="1366"/>
      <c r="DS478" s="1366"/>
      <c r="DT478" s="1366"/>
      <c r="DU478" s="1366"/>
      <c r="DV478" s="1366"/>
    </row>
    <row r="479" spans="1:126" s="1367" customFormat="1" ht="30">
      <c r="A479" s="2530"/>
      <c r="B479" s="1653">
        <v>2205</v>
      </c>
      <c r="C479" s="1642" t="s">
        <v>49</v>
      </c>
      <c r="D479" s="1375" t="s">
        <v>2609</v>
      </c>
      <c r="E479" s="1364" t="s">
        <v>2097</v>
      </c>
      <c r="F479" s="1365" t="s">
        <v>2108</v>
      </c>
      <c r="G479" s="506" t="s">
        <v>1907</v>
      </c>
      <c r="H479" s="1361">
        <f>(18*'Equipment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3.3880158137312848</v>
      </c>
      <c r="I479" s="1371">
        <f>'Labor Results Matrix'!$E$532</f>
        <v>7.9629999999999992E-2</v>
      </c>
      <c r="J479" s="1372">
        <f>'Labor Results Matrix'!$G$532*(1+'Labor Results Matrix'!$K$532)</f>
        <v>72.260416710552065</v>
      </c>
      <c r="K479" s="1372">
        <f t="shared" ref="K479:K483" si="209">I479*J479</f>
        <v>5.7540969826612605</v>
      </c>
      <c r="L479" s="1372">
        <v>0</v>
      </c>
      <c r="M479" s="1372">
        <f t="shared" ref="M479:M483" si="210">H479+K479</f>
        <v>9.1421127963925457</v>
      </c>
      <c r="N479" s="1458">
        <f t="shared" si="208"/>
        <v>1.8836892849026832</v>
      </c>
      <c r="O479" s="1429"/>
      <c r="P479" s="1430"/>
      <c r="Q479" s="1430"/>
      <c r="R479" s="1430"/>
      <c r="S479" s="1430"/>
      <c r="T479" s="1430"/>
      <c r="U479" s="1430"/>
      <c r="V479" s="1679"/>
      <c r="W479" s="1366"/>
      <c r="X479" s="1366"/>
      <c r="Y479" s="1366"/>
      <c r="Z479" s="1366"/>
      <c r="AA479" s="1366"/>
      <c r="AB479" s="1366"/>
      <c r="AC479" s="1366"/>
      <c r="AD479" s="1366"/>
      <c r="AE479" s="1366"/>
      <c r="AF479" s="1366"/>
      <c r="AG479" s="1366"/>
      <c r="AH479" s="1366"/>
      <c r="AI479" s="1366"/>
      <c r="AJ479" s="1366"/>
      <c r="AK479" s="1366"/>
      <c r="AL479" s="1366"/>
      <c r="AM479" s="1366"/>
      <c r="AN479" s="1366"/>
      <c r="AO479" s="1366"/>
      <c r="AP479" s="1366"/>
      <c r="AQ479" s="1366"/>
      <c r="AR479" s="1366"/>
      <c r="AS479" s="1366"/>
      <c r="AT479" s="1366"/>
      <c r="AU479" s="1366"/>
      <c r="AV479" s="1366"/>
      <c r="AW479" s="1366"/>
      <c r="AX479" s="1366"/>
      <c r="AY479" s="1366"/>
      <c r="AZ479" s="1366"/>
      <c r="BA479" s="1366"/>
      <c r="BB479" s="1366"/>
      <c r="BC479" s="1366"/>
      <c r="BD479" s="1366"/>
      <c r="BE479" s="1366"/>
      <c r="BF479" s="1366"/>
      <c r="BG479" s="1366"/>
      <c r="BH479" s="1366"/>
      <c r="BI479" s="1366"/>
      <c r="BJ479" s="1366"/>
      <c r="BK479" s="1366"/>
      <c r="BL479" s="1366"/>
      <c r="BM479" s="1366"/>
      <c r="BN479" s="1366"/>
      <c r="BO479" s="1366"/>
      <c r="BP479" s="1366"/>
      <c r="BQ479" s="1366"/>
      <c r="BR479" s="1366"/>
      <c r="BS479" s="1366"/>
      <c r="BT479" s="1366"/>
      <c r="BU479" s="1366"/>
      <c r="BV479" s="1366"/>
      <c r="BW479" s="1366"/>
      <c r="BX479" s="1366"/>
      <c r="BY479" s="1366"/>
      <c r="BZ479" s="1366"/>
      <c r="CA479" s="1366"/>
      <c r="CB479" s="1366"/>
      <c r="CC479" s="1366"/>
      <c r="CD479" s="1366"/>
      <c r="CE479" s="1366"/>
      <c r="CF479" s="1366"/>
      <c r="CG479" s="1366"/>
      <c r="CH479" s="1366"/>
      <c r="CI479" s="1366"/>
      <c r="CJ479" s="1366"/>
      <c r="CK479" s="1366"/>
      <c r="CL479" s="1366"/>
      <c r="CM479" s="1366"/>
      <c r="CN479" s="1366"/>
      <c r="CO479" s="1366"/>
      <c r="CP479" s="1366"/>
      <c r="CQ479" s="1366"/>
      <c r="CR479" s="1366"/>
      <c r="CS479" s="1366"/>
      <c r="CT479" s="1366"/>
      <c r="CU479" s="1366"/>
      <c r="CV479" s="1366"/>
      <c r="CW479" s="1366"/>
      <c r="CX479" s="1366"/>
      <c r="CY479" s="1366"/>
      <c r="CZ479" s="1366"/>
      <c r="DA479" s="1366"/>
      <c r="DB479" s="1366"/>
      <c r="DC479" s="1366"/>
      <c r="DD479" s="1366"/>
      <c r="DE479" s="1366"/>
      <c r="DF479" s="1366"/>
      <c r="DG479" s="1366"/>
      <c r="DH479" s="1366"/>
      <c r="DI479" s="1366"/>
      <c r="DJ479" s="1366"/>
      <c r="DK479" s="1366"/>
      <c r="DL479" s="1366"/>
      <c r="DM479" s="1366"/>
      <c r="DN479" s="1366"/>
      <c r="DO479" s="1366"/>
      <c r="DP479" s="1366"/>
      <c r="DQ479" s="1366"/>
      <c r="DR479" s="1366"/>
      <c r="DS479" s="1366"/>
      <c r="DT479" s="1366"/>
      <c r="DU479" s="1366"/>
      <c r="DV479" s="1366"/>
    </row>
    <row r="480" spans="1:126" s="1367" customFormat="1" ht="30">
      <c r="A480" s="2531"/>
      <c r="B480" s="1653">
        <v>2206</v>
      </c>
      <c r="C480" s="1642" t="s">
        <v>49</v>
      </c>
      <c r="D480" s="1375" t="s">
        <v>2610</v>
      </c>
      <c r="E480" s="1364" t="s">
        <v>2097</v>
      </c>
      <c r="F480" s="1365" t="s">
        <v>2108</v>
      </c>
      <c r="G480" s="506" t="s">
        <v>1907</v>
      </c>
      <c r="H480" s="1361">
        <f>(19*'Equipment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3.4545158137312848</v>
      </c>
      <c r="I480" s="1371">
        <f>'Labor Results Matrix'!$E$532</f>
        <v>7.9629999999999992E-2</v>
      </c>
      <c r="J480" s="1372">
        <f>'Labor Results Matrix'!$G$532*(1+'Labor Results Matrix'!$K$532)</f>
        <v>72.260416710552065</v>
      </c>
      <c r="K480" s="1372">
        <f t="shared" si="209"/>
        <v>5.7540969826612605</v>
      </c>
      <c r="L480" s="1372">
        <v>0</v>
      </c>
      <c r="M480" s="1372">
        <f t="shared" si="210"/>
        <v>9.2086127963925453</v>
      </c>
      <c r="N480" s="1458">
        <f t="shared" si="208"/>
        <v>1.9501892849026827</v>
      </c>
      <c r="O480" s="1429"/>
      <c r="P480" s="1430"/>
      <c r="Q480" s="1430"/>
      <c r="R480" s="1430"/>
      <c r="S480" s="1430"/>
      <c r="T480" s="1430"/>
      <c r="U480" s="1430"/>
      <c r="V480" s="1679"/>
      <c r="W480" s="1366"/>
      <c r="X480" s="1366"/>
      <c r="Y480" s="1366"/>
      <c r="Z480" s="1366"/>
      <c r="AA480" s="1366"/>
      <c r="AB480" s="1366"/>
      <c r="AC480" s="1366"/>
      <c r="AD480" s="1366"/>
      <c r="AE480" s="1366"/>
      <c r="AF480" s="1366"/>
      <c r="AG480" s="1366"/>
      <c r="AH480" s="1366"/>
      <c r="AI480" s="1366"/>
      <c r="AJ480" s="1366"/>
      <c r="AK480" s="1366"/>
      <c r="AL480" s="1366"/>
      <c r="AM480" s="1366"/>
      <c r="AN480" s="1366"/>
      <c r="AO480" s="1366"/>
      <c r="AP480" s="1366"/>
      <c r="AQ480" s="1366"/>
      <c r="AR480" s="1366"/>
      <c r="AS480" s="1366"/>
      <c r="AT480" s="1366"/>
      <c r="AU480" s="1366"/>
      <c r="AV480" s="1366"/>
      <c r="AW480" s="1366"/>
      <c r="AX480" s="1366"/>
      <c r="AY480" s="1366"/>
      <c r="AZ480" s="1366"/>
      <c r="BA480" s="1366"/>
      <c r="BB480" s="1366"/>
      <c r="BC480" s="1366"/>
      <c r="BD480" s="1366"/>
      <c r="BE480" s="1366"/>
      <c r="BF480" s="1366"/>
      <c r="BG480" s="1366"/>
      <c r="BH480" s="1366"/>
      <c r="BI480" s="1366"/>
      <c r="BJ480" s="1366"/>
      <c r="BK480" s="1366"/>
      <c r="BL480" s="1366"/>
      <c r="BM480" s="1366"/>
      <c r="BN480" s="1366"/>
      <c r="BO480" s="1366"/>
      <c r="BP480" s="1366"/>
      <c r="BQ480" s="1366"/>
      <c r="BR480" s="1366"/>
      <c r="BS480" s="1366"/>
      <c r="BT480" s="1366"/>
      <c r="BU480" s="1366"/>
      <c r="BV480" s="1366"/>
      <c r="BW480" s="1366"/>
      <c r="BX480" s="1366"/>
      <c r="BY480" s="1366"/>
      <c r="BZ480" s="1366"/>
      <c r="CA480" s="1366"/>
      <c r="CB480" s="1366"/>
      <c r="CC480" s="1366"/>
      <c r="CD480" s="1366"/>
      <c r="CE480" s="1366"/>
      <c r="CF480" s="1366"/>
      <c r="CG480" s="1366"/>
      <c r="CH480" s="1366"/>
      <c r="CI480" s="1366"/>
      <c r="CJ480" s="1366"/>
      <c r="CK480" s="1366"/>
      <c r="CL480" s="1366"/>
      <c r="CM480" s="1366"/>
      <c r="CN480" s="1366"/>
      <c r="CO480" s="1366"/>
      <c r="CP480" s="1366"/>
      <c r="CQ480" s="1366"/>
      <c r="CR480" s="1366"/>
      <c r="CS480" s="1366"/>
      <c r="CT480" s="1366"/>
      <c r="CU480" s="1366"/>
      <c r="CV480" s="1366"/>
      <c r="CW480" s="1366"/>
      <c r="CX480" s="1366"/>
      <c r="CY480" s="1366"/>
      <c r="CZ480" s="1366"/>
      <c r="DA480" s="1366"/>
      <c r="DB480" s="1366"/>
      <c r="DC480" s="1366"/>
      <c r="DD480" s="1366"/>
      <c r="DE480" s="1366"/>
      <c r="DF480" s="1366"/>
      <c r="DG480" s="1366"/>
      <c r="DH480" s="1366"/>
      <c r="DI480" s="1366"/>
      <c r="DJ480" s="1366"/>
      <c r="DK480" s="1366"/>
      <c r="DL480" s="1366"/>
      <c r="DM480" s="1366"/>
      <c r="DN480" s="1366"/>
      <c r="DO480" s="1366"/>
      <c r="DP480" s="1366"/>
      <c r="DQ480" s="1366"/>
      <c r="DR480" s="1366"/>
      <c r="DS480" s="1366"/>
      <c r="DT480" s="1366"/>
      <c r="DU480" s="1366"/>
      <c r="DV480" s="1366"/>
    </row>
    <row r="481" spans="1:126" s="1367" customFormat="1" ht="37.5" customHeight="1">
      <c r="A481" s="2532" t="s">
        <v>912</v>
      </c>
      <c r="B481" s="1653">
        <v>2207</v>
      </c>
      <c r="C481" s="1642" t="s">
        <v>49</v>
      </c>
      <c r="D481" s="1375" t="s">
        <v>2611</v>
      </c>
      <c r="E481" s="1364" t="s">
        <v>2097</v>
      </c>
      <c r="F481" s="1365" t="s">
        <v>2108</v>
      </c>
      <c r="G481" s="506" t="s">
        <v>1907</v>
      </c>
      <c r="H481" s="1361">
        <f>(20*'Equipment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3.5210158137312848</v>
      </c>
      <c r="I481" s="1371">
        <f>'Labor Results Matrix'!$E$532</f>
        <v>7.9629999999999992E-2</v>
      </c>
      <c r="J481" s="1372">
        <f>'Labor Results Matrix'!$G$532*(1+'Labor Results Matrix'!$K$532)</f>
        <v>72.260416710552065</v>
      </c>
      <c r="K481" s="1372">
        <f t="shared" si="209"/>
        <v>5.7540969826612605</v>
      </c>
      <c r="L481" s="1372">
        <v>0</v>
      </c>
      <c r="M481" s="1372">
        <f t="shared" si="210"/>
        <v>9.2751127963925448</v>
      </c>
      <c r="N481" s="1458">
        <f t="shared" si="208"/>
        <v>2.0166892849026823</v>
      </c>
      <c r="O481" s="1429"/>
      <c r="P481" s="1430"/>
      <c r="Q481" s="1430"/>
      <c r="R481" s="1430"/>
      <c r="S481" s="1430"/>
      <c r="T481" s="1430"/>
      <c r="U481" s="1430"/>
      <c r="V481" s="1679"/>
      <c r="W481" s="1366"/>
      <c r="X481" s="1366"/>
      <c r="Y481" s="1366"/>
      <c r="Z481" s="1366"/>
      <c r="AA481" s="1366"/>
      <c r="AB481" s="1366"/>
      <c r="AC481" s="1366"/>
      <c r="AD481" s="1366"/>
      <c r="AE481" s="1366"/>
      <c r="AF481" s="1366"/>
      <c r="AG481" s="1366"/>
      <c r="AH481" s="1366"/>
      <c r="AI481" s="1366"/>
      <c r="AJ481" s="1366"/>
      <c r="AK481" s="1366"/>
      <c r="AL481" s="1366"/>
      <c r="AM481" s="1366"/>
      <c r="AN481" s="1366"/>
      <c r="AO481" s="1366"/>
      <c r="AP481" s="1366"/>
      <c r="AQ481" s="1366"/>
      <c r="AR481" s="1366"/>
      <c r="AS481" s="1366"/>
      <c r="AT481" s="1366"/>
      <c r="AU481" s="1366"/>
      <c r="AV481" s="1366"/>
      <c r="AW481" s="1366"/>
      <c r="AX481" s="1366"/>
      <c r="AY481" s="1366"/>
      <c r="AZ481" s="1366"/>
      <c r="BA481" s="1366"/>
      <c r="BB481" s="1366"/>
      <c r="BC481" s="1366"/>
      <c r="BD481" s="1366"/>
      <c r="BE481" s="1366"/>
      <c r="BF481" s="1366"/>
      <c r="BG481" s="1366"/>
      <c r="BH481" s="1366"/>
      <c r="BI481" s="1366"/>
      <c r="BJ481" s="1366"/>
      <c r="BK481" s="1366"/>
      <c r="BL481" s="1366"/>
      <c r="BM481" s="1366"/>
      <c r="BN481" s="1366"/>
      <c r="BO481" s="1366"/>
      <c r="BP481" s="1366"/>
      <c r="BQ481" s="1366"/>
      <c r="BR481" s="1366"/>
      <c r="BS481" s="1366"/>
      <c r="BT481" s="1366"/>
      <c r="BU481" s="1366"/>
      <c r="BV481" s="1366"/>
      <c r="BW481" s="1366"/>
      <c r="BX481" s="1366"/>
      <c r="BY481" s="1366"/>
      <c r="BZ481" s="1366"/>
      <c r="CA481" s="1366"/>
      <c r="CB481" s="1366"/>
      <c r="CC481" s="1366"/>
      <c r="CD481" s="1366"/>
      <c r="CE481" s="1366"/>
      <c r="CF481" s="1366"/>
      <c r="CG481" s="1366"/>
      <c r="CH481" s="1366"/>
      <c r="CI481" s="1366"/>
      <c r="CJ481" s="1366"/>
      <c r="CK481" s="1366"/>
      <c r="CL481" s="1366"/>
      <c r="CM481" s="1366"/>
      <c r="CN481" s="1366"/>
      <c r="CO481" s="1366"/>
      <c r="CP481" s="1366"/>
      <c r="CQ481" s="1366"/>
      <c r="CR481" s="1366"/>
      <c r="CS481" s="1366"/>
      <c r="CT481" s="1366"/>
      <c r="CU481" s="1366"/>
      <c r="CV481" s="1366"/>
      <c r="CW481" s="1366"/>
      <c r="CX481" s="1366"/>
      <c r="CY481" s="1366"/>
      <c r="CZ481" s="1366"/>
      <c r="DA481" s="1366"/>
      <c r="DB481" s="1366"/>
      <c r="DC481" s="1366"/>
      <c r="DD481" s="1366"/>
      <c r="DE481" s="1366"/>
      <c r="DF481" s="1366"/>
      <c r="DG481" s="1366"/>
      <c r="DH481" s="1366"/>
      <c r="DI481" s="1366"/>
      <c r="DJ481" s="1366"/>
      <c r="DK481" s="1366"/>
      <c r="DL481" s="1366"/>
      <c r="DM481" s="1366"/>
      <c r="DN481" s="1366"/>
      <c r="DO481" s="1366"/>
      <c r="DP481" s="1366"/>
      <c r="DQ481" s="1366"/>
      <c r="DR481" s="1366"/>
      <c r="DS481" s="1366"/>
      <c r="DT481" s="1366"/>
      <c r="DU481" s="1366"/>
      <c r="DV481" s="1366"/>
    </row>
    <row r="482" spans="1:126" s="1367" customFormat="1" ht="30">
      <c r="A482" s="2530"/>
      <c r="B482" s="1653">
        <v>2208</v>
      </c>
      <c r="C482" s="1642" t="s">
        <v>49</v>
      </c>
      <c r="D482" s="1375" t="s">
        <v>2612</v>
      </c>
      <c r="E482" s="1364" t="s">
        <v>2097</v>
      </c>
      <c r="F482" s="1365" t="s">
        <v>2108</v>
      </c>
      <c r="G482" s="506" t="s">
        <v>1907</v>
      </c>
      <c r="H482" s="1361">
        <f>(21*'Equipment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3.5875158137312848</v>
      </c>
      <c r="I482" s="1371">
        <f>'Labor Results Matrix'!$E$532</f>
        <v>7.9629999999999992E-2</v>
      </c>
      <c r="J482" s="1372">
        <f>'Labor Results Matrix'!$G$532*(1+'Labor Results Matrix'!$K$532)</f>
        <v>72.260416710552065</v>
      </c>
      <c r="K482" s="1372">
        <f t="shared" si="209"/>
        <v>5.7540969826612605</v>
      </c>
      <c r="L482" s="1372">
        <v>0</v>
      </c>
      <c r="M482" s="1372">
        <f t="shared" si="210"/>
        <v>9.3416127963925462</v>
      </c>
      <c r="N482" s="1458">
        <f t="shared" si="208"/>
        <v>2.0831892849026836</v>
      </c>
      <c r="O482" s="1429"/>
      <c r="P482" s="1430"/>
      <c r="Q482" s="1430"/>
      <c r="R482" s="1430"/>
      <c r="S482" s="1430"/>
      <c r="T482" s="1430"/>
      <c r="U482" s="1430"/>
      <c r="V482" s="1679"/>
      <c r="W482" s="1366"/>
      <c r="X482" s="1366"/>
      <c r="Y482" s="1366"/>
      <c r="Z482" s="1366"/>
      <c r="AA482" s="1366"/>
      <c r="AB482" s="1366"/>
      <c r="AC482" s="1366"/>
      <c r="AD482" s="1366"/>
      <c r="AE482" s="1366"/>
      <c r="AF482" s="1366"/>
      <c r="AG482" s="1366"/>
      <c r="AH482" s="1366"/>
      <c r="AI482" s="1366"/>
      <c r="AJ482" s="1366"/>
      <c r="AK482" s="1366"/>
      <c r="AL482" s="1366"/>
      <c r="AM482" s="1366"/>
      <c r="AN482" s="1366"/>
      <c r="AO482" s="1366"/>
      <c r="AP482" s="1366"/>
      <c r="AQ482" s="1366"/>
      <c r="AR482" s="1366"/>
      <c r="AS482" s="1366"/>
      <c r="AT482" s="1366"/>
      <c r="AU482" s="1366"/>
      <c r="AV482" s="1366"/>
      <c r="AW482" s="1366"/>
      <c r="AX482" s="1366"/>
      <c r="AY482" s="1366"/>
      <c r="AZ482" s="1366"/>
      <c r="BA482" s="1366"/>
      <c r="BB482" s="1366"/>
      <c r="BC482" s="1366"/>
      <c r="BD482" s="1366"/>
      <c r="BE482" s="1366"/>
      <c r="BF482" s="1366"/>
      <c r="BG482" s="1366"/>
      <c r="BH482" s="1366"/>
      <c r="BI482" s="1366"/>
      <c r="BJ482" s="1366"/>
      <c r="BK482" s="1366"/>
      <c r="BL482" s="1366"/>
      <c r="BM482" s="1366"/>
      <c r="BN482" s="1366"/>
      <c r="BO482" s="1366"/>
      <c r="BP482" s="1366"/>
      <c r="BQ482" s="1366"/>
      <c r="BR482" s="1366"/>
      <c r="BS482" s="1366"/>
      <c r="BT482" s="1366"/>
      <c r="BU482" s="1366"/>
      <c r="BV482" s="1366"/>
      <c r="BW482" s="1366"/>
      <c r="BX482" s="1366"/>
      <c r="BY482" s="1366"/>
      <c r="BZ482" s="1366"/>
      <c r="CA482" s="1366"/>
      <c r="CB482" s="1366"/>
      <c r="CC482" s="1366"/>
      <c r="CD482" s="1366"/>
      <c r="CE482" s="1366"/>
      <c r="CF482" s="1366"/>
      <c r="CG482" s="1366"/>
      <c r="CH482" s="1366"/>
      <c r="CI482" s="1366"/>
      <c r="CJ482" s="1366"/>
      <c r="CK482" s="1366"/>
      <c r="CL482" s="1366"/>
      <c r="CM482" s="1366"/>
      <c r="CN482" s="1366"/>
      <c r="CO482" s="1366"/>
      <c r="CP482" s="1366"/>
      <c r="CQ482" s="1366"/>
      <c r="CR482" s="1366"/>
      <c r="CS482" s="1366"/>
      <c r="CT482" s="1366"/>
      <c r="CU482" s="1366"/>
      <c r="CV482" s="1366"/>
      <c r="CW482" s="1366"/>
      <c r="CX482" s="1366"/>
      <c r="CY482" s="1366"/>
      <c r="CZ482" s="1366"/>
      <c r="DA482" s="1366"/>
      <c r="DB482" s="1366"/>
      <c r="DC482" s="1366"/>
      <c r="DD482" s="1366"/>
      <c r="DE482" s="1366"/>
      <c r="DF482" s="1366"/>
      <c r="DG482" s="1366"/>
      <c r="DH482" s="1366"/>
      <c r="DI482" s="1366"/>
      <c r="DJ482" s="1366"/>
      <c r="DK482" s="1366"/>
      <c r="DL482" s="1366"/>
      <c r="DM482" s="1366"/>
      <c r="DN482" s="1366"/>
      <c r="DO482" s="1366"/>
      <c r="DP482" s="1366"/>
      <c r="DQ482" s="1366"/>
      <c r="DR482" s="1366"/>
      <c r="DS482" s="1366"/>
      <c r="DT482" s="1366"/>
      <c r="DU482" s="1366"/>
      <c r="DV482" s="1366"/>
    </row>
    <row r="483" spans="1:126" s="1367" customFormat="1" ht="30">
      <c r="A483" s="2530"/>
      <c r="B483" s="1653">
        <v>2209</v>
      </c>
      <c r="C483" s="1642" t="s">
        <v>49</v>
      </c>
      <c r="D483" s="1375" t="s">
        <v>2613</v>
      </c>
      <c r="E483" s="1364" t="s">
        <v>2097</v>
      </c>
      <c r="F483" s="1365" t="s">
        <v>2108</v>
      </c>
      <c r="G483" s="506" t="s">
        <v>1907</v>
      </c>
      <c r="H483" s="1361">
        <f>(22*'Equipment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3.6540158137312848</v>
      </c>
      <c r="I483" s="1371">
        <f>'Labor Results Matrix'!$E$532</f>
        <v>7.9629999999999992E-2</v>
      </c>
      <c r="J483" s="1372">
        <f>'Labor Results Matrix'!$G$532*(1+'Labor Results Matrix'!$K$532)</f>
        <v>72.260416710552065</v>
      </c>
      <c r="K483" s="1372">
        <f t="shared" si="209"/>
        <v>5.7540969826612605</v>
      </c>
      <c r="L483" s="1372">
        <v>0</v>
      </c>
      <c r="M483" s="1372">
        <f t="shared" si="210"/>
        <v>9.4081127963925457</v>
      </c>
      <c r="N483" s="1458">
        <f t="shared" si="208"/>
        <v>2.1496892849026832</v>
      </c>
      <c r="O483" s="1429"/>
      <c r="P483" s="1430"/>
      <c r="Q483" s="1430"/>
      <c r="R483" s="1430"/>
      <c r="S483" s="1430"/>
      <c r="T483" s="1430"/>
      <c r="U483" s="1430"/>
      <c r="V483" s="1679"/>
      <c r="W483" s="1366"/>
      <c r="X483" s="1366"/>
      <c r="Y483" s="1366"/>
      <c r="Z483" s="1366"/>
      <c r="AA483" s="1366"/>
      <c r="AB483" s="1366"/>
      <c r="AC483" s="1366"/>
      <c r="AD483" s="1366"/>
      <c r="AE483" s="1366"/>
      <c r="AF483" s="1366"/>
      <c r="AG483" s="1366"/>
      <c r="AH483" s="1366"/>
      <c r="AI483" s="1366"/>
      <c r="AJ483" s="1366"/>
      <c r="AK483" s="1366"/>
      <c r="AL483" s="1366"/>
      <c r="AM483" s="1366"/>
      <c r="AN483" s="1366"/>
      <c r="AO483" s="1366"/>
      <c r="AP483" s="1366"/>
      <c r="AQ483" s="1366"/>
      <c r="AR483" s="1366"/>
      <c r="AS483" s="1366"/>
      <c r="AT483" s="1366"/>
      <c r="AU483" s="1366"/>
      <c r="AV483" s="1366"/>
      <c r="AW483" s="1366"/>
      <c r="AX483" s="1366"/>
      <c r="AY483" s="1366"/>
      <c r="AZ483" s="1366"/>
      <c r="BA483" s="1366"/>
      <c r="BB483" s="1366"/>
      <c r="BC483" s="1366"/>
      <c r="BD483" s="1366"/>
      <c r="BE483" s="1366"/>
      <c r="BF483" s="1366"/>
      <c r="BG483" s="1366"/>
      <c r="BH483" s="1366"/>
      <c r="BI483" s="1366"/>
      <c r="BJ483" s="1366"/>
      <c r="BK483" s="1366"/>
      <c r="BL483" s="1366"/>
      <c r="BM483" s="1366"/>
      <c r="BN483" s="1366"/>
      <c r="BO483" s="1366"/>
      <c r="BP483" s="1366"/>
      <c r="BQ483" s="1366"/>
      <c r="BR483" s="1366"/>
      <c r="BS483" s="1366"/>
      <c r="BT483" s="1366"/>
      <c r="BU483" s="1366"/>
      <c r="BV483" s="1366"/>
      <c r="BW483" s="1366"/>
      <c r="BX483" s="1366"/>
      <c r="BY483" s="1366"/>
      <c r="BZ483" s="1366"/>
      <c r="CA483" s="1366"/>
      <c r="CB483" s="1366"/>
      <c r="CC483" s="1366"/>
      <c r="CD483" s="1366"/>
      <c r="CE483" s="1366"/>
      <c r="CF483" s="1366"/>
      <c r="CG483" s="1366"/>
      <c r="CH483" s="1366"/>
      <c r="CI483" s="1366"/>
      <c r="CJ483" s="1366"/>
      <c r="CK483" s="1366"/>
      <c r="CL483" s="1366"/>
      <c r="CM483" s="1366"/>
      <c r="CN483" s="1366"/>
      <c r="CO483" s="1366"/>
      <c r="CP483" s="1366"/>
      <c r="CQ483" s="1366"/>
      <c r="CR483" s="1366"/>
      <c r="CS483" s="1366"/>
      <c r="CT483" s="1366"/>
      <c r="CU483" s="1366"/>
      <c r="CV483" s="1366"/>
      <c r="CW483" s="1366"/>
      <c r="CX483" s="1366"/>
      <c r="CY483" s="1366"/>
      <c r="CZ483" s="1366"/>
      <c r="DA483" s="1366"/>
      <c r="DB483" s="1366"/>
      <c r="DC483" s="1366"/>
      <c r="DD483" s="1366"/>
      <c r="DE483" s="1366"/>
      <c r="DF483" s="1366"/>
      <c r="DG483" s="1366"/>
      <c r="DH483" s="1366"/>
      <c r="DI483" s="1366"/>
      <c r="DJ483" s="1366"/>
      <c r="DK483" s="1366"/>
      <c r="DL483" s="1366"/>
      <c r="DM483" s="1366"/>
      <c r="DN483" s="1366"/>
      <c r="DO483" s="1366"/>
      <c r="DP483" s="1366"/>
      <c r="DQ483" s="1366"/>
      <c r="DR483" s="1366"/>
      <c r="DS483" s="1366"/>
      <c r="DT483" s="1366"/>
      <c r="DU483" s="1366"/>
      <c r="DV483" s="1366"/>
    </row>
    <row r="484" spans="1:126" s="1367" customFormat="1" ht="30">
      <c r="A484" s="2530"/>
      <c r="B484" s="1656" t="s">
        <v>2626</v>
      </c>
      <c r="C484" s="1642" t="s">
        <v>47</v>
      </c>
      <c r="D484" s="1380" t="s">
        <v>2344</v>
      </c>
      <c r="E484" s="1364" t="s">
        <v>2097</v>
      </c>
      <c r="F484" s="1364" t="s">
        <v>2627</v>
      </c>
      <c r="G484" s="1185" t="s">
        <v>1907</v>
      </c>
      <c r="H484" s="1361">
        <f>('Equipment Results Matrix'!$R$979*(72-30))+('Equipment Results Matrix'!$R$980*0)+('Equipment Results Matrix'!$R$978*1.5)+'Equipment Results Matrix'!$R$962+'Equipment Results Matrix'!$R$968+'Equipment Results Matrix'!$R$970+'Equipment Results Matrix'!$R$972+'Equipment Results Matrix'!$R$975+'Equipment Results Matrix'!$R$976+'Equipment Results Matrix'!$T$969</f>
        <v>1.5227265288286025</v>
      </c>
      <c r="I484" s="1371">
        <f>'Labor Results Matrix'!$E$470</f>
        <v>7.9629999999999992E-2</v>
      </c>
      <c r="J484" s="1372">
        <f>'Labor Results Matrix'!$G$470*(1+'Labor Results Matrix'!$K$470)</f>
        <v>72.260416710552065</v>
      </c>
      <c r="K484" s="1372">
        <f t="shared" si="196"/>
        <v>5.7540969826612605</v>
      </c>
      <c r="L484" s="1372">
        <v>0</v>
      </c>
      <c r="M484" s="1372">
        <f t="shared" si="197"/>
        <v>7.2768235114898632</v>
      </c>
      <c r="N484" s="1455" t="s">
        <v>40</v>
      </c>
      <c r="O484" s="1429"/>
      <c r="P484" s="1430"/>
      <c r="Q484" s="1430"/>
      <c r="R484" s="1430"/>
      <c r="S484" s="1430"/>
      <c r="T484" s="1430"/>
      <c r="U484" s="1430"/>
      <c r="V484" s="1679"/>
      <c r="W484" s="1366"/>
      <c r="X484" s="1366"/>
      <c r="Y484" s="1366"/>
      <c r="Z484" s="1366"/>
      <c r="AA484" s="1366"/>
      <c r="AB484" s="1366"/>
      <c r="AC484" s="1366"/>
      <c r="AD484" s="1366"/>
      <c r="AE484" s="1366"/>
      <c r="AF484" s="1366"/>
      <c r="AG484" s="1366"/>
      <c r="AH484" s="1366"/>
      <c r="AI484" s="1366"/>
      <c r="AJ484" s="1366"/>
      <c r="AK484" s="1366"/>
      <c r="AL484" s="1366"/>
      <c r="AM484" s="1366"/>
      <c r="AN484" s="1366"/>
      <c r="AO484" s="1366"/>
      <c r="AP484" s="1366"/>
      <c r="AQ484" s="1366"/>
      <c r="AR484" s="1366"/>
      <c r="AS484" s="1366"/>
      <c r="AT484" s="1366"/>
      <c r="AU484" s="1366"/>
      <c r="AV484" s="1366"/>
      <c r="AW484" s="1366"/>
      <c r="AX484" s="1366"/>
      <c r="AY484" s="1366"/>
      <c r="AZ484" s="1366"/>
      <c r="BA484" s="1366"/>
      <c r="BB484" s="1366"/>
      <c r="BC484" s="1366"/>
      <c r="BD484" s="1366"/>
      <c r="BE484" s="1366"/>
      <c r="BF484" s="1366"/>
      <c r="BG484" s="1366"/>
      <c r="BH484" s="1366"/>
      <c r="BI484" s="1366"/>
      <c r="BJ484" s="1366"/>
      <c r="BK484" s="1366"/>
      <c r="BL484" s="1366"/>
      <c r="BM484" s="1366"/>
      <c r="BN484" s="1366"/>
      <c r="BO484" s="1366"/>
      <c r="BP484" s="1366"/>
      <c r="BQ484" s="1366"/>
      <c r="BR484" s="1366"/>
      <c r="BS484" s="1366"/>
      <c r="BT484" s="1366"/>
      <c r="BU484" s="1366"/>
      <c r="BV484" s="1366"/>
      <c r="BW484" s="1366"/>
      <c r="BX484" s="1366"/>
      <c r="BY484" s="1366"/>
      <c r="BZ484" s="1366"/>
      <c r="CA484" s="1366"/>
      <c r="CB484" s="1366"/>
      <c r="CC484" s="1366"/>
      <c r="CD484" s="1366"/>
      <c r="CE484" s="1366"/>
      <c r="CF484" s="1366"/>
      <c r="CG484" s="1366"/>
      <c r="CH484" s="1366"/>
      <c r="CI484" s="1366"/>
      <c r="CJ484" s="1366"/>
      <c r="CK484" s="1366"/>
      <c r="CL484" s="1366"/>
      <c r="CM484" s="1366"/>
      <c r="CN484" s="1366"/>
      <c r="CO484" s="1366"/>
      <c r="CP484" s="1366"/>
      <c r="CQ484" s="1366"/>
      <c r="CR484" s="1366"/>
      <c r="CS484" s="1366"/>
      <c r="CT484" s="1366"/>
      <c r="CU484" s="1366"/>
      <c r="CV484" s="1366"/>
      <c r="CW484" s="1366"/>
      <c r="CX484" s="1366"/>
      <c r="CY484" s="1366"/>
      <c r="CZ484" s="1366"/>
      <c r="DA484" s="1366"/>
      <c r="DB484" s="1366"/>
      <c r="DC484" s="1366"/>
      <c r="DD484" s="1366"/>
      <c r="DE484" s="1366"/>
      <c r="DF484" s="1366"/>
      <c r="DG484" s="1366"/>
      <c r="DH484" s="1366"/>
      <c r="DI484" s="1366"/>
      <c r="DJ484" s="1366"/>
      <c r="DK484" s="1366"/>
      <c r="DL484" s="1366"/>
      <c r="DM484" s="1366"/>
      <c r="DN484" s="1366"/>
      <c r="DO484" s="1366"/>
      <c r="DP484" s="1366"/>
      <c r="DQ484" s="1366"/>
      <c r="DR484" s="1366"/>
      <c r="DS484" s="1366"/>
      <c r="DT484" s="1366"/>
      <c r="DU484" s="1366"/>
      <c r="DV484" s="1366"/>
    </row>
    <row r="485" spans="1:126" s="1367" customFormat="1" ht="30">
      <c r="A485" s="2530"/>
      <c r="B485" s="1653">
        <v>217</v>
      </c>
      <c r="C485" s="1642" t="s">
        <v>49</v>
      </c>
      <c r="D485" s="1375" t="s">
        <v>2362</v>
      </c>
      <c r="E485" s="1364" t="s">
        <v>2097</v>
      </c>
      <c r="F485" s="1364" t="s">
        <v>2107</v>
      </c>
      <c r="G485" s="1185" t="s">
        <v>1907</v>
      </c>
      <c r="H485" s="1361">
        <f>(23*'Equipment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3.7205158137312848</v>
      </c>
      <c r="I485" s="1371">
        <f>'Labor Results Matrix'!$E$532</f>
        <v>7.9629999999999992E-2</v>
      </c>
      <c r="J485" s="1372">
        <f>'Labor Results Matrix'!$G$532*(1+'Labor Results Matrix'!$K$532)</f>
        <v>72.260416710552065</v>
      </c>
      <c r="K485" s="1372">
        <f t="shared" si="196"/>
        <v>5.7540969826612605</v>
      </c>
      <c r="L485" s="1372">
        <v>0</v>
      </c>
      <c r="M485" s="1372">
        <f t="shared" si="197"/>
        <v>9.4746127963925453</v>
      </c>
      <c r="N485" s="1458">
        <f t="shared" ref="N485:N492" si="211">M485-$M$484</f>
        <v>2.1977892849026821</v>
      </c>
      <c r="O485" s="1429"/>
      <c r="P485" s="1430"/>
      <c r="Q485" s="1430"/>
      <c r="R485" s="1430"/>
      <c r="S485" s="1430"/>
      <c r="T485" s="1430"/>
      <c r="U485" s="1430"/>
      <c r="V485" s="1679"/>
      <c r="W485" s="1366"/>
      <c r="X485" s="1366"/>
      <c r="Y485" s="1366"/>
      <c r="Z485" s="1366"/>
      <c r="AA485" s="1366"/>
      <c r="AB485" s="1366"/>
      <c r="AC485" s="1366"/>
      <c r="AD485" s="1366"/>
      <c r="AE485" s="1366"/>
      <c r="AF485" s="1366"/>
      <c r="AG485" s="1366"/>
      <c r="AH485" s="1366"/>
      <c r="AI485" s="1366"/>
      <c r="AJ485" s="1366"/>
      <c r="AK485" s="1366"/>
      <c r="AL485" s="1366"/>
      <c r="AM485" s="1366"/>
      <c r="AN485" s="1366"/>
      <c r="AO485" s="1366"/>
      <c r="AP485" s="1366"/>
      <c r="AQ485" s="1366"/>
      <c r="AR485" s="1366"/>
      <c r="AS485" s="1366"/>
      <c r="AT485" s="1366"/>
      <c r="AU485" s="1366"/>
      <c r="AV485" s="1366"/>
      <c r="AW485" s="1366"/>
      <c r="AX485" s="1366"/>
      <c r="AY485" s="1366"/>
      <c r="AZ485" s="1366"/>
      <c r="BA485" s="1366"/>
      <c r="BB485" s="1366"/>
      <c r="BC485" s="1366"/>
      <c r="BD485" s="1366"/>
      <c r="BE485" s="1366"/>
      <c r="BF485" s="1366"/>
      <c r="BG485" s="1366"/>
      <c r="BH485" s="1366"/>
      <c r="BI485" s="1366"/>
      <c r="BJ485" s="1366"/>
      <c r="BK485" s="1366"/>
      <c r="BL485" s="1366"/>
      <c r="BM485" s="1366"/>
      <c r="BN485" s="1366"/>
      <c r="BO485" s="1366"/>
      <c r="BP485" s="1366"/>
      <c r="BQ485" s="1366"/>
      <c r="BR485" s="1366"/>
      <c r="BS485" s="1366"/>
      <c r="BT485" s="1366"/>
      <c r="BU485" s="1366"/>
      <c r="BV485" s="1366"/>
      <c r="BW485" s="1366"/>
      <c r="BX485" s="1366"/>
      <c r="BY485" s="1366"/>
      <c r="BZ485" s="1366"/>
      <c r="CA485" s="1366"/>
      <c r="CB485" s="1366"/>
      <c r="CC485" s="1366"/>
      <c r="CD485" s="1366"/>
      <c r="CE485" s="1366"/>
      <c r="CF485" s="1366"/>
      <c r="CG485" s="1366"/>
      <c r="CH485" s="1366"/>
      <c r="CI485" s="1366"/>
      <c r="CJ485" s="1366"/>
      <c r="CK485" s="1366"/>
      <c r="CL485" s="1366"/>
      <c r="CM485" s="1366"/>
      <c r="CN485" s="1366"/>
      <c r="CO485" s="1366"/>
      <c r="CP485" s="1366"/>
      <c r="CQ485" s="1366"/>
      <c r="CR485" s="1366"/>
      <c r="CS485" s="1366"/>
      <c r="CT485" s="1366"/>
      <c r="CU485" s="1366"/>
      <c r="CV485" s="1366"/>
      <c r="CW485" s="1366"/>
      <c r="CX485" s="1366"/>
      <c r="CY485" s="1366"/>
      <c r="CZ485" s="1366"/>
      <c r="DA485" s="1366"/>
      <c r="DB485" s="1366"/>
      <c r="DC485" s="1366"/>
      <c r="DD485" s="1366"/>
      <c r="DE485" s="1366"/>
      <c r="DF485" s="1366"/>
      <c r="DG485" s="1366"/>
      <c r="DH485" s="1366"/>
      <c r="DI485" s="1366"/>
      <c r="DJ485" s="1366"/>
      <c r="DK485" s="1366"/>
      <c r="DL485" s="1366"/>
      <c r="DM485" s="1366"/>
      <c r="DN485" s="1366"/>
      <c r="DO485" s="1366"/>
      <c r="DP485" s="1366"/>
      <c r="DQ485" s="1366"/>
      <c r="DR485" s="1366"/>
      <c r="DS485" s="1366"/>
      <c r="DT485" s="1366"/>
      <c r="DU485" s="1366"/>
      <c r="DV485" s="1366"/>
    </row>
    <row r="486" spans="1:126" s="1367" customFormat="1" ht="30">
      <c r="A486" s="2530"/>
      <c r="B486" s="1653">
        <v>218</v>
      </c>
      <c r="C486" s="1642" t="s">
        <v>49</v>
      </c>
      <c r="D486" s="1375" t="s">
        <v>2363</v>
      </c>
      <c r="E486" s="1364" t="s">
        <v>2097</v>
      </c>
      <c r="F486" s="1364" t="s">
        <v>2107</v>
      </c>
      <c r="G486" s="1185" t="s">
        <v>1907</v>
      </c>
      <c r="H486" s="1361">
        <f>(24*'Equipment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3.7870158137312848</v>
      </c>
      <c r="I486" s="1371">
        <f>'Labor Results Matrix'!$E$532</f>
        <v>7.9629999999999992E-2</v>
      </c>
      <c r="J486" s="1372">
        <f>'Labor Results Matrix'!$G$532*(1+'Labor Results Matrix'!$K$532)</f>
        <v>72.260416710552065</v>
      </c>
      <c r="K486" s="1372">
        <f t="shared" si="196"/>
        <v>5.7540969826612605</v>
      </c>
      <c r="L486" s="1372">
        <v>0</v>
      </c>
      <c r="M486" s="1372">
        <f t="shared" si="197"/>
        <v>9.5411127963925448</v>
      </c>
      <c r="N486" s="1458">
        <f t="shared" si="211"/>
        <v>2.2642892849026817</v>
      </c>
      <c r="O486" s="1429"/>
      <c r="P486" s="1430"/>
      <c r="Q486" s="1430"/>
      <c r="R486" s="1430"/>
      <c r="S486" s="1430"/>
      <c r="T486" s="1430"/>
      <c r="U486" s="1430"/>
      <c r="V486" s="1679"/>
      <c r="W486" s="1366"/>
      <c r="X486" s="1366"/>
      <c r="Y486" s="1366"/>
      <c r="Z486" s="1366"/>
      <c r="AA486" s="1366"/>
      <c r="AB486" s="1366"/>
      <c r="AC486" s="1366"/>
      <c r="AD486" s="1366"/>
      <c r="AE486" s="1366"/>
      <c r="AF486" s="1366"/>
      <c r="AG486" s="1366"/>
      <c r="AH486" s="1366"/>
      <c r="AI486" s="1366"/>
      <c r="AJ486" s="1366"/>
      <c r="AK486" s="1366"/>
      <c r="AL486" s="1366"/>
      <c r="AM486" s="1366"/>
      <c r="AN486" s="1366"/>
      <c r="AO486" s="1366"/>
      <c r="AP486" s="1366"/>
      <c r="AQ486" s="1366"/>
      <c r="AR486" s="1366"/>
      <c r="AS486" s="1366"/>
      <c r="AT486" s="1366"/>
      <c r="AU486" s="1366"/>
      <c r="AV486" s="1366"/>
      <c r="AW486" s="1366"/>
      <c r="AX486" s="1366"/>
      <c r="AY486" s="1366"/>
      <c r="AZ486" s="1366"/>
      <c r="BA486" s="1366"/>
      <c r="BB486" s="1366"/>
      <c r="BC486" s="1366"/>
      <c r="BD486" s="1366"/>
      <c r="BE486" s="1366"/>
      <c r="BF486" s="1366"/>
      <c r="BG486" s="1366"/>
      <c r="BH486" s="1366"/>
      <c r="BI486" s="1366"/>
      <c r="BJ486" s="1366"/>
      <c r="BK486" s="1366"/>
      <c r="BL486" s="1366"/>
      <c r="BM486" s="1366"/>
      <c r="BN486" s="1366"/>
      <c r="BO486" s="1366"/>
      <c r="BP486" s="1366"/>
      <c r="BQ486" s="1366"/>
      <c r="BR486" s="1366"/>
      <c r="BS486" s="1366"/>
      <c r="BT486" s="1366"/>
      <c r="BU486" s="1366"/>
      <c r="BV486" s="1366"/>
      <c r="BW486" s="1366"/>
      <c r="BX486" s="1366"/>
      <c r="BY486" s="1366"/>
      <c r="BZ486" s="1366"/>
      <c r="CA486" s="1366"/>
      <c r="CB486" s="1366"/>
      <c r="CC486" s="1366"/>
      <c r="CD486" s="1366"/>
      <c r="CE486" s="1366"/>
      <c r="CF486" s="1366"/>
      <c r="CG486" s="1366"/>
      <c r="CH486" s="1366"/>
      <c r="CI486" s="1366"/>
      <c r="CJ486" s="1366"/>
      <c r="CK486" s="1366"/>
      <c r="CL486" s="1366"/>
      <c r="CM486" s="1366"/>
      <c r="CN486" s="1366"/>
      <c r="CO486" s="1366"/>
      <c r="CP486" s="1366"/>
      <c r="CQ486" s="1366"/>
      <c r="CR486" s="1366"/>
      <c r="CS486" s="1366"/>
      <c r="CT486" s="1366"/>
      <c r="CU486" s="1366"/>
      <c r="CV486" s="1366"/>
      <c r="CW486" s="1366"/>
      <c r="CX486" s="1366"/>
      <c r="CY486" s="1366"/>
      <c r="CZ486" s="1366"/>
      <c r="DA486" s="1366"/>
      <c r="DB486" s="1366"/>
      <c r="DC486" s="1366"/>
      <c r="DD486" s="1366"/>
      <c r="DE486" s="1366"/>
      <c r="DF486" s="1366"/>
      <c r="DG486" s="1366"/>
      <c r="DH486" s="1366"/>
      <c r="DI486" s="1366"/>
      <c r="DJ486" s="1366"/>
      <c r="DK486" s="1366"/>
      <c r="DL486" s="1366"/>
      <c r="DM486" s="1366"/>
      <c r="DN486" s="1366"/>
      <c r="DO486" s="1366"/>
      <c r="DP486" s="1366"/>
      <c r="DQ486" s="1366"/>
      <c r="DR486" s="1366"/>
      <c r="DS486" s="1366"/>
      <c r="DT486" s="1366"/>
      <c r="DU486" s="1366"/>
      <c r="DV486" s="1366"/>
    </row>
    <row r="487" spans="1:126" s="1367" customFormat="1" ht="30">
      <c r="A487" s="2530"/>
      <c r="B487" s="1653">
        <v>219</v>
      </c>
      <c r="C487" s="1642" t="s">
        <v>49</v>
      </c>
      <c r="D487" s="1375" t="s">
        <v>2364</v>
      </c>
      <c r="E487" s="1364" t="s">
        <v>2097</v>
      </c>
      <c r="F487" s="1364" t="s">
        <v>2107</v>
      </c>
      <c r="G487" s="1185" t="s">
        <v>1907</v>
      </c>
      <c r="H487" s="1361">
        <f>(25*'Equipment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3.8535158137312848</v>
      </c>
      <c r="I487" s="1371">
        <f>'Labor Results Matrix'!$E$532</f>
        <v>7.9629999999999992E-2</v>
      </c>
      <c r="J487" s="1372">
        <f>'Labor Results Matrix'!$G$532*(1+'Labor Results Matrix'!$K$532)</f>
        <v>72.260416710552065</v>
      </c>
      <c r="K487" s="1372">
        <f t="shared" si="196"/>
        <v>5.7540969826612605</v>
      </c>
      <c r="L487" s="1372">
        <v>0</v>
      </c>
      <c r="M487" s="1372">
        <f t="shared" si="197"/>
        <v>9.6076127963925444</v>
      </c>
      <c r="N487" s="1458">
        <f t="shared" si="211"/>
        <v>2.3307892849026812</v>
      </c>
      <c r="O487" s="1429"/>
      <c r="P487" s="1430"/>
      <c r="Q487" s="1430"/>
      <c r="R487" s="1430"/>
      <c r="S487" s="1430"/>
      <c r="T487" s="1430"/>
      <c r="U487" s="1430"/>
      <c r="V487" s="1679"/>
      <c r="W487" s="1366"/>
      <c r="X487" s="1366"/>
      <c r="Y487" s="1366"/>
      <c r="Z487" s="1366"/>
      <c r="AA487" s="1366"/>
      <c r="AB487" s="1366"/>
      <c r="AC487" s="1366"/>
      <c r="AD487" s="1366"/>
      <c r="AE487" s="1366"/>
      <c r="AF487" s="1366"/>
      <c r="AG487" s="1366"/>
      <c r="AH487" s="1366"/>
      <c r="AI487" s="1366"/>
      <c r="AJ487" s="1366"/>
      <c r="AK487" s="1366"/>
      <c r="AL487" s="1366"/>
      <c r="AM487" s="1366"/>
      <c r="AN487" s="1366"/>
      <c r="AO487" s="1366"/>
      <c r="AP487" s="1366"/>
      <c r="AQ487" s="1366"/>
      <c r="AR487" s="1366"/>
      <c r="AS487" s="1366"/>
      <c r="AT487" s="1366"/>
      <c r="AU487" s="1366"/>
      <c r="AV487" s="1366"/>
      <c r="AW487" s="1366"/>
      <c r="AX487" s="1366"/>
      <c r="AY487" s="1366"/>
      <c r="AZ487" s="1366"/>
      <c r="BA487" s="1366"/>
      <c r="BB487" s="1366"/>
      <c r="BC487" s="1366"/>
      <c r="BD487" s="1366"/>
      <c r="BE487" s="1366"/>
      <c r="BF487" s="1366"/>
      <c r="BG487" s="1366"/>
      <c r="BH487" s="1366"/>
      <c r="BI487" s="1366"/>
      <c r="BJ487" s="1366"/>
      <c r="BK487" s="1366"/>
      <c r="BL487" s="1366"/>
      <c r="BM487" s="1366"/>
      <c r="BN487" s="1366"/>
      <c r="BO487" s="1366"/>
      <c r="BP487" s="1366"/>
      <c r="BQ487" s="1366"/>
      <c r="BR487" s="1366"/>
      <c r="BS487" s="1366"/>
      <c r="BT487" s="1366"/>
      <c r="BU487" s="1366"/>
      <c r="BV487" s="1366"/>
      <c r="BW487" s="1366"/>
      <c r="BX487" s="1366"/>
      <c r="BY487" s="1366"/>
      <c r="BZ487" s="1366"/>
      <c r="CA487" s="1366"/>
      <c r="CB487" s="1366"/>
      <c r="CC487" s="1366"/>
      <c r="CD487" s="1366"/>
      <c r="CE487" s="1366"/>
      <c r="CF487" s="1366"/>
      <c r="CG487" s="1366"/>
      <c r="CH487" s="1366"/>
      <c r="CI487" s="1366"/>
      <c r="CJ487" s="1366"/>
      <c r="CK487" s="1366"/>
      <c r="CL487" s="1366"/>
      <c r="CM487" s="1366"/>
      <c r="CN487" s="1366"/>
      <c r="CO487" s="1366"/>
      <c r="CP487" s="1366"/>
      <c r="CQ487" s="1366"/>
      <c r="CR487" s="1366"/>
      <c r="CS487" s="1366"/>
      <c r="CT487" s="1366"/>
      <c r="CU487" s="1366"/>
      <c r="CV487" s="1366"/>
      <c r="CW487" s="1366"/>
      <c r="CX487" s="1366"/>
      <c r="CY487" s="1366"/>
      <c r="CZ487" s="1366"/>
      <c r="DA487" s="1366"/>
      <c r="DB487" s="1366"/>
      <c r="DC487" s="1366"/>
      <c r="DD487" s="1366"/>
      <c r="DE487" s="1366"/>
      <c r="DF487" s="1366"/>
      <c r="DG487" s="1366"/>
      <c r="DH487" s="1366"/>
      <c r="DI487" s="1366"/>
      <c r="DJ487" s="1366"/>
      <c r="DK487" s="1366"/>
      <c r="DL487" s="1366"/>
      <c r="DM487" s="1366"/>
      <c r="DN487" s="1366"/>
      <c r="DO487" s="1366"/>
      <c r="DP487" s="1366"/>
      <c r="DQ487" s="1366"/>
      <c r="DR487" s="1366"/>
      <c r="DS487" s="1366"/>
      <c r="DT487" s="1366"/>
      <c r="DU487" s="1366"/>
      <c r="DV487" s="1366"/>
    </row>
    <row r="488" spans="1:126" s="1367" customFormat="1" ht="30">
      <c r="A488" s="2530"/>
      <c r="B488" s="1653">
        <v>220</v>
      </c>
      <c r="C488" s="1642" t="s">
        <v>49</v>
      </c>
      <c r="D488" s="1375" t="s">
        <v>2365</v>
      </c>
      <c r="E488" s="1364" t="s">
        <v>2097</v>
      </c>
      <c r="F488" s="1364" t="s">
        <v>2107</v>
      </c>
      <c r="G488" s="1185" t="s">
        <v>1907</v>
      </c>
      <c r="H488" s="1361">
        <f>(26*('Equipment Results Matrix'!$R$1047+'Equipment Results Matrix'!$R$1048))+'Equipment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6.3510158137312853</v>
      </c>
      <c r="I488" s="1371">
        <f>'Labor Results Matrix'!$E$532</f>
        <v>7.9629999999999992E-2</v>
      </c>
      <c r="J488" s="1372">
        <f>'Labor Results Matrix'!$G$532*(1+'Labor Results Matrix'!$K$532)</f>
        <v>72.260416710552065</v>
      </c>
      <c r="K488" s="1372">
        <f t="shared" si="196"/>
        <v>5.7540969826612605</v>
      </c>
      <c r="L488" s="1372">
        <v>0</v>
      </c>
      <c r="M488" s="1372">
        <f t="shared" si="197"/>
        <v>12.105112796392547</v>
      </c>
      <c r="N488" s="1458">
        <f t="shared" si="211"/>
        <v>4.8282892849026835</v>
      </c>
      <c r="O488" s="1429"/>
      <c r="P488" s="1430"/>
      <c r="Q488" s="1430"/>
      <c r="R488" s="1430"/>
      <c r="S488" s="1430"/>
      <c r="T488" s="1430"/>
      <c r="U488" s="1430"/>
      <c r="V488" s="1679"/>
      <c r="W488" s="1366"/>
      <c r="X488" s="1366"/>
      <c r="Y488" s="1366"/>
      <c r="Z488" s="1366"/>
      <c r="AA488" s="1366"/>
      <c r="AB488" s="1366"/>
      <c r="AC488" s="1366"/>
      <c r="AD488" s="1366"/>
      <c r="AE488" s="1366"/>
      <c r="AF488" s="1366"/>
      <c r="AG488" s="1366"/>
      <c r="AH488" s="1366"/>
      <c r="AI488" s="1366"/>
      <c r="AJ488" s="1366"/>
      <c r="AK488" s="1366"/>
      <c r="AL488" s="1366"/>
      <c r="AM488" s="1366"/>
      <c r="AN488" s="1366"/>
      <c r="AO488" s="1366"/>
      <c r="AP488" s="1366"/>
      <c r="AQ488" s="1366"/>
      <c r="AR488" s="1366"/>
      <c r="AS488" s="1366"/>
      <c r="AT488" s="1366"/>
      <c r="AU488" s="1366"/>
      <c r="AV488" s="1366"/>
      <c r="AW488" s="1366"/>
      <c r="AX488" s="1366"/>
      <c r="AY488" s="1366"/>
      <c r="AZ488" s="1366"/>
      <c r="BA488" s="1366"/>
      <c r="BB488" s="1366"/>
      <c r="BC488" s="1366"/>
      <c r="BD488" s="1366"/>
      <c r="BE488" s="1366"/>
      <c r="BF488" s="1366"/>
      <c r="BG488" s="1366"/>
      <c r="BH488" s="1366"/>
      <c r="BI488" s="1366"/>
      <c r="BJ488" s="1366"/>
      <c r="BK488" s="1366"/>
      <c r="BL488" s="1366"/>
      <c r="BM488" s="1366"/>
      <c r="BN488" s="1366"/>
      <c r="BO488" s="1366"/>
      <c r="BP488" s="1366"/>
      <c r="BQ488" s="1366"/>
      <c r="BR488" s="1366"/>
      <c r="BS488" s="1366"/>
      <c r="BT488" s="1366"/>
      <c r="BU488" s="1366"/>
      <c r="BV488" s="1366"/>
      <c r="BW488" s="1366"/>
      <c r="BX488" s="1366"/>
      <c r="BY488" s="1366"/>
      <c r="BZ488" s="1366"/>
      <c r="CA488" s="1366"/>
      <c r="CB488" s="1366"/>
      <c r="CC488" s="1366"/>
      <c r="CD488" s="1366"/>
      <c r="CE488" s="1366"/>
      <c r="CF488" s="1366"/>
      <c r="CG488" s="1366"/>
      <c r="CH488" s="1366"/>
      <c r="CI488" s="1366"/>
      <c r="CJ488" s="1366"/>
      <c r="CK488" s="1366"/>
      <c r="CL488" s="1366"/>
      <c r="CM488" s="1366"/>
      <c r="CN488" s="1366"/>
      <c r="CO488" s="1366"/>
      <c r="CP488" s="1366"/>
      <c r="CQ488" s="1366"/>
      <c r="CR488" s="1366"/>
      <c r="CS488" s="1366"/>
      <c r="CT488" s="1366"/>
      <c r="CU488" s="1366"/>
      <c r="CV488" s="1366"/>
      <c r="CW488" s="1366"/>
      <c r="CX488" s="1366"/>
      <c r="CY488" s="1366"/>
      <c r="CZ488" s="1366"/>
      <c r="DA488" s="1366"/>
      <c r="DB488" s="1366"/>
      <c r="DC488" s="1366"/>
      <c r="DD488" s="1366"/>
      <c r="DE488" s="1366"/>
      <c r="DF488" s="1366"/>
      <c r="DG488" s="1366"/>
      <c r="DH488" s="1366"/>
      <c r="DI488" s="1366"/>
      <c r="DJ488" s="1366"/>
      <c r="DK488" s="1366"/>
      <c r="DL488" s="1366"/>
      <c r="DM488" s="1366"/>
      <c r="DN488" s="1366"/>
      <c r="DO488" s="1366"/>
      <c r="DP488" s="1366"/>
      <c r="DQ488" s="1366"/>
      <c r="DR488" s="1366"/>
      <c r="DS488" s="1366"/>
      <c r="DT488" s="1366"/>
      <c r="DU488" s="1366"/>
      <c r="DV488" s="1366"/>
    </row>
    <row r="489" spans="1:126" s="1367" customFormat="1" ht="30">
      <c r="A489" s="2530"/>
      <c r="B489" s="1653">
        <v>221</v>
      </c>
      <c r="C489" s="1642" t="s">
        <v>49</v>
      </c>
      <c r="D489" s="1375" t="s">
        <v>2366</v>
      </c>
      <c r="E489" s="1364" t="s">
        <v>2097</v>
      </c>
      <c r="F489" s="1364" t="s">
        <v>2107</v>
      </c>
      <c r="G489" s="1185" t="s">
        <v>1907</v>
      </c>
      <c r="H489" s="1361">
        <f>(27*('Equipment Results Matrix'!$R$1047+'Equipment Results Matrix'!$R$1048))+'Equipment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6.5110158137312855</v>
      </c>
      <c r="I489" s="1371">
        <f>'Labor Results Matrix'!$E$532</f>
        <v>7.9629999999999992E-2</v>
      </c>
      <c r="J489" s="1372">
        <f>'Labor Results Matrix'!$G$532*(1+'Labor Results Matrix'!$K$532)</f>
        <v>72.260416710552065</v>
      </c>
      <c r="K489" s="1372">
        <f t="shared" si="196"/>
        <v>5.7540969826612605</v>
      </c>
      <c r="L489" s="1372">
        <v>0</v>
      </c>
      <c r="M489" s="1372">
        <f t="shared" si="197"/>
        <v>12.265112796392547</v>
      </c>
      <c r="N489" s="1458">
        <f t="shared" si="211"/>
        <v>4.9882892849026836</v>
      </c>
      <c r="O489" s="1429"/>
      <c r="P489" s="1430"/>
      <c r="Q489" s="1430"/>
      <c r="R489" s="1430"/>
      <c r="S489" s="1430"/>
      <c r="T489" s="1430"/>
      <c r="U489" s="1430"/>
      <c r="V489" s="1679"/>
      <c r="W489" s="1366"/>
      <c r="X489" s="1366"/>
      <c r="Y489" s="1366"/>
      <c r="Z489" s="1366"/>
      <c r="AA489" s="1366"/>
      <c r="AB489" s="1366"/>
      <c r="AC489" s="1366"/>
      <c r="AD489" s="1366"/>
      <c r="AE489" s="1366"/>
      <c r="AF489" s="1366"/>
      <c r="AG489" s="1366"/>
      <c r="AH489" s="1366"/>
      <c r="AI489" s="1366"/>
      <c r="AJ489" s="1366"/>
      <c r="AK489" s="1366"/>
      <c r="AL489" s="1366"/>
      <c r="AM489" s="1366"/>
      <c r="AN489" s="1366"/>
      <c r="AO489" s="1366"/>
      <c r="AP489" s="1366"/>
      <c r="AQ489" s="1366"/>
      <c r="AR489" s="1366"/>
      <c r="AS489" s="1366"/>
      <c r="AT489" s="1366"/>
      <c r="AU489" s="1366"/>
      <c r="AV489" s="1366"/>
      <c r="AW489" s="1366"/>
      <c r="AX489" s="1366"/>
      <c r="AY489" s="1366"/>
      <c r="AZ489" s="1366"/>
      <c r="BA489" s="1366"/>
      <c r="BB489" s="1366"/>
      <c r="BC489" s="1366"/>
      <c r="BD489" s="1366"/>
      <c r="BE489" s="1366"/>
      <c r="BF489" s="1366"/>
      <c r="BG489" s="1366"/>
      <c r="BH489" s="1366"/>
      <c r="BI489" s="1366"/>
      <c r="BJ489" s="1366"/>
      <c r="BK489" s="1366"/>
      <c r="BL489" s="1366"/>
      <c r="BM489" s="1366"/>
      <c r="BN489" s="1366"/>
      <c r="BO489" s="1366"/>
      <c r="BP489" s="1366"/>
      <c r="BQ489" s="1366"/>
      <c r="BR489" s="1366"/>
      <c r="BS489" s="1366"/>
      <c r="BT489" s="1366"/>
      <c r="BU489" s="1366"/>
      <c r="BV489" s="1366"/>
      <c r="BW489" s="1366"/>
      <c r="BX489" s="1366"/>
      <c r="BY489" s="1366"/>
      <c r="BZ489" s="1366"/>
      <c r="CA489" s="1366"/>
      <c r="CB489" s="1366"/>
      <c r="CC489" s="1366"/>
      <c r="CD489" s="1366"/>
      <c r="CE489" s="1366"/>
      <c r="CF489" s="1366"/>
      <c r="CG489" s="1366"/>
      <c r="CH489" s="1366"/>
      <c r="CI489" s="1366"/>
      <c r="CJ489" s="1366"/>
      <c r="CK489" s="1366"/>
      <c r="CL489" s="1366"/>
      <c r="CM489" s="1366"/>
      <c r="CN489" s="1366"/>
      <c r="CO489" s="1366"/>
      <c r="CP489" s="1366"/>
      <c r="CQ489" s="1366"/>
      <c r="CR489" s="1366"/>
      <c r="CS489" s="1366"/>
      <c r="CT489" s="1366"/>
      <c r="CU489" s="1366"/>
      <c r="CV489" s="1366"/>
      <c r="CW489" s="1366"/>
      <c r="CX489" s="1366"/>
      <c r="CY489" s="1366"/>
      <c r="CZ489" s="1366"/>
      <c r="DA489" s="1366"/>
      <c r="DB489" s="1366"/>
      <c r="DC489" s="1366"/>
      <c r="DD489" s="1366"/>
      <c r="DE489" s="1366"/>
      <c r="DF489" s="1366"/>
      <c r="DG489" s="1366"/>
      <c r="DH489" s="1366"/>
      <c r="DI489" s="1366"/>
      <c r="DJ489" s="1366"/>
      <c r="DK489" s="1366"/>
      <c r="DL489" s="1366"/>
      <c r="DM489" s="1366"/>
      <c r="DN489" s="1366"/>
      <c r="DO489" s="1366"/>
      <c r="DP489" s="1366"/>
      <c r="DQ489" s="1366"/>
      <c r="DR489" s="1366"/>
      <c r="DS489" s="1366"/>
      <c r="DT489" s="1366"/>
      <c r="DU489" s="1366"/>
      <c r="DV489" s="1366"/>
    </row>
    <row r="490" spans="1:126" s="1367" customFormat="1" ht="30">
      <c r="A490" s="2530"/>
      <c r="B490" s="1653">
        <v>222</v>
      </c>
      <c r="C490" s="1642" t="s">
        <v>49</v>
      </c>
      <c r="D490" s="1375" t="s">
        <v>2367</v>
      </c>
      <c r="E490" s="1364" t="s">
        <v>2097</v>
      </c>
      <c r="F490" s="1364" t="s">
        <v>2107</v>
      </c>
      <c r="G490" s="1185" t="s">
        <v>1907</v>
      </c>
      <c r="H490" s="1361">
        <f>(28*('Equipment Results Matrix'!$R$1047+'Equipment Results Matrix'!$R$1048))+'Equipment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6.6710158137312856</v>
      </c>
      <c r="I490" s="1371">
        <f>'Labor Results Matrix'!$E$532</f>
        <v>7.9629999999999992E-2</v>
      </c>
      <c r="J490" s="1372">
        <f>'Labor Results Matrix'!$G$532*(1+'Labor Results Matrix'!$K$532)</f>
        <v>72.260416710552065</v>
      </c>
      <c r="K490" s="1372">
        <f t="shared" si="196"/>
        <v>5.7540969826612605</v>
      </c>
      <c r="L490" s="1372">
        <v>0</v>
      </c>
      <c r="M490" s="1372">
        <f t="shared" si="197"/>
        <v>12.425112796392547</v>
      </c>
      <c r="N490" s="1458">
        <f t="shared" si="211"/>
        <v>5.1482892849026838</v>
      </c>
      <c r="O490" s="1429"/>
      <c r="P490" s="1430"/>
      <c r="Q490" s="1430"/>
      <c r="R490" s="1430"/>
      <c r="S490" s="1430"/>
      <c r="T490" s="1430"/>
      <c r="U490" s="1430"/>
      <c r="V490" s="1679"/>
      <c r="W490" s="1366"/>
      <c r="X490" s="1366"/>
      <c r="Y490" s="1366"/>
      <c r="Z490" s="1366"/>
      <c r="AA490" s="1366"/>
      <c r="AB490" s="1366"/>
      <c r="AC490" s="1366"/>
      <c r="AD490" s="1366"/>
      <c r="AE490" s="1366"/>
      <c r="AF490" s="1366"/>
      <c r="AG490" s="1366"/>
      <c r="AH490" s="1366"/>
      <c r="AI490" s="1366"/>
      <c r="AJ490" s="1366"/>
      <c r="AK490" s="1366"/>
      <c r="AL490" s="1366"/>
      <c r="AM490" s="1366"/>
      <c r="AN490" s="1366"/>
      <c r="AO490" s="1366"/>
      <c r="AP490" s="1366"/>
      <c r="AQ490" s="1366"/>
      <c r="AR490" s="1366"/>
      <c r="AS490" s="1366"/>
      <c r="AT490" s="1366"/>
      <c r="AU490" s="1366"/>
      <c r="AV490" s="1366"/>
      <c r="AW490" s="1366"/>
      <c r="AX490" s="1366"/>
      <c r="AY490" s="1366"/>
      <c r="AZ490" s="1366"/>
      <c r="BA490" s="1366"/>
      <c r="BB490" s="1366"/>
      <c r="BC490" s="1366"/>
      <c r="BD490" s="1366"/>
      <c r="BE490" s="1366"/>
      <c r="BF490" s="1366"/>
      <c r="BG490" s="1366"/>
      <c r="BH490" s="1366"/>
      <c r="BI490" s="1366"/>
      <c r="BJ490" s="1366"/>
      <c r="BK490" s="1366"/>
      <c r="BL490" s="1366"/>
      <c r="BM490" s="1366"/>
      <c r="BN490" s="1366"/>
      <c r="BO490" s="1366"/>
      <c r="BP490" s="1366"/>
      <c r="BQ490" s="1366"/>
      <c r="BR490" s="1366"/>
      <c r="BS490" s="1366"/>
      <c r="BT490" s="1366"/>
      <c r="BU490" s="1366"/>
      <c r="BV490" s="1366"/>
      <c r="BW490" s="1366"/>
      <c r="BX490" s="1366"/>
      <c r="BY490" s="1366"/>
      <c r="BZ490" s="1366"/>
      <c r="CA490" s="1366"/>
      <c r="CB490" s="1366"/>
      <c r="CC490" s="1366"/>
      <c r="CD490" s="1366"/>
      <c r="CE490" s="1366"/>
      <c r="CF490" s="1366"/>
      <c r="CG490" s="1366"/>
      <c r="CH490" s="1366"/>
      <c r="CI490" s="1366"/>
      <c r="CJ490" s="1366"/>
      <c r="CK490" s="1366"/>
      <c r="CL490" s="1366"/>
      <c r="CM490" s="1366"/>
      <c r="CN490" s="1366"/>
      <c r="CO490" s="1366"/>
      <c r="CP490" s="1366"/>
      <c r="CQ490" s="1366"/>
      <c r="CR490" s="1366"/>
      <c r="CS490" s="1366"/>
      <c r="CT490" s="1366"/>
      <c r="CU490" s="1366"/>
      <c r="CV490" s="1366"/>
      <c r="CW490" s="1366"/>
      <c r="CX490" s="1366"/>
      <c r="CY490" s="1366"/>
      <c r="CZ490" s="1366"/>
      <c r="DA490" s="1366"/>
      <c r="DB490" s="1366"/>
      <c r="DC490" s="1366"/>
      <c r="DD490" s="1366"/>
      <c r="DE490" s="1366"/>
      <c r="DF490" s="1366"/>
      <c r="DG490" s="1366"/>
      <c r="DH490" s="1366"/>
      <c r="DI490" s="1366"/>
      <c r="DJ490" s="1366"/>
      <c r="DK490" s="1366"/>
      <c r="DL490" s="1366"/>
      <c r="DM490" s="1366"/>
      <c r="DN490" s="1366"/>
      <c r="DO490" s="1366"/>
      <c r="DP490" s="1366"/>
      <c r="DQ490" s="1366"/>
      <c r="DR490" s="1366"/>
      <c r="DS490" s="1366"/>
      <c r="DT490" s="1366"/>
      <c r="DU490" s="1366"/>
      <c r="DV490" s="1366"/>
    </row>
    <row r="491" spans="1:126" s="1367" customFormat="1" ht="30">
      <c r="A491" s="2530"/>
      <c r="B491" s="1653">
        <v>223</v>
      </c>
      <c r="C491" s="1642" t="s">
        <v>49</v>
      </c>
      <c r="D491" s="1375" t="s">
        <v>2368</v>
      </c>
      <c r="E491" s="1364" t="s">
        <v>2097</v>
      </c>
      <c r="F491" s="1364" t="s">
        <v>2107</v>
      </c>
      <c r="G491" s="1185" t="s">
        <v>1907</v>
      </c>
      <c r="H491" s="1361">
        <f>(29*('Equipment Results Matrix'!$R$1047+'Equipment Results Matrix'!$R$1048))+'Equipment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6.831015813731284</v>
      </c>
      <c r="I491" s="1371">
        <f>'Labor Results Matrix'!$E$532</f>
        <v>7.9629999999999992E-2</v>
      </c>
      <c r="J491" s="1372">
        <f>'Labor Results Matrix'!$G$532*(1+'Labor Results Matrix'!$K$532)</f>
        <v>72.260416710552065</v>
      </c>
      <c r="K491" s="1372">
        <f t="shared" si="196"/>
        <v>5.7540969826612605</v>
      </c>
      <c r="L491" s="1372">
        <v>0</v>
      </c>
      <c r="M491" s="1372">
        <f t="shared" si="197"/>
        <v>12.585112796392544</v>
      </c>
      <c r="N491" s="1458">
        <f t="shared" si="211"/>
        <v>5.3082892849026804</v>
      </c>
      <c r="O491" s="1429"/>
      <c r="P491" s="1430"/>
      <c r="Q491" s="1430"/>
      <c r="R491" s="1430"/>
      <c r="S491" s="1430"/>
      <c r="T491" s="1430"/>
      <c r="U491" s="1430"/>
      <c r="V491" s="1679"/>
      <c r="W491" s="1366"/>
      <c r="X491" s="1366"/>
      <c r="Y491" s="1366"/>
      <c r="Z491" s="1366"/>
      <c r="AA491" s="1366"/>
      <c r="AB491" s="1366"/>
      <c r="AC491" s="1366"/>
      <c r="AD491" s="1366"/>
      <c r="AE491" s="1366"/>
      <c r="AF491" s="1366"/>
      <c r="AG491" s="1366"/>
      <c r="AH491" s="1366"/>
      <c r="AI491" s="1366"/>
      <c r="AJ491" s="1366"/>
      <c r="AK491" s="1366"/>
      <c r="AL491" s="1366"/>
      <c r="AM491" s="1366"/>
      <c r="AN491" s="1366"/>
      <c r="AO491" s="1366"/>
      <c r="AP491" s="1366"/>
      <c r="AQ491" s="1366"/>
      <c r="AR491" s="1366"/>
      <c r="AS491" s="1366"/>
      <c r="AT491" s="1366"/>
      <c r="AU491" s="1366"/>
      <c r="AV491" s="1366"/>
      <c r="AW491" s="1366"/>
      <c r="AX491" s="1366"/>
      <c r="AY491" s="1366"/>
      <c r="AZ491" s="1366"/>
      <c r="BA491" s="1366"/>
      <c r="BB491" s="1366"/>
      <c r="BC491" s="1366"/>
      <c r="BD491" s="1366"/>
      <c r="BE491" s="1366"/>
      <c r="BF491" s="1366"/>
      <c r="BG491" s="1366"/>
      <c r="BH491" s="1366"/>
      <c r="BI491" s="1366"/>
      <c r="BJ491" s="1366"/>
      <c r="BK491" s="1366"/>
      <c r="BL491" s="1366"/>
      <c r="BM491" s="1366"/>
      <c r="BN491" s="1366"/>
      <c r="BO491" s="1366"/>
      <c r="BP491" s="1366"/>
      <c r="BQ491" s="1366"/>
      <c r="BR491" s="1366"/>
      <c r="BS491" s="1366"/>
      <c r="BT491" s="1366"/>
      <c r="BU491" s="1366"/>
      <c r="BV491" s="1366"/>
      <c r="BW491" s="1366"/>
      <c r="BX491" s="1366"/>
      <c r="BY491" s="1366"/>
      <c r="BZ491" s="1366"/>
      <c r="CA491" s="1366"/>
      <c r="CB491" s="1366"/>
      <c r="CC491" s="1366"/>
      <c r="CD491" s="1366"/>
      <c r="CE491" s="1366"/>
      <c r="CF491" s="1366"/>
      <c r="CG491" s="1366"/>
      <c r="CH491" s="1366"/>
      <c r="CI491" s="1366"/>
      <c r="CJ491" s="1366"/>
      <c r="CK491" s="1366"/>
      <c r="CL491" s="1366"/>
      <c r="CM491" s="1366"/>
      <c r="CN491" s="1366"/>
      <c r="CO491" s="1366"/>
      <c r="CP491" s="1366"/>
      <c r="CQ491" s="1366"/>
      <c r="CR491" s="1366"/>
      <c r="CS491" s="1366"/>
      <c r="CT491" s="1366"/>
      <c r="CU491" s="1366"/>
      <c r="CV491" s="1366"/>
      <c r="CW491" s="1366"/>
      <c r="CX491" s="1366"/>
      <c r="CY491" s="1366"/>
      <c r="CZ491" s="1366"/>
      <c r="DA491" s="1366"/>
      <c r="DB491" s="1366"/>
      <c r="DC491" s="1366"/>
      <c r="DD491" s="1366"/>
      <c r="DE491" s="1366"/>
      <c r="DF491" s="1366"/>
      <c r="DG491" s="1366"/>
      <c r="DH491" s="1366"/>
      <c r="DI491" s="1366"/>
      <c r="DJ491" s="1366"/>
      <c r="DK491" s="1366"/>
      <c r="DL491" s="1366"/>
      <c r="DM491" s="1366"/>
      <c r="DN491" s="1366"/>
      <c r="DO491" s="1366"/>
      <c r="DP491" s="1366"/>
      <c r="DQ491" s="1366"/>
      <c r="DR491" s="1366"/>
      <c r="DS491" s="1366"/>
      <c r="DT491" s="1366"/>
      <c r="DU491" s="1366"/>
      <c r="DV491" s="1366"/>
    </row>
    <row r="492" spans="1:126" s="1367" customFormat="1" ht="30">
      <c r="A492" s="2530"/>
      <c r="B492" s="1653">
        <v>224</v>
      </c>
      <c r="C492" s="1642" t="s">
        <v>49</v>
      </c>
      <c r="D492" s="1375" t="s">
        <v>2369</v>
      </c>
      <c r="E492" s="1364" t="s">
        <v>2097</v>
      </c>
      <c r="F492" s="1364" t="s">
        <v>2107</v>
      </c>
      <c r="G492" s="1185" t="s">
        <v>1907</v>
      </c>
      <c r="H492" s="1361">
        <f>(30*('Equipment Results Matrix'!$R$1047+'Equipment Results Matrix'!$R$1048))+'Equipment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6.9910158137312841</v>
      </c>
      <c r="I492" s="1371">
        <f>'Labor Results Matrix'!$E$532</f>
        <v>7.9629999999999992E-2</v>
      </c>
      <c r="J492" s="1372">
        <f>'Labor Results Matrix'!$G$532*(1+'Labor Results Matrix'!$K$532)</f>
        <v>72.260416710552065</v>
      </c>
      <c r="K492" s="1372">
        <f t="shared" si="196"/>
        <v>5.7540969826612605</v>
      </c>
      <c r="L492" s="1372">
        <v>0</v>
      </c>
      <c r="M492" s="1372">
        <f t="shared" si="197"/>
        <v>12.745112796392544</v>
      </c>
      <c r="N492" s="1458">
        <f t="shared" si="211"/>
        <v>5.4682892849026805</v>
      </c>
      <c r="O492" s="1429"/>
      <c r="P492" s="1430"/>
      <c r="Q492" s="1430"/>
      <c r="R492" s="1430"/>
      <c r="S492" s="1430"/>
      <c r="T492" s="1430"/>
      <c r="U492" s="1430"/>
      <c r="V492" s="1679"/>
      <c r="W492" s="1366"/>
      <c r="X492" s="1366"/>
      <c r="Y492" s="1366"/>
      <c r="Z492" s="1366"/>
      <c r="AA492" s="1366"/>
      <c r="AB492" s="1366"/>
      <c r="AC492" s="1366"/>
      <c r="AD492" s="1366"/>
      <c r="AE492" s="1366"/>
      <c r="AF492" s="1366"/>
      <c r="AG492" s="1366"/>
      <c r="AH492" s="1366"/>
      <c r="AI492" s="1366"/>
      <c r="AJ492" s="1366"/>
      <c r="AK492" s="1366"/>
      <c r="AL492" s="1366"/>
      <c r="AM492" s="1366"/>
      <c r="AN492" s="1366"/>
      <c r="AO492" s="1366"/>
      <c r="AP492" s="1366"/>
      <c r="AQ492" s="1366"/>
      <c r="AR492" s="1366"/>
      <c r="AS492" s="1366"/>
      <c r="AT492" s="1366"/>
      <c r="AU492" s="1366"/>
      <c r="AV492" s="1366"/>
      <c r="AW492" s="1366"/>
      <c r="AX492" s="1366"/>
      <c r="AY492" s="1366"/>
      <c r="AZ492" s="1366"/>
      <c r="BA492" s="1366"/>
      <c r="BB492" s="1366"/>
      <c r="BC492" s="1366"/>
      <c r="BD492" s="1366"/>
      <c r="BE492" s="1366"/>
      <c r="BF492" s="1366"/>
      <c r="BG492" s="1366"/>
      <c r="BH492" s="1366"/>
      <c r="BI492" s="1366"/>
      <c r="BJ492" s="1366"/>
      <c r="BK492" s="1366"/>
      <c r="BL492" s="1366"/>
      <c r="BM492" s="1366"/>
      <c r="BN492" s="1366"/>
      <c r="BO492" s="1366"/>
      <c r="BP492" s="1366"/>
      <c r="BQ492" s="1366"/>
      <c r="BR492" s="1366"/>
      <c r="BS492" s="1366"/>
      <c r="BT492" s="1366"/>
      <c r="BU492" s="1366"/>
      <c r="BV492" s="1366"/>
      <c r="BW492" s="1366"/>
      <c r="BX492" s="1366"/>
      <c r="BY492" s="1366"/>
      <c r="BZ492" s="1366"/>
      <c r="CA492" s="1366"/>
      <c r="CB492" s="1366"/>
      <c r="CC492" s="1366"/>
      <c r="CD492" s="1366"/>
      <c r="CE492" s="1366"/>
      <c r="CF492" s="1366"/>
      <c r="CG492" s="1366"/>
      <c r="CH492" s="1366"/>
      <c r="CI492" s="1366"/>
      <c r="CJ492" s="1366"/>
      <c r="CK492" s="1366"/>
      <c r="CL492" s="1366"/>
      <c r="CM492" s="1366"/>
      <c r="CN492" s="1366"/>
      <c r="CO492" s="1366"/>
      <c r="CP492" s="1366"/>
      <c r="CQ492" s="1366"/>
      <c r="CR492" s="1366"/>
      <c r="CS492" s="1366"/>
      <c r="CT492" s="1366"/>
      <c r="CU492" s="1366"/>
      <c r="CV492" s="1366"/>
      <c r="CW492" s="1366"/>
      <c r="CX492" s="1366"/>
      <c r="CY492" s="1366"/>
      <c r="CZ492" s="1366"/>
      <c r="DA492" s="1366"/>
      <c r="DB492" s="1366"/>
      <c r="DC492" s="1366"/>
      <c r="DD492" s="1366"/>
      <c r="DE492" s="1366"/>
      <c r="DF492" s="1366"/>
      <c r="DG492" s="1366"/>
      <c r="DH492" s="1366"/>
      <c r="DI492" s="1366"/>
      <c r="DJ492" s="1366"/>
      <c r="DK492" s="1366"/>
      <c r="DL492" s="1366"/>
      <c r="DM492" s="1366"/>
      <c r="DN492" s="1366"/>
      <c r="DO492" s="1366"/>
      <c r="DP492" s="1366"/>
      <c r="DQ492" s="1366"/>
      <c r="DR492" s="1366"/>
      <c r="DS492" s="1366"/>
      <c r="DT492" s="1366"/>
      <c r="DU492" s="1366"/>
      <c r="DV492" s="1366"/>
    </row>
    <row r="493" spans="1:126" s="1367" customFormat="1" ht="30">
      <c r="A493" s="2530"/>
      <c r="B493" s="1653">
        <v>2210</v>
      </c>
      <c r="C493" s="1642" t="s">
        <v>49</v>
      </c>
      <c r="D493" s="1375" t="s">
        <v>2614</v>
      </c>
      <c r="E493" s="1364" t="s">
        <v>2097</v>
      </c>
      <c r="F493" s="1365" t="s">
        <v>2108</v>
      </c>
      <c r="G493" s="506" t="s">
        <v>1907</v>
      </c>
      <c r="H493" s="1361">
        <f>(23*'Equipment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3.7205158137312848</v>
      </c>
      <c r="I493" s="1371">
        <f>'Labor Results Matrix'!$E$532</f>
        <v>7.9629999999999992E-2</v>
      </c>
      <c r="J493" s="1372">
        <f>'Labor Results Matrix'!$G$532*(1+'Labor Results Matrix'!$K$532)</f>
        <v>72.260416710552065</v>
      </c>
      <c r="K493" s="1372">
        <f t="shared" ref="K493:K500" si="212">I493*J493</f>
        <v>5.7540969826612605</v>
      </c>
      <c r="L493" s="1372">
        <v>0</v>
      </c>
      <c r="M493" s="1372">
        <f t="shared" ref="M493:M500" si="213">H493+K493</f>
        <v>9.4746127963925453</v>
      </c>
      <c r="N493" s="1458">
        <f t="shared" ref="N493:N500" si="214">M493-$M$484</f>
        <v>2.1977892849026821</v>
      </c>
      <c r="O493" s="1429"/>
      <c r="P493" s="1430"/>
      <c r="Q493" s="1430"/>
      <c r="R493" s="1430"/>
      <c r="S493" s="1430"/>
      <c r="T493" s="1430"/>
      <c r="U493" s="1430"/>
      <c r="V493" s="1679"/>
      <c r="W493" s="1366"/>
      <c r="X493" s="1366"/>
      <c r="Y493" s="1366"/>
      <c r="Z493" s="1366"/>
      <c r="AA493" s="1366"/>
      <c r="AB493" s="1366"/>
      <c r="AC493" s="1366"/>
      <c r="AD493" s="1366"/>
      <c r="AE493" s="1366"/>
      <c r="AF493" s="1366"/>
      <c r="AG493" s="1366"/>
      <c r="AH493" s="1366"/>
      <c r="AI493" s="1366"/>
      <c r="AJ493" s="1366"/>
      <c r="AK493" s="1366"/>
      <c r="AL493" s="1366"/>
      <c r="AM493" s="1366"/>
      <c r="AN493" s="1366"/>
      <c r="AO493" s="1366"/>
      <c r="AP493" s="1366"/>
      <c r="AQ493" s="1366"/>
      <c r="AR493" s="1366"/>
      <c r="AS493" s="1366"/>
      <c r="AT493" s="1366"/>
      <c r="AU493" s="1366"/>
      <c r="AV493" s="1366"/>
      <c r="AW493" s="1366"/>
      <c r="AX493" s="1366"/>
      <c r="AY493" s="1366"/>
      <c r="AZ493" s="1366"/>
      <c r="BA493" s="1366"/>
      <c r="BB493" s="1366"/>
      <c r="BC493" s="1366"/>
      <c r="BD493" s="1366"/>
      <c r="BE493" s="1366"/>
      <c r="BF493" s="1366"/>
      <c r="BG493" s="1366"/>
      <c r="BH493" s="1366"/>
      <c r="BI493" s="1366"/>
      <c r="BJ493" s="1366"/>
      <c r="BK493" s="1366"/>
      <c r="BL493" s="1366"/>
      <c r="BM493" s="1366"/>
      <c r="BN493" s="1366"/>
      <c r="BO493" s="1366"/>
      <c r="BP493" s="1366"/>
      <c r="BQ493" s="1366"/>
      <c r="BR493" s="1366"/>
      <c r="BS493" s="1366"/>
      <c r="BT493" s="1366"/>
      <c r="BU493" s="1366"/>
      <c r="BV493" s="1366"/>
      <c r="BW493" s="1366"/>
      <c r="BX493" s="1366"/>
      <c r="BY493" s="1366"/>
      <c r="BZ493" s="1366"/>
      <c r="CA493" s="1366"/>
      <c r="CB493" s="1366"/>
      <c r="CC493" s="1366"/>
      <c r="CD493" s="1366"/>
      <c r="CE493" s="1366"/>
      <c r="CF493" s="1366"/>
      <c r="CG493" s="1366"/>
      <c r="CH493" s="1366"/>
      <c r="CI493" s="1366"/>
      <c r="CJ493" s="1366"/>
      <c r="CK493" s="1366"/>
      <c r="CL493" s="1366"/>
      <c r="CM493" s="1366"/>
      <c r="CN493" s="1366"/>
      <c r="CO493" s="1366"/>
      <c r="CP493" s="1366"/>
      <c r="CQ493" s="1366"/>
      <c r="CR493" s="1366"/>
      <c r="CS493" s="1366"/>
      <c r="CT493" s="1366"/>
      <c r="CU493" s="1366"/>
      <c r="CV493" s="1366"/>
      <c r="CW493" s="1366"/>
      <c r="CX493" s="1366"/>
      <c r="CY493" s="1366"/>
      <c r="CZ493" s="1366"/>
      <c r="DA493" s="1366"/>
      <c r="DB493" s="1366"/>
      <c r="DC493" s="1366"/>
      <c r="DD493" s="1366"/>
      <c r="DE493" s="1366"/>
      <c r="DF493" s="1366"/>
      <c r="DG493" s="1366"/>
      <c r="DH493" s="1366"/>
      <c r="DI493" s="1366"/>
      <c r="DJ493" s="1366"/>
      <c r="DK493" s="1366"/>
      <c r="DL493" s="1366"/>
      <c r="DM493" s="1366"/>
      <c r="DN493" s="1366"/>
      <c r="DO493" s="1366"/>
      <c r="DP493" s="1366"/>
      <c r="DQ493" s="1366"/>
      <c r="DR493" s="1366"/>
      <c r="DS493" s="1366"/>
      <c r="DT493" s="1366"/>
      <c r="DU493" s="1366"/>
      <c r="DV493" s="1366"/>
    </row>
    <row r="494" spans="1:126" s="1367" customFormat="1" ht="30">
      <c r="A494" s="2530"/>
      <c r="B494" s="1653">
        <v>2211</v>
      </c>
      <c r="C494" s="1642" t="s">
        <v>49</v>
      </c>
      <c r="D494" s="1375" t="s">
        <v>2615</v>
      </c>
      <c r="E494" s="1364" t="s">
        <v>2097</v>
      </c>
      <c r="F494" s="1365" t="s">
        <v>2108</v>
      </c>
      <c r="G494" s="506" t="s">
        <v>1907</v>
      </c>
      <c r="H494" s="1361">
        <f>(24*'Equipment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3.7870158137312848</v>
      </c>
      <c r="I494" s="1371">
        <f>'Labor Results Matrix'!$E$532</f>
        <v>7.9629999999999992E-2</v>
      </c>
      <c r="J494" s="1372">
        <f>'Labor Results Matrix'!$G$532*(1+'Labor Results Matrix'!$K$532)</f>
        <v>72.260416710552065</v>
      </c>
      <c r="K494" s="1372">
        <f t="shared" si="212"/>
        <v>5.7540969826612605</v>
      </c>
      <c r="L494" s="1372">
        <v>0</v>
      </c>
      <c r="M494" s="1372">
        <f t="shared" si="213"/>
        <v>9.5411127963925448</v>
      </c>
      <c r="N494" s="1458">
        <f t="shared" si="214"/>
        <v>2.2642892849026817</v>
      </c>
      <c r="O494" s="1429"/>
      <c r="P494" s="1430"/>
      <c r="Q494" s="1430"/>
      <c r="R494" s="1430"/>
      <c r="S494" s="1430"/>
      <c r="T494" s="1430"/>
      <c r="U494" s="1430"/>
      <c r="V494" s="1679"/>
      <c r="W494" s="1366"/>
      <c r="X494" s="1366"/>
      <c r="Y494" s="1366"/>
      <c r="Z494" s="1366"/>
      <c r="AA494" s="1366"/>
      <c r="AB494" s="1366"/>
      <c r="AC494" s="1366"/>
      <c r="AD494" s="1366"/>
      <c r="AE494" s="1366"/>
      <c r="AF494" s="1366"/>
      <c r="AG494" s="1366"/>
      <c r="AH494" s="1366"/>
      <c r="AI494" s="1366"/>
      <c r="AJ494" s="1366"/>
      <c r="AK494" s="1366"/>
      <c r="AL494" s="1366"/>
      <c r="AM494" s="1366"/>
      <c r="AN494" s="1366"/>
      <c r="AO494" s="1366"/>
      <c r="AP494" s="1366"/>
      <c r="AQ494" s="1366"/>
      <c r="AR494" s="1366"/>
      <c r="AS494" s="1366"/>
      <c r="AT494" s="1366"/>
      <c r="AU494" s="1366"/>
      <c r="AV494" s="1366"/>
      <c r="AW494" s="1366"/>
      <c r="AX494" s="1366"/>
      <c r="AY494" s="1366"/>
      <c r="AZ494" s="1366"/>
      <c r="BA494" s="1366"/>
      <c r="BB494" s="1366"/>
      <c r="BC494" s="1366"/>
      <c r="BD494" s="1366"/>
      <c r="BE494" s="1366"/>
      <c r="BF494" s="1366"/>
      <c r="BG494" s="1366"/>
      <c r="BH494" s="1366"/>
      <c r="BI494" s="1366"/>
      <c r="BJ494" s="1366"/>
      <c r="BK494" s="1366"/>
      <c r="BL494" s="1366"/>
      <c r="BM494" s="1366"/>
      <c r="BN494" s="1366"/>
      <c r="BO494" s="1366"/>
      <c r="BP494" s="1366"/>
      <c r="BQ494" s="1366"/>
      <c r="BR494" s="1366"/>
      <c r="BS494" s="1366"/>
      <c r="BT494" s="1366"/>
      <c r="BU494" s="1366"/>
      <c r="BV494" s="1366"/>
      <c r="BW494" s="1366"/>
      <c r="BX494" s="1366"/>
      <c r="BY494" s="1366"/>
      <c r="BZ494" s="1366"/>
      <c r="CA494" s="1366"/>
      <c r="CB494" s="1366"/>
      <c r="CC494" s="1366"/>
      <c r="CD494" s="1366"/>
      <c r="CE494" s="1366"/>
      <c r="CF494" s="1366"/>
      <c r="CG494" s="1366"/>
      <c r="CH494" s="1366"/>
      <c r="CI494" s="1366"/>
      <c r="CJ494" s="1366"/>
      <c r="CK494" s="1366"/>
      <c r="CL494" s="1366"/>
      <c r="CM494" s="1366"/>
      <c r="CN494" s="1366"/>
      <c r="CO494" s="1366"/>
      <c r="CP494" s="1366"/>
      <c r="CQ494" s="1366"/>
      <c r="CR494" s="1366"/>
      <c r="CS494" s="1366"/>
      <c r="CT494" s="1366"/>
      <c r="CU494" s="1366"/>
      <c r="CV494" s="1366"/>
      <c r="CW494" s="1366"/>
      <c r="CX494" s="1366"/>
      <c r="CY494" s="1366"/>
      <c r="CZ494" s="1366"/>
      <c r="DA494" s="1366"/>
      <c r="DB494" s="1366"/>
      <c r="DC494" s="1366"/>
      <c r="DD494" s="1366"/>
      <c r="DE494" s="1366"/>
      <c r="DF494" s="1366"/>
      <c r="DG494" s="1366"/>
      <c r="DH494" s="1366"/>
      <c r="DI494" s="1366"/>
      <c r="DJ494" s="1366"/>
      <c r="DK494" s="1366"/>
      <c r="DL494" s="1366"/>
      <c r="DM494" s="1366"/>
      <c r="DN494" s="1366"/>
      <c r="DO494" s="1366"/>
      <c r="DP494" s="1366"/>
      <c r="DQ494" s="1366"/>
      <c r="DR494" s="1366"/>
      <c r="DS494" s="1366"/>
      <c r="DT494" s="1366"/>
      <c r="DU494" s="1366"/>
      <c r="DV494" s="1366"/>
    </row>
    <row r="495" spans="1:126" s="1367" customFormat="1" ht="30">
      <c r="A495" s="2530"/>
      <c r="B495" s="1653">
        <v>2212</v>
      </c>
      <c r="C495" s="1642" t="s">
        <v>49</v>
      </c>
      <c r="D495" s="1375" t="s">
        <v>2616</v>
      </c>
      <c r="E495" s="1364" t="s">
        <v>2097</v>
      </c>
      <c r="F495" s="1365" t="s">
        <v>2108</v>
      </c>
      <c r="G495" s="506" t="s">
        <v>1907</v>
      </c>
      <c r="H495" s="1361">
        <f>(25*'Equipment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3.8535158137312848</v>
      </c>
      <c r="I495" s="1371">
        <f>'Labor Results Matrix'!$E$532</f>
        <v>7.9629999999999992E-2</v>
      </c>
      <c r="J495" s="1372">
        <f>'Labor Results Matrix'!$G$532*(1+'Labor Results Matrix'!$K$532)</f>
        <v>72.260416710552065</v>
      </c>
      <c r="K495" s="1372">
        <f t="shared" si="212"/>
        <v>5.7540969826612605</v>
      </c>
      <c r="L495" s="1372">
        <v>0</v>
      </c>
      <c r="M495" s="1372">
        <f t="shared" si="213"/>
        <v>9.6076127963925444</v>
      </c>
      <c r="N495" s="1458">
        <f t="shared" si="214"/>
        <v>2.3307892849026812</v>
      </c>
      <c r="O495" s="1429"/>
      <c r="P495" s="1430"/>
      <c r="Q495" s="1430"/>
      <c r="R495" s="1430"/>
      <c r="S495" s="1430"/>
      <c r="T495" s="1430"/>
      <c r="U495" s="1430"/>
      <c r="V495" s="1679"/>
      <c r="W495" s="1366"/>
      <c r="X495" s="1366"/>
      <c r="Y495" s="1366"/>
      <c r="Z495" s="1366"/>
      <c r="AA495" s="1366"/>
      <c r="AB495" s="1366"/>
      <c r="AC495" s="1366"/>
      <c r="AD495" s="1366"/>
      <c r="AE495" s="1366"/>
      <c r="AF495" s="1366"/>
      <c r="AG495" s="1366"/>
      <c r="AH495" s="1366"/>
      <c r="AI495" s="1366"/>
      <c r="AJ495" s="1366"/>
      <c r="AK495" s="1366"/>
      <c r="AL495" s="1366"/>
      <c r="AM495" s="1366"/>
      <c r="AN495" s="1366"/>
      <c r="AO495" s="1366"/>
      <c r="AP495" s="1366"/>
      <c r="AQ495" s="1366"/>
      <c r="AR495" s="1366"/>
      <c r="AS495" s="1366"/>
      <c r="AT495" s="1366"/>
      <c r="AU495" s="1366"/>
      <c r="AV495" s="1366"/>
      <c r="AW495" s="1366"/>
      <c r="AX495" s="1366"/>
      <c r="AY495" s="1366"/>
      <c r="AZ495" s="1366"/>
      <c r="BA495" s="1366"/>
      <c r="BB495" s="1366"/>
      <c r="BC495" s="1366"/>
      <c r="BD495" s="1366"/>
      <c r="BE495" s="1366"/>
      <c r="BF495" s="1366"/>
      <c r="BG495" s="1366"/>
      <c r="BH495" s="1366"/>
      <c r="BI495" s="1366"/>
      <c r="BJ495" s="1366"/>
      <c r="BK495" s="1366"/>
      <c r="BL495" s="1366"/>
      <c r="BM495" s="1366"/>
      <c r="BN495" s="1366"/>
      <c r="BO495" s="1366"/>
      <c r="BP495" s="1366"/>
      <c r="BQ495" s="1366"/>
      <c r="BR495" s="1366"/>
      <c r="BS495" s="1366"/>
      <c r="BT495" s="1366"/>
      <c r="BU495" s="1366"/>
      <c r="BV495" s="1366"/>
      <c r="BW495" s="1366"/>
      <c r="BX495" s="1366"/>
      <c r="BY495" s="1366"/>
      <c r="BZ495" s="1366"/>
      <c r="CA495" s="1366"/>
      <c r="CB495" s="1366"/>
      <c r="CC495" s="1366"/>
      <c r="CD495" s="1366"/>
      <c r="CE495" s="1366"/>
      <c r="CF495" s="1366"/>
      <c r="CG495" s="1366"/>
      <c r="CH495" s="1366"/>
      <c r="CI495" s="1366"/>
      <c r="CJ495" s="1366"/>
      <c r="CK495" s="1366"/>
      <c r="CL495" s="1366"/>
      <c r="CM495" s="1366"/>
      <c r="CN495" s="1366"/>
      <c r="CO495" s="1366"/>
      <c r="CP495" s="1366"/>
      <c r="CQ495" s="1366"/>
      <c r="CR495" s="1366"/>
      <c r="CS495" s="1366"/>
      <c r="CT495" s="1366"/>
      <c r="CU495" s="1366"/>
      <c r="CV495" s="1366"/>
      <c r="CW495" s="1366"/>
      <c r="CX495" s="1366"/>
      <c r="CY495" s="1366"/>
      <c r="CZ495" s="1366"/>
      <c r="DA495" s="1366"/>
      <c r="DB495" s="1366"/>
      <c r="DC495" s="1366"/>
      <c r="DD495" s="1366"/>
      <c r="DE495" s="1366"/>
      <c r="DF495" s="1366"/>
      <c r="DG495" s="1366"/>
      <c r="DH495" s="1366"/>
      <c r="DI495" s="1366"/>
      <c r="DJ495" s="1366"/>
      <c r="DK495" s="1366"/>
      <c r="DL495" s="1366"/>
      <c r="DM495" s="1366"/>
      <c r="DN495" s="1366"/>
      <c r="DO495" s="1366"/>
      <c r="DP495" s="1366"/>
      <c r="DQ495" s="1366"/>
      <c r="DR495" s="1366"/>
      <c r="DS495" s="1366"/>
      <c r="DT495" s="1366"/>
      <c r="DU495" s="1366"/>
      <c r="DV495" s="1366"/>
    </row>
    <row r="496" spans="1:126" s="1367" customFormat="1" ht="30">
      <c r="A496" s="2530"/>
      <c r="B496" s="1653">
        <v>2213</v>
      </c>
      <c r="C496" s="1642" t="s">
        <v>49</v>
      </c>
      <c r="D496" s="1375" t="s">
        <v>2617</v>
      </c>
      <c r="E496" s="1364" t="s">
        <v>2097</v>
      </c>
      <c r="F496" s="1365" t="s">
        <v>2108</v>
      </c>
      <c r="G496" s="506" t="s">
        <v>1907</v>
      </c>
      <c r="H496" s="1361">
        <f>(26*('Equipment Results Matrix'!$R$1047+'Equipment Results Matrix'!$R$1048))+'Equipment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6.3510158137312853</v>
      </c>
      <c r="I496" s="1371">
        <f>'Labor Results Matrix'!$E$532</f>
        <v>7.9629999999999992E-2</v>
      </c>
      <c r="J496" s="1372">
        <f>'Labor Results Matrix'!$G$532*(1+'Labor Results Matrix'!$K$532)</f>
        <v>72.260416710552065</v>
      </c>
      <c r="K496" s="1372">
        <f t="shared" si="212"/>
        <v>5.7540969826612605</v>
      </c>
      <c r="L496" s="1372">
        <v>0</v>
      </c>
      <c r="M496" s="1372">
        <f t="shared" si="213"/>
        <v>12.105112796392547</v>
      </c>
      <c r="N496" s="1458">
        <f t="shared" si="214"/>
        <v>4.8282892849026835</v>
      </c>
      <c r="O496" s="1429"/>
      <c r="P496" s="1430"/>
      <c r="Q496" s="1430"/>
      <c r="R496" s="1430"/>
      <c r="S496" s="1430"/>
      <c r="T496" s="1430"/>
      <c r="U496" s="1430"/>
      <c r="V496" s="1679"/>
      <c r="W496" s="1366"/>
      <c r="X496" s="1366"/>
      <c r="Y496" s="1366"/>
      <c r="Z496" s="1366"/>
      <c r="AA496" s="1366"/>
      <c r="AB496" s="1366"/>
      <c r="AC496" s="1366"/>
      <c r="AD496" s="1366"/>
      <c r="AE496" s="1366"/>
      <c r="AF496" s="1366"/>
      <c r="AG496" s="1366"/>
      <c r="AH496" s="1366"/>
      <c r="AI496" s="1366"/>
      <c r="AJ496" s="1366"/>
      <c r="AK496" s="1366"/>
      <c r="AL496" s="1366"/>
      <c r="AM496" s="1366"/>
      <c r="AN496" s="1366"/>
      <c r="AO496" s="1366"/>
      <c r="AP496" s="1366"/>
      <c r="AQ496" s="1366"/>
      <c r="AR496" s="1366"/>
      <c r="AS496" s="1366"/>
      <c r="AT496" s="1366"/>
      <c r="AU496" s="1366"/>
      <c r="AV496" s="1366"/>
      <c r="AW496" s="1366"/>
      <c r="AX496" s="1366"/>
      <c r="AY496" s="1366"/>
      <c r="AZ496" s="1366"/>
      <c r="BA496" s="1366"/>
      <c r="BB496" s="1366"/>
      <c r="BC496" s="1366"/>
      <c r="BD496" s="1366"/>
      <c r="BE496" s="1366"/>
      <c r="BF496" s="1366"/>
      <c r="BG496" s="1366"/>
      <c r="BH496" s="1366"/>
      <c r="BI496" s="1366"/>
      <c r="BJ496" s="1366"/>
      <c r="BK496" s="1366"/>
      <c r="BL496" s="1366"/>
      <c r="BM496" s="1366"/>
      <c r="BN496" s="1366"/>
      <c r="BO496" s="1366"/>
      <c r="BP496" s="1366"/>
      <c r="BQ496" s="1366"/>
      <c r="BR496" s="1366"/>
      <c r="BS496" s="1366"/>
      <c r="BT496" s="1366"/>
      <c r="BU496" s="1366"/>
      <c r="BV496" s="1366"/>
      <c r="BW496" s="1366"/>
      <c r="BX496" s="1366"/>
      <c r="BY496" s="1366"/>
      <c r="BZ496" s="1366"/>
      <c r="CA496" s="1366"/>
      <c r="CB496" s="1366"/>
      <c r="CC496" s="1366"/>
      <c r="CD496" s="1366"/>
      <c r="CE496" s="1366"/>
      <c r="CF496" s="1366"/>
      <c r="CG496" s="1366"/>
      <c r="CH496" s="1366"/>
      <c r="CI496" s="1366"/>
      <c r="CJ496" s="1366"/>
      <c r="CK496" s="1366"/>
      <c r="CL496" s="1366"/>
      <c r="CM496" s="1366"/>
      <c r="CN496" s="1366"/>
      <c r="CO496" s="1366"/>
      <c r="CP496" s="1366"/>
      <c r="CQ496" s="1366"/>
      <c r="CR496" s="1366"/>
      <c r="CS496" s="1366"/>
      <c r="CT496" s="1366"/>
      <c r="CU496" s="1366"/>
      <c r="CV496" s="1366"/>
      <c r="CW496" s="1366"/>
      <c r="CX496" s="1366"/>
      <c r="CY496" s="1366"/>
      <c r="CZ496" s="1366"/>
      <c r="DA496" s="1366"/>
      <c r="DB496" s="1366"/>
      <c r="DC496" s="1366"/>
      <c r="DD496" s="1366"/>
      <c r="DE496" s="1366"/>
      <c r="DF496" s="1366"/>
      <c r="DG496" s="1366"/>
      <c r="DH496" s="1366"/>
      <c r="DI496" s="1366"/>
      <c r="DJ496" s="1366"/>
      <c r="DK496" s="1366"/>
      <c r="DL496" s="1366"/>
      <c r="DM496" s="1366"/>
      <c r="DN496" s="1366"/>
      <c r="DO496" s="1366"/>
      <c r="DP496" s="1366"/>
      <c r="DQ496" s="1366"/>
      <c r="DR496" s="1366"/>
      <c r="DS496" s="1366"/>
      <c r="DT496" s="1366"/>
      <c r="DU496" s="1366"/>
      <c r="DV496" s="1366"/>
    </row>
    <row r="497" spans="1:126" s="1367" customFormat="1" ht="30">
      <c r="A497" s="2530"/>
      <c r="B497" s="1653">
        <v>2214</v>
      </c>
      <c r="C497" s="1642" t="s">
        <v>49</v>
      </c>
      <c r="D497" s="1375" t="s">
        <v>2618</v>
      </c>
      <c r="E497" s="1364" t="s">
        <v>2097</v>
      </c>
      <c r="F497" s="1365" t="s">
        <v>2108</v>
      </c>
      <c r="G497" s="506" t="s">
        <v>1907</v>
      </c>
      <c r="H497" s="1361">
        <f>(27*('Equipment Results Matrix'!$R$1047+'Equipment Results Matrix'!$R$1048))+'Equipment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6.5110158137312855</v>
      </c>
      <c r="I497" s="1371">
        <f>'Labor Results Matrix'!$E$532</f>
        <v>7.9629999999999992E-2</v>
      </c>
      <c r="J497" s="1372">
        <f>'Labor Results Matrix'!$G$532*(1+'Labor Results Matrix'!$K$532)</f>
        <v>72.260416710552065</v>
      </c>
      <c r="K497" s="1372">
        <f t="shared" si="212"/>
        <v>5.7540969826612605</v>
      </c>
      <c r="L497" s="1372">
        <v>0</v>
      </c>
      <c r="M497" s="1372">
        <f t="shared" si="213"/>
        <v>12.265112796392547</v>
      </c>
      <c r="N497" s="1458">
        <f t="shared" si="214"/>
        <v>4.9882892849026836</v>
      </c>
      <c r="O497" s="1429"/>
      <c r="P497" s="1430"/>
      <c r="Q497" s="1430"/>
      <c r="R497" s="1430"/>
      <c r="S497" s="1430"/>
      <c r="T497" s="1430"/>
      <c r="U497" s="1430"/>
      <c r="V497" s="1679"/>
      <c r="W497" s="1366"/>
      <c r="X497" s="1366"/>
      <c r="Y497" s="1366"/>
      <c r="Z497" s="1366"/>
      <c r="AA497" s="1366"/>
      <c r="AB497" s="1366"/>
      <c r="AC497" s="1366"/>
      <c r="AD497" s="1366"/>
      <c r="AE497" s="1366"/>
      <c r="AF497" s="1366"/>
      <c r="AG497" s="1366"/>
      <c r="AH497" s="1366"/>
      <c r="AI497" s="1366"/>
      <c r="AJ497" s="1366"/>
      <c r="AK497" s="1366"/>
      <c r="AL497" s="1366"/>
      <c r="AM497" s="1366"/>
      <c r="AN497" s="1366"/>
      <c r="AO497" s="1366"/>
      <c r="AP497" s="1366"/>
      <c r="AQ497" s="1366"/>
      <c r="AR497" s="1366"/>
      <c r="AS497" s="1366"/>
      <c r="AT497" s="1366"/>
      <c r="AU497" s="1366"/>
      <c r="AV497" s="1366"/>
      <c r="AW497" s="1366"/>
      <c r="AX497" s="1366"/>
      <c r="AY497" s="1366"/>
      <c r="AZ497" s="1366"/>
      <c r="BA497" s="1366"/>
      <c r="BB497" s="1366"/>
      <c r="BC497" s="1366"/>
      <c r="BD497" s="1366"/>
      <c r="BE497" s="1366"/>
      <c r="BF497" s="1366"/>
      <c r="BG497" s="1366"/>
      <c r="BH497" s="1366"/>
      <c r="BI497" s="1366"/>
      <c r="BJ497" s="1366"/>
      <c r="BK497" s="1366"/>
      <c r="BL497" s="1366"/>
      <c r="BM497" s="1366"/>
      <c r="BN497" s="1366"/>
      <c r="BO497" s="1366"/>
      <c r="BP497" s="1366"/>
      <c r="BQ497" s="1366"/>
      <c r="BR497" s="1366"/>
      <c r="BS497" s="1366"/>
      <c r="BT497" s="1366"/>
      <c r="BU497" s="1366"/>
      <c r="BV497" s="1366"/>
      <c r="BW497" s="1366"/>
      <c r="BX497" s="1366"/>
      <c r="BY497" s="1366"/>
      <c r="BZ497" s="1366"/>
      <c r="CA497" s="1366"/>
      <c r="CB497" s="1366"/>
      <c r="CC497" s="1366"/>
      <c r="CD497" s="1366"/>
      <c r="CE497" s="1366"/>
      <c r="CF497" s="1366"/>
      <c r="CG497" s="1366"/>
      <c r="CH497" s="1366"/>
      <c r="CI497" s="1366"/>
      <c r="CJ497" s="1366"/>
      <c r="CK497" s="1366"/>
      <c r="CL497" s="1366"/>
      <c r="CM497" s="1366"/>
      <c r="CN497" s="1366"/>
      <c r="CO497" s="1366"/>
      <c r="CP497" s="1366"/>
      <c r="CQ497" s="1366"/>
      <c r="CR497" s="1366"/>
      <c r="CS497" s="1366"/>
      <c r="CT497" s="1366"/>
      <c r="CU497" s="1366"/>
      <c r="CV497" s="1366"/>
      <c r="CW497" s="1366"/>
      <c r="CX497" s="1366"/>
      <c r="CY497" s="1366"/>
      <c r="CZ497" s="1366"/>
      <c r="DA497" s="1366"/>
      <c r="DB497" s="1366"/>
      <c r="DC497" s="1366"/>
      <c r="DD497" s="1366"/>
      <c r="DE497" s="1366"/>
      <c r="DF497" s="1366"/>
      <c r="DG497" s="1366"/>
      <c r="DH497" s="1366"/>
      <c r="DI497" s="1366"/>
      <c r="DJ497" s="1366"/>
      <c r="DK497" s="1366"/>
      <c r="DL497" s="1366"/>
      <c r="DM497" s="1366"/>
      <c r="DN497" s="1366"/>
      <c r="DO497" s="1366"/>
      <c r="DP497" s="1366"/>
      <c r="DQ497" s="1366"/>
      <c r="DR497" s="1366"/>
      <c r="DS497" s="1366"/>
      <c r="DT497" s="1366"/>
      <c r="DU497" s="1366"/>
      <c r="DV497" s="1366"/>
    </row>
    <row r="498" spans="1:126" s="1367" customFormat="1" ht="30">
      <c r="A498" s="2530"/>
      <c r="B498" s="1653">
        <v>2215</v>
      </c>
      <c r="C498" s="1642" t="s">
        <v>49</v>
      </c>
      <c r="D498" s="1375" t="s">
        <v>2619</v>
      </c>
      <c r="E498" s="1364" t="s">
        <v>2097</v>
      </c>
      <c r="F498" s="1365" t="s">
        <v>2108</v>
      </c>
      <c r="G498" s="506" t="s">
        <v>1907</v>
      </c>
      <c r="H498" s="1361">
        <f>(28*('Equipment Results Matrix'!$R$1047+'Equipment Results Matrix'!$R$1048))+'Equipment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6.6710158137312856</v>
      </c>
      <c r="I498" s="1371">
        <f>'Labor Results Matrix'!$E$532</f>
        <v>7.9629999999999992E-2</v>
      </c>
      <c r="J498" s="1372">
        <f>'Labor Results Matrix'!$G$532*(1+'Labor Results Matrix'!$K$532)</f>
        <v>72.260416710552065</v>
      </c>
      <c r="K498" s="1372">
        <f t="shared" si="212"/>
        <v>5.7540969826612605</v>
      </c>
      <c r="L498" s="1372">
        <v>0</v>
      </c>
      <c r="M498" s="1372">
        <f t="shared" si="213"/>
        <v>12.425112796392547</v>
      </c>
      <c r="N498" s="1458">
        <f t="shared" si="214"/>
        <v>5.1482892849026838</v>
      </c>
      <c r="O498" s="1429"/>
      <c r="P498" s="1430"/>
      <c r="Q498" s="1430"/>
      <c r="R498" s="1430"/>
      <c r="S498" s="1430"/>
      <c r="T498" s="1430"/>
      <c r="U498" s="1430"/>
      <c r="V498" s="1679"/>
      <c r="W498" s="1366"/>
      <c r="X498" s="1366"/>
      <c r="Y498" s="1366"/>
      <c r="Z498" s="1366"/>
      <c r="AA498" s="1366"/>
      <c r="AB498" s="1366"/>
      <c r="AC498" s="1366"/>
      <c r="AD498" s="1366"/>
      <c r="AE498" s="1366"/>
      <c r="AF498" s="1366"/>
      <c r="AG498" s="1366"/>
      <c r="AH498" s="1366"/>
      <c r="AI498" s="1366"/>
      <c r="AJ498" s="1366"/>
      <c r="AK498" s="1366"/>
      <c r="AL498" s="1366"/>
      <c r="AM498" s="1366"/>
      <c r="AN498" s="1366"/>
      <c r="AO498" s="1366"/>
      <c r="AP498" s="1366"/>
      <c r="AQ498" s="1366"/>
      <c r="AR498" s="1366"/>
      <c r="AS498" s="1366"/>
      <c r="AT498" s="1366"/>
      <c r="AU498" s="1366"/>
      <c r="AV498" s="1366"/>
      <c r="AW498" s="1366"/>
      <c r="AX498" s="1366"/>
      <c r="AY498" s="1366"/>
      <c r="AZ498" s="1366"/>
      <c r="BA498" s="1366"/>
      <c r="BB498" s="1366"/>
      <c r="BC498" s="1366"/>
      <c r="BD498" s="1366"/>
      <c r="BE498" s="1366"/>
      <c r="BF498" s="1366"/>
      <c r="BG498" s="1366"/>
      <c r="BH498" s="1366"/>
      <c r="BI498" s="1366"/>
      <c r="BJ498" s="1366"/>
      <c r="BK498" s="1366"/>
      <c r="BL498" s="1366"/>
      <c r="BM498" s="1366"/>
      <c r="BN498" s="1366"/>
      <c r="BO498" s="1366"/>
      <c r="BP498" s="1366"/>
      <c r="BQ498" s="1366"/>
      <c r="BR498" s="1366"/>
      <c r="BS498" s="1366"/>
      <c r="BT498" s="1366"/>
      <c r="BU498" s="1366"/>
      <c r="BV498" s="1366"/>
      <c r="BW498" s="1366"/>
      <c r="BX498" s="1366"/>
      <c r="BY498" s="1366"/>
      <c r="BZ498" s="1366"/>
      <c r="CA498" s="1366"/>
      <c r="CB498" s="1366"/>
      <c r="CC498" s="1366"/>
      <c r="CD498" s="1366"/>
      <c r="CE498" s="1366"/>
      <c r="CF498" s="1366"/>
      <c r="CG498" s="1366"/>
      <c r="CH498" s="1366"/>
      <c r="CI498" s="1366"/>
      <c r="CJ498" s="1366"/>
      <c r="CK498" s="1366"/>
      <c r="CL498" s="1366"/>
      <c r="CM498" s="1366"/>
      <c r="CN498" s="1366"/>
      <c r="CO498" s="1366"/>
      <c r="CP498" s="1366"/>
      <c r="CQ498" s="1366"/>
      <c r="CR498" s="1366"/>
      <c r="CS498" s="1366"/>
      <c r="CT498" s="1366"/>
      <c r="CU498" s="1366"/>
      <c r="CV498" s="1366"/>
      <c r="CW498" s="1366"/>
      <c r="CX498" s="1366"/>
      <c r="CY498" s="1366"/>
      <c r="CZ498" s="1366"/>
      <c r="DA498" s="1366"/>
      <c r="DB498" s="1366"/>
      <c r="DC498" s="1366"/>
      <c r="DD498" s="1366"/>
      <c r="DE498" s="1366"/>
      <c r="DF498" s="1366"/>
      <c r="DG498" s="1366"/>
      <c r="DH498" s="1366"/>
      <c r="DI498" s="1366"/>
      <c r="DJ498" s="1366"/>
      <c r="DK498" s="1366"/>
      <c r="DL498" s="1366"/>
      <c r="DM498" s="1366"/>
      <c r="DN498" s="1366"/>
      <c r="DO498" s="1366"/>
      <c r="DP498" s="1366"/>
      <c r="DQ498" s="1366"/>
      <c r="DR498" s="1366"/>
      <c r="DS498" s="1366"/>
      <c r="DT498" s="1366"/>
      <c r="DU498" s="1366"/>
      <c r="DV498" s="1366"/>
    </row>
    <row r="499" spans="1:126" s="1367" customFormat="1" ht="30">
      <c r="A499" s="2530"/>
      <c r="B499" s="1653">
        <v>2216</v>
      </c>
      <c r="C499" s="1642" t="s">
        <v>49</v>
      </c>
      <c r="D499" s="1375" t="s">
        <v>2620</v>
      </c>
      <c r="E499" s="1364" t="s">
        <v>2097</v>
      </c>
      <c r="F499" s="1365" t="s">
        <v>2108</v>
      </c>
      <c r="G499" s="506" t="s">
        <v>1907</v>
      </c>
      <c r="H499" s="1361">
        <f>(29*('Equipment Results Matrix'!$R$1047+'Equipment Results Matrix'!$R$1048))+'Equipment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6.831015813731284</v>
      </c>
      <c r="I499" s="1371">
        <f>'Labor Results Matrix'!$E$532</f>
        <v>7.9629999999999992E-2</v>
      </c>
      <c r="J499" s="1372">
        <f>'Labor Results Matrix'!$G$532*(1+'Labor Results Matrix'!$K$532)</f>
        <v>72.260416710552065</v>
      </c>
      <c r="K499" s="1372">
        <f t="shared" si="212"/>
        <v>5.7540969826612605</v>
      </c>
      <c r="L499" s="1372">
        <v>0</v>
      </c>
      <c r="M499" s="1372">
        <f t="shared" si="213"/>
        <v>12.585112796392544</v>
      </c>
      <c r="N499" s="1458">
        <f t="shared" si="214"/>
        <v>5.3082892849026804</v>
      </c>
      <c r="O499" s="1429"/>
      <c r="P499" s="1430"/>
      <c r="Q499" s="1430"/>
      <c r="R499" s="1430"/>
      <c r="S499" s="1430"/>
      <c r="T499" s="1430"/>
      <c r="U499" s="1430"/>
      <c r="V499" s="1679"/>
      <c r="W499" s="1366"/>
      <c r="X499" s="1366"/>
      <c r="Y499" s="1366"/>
      <c r="Z499" s="1366"/>
      <c r="AA499" s="1366"/>
      <c r="AB499" s="1366"/>
      <c r="AC499" s="1366"/>
      <c r="AD499" s="1366"/>
      <c r="AE499" s="1366"/>
      <c r="AF499" s="1366"/>
      <c r="AG499" s="1366"/>
      <c r="AH499" s="1366"/>
      <c r="AI499" s="1366"/>
      <c r="AJ499" s="1366"/>
      <c r="AK499" s="1366"/>
      <c r="AL499" s="1366"/>
      <c r="AM499" s="1366"/>
      <c r="AN499" s="1366"/>
      <c r="AO499" s="1366"/>
      <c r="AP499" s="1366"/>
      <c r="AQ499" s="1366"/>
      <c r="AR499" s="1366"/>
      <c r="AS499" s="1366"/>
      <c r="AT499" s="1366"/>
      <c r="AU499" s="1366"/>
      <c r="AV499" s="1366"/>
      <c r="AW499" s="1366"/>
      <c r="AX499" s="1366"/>
      <c r="AY499" s="1366"/>
      <c r="AZ499" s="1366"/>
      <c r="BA499" s="1366"/>
      <c r="BB499" s="1366"/>
      <c r="BC499" s="1366"/>
      <c r="BD499" s="1366"/>
      <c r="BE499" s="1366"/>
      <c r="BF499" s="1366"/>
      <c r="BG499" s="1366"/>
      <c r="BH499" s="1366"/>
      <c r="BI499" s="1366"/>
      <c r="BJ499" s="1366"/>
      <c r="BK499" s="1366"/>
      <c r="BL499" s="1366"/>
      <c r="BM499" s="1366"/>
      <c r="BN499" s="1366"/>
      <c r="BO499" s="1366"/>
      <c r="BP499" s="1366"/>
      <c r="BQ499" s="1366"/>
      <c r="BR499" s="1366"/>
      <c r="BS499" s="1366"/>
      <c r="BT499" s="1366"/>
      <c r="BU499" s="1366"/>
      <c r="BV499" s="1366"/>
      <c r="BW499" s="1366"/>
      <c r="BX499" s="1366"/>
      <c r="BY499" s="1366"/>
      <c r="BZ499" s="1366"/>
      <c r="CA499" s="1366"/>
      <c r="CB499" s="1366"/>
      <c r="CC499" s="1366"/>
      <c r="CD499" s="1366"/>
      <c r="CE499" s="1366"/>
      <c r="CF499" s="1366"/>
      <c r="CG499" s="1366"/>
      <c r="CH499" s="1366"/>
      <c r="CI499" s="1366"/>
      <c r="CJ499" s="1366"/>
      <c r="CK499" s="1366"/>
      <c r="CL499" s="1366"/>
      <c r="CM499" s="1366"/>
      <c r="CN499" s="1366"/>
      <c r="CO499" s="1366"/>
      <c r="CP499" s="1366"/>
      <c r="CQ499" s="1366"/>
      <c r="CR499" s="1366"/>
      <c r="CS499" s="1366"/>
      <c r="CT499" s="1366"/>
      <c r="CU499" s="1366"/>
      <c r="CV499" s="1366"/>
      <c r="CW499" s="1366"/>
      <c r="CX499" s="1366"/>
      <c r="CY499" s="1366"/>
      <c r="CZ499" s="1366"/>
      <c r="DA499" s="1366"/>
      <c r="DB499" s="1366"/>
      <c r="DC499" s="1366"/>
      <c r="DD499" s="1366"/>
      <c r="DE499" s="1366"/>
      <c r="DF499" s="1366"/>
      <c r="DG499" s="1366"/>
      <c r="DH499" s="1366"/>
      <c r="DI499" s="1366"/>
      <c r="DJ499" s="1366"/>
      <c r="DK499" s="1366"/>
      <c r="DL499" s="1366"/>
      <c r="DM499" s="1366"/>
      <c r="DN499" s="1366"/>
      <c r="DO499" s="1366"/>
      <c r="DP499" s="1366"/>
      <c r="DQ499" s="1366"/>
      <c r="DR499" s="1366"/>
      <c r="DS499" s="1366"/>
      <c r="DT499" s="1366"/>
      <c r="DU499" s="1366"/>
      <c r="DV499" s="1366"/>
    </row>
    <row r="500" spans="1:126" s="1367" customFormat="1" ht="30">
      <c r="A500" s="2530"/>
      <c r="B500" s="1653">
        <v>2217</v>
      </c>
      <c r="C500" s="1642" t="s">
        <v>49</v>
      </c>
      <c r="D500" s="1375" t="s">
        <v>2621</v>
      </c>
      <c r="E500" s="1364" t="s">
        <v>2097</v>
      </c>
      <c r="F500" s="1365" t="s">
        <v>2108</v>
      </c>
      <c r="G500" s="506" t="s">
        <v>1907</v>
      </c>
      <c r="H500" s="1361">
        <f>(30*('Equipment Results Matrix'!$R$1047+'Equipment Results Matrix'!$R$1048))+'Equipment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6.9910158137312841</v>
      </c>
      <c r="I500" s="1371">
        <f>'Labor Results Matrix'!$E$532</f>
        <v>7.9629999999999992E-2</v>
      </c>
      <c r="J500" s="1372">
        <f>'Labor Results Matrix'!$G$532*(1+'Labor Results Matrix'!$K$532)</f>
        <v>72.260416710552065</v>
      </c>
      <c r="K500" s="1372">
        <f t="shared" si="212"/>
        <v>5.7540969826612605</v>
      </c>
      <c r="L500" s="1372">
        <v>0</v>
      </c>
      <c r="M500" s="1372">
        <f t="shared" si="213"/>
        <v>12.745112796392544</v>
      </c>
      <c r="N500" s="1458">
        <f t="shared" si="214"/>
        <v>5.4682892849026805</v>
      </c>
      <c r="O500" s="1429"/>
      <c r="P500" s="1430"/>
      <c r="Q500" s="1430"/>
      <c r="R500" s="1430"/>
      <c r="S500" s="1430"/>
      <c r="T500" s="1430"/>
      <c r="U500" s="1430"/>
      <c r="V500" s="1679"/>
      <c r="W500" s="1366"/>
      <c r="X500" s="1366"/>
      <c r="Y500" s="1366"/>
      <c r="Z500" s="1366"/>
      <c r="AA500" s="1366"/>
      <c r="AB500" s="1366"/>
      <c r="AC500" s="1366"/>
      <c r="AD500" s="1366"/>
      <c r="AE500" s="1366"/>
      <c r="AF500" s="1366"/>
      <c r="AG500" s="1366"/>
      <c r="AH500" s="1366"/>
      <c r="AI500" s="1366"/>
      <c r="AJ500" s="1366"/>
      <c r="AK500" s="1366"/>
      <c r="AL500" s="1366"/>
      <c r="AM500" s="1366"/>
      <c r="AN500" s="1366"/>
      <c r="AO500" s="1366"/>
      <c r="AP500" s="1366"/>
      <c r="AQ500" s="1366"/>
      <c r="AR500" s="1366"/>
      <c r="AS500" s="1366"/>
      <c r="AT500" s="1366"/>
      <c r="AU500" s="1366"/>
      <c r="AV500" s="1366"/>
      <c r="AW500" s="1366"/>
      <c r="AX500" s="1366"/>
      <c r="AY500" s="1366"/>
      <c r="AZ500" s="1366"/>
      <c r="BA500" s="1366"/>
      <c r="BB500" s="1366"/>
      <c r="BC500" s="1366"/>
      <c r="BD500" s="1366"/>
      <c r="BE500" s="1366"/>
      <c r="BF500" s="1366"/>
      <c r="BG500" s="1366"/>
      <c r="BH500" s="1366"/>
      <c r="BI500" s="1366"/>
      <c r="BJ500" s="1366"/>
      <c r="BK500" s="1366"/>
      <c r="BL500" s="1366"/>
      <c r="BM500" s="1366"/>
      <c r="BN500" s="1366"/>
      <c r="BO500" s="1366"/>
      <c r="BP500" s="1366"/>
      <c r="BQ500" s="1366"/>
      <c r="BR500" s="1366"/>
      <c r="BS500" s="1366"/>
      <c r="BT500" s="1366"/>
      <c r="BU500" s="1366"/>
      <c r="BV500" s="1366"/>
      <c r="BW500" s="1366"/>
      <c r="BX500" s="1366"/>
      <c r="BY500" s="1366"/>
      <c r="BZ500" s="1366"/>
      <c r="CA500" s="1366"/>
      <c r="CB500" s="1366"/>
      <c r="CC500" s="1366"/>
      <c r="CD500" s="1366"/>
      <c r="CE500" s="1366"/>
      <c r="CF500" s="1366"/>
      <c r="CG500" s="1366"/>
      <c r="CH500" s="1366"/>
      <c r="CI500" s="1366"/>
      <c r="CJ500" s="1366"/>
      <c r="CK500" s="1366"/>
      <c r="CL500" s="1366"/>
      <c r="CM500" s="1366"/>
      <c r="CN500" s="1366"/>
      <c r="CO500" s="1366"/>
      <c r="CP500" s="1366"/>
      <c r="CQ500" s="1366"/>
      <c r="CR500" s="1366"/>
      <c r="CS500" s="1366"/>
      <c r="CT500" s="1366"/>
      <c r="CU500" s="1366"/>
      <c r="CV500" s="1366"/>
      <c r="CW500" s="1366"/>
      <c r="CX500" s="1366"/>
      <c r="CY500" s="1366"/>
      <c r="CZ500" s="1366"/>
      <c r="DA500" s="1366"/>
      <c r="DB500" s="1366"/>
      <c r="DC500" s="1366"/>
      <c r="DD500" s="1366"/>
      <c r="DE500" s="1366"/>
      <c r="DF500" s="1366"/>
      <c r="DG500" s="1366"/>
      <c r="DH500" s="1366"/>
      <c r="DI500" s="1366"/>
      <c r="DJ500" s="1366"/>
      <c r="DK500" s="1366"/>
      <c r="DL500" s="1366"/>
      <c r="DM500" s="1366"/>
      <c r="DN500" s="1366"/>
      <c r="DO500" s="1366"/>
      <c r="DP500" s="1366"/>
      <c r="DQ500" s="1366"/>
      <c r="DR500" s="1366"/>
      <c r="DS500" s="1366"/>
      <c r="DT500" s="1366"/>
      <c r="DU500" s="1366"/>
      <c r="DV500" s="1366"/>
    </row>
    <row r="501" spans="1:126" s="1382" customFormat="1" ht="30">
      <c r="A501" s="2530"/>
      <c r="B501" s="1665" t="s">
        <v>2639</v>
      </c>
      <c r="C501" s="1638" t="s">
        <v>47</v>
      </c>
      <c r="D501" s="1381" t="s">
        <v>2663</v>
      </c>
      <c r="E501" s="1365" t="s">
        <v>2097</v>
      </c>
      <c r="F501" s="1365" t="s">
        <v>2627</v>
      </c>
      <c r="G501" s="506" t="s">
        <v>1907</v>
      </c>
      <c r="H501" s="1433">
        <f>('Equipment Results Matrix'!$R$979*(175-30))+('Equipment Results Matrix'!$R$980*(175-75))+('Equipment Results Matrix'!$R$978*1.5)+'Equipment Results Matrix'!$R$962+'Equipment Results Matrix'!$R$969+'Equipment Results Matrix'!$R$970+'Equipment Results Matrix'!$R$972+'Equipment Results Matrix'!$R$975+'Equipment Results Matrix'!$R$976+'Equipment Results Matrix'!$T$969</f>
        <v>1.2564265288286027</v>
      </c>
      <c r="I501" s="1434">
        <f>'Labor Results Matrix'!$E$470</f>
        <v>7.9629999999999992E-2</v>
      </c>
      <c r="J501" s="1388">
        <f>'Labor Results Matrix'!$G$470*(1+'Labor Results Matrix'!$K$470)</f>
        <v>72.260416710552065</v>
      </c>
      <c r="K501" s="1388">
        <f t="shared" si="196"/>
        <v>5.7540969826612605</v>
      </c>
      <c r="L501" s="1388">
        <v>0</v>
      </c>
      <c r="M501" s="1388">
        <f t="shared" si="197"/>
        <v>7.010523511489863</v>
      </c>
      <c r="N501" s="1462" t="s">
        <v>40</v>
      </c>
      <c r="O501" s="1429"/>
      <c r="P501" s="1430"/>
      <c r="Q501" s="1430"/>
      <c r="R501" s="1430"/>
      <c r="S501" s="1430"/>
      <c r="T501" s="1430"/>
      <c r="U501" s="1430"/>
      <c r="V501" s="1679"/>
      <c r="W501" s="1366"/>
      <c r="X501" s="1366"/>
      <c r="Y501" s="1366"/>
      <c r="Z501" s="1366"/>
      <c r="AA501" s="1366"/>
      <c r="AB501" s="1366"/>
      <c r="AC501" s="1366"/>
      <c r="AD501" s="1366"/>
      <c r="AE501" s="1366"/>
      <c r="AF501" s="1366"/>
      <c r="AG501" s="1366"/>
      <c r="AH501" s="1366"/>
      <c r="AI501" s="1366"/>
      <c r="AJ501" s="1366"/>
      <c r="AK501" s="1366"/>
      <c r="AL501" s="1366"/>
      <c r="AM501" s="1366"/>
      <c r="AN501" s="1366"/>
      <c r="AO501" s="1366"/>
      <c r="AP501" s="1366"/>
      <c r="AQ501" s="1366"/>
      <c r="AR501" s="1366"/>
      <c r="AS501" s="1366"/>
      <c r="AT501" s="1366"/>
      <c r="AU501" s="1366"/>
      <c r="AV501" s="1366"/>
      <c r="AW501" s="1366"/>
      <c r="AX501" s="1366"/>
      <c r="AY501" s="1366"/>
      <c r="AZ501" s="1366"/>
      <c r="BA501" s="1366"/>
      <c r="BB501" s="1366"/>
      <c r="BC501" s="1366"/>
      <c r="BD501" s="1366"/>
      <c r="BE501" s="1366"/>
      <c r="BF501" s="1366"/>
      <c r="BG501" s="1366"/>
      <c r="BH501" s="1366"/>
      <c r="BI501" s="1366"/>
      <c r="BJ501" s="1366"/>
      <c r="BK501" s="1366"/>
      <c r="BL501" s="1366"/>
      <c r="BM501" s="1366"/>
      <c r="BN501" s="1366"/>
      <c r="BO501" s="1366"/>
      <c r="BP501" s="1366"/>
      <c r="BQ501" s="1366"/>
      <c r="BR501" s="1366"/>
      <c r="BS501" s="1366"/>
      <c r="BT501" s="1366"/>
      <c r="BU501" s="1366"/>
      <c r="BV501" s="1366"/>
      <c r="BW501" s="1366"/>
      <c r="BX501" s="1366"/>
      <c r="BY501" s="1366"/>
      <c r="BZ501" s="1366"/>
      <c r="CA501" s="1366"/>
      <c r="CB501" s="1366"/>
      <c r="CC501" s="1366"/>
      <c r="CD501" s="1366"/>
      <c r="CE501" s="1366"/>
      <c r="CF501" s="1366"/>
      <c r="CG501" s="1366"/>
      <c r="CH501" s="1366"/>
      <c r="CI501" s="1366"/>
      <c r="CJ501" s="1366"/>
      <c r="CK501" s="1366"/>
      <c r="CL501" s="1366"/>
      <c r="CM501" s="1366"/>
      <c r="CN501" s="1366"/>
      <c r="CO501" s="1366"/>
      <c r="CP501" s="1366"/>
      <c r="CQ501" s="1366"/>
      <c r="CR501" s="1366"/>
      <c r="CS501" s="1366"/>
      <c r="CT501" s="1366"/>
      <c r="CU501" s="1366"/>
      <c r="CV501" s="1366"/>
      <c r="CW501" s="1366"/>
      <c r="CX501" s="1366"/>
      <c r="CY501" s="1366"/>
      <c r="CZ501" s="1366"/>
      <c r="DA501" s="1366"/>
      <c r="DB501" s="1366"/>
      <c r="DC501" s="1366"/>
      <c r="DD501" s="1366"/>
      <c r="DE501" s="1366"/>
      <c r="DF501" s="1366"/>
      <c r="DG501" s="1366"/>
      <c r="DH501" s="1366"/>
      <c r="DI501" s="1366"/>
      <c r="DJ501" s="1366"/>
      <c r="DK501" s="1366"/>
      <c r="DL501" s="1366"/>
      <c r="DM501" s="1366"/>
      <c r="DN501" s="1366"/>
      <c r="DO501" s="1366"/>
      <c r="DP501" s="1366"/>
      <c r="DQ501" s="1366"/>
      <c r="DR501" s="1366"/>
      <c r="DS501" s="1366"/>
      <c r="DT501" s="1366"/>
      <c r="DU501" s="1366"/>
      <c r="DV501" s="1366"/>
    </row>
    <row r="502" spans="1:126" s="1367" customFormat="1" ht="45">
      <c r="A502" s="2530"/>
      <c r="B502" s="1653">
        <v>225</v>
      </c>
      <c r="C502" s="1642" t="s">
        <v>49</v>
      </c>
      <c r="D502" s="1375" t="s">
        <v>2370</v>
      </c>
      <c r="E502" s="1364" t="s">
        <v>2097</v>
      </c>
      <c r="F502" s="1364" t="s">
        <v>2107</v>
      </c>
      <c r="G502" s="1185" t="s">
        <v>1907</v>
      </c>
      <c r="H502" s="1361">
        <f>(31*('Equipment Results Matrix'!$R$1047+'Equipment Results Matrix'!$R$1048))+'Equipment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7.1510158137312843</v>
      </c>
      <c r="I502" s="1371">
        <f>'Labor Results Matrix'!$E$532</f>
        <v>7.9629999999999992E-2</v>
      </c>
      <c r="J502" s="1372">
        <f>'Labor Results Matrix'!$G$532*(1+'Labor Results Matrix'!$K$532)</f>
        <v>72.260416710552065</v>
      </c>
      <c r="K502" s="1372">
        <f t="shared" si="196"/>
        <v>5.7540969826612605</v>
      </c>
      <c r="L502" s="1372">
        <v>0</v>
      </c>
      <c r="M502" s="1372">
        <f t="shared" si="197"/>
        <v>12.905112796392544</v>
      </c>
      <c r="N502" s="1458">
        <f t="shared" ref="N502:N508" si="215">M502-$M$501</f>
        <v>5.8945892849026809</v>
      </c>
      <c r="O502" s="1429"/>
      <c r="P502" s="1430"/>
      <c r="Q502" s="1430"/>
      <c r="R502" s="1430"/>
      <c r="S502" s="1430"/>
      <c r="T502" s="1430"/>
      <c r="U502" s="1430"/>
      <c r="V502" s="1679"/>
      <c r="W502" s="1366"/>
      <c r="X502" s="1366"/>
      <c r="Y502" s="1366"/>
      <c r="Z502" s="1366"/>
      <c r="AA502" s="1366"/>
      <c r="AB502" s="1366"/>
      <c r="AC502" s="1366"/>
      <c r="AD502" s="1366"/>
      <c r="AE502" s="1366"/>
      <c r="AF502" s="1366"/>
      <c r="AG502" s="1366"/>
      <c r="AH502" s="1366"/>
      <c r="AI502" s="1366"/>
      <c r="AJ502" s="1366"/>
      <c r="AK502" s="1366"/>
      <c r="AL502" s="1366"/>
      <c r="AM502" s="1366"/>
      <c r="AN502" s="1366"/>
      <c r="AO502" s="1366"/>
      <c r="AP502" s="1366"/>
      <c r="AQ502" s="1366"/>
      <c r="AR502" s="1366"/>
      <c r="AS502" s="1366"/>
      <c r="AT502" s="1366"/>
      <c r="AU502" s="1366"/>
      <c r="AV502" s="1366"/>
      <c r="AW502" s="1366"/>
      <c r="AX502" s="1366"/>
      <c r="AY502" s="1366"/>
      <c r="AZ502" s="1366"/>
      <c r="BA502" s="1366"/>
      <c r="BB502" s="1366"/>
      <c r="BC502" s="1366"/>
      <c r="BD502" s="1366"/>
      <c r="BE502" s="1366"/>
      <c r="BF502" s="1366"/>
      <c r="BG502" s="1366"/>
      <c r="BH502" s="1366"/>
      <c r="BI502" s="1366"/>
      <c r="BJ502" s="1366"/>
      <c r="BK502" s="1366"/>
      <c r="BL502" s="1366"/>
      <c r="BM502" s="1366"/>
      <c r="BN502" s="1366"/>
      <c r="BO502" s="1366"/>
      <c r="BP502" s="1366"/>
      <c r="BQ502" s="1366"/>
      <c r="BR502" s="1366"/>
      <c r="BS502" s="1366"/>
      <c r="BT502" s="1366"/>
      <c r="BU502" s="1366"/>
      <c r="BV502" s="1366"/>
      <c r="BW502" s="1366"/>
      <c r="BX502" s="1366"/>
      <c r="BY502" s="1366"/>
      <c r="BZ502" s="1366"/>
      <c r="CA502" s="1366"/>
      <c r="CB502" s="1366"/>
      <c r="CC502" s="1366"/>
      <c r="CD502" s="1366"/>
      <c r="CE502" s="1366"/>
      <c r="CF502" s="1366"/>
      <c r="CG502" s="1366"/>
      <c r="CH502" s="1366"/>
      <c r="CI502" s="1366"/>
      <c r="CJ502" s="1366"/>
      <c r="CK502" s="1366"/>
      <c r="CL502" s="1366"/>
      <c r="CM502" s="1366"/>
      <c r="CN502" s="1366"/>
      <c r="CO502" s="1366"/>
      <c r="CP502" s="1366"/>
      <c r="CQ502" s="1366"/>
      <c r="CR502" s="1366"/>
      <c r="CS502" s="1366"/>
      <c r="CT502" s="1366"/>
      <c r="CU502" s="1366"/>
      <c r="CV502" s="1366"/>
      <c r="CW502" s="1366"/>
      <c r="CX502" s="1366"/>
      <c r="CY502" s="1366"/>
      <c r="CZ502" s="1366"/>
      <c r="DA502" s="1366"/>
      <c r="DB502" s="1366"/>
      <c r="DC502" s="1366"/>
      <c r="DD502" s="1366"/>
      <c r="DE502" s="1366"/>
      <c r="DF502" s="1366"/>
      <c r="DG502" s="1366"/>
      <c r="DH502" s="1366"/>
      <c r="DI502" s="1366"/>
      <c r="DJ502" s="1366"/>
      <c r="DK502" s="1366"/>
      <c r="DL502" s="1366"/>
      <c r="DM502" s="1366"/>
      <c r="DN502" s="1366"/>
      <c r="DO502" s="1366"/>
      <c r="DP502" s="1366"/>
      <c r="DQ502" s="1366"/>
      <c r="DR502" s="1366"/>
      <c r="DS502" s="1366"/>
      <c r="DT502" s="1366"/>
      <c r="DU502" s="1366"/>
      <c r="DV502" s="1366"/>
    </row>
    <row r="503" spans="1:126" s="1367" customFormat="1" ht="45">
      <c r="A503" s="2530"/>
      <c r="B503" s="1653">
        <v>226</v>
      </c>
      <c r="C503" s="1642" t="s">
        <v>49</v>
      </c>
      <c r="D503" s="1375" t="s">
        <v>2371</v>
      </c>
      <c r="E503" s="1364" t="s">
        <v>2097</v>
      </c>
      <c r="F503" s="1364" t="s">
        <v>2107</v>
      </c>
      <c r="G503" s="1185" t="s">
        <v>1907</v>
      </c>
      <c r="H503" s="1361">
        <f>(32*('Equipment Results Matrix'!$R$1047+'Equipment Results Matrix'!$R$1048))+'Equipment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7.3110158137312844</v>
      </c>
      <c r="I503" s="1371">
        <f>'Labor Results Matrix'!$E$532</f>
        <v>7.9629999999999992E-2</v>
      </c>
      <c r="J503" s="1372">
        <f>'Labor Results Matrix'!$G$532*(1+'Labor Results Matrix'!$K$532)</f>
        <v>72.260416710552065</v>
      </c>
      <c r="K503" s="1372">
        <f t="shared" si="196"/>
        <v>5.7540969826612605</v>
      </c>
      <c r="L503" s="1372">
        <v>0</v>
      </c>
      <c r="M503" s="1372">
        <f t="shared" si="197"/>
        <v>13.065112796392544</v>
      </c>
      <c r="N503" s="1458">
        <f t="shared" si="215"/>
        <v>6.054589284902681</v>
      </c>
      <c r="O503" s="1429"/>
      <c r="P503" s="1430"/>
      <c r="Q503" s="1430"/>
      <c r="R503" s="1430"/>
      <c r="S503" s="1430"/>
      <c r="T503" s="1430"/>
      <c r="U503" s="1430"/>
      <c r="V503" s="1679"/>
      <c r="W503" s="1366"/>
      <c r="X503" s="1366"/>
      <c r="Y503" s="1366"/>
      <c r="Z503" s="1366"/>
      <c r="AA503" s="1366"/>
      <c r="AB503" s="1366"/>
      <c r="AC503" s="1366"/>
      <c r="AD503" s="1366"/>
      <c r="AE503" s="1366"/>
      <c r="AF503" s="1366"/>
      <c r="AG503" s="1366"/>
      <c r="AH503" s="1366"/>
      <c r="AI503" s="1366"/>
      <c r="AJ503" s="1366"/>
      <c r="AK503" s="1366"/>
      <c r="AL503" s="1366"/>
      <c r="AM503" s="1366"/>
      <c r="AN503" s="1366"/>
      <c r="AO503" s="1366"/>
      <c r="AP503" s="1366"/>
      <c r="AQ503" s="1366"/>
      <c r="AR503" s="1366"/>
      <c r="AS503" s="1366"/>
      <c r="AT503" s="1366"/>
      <c r="AU503" s="1366"/>
      <c r="AV503" s="1366"/>
      <c r="AW503" s="1366"/>
      <c r="AX503" s="1366"/>
      <c r="AY503" s="1366"/>
      <c r="AZ503" s="1366"/>
      <c r="BA503" s="1366"/>
      <c r="BB503" s="1366"/>
      <c r="BC503" s="1366"/>
      <c r="BD503" s="1366"/>
      <c r="BE503" s="1366"/>
      <c r="BF503" s="1366"/>
      <c r="BG503" s="1366"/>
      <c r="BH503" s="1366"/>
      <c r="BI503" s="1366"/>
      <c r="BJ503" s="1366"/>
      <c r="BK503" s="1366"/>
      <c r="BL503" s="1366"/>
      <c r="BM503" s="1366"/>
      <c r="BN503" s="1366"/>
      <c r="BO503" s="1366"/>
      <c r="BP503" s="1366"/>
      <c r="BQ503" s="1366"/>
      <c r="BR503" s="1366"/>
      <c r="BS503" s="1366"/>
      <c r="BT503" s="1366"/>
      <c r="BU503" s="1366"/>
      <c r="BV503" s="1366"/>
      <c r="BW503" s="1366"/>
      <c r="BX503" s="1366"/>
      <c r="BY503" s="1366"/>
      <c r="BZ503" s="1366"/>
      <c r="CA503" s="1366"/>
      <c r="CB503" s="1366"/>
      <c r="CC503" s="1366"/>
      <c r="CD503" s="1366"/>
      <c r="CE503" s="1366"/>
      <c r="CF503" s="1366"/>
      <c r="CG503" s="1366"/>
      <c r="CH503" s="1366"/>
      <c r="CI503" s="1366"/>
      <c r="CJ503" s="1366"/>
      <c r="CK503" s="1366"/>
      <c r="CL503" s="1366"/>
      <c r="CM503" s="1366"/>
      <c r="CN503" s="1366"/>
      <c r="CO503" s="1366"/>
      <c r="CP503" s="1366"/>
      <c r="CQ503" s="1366"/>
      <c r="CR503" s="1366"/>
      <c r="CS503" s="1366"/>
      <c r="CT503" s="1366"/>
      <c r="CU503" s="1366"/>
      <c r="CV503" s="1366"/>
      <c r="CW503" s="1366"/>
      <c r="CX503" s="1366"/>
      <c r="CY503" s="1366"/>
      <c r="CZ503" s="1366"/>
      <c r="DA503" s="1366"/>
      <c r="DB503" s="1366"/>
      <c r="DC503" s="1366"/>
      <c r="DD503" s="1366"/>
      <c r="DE503" s="1366"/>
      <c r="DF503" s="1366"/>
      <c r="DG503" s="1366"/>
      <c r="DH503" s="1366"/>
      <c r="DI503" s="1366"/>
      <c r="DJ503" s="1366"/>
      <c r="DK503" s="1366"/>
      <c r="DL503" s="1366"/>
      <c r="DM503" s="1366"/>
      <c r="DN503" s="1366"/>
      <c r="DO503" s="1366"/>
      <c r="DP503" s="1366"/>
      <c r="DQ503" s="1366"/>
      <c r="DR503" s="1366"/>
      <c r="DS503" s="1366"/>
      <c r="DT503" s="1366"/>
      <c r="DU503" s="1366"/>
      <c r="DV503" s="1366"/>
    </row>
    <row r="504" spans="1:126" s="1367" customFormat="1" ht="45">
      <c r="A504" s="2530"/>
      <c r="B504" s="1653">
        <v>228</v>
      </c>
      <c r="C504" s="1642" t="s">
        <v>49</v>
      </c>
      <c r="D504" s="1375" t="s">
        <v>2372</v>
      </c>
      <c r="E504" s="1364" t="s">
        <v>2097</v>
      </c>
      <c r="F504" s="1364" t="s">
        <v>2107</v>
      </c>
      <c r="G504" s="1185" t="s">
        <v>1907</v>
      </c>
      <c r="H504" s="1361">
        <f>(42*('Equipment Results Matrix'!$R$1047+'Equipment Results Matrix'!$R$1048))+'Equipment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8.911015813731284</v>
      </c>
      <c r="I504" s="1371">
        <f>'Labor Results Matrix'!$E$532</f>
        <v>7.9629999999999992E-2</v>
      </c>
      <c r="J504" s="1372">
        <f>'Labor Results Matrix'!$G$532*(1+'Labor Results Matrix'!$K$532)</f>
        <v>72.260416710552065</v>
      </c>
      <c r="K504" s="1372">
        <f t="shared" si="196"/>
        <v>5.7540969826612605</v>
      </c>
      <c r="L504" s="1372">
        <v>0</v>
      </c>
      <c r="M504" s="1372">
        <f t="shared" si="197"/>
        <v>14.665112796392545</v>
      </c>
      <c r="N504" s="1458">
        <f t="shared" si="215"/>
        <v>7.6545892849026824</v>
      </c>
      <c r="O504" s="1429"/>
      <c r="P504" s="1430"/>
      <c r="Q504" s="1430"/>
      <c r="R504" s="1430"/>
      <c r="S504" s="1430"/>
      <c r="T504" s="1430"/>
      <c r="U504" s="1430"/>
      <c r="V504" s="1679"/>
      <c r="W504" s="1366"/>
      <c r="X504" s="1366"/>
      <c r="Y504" s="1366"/>
      <c r="Z504" s="1366"/>
      <c r="AA504" s="1366"/>
      <c r="AB504" s="1366"/>
      <c r="AC504" s="1366"/>
      <c r="AD504" s="1366"/>
      <c r="AE504" s="1366"/>
      <c r="AF504" s="1366"/>
      <c r="AG504" s="1366"/>
      <c r="AH504" s="1366"/>
      <c r="AI504" s="1366"/>
      <c r="AJ504" s="1366"/>
      <c r="AK504" s="1366"/>
      <c r="AL504" s="1366"/>
      <c r="AM504" s="1366"/>
      <c r="AN504" s="1366"/>
      <c r="AO504" s="1366"/>
      <c r="AP504" s="1366"/>
      <c r="AQ504" s="1366"/>
      <c r="AR504" s="1366"/>
      <c r="AS504" s="1366"/>
      <c r="AT504" s="1366"/>
      <c r="AU504" s="1366"/>
      <c r="AV504" s="1366"/>
      <c r="AW504" s="1366"/>
      <c r="AX504" s="1366"/>
      <c r="AY504" s="1366"/>
      <c r="AZ504" s="1366"/>
      <c r="BA504" s="1366"/>
      <c r="BB504" s="1366"/>
      <c r="BC504" s="1366"/>
      <c r="BD504" s="1366"/>
      <c r="BE504" s="1366"/>
      <c r="BF504" s="1366"/>
      <c r="BG504" s="1366"/>
      <c r="BH504" s="1366"/>
      <c r="BI504" s="1366"/>
      <c r="BJ504" s="1366"/>
      <c r="BK504" s="1366"/>
      <c r="BL504" s="1366"/>
      <c r="BM504" s="1366"/>
      <c r="BN504" s="1366"/>
      <c r="BO504" s="1366"/>
      <c r="BP504" s="1366"/>
      <c r="BQ504" s="1366"/>
      <c r="BR504" s="1366"/>
      <c r="BS504" s="1366"/>
      <c r="BT504" s="1366"/>
      <c r="BU504" s="1366"/>
      <c r="BV504" s="1366"/>
      <c r="BW504" s="1366"/>
      <c r="BX504" s="1366"/>
      <c r="BY504" s="1366"/>
      <c r="BZ504" s="1366"/>
      <c r="CA504" s="1366"/>
      <c r="CB504" s="1366"/>
      <c r="CC504" s="1366"/>
      <c r="CD504" s="1366"/>
      <c r="CE504" s="1366"/>
      <c r="CF504" s="1366"/>
      <c r="CG504" s="1366"/>
      <c r="CH504" s="1366"/>
      <c r="CI504" s="1366"/>
      <c r="CJ504" s="1366"/>
      <c r="CK504" s="1366"/>
      <c r="CL504" s="1366"/>
      <c r="CM504" s="1366"/>
      <c r="CN504" s="1366"/>
      <c r="CO504" s="1366"/>
      <c r="CP504" s="1366"/>
      <c r="CQ504" s="1366"/>
      <c r="CR504" s="1366"/>
      <c r="CS504" s="1366"/>
      <c r="CT504" s="1366"/>
      <c r="CU504" s="1366"/>
      <c r="CV504" s="1366"/>
      <c r="CW504" s="1366"/>
      <c r="CX504" s="1366"/>
      <c r="CY504" s="1366"/>
      <c r="CZ504" s="1366"/>
      <c r="DA504" s="1366"/>
      <c r="DB504" s="1366"/>
      <c r="DC504" s="1366"/>
      <c r="DD504" s="1366"/>
      <c r="DE504" s="1366"/>
      <c r="DF504" s="1366"/>
      <c r="DG504" s="1366"/>
      <c r="DH504" s="1366"/>
      <c r="DI504" s="1366"/>
      <c r="DJ504" s="1366"/>
      <c r="DK504" s="1366"/>
      <c r="DL504" s="1366"/>
      <c r="DM504" s="1366"/>
      <c r="DN504" s="1366"/>
      <c r="DO504" s="1366"/>
      <c r="DP504" s="1366"/>
      <c r="DQ504" s="1366"/>
      <c r="DR504" s="1366"/>
      <c r="DS504" s="1366"/>
      <c r="DT504" s="1366"/>
      <c r="DU504" s="1366"/>
      <c r="DV504" s="1366"/>
    </row>
    <row r="505" spans="1:126" s="1367" customFormat="1" ht="45">
      <c r="A505" s="2530"/>
      <c r="B505" s="1653">
        <v>2218</v>
      </c>
      <c r="C505" s="1642" t="s">
        <v>49</v>
      </c>
      <c r="D505" s="1375" t="s">
        <v>2622</v>
      </c>
      <c r="E505" s="1364" t="s">
        <v>2097</v>
      </c>
      <c r="F505" s="1365" t="s">
        <v>2108</v>
      </c>
      <c r="G505" s="506" t="s">
        <v>1907</v>
      </c>
      <c r="H505" s="1361">
        <f>(31*('Equipment Results Matrix'!$R$1047+'Equipment Results Matrix'!$R$1048))+'Equipment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7.1510158137312843</v>
      </c>
      <c r="I505" s="1371">
        <f>'Labor Results Matrix'!$E$532</f>
        <v>7.9629999999999992E-2</v>
      </c>
      <c r="J505" s="1372">
        <f>'Labor Results Matrix'!$G$532*(1+'Labor Results Matrix'!$K$532)</f>
        <v>72.260416710552065</v>
      </c>
      <c r="K505" s="1372">
        <f t="shared" ref="K505:K507" si="216">I505*J505</f>
        <v>5.7540969826612605</v>
      </c>
      <c r="L505" s="1372">
        <v>0</v>
      </c>
      <c r="M505" s="1372">
        <f t="shared" ref="M505:M507" si="217">H505+K505</f>
        <v>12.905112796392544</v>
      </c>
      <c r="N505" s="1458">
        <f t="shared" si="215"/>
        <v>5.8945892849026809</v>
      </c>
      <c r="O505" s="1429"/>
      <c r="P505" s="1430"/>
      <c r="Q505" s="1430"/>
      <c r="R505" s="1430"/>
      <c r="S505" s="1430"/>
      <c r="T505" s="1430"/>
      <c r="U505" s="1430"/>
      <c r="V505" s="1679"/>
      <c r="W505" s="1366"/>
      <c r="X505" s="1366"/>
      <c r="Y505" s="1366"/>
      <c r="Z505" s="1366"/>
      <c r="AA505" s="1366"/>
      <c r="AB505" s="1366"/>
      <c r="AC505" s="1366"/>
      <c r="AD505" s="1366"/>
      <c r="AE505" s="1366"/>
      <c r="AF505" s="1366"/>
      <c r="AG505" s="1366"/>
      <c r="AH505" s="1366"/>
      <c r="AI505" s="1366"/>
      <c r="AJ505" s="1366"/>
      <c r="AK505" s="1366"/>
      <c r="AL505" s="1366"/>
      <c r="AM505" s="1366"/>
      <c r="AN505" s="1366"/>
      <c r="AO505" s="1366"/>
      <c r="AP505" s="1366"/>
      <c r="AQ505" s="1366"/>
      <c r="AR505" s="1366"/>
      <c r="AS505" s="1366"/>
      <c r="AT505" s="1366"/>
      <c r="AU505" s="1366"/>
      <c r="AV505" s="1366"/>
      <c r="AW505" s="1366"/>
      <c r="AX505" s="1366"/>
      <c r="AY505" s="1366"/>
      <c r="AZ505" s="1366"/>
      <c r="BA505" s="1366"/>
      <c r="BB505" s="1366"/>
      <c r="BC505" s="1366"/>
      <c r="BD505" s="1366"/>
      <c r="BE505" s="1366"/>
      <c r="BF505" s="1366"/>
      <c r="BG505" s="1366"/>
      <c r="BH505" s="1366"/>
      <c r="BI505" s="1366"/>
      <c r="BJ505" s="1366"/>
      <c r="BK505" s="1366"/>
      <c r="BL505" s="1366"/>
      <c r="BM505" s="1366"/>
      <c r="BN505" s="1366"/>
      <c r="BO505" s="1366"/>
      <c r="BP505" s="1366"/>
      <c r="BQ505" s="1366"/>
      <c r="BR505" s="1366"/>
      <c r="BS505" s="1366"/>
      <c r="BT505" s="1366"/>
      <c r="BU505" s="1366"/>
      <c r="BV505" s="1366"/>
      <c r="BW505" s="1366"/>
      <c r="BX505" s="1366"/>
      <c r="BY505" s="1366"/>
      <c r="BZ505" s="1366"/>
      <c r="CA505" s="1366"/>
      <c r="CB505" s="1366"/>
      <c r="CC505" s="1366"/>
      <c r="CD505" s="1366"/>
      <c r="CE505" s="1366"/>
      <c r="CF505" s="1366"/>
      <c r="CG505" s="1366"/>
      <c r="CH505" s="1366"/>
      <c r="CI505" s="1366"/>
      <c r="CJ505" s="1366"/>
      <c r="CK505" s="1366"/>
      <c r="CL505" s="1366"/>
      <c r="CM505" s="1366"/>
      <c r="CN505" s="1366"/>
      <c r="CO505" s="1366"/>
      <c r="CP505" s="1366"/>
      <c r="CQ505" s="1366"/>
      <c r="CR505" s="1366"/>
      <c r="CS505" s="1366"/>
      <c r="CT505" s="1366"/>
      <c r="CU505" s="1366"/>
      <c r="CV505" s="1366"/>
      <c r="CW505" s="1366"/>
      <c r="CX505" s="1366"/>
      <c r="CY505" s="1366"/>
      <c r="CZ505" s="1366"/>
      <c r="DA505" s="1366"/>
      <c r="DB505" s="1366"/>
      <c r="DC505" s="1366"/>
      <c r="DD505" s="1366"/>
      <c r="DE505" s="1366"/>
      <c r="DF505" s="1366"/>
      <c r="DG505" s="1366"/>
      <c r="DH505" s="1366"/>
      <c r="DI505" s="1366"/>
      <c r="DJ505" s="1366"/>
      <c r="DK505" s="1366"/>
      <c r="DL505" s="1366"/>
      <c r="DM505" s="1366"/>
      <c r="DN505" s="1366"/>
      <c r="DO505" s="1366"/>
      <c r="DP505" s="1366"/>
      <c r="DQ505" s="1366"/>
      <c r="DR505" s="1366"/>
      <c r="DS505" s="1366"/>
      <c r="DT505" s="1366"/>
      <c r="DU505" s="1366"/>
      <c r="DV505" s="1366"/>
    </row>
    <row r="506" spans="1:126" s="1367" customFormat="1" ht="45">
      <c r="A506" s="2530"/>
      <c r="B506" s="1653">
        <v>2219</v>
      </c>
      <c r="C506" s="1642" t="s">
        <v>49</v>
      </c>
      <c r="D506" s="1375" t="s">
        <v>2623</v>
      </c>
      <c r="E506" s="1364" t="s">
        <v>2097</v>
      </c>
      <c r="F506" s="1365" t="s">
        <v>2108</v>
      </c>
      <c r="G506" s="506" t="s">
        <v>1907</v>
      </c>
      <c r="H506" s="1361">
        <f>(32*('Equipment Results Matrix'!$R$1047+'Equipment Results Matrix'!$R$1048))+'Equipment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7.3110158137312844</v>
      </c>
      <c r="I506" s="1371">
        <f>'Labor Results Matrix'!$E$532</f>
        <v>7.9629999999999992E-2</v>
      </c>
      <c r="J506" s="1372">
        <f>'Labor Results Matrix'!$G$532*(1+'Labor Results Matrix'!$K$532)</f>
        <v>72.260416710552065</v>
      </c>
      <c r="K506" s="1372">
        <f t="shared" si="216"/>
        <v>5.7540969826612605</v>
      </c>
      <c r="L506" s="1372">
        <v>0</v>
      </c>
      <c r="M506" s="1372">
        <f t="shared" si="217"/>
        <v>13.065112796392544</v>
      </c>
      <c r="N506" s="1458">
        <f t="shared" si="215"/>
        <v>6.054589284902681</v>
      </c>
      <c r="O506" s="1429"/>
      <c r="P506" s="1430"/>
      <c r="Q506" s="1430"/>
      <c r="R506" s="1430"/>
      <c r="S506" s="1430"/>
      <c r="T506" s="1430"/>
      <c r="U506" s="1430"/>
      <c r="V506" s="1679"/>
      <c r="W506" s="1366"/>
      <c r="X506" s="1366"/>
      <c r="Y506" s="1366"/>
      <c r="Z506" s="1366"/>
      <c r="AA506" s="1366"/>
      <c r="AB506" s="1366"/>
      <c r="AC506" s="1366"/>
      <c r="AD506" s="1366"/>
      <c r="AE506" s="1366"/>
      <c r="AF506" s="1366"/>
      <c r="AG506" s="1366"/>
      <c r="AH506" s="1366"/>
      <c r="AI506" s="1366"/>
      <c r="AJ506" s="1366"/>
      <c r="AK506" s="1366"/>
      <c r="AL506" s="1366"/>
      <c r="AM506" s="1366"/>
      <c r="AN506" s="1366"/>
      <c r="AO506" s="1366"/>
      <c r="AP506" s="1366"/>
      <c r="AQ506" s="1366"/>
      <c r="AR506" s="1366"/>
      <c r="AS506" s="1366"/>
      <c r="AT506" s="1366"/>
      <c r="AU506" s="1366"/>
      <c r="AV506" s="1366"/>
      <c r="AW506" s="1366"/>
      <c r="AX506" s="1366"/>
      <c r="AY506" s="1366"/>
      <c r="AZ506" s="1366"/>
      <c r="BA506" s="1366"/>
      <c r="BB506" s="1366"/>
      <c r="BC506" s="1366"/>
      <c r="BD506" s="1366"/>
      <c r="BE506" s="1366"/>
      <c r="BF506" s="1366"/>
      <c r="BG506" s="1366"/>
      <c r="BH506" s="1366"/>
      <c r="BI506" s="1366"/>
      <c r="BJ506" s="1366"/>
      <c r="BK506" s="1366"/>
      <c r="BL506" s="1366"/>
      <c r="BM506" s="1366"/>
      <c r="BN506" s="1366"/>
      <c r="BO506" s="1366"/>
      <c r="BP506" s="1366"/>
      <c r="BQ506" s="1366"/>
      <c r="BR506" s="1366"/>
      <c r="BS506" s="1366"/>
      <c r="BT506" s="1366"/>
      <c r="BU506" s="1366"/>
      <c r="BV506" s="1366"/>
      <c r="BW506" s="1366"/>
      <c r="BX506" s="1366"/>
      <c r="BY506" s="1366"/>
      <c r="BZ506" s="1366"/>
      <c r="CA506" s="1366"/>
      <c r="CB506" s="1366"/>
      <c r="CC506" s="1366"/>
      <c r="CD506" s="1366"/>
      <c r="CE506" s="1366"/>
      <c r="CF506" s="1366"/>
      <c r="CG506" s="1366"/>
      <c r="CH506" s="1366"/>
      <c r="CI506" s="1366"/>
      <c r="CJ506" s="1366"/>
      <c r="CK506" s="1366"/>
      <c r="CL506" s="1366"/>
      <c r="CM506" s="1366"/>
      <c r="CN506" s="1366"/>
      <c r="CO506" s="1366"/>
      <c r="CP506" s="1366"/>
      <c r="CQ506" s="1366"/>
      <c r="CR506" s="1366"/>
      <c r="CS506" s="1366"/>
      <c r="CT506" s="1366"/>
      <c r="CU506" s="1366"/>
      <c r="CV506" s="1366"/>
      <c r="CW506" s="1366"/>
      <c r="CX506" s="1366"/>
      <c r="CY506" s="1366"/>
      <c r="CZ506" s="1366"/>
      <c r="DA506" s="1366"/>
      <c r="DB506" s="1366"/>
      <c r="DC506" s="1366"/>
      <c r="DD506" s="1366"/>
      <c r="DE506" s="1366"/>
      <c r="DF506" s="1366"/>
      <c r="DG506" s="1366"/>
      <c r="DH506" s="1366"/>
      <c r="DI506" s="1366"/>
      <c r="DJ506" s="1366"/>
      <c r="DK506" s="1366"/>
      <c r="DL506" s="1366"/>
      <c r="DM506" s="1366"/>
      <c r="DN506" s="1366"/>
      <c r="DO506" s="1366"/>
      <c r="DP506" s="1366"/>
      <c r="DQ506" s="1366"/>
      <c r="DR506" s="1366"/>
      <c r="DS506" s="1366"/>
      <c r="DT506" s="1366"/>
      <c r="DU506" s="1366"/>
      <c r="DV506" s="1366"/>
    </row>
    <row r="507" spans="1:126" s="1367" customFormat="1" ht="45">
      <c r="A507" s="2530"/>
      <c r="B507" s="1653">
        <v>2220</v>
      </c>
      <c r="C507" s="1642" t="s">
        <v>49</v>
      </c>
      <c r="D507" s="1375" t="s">
        <v>2624</v>
      </c>
      <c r="E507" s="1364" t="s">
        <v>2097</v>
      </c>
      <c r="F507" s="1365" t="s">
        <v>2108</v>
      </c>
      <c r="G507" s="506" t="s">
        <v>1907</v>
      </c>
      <c r="H507" s="1361">
        <f>(40*('Equipment Results Matrix'!$R$1047+'Equipment Results Matrix'!$R$1048))+'Equipment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8.5910158137312855</v>
      </c>
      <c r="I507" s="1371">
        <f>'Labor Results Matrix'!$E$532</f>
        <v>7.9629999999999992E-2</v>
      </c>
      <c r="J507" s="1372">
        <f>'Labor Results Matrix'!$G$532*(1+'Labor Results Matrix'!$K$532)</f>
        <v>72.260416710552065</v>
      </c>
      <c r="K507" s="1372">
        <f t="shared" si="216"/>
        <v>5.7540969826612605</v>
      </c>
      <c r="L507" s="1372">
        <v>0</v>
      </c>
      <c r="M507" s="1372">
        <f t="shared" si="217"/>
        <v>14.345112796392545</v>
      </c>
      <c r="N507" s="1458">
        <f t="shared" si="215"/>
        <v>7.3345892849026821</v>
      </c>
      <c r="O507" s="1429"/>
      <c r="P507" s="1430"/>
      <c r="Q507" s="1430"/>
      <c r="R507" s="1430"/>
      <c r="S507" s="1430"/>
      <c r="T507" s="1430"/>
      <c r="U507" s="1430"/>
      <c r="V507" s="1679"/>
      <c r="W507" s="1366"/>
      <c r="X507" s="1366"/>
      <c r="Y507" s="1366"/>
      <c r="Z507" s="1366"/>
      <c r="AA507" s="1366"/>
      <c r="AB507" s="1366"/>
      <c r="AC507" s="1366"/>
      <c r="AD507" s="1366"/>
      <c r="AE507" s="1366"/>
      <c r="AF507" s="1366"/>
      <c r="AG507" s="1366"/>
      <c r="AH507" s="1366"/>
      <c r="AI507" s="1366"/>
      <c r="AJ507" s="1366"/>
      <c r="AK507" s="1366"/>
      <c r="AL507" s="1366"/>
      <c r="AM507" s="1366"/>
      <c r="AN507" s="1366"/>
      <c r="AO507" s="1366"/>
      <c r="AP507" s="1366"/>
      <c r="AQ507" s="1366"/>
      <c r="AR507" s="1366"/>
      <c r="AS507" s="1366"/>
      <c r="AT507" s="1366"/>
      <c r="AU507" s="1366"/>
      <c r="AV507" s="1366"/>
      <c r="AW507" s="1366"/>
      <c r="AX507" s="1366"/>
      <c r="AY507" s="1366"/>
      <c r="AZ507" s="1366"/>
      <c r="BA507" s="1366"/>
      <c r="BB507" s="1366"/>
      <c r="BC507" s="1366"/>
      <c r="BD507" s="1366"/>
      <c r="BE507" s="1366"/>
      <c r="BF507" s="1366"/>
      <c r="BG507" s="1366"/>
      <c r="BH507" s="1366"/>
      <c r="BI507" s="1366"/>
      <c r="BJ507" s="1366"/>
      <c r="BK507" s="1366"/>
      <c r="BL507" s="1366"/>
      <c r="BM507" s="1366"/>
      <c r="BN507" s="1366"/>
      <c r="BO507" s="1366"/>
      <c r="BP507" s="1366"/>
      <c r="BQ507" s="1366"/>
      <c r="BR507" s="1366"/>
      <c r="BS507" s="1366"/>
      <c r="BT507" s="1366"/>
      <c r="BU507" s="1366"/>
      <c r="BV507" s="1366"/>
      <c r="BW507" s="1366"/>
      <c r="BX507" s="1366"/>
      <c r="BY507" s="1366"/>
      <c r="BZ507" s="1366"/>
      <c r="CA507" s="1366"/>
      <c r="CB507" s="1366"/>
      <c r="CC507" s="1366"/>
      <c r="CD507" s="1366"/>
      <c r="CE507" s="1366"/>
      <c r="CF507" s="1366"/>
      <c r="CG507" s="1366"/>
      <c r="CH507" s="1366"/>
      <c r="CI507" s="1366"/>
      <c r="CJ507" s="1366"/>
      <c r="CK507" s="1366"/>
      <c r="CL507" s="1366"/>
      <c r="CM507" s="1366"/>
      <c r="CN507" s="1366"/>
      <c r="CO507" s="1366"/>
      <c r="CP507" s="1366"/>
      <c r="CQ507" s="1366"/>
      <c r="CR507" s="1366"/>
      <c r="CS507" s="1366"/>
      <c r="CT507" s="1366"/>
      <c r="CU507" s="1366"/>
      <c r="CV507" s="1366"/>
      <c r="CW507" s="1366"/>
      <c r="CX507" s="1366"/>
      <c r="CY507" s="1366"/>
      <c r="CZ507" s="1366"/>
      <c r="DA507" s="1366"/>
      <c r="DB507" s="1366"/>
      <c r="DC507" s="1366"/>
      <c r="DD507" s="1366"/>
      <c r="DE507" s="1366"/>
      <c r="DF507" s="1366"/>
      <c r="DG507" s="1366"/>
      <c r="DH507" s="1366"/>
      <c r="DI507" s="1366"/>
      <c r="DJ507" s="1366"/>
      <c r="DK507" s="1366"/>
      <c r="DL507" s="1366"/>
      <c r="DM507" s="1366"/>
      <c r="DN507" s="1366"/>
      <c r="DO507" s="1366"/>
      <c r="DP507" s="1366"/>
      <c r="DQ507" s="1366"/>
      <c r="DR507" s="1366"/>
      <c r="DS507" s="1366"/>
      <c r="DT507" s="1366"/>
      <c r="DU507" s="1366"/>
      <c r="DV507" s="1366"/>
    </row>
    <row r="508" spans="1:126" s="1367" customFormat="1" ht="45">
      <c r="A508" s="2530"/>
      <c r="B508" s="1653">
        <v>2221</v>
      </c>
      <c r="C508" s="1642" t="s">
        <v>49</v>
      </c>
      <c r="D508" s="1375" t="s">
        <v>2625</v>
      </c>
      <c r="E508" s="1364" t="s">
        <v>2097</v>
      </c>
      <c r="F508" s="1365" t="s">
        <v>2108</v>
      </c>
      <c r="G508" s="506" t="s">
        <v>1907</v>
      </c>
      <c r="H508" s="1361">
        <f>(42*('Equipment Results Matrix'!$R$1047+'Equipment Results Matrix'!$R$1048))+'Equipment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8.911015813731284</v>
      </c>
      <c r="I508" s="1371">
        <f>'Labor Results Matrix'!$E$532</f>
        <v>7.9629999999999992E-2</v>
      </c>
      <c r="J508" s="1372">
        <f>'Labor Results Matrix'!$G$532*(1+'Labor Results Matrix'!$K$532)</f>
        <v>72.260416710552065</v>
      </c>
      <c r="K508" s="1372">
        <f t="shared" ref="K508" si="218">I508*J508</f>
        <v>5.7540969826612605</v>
      </c>
      <c r="L508" s="1372">
        <v>0</v>
      </c>
      <c r="M508" s="1372">
        <f t="shared" ref="M508" si="219">H508+K508</f>
        <v>14.665112796392545</v>
      </c>
      <c r="N508" s="1458">
        <f t="shared" si="215"/>
        <v>7.6545892849026824</v>
      </c>
      <c r="O508" s="1429"/>
      <c r="P508" s="1430"/>
      <c r="Q508" s="1430"/>
      <c r="R508" s="1430"/>
      <c r="S508" s="1430"/>
      <c r="T508" s="1430"/>
      <c r="U508" s="1430"/>
      <c r="V508" s="1679"/>
      <c r="W508" s="1366"/>
      <c r="X508" s="1366"/>
      <c r="Y508" s="1366"/>
      <c r="Z508" s="1366"/>
      <c r="AA508" s="1366"/>
      <c r="AB508" s="1366"/>
      <c r="AC508" s="1366"/>
      <c r="AD508" s="1366"/>
      <c r="AE508" s="1366"/>
      <c r="AF508" s="1366"/>
      <c r="AG508" s="1366"/>
      <c r="AH508" s="1366"/>
      <c r="AI508" s="1366"/>
      <c r="AJ508" s="1366"/>
      <c r="AK508" s="1366"/>
      <c r="AL508" s="1366"/>
      <c r="AM508" s="1366"/>
      <c r="AN508" s="1366"/>
      <c r="AO508" s="1366"/>
      <c r="AP508" s="1366"/>
      <c r="AQ508" s="1366"/>
      <c r="AR508" s="1366"/>
      <c r="AS508" s="1366"/>
      <c r="AT508" s="1366"/>
      <c r="AU508" s="1366"/>
      <c r="AV508" s="1366"/>
      <c r="AW508" s="1366"/>
      <c r="AX508" s="1366"/>
      <c r="AY508" s="1366"/>
      <c r="AZ508" s="1366"/>
      <c r="BA508" s="1366"/>
      <c r="BB508" s="1366"/>
      <c r="BC508" s="1366"/>
      <c r="BD508" s="1366"/>
      <c r="BE508" s="1366"/>
      <c r="BF508" s="1366"/>
      <c r="BG508" s="1366"/>
      <c r="BH508" s="1366"/>
      <c r="BI508" s="1366"/>
      <c r="BJ508" s="1366"/>
      <c r="BK508" s="1366"/>
      <c r="BL508" s="1366"/>
      <c r="BM508" s="1366"/>
      <c r="BN508" s="1366"/>
      <c r="BO508" s="1366"/>
      <c r="BP508" s="1366"/>
      <c r="BQ508" s="1366"/>
      <c r="BR508" s="1366"/>
      <c r="BS508" s="1366"/>
      <c r="BT508" s="1366"/>
      <c r="BU508" s="1366"/>
      <c r="BV508" s="1366"/>
      <c r="BW508" s="1366"/>
      <c r="BX508" s="1366"/>
      <c r="BY508" s="1366"/>
      <c r="BZ508" s="1366"/>
      <c r="CA508" s="1366"/>
      <c r="CB508" s="1366"/>
      <c r="CC508" s="1366"/>
      <c r="CD508" s="1366"/>
      <c r="CE508" s="1366"/>
      <c r="CF508" s="1366"/>
      <c r="CG508" s="1366"/>
      <c r="CH508" s="1366"/>
      <c r="CI508" s="1366"/>
      <c r="CJ508" s="1366"/>
      <c r="CK508" s="1366"/>
      <c r="CL508" s="1366"/>
      <c r="CM508" s="1366"/>
      <c r="CN508" s="1366"/>
      <c r="CO508" s="1366"/>
      <c r="CP508" s="1366"/>
      <c r="CQ508" s="1366"/>
      <c r="CR508" s="1366"/>
      <c r="CS508" s="1366"/>
      <c r="CT508" s="1366"/>
      <c r="CU508" s="1366"/>
      <c r="CV508" s="1366"/>
      <c r="CW508" s="1366"/>
      <c r="CX508" s="1366"/>
      <c r="CY508" s="1366"/>
      <c r="CZ508" s="1366"/>
      <c r="DA508" s="1366"/>
      <c r="DB508" s="1366"/>
      <c r="DC508" s="1366"/>
      <c r="DD508" s="1366"/>
      <c r="DE508" s="1366"/>
      <c r="DF508" s="1366"/>
      <c r="DG508" s="1366"/>
      <c r="DH508" s="1366"/>
      <c r="DI508" s="1366"/>
      <c r="DJ508" s="1366"/>
      <c r="DK508" s="1366"/>
      <c r="DL508" s="1366"/>
      <c r="DM508" s="1366"/>
      <c r="DN508" s="1366"/>
      <c r="DO508" s="1366"/>
      <c r="DP508" s="1366"/>
      <c r="DQ508" s="1366"/>
      <c r="DR508" s="1366"/>
      <c r="DS508" s="1366"/>
      <c r="DT508" s="1366"/>
      <c r="DU508" s="1366"/>
      <c r="DV508" s="1366"/>
    </row>
    <row r="509" spans="1:126" s="1367" customFormat="1" ht="30">
      <c r="A509" s="2530"/>
      <c r="B509" s="1656" t="s">
        <v>2640</v>
      </c>
      <c r="C509" s="1642" t="s">
        <v>47</v>
      </c>
      <c r="D509" s="1380" t="s">
        <v>2345</v>
      </c>
      <c r="E509" s="1364" t="s">
        <v>2097</v>
      </c>
      <c r="F509" s="1364" t="s">
        <v>2627</v>
      </c>
      <c r="G509" s="1185" t="s">
        <v>1907</v>
      </c>
      <c r="H509" s="1361">
        <f>('Equipment Results Matrix'!$R$979*(0))+('Equipment Results Matrix'!$R$980*(0))+('Equipment Results Matrix'!$R$978*1.5)+'Equipment Results Matrix'!$R$962+'Equipment Results Matrix'!$R$969+'Equipment Results Matrix'!$R$970+'Equipment Results Matrix'!$R$972+'Equipment Results Matrix'!$R$975+'Equipment Results Matrix'!$R$976+'Equipment Results Matrix'!$T$969</f>
        <v>0.80242652882860255</v>
      </c>
      <c r="I509" s="1371">
        <f>'Labor Results Matrix'!$E$470</f>
        <v>7.9629999999999992E-2</v>
      </c>
      <c r="J509" s="1372">
        <f>'Labor Results Matrix'!$G$470*(1+'Labor Results Matrix'!$K$470)</f>
        <v>72.260416710552065</v>
      </c>
      <c r="K509" s="1372">
        <f t="shared" si="196"/>
        <v>5.7540969826612605</v>
      </c>
      <c r="L509" s="1372">
        <v>0</v>
      </c>
      <c r="M509" s="1372">
        <f t="shared" si="197"/>
        <v>6.5565235114898632</v>
      </c>
      <c r="N509" s="1455" t="s">
        <v>40</v>
      </c>
      <c r="O509" s="1429"/>
      <c r="P509" s="1430"/>
      <c r="Q509" s="1430"/>
      <c r="R509" s="1430"/>
      <c r="S509" s="1430"/>
      <c r="T509" s="1430"/>
      <c r="U509" s="1430"/>
      <c r="V509" s="1679"/>
      <c r="W509" s="1366"/>
      <c r="X509" s="1366"/>
      <c r="Y509" s="1366"/>
      <c r="Z509" s="1366"/>
      <c r="AA509" s="1366"/>
      <c r="AB509" s="1366"/>
      <c r="AC509" s="1366"/>
      <c r="AD509" s="1366"/>
      <c r="AE509" s="1366"/>
      <c r="AF509" s="1366"/>
      <c r="AG509" s="1366"/>
      <c r="AH509" s="1366"/>
      <c r="AI509" s="1366"/>
      <c r="AJ509" s="1366"/>
      <c r="AK509" s="1366"/>
      <c r="AL509" s="1366"/>
      <c r="AM509" s="1366"/>
      <c r="AN509" s="1366"/>
      <c r="AO509" s="1366"/>
      <c r="AP509" s="1366"/>
      <c r="AQ509" s="1366"/>
      <c r="AR509" s="1366"/>
      <c r="AS509" s="1366"/>
      <c r="AT509" s="1366"/>
      <c r="AU509" s="1366"/>
      <c r="AV509" s="1366"/>
      <c r="AW509" s="1366"/>
      <c r="AX509" s="1366"/>
      <c r="AY509" s="1366"/>
      <c r="AZ509" s="1366"/>
      <c r="BA509" s="1366"/>
      <c r="BB509" s="1366"/>
      <c r="BC509" s="1366"/>
      <c r="BD509" s="1366"/>
      <c r="BE509" s="1366"/>
      <c r="BF509" s="1366"/>
      <c r="BG509" s="1366"/>
      <c r="BH509" s="1366"/>
      <c r="BI509" s="1366"/>
      <c r="BJ509" s="1366"/>
      <c r="BK509" s="1366"/>
      <c r="BL509" s="1366"/>
      <c r="BM509" s="1366"/>
      <c r="BN509" s="1366"/>
      <c r="BO509" s="1366"/>
      <c r="BP509" s="1366"/>
      <c r="BQ509" s="1366"/>
      <c r="BR509" s="1366"/>
      <c r="BS509" s="1366"/>
      <c r="BT509" s="1366"/>
      <c r="BU509" s="1366"/>
      <c r="BV509" s="1366"/>
      <c r="BW509" s="1366"/>
      <c r="BX509" s="1366"/>
      <c r="BY509" s="1366"/>
      <c r="BZ509" s="1366"/>
      <c r="CA509" s="1366"/>
      <c r="CB509" s="1366"/>
      <c r="CC509" s="1366"/>
      <c r="CD509" s="1366"/>
      <c r="CE509" s="1366"/>
      <c r="CF509" s="1366"/>
      <c r="CG509" s="1366"/>
      <c r="CH509" s="1366"/>
      <c r="CI509" s="1366"/>
      <c r="CJ509" s="1366"/>
      <c r="CK509" s="1366"/>
      <c r="CL509" s="1366"/>
      <c r="CM509" s="1366"/>
      <c r="CN509" s="1366"/>
      <c r="CO509" s="1366"/>
      <c r="CP509" s="1366"/>
      <c r="CQ509" s="1366"/>
      <c r="CR509" s="1366"/>
      <c r="CS509" s="1366"/>
      <c r="CT509" s="1366"/>
      <c r="CU509" s="1366"/>
      <c r="CV509" s="1366"/>
      <c r="CW509" s="1366"/>
      <c r="CX509" s="1366"/>
      <c r="CY509" s="1366"/>
      <c r="CZ509" s="1366"/>
      <c r="DA509" s="1366"/>
      <c r="DB509" s="1366"/>
      <c r="DC509" s="1366"/>
      <c r="DD509" s="1366"/>
      <c r="DE509" s="1366"/>
      <c r="DF509" s="1366"/>
      <c r="DG509" s="1366"/>
      <c r="DH509" s="1366"/>
      <c r="DI509" s="1366"/>
      <c r="DJ509" s="1366"/>
      <c r="DK509" s="1366"/>
      <c r="DL509" s="1366"/>
      <c r="DM509" s="1366"/>
      <c r="DN509" s="1366"/>
      <c r="DO509" s="1366"/>
      <c r="DP509" s="1366"/>
      <c r="DQ509" s="1366"/>
      <c r="DR509" s="1366"/>
      <c r="DS509" s="1366"/>
      <c r="DT509" s="1366"/>
      <c r="DU509" s="1366"/>
      <c r="DV509" s="1366"/>
    </row>
    <row r="510" spans="1:126" s="1367" customFormat="1" ht="30">
      <c r="A510" s="2530"/>
      <c r="B510" s="1653">
        <v>227</v>
      </c>
      <c r="C510" s="1642" t="s">
        <v>49</v>
      </c>
      <c r="D510" s="1375" t="s">
        <v>2373</v>
      </c>
      <c r="E510" s="1364" t="s">
        <v>2097</v>
      </c>
      <c r="F510" s="1364" t="s">
        <v>2107</v>
      </c>
      <c r="G510" s="1185" t="s">
        <v>1907</v>
      </c>
      <c r="H510" s="1361">
        <f>(3*'Equipment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2.3905158137312847</v>
      </c>
      <c r="I510" s="1371">
        <f>'Labor Results Matrix'!$E$532</f>
        <v>7.9629999999999992E-2</v>
      </c>
      <c r="J510" s="1372">
        <f>'Labor Results Matrix'!$G$532*(1+'Labor Results Matrix'!$K$532)</f>
        <v>72.260416710552065</v>
      </c>
      <c r="K510" s="1372">
        <f t="shared" si="196"/>
        <v>5.7540969826612605</v>
      </c>
      <c r="L510" s="1372">
        <v>0</v>
      </c>
      <c r="M510" s="1372">
        <f t="shared" si="197"/>
        <v>8.1446127963925452</v>
      </c>
      <c r="N510" s="1458">
        <f t="shared" ref="N510:N517" si="220">M510-$M$509</f>
        <v>1.588089284902682</v>
      </c>
      <c r="O510" s="1429"/>
      <c r="P510" s="1430"/>
      <c r="Q510" s="1430"/>
      <c r="R510" s="1430"/>
      <c r="S510" s="1430"/>
      <c r="T510" s="1430"/>
      <c r="U510" s="1430"/>
      <c r="V510" s="1679"/>
      <c r="W510" s="1366"/>
      <c r="X510" s="1366"/>
      <c r="Y510" s="1366"/>
      <c r="Z510" s="1366"/>
      <c r="AA510" s="1366"/>
      <c r="AB510" s="1366"/>
      <c r="AC510" s="1366"/>
      <c r="AD510" s="1366"/>
      <c r="AE510" s="1366"/>
      <c r="AF510" s="1366"/>
      <c r="AG510" s="1366"/>
      <c r="AH510" s="1366"/>
      <c r="AI510" s="1366"/>
      <c r="AJ510" s="1366"/>
      <c r="AK510" s="1366"/>
      <c r="AL510" s="1366"/>
      <c r="AM510" s="1366"/>
      <c r="AN510" s="1366"/>
      <c r="AO510" s="1366"/>
      <c r="AP510" s="1366"/>
      <c r="AQ510" s="1366"/>
      <c r="AR510" s="1366"/>
      <c r="AS510" s="1366"/>
      <c r="AT510" s="1366"/>
      <c r="AU510" s="1366"/>
      <c r="AV510" s="1366"/>
      <c r="AW510" s="1366"/>
      <c r="AX510" s="1366"/>
      <c r="AY510" s="1366"/>
      <c r="AZ510" s="1366"/>
      <c r="BA510" s="1366"/>
      <c r="BB510" s="1366"/>
      <c r="BC510" s="1366"/>
      <c r="BD510" s="1366"/>
      <c r="BE510" s="1366"/>
      <c r="BF510" s="1366"/>
      <c r="BG510" s="1366"/>
      <c r="BH510" s="1366"/>
      <c r="BI510" s="1366"/>
      <c r="BJ510" s="1366"/>
      <c r="BK510" s="1366"/>
      <c r="BL510" s="1366"/>
      <c r="BM510" s="1366"/>
      <c r="BN510" s="1366"/>
      <c r="BO510" s="1366"/>
      <c r="BP510" s="1366"/>
      <c r="BQ510" s="1366"/>
      <c r="BR510" s="1366"/>
      <c r="BS510" s="1366"/>
      <c r="BT510" s="1366"/>
      <c r="BU510" s="1366"/>
      <c r="BV510" s="1366"/>
      <c r="BW510" s="1366"/>
      <c r="BX510" s="1366"/>
      <c r="BY510" s="1366"/>
      <c r="BZ510" s="1366"/>
      <c r="CA510" s="1366"/>
      <c r="CB510" s="1366"/>
      <c r="CC510" s="1366"/>
      <c r="CD510" s="1366"/>
      <c r="CE510" s="1366"/>
      <c r="CF510" s="1366"/>
      <c r="CG510" s="1366"/>
      <c r="CH510" s="1366"/>
      <c r="CI510" s="1366"/>
      <c r="CJ510" s="1366"/>
      <c r="CK510" s="1366"/>
      <c r="CL510" s="1366"/>
      <c r="CM510" s="1366"/>
      <c r="CN510" s="1366"/>
      <c r="CO510" s="1366"/>
      <c r="CP510" s="1366"/>
      <c r="CQ510" s="1366"/>
      <c r="CR510" s="1366"/>
      <c r="CS510" s="1366"/>
      <c r="CT510" s="1366"/>
      <c r="CU510" s="1366"/>
      <c r="CV510" s="1366"/>
      <c r="CW510" s="1366"/>
      <c r="CX510" s="1366"/>
      <c r="CY510" s="1366"/>
      <c r="CZ510" s="1366"/>
      <c r="DA510" s="1366"/>
      <c r="DB510" s="1366"/>
      <c r="DC510" s="1366"/>
      <c r="DD510" s="1366"/>
      <c r="DE510" s="1366"/>
      <c r="DF510" s="1366"/>
      <c r="DG510" s="1366"/>
      <c r="DH510" s="1366"/>
      <c r="DI510" s="1366"/>
      <c r="DJ510" s="1366"/>
      <c r="DK510" s="1366"/>
      <c r="DL510" s="1366"/>
      <c r="DM510" s="1366"/>
      <c r="DN510" s="1366"/>
      <c r="DO510" s="1366"/>
      <c r="DP510" s="1366"/>
      <c r="DQ510" s="1366"/>
      <c r="DR510" s="1366"/>
      <c r="DS510" s="1366"/>
      <c r="DT510" s="1366"/>
      <c r="DU510" s="1366"/>
      <c r="DV510" s="1366"/>
    </row>
    <row r="511" spans="1:126" s="1367" customFormat="1" ht="30">
      <c r="A511" s="2530"/>
      <c r="B511" s="1653">
        <v>229</v>
      </c>
      <c r="C511" s="1642" t="s">
        <v>49</v>
      </c>
      <c r="D511" s="1375" t="s">
        <v>2374</v>
      </c>
      <c r="E511" s="1364" t="s">
        <v>2097</v>
      </c>
      <c r="F511" s="1364" t="s">
        <v>2107</v>
      </c>
      <c r="G511" s="1185" t="s">
        <v>1907</v>
      </c>
      <c r="H511" s="1361">
        <f>(4*'Equipment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2.4570158137312847</v>
      </c>
      <c r="I511" s="1371">
        <f>'Labor Results Matrix'!$E$532</f>
        <v>7.9629999999999992E-2</v>
      </c>
      <c r="J511" s="1372">
        <f>'Labor Results Matrix'!$G$532*(1+'Labor Results Matrix'!$K$532)</f>
        <v>72.260416710552065</v>
      </c>
      <c r="K511" s="1372">
        <f t="shared" si="196"/>
        <v>5.7540969826612605</v>
      </c>
      <c r="L511" s="1372">
        <v>0</v>
      </c>
      <c r="M511" s="1372">
        <f t="shared" si="197"/>
        <v>8.2111127963925448</v>
      </c>
      <c r="N511" s="1458">
        <f t="shared" si="220"/>
        <v>1.6545892849026815</v>
      </c>
      <c r="O511" s="1429"/>
      <c r="P511" s="1430"/>
      <c r="Q511" s="1430"/>
      <c r="R511" s="1430"/>
      <c r="S511" s="1430"/>
      <c r="T511" s="1430"/>
      <c r="U511" s="1430"/>
      <c r="V511" s="1679"/>
      <c r="W511" s="1366"/>
      <c r="X511" s="1366"/>
      <c r="Y511" s="1366"/>
      <c r="Z511" s="1366"/>
      <c r="AA511" s="1366"/>
      <c r="AB511" s="1366"/>
      <c r="AC511" s="1366"/>
      <c r="AD511" s="1366"/>
      <c r="AE511" s="1366"/>
      <c r="AF511" s="1366"/>
      <c r="AG511" s="1366"/>
      <c r="AH511" s="1366"/>
      <c r="AI511" s="1366"/>
      <c r="AJ511" s="1366"/>
      <c r="AK511" s="1366"/>
      <c r="AL511" s="1366"/>
      <c r="AM511" s="1366"/>
      <c r="AN511" s="1366"/>
      <c r="AO511" s="1366"/>
      <c r="AP511" s="1366"/>
      <c r="AQ511" s="1366"/>
      <c r="AR511" s="1366"/>
      <c r="AS511" s="1366"/>
      <c r="AT511" s="1366"/>
      <c r="AU511" s="1366"/>
      <c r="AV511" s="1366"/>
      <c r="AW511" s="1366"/>
      <c r="AX511" s="1366"/>
      <c r="AY511" s="1366"/>
      <c r="AZ511" s="1366"/>
      <c r="BA511" s="1366"/>
      <c r="BB511" s="1366"/>
      <c r="BC511" s="1366"/>
      <c r="BD511" s="1366"/>
      <c r="BE511" s="1366"/>
      <c r="BF511" s="1366"/>
      <c r="BG511" s="1366"/>
      <c r="BH511" s="1366"/>
      <c r="BI511" s="1366"/>
      <c r="BJ511" s="1366"/>
      <c r="BK511" s="1366"/>
      <c r="BL511" s="1366"/>
      <c r="BM511" s="1366"/>
      <c r="BN511" s="1366"/>
      <c r="BO511" s="1366"/>
      <c r="BP511" s="1366"/>
      <c r="BQ511" s="1366"/>
      <c r="BR511" s="1366"/>
      <c r="BS511" s="1366"/>
      <c r="BT511" s="1366"/>
      <c r="BU511" s="1366"/>
      <c r="BV511" s="1366"/>
      <c r="BW511" s="1366"/>
      <c r="BX511" s="1366"/>
      <c r="BY511" s="1366"/>
      <c r="BZ511" s="1366"/>
      <c r="CA511" s="1366"/>
      <c r="CB511" s="1366"/>
      <c r="CC511" s="1366"/>
      <c r="CD511" s="1366"/>
      <c r="CE511" s="1366"/>
      <c r="CF511" s="1366"/>
      <c r="CG511" s="1366"/>
      <c r="CH511" s="1366"/>
      <c r="CI511" s="1366"/>
      <c r="CJ511" s="1366"/>
      <c r="CK511" s="1366"/>
      <c r="CL511" s="1366"/>
      <c r="CM511" s="1366"/>
      <c r="CN511" s="1366"/>
      <c r="CO511" s="1366"/>
      <c r="CP511" s="1366"/>
      <c r="CQ511" s="1366"/>
      <c r="CR511" s="1366"/>
      <c r="CS511" s="1366"/>
      <c r="CT511" s="1366"/>
      <c r="CU511" s="1366"/>
      <c r="CV511" s="1366"/>
      <c r="CW511" s="1366"/>
      <c r="CX511" s="1366"/>
      <c r="CY511" s="1366"/>
      <c r="CZ511" s="1366"/>
      <c r="DA511" s="1366"/>
      <c r="DB511" s="1366"/>
      <c r="DC511" s="1366"/>
      <c r="DD511" s="1366"/>
      <c r="DE511" s="1366"/>
      <c r="DF511" s="1366"/>
      <c r="DG511" s="1366"/>
      <c r="DH511" s="1366"/>
      <c r="DI511" s="1366"/>
      <c r="DJ511" s="1366"/>
      <c r="DK511" s="1366"/>
      <c r="DL511" s="1366"/>
      <c r="DM511" s="1366"/>
      <c r="DN511" s="1366"/>
      <c r="DO511" s="1366"/>
      <c r="DP511" s="1366"/>
      <c r="DQ511" s="1366"/>
      <c r="DR511" s="1366"/>
      <c r="DS511" s="1366"/>
      <c r="DT511" s="1366"/>
      <c r="DU511" s="1366"/>
      <c r="DV511" s="1366"/>
    </row>
    <row r="512" spans="1:126" s="1367" customFormat="1" ht="30">
      <c r="A512" s="2530"/>
      <c r="B512" s="1653">
        <v>231</v>
      </c>
      <c r="C512" s="1642" t="s">
        <v>49</v>
      </c>
      <c r="D512" s="1375" t="s">
        <v>2593</v>
      </c>
      <c r="E512" s="1364" t="s">
        <v>2097</v>
      </c>
      <c r="F512" s="1364" t="s">
        <v>2107</v>
      </c>
      <c r="G512" s="1185" t="s">
        <v>1907</v>
      </c>
      <c r="H512" s="1361">
        <f>(5*'Equipment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2.5235158137312848</v>
      </c>
      <c r="I512" s="1371">
        <f>'Labor Results Matrix'!$E$532</f>
        <v>7.9629999999999992E-2</v>
      </c>
      <c r="J512" s="1372">
        <f>'Labor Results Matrix'!$G$532*(1+'Labor Results Matrix'!$K$532)</f>
        <v>72.260416710552065</v>
      </c>
      <c r="K512" s="1372">
        <f t="shared" si="196"/>
        <v>5.7540969826612605</v>
      </c>
      <c r="L512" s="1372">
        <v>0</v>
      </c>
      <c r="M512" s="1372">
        <f t="shared" si="197"/>
        <v>8.2776127963925461</v>
      </c>
      <c r="N512" s="1458">
        <f t="shared" si="220"/>
        <v>1.7210892849026829</v>
      </c>
      <c r="O512" s="1429"/>
      <c r="P512" s="1430"/>
      <c r="Q512" s="1430"/>
      <c r="R512" s="1430"/>
      <c r="S512" s="1430"/>
      <c r="T512" s="1430"/>
      <c r="U512" s="1430"/>
      <c r="V512" s="1679"/>
      <c r="W512" s="1366"/>
      <c r="X512" s="1366"/>
      <c r="Y512" s="1366"/>
      <c r="Z512" s="1366"/>
      <c r="AA512" s="1366"/>
      <c r="AB512" s="1366"/>
      <c r="AC512" s="1366"/>
      <c r="AD512" s="1366"/>
      <c r="AE512" s="1366"/>
      <c r="AF512" s="1366"/>
      <c r="AG512" s="1366"/>
      <c r="AH512" s="1366"/>
      <c r="AI512" s="1366"/>
      <c r="AJ512" s="1366"/>
      <c r="AK512" s="1366"/>
      <c r="AL512" s="1366"/>
      <c r="AM512" s="1366"/>
      <c r="AN512" s="1366"/>
      <c r="AO512" s="1366"/>
      <c r="AP512" s="1366"/>
      <c r="AQ512" s="1366"/>
      <c r="AR512" s="1366"/>
      <c r="AS512" s="1366"/>
      <c r="AT512" s="1366"/>
      <c r="AU512" s="1366"/>
      <c r="AV512" s="1366"/>
      <c r="AW512" s="1366"/>
      <c r="AX512" s="1366"/>
      <c r="AY512" s="1366"/>
      <c r="AZ512" s="1366"/>
      <c r="BA512" s="1366"/>
      <c r="BB512" s="1366"/>
      <c r="BC512" s="1366"/>
      <c r="BD512" s="1366"/>
      <c r="BE512" s="1366"/>
      <c r="BF512" s="1366"/>
      <c r="BG512" s="1366"/>
      <c r="BH512" s="1366"/>
      <c r="BI512" s="1366"/>
      <c r="BJ512" s="1366"/>
      <c r="BK512" s="1366"/>
      <c r="BL512" s="1366"/>
      <c r="BM512" s="1366"/>
      <c r="BN512" s="1366"/>
      <c r="BO512" s="1366"/>
      <c r="BP512" s="1366"/>
      <c r="BQ512" s="1366"/>
      <c r="BR512" s="1366"/>
      <c r="BS512" s="1366"/>
      <c r="BT512" s="1366"/>
      <c r="BU512" s="1366"/>
      <c r="BV512" s="1366"/>
      <c r="BW512" s="1366"/>
      <c r="BX512" s="1366"/>
      <c r="BY512" s="1366"/>
      <c r="BZ512" s="1366"/>
      <c r="CA512" s="1366"/>
      <c r="CB512" s="1366"/>
      <c r="CC512" s="1366"/>
      <c r="CD512" s="1366"/>
      <c r="CE512" s="1366"/>
      <c r="CF512" s="1366"/>
      <c r="CG512" s="1366"/>
      <c r="CH512" s="1366"/>
      <c r="CI512" s="1366"/>
      <c r="CJ512" s="1366"/>
      <c r="CK512" s="1366"/>
      <c r="CL512" s="1366"/>
      <c r="CM512" s="1366"/>
      <c r="CN512" s="1366"/>
      <c r="CO512" s="1366"/>
      <c r="CP512" s="1366"/>
      <c r="CQ512" s="1366"/>
      <c r="CR512" s="1366"/>
      <c r="CS512" s="1366"/>
      <c r="CT512" s="1366"/>
      <c r="CU512" s="1366"/>
      <c r="CV512" s="1366"/>
      <c r="CW512" s="1366"/>
      <c r="CX512" s="1366"/>
      <c r="CY512" s="1366"/>
      <c r="CZ512" s="1366"/>
      <c r="DA512" s="1366"/>
      <c r="DB512" s="1366"/>
      <c r="DC512" s="1366"/>
      <c r="DD512" s="1366"/>
      <c r="DE512" s="1366"/>
      <c r="DF512" s="1366"/>
      <c r="DG512" s="1366"/>
      <c r="DH512" s="1366"/>
      <c r="DI512" s="1366"/>
      <c r="DJ512" s="1366"/>
      <c r="DK512" s="1366"/>
      <c r="DL512" s="1366"/>
      <c r="DM512" s="1366"/>
      <c r="DN512" s="1366"/>
      <c r="DO512" s="1366"/>
      <c r="DP512" s="1366"/>
      <c r="DQ512" s="1366"/>
      <c r="DR512" s="1366"/>
      <c r="DS512" s="1366"/>
      <c r="DT512" s="1366"/>
      <c r="DU512" s="1366"/>
      <c r="DV512" s="1366"/>
    </row>
    <row r="513" spans="1:126" s="1367" customFormat="1" ht="30">
      <c r="A513" s="2530"/>
      <c r="B513" s="1653">
        <v>233</v>
      </c>
      <c r="C513" s="1642" t="s">
        <v>49</v>
      </c>
      <c r="D513" s="1375" t="s">
        <v>2375</v>
      </c>
      <c r="E513" s="1364" t="s">
        <v>2097</v>
      </c>
      <c r="F513" s="1364" t="s">
        <v>2107</v>
      </c>
      <c r="G513" s="1185" t="s">
        <v>1907</v>
      </c>
      <c r="H513" s="1361">
        <f>(6*'Equipment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2.5900158137312848</v>
      </c>
      <c r="I513" s="1371">
        <f>'Labor Results Matrix'!$E$532</f>
        <v>7.9629999999999992E-2</v>
      </c>
      <c r="J513" s="1372">
        <f>'Labor Results Matrix'!$G$532*(1+'Labor Results Matrix'!$K$532)</f>
        <v>72.260416710552065</v>
      </c>
      <c r="K513" s="1372">
        <f t="shared" si="196"/>
        <v>5.7540969826612605</v>
      </c>
      <c r="L513" s="1372">
        <v>0</v>
      </c>
      <c r="M513" s="1372">
        <f t="shared" si="197"/>
        <v>8.3441127963925457</v>
      </c>
      <c r="N513" s="1458">
        <f t="shared" si="220"/>
        <v>1.7875892849026824</v>
      </c>
      <c r="O513" s="1429"/>
      <c r="P513" s="1430"/>
      <c r="Q513" s="1430"/>
      <c r="R513" s="1430"/>
      <c r="S513" s="1430"/>
      <c r="T513" s="1430"/>
      <c r="U513" s="1430"/>
      <c r="V513" s="1679"/>
      <c r="W513" s="1366"/>
      <c r="X513" s="1366"/>
      <c r="Y513" s="1366"/>
      <c r="Z513" s="1366"/>
      <c r="AA513" s="1366"/>
      <c r="AB513" s="1366"/>
      <c r="AC513" s="1366"/>
      <c r="AD513" s="1366"/>
      <c r="AE513" s="1366"/>
      <c r="AF513" s="1366"/>
      <c r="AG513" s="1366"/>
      <c r="AH513" s="1366"/>
      <c r="AI513" s="1366"/>
      <c r="AJ513" s="1366"/>
      <c r="AK513" s="1366"/>
      <c r="AL513" s="1366"/>
      <c r="AM513" s="1366"/>
      <c r="AN513" s="1366"/>
      <c r="AO513" s="1366"/>
      <c r="AP513" s="1366"/>
      <c r="AQ513" s="1366"/>
      <c r="AR513" s="1366"/>
      <c r="AS513" s="1366"/>
      <c r="AT513" s="1366"/>
      <c r="AU513" s="1366"/>
      <c r="AV513" s="1366"/>
      <c r="AW513" s="1366"/>
      <c r="AX513" s="1366"/>
      <c r="AY513" s="1366"/>
      <c r="AZ513" s="1366"/>
      <c r="BA513" s="1366"/>
      <c r="BB513" s="1366"/>
      <c r="BC513" s="1366"/>
      <c r="BD513" s="1366"/>
      <c r="BE513" s="1366"/>
      <c r="BF513" s="1366"/>
      <c r="BG513" s="1366"/>
      <c r="BH513" s="1366"/>
      <c r="BI513" s="1366"/>
      <c r="BJ513" s="1366"/>
      <c r="BK513" s="1366"/>
      <c r="BL513" s="1366"/>
      <c r="BM513" s="1366"/>
      <c r="BN513" s="1366"/>
      <c r="BO513" s="1366"/>
      <c r="BP513" s="1366"/>
      <c r="BQ513" s="1366"/>
      <c r="BR513" s="1366"/>
      <c r="BS513" s="1366"/>
      <c r="BT513" s="1366"/>
      <c r="BU513" s="1366"/>
      <c r="BV513" s="1366"/>
      <c r="BW513" s="1366"/>
      <c r="BX513" s="1366"/>
      <c r="BY513" s="1366"/>
      <c r="BZ513" s="1366"/>
      <c r="CA513" s="1366"/>
      <c r="CB513" s="1366"/>
      <c r="CC513" s="1366"/>
      <c r="CD513" s="1366"/>
      <c r="CE513" s="1366"/>
      <c r="CF513" s="1366"/>
      <c r="CG513" s="1366"/>
      <c r="CH513" s="1366"/>
      <c r="CI513" s="1366"/>
      <c r="CJ513" s="1366"/>
      <c r="CK513" s="1366"/>
      <c r="CL513" s="1366"/>
      <c r="CM513" s="1366"/>
      <c r="CN513" s="1366"/>
      <c r="CO513" s="1366"/>
      <c r="CP513" s="1366"/>
      <c r="CQ513" s="1366"/>
      <c r="CR513" s="1366"/>
      <c r="CS513" s="1366"/>
      <c r="CT513" s="1366"/>
      <c r="CU513" s="1366"/>
      <c r="CV513" s="1366"/>
      <c r="CW513" s="1366"/>
      <c r="CX513" s="1366"/>
      <c r="CY513" s="1366"/>
      <c r="CZ513" s="1366"/>
      <c r="DA513" s="1366"/>
      <c r="DB513" s="1366"/>
      <c r="DC513" s="1366"/>
      <c r="DD513" s="1366"/>
      <c r="DE513" s="1366"/>
      <c r="DF513" s="1366"/>
      <c r="DG513" s="1366"/>
      <c r="DH513" s="1366"/>
      <c r="DI513" s="1366"/>
      <c r="DJ513" s="1366"/>
      <c r="DK513" s="1366"/>
      <c r="DL513" s="1366"/>
      <c r="DM513" s="1366"/>
      <c r="DN513" s="1366"/>
      <c r="DO513" s="1366"/>
      <c r="DP513" s="1366"/>
      <c r="DQ513" s="1366"/>
      <c r="DR513" s="1366"/>
      <c r="DS513" s="1366"/>
      <c r="DT513" s="1366"/>
      <c r="DU513" s="1366"/>
      <c r="DV513" s="1366"/>
    </row>
    <row r="514" spans="1:126" s="1367" customFormat="1" ht="30">
      <c r="A514" s="2530"/>
      <c r="B514" s="1653">
        <v>2190</v>
      </c>
      <c r="C514" s="1642" t="s">
        <v>49</v>
      </c>
      <c r="D514" s="1375" t="s">
        <v>2594</v>
      </c>
      <c r="E514" s="1364" t="s">
        <v>2097</v>
      </c>
      <c r="F514" s="1365" t="s">
        <v>2108</v>
      </c>
      <c r="G514" s="506" t="s">
        <v>1907</v>
      </c>
      <c r="H514" s="1361">
        <f>(3*'Equipment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2.3905158137312847</v>
      </c>
      <c r="I514" s="1371">
        <f>'Labor Results Matrix'!$E$532</f>
        <v>7.9629999999999992E-2</v>
      </c>
      <c r="J514" s="1372">
        <f>'Labor Results Matrix'!$G$532*(1+'Labor Results Matrix'!$K$532)</f>
        <v>72.260416710552065</v>
      </c>
      <c r="K514" s="1372">
        <f t="shared" ref="K514:K517" si="221">I514*J514</f>
        <v>5.7540969826612605</v>
      </c>
      <c r="L514" s="1372">
        <v>0</v>
      </c>
      <c r="M514" s="1372">
        <f t="shared" ref="M514:M517" si="222">H514+K514</f>
        <v>8.1446127963925452</v>
      </c>
      <c r="N514" s="1458">
        <f t="shared" si="220"/>
        <v>1.588089284902682</v>
      </c>
      <c r="O514" s="1429"/>
      <c r="P514" s="1430"/>
      <c r="Q514" s="1430"/>
      <c r="R514" s="1430"/>
      <c r="S514" s="1430"/>
      <c r="T514" s="1430"/>
      <c r="U514" s="1430"/>
      <c r="V514" s="1679"/>
      <c r="W514" s="1366"/>
      <c r="X514" s="1366"/>
      <c r="Y514" s="1366"/>
      <c r="Z514" s="1366"/>
      <c r="AA514" s="1366"/>
      <c r="AB514" s="1366"/>
      <c r="AC514" s="1366"/>
      <c r="AD514" s="1366"/>
      <c r="AE514" s="1366"/>
      <c r="AF514" s="1366"/>
      <c r="AG514" s="1366"/>
      <c r="AH514" s="1366"/>
      <c r="AI514" s="1366"/>
      <c r="AJ514" s="1366"/>
      <c r="AK514" s="1366"/>
      <c r="AL514" s="1366"/>
      <c r="AM514" s="1366"/>
      <c r="AN514" s="1366"/>
      <c r="AO514" s="1366"/>
      <c r="AP514" s="1366"/>
      <c r="AQ514" s="1366"/>
      <c r="AR514" s="1366"/>
      <c r="AS514" s="1366"/>
      <c r="AT514" s="1366"/>
      <c r="AU514" s="1366"/>
      <c r="AV514" s="1366"/>
      <c r="AW514" s="1366"/>
      <c r="AX514" s="1366"/>
      <c r="AY514" s="1366"/>
      <c r="AZ514" s="1366"/>
      <c r="BA514" s="1366"/>
      <c r="BB514" s="1366"/>
      <c r="BC514" s="1366"/>
      <c r="BD514" s="1366"/>
      <c r="BE514" s="1366"/>
      <c r="BF514" s="1366"/>
      <c r="BG514" s="1366"/>
      <c r="BH514" s="1366"/>
      <c r="BI514" s="1366"/>
      <c r="BJ514" s="1366"/>
      <c r="BK514" s="1366"/>
      <c r="BL514" s="1366"/>
      <c r="BM514" s="1366"/>
      <c r="BN514" s="1366"/>
      <c r="BO514" s="1366"/>
      <c r="BP514" s="1366"/>
      <c r="BQ514" s="1366"/>
      <c r="BR514" s="1366"/>
      <c r="BS514" s="1366"/>
      <c r="BT514" s="1366"/>
      <c r="BU514" s="1366"/>
      <c r="BV514" s="1366"/>
      <c r="BW514" s="1366"/>
      <c r="BX514" s="1366"/>
      <c r="BY514" s="1366"/>
      <c r="BZ514" s="1366"/>
      <c r="CA514" s="1366"/>
      <c r="CB514" s="1366"/>
      <c r="CC514" s="1366"/>
      <c r="CD514" s="1366"/>
      <c r="CE514" s="1366"/>
      <c r="CF514" s="1366"/>
      <c r="CG514" s="1366"/>
      <c r="CH514" s="1366"/>
      <c r="CI514" s="1366"/>
      <c r="CJ514" s="1366"/>
      <c r="CK514" s="1366"/>
      <c r="CL514" s="1366"/>
      <c r="CM514" s="1366"/>
      <c r="CN514" s="1366"/>
      <c r="CO514" s="1366"/>
      <c r="CP514" s="1366"/>
      <c r="CQ514" s="1366"/>
      <c r="CR514" s="1366"/>
      <c r="CS514" s="1366"/>
      <c r="CT514" s="1366"/>
      <c r="CU514" s="1366"/>
      <c r="CV514" s="1366"/>
      <c r="CW514" s="1366"/>
      <c r="CX514" s="1366"/>
      <c r="CY514" s="1366"/>
      <c r="CZ514" s="1366"/>
      <c r="DA514" s="1366"/>
      <c r="DB514" s="1366"/>
      <c r="DC514" s="1366"/>
      <c r="DD514" s="1366"/>
      <c r="DE514" s="1366"/>
      <c r="DF514" s="1366"/>
      <c r="DG514" s="1366"/>
      <c r="DH514" s="1366"/>
      <c r="DI514" s="1366"/>
      <c r="DJ514" s="1366"/>
      <c r="DK514" s="1366"/>
      <c r="DL514" s="1366"/>
      <c r="DM514" s="1366"/>
      <c r="DN514" s="1366"/>
      <c r="DO514" s="1366"/>
      <c r="DP514" s="1366"/>
      <c r="DQ514" s="1366"/>
      <c r="DR514" s="1366"/>
      <c r="DS514" s="1366"/>
      <c r="DT514" s="1366"/>
      <c r="DU514" s="1366"/>
      <c r="DV514" s="1366"/>
    </row>
    <row r="515" spans="1:126" s="1367" customFormat="1" ht="30">
      <c r="A515" s="2530"/>
      <c r="B515" s="1653">
        <v>2191</v>
      </c>
      <c r="C515" s="1642" t="s">
        <v>49</v>
      </c>
      <c r="D515" s="1375" t="s">
        <v>2595</v>
      </c>
      <c r="E515" s="1364" t="s">
        <v>2097</v>
      </c>
      <c r="F515" s="1365" t="s">
        <v>2108</v>
      </c>
      <c r="G515" s="506" t="s">
        <v>1907</v>
      </c>
      <c r="H515" s="1361">
        <f>(4*'Equipment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2.4570158137312847</v>
      </c>
      <c r="I515" s="1371">
        <f>'Labor Results Matrix'!$E$532</f>
        <v>7.9629999999999992E-2</v>
      </c>
      <c r="J515" s="1372">
        <f>'Labor Results Matrix'!$G$532*(1+'Labor Results Matrix'!$K$532)</f>
        <v>72.260416710552065</v>
      </c>
      <c r="K515" s="1372">
        <f t="shared" si="221"/>
        <v>5.7540969826612605</v>
      </c>
      <c r="L515" s="1372">
        <v>0</v>
      </c>
      <c r="M515" s="1372">
        <f t="shared" si="222"/>
        <v>8.2111127963925448</v>
      </c>
      <c r="N515" s="1458">
        <f t="shared" si="220"/>
        <v>1.6545892849026815</v>
      </c>
      <c r="O515" s="1429"/>
      <c r="P515" s="1430"/>
      <c r="Q515" s="1430"/>
      <c r="R515" s="1430"/>
      <c r="S515" s="1430"/>
      <c r="T515" s="1430"/>
      <c r="U515" s="1430"/>
      <c r="V515" s="1679"/>
      <c r="W515" s="1366"/>
      <c r="X515" s="1366"/>
      <c r="Y515" s="1366"/>
      <c r="Z515" s="1366"/>
      <c r="AA515" s="1366"/>
      <c r="AB515" s="1366"/>
      <c r="AC515" s="1366"/>
      <c r="AD515" s="1366"/>
      <c r="AE515" s="1366"/>
      <c r="AF515" s="1366"/>
      <c r="AG515" s="1366"/>
      <c r="AH515" s="1366"/>
      <c r="AI515" s="1366"/>
      <c r="AJ515" s="1366"/>
      <c r="AK515" s="1366"/>
      <c r="AL515" s="1366"/>
      <c r="AM515" s="1366"/>
      <c r="AN515" s="1366"/>
      <c r="AO515" s="1366"/>
      <c r="AP515" s="1366"/>
      <c r="AQ515" s="1366"/>
      <c r="AR515" s="1366"/>
      <c r="AS515" s="1366"/>
      <c r="AT515" s="1366"/>
      <c r="AU515" s="1366"/>
      <c r="AV515" s="1366"/>
      <c r="AW515" s="1366"/>
      <c r="AX515" s="1366"/>
      <c r="AY515" s="1366"/>
      <c r="AZ515" s="1366"/>
      <c r="BA515" s="1366"/>
      <c r="BB515" s="1366"/>
      <c r="BC515" s="1366"/>
      <c r="BD515" s="1366"/>
      <c r="BE515" s="1366"/>
      <c r="BF515" s="1366"/>
      <c r="BG515" s="1366"/>
      <c r="BH515" s="1366"/>
      <c r="BI515" s="1366"/>
      <c r="BJ515" s="1366"/>
      <c r="BK515" s="1366"/>
      <c r="BL515" s="1366"/>
      <c r="BM515" s="1366"/>
      <c r="BN515" s="1366"/>
      <c r="BO515" s="1366"/>
      <c r="BP515" s="1366"/>
      <c r="BQ515" s="1366"/>
      <c r="BR515" s="1366"/>
      <c r="BS515" s="1366"/>
      <c r="BT515" s="1366"/>
      <c r="BU515" s="1366"/>
      <c r="BV515" s="1366"/>
      <c r="BW515" s="1366"/>
      <c r="BX515" s="1366"/>
      <c r="BY515" s="1366"/>
      <c r="BZ515" s="1366"/>
      <c r="CA515" s="1366"/>
      <c r="CB515" s="1366"/>
      <c r="CC515" s="1366"/>
      <c r="CD515" s="1366"/>
      <c r="CE515" s="1366"/>
      <c r="CF515" s="1366"/>
      <c r="CG515" s="1366"/>
      <c r="CH515" s="1366"/>
      <c r="CI515" s="1366"/>
      <c r="CJ515" s="1366"/>
      <c r="CK515" s="1366"/>
      <c r="CL515" s="1366"/>
      <c r="CM515" s="1366"/>
      <c r="CN515" s="1366"/>
      <c r="CO515" s="1366"/>
      <c r="CP515" s="1366"/>
      <c r="CQ515" s="1366"/>
      <c r="CR515" s="1366"/>
      <c r="CS515" s="1366"/>
      <c r="CT515" s="1366"/>
      <c r="CU515" s="1366"/>
      <c r="CV515" s="1366"/>
      <c r="CW515" s="1366"/>
      <c r="CX515" s="1366"/>
      <c r="CY515" s="1366"/>
      <c r="CZ515" s="1366"/>
      <c r="DA515" s="1366"/>
      <c r="DB515" s="1366"/>
      <c r="DC515" s="1366"/>
      <c r="DD515" s="1366"/>
      <c r="DE515" s="1366"/>
      <c r="DF515" s="1366"/>
      <c r="DG515" s="1366"/>
      <c r="DH515" s="1366"/>
      <c r="DI515" s="1366"/>
      <c r="DJ515" s="1366"/>
      <c r="DK515" s="1366"/>
      <c r="DL515" s="1366"/>
      <c r="DM515" s="1366"/>
      <c r="DN515" s="1366"/>
      <c r="DO515" s="1366"/>
      <c r="DP515" s="1366"/>
      <c r="DQ515" s="1366"/>
      <c r="DR515" s="1366"/>
      <c r="DS515" s="1366"/>
      <c r="DT515" s="1366"/>
      <c r="DU515" s="1366"/>
      <c r="DV515" s="1366"/>
    </row>
    <row r="516" spans="1:126" s="1367" customFormat="1" ht="30">
      <c r="A516" s="2531"/>
      <c r="B516" s="1653">
        <v>2192</v>
      </c>
      <c r="C516" s="1642" t="s">
        <v>49</v>
      </c>
      <c r="D516" s="1375" t="s">
        <v>2596</v>
      </c>
      <c r="E516" s="1364" t="s">
        <v>2097</v>
      </c>
      <c r="F516" s="1365" t="s">
        <v>2108</v>
      </c>
      <c r="G516" s="506" t="s">
        <v>1907</v>
      </c>
      <c r="H516" s="1361">
        <f>(5*'Equipment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2.5235158137312848</v>
      </c>
      <c r="I516" s="1371">
        <f>'Labor Results Matrix'!$E$532</f>
        <v>7.9629999999999992E-2</v>
      </c>
      <c r="J516" s="1372">
        <f>'Labor Results Matrix'!$G$532*(1+'Labor Results Matrix'!$K$532)</f>
        <v>72.260416710552065</v>
      </c>
      <c r="K516" s="1372">
        <f t="shared" si="221"/>
        <v>5.7540969826612605</v>
      </c>
      <c r="L516" s="1372">
        <v>0</v>
      </c>
      <c r="M516" s="1372">
        <f t="shared" si="222"/>
        <v>8.2776127963925461</v>
      </c>
      <c r="N516" s="1458">
        <f t="shared" si="220"/>
        <v>1.7210892849026829</v>
      </c>
      <c r="O516" s="1429"/>
      <c r="P516" s="1430"/>
      <c r="Q516" s="1430"/>
      <c r="R516" s="1430"/>
      <c r="S516" s="1430"/>
      <c r="T516" s="1430"/>
      <c r="U516" s="1430"/>
      <c r="V516" s="1679"/>
      <c r="W516" s="1366"/>
      <c r="X516" s="1366"/>
      <c r="Y516" s="1366"/>
      <c r="Z516" s="1366"/>
      <c r="AA516" s="1366"/>
      <c r="AB516" s="1366"/>
      <c r="AC516" s="1366"/>
      <c r="AD516" s="1366"/>
      <c r="AE516" s="1366"/>
      <c r="AF516" s="1366"/>
      <c r="AG516" s="1366"/>
      <c r="AH516" s="1366"/>
      <c r="AI516" s="1366"/>
      <c r="AJ516" s="1366"/>
      <c r="AK516" s="1366"/>
      <c r="AL516" s="1366"/>
      <c r="AM516" s="1366"/>
      <c r="AN516" s="1366"/>
      <c r="AO516" s="1366"/>
      <c r="AP516" s="1366"/>
      <c r="AQ516" s="1366"/>
      <c r="AR516" s="1366"/>
      <c r="AS516" s="1366"/>
      <c r="AT516" s="1366"/>
      <c r="AU516" s="1366"/>
      <c r="AV516" s="1366"/>
      <c r="AW516" s="1366"/>
      <c r="AX516" s="1366"/>
      <c r="AY516" s="1366"/>
      <c r="AZ516" s="1366"/>
      <c r="BA516" s="1366"/>
      <c r="BB516" s="1366"/>
      <c r="BC516" s="1366"/>
      <c r="BD516" s="1366"/>
      <c r="BE516" s="1366"/>
      <c r="BF516" s="1366"/>
      <c r="BG516" s="1366"/>
      <c r="BH516" s="1366"/>
      <c r="BI516" s="1366"/>
      <c r="BJ516" s="1366"/>
      <c r="BK516" s="1366"/>
      <c r="BL516" s="1366"/>
      <c r="BM516" s="1366"/>
      <c r="BN516" s="1366"/>
      <c r="BO516" s="1366"/>
      <c r="BP516" s="1366"/>
      <c r="BQ516" s="1366"/>
      <c r="BR516" s="1366"/>
      <c r="BS516" s="1366"/>
      <c r="BT516" s="1366"/>
      <c r="BU516" s="1366"/>
      <c r="BV516" s="1366"/>
      <c r="BW516" s="1366"/>
      <c r="BX516" s="1366"/>
      <c r="BY516" s="1366"/>
      <c r="BZ516" s="1366"/>
      <c r="CA516" s="1366"/>
      <c r="CB516" s="1366"/>
      <c r="CC516" s="1366"/>
      <c r="CD516" s="1366"/>
      <c r="CE516" s="1366"/>
      <c r="CF516" s="1366"/>
      <c r="CG516" s="1366"/>
      <c r="CH516" s="1366"/>
      <c r="CI516" s="1366"/>
      <c r="CJ516" s="1366"/>
      <c r="CK516" s="1366"/>
      <c r="CL516" s="1366"/>
      <c r="CM516" s="1366"/>
      <c r="CN516" s="1366"/>
      <c r="CO516" s="1366"/>
      <c r="CP516" s="1366"/>
      <c r="CQ516" s="1366"/>
      <c r="CR516" s="1366"/>
      <c r="CS516" s="1366"/>
      <c r="CT516" s="1366"/>
      <c r="CU516" s="1366"/>
      <c r="CV516" s="1366"/>
      <c r="CW516" s="1366"/>
      <c r="CX516" s="1366"/>
      <c r="CY516" s="1366"/>
      <c r="CZ516" s="1366"/>
      <c r="DA516" s="1366"/>
      <c r="DB516" s="1366"/>
      <c r="DC516" s="1366"/>
      <c r="DD516" s="1366"/>
      <c r="DE516" s="1366"/>
      <c r="DF516" s="1366"/>
      <c r="DG516" s="1366"/>
      <c r="DH516" s="1366"/>
      <c r="DI516" s="1366"/>
      <c r="DJ516" s="1366"/>
      <c r="DK516" s="1366"/>
      <c r="DL516" s="1366"/>
      <c r="DM516" s="1366"/>
      <c r="DN516" s="1366"/>
      <c r="DO516" s="1366"/>
      <c r="DP516" s="1366"/>
      <c r="DQ516" s="1366"/>
      <c r="DR516" s="1366"/>
      <c r="DS516" s="1366"/>
      <c r="DT516" s="1366"/>
      <c r="DU516" s="1366"/>
      <c r="DV516" s="1366"/>
    </row>
    <row r="517" spans="1:126" s="1367" customFormat="1" ht="37.5" customHeight="1">
      <c r="A517" s="2532" t="s">
        <v>912</v>
      </c>
      <c r="B517" s="1653">
        <v>2193</v>
      </c>
      <c r="C517" s="1642" t="s">
        <v>49</v>
      </c>
      <c r="D517" s="1375" t="s">
        <v>2597</v>
      </c>
      <c r="E517" s="1364" t="s">
        <v>2097</v>
      </c>
      <c r="F517" s="1365" t="s">
        <v>2108</v>
      </c>
      <c r="G517" s="506" t="s">
        <v>1907</v>
      </c>
      <c r="H517" s="1361">
        <f>(6*'Equipment Results Matrix'!$R$1047)+'Equipment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2.5900158137312848</v>
      </c>
      <c r="I517" s="1371">
        <f>'Labor Results Matrix'!$E$532</f>
        <v>7.9629999999999992E-2</v>
      </c>
      <c r="J517" s="1372">
        <f>'Labor Results Matrix'!$G$532*(1+'Labor Results Matrix'!$K$532)</f>
        <v>72.260416710552065</v>
      </c>
      <c r="K517" s="1372">
        <f t="shared" si="221"/>
        <v>5.7540969826612605</v>
      </c>
      <c r="L517" s="1372">
        <v>0</v>
      </c>
      <c r="M517" s="1372">
        <f t="shared" si="222"/>
        <v>8.3441127963925457</v>
      </c>
      <c r="N517" s="1458">
        <f t="shared" si="220"/>
        <v>1.7875892849026824</v>
      </c>
      <c r="O517" s="1429"/>
      <c r="P517" s="1430"/>
      <c r="Q517" s="1430"/>
      <c r="R517" s="1430"/>
      <c r="S517" s="1430"/>
      <c r="T517" s="1430"/>
      <c r="U517" s="1430"/>
      <c r="V517" s="1679"/>
      <c r="W517" s="1366"/>
      <c r="X517" s="1366"/>
      <c r="Y517" s="1366"/>
      <c r="Z517" s="1366"/>
      <c r="AA517" s="1366"/>
      <c r="AB517" s="1366"/>
      <c r="AC517" s="1366"/>
      <c r="AD517" s="1366"/>
      <c r="AE517" s="1366"/>
      <c r="AF517" s="1366"/>
      <c r="AG517" s="1366"/>
      <c r="AH517" s="1366"/>
      <c r="AI517" s="1366"/>
      <c r="AJ517" s="1366"/>
      <c r="AK517" s="1366"/>
      <c r="AL517" s="1366"/>
      <c r="AM517" s="1366"/>
      <c r="AN517" s="1366"/>
      <c r="AO517" s="1366"/>
      <c r="AP517" s="1366"/>
      <c r="AQ517" s="1366"/>
      <c r="AR517" s="1366"/>
      <c r="AS517" s="1366"/>
      <c r="AT517" s="1366"/>
      <c r="AU517" s="1366"/>
      <c r="AV517" s="1366"/>
      <c r="AW517" s="1366"/>
      <c r="AX517" s="1366"/>
      <c r="AY517" s="1366"/>
      <c r="AZ517" s="1366"/>
      <c r="BA517" s="1366"/>
      <c r="BB517" s="1366"/>
      <c r="BC517" s="1366"/>
      <c r="BD517" s="1366"/>
      <c r="BE517" s="1366"/>
      <c r="BF517" s="1366"/>
      <c r="BG517" s="1366"/>
      <c r="BH517" s="1366"/>
      <c r="BI517" s="1366"/>
      <c r="BJ517" s="1366"/>
      <c r="BK517" s="1366"/>
      <c r="BL517" s="1366"/>
      <c r="BM517" s="1366"/>
      <c r="BN517" s="1366"/>
      <c r="BO517" s="1366"/>
      <c r="BP517" s="1366"/>
      <c r="BQ517" s="1366"/>
      <c r="BR517" s="1366"/>
      <c r="BS517" s="1366"/>
      <c r="BT517" s="1366"/>
      <c r="BU517" s="1366"/>
      <c r="BV517" s="1366"/>
      <c r="BW517" s="1366"/>
      <c r="BX517" s="1366"/>
      <c r="BY517" s="1366"/>
      <c r="BZ517" s="1366"/>
      <c r="CA517" s="1366"/>
      <c r="CB517" s="1366"/>
      <c r="CC517" s="1366"/>
      <c r="CD517" s="1366"/>
      <c r="CE517" s="1366"/>
      <c r="CF517" s="1366"/>
      <c r="CG517" s="1366"/>
      <c r="CH517" s="1366"/>
      <c r="CI517" s="1366"/>
      <c r="CJ517" s="1366"/>
      <c r="CK517" s="1366"/>
      <c r="CL517" s="1366"/>
      <c r="CM517" s="1366"/>
      <c r="CN517" s="1366"/>
      <c r="CO517" s="1366"/>
      <c r="CP517" s="1366"/>
      <c r="CQ517" s="1366"/>
      <c r="CR517" s="1366"/>
      <c r="CS517" s="1366"/>
      <c r="CT517" s="1366"/>
      <c r="CU517" s="1366"/>
      <c r="CV517" s="1366"/>
      <c r="CW517" s="1366"/>
      <c r="CX517" s="1366"/>
      <c r="CY517" s="1366"/>
      <c r="CZ517" s="1366"/>
      <c r="DA517" s="1366"/>
      <c r="DB517" s="1366"/>
      <c r="DC517" s="1366"/>
      <c r="DD517" s="1366"/>
      <c r="DE517" s="1366"/>
      <c r="DF517" s="1366"/>
      <c r="DG517" s="1366"/>
      <c r="DH517" s="1366"/>
      <c r="DI517" s="1366"/>
      <c r="DJ517" s="1366"/>
      <c r="DK517" s="1366"/>
      <c r="DL517" s="1366"/>
      <c r="DM517" s="1366"/>
      <c r="DN517" s="1366"/>
      <c r="DO517" s="1366"/>
      <c r="DP517" s="1366"/>
      <c r="DQ517" s="1366"/>
      <c r="DR517" s="1366"/>
      <c r="DS517" s="1366"/>
      <c r="DT517" s="1366"/>
      <c r="DU517" s="1366"/>
      <c r="DV517" s="1366"/>
    </row>
    <row r="518" spans="1:126" s="1382" customFormat="1" ht="30">
      <c r="A518" s="2530"/>
      <c r="B518" s="1657" t="s">
        <v>2641</v>
      </c>
      <c r="C518" s="1638" t="s">
        <v>47</v>
      </c>
      <c r="D518" s="1381" t="s">
        <v>2664</v>
      </c>
      <c r="E518" s="1365" t="s">
        <v>2097</v>
      </c>
      <c r="F518" s="1365" t="s">
        <v>2627</v>
      </c>
      <c r="G518" s="506" t="s">
        <v>1907</v>
      </c>
      <c r="H518" s="1433">
        <f>('Equipment Results Matrix'!$R$979*(250-30))+('Equipment Results Matrix'!$R$980*(250-75))+('Equipment Results Matrix'!$R$978*1.5)+'Equipment Results Matrix'!$R$962+'Equipment Results Matrix'!$R$969+'Equipment Results Matrix'!$R$970+'Equipment Results Matrix'!$R$972+'Equipment Results Matrix'!$R$975+'Equipment Results Matrix'!$R$976+'Equipment Results Matrix'!$T$969</f>
        <v>1.2864265288286025</v>
      </c>
      <c r="I518" s="1434">
        <f>'Labor Results Matrix'!$E$470</f>
        <v>7.9629999999999992E-2</v>
      </c>
      <c r="J518" s="1388">
        <f>'Labor Results Matrix'!$G$470*(1+'Labor Results Matrix'!$K$470)</f>
        <v>72.260416710552065</v>
      </c>
      <c r="K518" s="1388">
        <f t="shared" si="196"/>
        <v>5.7540969826612605</v>
      </c>
      <c r="L518" s="1388">
        <v>0</v>
      </c>
      <c r="M518" s="1388">
        <f t="shared" si="197"/>
        <v>7.0405235114898632</v>
      </c>
      <c r="N518" s="1462" t="s">
        <v>40</v>
      </c>
      <c r="O518" s="1429"/>
      <c r="P518" s="1430"/>
      <c r="Q518" s="1430"/>
      <c r="R518" s="1430"/>
      <c r="S518" s="1430"/>
      <c r="T518" s="1430"/>
      <c r="U518" s="1430"/>
      <c r="V518" s="1679"/>
      <c r="W518" s="1366"/>
      <c r="X518" s="1366"/>
      <c r="Y518" s="1366"/>
      <c r="Z518" s="1366"/>
      <c r="AA518" s="1366"/>
      <c r="AB518" s="1366"/>
      <c r="AC518" s="1366"/>
      <c r="AD518" s="1366"/>
      <c r="AE518" s="1366"/>
      <c r="AF518" s="1366"/>
      <c r="AG518" s="1366"/>
      <c r="AH518" s="1366"/>
      <c r="AI518" s="1366"/>
      <c r="AJ518" s="1366"/>
      <c r="AK518" s="1366"/>
      <c r="AL518" s="1366"/>
      <c r="AM518" s="1366"/>
      <c r="AN518" s="1366"/>
      <c r="AO518" s="1366"/>
      <c r="AP518" s="1366"/>
      <c r="AQ518" s="1366"/>
      <c r="AR518" s="1366"/>
      <c r="AS518" s="1366"/>
      <c r="AT518" s="1366"/>
      <c r="AU518" s="1366"/>
      <c r="AV518" s="1366"/>
      <c r="AW518" s="1366"/>
      <c r="AX518" s="1366"/>
      <c r="AY518" s="1366"/>
      <c r="AZ518" s="1366"/>
      <c r="BA518" s="1366"/>
      <c r="BB518" s="1366"/>
      <c r="BC518" s="1366"/>
      <c r="BD518" s="1366"/>
      <c r="BE518" s="1366"/>
      <c r="BF518" s="1366"/>
      <c r="BG518" s="1366"/>
      <c r="BH518" s="1366"/>
      <c r="BI518" s="1366"/>
      <c r="BJ518" s="1366"/>
      <c r="BK518" s="1366"/>
      <c r="BL518" s="1366"/>
      <c r="BM518" s="1366"/>
      <c r="BN518" s="1366"/>
      <c r="BO518" s="1366"/>
      <c r="BP518" s="1366"/>
      <c r="BQ518" s="1366"/>
      <c r="BR518" s="1366"/>
      <c r="BS518" s="1366"/>
      <c r="BT518" s="1366"/>
      <c r="BU518" s="1366"/>
      <c r="BV518" s="1366"/>
      <c r="BW518" s="1366"/>
      <c r="BX518" s="1366"/>
      <c r="BY518" s="1366"/>
      <c r="BZ518" s="1366"/>
      <c r="CA518" s="1366"/>
      <c r="CB518" s="1366"/>
      <c r="CC518" s="1366"/>
      <c r="CD518" s="1366"/>
      <c r="CE518" s="1366"/>
      <c r="CF518" s="1366"/>
      <c r="CG518" s="1366"/>
      <c r="CH518" s="1366"/>
      <c r="CI518" s="1366"/>
      <c r="CJ518" s="1366"/>
      <c r="CK518" s="1366"/>
      <c r="CL518" s="1366"/>
      <c r="CM518" s="1366"/>
      <c r="CN518" s="1366"/>
      <c r="CO518" s="1366"/>
      <c r="CP518" s="1366"/>
      <c r="CQ518" s="1366"/>
      <c r="CR518" s="1366"/>
      <c r="CS518" s="1366"/>
      <c r="CT518" s="1366"/>
      <c r="CU518" s="1366"/>
      <c r="CV518" s="1366"/>
      <c r="CW518" s="1366"/>
      <c r="CX518" s="1366"/>
      <c r="CY518" s="1366"/>
      <c r="CZ518" s="1366"/>
      <c r="DA518" s="1366"/>
      <c r="DB518" s="1366"/>
      <c r="DC518" s="1366"/>
      <c r="DD518" s="1366"/>
      <c r="DE518" s="1366"/>
      <c r="DF518" s="1366"/>
      <c r="DG518" s="1366"/>
      <c r="DH518" s="1366"/>
      <c r="DI518" s="1366"/>
      <c r="DJ518" s="1366"/>
      <c r="DK518" s="1366"/>
      <c r="DL518" s="1366"/>
      <c r="DM518" s="1366"/>
      <c r="DN518" s="1366"/>
      <c r="DO518" s="1366"/>
      <c r="DP518" s="1366"/>
      <c r="DQ518" s="1366"/>
      <c r="DR518" s="1366"/>
      <c r="DS518" s="1366"/>
      <c r="DT518" s="1366"/>
      <c r="DU518" s="1366"/>
      <c r="DV518" s="1366"/>
    </row>
    <row r="519" spans="1:126" s="1367" customFormat="1" ht="45">
      <c r="A519" s="2530"/>
      <c r="B519" s="1653">
        <v>230</v>
      </c>
      <c r="C519" s="1642" t="s">
        <v>49</v>
      </c>
      <c r="D519" s="1375" t="s">
        <v>2376</v>
      </c>
      <c r="E519" s="1364" t="s">
        <v>2097</v>
      </c>
      <c r="F519" s="1364" t="s">
        <v>2107</v>
      </c>
      <c r="G519" s="1185" t="s">
        <v>1907</v>
      </c>
      <c r="H519" s="1361">
        <f>(55*('Equipment Results Matrix'!$R$1047+'Equipment Results Matrix'!$R$1048))+'Equipment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10.991015813731286</v>
      </c>
      <c r="I519" s="1371">
        <f>'Labor Results Matrix'!$E$532</f>
        <v>7.9629999999999992E-2</v>
      </c>
      <c r="J519" s="1372">
        <f>'Labor Results Matrix'!$G$532*(1+'Labor Results Matrix'!$K$532)</f>
        <v>72.260416710552065</v>
      </c>
      <c r="K519" s="1372">
        <f t="shared" si="196"/>
        <v>5.7540969826612605</v>
      </c>
      <c r="L519" s="1372">
        <v>0</v>
      </c>
      <c r="M519" s="1372">
        <f t="shared" si="197"/>
        <v>16.745112796392547</v>
      </c>
      <c r="N519" s="1458">
        <f>M519-$M$518</f>
        <v>9.7045892849026849</v>
      </c>
      <c r="O519" s="1429"/>
      <c r="P519" s="1430"/>
      <c r="Q519" s="1430"/>
      <c r="R519" s="1430"/>
      <c r="S519" s="1430"/>
      <c r="T519" s="1430"/>
      <c r="U519" s="1430"/>
      <c r="V519" s="1679"/>
      <c r="W519" s="1366"/>
      <c r="X519" s="1366"/>
      <c r="Y519" s="1366"/>
      <c r="Z519" s="1366"/>
      <c r="AA519" s="1366"/>
      <c r="AB519" s="1366"/>
      <c r="AC519" s="1366"/>
      <c r="AD519" s="1366"/>
      <c r="AE519" s="1366"/>
      <c r="AF519" s="1366"/>
      <c r="AG519" s="1366"/>
      <c r="AH519" s="1366"/>
      <c r="AI519" s="1366"/>
      <c r="AJ519" s="1366"/>
      <c r="AK519" s="1366"/>
      <c r="AL519" s="1366"/>
      <c r="AM519" s="1366"/>
      <c r="AN519" s="1366"/>
      <c r="AO519" s="1366"/>
      <c r="AP519" s="1366"/>
      <c r="AQ519" s="1366"/>
      <c r="AR519" s="1366"/>
      <c r="AS519" s="1366"/>
      <c r="AT519" s="1366"/>
      <c r="AU519" s="1366"/>
      <c r="AV519" s="1366"/>
      <c r="AW519" s="1366"/>
      <c r="AX519" s="1366"/>
      <c r="AY519" s="1366"/>
      <c r="AZ519" s="1366"/>
      <c r="BA519" s="1366"/>
      <c r="BB519" s="1366"/>
      <c r="BC519" s="1366"/>
      <c r="BD519" s="1366"/>
      <c r="BE519" s="1366"/>
      <c r="BF519" s="1366"/>
      <c r="BG519" s="1366"/>
      <c r="BH519" s="1366"/>
      <c r="BI519" s="1366"/>
      <c r="BJ519" s="1366"/>
      <c r="BK519" s="1366"/>
      <c r="BL519" s="1366"/>
      <c r="BM519" s="1366"/>
      <c r="BN519" s="1366"/>
      <c r="BO519" s="1366"/>
      <c r="BP519" s="1366"/>
      <c r="BQ519" s="1366"/>
      <c r="BR519" s="1366"/>
      <c r="BS519" s="1366"/>
      <c r="BT519" s="1366"/>
      <c r="BU519" s="1366"/>
      <c r="BV519" s="1366"/>
      <c r="BW519" s="1366"/>
      <c r="BX519" s="1366"/>
      <c r="BY519" s="1366"/>
      <c r="BZ519" s="1366"/>
      <c r="CA519" s="1366"/>
      <c r="CB519" s="1366"/>
      <c r="CC519" s="1366"/>
      <c r="CD519" s="1366"/>
      <c r="CE519" s="1366"/>
      <c r="CF519" s="1366"/>
      <c r="CG519" s="1366"/>
      <c r="CH519" s="1366"/>
      <c r="CI519" s="1366"/>
      <c r="CJ519" s="1366"/>
      <c r="CK519" s="1366"/>
      <c r="CL519" s="1366"/>
      <c r="CM519" s="1366"/>
      <c r="CN519" s="1366"/>
      <c r="CO519" s="1366"/>
      <c r="CP519" s="1366"/>
      <c r="CQ519" s="1366"/>
      <c r="CR519" s="1366"/>
      <c r="CS519" s="1366"/>
      <c r="CT519" s="1366"/>
      <c r="CU519" s="1366"/>
      <c r="CV519" s="1366"/>
      <c r="CW519" s="1366"/>
      <c r="CX519" s="1366"/>
      <c r="CY519" s="1366"/>
      <c r="CZ519" s="1366"/>
      <c r="DA519" s="1366"/>
      <c r="DB519" s="1366"/>
      <c r="DC519" s="1366"/>
      <c r="DD519" s="1366"/>
      <c r="DE519" s="1366"/>
      <c r="DF519" s="1366"/>
      <c r="DG519" s="1366"/>
      <c r="DH519" s="1366"/>
      <c r="DI519" s="1366"/>
      <c r="DJ519" s="1366"/>
      <c r="DK519" s="1366"/>
      <c r="DL519" s="1366"/>
      <c r="DM519" s="1366"/>
      <c r="DN519" s="1366"/>
      <c r="DO519" s="1366"/>
      <c r="DP519" s="1366"/>
      <c r="DQ519" s="1366"/>
      <c r="DR519" s="1366"/>
      <c r="DS519" s="1366"/>
      <c r="DT519" s="1366"/>
      <c r="DU519" s="1366"/>
      <c r="DV519" s="1366"/>
    </row>
    <row r="520" spans="1:126" s="1367" customFormat="1" ht="45">
      <c r="A520" s="2530"/>
      <c r="B520" s="1653">
        <v>232</v>
      </c>
      <c r="C520" s="1642" t="s">
        <v>49</v>
      </c>
      <c r="D520" s="1375" t="s">
        <v>2377</v>
      </c>
      <c r="E520" s="1364" t="s">
        <v>2097</v>
      </c>
      <c r="F520" s="1364" t="s">
        <v>2107</v>
      </c>
      <c r="G520" s="1185" t="s">
        <v>1907</v>
      </c>
      <c r="H520" s="1361">
        <f>(60*('Equipment Results Matrix'!$R$1047+'Equipment Results Matrix'!$R$1048))+'Equipment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11.791015813731285</v>
      </c>
      <c r="I520" s="1371">
        <f>'Labor Results Matrix'!$E$532</f>
        <v>7.9629999999999992E-2</v>
      </c>
      <c r="J520" s="1372">
        <f>'Labor Results Matrix'!$G$532*(1+'Labor Results Matrix'!$K$532)</f>
        <v>72.260416710552065</v>
      </c>
      <c r="K520" s="1372">
        <f t="shared" si="196"/>
        <v>5.7540969826612605</v>
      </c>
      <c r="L520" s="1372">
        <v>0</v>
      </c>
      <c r="M520" s="1372">
        <f t="shared" si="197"/>
        <v>17.545112796392544</v>
      </c>
      <c r="N520" s="1458">
        <f>M520-$M$518</f>
        <v>10.504589284902682</v>
      </c>
      <c r="O520" s="1429"/>
      <c r="P520" s="1430"/>
      <c r="Q520" s="1430"/>
      <c r="R520" s="1430"/>
      <c r="S520" s="1430"/>
      <c r="T520" s="1430"/>
      <c r="U520" s="1430"/>
      <c r="V520" s="1679"/>
      <c r="W520" s="1366"/>
      <c r="X520" s="1366"/>
      <c r="Y520" s="1366"/>
      <c r="Z520" s="1366"/>
      <c r="AA520" s="1366"/>
      <c r="AB520" s="1366"/>
      <c r="AC520" s="1366"/>
      <c r="AD520" s="1366"/>
      <c r="AE520" s="1366"/>
      <c r="AF520" s="1366"/>
      <c r="AG520" s="1366"/>
      <c r="AH520" s="1366"/>
      <c r="AI520" s="1366"/>
      <c r="AJ520" s="1366"/>
      <c r="AK520" s="1366"/>
      <c r="AL520" s="1366"/>
      <c r="AM520" s="1366"/>
      <c r="AN520" s="1366"/>
      <c r="AO520" s="1366"/>
      <c r="AP520" s="1366"/>
      <c r="AQ520" s="1366"/>
      <c r="AR520" s="1366"/>
      <c r="AS520" s="1366"/>
      <c r="AT520" s="1366"/>
      <c r="AU520" s="1366"/>
      <c r="AV520" s="1366"/>
      <c r="AW520" s="1366"/>
      <c r="AX520" s="1366"/>
      <c r="AY520" s="1366"/>
      <c r="AZ520" s="1366"/>
      <c r="BA520" s="1366"/>
      <c r="BB520" s="1366"/>
      <c r="BC520" s="1366"/>
      <c r="BD520" s="1366"/>
      <c r="BE520" s="1366"/>
      <c r="BF520" s="1366"/>
      <c r="BG520" s="1366"/>
      <c r="BH520" s="1366"/>
      <c r="BI520" s="1366"/>
      <c r="BJ520" s="1366"/>
      <c r="BK520" s="1366"/>
      <c r="BL520" s="1366"/>
      <c r="BM520" s="1366"/>
      <c r="BN520" s="1366"/>
      <c r="BO520" s="1366"/>
      <c r="BP520" s="1366"/>
      <c r="BQ520" s="1366"/>
      <c r="BR520" s="1366"/>
      <c r="BS520" s="1366"/>
      <c r="BT520" s="1366"/>
      <c r="BU520" s="1366"/>
      <c r="BV520" s="1366"/>
      <c r="BW520" s="1366"/>
      <c r="BX520" s="1366"/>
      <c r="BY520" s="1366"/>
      <c r="BZ520" s="1366"/>
      <c r="CA520" s="1366"/>
      <c r="CB520" s="1366"/>
      <c r="CC520" s="1366"/>
      <c r="CD520" s="1366"/>
      <c r="CE520" s="1366"/>
      <c r="CF520" s="1366"/>
      <c r="CG520" s="1366"/>
      <c r="CH520" s="1366"/>
      <c r="CI520" s="1366"/>
      <c r="CJ520" s="1366"/>
      <c r="CK520" s="1366"/>
      <c r="CL520" s="1366"/>
      <c r="CM520" s="1366"/>
      <c r="CN520" s="1366"/>
      <c r="CO520" s="1366"/>
      <c r="CP520" s="1366"/>
      <c r="CQ520" s="1366"/>
      <c r="CR520" s="1366"/>
      <c r="CS520" s="1366"/>
      <c r="CT520" s="1366"/>
      <c r="CU520" s="1366"/>
      <c r="CV520" s="1366"/>
      <c r="CW520" s="1366"/>
      <c r="CX520" s="1366"/>
      <c r="CY520" s="1366"/>
      <c r="CZ520" s="1366"/>
      <c r="DA520" s="1366"/>
      <c r="DB520" s="1366"/>
      <c r="DC520" s="1366"/>
      <c r="DD520" s="1366"/>
      <c r="DE520" s="1366"/>
      <c r="DF520" s="1366"/>
      <c r="DG520" s="1366"/>
      <c r="DH520" s="1366"/>
      <c r="DI520" s="1366"/>
      <c r="DJ520" s="1366"/>
      <c r="DK520" s="1366"/>
      <c r="DL520" s="1366"/>
      <c r="DM520" s="1366"/>
      <c r="DN520" s="1366"/>
      <c r="DO520" s="1366"/>
      <c r="DP520" s="1366"/>
      <c r="DQ520" s="1366"/>
      <c r="DR520" s="1366"/>
      <c r="DS520" s="1366"/>
      <c r="DT520" s="1366"/>
      <c r="DU520" s="1366"/>
      <c r="DV520" s="1366"/>
    </row>
    <row r="521" spans="1:126" s="1367" customFormat="1" ht="45">
      <c r="A521" s="2530"/>
      <c r="B521" s="1653">
        <v>2222</v>
      </c>
      <c r="C521" s="1642" t="s">
        <v>49</v>
      </c>
      <c r="D521" s="1375" t="s">
        <v>2630</v>
      </c>
      <c r="E521" s="1364" t="s">
        <v>2097</v>
      </c>
      <c r="F521" s="1365" t="s">
        <v>2108</v>
      </c>
      <c r="G521" s="506" t="s">
        <v>1907</v>
      </c>
      <c r="H521" s="1361">
        <f>(55*('Equipment Results Matrix'!$R$1047+'Equipment Results Matrix'!$R$1048))+'Equipment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10.991015813731286</v>
      </c>
      <c r="I521" s="1371">
        <f>'Labor Results Matrix'!$E$532</f>
        <v>7.9629999999999992E-2</v>
      </c>
      <c r="J521" s="1372">
        <f>'Labor Results Matrix'!$G$532*(1+'Labor Results Matrix'!$K$532)</f>
        <v>72.260416710552065</v>
      </c>
      <c r="K521" s="1372">
        <f t="shared" ref="K521:K522" si="223">I521*J521</f>
        <v>5.7540969826612605</v>
      </c>
      <c r="L521" s="1372">
        <v>0</v>
      </c>
      <c r="M521" s="1372">
        <f t="shared" ref="M521:M522" si="224">H521+K521</f>
        <v>16.745112796392547</v>
      </c>
      <c r="N521" s="1458">
        <f>M521-$M$518</f>
        <v>9.7045892849026849</v>
      </c>
      <c r="O521" s="1429"/>
      <c r="P521" s="1430"/>
      <c r="Q521" s="1430"/>
      <c r="R521" s="1430"/>
      <c r="S521" s="1430"/>
      <c r="T521" s="1430"/>
      <c r="U521" s="1430"/>
      <c r="V521" s="1679"/>
      <c r="W521" s="1366"/>
      <c r="X521" s="1366"/>
      <c r="Y521" s="1366"/>
      <c r="Z521" s="1366"/>
      <c r="AA521" s="1366"/>
      <c r="AB521" s="1366"/>
      <c r="AC521" s="1366"/>
      <c r="AD521" s="1366"/>
      <c r="AE521" s="1366"/>
      <c r="AF521" s="1366"/>
      <c r="AG521" s="1366"/>
      <c r="AH521" s="1366"/>
      <c r="AI521" s="1366"/>
      <c r="AJ521" s="1366"/>
      <c r="AK521" s="1366"/>
      <c r="AL521" s="1366"/>
      <c r="AM521" s="1366"/>
      <c r="AN521" s="1366"/>
      <c r="AO521" s="1366"/>
      <c r="AP521" s="1366"/>
      <c r="AQ521" s="1366"/>
      <c r="AR521" s="1366"/>
      <c r="AS521" s="1366"/>
      <c r="AT521" s="1366"/>
      <c r="AU521" s="1366"/>
      <c r="AV521" s="1366"/>
      <c r="AW521" s="1366"/>
      <c r="AX521" s="1366"/>
      <c r="AY521" s="1366"/>
      <c r="AZ521" s="1366"/>
      <c r="BA521" s="1366"/>
      <c r="BB521" s="1366"/>
      <c r="BC521" s="1366"/>
      <c r="BD521" s="1366"/>
      <c r="BE521" s="1366"/>
      <c r="BF521" s="1366"/>
      <c r="BG521" s="1366"/>
      <c r="BH521" s="1366"/>
      <c r="BI521" s="1366"/>
      <c r="BJ521" s="1366"/>
      <c r="BK521" s="1366"/>
      <c r="BL521" s="1366"/>
      <c r="BM521" s="1366"/>
      <c r="BN521" s="1366"/>
      <c r="BO521" s="1366"/>
      <c r="BP521" s="1366"/>
      <c r="BQ521" s="1366"/>
      <c r="BR521" s="1366"/>
      <c r="BS521" s="1366"/>
      <c r="BT521" s="1366"/>
      <c r="BU521" s="1366"/>
      <c r="BV521" s="1366"/>
      <c r="BW521" s="1366"/>
      <c r="BX521" s="1366"/>
      <c r="BY521" s="1366"/>
      <c r="BZ521" s="1366"/>
      <c r="CA521" s="1366"/>
      <c r="CB521" s="1366"/>
      <c r="CC521" s="1366"/>
      <c r="CD521" s="1366"/>
      <c r="CE521" s="1366"/>
      <c r="CF521" s="1366"/>
      <c r="CG521" s="1366"/>
      <c r="CH521" s="1366"/>
      <c r="CI521" s="1366"/>
      <c r="CJ521" s="1366"/>
      <c r="CK521" s="1366"/>
      <c r="CL521" s="1366"/>
      <c r="CM521" s="1366"/>
      <c r="CN521" s="1366"/>
      <c r="CO521" s="1366"/>
      <c r="CP521" s="1366"/>
      <c r="CQ521" s="1366"/>
      <c r="CR521" s="1366"/>
      <c r="CS521" s="1366"/>
      <c r="CT521" s="1366"/>
      <c r="CU521" s="1366"/>
      <c r="CV521" s="1366"/>
      <c r="CW521" s="1366"/>
      <c r="CX521" s="1366"/>
      <c r="CY521" s="1366"/>
      <c r="CZ521" s="1366"/>
      <c r="DA521" s="1366"/>
      <c r="DB521" s="1366"/>
      <c r="DC521" s="1366"/>
      <c r="DD521" s="1366"/>
      <c r="DE521" s="1366"/>
      <c r="DF521" s="1366"/>
      <c r="DG521" s="1366"/>
      <c r="DH521" s="1366"/>
      <c r="DI521" s="1366"/>
      <c r="DJ521" s="1366"/>
      <c r="DK521" s="1366"/>
      <c r="DL521" s="1366"/>
      <c r="DM521" s="1366"/>
      <c r="DN521" s="1366"/>
      <c r="DO521" s="1366"/>
      <c r="DP521" s="1366"/>
      <c r="DQ521" s="1366"/>
      <c r="DR521" s="1366"/>
      <c r="DS521" s="1366"/>
      <c r="DT521" s="1366"/>
      <c r="DU521" s="1366"/>
      <c r="DV521" s="1366"/>
    </row>
    <row r="522" spans="1:126" s="1367" customFormat="1" ht="45">
      <c r="A522" s="2530"/>
      <c r="B522" s="1653">
        <v>2223</v>
      </c>
      <c r="C522" s="1642" t="s">
        <v>49</v>
      </c>
      <c r="D522" s="1375" t="s">
        <v>2631</v>
      </c>
      <c r="E522" s="1364" t="s">
        <v>2097</v>
      </c>
      <c r="F522" s="1365" t="s">
        <v>2108</v>
      </c>
      <c r="G522" s="506" t="s">
        <v>1907</v>
      </c>
      <c r="H522" s="1361">
        <f>(60*('Equipment Results Matrix'!$R$1047+'Equipment Results Matrix'!$R$1048))+'Equipment Results Matrix'!$R$1024+'Equipment Results Matrix'!$R$1031+'Equipment Results Matrix'!$R$1032+'Equipment Results Matrix'!$R$1034+'Equipment Results Matrix'!$R$1037+'Equipment Results Matrix'!$R$1039+'Equipment Results Matrix'!$R$1040+'Equipment Results Matrix'!$R$1043+'Equipment Results Matrix'!$R$1045+('Equipment Results Matrix'!$R$1046*10)+'Equipment Results Matrix'!$T$1031</f>
        <v>11.791015813731285</v>
      </c>
      <c r="I522" s="1371">
        <f>'Labor Results Matrix'!$E$532</f>
        <v>7.9629999999999992E-2</v>
      </c>
      <c r="J522" s="1372">
        <f>'Labor Results Matrix'!$G$532*(1+'Labor Results Matrix'!$K$532)</f>
        <v>72.260416710552065</v>
      </c>
      <c r="K522" s="1372">
        <f t="shared" si="223"/>
        <v>5.7540969826612605</v>
      </c>
      <c r="L522" s="1372">
        <v>0</v>
      </c>
      <c r="M522" s="1372">
        <f t="shared" si="224"/>
        <v>17.545112796392544</v>
      </c>
      <c r="N522" s="1458">
        <f>M522-$M$518</f>
        <v>10.504589284902682</v>
      </c>
      <c r="O522" s="1429"/>
      <c r="P522" s="1430"/>
      <c r="Q522" s="1430"/>
      <c r="R522" s="1430"/>
      <c r="S522" s="1430"/>
      <c r="T522" s="1430"/>
      <c r="U522" s="1430"/>
      <c r="V522" s="1679"/>
      <c r="W522" s="1366"/>
      <c r="X522" s="1366"/>
      <c r="Y522" s="1366"/>
      <c r="Z522" s="1366"/>
      <c r="AA522" s="1366"/>
      <c r="AB522" s="1366"/>
      <c r="AC522" s="1366"/>
      <c r="AD522" s="1366"/>
      <c r="AE522" s="1366"/>
      <c r="AF522" s="1366"/>
      <c r="AG522" s="1366"/>
      <c r="AH522" s="1366"/>
      <c r="AI522" s="1366"/>
      <c r="AJ522" s="1366"/>
      <c r="AK522" s="1366"/>
      <c r="AL522" s="1366"/>
      <c r="AM522" s="1366"/>
      <c r="AN522" s="1366"/>
      <c r="AO522" s="1366"/>
      <c r="AP522" s="1366"/>
      <c r="AQ522" s="1366"/>
      <c r="AR522" s="1366"/>
      <c r="AS522" s="1366"/>
      <c r="AT522" s="1366"/>
      <c r="AU522" s="1366"/>
      <c r="AV522" s="1366"/>
      <c r="AW522" s="1366"/>
      <c r="AX522" s="1366"/>
      <c r="AY522" s="1366"/>
      <c r="AZ522" s="1366"/>
      <c r="BA522" s="1366"/>
      <c r="BB522" s="1366"/>
      <c r="BC522" s="1366"/>
      <c r="BD522" s="1366"/>
      <c r="BE522" s="1366"/>
      <c r="BF522" s="1366"/>
      <c r="BG522" s="1366"/>
      <c r="BH522" s="1366"/>
      <c r="BI522" s="1366"/>
      <c r="BJ522" s="1366"/>
      <c r="BK522" s="1366"/>
      <c r="BL522" s="1366"/>
      <c r="BM522" s="1366"/>
      <c r="BN522" s="1366"/>
      <c r="BO522" s="1366"/>
      <c r="BP522" s="1366"/>
      <c r="BQ522" s="1366"/>
      <c r="BR522" s="1366"/>
      <c r="BS522" s="1366"/>
      <c r="BT522" s="1366"/>
      <c r="BU522" s="1366"/>
      <c r="BV522" s="1366"/>
      <c r="BW522" s="1366"/>
      <c r="BX522" s="1366"/>
      <c r="BY522" s="1366"/>
      <c r="BZ522" s="1366"/>
      <c r="CA522" s="1366"/>
      <c r="CB522" s="1366"/>
      <c r="CC522" s="1366"/>
      <c r="CD522" s="1366"/>
      <c r="CE522" s="1366"/>
      <c r="CF522" s="1366"/>
      <c r="CG522" s="1366"/>
      <c r="CH522" s="1366"/>
      <c r="CI522" s="1366"/>
      <c r="CJ522" s="1366"/>
      <c r="CK522" s="1366"/>
      <c r="CL522" s="1366"/>
      <c r="CM522" s="1366"/>
      <c r="CN522" s="1366"/>
      <c r="CO522" s="1366"/>
      <c r="CP522" s="1366"/>
      <c r="CQ522" s="1366"/>
      <c r="CR522" s="1366"/>
      <c r="CS522" s="1366"/>
      <c r="CT522" s="1366"/>
      <c r="CU522" s="1366"/>
      <c r="CV522" s="1366"/>
      <c r="CW522" s="1366"/>
      <c r="CX522" s="1366"/>
      <c r="CY522" s="1366"/>
      <c r="CZ522" s="1366"/>
      <c r="DA522" s="1366"/>
      <c r="DB522" s="1366"/>
      <c r="DC522" s="1366"/>
      <c r="DD522" s="1366"/>
      <c r="DE522" s="1366"/>
      <c r="DF522" s="1366"/>
      <c r="DG522" s="1366"/>
      <c r="DH522" s="1366"/>
      <c r="DI522" s="1366"/>
      <c r="DJ522" s="1366"/>
      <c r="DK522" s="1366"/>
      <c r="DL522" s="1366"/>
      <c r="DM522" s="1366"/>
      <c r="DN522" s="1366"/>
      <c r="DO522" s="1366"/>
      <c r="DP522" s="1366"/>
      <c r="DQ522" s="1366"/>
      <c r="DR522" s="1366"/>
      <c r="DS522" s="1366"/>
      <c r="DT522" s="1366"/>
      <c r="DU522" s="1366"/>
      <c r="DV522" s="1366"/>
    </row>
    <row r="523" spans="1:126" s="1378" customFormat="1" ht="15" customHeight="1">
      <c r="A523" s="2530"/>
      <c r="B523" s="1659" t="s">
        <v>2642</v>
      </c>
      <c r="C523" s="1671" t="s">
        <v>47</v>
      </c>
      <c r="D523" s="1396" t="s">
        <v>2521</v>
      </c>
      <c r="E523" s="1376" t="s">
        <v>2097</v>
      </c>
      <c r="F523" s="1376" t="s">
        <v>2627</v>
      </c>
      <c r="G523" s="1377" t="s">
        <v>1907</v>
      </c>
      <c r="H523" s="1514"/>
      <c r="I523" s="1419"/>
      <c r="J523" s="1513"/>
      <c r="K523" s="1513"/>
      <c r="L523" s="1420"/>
      <c r="M523" s="1513"/>
      <c r="N523" s="1465"/>
      <c r="O523" s="1429"/>
      <c r="P523" s="1430"/>
      <c r="Q523" s="1430"/>
      <c r="R523" s="1430"/>
      <c r="S523" s="1430"/>
      <c r="T523" s="1430"/>
      <c r="U523" s="1430"/>
      <c r="V523" s="1679"/>
      <c r="W523" s="1366"/>
      <c r="X523" s="1366"/>
      <c r="Y523" s="1366"/>
      <c r="Z523" s="1366"/>
      <c r="AA523" s="1366"/>
      <c r="AB523" s="1366"/>
      <c r="AC523" s="1366"/>
      <c r="AD523" s="1366"/>
      <c r="AE523" s="1366"/>
      <c r="AF523" s="1366"/>
      <c r="AG523" s="1366"/>
      <c r="AH523" s="1366"/>
      <c r="AI523" s="1366"/>
      <c r="AJ523" s="1366"/>
      <c r="AK523" s="1366"/>
      <c r="AL523" s="1366"/>
      <c r="AM523" s="1366"/>
      <c r="AN523" s="1366"/>
      <c r="AO523" s="1366"/>
      <c r="AP523" s="1366"/>
      <c r="AQ523" s="1366"/>
      <c r="AR523" s="1366"/>
      <c r="AS523" s="1366"/>
      <c r="AT523" s="1366"/>
      <c r="AU523" s="1366"/>
      <c r="AV523" s="1366"/>
      <c r="AW523" s="1366"/>
      <c r="AX523" s="1366"/>
      <c r="AY523" s="1366"/>
      <c r="AZ523" s="1366"/>
      <c r="BA523" s="1366"/>
      <c r="BB523" s="1366"/>
      <c r="BC523" s="1366"/>
      <c r="BD523" s="1366"/>
      <c r="BE523" s="1366"/>
      <c r="BF523" s="1366"/>
      <c r="BG523" s="1366"/>
      <c r="BH523" s="1366"/>
      <c r="BI523" s="1366"/>
      <c r="BJ523" s="1366"/>
      <c r="BK523" s="1366"/>
      <c r="BL523" s="1366"/>
      <c r="BM523" s="1366"/>
      <c r="BN523" s="1366"/>
      <c r="BO523" s="1366"/>
      <c r="BP523" s="1366"/>
      <c r="BQ523" s="1366"/>
      <c r="BR523" s="1366"/>
      <c r="BS523" s="1366"/>
      <c r="BT523" s="1366"/>
      <c r="BU523" s="1366"/>
      <c r="BV523" s="1366"/>
      <c r="BW523" s="1366"/>
      <c r="BX523" s="1366"/>
      <c r="BY523" s="1366"/>
      <c r="BZ523" s="1366"/>
      <c r="CA523" s="1366"/>
      <c r="CB523" s="1366"/>
      <c r="CC523" s="1366"/>
      <c r="CD523" s="1366"/>
      <c r="CE523" s="1366"/>
      <c r="CF523" s="1366"/>
      <c r="CG523" s="1366"/>
      <c r="CH523" s="1366"/>
      <c r="CI523" s="1366"/>
      <c r="CJ523" s="1366"/>
      <c r="CK523" s="1366"/>
      <c r="CL523" s="1366"/>
      <c r="CM523" s="1366"/>
      <c r="CN523" s="1366"/>
      <c r="CO523" s="1366"/>
      <c r="CP523" s="1366"/>
      <c r="CQ523" s="1366"/>
      <c r="CR523" s="1366"/>
      <c r="CS523" s="1366"/>
      <c r="CT523" s="1366"/>
      <c r="CU523" s="1366"/>
      <c r="CV523" s="1366"/>
      <c r="CW523" s="1366"/>
      <c r="CX523" s="1366"/>
      <c r="CY523" s="1366"/>
      <c r="CZ523" s="1366"/>
      <c r="DA523" s="1366"/>
      <c r="DB523" s="1366"/>
      <c r="DC523" s="1366"/>
      <c r="DD523" s="1366"/>
      <c r="DE523" s="1366"/>
      <c r="DF523" s="1366"/>
      <c r="DG523" s="1366"/>
      <c r="DH523" s="1366"/>
      <c r="DI523" s="1366"/>
      <c r="DJ523" s="1366"/>
      <c r="DK523" s="1366"/>
      <c r="DL523" s="1366"/>
      <c r="DM523" s="1366"/>
      <c r="DN523" s="1366"/>
      <c r="DO523" s="1366"/>
      <c r="DP523" s="1366"/>
      <c r="DQ523" s="1366"/>
      <c r="DR523" s="1366"/>
      <c r="DS523" s="1366"/>
      <c r="DT523" s="1366"/>
      <c r="DU523" s="1366"/>
      <c r="DV523" s="1366"/>
    </row>
    <row r="524" spans="1:126" s="1378" customFormat="1" ht="30">
      <c r="A524" s="2530"/>
      <c r="B524" s="1659">
        <v>235</v>
      </c>
      <c r="C524" s="1671" t="s">
        <v>49</v>
      </c>
      <c r="D524" s="1396" t="s">
        <v>2520</v>
      </c>
      <c r="E524" s="1376" t="s">
        <v>2097</v>
      </c>
      <c r="F524" s="1376" t="s">
        <v>2107</v>
      </c>
      <c r="G524" s="1377" t="s">
        <v>1907</v>
      </c>
      <c r="H524" s="1514"/>
      <c r="I524" s="1419"/>
      <c r="J524" s="1513"/>
      <c r="K524" s="1513"/>
      <c r="L524" s="1420"/>
      <c r="M524" s="1513"/>
      <c r="N524" s="1465"/>
      <c r="O524" s="1429"/>
      <c r="P524" s="1430"/>
      <c r="Q524" s="1430"/>
      <c r="R524" s="1430"/>
      <c r="S524" s="1430"/>
      <c r="T524" s="1430"/>
      <c r="U524" s="1430"/>
      <c r="V524" s="1679"/>
      <c r="W524" s="1366"/>
      <c r="X524" s="1366"/>
      <c r="Y524" s="1366"/>
      <c r="Z524" s="1366"/>
      <c r="AA524" s="1366"/>
      <c r="AB524" s="1366"/>
      <c r="AC524" s="1366"/>
      <c r="AD524" s="1366"/>
      <c r="AE524" s="1366"/>
      <c r="AF524" s="1366"/>
      <c r="AG524" s="1366"/>
      <c r="AH524" s="1366"/>
      <c r="AI524" s="1366"/>
      <c r="AJ524" s="1366"/>
      <c r="AK524" s="1366"/>
      <c r="AL524" s="1366"/>
      <c r="AM524" s="1366"/>
      <c r="AN524" s="1366"/>
      <c r="AO524" s="1366"/>
      <c r="AP524" s="1366"/>
      <c r="AQ524" s="1366"/>
      <c r="AR524" s="1366"/>
      <c r="AS524" s="1366"/>
      <c r="AT524" s="1366"/>
      <c r="AU524" s="1366"/>
      <c r="AV524" s="1366"/>
      <c r="AW524" s="1366"/>
      <c r="AX524" s="1366"/>
      <c r="AY524" s="1366"/>
      <c r="AZ524" s="1366"/>
      <c r="BA524" s="1366"/>
      <c r="BB524" s="1366"/>
      <c r="BC524" s="1366"/>
      <c r="BD524" s="1366"/>
      <c r="BE524" s="1366"/>
      <c r="BF524" s="1366"/>
      <c r="BG524" s="1366"/>
      <c r="BH524" s="1366"/>
      <c r="BI524" s="1366"/>
      <c r="BJ524" s="1366"/>
      <c r="BK524" s="1366"/>
      <c r="BL524" s="1366"/>
      <c r="BM524" s="1366"/>
      <c r="BN524" s="1366"/>
      <c r="BO524" s="1366"/>
      <c r="BP524" s="1366"/>
      <c r="BQ524" s="1366"/>
      <c r="BR524" s="1366"/>
      <c r="BS524" s="1366"/>
      <c r="BT524" s="1366"/>
      <c r="BU524" s="1366"/>
      <c r="BV524" s="1366"/>
      <c r="BW524" s="1366"/>
      <c r="BX524" s="1366"/>
      <c r="BY524" s="1366"/>
      <c r="BZ524" s="1366"/>
      <c r="CA524" s="1366"/>
      <c r="CB524" s="1366"/>
      <c r="CC524" s="1366"/>
      <c r="CD524" s="1366"/>
      <c r="CE524" s="1366"/>
      <c r="CF524" s="1366"/>
      <c r="CG524" s="1366"/>
      <c r="CH524" s="1366"/>
      <c r="CI524" s="1366"/>
      <c r="CJ524" s="1366"/>
      <c r="CK524" s="1366"/>
      <c r="CL524" s="1366"/>
      <c r="CM524" s="1366"/>
      <c r="CN524" s="1366"/>
      <c r="CO524" s="1366"/>
      <c r="CP524" s="1366"/>
      <c r="CQ524" s="1366"/>
      <c r="CR524" s="1366"/>
      <c r="CS524" s="1366"/>
      <c r="CT524" s="1366"/>
      <c r="CU524" s="1366"/>
      <c r="CV524" s="1366"/>
      <c r="CW524" s="1366"/>
      <c r="CX524" s="1366"/>
      <c r="CY524" s="1366"/>
      <c r="CZ524" s="1366"/>
      <c r="DA524" s="1366"/>
      <c r="DB524" s="1366"/>
      <c r="DC524" s="1366"/>
      <c r="DD524" s="1366"/>
      <c r="DE524" s="1366"/>
      <c r="DF524" s="1366"/>
      <c r="DG524" s="1366"/>
      <c r="DH524" s="1366"/>
      <c r="DI524" s="1366"/>
      <c r="DJ524" s="1366"/>
      <c r="DK524" s="1366"/>
      <c r="DL524" s="1366"/>
      <c r="DM524" s="1366"/>
      <c r="DN524" s="1366"/>
      <c r="DO524" s="1366"/>
      <c r="DP524" s="1366"/>
      <c r="DQ524" s="1366"/>
      <c r="DR524" s="1366"/>
      <c r="DS524" s="1366"/>
      <c r="DT524" s="1366"/>
      <c r="DU524" s="1366"/>
      <c r="DV524" s="1366"/>
    </row>
    <row r="525" spans="1:126" s="1378" customFormat="1" ht="30">
      <c r="A525" s="2530"/>
      <c r="B525" s="1659">
        <v>2224</v>
      </c>
      <c r="C525" s="1671" t="s">
        <v>49</v>
      </c>
      <c r="D525" s="1396" t="s">
        <v>2632</v>
      </c>
      <c r="E525" s="1376" t="s">
        <v>2097</v>
      </c>
      <c r="F525" s="1376" t="s">
        <v>2108</v>
      </c>
      <c r="G525" s="1377" t="s">
        <v>1907</v>
      </c>
      <c r="H525" s="1514"/>
      <c r="I525" s="1419"/>
      <c r="J525" s="1513"/>
      <c r="K525" s="1513"/>
      <c r="L525" s="1420"/>
      <c r="M525" s="1513"/>
      <c r="N525" s="1465"/>
      <c r="O525" s="1429"/>
      <c r="P525" s="1430"/>
      <c r="Q525" s="1430"/>
      <c r="R525" s="1430"/>
      <c r="S525" s="1430"/>
      <c r="T525" s="1430"/>
      <c r="U525" s="1430"/>
      <c r="V525" s="1679"/>
      <c r="W525" s="1366"/>
      <c r="X525" s="1366"/>
      <c r="Y525" s="1366"/>
      <c r="Z525" s="1366"/>
      <c r="AA525" s="1366"/>
      <c r="AB525" s="1366"/>
      <c r="AC525" s="1366"/>
      <c r="AD525" s="1366"/>
      <c r="AE525" s="1366"/>
      <c r="AF525" s="1366"/>
      <c r="AG525" s="1366"/>
      <c r="AH525" s="1366"/>
      <c r="AI525" s="1366"/>
      <c r="AJ525" s="1366"/>
      <c r="AK525" s="1366"/>
      <c r="AL525" s="1366"/>
      <c r="AM525" s="1366"/>
      <c r="AN525" s="1366"/>
      <c r="AO525" s="1366"/>
      <c r="AP525" s="1366"/>
      <c r="AQ525" s="1366"/>
      <c r="AR525" s="1366"/>
      <c r="AS525" s="1366"/>
      <c r="AT525" s="1366"/>
      <c r="AU525" s="1366"/>
      <c r="AV525" s="1366"/>
      <c r="AW525" s="1366"/>
      <c r="AX525" s="1366"/>
      <c r="AY525" s="1366"/>
      <c r="AZ525" s="1366"/>
      <c r="BA525" s="1366"/>
      <c r="BB525" s="1366"/>
      <c r="BC525" s="1366"/>
      <c r="BD525" s="1366"/>
      <c r="BE525" s="1366"/>
      <c r="BF525" s="1366"/>
      <c r="BG525" s="1366"/>
      <c r="BH525" s="1366"/>
      <c r="BI525" s="1366"/>
      <c r="BJ525" s="1366"/>
      <c r="BK525" s="1366"/>
      <c r="BL525" s="1366"/>
      <c r="BM525" s="1366"/>
      <c r="BN525" s="1366"/>
      <c r="BO525" s="1366"/>
      <c r="BP525" s="1366"/>
      <c r="BQ525" s="1366"/>
      <c r="BR525" s="1366"/>
      <c r="BS525" s="1366"/>
      <c r="BT525" s="1366"/>
      <c r="BU525" s="1366"/>
      <c r="BV525" s="1366"/>
      <c r="BW525" s="1366"/>
      <c r="BX525" s="1366"/>
      <c r="BY525" s="1366"/>
      <c r="BZ525" s="1366"/>
      <c r="CA525" s="1366"/>
      <c r="CB525" s="1366"/>
      <c r="CC525" s="1366"/>
      <c r="CD525" s="1366"/>
      <c r="CE525" s="1366"/>
      <c r="CF525" s="1366"/>
      <c r="CG525" s="1366"/>
      <c r="CH525" s="1366"/>
      <c r="CI525" s="1366"/>
      <c r="CJ525" s="1366"/>
      <c r="CK525" s="1366"/>
      <c r="CL525" s="1366"/>
      <c r="CM525" s="1366"/>
      <c r="CN525" s="1366"/>
      <c r="CO525" s="1366"/>
      <c r="CP525" s="1366"/>
      <c r="CQ525" s="1366"/>
      <c r="CR525" s="1366"/>
      <c r="CS525" s="1366"/>
      <c r="CT525" s="1366"/>
      <c r="CU525" s="1366"/>
      <c r="CV525" s="1366"/>
      <c r="CW525" s="1366"/>
      <c r="CX525" s="1366"/>
      <c r="CY525" s="1366"/>
      <c r="CZ525" s="1366"/>
      <c r="DA525" s="1366"/>
      <c r="DB525" s="1366"/>
      <c r="DC525" s="1366"/>
      <c r="DD525" s="1366"/>
      <c r="DE525" s="1366"/>
      <c r="DF525" s="1366"/>
      <c r="DG525" s="1366"/>
      <c r="DH525" s="1366"/>
      <c r="DI525" s="1366"/>
      <c r="DJ525" s="1366"/>
      <c r="DK525" s="1366"/>
      <c r="DL525" s="1366"/>
      <c r="DM525" s="1366"/>
      <c r="DN525" s="1366"/>
      <c r="DO525" s="1366"/>
      <c r="DP525" s="1366"/>
      <c r="DQ525" s="1366"/>
      <c r="DR525" s="1366"/>
      <c r="DS525" s="1366"/>
      <c r="DT525" s="1366"/>
      <c r="DU525" s="1366"/>
      <c r="DV525" s="1366"/>
    </row>
    <row r="526" spans="1:126" s="1378" customFormat="1" ht="15" customHeight="1">
      <c r="A526" s="2530"/>
      <c r="B526" s="1659" t="s">
        <v>2643</v>
      </c>
      <c r="C526" s="1671" t="s">
        <v>47</v>
      </c>
      <c r="D526" s="1396" t="s">
        <v>2521</v>
      </c>
      <c r="E526" s="1376" t="s">
        <v>2097</v>
      </c>
      <c r="F526" s="1376" t="s">
        <v>2627</v>
      </c>
      <c r="G526" s="1377" t="s">
        <v>1907</v>
      </c>
      <c r="H526" s="1514"/>
      <c r="I526" s="1419"/>
      <c r="J526" s="1513"/>
      <c r="K526" s="1513"/>
      <c r="L526" s="1420"/>
      <c r="M526" s="1513"/>
      <c r="N526" s="1465"/>
      <c r="O526" s="1429"/>
      <c r="P526" s="1430"/>
      <c r="Q526" s="1430"/>
      <c r="R526" s="1430"/>
      <c r="S526" s="1430"/>
      <c r="T526" s="1430"/>
      <c r="U526" s="1430"/>
      <c r="V526" s="1679"/>
      <c r="W526" s="1366"/>
      <c r="X526" s="1366"/>
      <c r="Y526" s="1366"/>
      <c r="Z526" s="1366"/>
      <c r="AA526" s="1366"/>
      <c r="AB526" s="1366"/>
      <c r="AC526" s="1366"/>
      <c r="AD526" s="1366"/>
      <c r="AE526" s="1366"/>
      <c r="AF526" s="1366"/>
      <c r="AG526" s="1366"/>
      <c r="AH526" s="1366"/>
      <c r="AI526" s="1366"/>
      <c r="AJ526" s="1366"/>
      <c r="AK526" s="1366"/>
      <c r="AL526" s="1366"/>
      <c r="AM526" s="1366"/>
      <c r="AN526" s="1366"/>
      <c r="AO526" s="1366"/>
      <c r="AP526" s="1366"/>
      <c r="AQ526" s="1366"/>
      <c r="AR526" s="1366"/>
      <c r="AS526" s="1366"/>
      <c r="AT526" s="1366"/>
      <c r="AU526" s="1366"/>
      <c r="AV526" s="1366"/>
      <c r="AW526" s="1366"/>
      <c r="AX526" s="1366"/>
      <c r="AY526" s="1366"/>
      <c r="AZ526" s="1366"/>
      <c r="BA526" s="1366"/>
      <c r="BB526" s="1366"/>
      <c r="BC526" s="1366"/>
      <c r="BD526" s="1366"/>
      <c r="BE526" s="1366"/>
      <c r="BF526" s="1366"/>
      <c r="BG526" s="1366"/>
      <c r="BH526" s="1366"/>
      <c r="BI526" s="1366"/>
      <c r="BJ526" s="1366"/>
      <c r="BK526" s="1366"/>
      <c r="BL526" s="1366"/>
      <c r="BM526" s="1366"/>
      <c r="BN526" s="1366"/>
      <c r="BO526" s="1366"/>
      <c r="BP526" s="1366"/>
      <c r="BQ526" s="1366"/>
      <c r="BR526" s="1366"/>
      <c r="BS526" s="1366"/>
      <c r="BT526" s="1366"/>
      <c r="BU526" s="1366"/>
      <c r="BV526" s="1366"/>
      <c r="BW526" s="1366"/>
      <c r="BX526" s="1366"/>
      <c r="BY526" s="1366"/>
      <c r="BZ526" s="1366"/>
      <c r="CA526" s="1366"/>
      <c r="CB526" s="1366"/>
      <c r="CC526" s="1366"/>
      <c r="CD526" s="1366"/>
      <c r="CE526" s="1366"/>
      <c r="CF526" s="1366"/>
      <c r="CG526" s="1366"/>
      <c r="CH526" s="1366"/>
      <c r="CI526" s="1366"/>
      <c r="CJ526" s="1366"/>
      <c r="CK526" s="1366"/>
      <c r="CL526" s="1366"/>
      <c r="CM526" s="1366"/>
      <c r="CN526" s="1366"/>
      <c r="CO526" s="1366"/>
      <c r="CP526" s="1366"/>
      <c r="CQ526" s="1366"/>
      <c r="CR526" s="1366"/>
      <c r="CS526" s="1366"/>
      <c r="CT526" s="1366"/>
      <c r="CU526" s="1366"/>
      <c r="CV526" s="1366"/>
      <c r="CW526" s="1366"/>
      <c r="CX526" s="1366"/>
      <c r="CY526" s="1366"/>
      <c r="CZ526" s="1366"/>
      <c r="DA526" s="1366"/>
      <c r="DB526" s="1366"/>
      <c r="DC526" s="1366"/>
      <c r="DD526" s="1366"/>
      <c r="DE526" s="1366"/>
      <c r="DF526" s="1366"/>
      <c r="DG526" s="1366"/>
      <c r="DH526" s="1366"/>
      <c r="DI526" s="1366"/>
      <c r="DJ526" s="1366"/>
      <c r="DK526" s="1366"/>
      <c r="DL526" s="1366"/>
      <c r="DM526" s="1366"/>
      <c r="DN526" s="1366"/>
      <c r="DO526" s="1366"/>
      <c r="DP526" s="1366"/>
      <c r="DQ526" s="1366"/>
      <c r="DR526" s="1366"/>
      <c r="DS526" s="1366"/>
      <c r="DT526" s="1366"/>
      <c r="DU526" s="1366"/>
      <c r="DV526" s="1366"/>
    </row>
    <row r="527" spans="1:126" s="1378" customFormat="1" ht="30">
      <c r="A527" s="2530"/>
      <c r="B527" s="1659">
        <v>213</v>
      </c>
      <c r="C527" s="1671" t="s">
        <v>49</v>
      </c>
      <c r="D527" s="1396" t="s">
        <v>2338</v>
      </c>
      <c r="E527" s="1376" t="s">
        <v>2097</v>
      </c>
      <c r="F527" s="1376" t="s">
        <v>2107</v>
      </c>
      <c r="G527" s="1377" t="s">
        <v>1907</v>
      </c>
      <c r="H527" s="1514"/>
      <c r="I527" s="1419"/>
      <c r="J527" s="1513"/>
      <c r="K527" s="1513"/>
      <c r="L527" s="1420"/>
      <c r="M527" s="1513"/>
      <c r="N527" s="1465"/>
      <c r="O527" s="1429"/>
      <c r="P527" s="1430"/>
      <c r="Q527" s="1430"/>
      <c r="R527" s="1430"/>
      <c r="S527" s="1430"/>
      <c r="T527" s="1430"/>
      <c r="U527" s="1430"/>
      <c r="V527" s="1679"/>
      <c r="W527" s="1366"/>
      <c r="X527" s="1366"/>
      <c r="Y527" s="1366"/>
      <c r="Z527" s="1366"/>
      <c r="AA527" s="1366"/>
      <c r="AB527" s="1366"/>
      <c r="AC527" s="1366"/>
      <c r="AD527" s="1366"/>
      <c r="AE527" s="1366"/>
      <c r="AF527" s="1366"/>
      <c r="AG527" s="1366"/>
      <c r="AH527" s="1366"/>
      <c r="AI527" s="1366"/>
      <c r="AJ527" s="1366"/>
      <c r="AK527" s="1366"/>
      <c r="AL527" s="1366"/>
      <c r="AM527" s="1366"/>
      <c r="AN527" s="1366"/>
      <c r="AO527" s="1366"/>
      <c r="AP527" s="1366"/>
      <c r="AQ527" s="1366"/>
      <c r="AR527" s="1366"/>
      <c r="AS527" s="1366"/>
      <c r="AT527" s="1366"/>
      <c r="AU527" s="1366"/>
      <c r="AV527" s="1366"/>
      <c r="AW527" s="1366"/>
      <c r="AX527" s="1366"/>
      <c r="AY527" s="1366"/>
      <c r="AZ527" s="1366"/>
      <c r="BA527" s="1366"/>
      <c r="BB527" s="1366"/>
      <c r="BC527" s="1366"/>
      <c r="BD527" s="1366"/>
      <c r="BE527" s="1366"/>
      <c r="BF527" s="1366"/>
      <c r="BG527" s="1366"/>
      <c r="BH527" s="1366"/>
      <c r="BI527" s="1366"/>
      <c r="BJ527" s="1366"/>
      <c r="BK527" s="1366"/>
      <c r="BL527" s="1366"/>
      <c r="BM527" s="1366"/>
      <c r="BN527" s="1366"/>
      <c r="BO527" s="1366"/>
      <c r="BP527" s="1366"/>
      <c r="BQ527" s="1366"/>
      <c r="BR527" s="1366"/>
      <c r="BS527" s="1366"/>
      <c r="BT527" s="1366"/>
      <c r="BU527" s="1366"/>
      <c r="BV527" s="1366"/>
      <c r="BW527" s="1366"/>
      <c r="BX527" s="1366"/>
      <c r="BY527" s="1366"/>
      <c r="BZ527" s="1366"/>
      <c r="CA527" s="1366"/>
      <c r="CB527" s="1366"/>
      <c r="CC527" s="1366"/>
      <c r="CD527" s="1366"/>
      <c r="CE527" s="1366"/>
      <c r="CF527" s="1366"/>
      <c r="CG527" s="1366"/>
      <c r="CH527" s="1366"/>
      <c r="CI527" s="1366"/>
      <c r="CJ527" s="1366"/>
      <c r="CK527" s="1366"/>
      <c r="CL527" s="1366"/>
      <c r="CM527" s="1366"/>
      <c r="CN527" s="1366"/>
      <c r="CO527" s="1366"/>
      <c r="CP527" s="1366"/>
      <c r="CQ527" s="1366"/>
      <c r="CR527" s="1366"/>
      <c r="CS527" s="1366"/>
      <c r="CT527" s="1366"/>
      <c r="CU527" s="1366"/>
      <c r="CV527" s="1366"/>
      <c r="CW527" s="1366"/>
      <c r="CX527" s="1366"/>
      <c r="CY527" s="1366"/>
      <c r="CZ527" s="1366"/>
      <c r="DA527" s="1366"/>
      <c r="DB527" s="1366"/>
      <c r="DC527" s="1366"/>
      <c r="DD527" s="1366"/>
      <c r="DE527" s="1366"/>
      <c r="DF527" s="1366"/>
      <c r="DG527" s="1366"/>
      <c r="DH527" s="1366"/>
      <c r="DI527" s="1366"/>
      <c r="DJ527" s="1366"/>
      <c r="DK527" s="1366"/>
      <c r="DL527" s="1366"/>
      <c r="DM527" s="1366"/>
      <c r="DN527" s="1366"/>
      <c r="DO527" s="1366"/>
      <c r="DP527" s="1366"/>
      <c r="DQ527" s="1366"/>
      <c r="DR527" s="1366"/>
      <c r="DS527" s="1366"/>
      <c r="DT527" s="1366"/>
      <c r="DU527" s="1366"/>
      <c r="DV527" s="1366"/>
    </row>
    <row r="528" spans="1:126" s="1378" customFormat="1" ht="30">
      <c r="A528" s="2530"/>
      <c r="B528" s="1659">
        <v>2227</v>
      </c>
      <c r="C528" s="1671" t="s">
        <v>49</v>
      </c>
      <c r="D528" s="1396" t="s">
        <v>2633</v>
      </c>
      <c r="E528" s="1376" t="s">
        <v>2097</v>
      </c>
      <c r="F528" s="1376" t="s">
        <v>2108</v>
      </c>
      <c r="G528" s="1377" t="s">
        <v>1907</v>
      </c>
      <c r="H528" s="1514"/>
      <c r="I528" s="1419"/>
      <c r="J528" s="1513"/>
      <c r="K528" s="1513"/>
      <c r="L528" s="1420"/>
      <c r="M528" s="1513"/>
      <c r="N528" s="1465"/>
      <c r="O528" s="1429"/>
      <c r="P528" s="1430"/>
      <c r="Q528" s="1430"/>
      <c r="R528" s="1430"/>
      <c r="S528" s="1430"/>
      <c r="T528" s="1430"/>
      <c r="U528" s="1430"/>
      <c r="V528" s="1679"/>
      <c r="W528" s="1366"/>
      <c r="X528" s="1366"/>
      <c r="Y528" s="1366"/>
      <c r="Z528" s="1366"/>
      <c r="AA528" s="1366"/>
      <c r="AB528" s="1366"/>
      <c r="AC528" s="1366"/>
      <c r="AD528" s="1366"/>
      <c r="AE528" s="1366"/>
      <c r="AF528" s="1366"/>
      <c r="AG528" s="1366"/>
      <c r="AH528" s="1366"/>
      <c r="AI528" s="1366"/>
      <c r="AJ528" s="1366"/>
      <c r="AK528" s="1366"/>
      <c r="AL528" s="1366"/>
      <c r="AM528" s="1366"/>
      <c r="AN528" s="1366"/>
      <c r="AO528" s="1366"/>
      <c r="AP528" s="1366"/>
      <c r="AQ528" s="1366"/>
      <c r="AR528" s="1366"/>
      <c r="AS528" s="1366"/>
      <c r="AT528" s="1366"/>
      <c r="AU528" s="1366"/>
      <c r="AV528" s="1366"/>
      <c r="AW528" s="1366"/>
      <c r="AX528" s="1366"/>
      <c r="AY528" s="1366"/>
      <c r="AZ528" s="1366"/>
      <c r="BA528" s="1366"/>
      <c r="BB528" s="1366"/>
      <c r="BC528" s="1366"/>
      <c r="BD528" s="1366"/>
      <c r="BE528" s="1366"/>
      <c r="BF528" s="1366"/>
      <c r="BG528" s="1366"/>
      <c r="BH528" s="1366"/>
      <c r="BI528" s="1366"/>
      <c r="BJ528" s="1366"/>
      <c r="BK528" s="1366"/>
      <c r="BL528" s="1366"/>
      <c r="BM528" s="1366"/>
      <c r="BN528" s="1366"/>
      <c r="BO528" s="1366"/>
      <c r="BP528" s="1366"/>
      <c r="BQ528" s="1366"/>
      <c r="BR528" s="1366"/>
      <c r="BS528" s="1366"/>
      <c r="BT528" s="1366"/>
      <c r="BU528" s="1366"/>
      <c r="BV528" s="1366"/>
      <c r="BW528" s="1366"/>
      <c r="BX528" s="1366"/>
      <c r="BY528" s="1366"/>
      <c r="BZ528" s="1366"/>
      <c r="CA528" s="1366"/>
      <c r="CB528" s="1366"/>
      <c r="CC528" s="1366"/>
      <c r="CD528" s="1366"/>
      <c r="CE528" s="1366"/>
      <c r="CF528" s="1366"/>
      <c r="CG528" s="1366"/>
      <c r="CH528" s="1366"/>
      <c r="CI528" s="1366"/>
      <c r="CJ528" s="1366"/>
      <c r="CK528" s="1366"/>
      <c r="CL528" s="1366"/>
      <c r="CM528" s="1366"/>
      <c r="CN528" s="1366"/>
      <c r="CO528" s="1366"/>
      <c r="CP528" s="1366"/>
      <c r="CQ528" s="1366"/>
      <c r="CR528" s="1366"/>
      <c r="CS528" s="1366"/>
      <c r="CT528" s="1366"/>
      <c r="CU528" s="1366"/>
      <c r="CV528" s="1366"/>
      <c r="CW528" s="1366"/>
      <c r="CX528" s="1366"/>
      <c r="CY528" s="1366"/>
      <c r="CZ528" s="1366"/>
      <c r="DA528" s="1366"/>
      <c r="DB528" s="1366"/>
      <c r="DC528" s="1366"/>
      <c r="DD528" s="1366"/>
      <c r="DE528" s="1366"/>
      <c r="DF528" s="1366"/>
      <c r="DG528" s="1366"/>
      <c r="DH528" s="1366"/>
      <c r="DI528" s="1366"/>
      <c r="DJ528" s="1366"/>
      <c r="DK528" s="1366"/>
      <c r="DL528" s="1366"/>
      <c r="DM528" s="1366"/>
      <c r="DN528" s="1366"/>
      <c r="DO528" s="1366"/>
      <c r="DP528" s="1366"/>
      <c r="DQ528" s="1366"/>
      <c r="DR528" s="1366"/>
      <c r="DS528" s="1366"/>
      <c r="DT528" s="1366"/>
      <c r="DU528" s="1366"/>
      <c r="DV528" s="1366"/>
    </row>
    <row r="529" spans="1:126" s="1378" customFormat="1" ht="15" customHeight="1">
      <c r="A529" s="2530"/>
      <c r="B529" s="1659" t="s">
        <v>2644</v>
      </c>
      <c r="C529" s="1671" t="s">
        <v>47</v>
      </c>
      <c r="D529" s="1396" t="s">
        <v>2521</v>
      </c>
      <c r="E529" s="1376" t="s">
        <v>2097</v>
      </c>
      <c r="F529" s="1376" t="s">
        <v>2627</v>
      </c>
      <c r="G529" s="1377" t="s">
        <v>1907</v>
      </c>
      <c r="H529" s="1514"/>
      <c r="I529" s="1419"/>
      <c r="J529" s="1513"/>
      <c r="K529" s="1513"/>
      <c r="L529" s="1420"/>
      <c r="M529" s="1513"/>
      <c r="N529" s="1465"/>
      <c r="O529" s="1429"/>
      <c r="P529" s="1430"/>
      <c r="Q529" s="1430"/>
      <c r="R529" s="1430"/>
      <c r="S529" s="1430"/>
      <c r="T529" s="1430"/>
      <c r="U529" s="1430"/>
      <c r="V529" s="1679"/>
      <c r="W529" s="1366"/>
      <c r="X529" s="1366"/>
      <c r="Y529" s="1366"/>
      <c r="Z529" s="1366"/>
      <c r="AA529" s="1366"/>
      <c r="AB529" s="1366"/>
      <c r="AC529" s="1366"/>
      <c r="AD529" s="1366"/>
      <c r="AE529" s="1366"/>
      <c r="AF529" s="1366"/>
      <c r="AG529" s="1366"/>
      <c r="AH529" s="1366"/>
      <c r="AI529" s="1366"/>
      <c r="AJ529" s="1366"/>
      <c r="AK529" s="1366"/>
      <c r="AL529" s="1366"/>
      <c r="AM529" s="1366"/>
      <c r="AN529" s="1366"/>
      <c r="AO529" s="1366"/>
      <c r="AP529" s="1366"/>
      <c r="AQ529" s="1366"/>
      <c r="AR529" s="1366"/>
      <c r="AS529" s="1366"/>
      <c r="AT529" s="1366"/>
      <c r="AU529" s="1366"/>
      <c r="AV529" s="1366"/>
      <c r="AW529" s="1366"/>
      <c r="AX529" s="1366"/>
      <c r="AY529" s="1366"/>
      <c r="AZ529" s="1366"/>
      <c r="BA529" s="1366"/>
      <c r="BB529" s="1366"/>
      <c r="BC529" s="1366"/>
      <c r="BD529" s="1366"/>
      <c r="BE529" s="1366"/>
      <c r="BF529" s="1366"/>
      <c r="BG529" s="1366"/>
      <c r="BH529" s="1366"/>
      <c r="BI529" s="1366"/>
      <c r="BJ529" s="1366"/>
      <c r="BK529" s="1366"/>
      <c r="BL529" s="1366"/>
      <c r="BM529" s="1366"/>
      <c r="BN529" s="1366"/>
      <c r="BO529" s="1366"/>
      <c r="BP529" s="1366"/>
      <c r="BQ529" s="1366"/>
      <c r="BR529" s="1366"/>
      <c r="BS529" s="1366"/>
      <c r="BT529" s="1366"/>
      <c r="BU529" s="1366"/>
      <c r="BV529" s="1366"/>
      <c r="BW529" s="1366"/>
      <c r="BX529" s="1366"/>
      <c r="BY529" s="1366"/>
      <c r="BZ529" s="1366"/>
      <c r="CA529" s="1366"/>
      <c r="CB529" s="1366"/>
      <c r="CC529" s="1366"/>
      <c r="CD529" s="1366"/>
      <c r="CE529" s="1366"/>
      <c r="CF529" s="1366"/>
      <c r="CG529" s="1366"/>
      <c r="CH529" s="1366"/>
      <c r="CI529" s="1366"/>
      <c r="CJ529" s="1366"/>
      <c r="CK529" s="1366"/>
      <c r="CL529" s="1366"/>
      <c r="CM529" s="1366"/>
      <c r="CN529" s="1366"/>
      <c r="CO529" s="1366"/>
      <c r="CP529" s="1366"/>
      <c r="CQ529" s="1366"/>
      <c r="CR529" s="1366"/>
      <c r="CS529" s="1366"/>
      <c r="CT529" s="1366"/>
      <c r="CU529" s="1366"/>
      <c r="CV529" s="1366"/>
      <c r="CW529" s="1366"/>
      <c r="CX529" s="1366"/>
      <c r="CY529" s="1366"/>
      <c r="CZ529" s="1366"/>
      <c r="DA529" s="1366"/>
      <c r="DB529" s="1366"/>
      <c r="DC529" s="1366"/>
      <c r="DD529" s="1366"/>
      <c r="DE529" s="1366"/>
      <c r="DF529" s="1366"/>
      <c r="DG529" s="1366"/>
      <c r="DH529" s="1366"/>
      <c r="DI529" s="1366"/>
      <c r="DJ529" s="1366"/>
      <c r="DK529" s="1366"/>
      <c r="DL529" s="1366"/>
      <c r="DM529" s="1366"/>
      <c r="DN529" s="1366"/>
      <c r="DO529" s="1366"/>
      <c r="DP529" s="1366"/>
      <c r="DQ529" s="1366"/>
      <c r="DR529" s="1366"/>
      <c r="DS529" s="1366"/>
      <c r="DT529" s="1366"/>
      <c r="DU529" s="1366"/>
      <c r="DV529" s="1366"/>
    </row>
    <row r="530" spans="1:126" s="1378" customFormat="1" ht="30">
      <c r="A530" s="2530"/>
      <c r="B530" s="1659">
        <v>207</v>
      </c>
      <c r="C530" s="1671" t="s">
        <v>49</v>
      </c>
      <c r="D530" s="1396" t="s">
        <v>2337</v>
      </c>
      <c r="E530" s="1376" t="s">
        <v>2097</v>
      </c>
      <c r="F530" s="1376" t="s">
        <v>2107</v>
      </c>
      <c r="G530" s="1377" t="s">
        <v>1907</v>
      </c>
      <c r="H530" s="1514"/>
      <c r="I530" s="1419"/>
      <c r="J530" s="1513"/>
      <c r="K530" s="1513"/>
      <c r="L530" s="1420"/>
      <c r="M530" s="1513"/>
      <c r="N530" s="1465"/>
      <c r="O530" s="1429"/>
      <c r="P530" s="1430"/>
      <c r="Q530" s="1430"/>
      <c r="R530" s="1430"/>
      <c r="S530" s="1430"/>
      <c r="T530" s="1430"/>
      <c r="U530" s="1430"/>
      <c r="V530" s="1679"/>
      <c r="W530" s="1366"/>
      <c r="X530" s="1366"/>
      <c r="Y530" s="1366"/>
      <c r="Z530" s="1366"/>
      <c r="AA530" s="1366"/>
      <c r="AB530" s="1366"/>
      <c r="AC530" s="1366"/>
      <c r="AD530" s="1366"/>
      <c r="AE530" s="1366"/>
      <c r="AF530" s="1366"/>
      <c r="AG530" s="1366"/>
      <c r="AH530" s="1366"/>
      <c r="AI530" s="1366"/>
      <c r="AJ530" s="1366"/>
      <c r="AK530" s="1366"/>
      <c r="AL530" s="1366"/>
      <c r="AM530" s="1366"/>
      <c r="AN530" s="1366"/>
      <c r="AO530" s="1366"/>
      <c r="AP530" s="1366"/>
      <c r="AQ530" s="1366"/>
      <c r="AR530" s="1366"/>
      <c r="AS530" s="1366"/>
      <c r="AT530" s="1366"/>
      <c r="AU530" s="1366"/>
      <c r="AV530" s="1366"/>
      <c r="AW530" s="1366"/>
      <c r="AX530" s="1366"/>
      <c r="AY530" s="1366"/>
      <c r="AZ530" s="1366"/>
      <c r="BA530" s="1366"/>
      <c r="BB530" s="1366"/>
      <c r="BC530" s="1366"/>
      <c r="BD530" s="1366"/>
      <c r="BE530" s="1366"/>
      <c r="BF530" s="1366"/>
      <c r="BG530" s="1366"/>
      <c r="BH530" s="1366"/>
      <c r="BI530" s="1366"/>
      <c r="BJ530" s="1366"/>
      <c r="BK530" s="1366"/>
      <c r="BL530" s="1366"/>
      <c r="BM530" s="1366"/>
      <c r="BN530" s="1366"/>
      <c r="BO530" s="1366"/>
      <c r="BP530" s="1366"/>
      <c r="BQ530" s="1366"/>
      <c r="BR530" s="1366"/>
      <c r="BS530" s="1366"/>
      <c r="BT530" s="1366"/>
      <c r="BU530" s="1366"/>
      <c r="BV530" s="1366"/>
      <c r="BW530" s="1366"/>
      <c r="BX530" s="1366"/>
      <c r="BY530" s="1366"/>
      <c r="BZ530" s="1366"/>
      <c r="CA530" s="1366"/>
      <c r="CB530" s="1366"/>
      <c r="CC530" s="1366"/>
      <c r="CD530" s="1366"/>
      <c r="CE530" s="1366"/>
      <c r="CF530" s="1366"/>
      <c r="CG530" s="1366"/>
      <c r="CH530" s="1366"/>
      <c r="CI530" s="1366"/>
      <c r="CJ530" s="1366"/>
      <c r="CK530" s="1366"/>
      <c r="CL530" s="1366"/>
      <c r="CM530" s="1366"/>
      <c r="CN530" s="1366"/>
      <c r="CO530" s="1366"/>
      <c r="CP530" s="1366"/>
      <c r="CQ530" s="1366"/>
      <c r="CR530" s="1366"/>
      <c r="CS530" s="1366"/>
      <c r="CT530" s="1366"/>
      <c r="CU530" s="1366"/>
      <c r="CV530" s="1366"/>
      <c r="CW530" s="1366"/>
      <c r="CX530" s="1366"/>
      <c r="CY530" s="1366"/>
      <c r="CZ530" s="1366"/>
      <c r="DA530" s="1366"/>
      <c r="DB530" s="1366"/>
      <c r="DC530" s="1366"/>
      <c r="DD530" s="1366"/>
      <c r="DE530" s="1366"/>
      <c r="DF530" s="1366"/>
      <c r="DG530" s="1366"/>
      <c r="DH530" s="1366"/>
      <c r="DI530" s="1366"/>
      <c r="DJ530" s="1366"/>
      <c r="DK530" s="1366"/>
      <c r="DL530" s="1366"/>
      <c r="DM530" s="1366"/>
      <c r="DN530" s="1366"/>
      <c r="DO530" s="1366"/>
      <c r="DP530" s="1366"/>
      <c r="DQ530" s="1366"/>
      <c r="DR530" s="1366"/>
      <c r="DS530" s="1366"/>
      <c r="DT530" s="1366"/>
      <c r="DU530" s="1366"/>
      <c r="DV530" s="1366"/>
    </row>
    <row r="531" spans="1:126" s="1382" customFormat="1" ht="30.75" thickBot="1">
      <c r="A531" s="2533"/>
      <c r="B531" s="1659">
        <v>2226</v>
      </c>
      <c r="C531" s="1671" t="s">
        <v>49</v>
      </c>
      <c r="D531" s="1396" t="s">
        <v>2634</v>
      </c>
      <c r="E531" s="1376" t="s">
        <v>2097</v>
      </c>
      <c r="F531" s="1376" t="s">
        <v>2108</v>
      </c>
      <c r="G531" s="1377" t="s">
        <v>1907</v>
      </c>
      <c r="H531" s="1514"/>
      <c r="I531" s="1419"/>
      <c r="J531" s="1513"/>
      <c r="K531" s="1513"/>
      <c r="L531" s="1420"/>
      <c r="M531" s="1513"/>
      <c r="N531" s="1465"/>
      <c r="O531" s="1429"/>
      <c r="P531" s="1430"/>
      <c r="Q531" s="1430"/>
      <c r="R531" s="1430"/>
      <c r="S531" s="1430"/>
      <c r="T531" s="1430"/>
      <c r="U531" s="1430"/>
      <c r="V531" s="1679"/>
      <c r="W531" s="1366"/>
      <c r="X531" s="1366"/>
      <c r="Y531" s="1366"/>
      <c r="Z531" s="1366"/>
      <c r="AA531" s="1366"/>
      <c r="AB531" s="1366"/>
      <c r="AC531" s="1366"/>
      <c r="AD531" s="1366"/>
      <c r="AE531" s="1366"/>
      <c r="AF531" s="1366"/>
      <c r="AG531" s="1366"/>
      <c r="AH531" s="1366"/>
      <c r="AI531" s="1366"/>
      <c r="AJ531" s="1366"/>
      <c r="AK531" s="1366"/>
      <c r="AL531" s="1366"/>
      <c r="AM531" s="1366"/>
      <c r="AN531" s="1366"/>
      <c r="AO531" s="1366"/>
      <c r="AP531" s="1366"/>
      <c r="AQ531" s="1366"/>
      <c r="AR531" s="1366"/>
      <c r="AS531" s="1366"/>
      <c r="AT531" s="1366"/>
      <c r="AU531" s="1366"/>
      <c r="AV531" s="1366"/>
      <c r="AW531" s="1366"/>
      <c r="AX531" s="1366"/>
      <c r="AY531" s="1366"/>
      <c r="AZ531" s="1366"/>
      <c r="BA531" s="1366"/>
      <c r="BB531" s="1366"/>
      <c r="BC531" s="1366"/>
      <c r="BD531" s="1366"/>
      <c r="BE531" s="1366"/>
      <c r="BF531" s="1366"/>
      <c r="BG531" s="1366"/>
      <c r="BH531" s="1366"/>
      <c r="BI531" s="1366"/>
      <c r="BJ531" s="1366"/>
      <c r="BK531" s="1366"/>
      <c r="BL531" s="1366"/>
      <c r="BM531" s="1366"/>
      <c r="BN531" s="1366"/>
      <c r="BO531" s="1366"/>
      <c r="BP531" s="1366"/>
      <c r="BQ531" s="1366"/>
      <c r="BR531" s="1366"/>
      <c r="BS531" s="1366"/>
      <c r="BT531" s="1366"/>
      <c r="BU531" s="1366"/>
      <c r="BV531" s="1366"/>
      <c r="BW531" s="1366"/>
      <c r="BX531" s="1366"/>
      <c r="BY531" s="1366"/>
      <c r="BZ531" s="1366"/>
      <c r="CA531" s="1366"/>
      <c r="CB531" s="1366"/>
      <c r="CC531" s="1366"/>
      <c r="CD531" s="1366"/>
      <c r="CE531" s="1366"/>
      <c r="CF531" s="1366"/>
      <c r="CG531" s="1366"/>
      <c r="CH531" s="1366"/>
      <c r="CI531" s="1366"/>
      <c r="CJ531" s="1366"/>
      <c r="CK531" s="1366"/>
      <c r="CL531" s="1366"/>
      <c r="CM531" s="1366"/>
      <c r="CN531" s="1366"/>
      <c r="CO531" s="1366"/>
      <c r="CP531" s="1366"/>
      <c r="CQ531" s="1366"/>
      <c r="CR531" s="1366"/>
      <c r="CS531" s="1366"/>
      <c r="CT531" s="1366"/>
      <c r="CU531" s="1366"/>
      <c r="CV531" s="1366"/>
      <c r="CW531" s="1366"/>
      <c r="CX531" s="1366"/>
      <c r="CY531" s="1366"/>
      <c r="CZ531" s="1366"/>
      <c r="DA531" s="1366"/>
      <c r="DB531" s="1366"/>
      <c r="DC531" s="1366"/>
      <c r="DD531" s="1366"/>
      <c r="DE531" s="1366"/>
      <c r="DF531" s="1366"/>
      <c r="DG531" s="1366"/>
      <c r="DH531" s="1366"/>
      <c r="DI531" s="1366"/>
      <c r="DJ531" s="1366"/>
      <c r="DK531" s="1366"/>
      <c r="DL531" s="1366"/>
      <c r="DM531" s="1366"/>
      <c r="DN531" s="1366"/>
      <c r="DO531" s="1366"/>
      <c r="DP531" s="1366"/>
      <c r="DQ531" s="1366"/>
      <c r="DR531" s="1366"/>
      <c r="DS531" s="1366"/>
      <c r="DT531" s="1366"/>
      <c r="DU531" s="1366"/>
      <c r="DV531" s="1366"/>
    </row>
    <row r="532" spans="1:126" s="1479" customFormat="1" ht="19.5" thickBot="1">
      <c r="A532" s="695"/>
      <c r="B532" s="1652"/>
      <c r="C532" s="1652"/>
      <c r="D532" s="1318"/>
      <c r="E532" s="1318"/>
      <c r="F532" s="1318"/>
      <c r="G532" s="1318"/>
      <c r="H532" s="1389"/>
      <c r="I532" s="1446"/>
      <c r="J532" s="1390"/>
      <c r="K532" s="1389"/>
      <c r="L532" s="1532"/>
      <c r="M532" s="1389"/>
      <c r="N532" s="1497"/>
      <c r="O532" s="1413"/>
      <c r="P532" s="1414"/>
      <c r="Q532" s="1414"/>
      <c r="R532" s="1443"/>
      <c r="S532" s="1443"/>
      <c r="T532" s="1488"/>
      <c r="U532" s="1488"/>
      <c r="V532" s="1489"/>
      <c r="W532" s="1490"/>
      <c r="X532" s="1490"/>
      <c r="Y532" s="327"/>
      <c r="Z532" s="327"/>
      <c r="AA532" s="327"/>
      <c r="AB532" s="1490"/>
      <c r="AC532" s="1490"/>
      <c r="AD532" s="1490"/>
      <c r="AE532" s="1490"/>
      <c r="AF532" s="327"/>
      <c r="AG532" s="327"/>
      <c r="AH532" s="327"/>
      <c r="AI532" s="327"/>
      <c r="AJ532" s="327"/>
      <c r="AK532" s="1478"/>
      <c r="AL532" s="1478"/>
      <c r="AM532" s="1478"/>
      <c r="AN532" s="1478"/>
      <c r="AO532" s="1478"/>
      <c r="AP532" s="1478"/>
      <c r="AQ532" s="1478"/>
      <c r="AR532" s="1478"/>
      <c r="AS532" s="1478"/>
      <c r="AT532" s="1478"/>
      <c r="AU532" s="1478"/>
      <c r="AV532" s="1478"/>
      <c r="AW532" s="1478"/>
      <c r="AX532" s="1478"/>
      <c r="AY532" s="1478"/>
      <c r="AZ532" s="1478"/>
      <c r="BA532" s="1478"/>
      <c r="BB532" s="1478"/>
      <c r="BC532" s="1478"/>
      <c r="BD532" s="1478"/>
      <c r="BE532" s="1478"/>
      <c r="BF532" s="1478"/>
      <c r="BG532" s="1478"/>
      <c r="BH532" s="1478"/>
      <c r="BI532" s="1478"/>
      <c r="BJ532" s="1478"/>
      <c r="BK532" s="327"/>
      <c r="BL532" s="327"/>
      <c r="BM532" s="327"/>
      <c r="BN532" s="327"/>
      <c r="BO532" s="327"/>
      <c r="BP532" s="327"/>
      <c r="BQ532" s="327"/>
      <c r="BR532" s="327"/>
      <c r="BS532" s="327"/>
      <c r="BT532" s="327"/>
      <c r="BU532" s="327"/>
      <c r="BV532" s="327"/>
      <c r="BW532" s="327"/>
      <c r="BX532" s="327"/>
      <c r="BY532" s="327"/>
      <c r="BZ532" s="327"/>
      <c r="CA532" s="327"/>
      <c r="CB532" s="327"/>
      <c r="CC532" s="327"/>
      <c r="CD532" s="327"/>
      <c r="CE532" s="327"/>
      <c r="CF532" s="327"/>
      <c r="CG532" s="327"/>
      <c r="CH532" s="327"/>
      <c r="CI532" s="327"/>
      <c r="CJ532" s="327"/>
      <c r="CK532" s="327"/>
      <c r="CL532" s="327"/>
      <c r="CM532" s="327"/>
      <c r="CN532" s="327"/>
      <c r="CO532" s="327"/>
      <c r="CP532" s="327"/>
      <c r="CQ532" s="327"/>
      <c r="CR532" s="327"/>
      <c r="CS532" s="327"/>
      <c r="CT532" s="327"/>
      <c r="CU532" s="327"/>
      <c r="CV532" s="327"/>
      <c r="CW532" s="327"/>
      <c r="CX532" s="327"/>
      <c r="CY532" s="327"/>
      <c r="CZ532" s="327"/>
      <c r="DA532" s="327"/>
      <c r="DB532" s="327"/>
      <c r="DC532" s="327"/>
      <c r="DD532" s="327"/>
      <c r="DE532" s="327"/>
      <c r="DF532" s="327"/>
      <c r="DG532" s="327"/>
      <c r="DH532" s="327"/>
      <c r="DI532" s="327"/>
      <c r="DJ532" s="327"/>
      <c r="DK532" s="327"/>
      <c r="DL532" s="327"/>
      <c r="DM532" s="327"/>
      <c r="DN532" s="327"/>
      <c r="DO532" s="327"/>
      <c r="DP532" s="327"/>
      <c r="DQ532" s="327"/>
      <c r="DR532" s="327"/>
      <c r="DS532" s="327"/>
      <c r="DT532" s="327"/>
      <c r="DU532" s="327"/>
      <c r="DV532" s="327"/>
    </row>
    <row r="533" spans="1:126" s="1367" customFormat="1" ht="15" customHeight="1">
      <c r="A533" s="2529" t="s">
        <v>2486</v>
      </c>
      <c r="B533" s="1653" t="s">
        <v>2380</v>
      </c>
      <c r="C533" s="1638" t="s">
        <v>47</v>
      </c>
      <c r="D533" s="1395" t="s">
        <v>2379</v>
      </c>
      <c r="E533" s="1364"/>
      <c r="F533" s="1364"/>
      <c r="G533" s="506"/>
      <c r="H533" s="1361">
        <f>(15*'Equipment Results Matrix'!$R$995)+(2*'Equipment Results Matrix'!$R$994)+'Equipment Results Matrix'!$R$982+'Equipment Results Matrix'!$R$988+'Equipment Results Matrix'!$R$990+'Equipment Results Matrix'!$R$992+'Equipment Results Matrix'!$T$989</f>
        <v>5.6907992647146575</v>
      </c>
      <c r="I533" s="1371">
        <f>'Labor Results Matrix'!$E$490</f>
        <v>6.2E-2</v>
      </c>
      <c r="J533" s="1372">
        <f>'Labor Results Matrix'!$G$490*(1+'Labor Results Matrix'!$K$490)</f>
        <v>72.260416710552065</v>
      </c>
      <c r="K533" s="1372">
        <f>I533*J533</f>
        <v>4.4801458360542279</v>
      </c>
      <c r="L533" s="1372">
        <v>0</v>
      </c>
      <c r="M533" s="1372">
        <f>H533+K533</f>
        <v>10.170945100768886</v>
      </c>
      <c r="N533" s="1455" t="s">
        <v>40</v>
      </c>
      <c r="O533" s="1429"/>
      <c r="P533" s="1430"/>
      <c r="Q533" s="1430"/>
      <c r="R533" s="1430"/>
      <c r="S533" s="1430"/>
      <c r="T533" s="1430"/>
      <c r="U533" s="1430"/>
      <c r="V533" s="1679"/>
      <c r="W533" s="1366"/>
      <c r="X533" s="1366"/>
      <c r="Y533" s="1366"/>
      <c r="Z533" s="1366"/>
      <c r="AA533" s="1366"/>
      <c r="AB533" s="1366"/>
      <c r="AC533" s="1366"/>
      <c r="AD533" s="1366"/>
      <c r="AE533" s="1366"/>
      <c r="AF533" s="1366"/>
      <c r="AG533" s="1366"/>
      <c r="AH533" s="1366"/>
      <c r="AI533" s="1366"/>
      <c r="AJ533" s="1366"/>
      <c r="AK533" s="1366"/>
      <c r="AL533" s="1366"/>
      <c r="AM533" s="1366"/>
      <c r="AN533" s="1366"/>
      <c r="AO533" s="1366"/>
      <c r="AP533" s="1366"/>
      <c r="AQ533" s="1366"/>
      <c r="AR533" s="1366"/>
      <c r="AS533" s="1366"/>
      <c r="AT533" s="1366"/>
      <c r="AU533" s="1366"/>
      <c r="AV533" s="1366"/>
      <c r="AW533" s="1366"/>
      <c r="AX533" s="1366"/>
      <c r="AY533" s="1366"/>
      <c r="AZ533" s="1366"/>
      <c r="BA533" s="1366"/>
      <c r="BB533" s="1366"/>
      <c r="BC533" s="1366"/>
      <c r="BD533" s="1366"/>
      <c r="BE533" s="1366"/>
      <c r="BF533" s="1366"/>
      <c r="BG533" s="1366"/>
      <c r="BH533" s="1366"/>
      <c r="BI533" s="1366"/>
      <c r="BJ533" s="1366"/>
      <c r="BK533" s="1366"/>
      <c r="BL533" s="1366"/>
      <c r="BM533" s="1366"/>
      <c r="BN533" s="1366"/>
      <c r="BO533" s="1366"/>
      <c r="BP533" s="1366"/>
      <c r="BQ533" s="1366"/>
      <c r="BR533" s="1366"/>
      <c r="BS533" s="1366"/>
      <c r="BT533" s="1366"/>
      <c r="BU533" s="1366"/>
      <c r="BV533" s="1366"/>
      <c r="BW533" s="1366"/>
      <c r="BX533" s="1366"/>
      <c r="BY533" s="1366"/>
      <c r="BZ533" s="1366"/>
      <c r="CA533" s="1366"/>
      <c r="CB533" s="1366"/>
      <c r="CC533" s="1366"/>
      <c r="CD533" s="1366"/>
      <c r="CE533" s="1366"/>
      <c r="CF533" s="1366"/>
      <c r="CG533" s="1366"/>
      <c r="CH533" s="1366"/>
      <c r="CI533" s="1366"/>
      <c r="CJ533" s="1366"/>
      <c r="CK533" s="1366"/>
      <c r="CL533" s="1366"/>
      <c r="CM533" s="1366"/>
      <c r="CN533" s="1366"/>
      <c r="CO533" s="1366"/>
      <c r="CP533" s="1366"/>
      <c r="CQ533" s="1366"/>
      <c r="CR533" s="1366"/>
      <c r="CS533" s="1366"/>
      <c r="CT533" s="1366"/>
      <c r="CU533" s="1366"/>
      <c r="CV533" s="1366"/>
      <c r="CW533" s="1366"/>
      <c r="CX533" s="1366"/>
      <c r="CY533" s="1366"/>
      <c r="CZ533" s="1366"/>
      <c r="DA533" s="1366"/>
      <c r="DB533" s="1366"/>
      <c r="DC533" s="1366"/>
      <c r="DD533" s="1366"/>
      <c r="DE533" s="1366"/>
      <c r="DF533" s="1366"/>
      <c r="DG533" s="1366"/>
      <c r="DH533" s="1366"/>
      <c r="DI533" s="1366"/>
      <c r="DJ533" s="1366"/>
      <c r="DK533" s="1366"/>
      <c r="DL533" s="1366"/>
      <c r="DM533" s="1366"/>
      <c r="DN533" s="1366"/>
      <c r="DO533" s="1366"/>
      <c r="DP533" s="1366"/>
      <c r="DQ533" s="1366"/>
      <c r="DR533" s="1366"/>
      <c r="DS533" s="1366"/>
      <c r="DT533" s="1366"/>
      <c r="DU533" s="1366"/>
      <c r="DV533" s="1366"/>
    </row>
    <row r="534" spans="1:126" s="1367" customFormat="1" ht="30">
      <c r="A534" s="2530"/>
      <c r="B534" s="1653">
        <v>264</v>
      </c>
      <c r="C534" s="1638" t="s">
        <v>49</v>
      </c>
      <c r="D534" s="1375" t="s">
        <v>2381</v>
      </c>
      <c r="E534" s="1364" t="s">
        <v>2097</v>
      </c>
      <c r="F534" s="1364" t="s">
        <v>2107</v>
      </c>
      <c r="G534" s="506" t="s">
        <v>1907</v>
      </c>
      <c r="H534" s="1361">
        <f>(3*'Equipment Results Matrix'!$R$1064)+'Equipment Results Matrix'!$R$1050+'Equipment Results Matrix'!$R$1056+'Equipment Results Matrix'!$R$1059+'Equipment Results Matrix'!$R$1060+'Equipment Results Matrix'!$R$1063+'Equipment Results Matrix'!$T$1057</f>
        <v>6.0675715487045139</v>
      </c>
      <c r="I534" s="1371">
        <f>'Labor Results Matrix'!$E$558</f>
        <v>6.2E-2</v>
      </c>
      <c r="J534" s="1372">
        <f>'Labor Results Matrix'!$G$558*(1+'Labor Results Matrix'!$K$558)</f>
        <v>72.260416710552065</v>
      </c>
      <c r="K534" s="1372">
        <f>I534*J534</f>
        <v>4.4801458360542279</v>
      </c>
      <c r="L534" s="1372">
        <v>0</v>
      </c>
      <c r="M534" s="1372">
        <f t="shared" ref="M534:M567" si="225">H534+K534</f>
        <v>10.547717384758741</v>
      </c>
      <c r="N534" s="1458">
        <f>M534-$M$533</f>
        <v>0.37677228398985463</v>
      </c>
      <c r="O534" s="1429"/>
      <c r="P534" s="1430"/>
      <c r="Q534" s="1430"/>
      <c r="R534" s="1430"/>
      <c r="S534" s="1430"/>
      <c r="T534" s="1430"/>
      <c r="U534" s="1430"/>
      <c r="V534" s="1679"/>
      <c r="W534" s="1366"/>
      <c r="X534" s="1366"/>
      <c r="Y534" s="1366"/>
      <c r="Z534" s="1366"/>
      <c r="AA534" s="1366"/>
      <c r="AB534" s="1366"/>
      <c r="AC534" s="1366"/>
      <c r="AD534" s="1366"/>
      <c r="AE534" s="1366"/>
      <c r="AF534" s="1366"/>
      <c r="AG534" s="1366"/>
      <c r="AH534" s="1366"/>
      <c r="AI534" s="1366"/>
      <c r="AJ534" s="1366"/>
      <c r="AK534" s="1366"/>
      <c r="AL534" s="1366"/>
      <c r="AM534" s="1366"/>
      <c r="AN534" s="1366"/>
      <c r="AO534" s="1366"/>
      <c r="AP534" s="1366"/>
      <c r="AQ534" s="1366"/>
      <c r="AR534" s="1366"/>
      <c r="AS534" s="1366"/>
      <c r="AT534" s="1366"/>
      <c r="AU534" s="1366"/>
      <c r="AV534" s="1366"/>
      <c r="AW534" s="1366"/>
      <c r="AX534" s="1366"/>
      <c r="AY534" s="1366"/>
      <c r="AZ534" s="1366"/>
      <c r="BA534" s="1366"/>
      <c r="BB534" s="1366"/>
      <c r="BC534" s="1366"/>
      <c r="BD534" s="1366"/>
      <c r="BE534" s="1366"/>
      <c r="BF534" s="1366"/>
      <c r="BG534" s="1366"/>
      <c r="BH534" s="1366"/>
      <c r="BI534" s="1366"/>
      <c r="BJ534" s="1366"/>
      <c r="BK534" s="1366"/>
      <c r="BL534" s="1366"/>
      <c r="BM534" s="1366"/>
      <c r="BN534" s="1366"/>
      <c r="BO534" s="1366"/>
      <c r="BP534" s="1366"/>
      <c r="BQ534" s="1366"/>
      <c r="BR534" s="1366"/>
      <c r="BS534" s="1366"/>
      <c r="BT534" s="1366"/>
      <c r="BU534" s="1366"/>
      <c r="BV534" s="1366"/>
      <c r="BW534" s="1366"/>
      <c r="BX534" s="1366"/>
      <c r="BY534" s="1366"/>
      <c r="BZ534" s="1366"/>
      <c r="CA534" s="1366"/>
      <c r="CB534" s="1366"/>
      <c r="CC534" s="1366"/>
      <c r="CD534" s="1366"/>
      <c r="CE534" s="1366"/>
      <c r="CF534" s="1366"/>
      <c r="CG534" s="1366"/>
      <c r="CH534" s="1366"/>
      <c r="CI534" s="1366"/>
      <c r="CJ534" s="1366"/>
      <c r="CK534" s="1366"/>
      <c r="CL534" s="1366"/>
      <c r="CM534" s="1366"/>
      <c r="CN534" s="1366"/>
      <c r="CO534" s="1366"/>
      <c r="CP534" s="1366"/>
      <c r="CQ534" s="1366"/>
      <c r="CR534" s="1366"/>
      <c r="CS534" s="1366"/>
      <c r="CT534" s="1366"/>
      <c r="CU534" s="1366"/>
      <c r="CV534" s="1366"/>
      <c r="CW534" s="1366"/>
      <c r="CX534" s="1366"/>
      <c r="CY534" s="1366"/>
      <c r="CZ534" s="1366"/>
      <c r="DA534" s="1366"/>
      <c r="DB534" s="1366"/>
      <c r="DC534" s="1366"/>
      <c r="DD534" s="1366"/>
      <c r="DE534" s="1366"/>
      <c r="DF534" s="1366"/>
      <c r="DG534" s="1366"/>
      <c r="DH534" s="1366"/>
      <c r="DI534" s="1366"/>
      <c r="DJ534" s="1366"/>
      <c r="DK534" s="1366"/>
      <c r="DL534" s="1366"/>
      <c r="DM534" s="1366"/>
      <c r="DN534" s="1366"/>
      <c r="DO534" s="1366"/>
      <c r="DP534" s="1366"/>
      <c r="DQ534" s="1366"/>
      <c r="DR534" s="1366"/>
      <c r="DS534" s="1366"/>
      <c r="DT534" s="1366"/>
      <c r="DU534" s="1366"/>
      <c r="DV534" s="1366"/>
    </row>
    <row r="535" spans="1:126" s="1367" customFormat="1" ht="30">
      <c r="A535" s="2530"/>
      <c r="B535" s="1653">
        <v>266</v>
      </c>
      <c r="C535" s="1638" t="s">
        <v>49</v>
      </c>
      <c r="D535" s="1375" t="s">
        <v>2382</v>
      </c>
      <c r="E535" s="1364" t="s">
        <v>2097</v>
      </c>
      <c r="F535" s="1364" t="s">
        <v>2107</v>
      </c>
      <c r="G535" s="506" t="s">
        <v>1907</v>
      </c>
      <c r="H535" s="1361">
        <f>(4*'Equipment Results Matrix'!$R$1064)+'Equipment Results Matrix'!$R$1050+'Equipment Results Matrix'!$R$1056+'Equipment Results Matrix'!$R$1059+'Equipment Results Matrix'!$R$1060+'Equipment Results Matrix'!$R$1063+'Equipment Results Matrix'!$T$1057</f>
        <v>6.2148715487045134</v>
      </c>
      <c r="I535" s="1371">
        <f>'Labor Results Matrix'!$E$558</f>
        <v>6.2E-2</v>
      </c>
      <c r="J535" s="1372">
        <f>'Labor Results Matrix'!$G$558*(1+'Labor Results Matrix'!$K$558)</f>
        <v>72.260416710552065</v>
      </c>
      <c r="K535" s="1372">
        <f t="shared" ref="K535:K536" si="226">I535*J535</f>
        <v>4.4801458360542279</v>
      </c>
      <c r="L535" s="1372">
        <v>0</v>
      </c>
      <c r="M535" s="1372">
        <f t="shared" si="225"/>
        <v>10.695017384758742</v>
      </c>
      <c r="N535" s="1458">
        <f>M535-$M$533</f>
        <v>0.52407228398985595</v>
      </c>
      <c r="O535" s="1429"/>
      <c r="P535" s="1430"/>
      <c r="Q535" s="1430"/>
      <c r="R535" s="1430"/>
      <c r="S535" s="1430"/>
      <c r="T535" s="1430"/>
      <c r="U535" s="1430"/>
      <c r="V535" s="1679"/>
      <c r="W535" s="1366"/>
      <c r="X535" s="1366"/>
      <c r="Y535" s="1366"/>
      <c r="Z535" s="1366"/>
      <c r="AA535" s="1366"/>
      <c r="AB535" s="1366"/>
      <c r="AC535" s="1366"/>
      <c r="AD535" s="1366"/>
      <c r="AE535" s="1366"/>
      <c r="AF535" s="1366"/>
      <c r="AG535" s="1366"/>
      <c r="AH535" s="1366"/>
      <c r="AI535" s="1366"/>
      <c r="AJ535" s="1366"/>
      <c r="AK535" s="1366"/>
      <c r="AL535" s="1366"/>
      <c r="AM535" s="1366"/>
      <c r="AN535" s="1366"/>
      <c r="AO535" s="1366"/>
      <c r="AP535" s="1366"/>
      <c r="AQ535" s="1366"/>
      <c r="AR535" s="1366"/>
      <c r="AS535" s="1366"/>
      <c r="AT535" s="1366"/>
      <c r="AU535" s="1366"/>
      <c r="AV535" s="1366"/>
      <c r="AW535" s="1366"/>
      <c r="AX535" s="1366"/>
      <c r="AY535" s="1366"/>
      <c r="AZ535" s="1366"/>
      <c r="BA535" s="1366"/>
      <c r="BB535" s="1366"/>
      <c r="BC535" s="1366"/>
      <c r="BD535" s="1366"/>
      <c r="BE535" s="1366"/>
      <c r="BF535" s="1366"/>
      <c r="BG535" s="1366"/>
      <c r="BH535" s="1366"/>
      <c r="BI535" s="1366"/>
      <c r="BJ535" s="1366"/>
      <c r="BK535" s="1366"/>
      <c r="BL535" s="1366"/>
      <c r="BM535" s="1366"/>
      <c r="BN535" s="1366"/>
      <c r="BO535" s="1366"/>
      <c r="BP535" s="1366"/>
      <c r="BQ535" s="1366"/>
      <c r="BR535" s="1366"/>
      <c r="BS535" s="1366"/>
      <c r="BT535" s="1366"/>
      <c r="BU535" s="1366"/>
      <c r="BV535" s="1366"/>
      <c r="BW535" s="1366"/>
      <c r="BX535" s="1366"/>
      <c r="BY535" s="1366"/>
      <c r="BZ535" s="1366"/>
      <c r="CA535" s="1366"/>
      <c r="CB535" s="1366"/>
      <c r="CC535" s="1366"/>
      <c r="CD535" s="1366"/>
      <c r="CE535" s="1366"/>
      <c r="CF535" s="1366"/>
      <c r="CG535" s="1366"/>
      <c r="CH535" s="1366"/>
      <c r="CI535" s="1366"/>
      <c r="CJ535" s="1366"/>
      <c r="CK535" s="1366"/>
      <c r="CL535" s="1366"/>
      <c r="CM535" s="1366"/>
      <c r="CN535" s="1366"/>
      <c r="CO535" s="1366"/>
      <c r="CP535" s="1366"/>
      <c r="CQ535" s="1366"/>
      <c r="CR535" s="1366"/>
      <c r="CS535" s="1366"/>
      <c r="CT535" s="1366"/>
      <c r="CU535" s="1366"/>
      <c r="CV535" s="1366"/>
      <c r="CW535" s="1366"/>
      <c r="CX535" s="1366"/>
      <c r="CY535" s="1366"/>
      <c r="CZ535" s="1366"/>
      <c r="DA535" s="1366"/>
      <c r="DB535" s="1366"/>
      <c r="DC535" s="1366"/>
      <c r="DD535" s="1366"/>
      <c r="DE535" s="1366"/>
      <c r="DF535" s="1366"/>
      <c r="DG535" s="1366"/>
      <c r="DH535" s="1366"/>
      <c r="DI535" s="1366"/>
      <c r="DJ535" s="1366"/>
      <c r="DK535" s="1366"/>
      <c r="DL535" s="1366"/>
      <c r="DM535" s="1366"/>
      <c r="DN535" s="1366"/>
      <c r="DO535" s="1366"/>
      <c r="DP535" s="1366"/>
      <c r="DQ535" s="1366"/>
      <c r="DR535" s="1366"/>
      <c r="DS535" s="1366"/>
      <c r="DT535" s="1366"/>
      <c r="DU535" s="1366"/>
      <c r="DV535" s="1366"/>
    </row>
    <row r="536" spans="1:126" s="1367" customFormat="1" ht="30">
      <c r="A536" s="2530"/>
      <c r="B536" s="1653">
        <v>268</v>
      </c>
      <c r="C536" s="1638" t="s">
        <v>49</v>
      </c>
      <c r="D536" s="1375" t="s">
        <v>2383</v>
      </c>
      <c r="E536" s="1364" t="s">
        <v>2097</v>
      </c>
      <c r="F536" s="1364" t="s">
        <v>2107</v>
      </c>
      <c r="G536" s="506" t="s">
        <v>1907</v>
      </c>
      <c r="H536" s="1361">
        <f>(5*'Equipment Results Matrix'!$R$1064)+'Equipment Results Matrix'!$R$1050+'Equipment Results Matrix'!$R$1056+'Equipment Results Matrix'!$R$1059+'Equipment Results Matrix'!$R$1060+'Equipment Results Matrix'!$R$1063+'Equipment Results Matrix'!$T$1057</f>
        <v>6.3621715487045138</v>
      </c>
      <c r="I536" s="1371">
        <f>'Labor Results Matrix'!$E$558</f>
        <v>6.2E-2</v>
      </c>
      <c r="J536" s="1372">
        <f>'Labor Results Matrix'!$G$558*(1+'Labor Results Matrix'!$K$558)</f>
        <v>72.260416710552065</v>
      </c>
      <c r="K536" s="1372">
        <f t="shared" si="226"/>
        <v>4.4801458360542279</v>
      </c>
      <c r="L536" s="1372">
        <v>0</v>
      </c>
      <c r="M536" s="1372">
        <f t="shared" si="225"/>
        <v>10.842317384758742</v>
      </c>
      <c r="N536" s="1458">
        <f>M536-$M$533</f>
        <v>0.67137228398985549</v>
      </c>
      <c r="O536" s="1429"/>
      <c r="P536" s="1430"/>
      <c r="Q536" s="1430"/>
      <c r="R536" s="1430"/>
      <c r="S536" s="1430"/>
      <c r="T536" s="1430"/>
      <c r="U536" s="1430"/>
      <c r="V536" s="1679"/>
      <c r="W536" s="1366"/>
      <c r="X536" s="1366"/>
      <c r="Y536" s="1366"/>
      <c r="Z536" s="1366"/>
      <c r="AA536" s="1366"/>
      <c r="AB536" s="1366"/>
      <c r="AC536" s="1366"/>
      <c r="AD536" s="1366"/>
      <c r="AE536" s="1366"/>
      <c r="AF536" s="1366"/>
      <c r="AG536" s="1366"/>
      <c r="AH536" s="1366"/>
      <c r="AI536" s="1366"/>
      <c r="AJ536" s="1366"/>
      <c r="AK536" s="1366"/>
      <c r="AL536" s="1366"/>
      <c r="AM536" s="1366"/>
      <c r="AN536" s="1366"/>
      <c r="AO536" s="1366"/>
      <c r="AP536" s="1366"/>
      <c r="AQ536" s="1366"/>
      <c r="AR536" s="1366"/>
      <c r="AS536" s="1366"/>
      <c r="AT536" s="1366"/>
      <c r="AU536" s="1366"/>
      <c r="AV536" s="1366"/>
      <c r="AW536" s="1366"/>
      <c r="AX536" s="1366"/>
      <c r="AY536" s="1366"/>
      <c r="AZ536" s="1366"/>
      <c r="BA536" s="1366"/>
      <c r="BB536" s="1366"/>
      <c r="BC536" s="1366"/>
      <c r="BD536" s="1366"/>
      <c r="BE536" s="1366"/>
      <c r="BF536" s="1366"/>
      <c r="BG536" s="1366"/>
      <c r="BH536" s="1366"/>
      <c r="BI536" s="1366"/>
      <c r="BJ536" s="1366"/>
      <c r="BK536" s="1366"/>
      <c r="BL536" s="1366"/>
      <c r="BM536" s="1366"/>
      <c r="BN536" s="1366"/>
      <c r="BO536" s="1366"/>
      <c r="BP536" s="1366"/>
      <c r="BQ536" s="1366"/>
      <c r="BR536" s="1366"/>
      <c r="BS536" s="1366"/>
      <c r="BT536" s="1366"/>
      <c r="BU536" s="1366"/>
      <c r="BV536" s="1366"/>
      <c r="BW536" s="1366"/>
      <c r="BX536" s="1366"/>
      <c r="BY536" s="1366"/>
      <c r="BZ536" s="1366"/>
      <c r="CA536" s="1366"/>
      <c r="CB536" s="1366"/>
      <c r="CC536" s="1366"/>
      <c r="CD536" s="1366"/>
      <c r="CE536" s="1366"/>
      <c r="CF536" s="1366"/>
      <c r="CG536" s="1366"/>
      <c r="CH536" s="1366"/>
      <c r="CI536" s="1366"/>
      <c r="CJ536" s="1366"/>
      <c r="CK536" s="1366"/>
      <c r="CL536" s="1366"/>
      <c r="CM536" s="1366"/>
      <c r="CN536" s="1366"/>
      <c r="CO536" s="1366"/>
      <c r="CP536" s="1366"/>
      <c r="CQ536" s="1366"/>
      <c r="CR536" s="1366"/>
      <c r="CS536" s="1366"/>
      <c r="CT536" s="1366"/>
      <c r="CU536" s="1366"/>
      <c r="CV536" s="1366"/>
      <c r="CW536" s="1366"/>
      <c r="CX536" s="1366"/>
      <c r="CY536" s="1366"/>
      <c r="CZ536" s="1366"/>
      <c r="DA536" s="1366"/>
      <c r="DB536" s="1366"/>
      <c r="DC536" s="1366"/>
      <c r="DD536" s="1366"/>
      <c r="DE536" s="1366"/>
      <c r="DF536" s="1366"/>
      <c r="DG536" s="1366"/>
      <c r="DH536" s="1366"/>
      <c r="DI536" s="1366"/>
      <c r="DJ536" s="1366"/>
      <c r="DK536" s="1366"/>
      <c r="DL536" s="1366"/>
      <c r="DM536" s="1366"/>
      <c r="DN536" s="1366"/>
      <c r="DO536" s="1366"/>
      <c r="DP536" s="1366"/>
      <c r="DQ536" s="1366"/>
      <c r="DR536" s="1366"/>
      <c r="DS536" s="1366"/>
      <c r="DT536" s="1366"/>
      <c r="DU536" s="1366"/>
      <c r="DV536" s="1366"/>
    </row>
    <row r="537" spans="1:126" s="1367" customFormat="1" ht="15" customHeight="1">
      <c r="A537" s="2530"/>
      <c r="B537" s="1653" t="s">
        <v>2385</v>
      </c>
      <c r="C537" s="1638" t="s">
        <v>47</v>
      </c>
      <c r="D537" s="1381" t="s">
        <v>2384</v>
      </c>
      <c r="E537" s="1364" t="s">
        <v>2097</v>
      </c>
      <c r="F537" s="1364" t="s">
        <v>2107</v>
      </c>
      <c r="G537" s="506" t="s">
        <v>1907</v>
      </c>
      <c r="H537" s="1361">
        <f>(30*'Equipment Results Matrix'!$R$995)+(2*'Equipment Results Matrix'!$R$994)+'Equipment Results Matrix'!$R$982+'Equipment Results Matrix'!$R$988+'Equipment Results Matrix'!$R$990+'Equipment Results Matrix'!$R$992+'Equipment Results Matrix'!$T$989</f>
        <v>5.8467992647146572</v>
      </c>
      <c r="I537" s="1371">
        <f>'Labor Results Matrix'!$E$490</f>
        <v>6.2E-2</v>
      </c>
      <c r="J537" s="1372">
        <f>'Labor Results Matrix'!$G$490*(1+'Labor Results Matrix'!$K$490)</f>
        <v>72.260416710552065</v>
      </c>
      <c r="K537" s="1372">
        <f>I537*J537</f>
        <v>4.4801458360542279</v>
      </c>
      <c r="L537" s="1372">
        <v>0</v>
      </c>
      <c r="M537" s="1372">
        <f t="shared" si="225"/>
        <v>10.326945100768885</v>
      </c>
      <c r="N537" s="1455" t="s">
        <v>40</v>
      </c>
      <c r="O537" s="1429"/>
      <c r="P537" s="1430"/>
      <c r="Q537" s="1430"/>
      <c r="R537" s="1430"/>
      <c r="S537" s="1430"/>
      <c r="T537" s="1430"/>
      <c r="U537" s="1430"/>
      <c r="V537" s="1679"/>
      <c r="W537" s="1366"/>
      <c r="X537" s="1366"/>
      <c r="Y537" s="1366"/>
      <c r="Z537" s="1366"/>
      <c r="AA537" s="1366"/>
      <c r="AB537" s="1366"/>
      <c r="AC537" s="1366"/>
      <c r="AD537" s="1366"/>
      <c r="AE537" s="1366"/>
      <c r="AF537" s="1366"/>
      <c r="AG537" s="1366"/>
      <c r="AH537" s="1366"/>
      <c r="AI537" s="1366"/>
      <c r="AJ537" s="1366"/>
      <c r="AK537" s="1366"/>
      <c r="AL537" s="1366"/>
      <c r="AM537" s="1366"/>
      <c r="AN537" s="1366"/>
      <c r="AO537" s="1366"/>
      <c r="AP537" s="1366"/>
      <c r="AQ537" s="1366"/>
      <c r="AR537" s="1366"/>
      <c r="AS537" s="1366"/>
      <c r="AT537" s="1366"/>
      <c r="AU537" s="1366"/>
      <c r="AV537" s="1366"/>
      <c r="AW537" s="1366"/>
      <c r="AX537" s="1366"/>
      <c r="AY537" s="1366"/>
      <c r="AZ537" s="1366"/>
      <c r="BA537" s="1366"/>
      <c r="BB537" s="1366"/>
      <c r="BC537" s="1366"/>
      <c r="BD537" s="1366"/>
      <c r="BE537" s="1366"/>
      <c r="BF537" s="1366"/>
      <c r="BG537" s="1366"/>
      <c r="BH537" s="1366"/>
      <c r="BI537" s="1366"/>
      <c r="BJ537" s="1366"/>
      <c r="BK537" s="1366"/>
      <c r="BL537" s="1366"/>
      <c r="BM537" s="1366"/>
      <c r="BN537" s="1366"/>
      <c r="BO537" s="1366"/>
      <c r="BP537" s="1366"/>
      <c r="BQ537" s="1366"/>
      <c r="BR537" s="1366"/>
      <c r="BS537" s="1366"/>
      <c r="BT537" s="1366"/>
      <c r="BU537" s="1366"/>
      <c r="BV537" s="1366"/>
      <c r="BW537" s="1366"/>
      <c r="BX537" s="1366"/>
      <c r="BY537" s="1366"/>
      <c r="BZ537" s="1366"/>
      <c r="CA537" s="1366"/>
      <c r="CB537" s="1366"/>
      <c r="CC537" s="1366"/>
      <c r="CD537" s="1366"/>
      <c r="CE537" s="1366"/>
      <c r="CF537" s="1366"/>
      <c r="CG537" s="1366"/>
      <c r="CH537" s="1366"/>
      <c r="CI537" s="1366"/>
      <c r="CJ537" s="1366"/>
      <c r="CK537" s="1366"/>
      <c r="CL537" s="1366"/>
      <c r="CM537" s="1366"/>
      <c r="CN537" s="1366"/>
      <c r="CO537" s="1366"/>
      <c r="CP537" s="1366"/>
      <c r="CQ537" s="1366"/>
      <c r="CR537" s="1366"/>
      <c r="CS537" s="1366"/>
      <c r="CT537" s="1366"/>
      <c r="CU537" s="1366"/>
      <c r="CV537" s="1366"/>
      <c r="CW537" s="1366"/>
      <c r="CX537" s="1366"/>
      <c r="CY537" s="1366"/>
      <c r="CZ537" s="1366"/>
      <c r="DA537" s="1366"/>
      <c r="DB537" s="1366"/>
      <c r="DC537" s="1366"/>
      <c r="DD537" s="1366"/>
      <c r="DE537" s="1366"/>
      <c r="DF537" s="1366"/>
      <c r="DG537" s="1366"/>
      <c r="DH537" s="1366"/>
      <c r="DI537" s="1366"/>
      <c r="DJ537" s="1366"/>
      <c r="DK537" s="1366"/>
      <c r="DL537" s="1366"/>
      <c r="DM537" s="1366"/>
      <c r="DN537" s="1366"/>
      <c r="DO537" s="1366"/>
      <c r="DP537" s="1366"/>
      <c r="DQ537" s="1366"/>
      <c r="DR537" s="1366"/>
      <c r="DS537" s="1366"/>
      <c r="DT537" s="1366"/>
      <c r="DU537" s="1366"/>
      <c r="DV537" s="1366"/>
    </row>
    <row r="538" spans="1:126" s="1367" customFormat="1" ht="30">
      <c r="A538" s="2530"/>
      <c r="B538" s="1653">
        <v>270</v>
      </c>
      <c r="C538" s="1638" t="s">
        <v>49</v>
      </c>
      <c r="D538" s="1375" t="s">
        <v>2386</v>
      </c>
      <c r="E538" s="1364" t="s">
        <v>2097</v>
      </c>
      <c r="F538" s="1364" t="s">
        <v>2107</v>
      </c>
      <c r="G538" s="506" t="s">
        <v>1907</v>
      </c>
      <c r="H538" s="1361">
        <f>(6*'Equipment Results Matrix'!$R$1064)+'Equipment Results Matrix'!$R$1050+'Equipment Results Matrix'!$R$1056+'Equipment Results Matrix'!$R$1059+'Equipment Results Matrix'!$R$1060+'Equipment Results Matrix'!$R$1063+'Equipment Results Matrix'!$T$1057</f>
        <v>6.5094715487045143</v>
      </c>
      <c r="I538" s="1371">
        <f>'Labor Results Matrix'!$E$558</f>
        <v>6.2E-2</v>
      </c>
      <c r="J538" s="1372">
        <f>'Labor Results Matrix'!$G$558*(1+'Labor Results Matrix'!$K$558)</f>
        <v>72.260416710552065</v>
      </c>
      <c r="K538" s="1372">
        <f>I538*J538</f>
        <v>4.4801458360542279</v>
      </c>
      <c r="L538" s="1372">
        <v>0</v>
      </c>
      <c r="M538" s="1372">
        <f t="shared" si="225"/>
        <v>10.989617384758741</v>
      </c>
      <c r="N538" s="1458">
        <f>M538-$M$537</f>
        <v>0.66267228398985623</v>
      </c>
      <c r="O538" s="1429"/>
      <c r="P538" s="1430"/>
      <c r="Q538" s="1430"/>
      <c r="R538" s="1430"/>
      <c r="S538" s="1430"/>
      <c r="T538" s="1430"/>
      <c r="U538" s="1430"/>
      <c r="V538" s="1679"/>
      <c r="W538" s="1366"/>
      <c r="X538" s="1366"/>
      <c r="Y538" s="1366"/>
      <c r="Z538" s="1366"/>
      <c r="AA538" s="1366"/>
      <c r="AB538" s="1366"/>
      <c r="AC538" s="1366"/>
      <c r="AD538" s="1366"/>
      <c r="AE538" s="1366"/>
      <c r="AF538" s="1366"/>
      <c r="AG538" s="1366"/>
      <c r="AH538" s="1366"/>
      <c r="AI538" s="1366"/>
      <c r="AJ538" s="1366"/>
      <c r="AK538" s="1366"/>
      <c r="AL538" s="1366"/>
      <c r="AM538" s="1366"/>
      <c r="AN538" s="1366"/>
      <c r="AO538" s="1366"/>
      <c r="AP538" s="1366"/>
      <c r="AQ538" s="1366"/>
      <c r="AR538" s="1366"/>
      <c r="AS538" s="1366"/>
      <c r="AT538" s="1366"/>
      <c r="AU538" s="1366"/>
      <c r="AV538" s="1366"/>
      <c r="AW538" s="1366"/>
      <c r="AX538" s="1366"/>
      <c r="AY538" s="1366"/>
      <c r="AZ538" s="1366"/>
      <c r="BA538" s="1366"/>
      <c r="BB538" s="1366"/>
      <c r="BC538" s="1366"/>
      <c r="BD538" s="1366"/>
      <c r="BE538" s="1366"/>
      <c r="BF538" s="1366"/>
      <c r="BG538" s="1366"/>
      <c r="BH538" s="1366"/>
      <c r="BI538" s="1366"/>
      <c r="BJ538" s="1366"/>
      <c r="BK538" s="1366"/>
      <c r="BL538" s="1366"/>
      <c r="BM538" s="1366"/>
      <c r="BN538" s="1366"/>
      <c r="BO538" s="1366"/>
      <c r="BP538" s="1366"/>
      <c r="BQ538" s="1366"/>
      <c r="BR538" s="1366"/>
      <c r="BS538" s="1366"/>
      <c r="BT538" s="1366"/>
      <c r="BU538" s="1366"/>
      <c r="BV538" s="1366"/>
      <c r="BW538" s="1366"/>
      <c r="BX538" s="1366"/>
      <c r="BY538" s="1366"/>
      <c r="BZ538" s="1366"/>
      <c r="CA538" s="1366"/>
      <c r="CB538" s="1366"/>
      <c r="CC538" s="1366"/>
      <c r="CD538" s="1366"/>
      <c r="CE538" s="1366"/>
      <c r="CF538" s="1366"/>
      <c r="CG538" s="1366"/>
      <c r="CH538" s="1366"/>
      <c r="CI538" s="1366"/>
      <c r="CJ538" s="1366"/>
      <c r="CK538" s="1366"/>
      <c r="CL538" s="1366"/>
      <c r="CM538" s="1366"/>
      <c r="CN538" s="1366"/>
      <c r="CO538" s="1366"/>
      <c r="CP538" s="1366"/>
      <c r="CQ538" s="1366"/>
      <c r="CR538" s="1366"/>
      <c r="CS538" s="1366"/>
      <c r="CT538" s="1366"/>
      <c r="CU538" s="1366"/>
      <c r="CV538" s="1366"/>
      <c r="CW538" s="1366"/>
      <c r="CX538" s="1366"/>
      <c r="CY538" s="1366"/>
      <c r="CZ538" s="1366"/>
      <c r="DA538" s="1366"/>
      <c r="DB538" s="1366"/>
      <c r="DC538" s="1366"/>
      <c r="DD538" s="1366"/>
      <c r="DE538" s="1366"/>
      <c r="DF538" s="1366"/>
      <c r="DG538" s="1366"/>
      <c r="DH538" s="1366"/>
      <c r="DI538" s="1366"/>
      <c r="DJ538" s="1366"/>
      <c r="DK538" s="1366"/>
      <c r="DL538" s="1366"/>
      <c r="DM538" s="1366"/>
      <c r="DN538" s="1366"/>
      <c r="DO538" s="1366"/>
      <c r="DP538" s="1366"/>
      <c r="DQ538" s="1366"/>
      <c r="DR538" s="1366"/>
      <c r="DS538" s="1366"/>
      <c r="DT538" s="1366"/>
      <c r="DU538" s="1366"/>
      <c r="DV538" s="1366"/>
    </row>
    <row r="539" spans="1:126" s="1367" customFormat="1" ht="30">
      <c r="A539" s="2530"/>
      <c r="B539" s="1653">
        <v>271</v>
      </c>
      <c r="C539" s="1638" t="s">
        <v>49</v>
      </c>
      <c r="D539" s="1375" t="s">
        <v>2387</v>
      </c>
      <c r="E539" s="1364" t="s">
        <v>2097</v>
      </c>
      <c r="F539" s="1364" t="s">
        <v>2107</v>
      </c>
      <c r="G539" s="506" t="s">
        <v>1907</v>
      </c>
      <c r="H539" s="1361">
        <f>(7*'Equipment Results Matrix'!$R$1064)+'Equipment Results Matrix'!$R$1050+'Equipment Results Matrix'!$R$1056+'Equipment Results Matrix'!$R$1059+'Equipment Results Matrix'!$R$1060+'Equipment Results Matrix'!$R$1063+'Equipment Results Matrix'!$T$1057</f>
        <v>6.6567715487045138</v>
      </c>
      <c r="I539" s="1371">
        <f>'Labor Results Matrix'!$E$558</f>
        <v>6.2E-2</v>
      </c>
      <c r="J539" s="1372">
        <f>'Labor Results Matrix'!$G$558*(1+'Labor Results Matrix'!$K$558)</f>
        <v>72.260416710552065</v>
      </c>
      <c r="K539" s="1372">
        <f t="shared" ref="K539:K540" si="227">I539*J539</f>
        <v>4.4801458360542279</v>
      </c>
      <c r="L539" s="1372">
        <v>0</v>
      </c>
      <c r="M539" s="1372">
        <f t="shared" si="225"/>
        <v>11.136917384758743</v>
      </c>
      <c r="N539" s="1458">
        <f>M539-$M$537</f>
        <v>0.80997228398985754</v>
      </c>
      <c r="O539" s="1429"/>
      <c r="P539" s="1430"/>
      <c r="Q539" s="1430"/>
      <c r="R539" s="1430"/>
      <c r="S539" s="1430"/>
      <c r="T539" s="1430"/>
      <c r="U539" s="1430"/>
      <c r="V539" s="1679"/>
      <c r="W539" s="1366"/>
      <c r="X539" s="1366"/>
      <c r="Y539" s="1366"/>
      <c r="Z539" s="1366"/>
      <c r="AA539" s="1366"/>
      <c r="AB539" s="1366"/>
      <c r="AC539" s="1366"/>
      <c r="AD539" s="1366"/>
      <c r="AE539" s="1366"/>
      <c r="AF539" s="1366"/>
      <c r="AG539" s="1366"/>
      <c r="AH539" s="1366"/>
      <c r="AI539" s="1366"/>
      <c r="AJ539" s="1366"/>
      <c r="AK539" s="1366"/>
      <c r="AL539" s="1366"/>
      <c r="AM539" s="1366"/>
      <c r="AN539" s="1366"/>
      <c r="AO539" s="1366"/>
      <c r="AP539" s="1366"/>
      <c r="AQ539" s="1366"/>
      <c r="AR539" s="1366"/>
      <c r="AS539" s="1366"/>
      <c r="AT539" s="1366"/>
      <c r="AU539" s="1366"/>
      <c r="AV539" s="1366"/>
      <c r="AW539" s="1366"/>
      <c r="AX539" s="1366"/>
      <c r="AY539" s="1366"/>
      <c r="AZ539" s="1366"/>
      <c r="BA539" s="1366"/>
      <c r="BB539" s="1366"/>
      <c r="BC539" s="1366"/>
      <c r="BD539" s="1366"/>
      <c r="BE539" s="1366"/>
      <c r="BF539" s="1366"/>
      <c r="BG539" s="1366"/>
      <c r="BH539" s="1366"/>
      <c r="BI539" s="1366"/>
      <c r="BJ539" s="1366"/>
      <c r="BK539" s="1366"/>
      <c r="BL539" s="1366"/>
      <c r="BM539" s="1366"/>
      <c r="BN539" s="1366"/>
      <c r="BO539" s="1366"/>
      <c r="BP539" s="1366"/>
      <c r="BQ539" s="1366"/>
      <c r="BR539" s="1366"/>
      <c r="BS539" s="1366"/>
      <c r="BT539" s="1366"/>
      <c r="BU539" s="1366"/>
      <c r="BV539" s="1366"/>
      <c r="BW539" s="1366"/>
      <c r="BX539" s="1366"/>
      <c r="BY539" s="1366"/>
      <c r="BZ539" s="1366"/>
      <c r="CA539" s="1366"/>
      <c r="CB539" s="1366"/>
      <c r="CC539" s="1366"/>
      <c r="CD539" s="1366"/>
      <c r="CE539" s="1366"/>
      <c r="CF539" s="1366"/>
      <c r="CG539" s="1366"/>
      <c r="CH539" s="1366"/>
      <c r="CI539" s="1366"/>
      <c r="CJ539" s="1366"/>
      <c r="CK539" s="1366"/>
      <c r="CL539" s="1366"/>
      <c r="CM539" s="1366"/>
      <c r="CN539" s="1366"/>
      <c r="CO539" s="1366"/>
      <c r="CP539" s="1366"/>
      <c r="CQ539" s="1366"/>
      <c r="CR539" s="1366"/>
      <c r="CS539" s="1366"/>
      <c r="CT539" s="1366"/>
      <c r="CU539" s="1366"/>
      <c r="CV539" s="1366"/>
      <c r="CW539" s="1366"/>
      <c r="CX539" s="1366"/>
      <c r="CY539" s="1366"/>
      <c r="CZ539" s="1366"/>
      <c r="DA539" s="1366"/>
      <c r="DB539" s="1366"/>
      <c r="DC539" s="1366"/>
      <c r="DD539" s="1366"/>
      <c r="DE539" s="1366"/>
      <c r="DF539" s="1366"/>
      <c r="DG539" s="1366"/>
      <c r="DH539" s="1366"/>
      <c r="DI539" s="1366"/>
      <c r="DJ539" s="1366"/>
      <c r="DK539" s="1366"/>
      <c r="DL539" s="1366"/>
      <c r="DM539" s="1366"/>
      <c r="DN539" s="1366"/>
      <c r="DO539" s="1366"/>
      <c r="DP539" s="1366"/>
      <c r="DQ539" s="1366"/>
      <c r="DR539" s="1366"/>
      <c r="DS539" s="1366"/>
      <c r="DT539" s="1366"/>
      <c r="DU539" s="1366"/>
      <c r="DV539" s="1366"/>
    </row>
    <row r="540" spans="1:126" s="1367" customFormat="1" ht="30">
      <c r="A540" s="2530"/>
      <c r="B540" s="1653">
        <v>273</v>
      </c>
      <c r="C540" s="1638" t="s">
        <v>49</v>
      </c>
      <c r="D540" s="1375" t="s">
        <v>2388</v>
      </c>
      <c r="E540" s="1364" t="s">
        <v>2097</v>
      </c>
      <c r="F540" s="1364" t="s">
        <v>2107</v>
      </c>
      <c r="G540" s="506" t="s">
        <v>1907</v>
      </c>
      <c r="H540" s="1361">
        <f>(8*'Equipment Results Matrix'!$R$1064)+'Equipment Results Matrix'!$R$1050+'Equipment Results Matrix'!$R$1056+'Equipment Results Matrix'!$R$1059+'Equipment Results Matrix'!$R$1060+'Equipment Results Matrix'!$R$1063+'Equipment Results Matrix'!$T$1057</f>
        <v>6.8040715487045134</v>
      </c>
      <c r="I540" s="1371">
        <f>'Labor Results Matrix'!$E$558</f>
        <v>6.2E-2</v>
      </c>
      <c r="J540" s="1372">
        <f>'Labor Results Matrix'!$G$558*(1+'Labor Results Matrix'!$K$558)</f>
        <v>72.260416710552065</v>
      </c>
      <c r="K540" s="1372">
        <f t="shared" si="227"/>
        <v>4.4801458360542279</v>
      </c>
      <c r="L540" s="1372">
        <v>0</v>
      </c>
      <c r="M540" s="1372">
        <f t="shared" si="225"/>
        <v>11.28421738475874</v>
      </c>
      <c r="N540" s="1458">
        <f>M540-$M$537</f>
        <v>0.95727228398985531</v>
      </c>
      <c r="O540" s="1429"/>
      <c r="P540" s="1430"/>
      <c r="Q540" s="1430"/>
      <c r="R540" s="1430"/>
      <c r="S540" s="1430"/>
      <c r="T540" s="1430"/>
      <c r="U540" s="1430"/>
      <c r="V540" s="1679"/>
      <c r="W540" s="1366"/>
      <c r="X540" s="1366"/>
      <c r="Y540" s="1366"/>
      <c r="Z540" s="1366"/>
      <c r="AA540" s="1366"/>
      <c r="AB540" s="1366"/>
      <c r="AC540" s="1366"/>
      <c r="AD540" s="1366"/>
      <c r="AE540" s="1366"/>
      <c r="AF540" s="1366"/>
      <c r="AG540" s="1366"/>
      <c r="AH540" s="1366"/>
      <c r="AI540" s="1366"/>
      <c r="AJ540" s="1366"/>
      <c r="AK540" s="1366"/>
      <c r="AL540" s="1366"/>
      <c r="AM540" s="1366"/>
      <c r="AN540" s="1366"/>
      <c r="AO540" s="1366"/>
      <c r="AP540" s="1366"/>
      <c r="AQ540" s="1366"/>
      <c r="AR540" s="1366"/>
      <c r="AS540" s="1366"/>
      <c r="AT540" s="1366"/>
      <c r="AU540" s="1366"/>
      <c r="AV540" s="1366"/>
      <c r="AW540" s="1366"/>
      <c r="AX540" s="1366"/>
      <c r="AY540" s="1366"/>
      <c r="AZ540" s="1366"/>
      <c r="BA540" s="1366"/>
      <c r="BB540" s="1366"/>
      <c r="BC540" s="1366"/>
      <c r="BD540" s="1366"/>
      <c r="BE540" s="1366"/>
      <c r="BF540" s="1366"/>
      <c r="BG540" s="1366"/>
      <c r="BH540" s="1366"/>
      <c r="BI540" s="1366"/>
      <c r="BJ540" s="1366"/>
      <c r="BK540" s="1366"/>
      <c r="BL540" s="1366"/>
      <c r="BM540" s="1366"/>
      <c r="BN540" s="1366"/>
      <c r="BO540" s="1366"/>
      <c r="BP540" s="1366"/>
      <c r="BQ540" s="1366"/>
      <c r="BR540" s="1366"/>
      <c r="BS540" s="1366"/>
      <c r="BT540" s="1366"/>
      <c r="BU540" s="1366"/>
      <c r="BV540" s="1366"/>
      <c r="BW540" s="1366"/>
      <c r="BX540" s="1366"/>
      <c r="BY540" s="1366"/>
      <c r="BZ540" s="1366"/>
      <c r="CA540" s="1366"/>
      <c r="CB540" s="1366"/>
      <c r="CC540" s="1366"/>
      <c r="CD540" s="1366"/>
      <c r="CE540" s="1366"/>
      <c r="CF540" s="1366"/>
      <c r="CG540" s="1366"/>
      <c r="CH540" s="1366"/>
      <c r="CI540" s="1366"/>
      <c r="CJ540" s="1366"/>
      <c r="CK540" s="1366"/>
      <c r="CL540" s="1366"/>
      <c r="CM540" s="1366"/>
      <c r="CN540" s="1366"/>
      <c r="CO540" s="1366"/>
      <c r="CP540" s="1366"/>
      <c r="CQ540" s="1366"/>
      <c r="CR540" s="1366"/>
      <c r="CS540" s="1366"/>
      <c r="CT540" s="1366"/>
      <c r="CU540" s="1366"/>
      <c r="CV540" s="1366"/>
      <c r="CW540" s="1366"/>
      <c r="CX540" s="1366"/>
      <c r="CY540" s="1366"/>
      <c r="CZ540" s="1366"/>
      <c r="DA540" s="1366"/>
      <c r="DB540" s="1366"/>
      <c r="DC540" s="1366"/>
      <c r="DD540" s="1366"/>
      <c r="DE540" s="1366"/>
      <c r="DF540" s="1366"/>
      <c r="DG540" s="1366"/>
      <c r="DH540" s="1366"/>
      <c r="DI540" s="1366"/>
      <c r="DJ540" s="1366"/>
      <c r="DK540" s="1366"/>
      <c r="DL540" s="1366"/>
      <c r="DM540" s="1366"/>
      <c r="DN540" s="1366"/>
      <c r="DO540" s="1366"/>
      <c r="DP540" s="1366"/>
      <c r="DQ540" s="1366"/>
      <c r="DR540" s="1366"/>
      <c r="DS540" s="1366"/>
      <c r="DT540" s="1366"/>
      <c r="DU540" s="1366"/>
      <c r="DV540" s="1366"/>
    </row>
    <row r="541" spans="1:126" s="1367" customFormat="1" ht="30">
      <c r="A541" s="2530"/>
      <c r="B541" s="1653">
        <v>274</v>
      </c>
      <c r="C541" s="1638" t="s">
        <v>49</v>
      </c>
      <c r="D541" s="1375" t="s">
        <v>2389</v>
      </c>
      <c r="E541" s="1364" t="s">
        <v>2097</v>
      </c>
      <c r="F541" s="1364" t="s">
        <v>2107</v>
      </c>
      <c r="G541" s="506" t="s">
        <v>1907</v>
      </c>
      <c r="H541" s="1361">
        <f>(9*'Equipment Results Matrix'!$R$1064)+'Equipment Results Matrix'!$R$1050+'Equipment Results Matrix'!$R$1056+'Equipment Results Matrix'!$R$1059+'Equipment Results Matrix'!$R$1060+'Equipment Results Matrix'!$R$1063+'Equipment Results Matrix'!$T$1057</f>
        <v>6.9513715487045138</v>
      </c>
      <c r="I541" s="1371">
        <f>'Labor Results Matrix'!$E$558</f>
        <v>6.2E-2</v>
      </c>
      <c r="J541" s="1372">
        <f>'Labor Results Matrix'!$G$558*(1+'Labor Results Matrix'!$K$558)</f>
        <v>72.260416710552065</v>
      </c>
      <c r="K541" s="1372">
        <f t="shared" ref="K541" si="228">I541*J541</f>
        <v>4.4801458360542279</v>
      </c>
      <c r="L541" s="1372">
        <v>0</v>
      </c>
      <c r="M541" s="1372">
        <f t="shared" si="225"/>
        <v>11.431517384758742</v>
      </c>
      <c r="N541" s="1458">
        <f>M541-$M$537</f>
        <v>1.1045722839898566</v>
      </c>
      <c r="O541" s="1429"/>
      <c r="P541" s="1430"/>
      <c r="Q541" s="1430"/>
      <c r="R541" s="1430"/>
      <c r="S541" s="1430"/>
      <c r="T541" s="1430"/>
      <c r="U541" s="1430"/>
      <c r="V541" s="1679"/>
      <c r="W541" s="1366"/>
      <c r="X541" s="1366"/>
      <c r="Y541" s="1366"/>
      <c r="Z541" s="1366"/>
      <c r="AA541" s="1366"/>
      <c r="AB541" s="1366"/>
      <c r="AC541" s="1366"/>
      <c r="AD541" s="1366"/>
      <c r="AE541" s="1366"/>
      <c r="AF541" s="1366"/>
      <c r="AG541" s="1366"/>
      <c r="AH541" s="1366"/>
      <c r="AI541" s="1366"/>
      <c r="AJ541" s="1366"/>
      <c r="AK541" s="1366"/>
      <c r="AL541" s="1366"/>
      <c r="AM541" s="1366"/>
      <c r="AN541" s="1366"/>
      <c r="AO541" s="1366"/>
      <c r="AP541" s="1366"/>
      <c r="AQ541" s="1366"/>
      <c r="AR541" s="1366"/>
      <c r="AS541" s="1366"/>
      <c r="AT541" s="1366"/>
      <c r="AU541" s="1366"/>
      <c r="AV541" s="1366"/>
      <c r="AW541" s="1366"/>
      <c r="AX541" s="1366"/>
      <c r="AY541" s="1366"/>
      <c r="AZ541" s="1366"/>
      <c r="BA541" s="1366"/>
      <c r="BB541" s="1366"/>
      <c r="BC541" s="1366"/>
      <c r="BD541" s="1366"/>
      <c r="BE541" s="1366"/>
      <c r="BF541" s="1366"/>
      <c r="BG541" s="1366"/>
      <c r="BH541" s="1366"/>
      <c r="BI541" s="1366"/>
      <c r="BJ541" s="1366"/>
      <c r="BK541" s="1366"/>
      <c r="BL541" s="1366"/>
      <c r="BM541" s="1366"/>
      <c r="BN541" s="1366"/>
      <c r="BO541" s="1366"/>
      <c r="BP541" s="1366"/>
      <c r="BQ541" s="1366"/>
      <c r="BR541" s="1366"/>
      <c r="BS541" s="1366"/>
      <c r="BT541" s="1366"/>
      <c r="BU541" s="1366"/>
      <c r="BV541" s="1366"/>
      <c r="BW541" s="1366"/>
      <c r="BX541" s="1366"/>
      <c r="BY541" s="1366"/>
      <c r="BZ541" s="1366"/>
      <c r="CA541" s="1366"/>
      <c r="CB541" s="1366"/>
      <c r="CC541" s="1366"/>
      <c r="CD541" s="1366"/>
      <c r="CE541" s="1366"/>
      <c r="CF541" s="1366"/>
      <c r="CG541" s="1366"/>
      <c r="CH541" s="1366"/>
      <c r="CI541" s="1366"/>
      <c r="CJ541" s="1366"/>
      <c r="CK541" s="1366"/>
      <c r="CL541" s="1366"/>
      <c r="CM541" s="1366"/>
      <c r="CN541" s="1366"/>
      <c r="CO541" s="1366"/>
      <c r="CP541" s="1366"/>
      <c r="CQ541" s="1366"/>
      <c r="CR541" s="1366"/>
      <c r="CS541" s="1366"/>
      <c r="CT541" s="1366"/>
      <c r="CU541" s="1366"/>
      <c r="CV541" s="1366"/>
      <c r="CW541" s="1366"/>
      <c r="CX541" s="1366"/>
      <c r="CY541" s="1366"/>
      <c r="CZ541" s="1366"/>
      <c r="DA541" s="1366"/>
      <c r="DB541" s="1366"/>
      <c r="DC541" s="1366"/>
      <c r="DD541" s="1366"/>
      <c r="DE541" s="1366"/>
      <c r="DF541" s="1366"/>
      <c r="DG541" s="1366"/>
      <c r="DH541" s="1366"/>
      <c r="DI541" s="1366"/>
      <c r="DJ541" s="1366"/>
      <c r="DK541" s="1366"/>
      <c r="DL541" s="1366"/>
      <c r="DM541" s="1366"/>
      <c r="DN541" s="1366"/>
      <c r="DO541" s="1366"/>
      <c r="DP541" s="1366"/>
      <c r="DQ541" s="1366"/>
      <c r="DR541" s="1366"/>
      <c r="DS541" s="1366"/>
      <c r="DT541" s="1366"/>
      <c r="DU541" s="1366"/>
      <c r="DV541" s="1366"/>
    </row>
    <row r="542" spans="1:126" s="1367" customFormat="1" ht="15" customHeight="1">
      <c r="A542" s="2530"/>
      <c r="B542" s="1653" t="s">
        <v>2395</v>
      </c>
      <c r="C542" s="1638" t="s">
        <v>47</v>
      </c>
      <c r="D542" s="1381" t="s">
        <v>2390</v>
      </c>
      <c r="E542" s="1364" t="s">
        <v>2097</v>
      </c>
      <c r="F542" s="1364" t="s">
        <v>2107</v>
      </c>
      <c r="G542" s="506" t="s">
        <v>1907</v>
      </c>
      <c r="H542" s="1361">
        <f>(45*'Equipment Results Matrix'!$R$995)+(2*'Equipment Results Matrix'!$R$994)+'Equipment Results Matrix'!$R$982+'Equipment Results Matrix'!$R$988+'Equipment Results Matrix'!$R$990+'Equipment Results Matrix'!$R$992+'Equipment Results Matrix'!$T$989</f>
        <v>6.0027992647146569</v>
      </c>
      <c r="I542" s="1371">
        <f>'Labor Results Matrix'!$E$490</f>
        <v>6.2E-2</v>
      </c>
      <c r="J542" s="1372">
        <f>'Labor Results Matrix'!$G$490*(1+'Labor Results Matrix'!$K$490)</f>
        <v>72.260416710552065</v>
      </c>
      <c r="K542" s="1372">
        <f>I542*J542</f>
        <v>4.4801458360542279</v>
      </c>
      <c r="L542" s="1372">
        <v>0</v>
      </c>
      <c r="M542" s="1372">
        <f t="shared" si="225"/>
        <v>10.482945100768884</v>
      </c>
      <c r="N542" s="1455" t="s">
        <v>40</v>
      </c>
      <c r="O542" s="1429"/>
      <c r="P542" s="1430"/>
      <c r="Q542" s="1430"/>
      <c r="R542" s="1430"/>
      <c r="S542" s="1430"/>
      <c r="T542" s="1430"/>
      <c r="U542" s="1430"/>
      <c r="V542" s="1679"/>
      <c r="W542" s="1366"/>
      <c r="X542" s="1366"/>
      <c r="Y542" s="1366"/>
      <c r="Z542" s="1366"/>
      <c r="AA542" s="1366"/>
      <c r="AB542" s="1366"/>
      <c r="AC542" s="1366"/>
      <c r="AD542" s="1366"/>
      <c r="AE542" s="1366"/>
      <c r="AF542" s="1366"/>
      <c r="AG542" s="1366"/>
      <c r="AH542" s="1366"/>
      <c r="AI542" s="1366"/>
      <c r="AJ542" s="1366"/>
      <c r="AK542" s="1366"/>
      <c r="AL542" s="1366"/>
      <c r="AM542" s="1366"/>
      <c r="AN542" s="1366"/>
      <c r="AO542" s="1366"/>
      <c r="AP542" s="1366"/>
      <c r="AQ542" s="1366"/>
      <c r="AR542" s="1366"/>
      <c r="AS542" s="1366"/>
      <c r="AT542" s="1366"/>
      <c r="AU542" s="1366"/>
      <c r="AV542" s="1366"/>
      <c r="AW542" s="1366"/>
      <c r="AX542" s="1366"/>
      <c r="AY542" s="1366"/>
      <c r="AZ542" s="1366"/>
      <c r="BA542" s="1366"/>
      <c r="BB542" s="1366"/>
      <c r="BC542" s="1366"/>
      <c r="BD542" s="1366"/>
      <c r="BE542" s="1366"/>
      <c r="BF542" s="1366"/>
      <c r="BG542" s="1366"/>
      <c r="BH542" s="1366"/>
      <c r="BI542" s="1366"/>
      <c r="BJ542" s="1366"/>
      <c r="BK542" s="1366"/>
      <c r="BL542" s="1366"/>
      <c r="BM542" s="1366"/>
      <c r="BN542" s="1366"/>
      <c r="BO542" s="1366"/>
      <c r="BP542" s="1366"/>
      <c r="BQ542" s="1366"/>
      <c r="BR542" s="1366"/>
      <c r="BS542" s="1366"/>
      <c r="BT542" s="1366"/>
      <c r="BU542" s="1366"/>
      <c r="BV542" s="1366"/>
      <c r="BW542" s="1366"/>
      <c r="BX542" s="1366"/>
      <c r="BY542" s="1366"/>
      <c r="BZ542" s="1366"/>
      <c r="CA542" s="1366"/>
      <c r="CB542" s="1366"/>
      <c r="CC542" s="1366"/>
      <c r="CD542" s="1366"/>
      <c r="CE542" s="1366"/>
      <c r="CF542" s="1366"/>
      <c r="CG542" s="1366"/>
      <c r="CH542" s="1366"/>
      <c r="CI542" s="1366"/>
      <c r="CJ542" s="1366"/>
      <c r="CK542" s="1366"/>
      <c r="CL542" s="1366"/>
      <c r="CM542" s="1366"/>
      <c r="CN542" s="1366"/>
      <c r="CO542" s="1366"/>
      <c r="CP542" s="1366"/>
      <c r="CQ542" s="1366"/>
      <c r="CR542" s="1366"/>
      <c r="CS542" s="1366"/>
      <c r="CT542" s="1366"/>
      <c r="CU542" s="1366"/>
      <c r="CV542" s="1366"/>
      <c r="CW542" s="1366"/>
      <c r="CX542" s="1366"/>
      <c r="CY542" s="1366"/>
      <c r="CZ542" s="1366"/>
      <c r="DA542" s="1366"/>
      <c r="DB542" s="1366"/>
      <c r="DC542" s="1366"/>
      <c r="DD542" s="1366"/>
      <c r="DE542" s="1366"/>
      <c r="DF542" s="1366"/>
      <c r="DG542" s="1366"/>
      <c r="DH542" s="1366"/>
      <c r="DI542" s="1366"/>
      <c r="DJ542" s="1366"/>
      <c r="DK542" s="1366"/>
      <c r="DL542" s="1366"/>
      <c r="DM542" s="1366"/>
      <c r="DN542" s="1366"/>
      <c r="DO542" s="1366"/>
      <c r="DP542" s="1366"/>
      <c r="DQ542" s="1366"/>
      <c r="DR542" s="1366"/>
      <c r="DS542" s="1366"/>
      <c r="DT542" s="1366"/>
      <c r="DU542" s="1366"/>
      <c r="DV542" s="1366"/>
    </row>
    <row r="543" spans="1:126" s="1367" customFormat="1" ht="30">
      <c r="A543" s="2530"/>
      <c r="B543" s="1653">
        <v>239</v>
      </c>
      <c r="C543" s="1638" t="s">
        <v>49</v>
      </c>
      <c r="D543" s="1375" t="s">
        <v>2391</v>
      </c>
      <c r="E543" s="1364" t="s">
        <v>2097</v>
      </c>
      <c r="F543" s="1364" t="s">
        <v>2107</v>
      </c>
      <c r="G543" s="506" t="s">
        <v>1907</v>
      </c>
      <c r="H543" s="1361">
        <f>(10*'Equipment Results Matrix'!$R$1064)+'Equipment Results Matrix'!$R$1050+'Equipment Results Matrix'!$R$1056+'Equipment Results Matrix'!$R$1059+'Equipment Results Matrix'!$R$1060+'Equipment Results Matrix'!$R$1063+'Equipment Results Matrix'!$T$1057</f>
        <v>7.0986715487045142</v>
      </c>
      <c r="I543" s="1371">
        <f>'Labor Results Matrix'!$E$558</f>
        <v>6.2E-2</v>
      </c>
      <c r="J543" s="1372">
        <f>'Labor Results Matrix'!$G$558*(1+'Labor Results Matrix'!$K$558)</f>
        <v>72.260416710552065</v>
      </c>
      <c r="K543" s="1372">
        <f>I543*J543</f>
        <v>4.4801458360542279</v>
      </c>
      <c r="L543" s="1372">
        <v>0</v>
      </c>
      <c r="M543" s="1372">
        <f t="shared" si="225"/>
        <v>11.578817384758743</v>
      </c>
      <c r="N543" s="1458">
        <f>M543-$M$542</f>
        <v>1.0958722839898591</v>
      </c>
      <c r="O543" s="1429"/>
      <c r="P543" s="1430"/>
      <c r="Q543" s="1430"/>
      <c r="R543" s="1430"/>
      <c r="S543" s="1430"/>
      <c r="T543" s="1430"/>
      <c r="U543" s="1430"/>
      <c r="V543" s="1679"/>
      <c r="W543" s="1366"/>
      <c r="X543" s="1366"/>
      <c r="Y543" s="1366"/>
      <c r="Z543" s="1366"/>
      <c r="AA543" s="1366"/>
      <c r="AB543" s="1366"/>
      <c r="AC543" s="1366"/>
      <c r="AD543" s="1366"/>
      <c r="AE543" s="1366"/>
      <c r="AF543" s="1366"/>
      <c r="AG543" s="1366"/>
      <c r="AH543" s="1366"/>
      <c r="AI543" s="1366"/>
      <c r="AJ543" s="1366"/>
      <c r="AK543" s="1366"/>
      <c r="AL543" s="1366"/>
      <c r="AM543" s="1366"/>
      <c r="AN543" s="1366"/>
      <c r="AO543" s="1366"/>
      <c r="AP543" s="1366"/>
      <c r="AQ543" s="1366"/>
      <c r="AR543" s="1366"/>
      <c r="AS543" s="1366"/>
      <c r="AT543" s="1366"/>
      <c r="AU543" s="1366"/>
      <c r="AV543" s="1366"/>
      <c r="AW543" s="1366"/>
      <c r="AX543" s="1366"/>
      <c r="AY543" s="1366"/>
      <c r="AZ543" s="1366"/>
      <c r="BA543" s="1366"/>
      <c r="BB543" s="1366"/>
      <c r="BC543" s="1366"/>
      <c r="BD543" s="1366"/>
      <c r="BE543" s="1366"/>
      <c r="BF543" s="1366"/>
      <c r="BG543" s="1366"/>
      <c r="BH543" s="1366"/>
      <c r="BI543" s="1366"/>
      <c r="BJ543" s="1366"/>
      <c r="BK543" s="1366"/>
      <c r="BL543" s="1366"/>
      <c r="BM543" s="1366"/>
      <c r="BN543" s="1366"/>
      <c r="BO543" s="1366"/>
      <c r="BP543" s="1366"/>
      <c r="BQ543" s="1366"/>
      <c r="BR543" s="1366"/>
      <c r="BS543" s="1366"/>
      <c r="BT543" s="1366"/>
      <c r="BU543" s="1366"/>
      <c r="BV543" s="1366"/>
      <c r="BW543" s="1366"/>
      <c r="BX543" s="1366"/>
      <c r="BY543" s="1366"/>
      <c r="BZ543" s="1366"/>
      <c r="CA543" s="1366"/>
      <c r="CB543" s="1366"/>
      <c r="CC543" s="1366"/>
      <c r="CD543" s="1366"/>
      <c r="CE543" s="1366"/>
      <c r="CF543" s="1366"/>
      <c r="CG543" s="1366"/>
      <c r="CH543" s="1366"/>
      <c r="CI543" s="1366"/>
      <c r="CJ543" s="1366"/>
      <c r="CK543" s="1366"/>
      <c r="CL543" s="1366"/>
      <c r="CM543" s="1366"/>
      <c r="CN543" s="1366"/>
      <c r="CO543" s="1366"/>
      <c r="CP543" s="1366"/>
      <c r="CQ543" s="1366"/>
      <c r="CR543" s="1366"/>
      <c r="CS543" s="1366"/>
      <c r="CT543" s="1366"/>
      <c r="CU543" s="1366"/>
      <c r="CV543" s="1366"/>
      <c r="CW543" s="1366"/>
      <c r="CX543" s="1366"/>
      <c r="CY543" s="1366"/>
      <c r="CZ543" s="1366"/>
      <c r="DA543" s="1366"/>
      <c r="DB543" s="1366"/>
      <c r="DC543" s="1366"/>
      <c r="DD543" s="1366"/>
      <c r="DE543" s="1366"/>
      <c r="DF543" s="1366"/>
      <c r="DG543" s="1366"/>
      <c r="DH543" s="1366"/>
      <c r="DI543" s="1366"/>
      <c r="DJ543" s="1366"/>
      <c r="DK543" s="1366"/>
      <c r="DL543" s="1366"/>
      <c r="DM543" s="1366"/>
      <c r="DN543" s="1366"/>
      <c r="DO543" s="1366"/>
      <c r="DP543" s="1366"/>
      <c r="DQ543" s="1366"/>
      <c r="DR543" s="1366"/>
      <c r="DS543" s="1366"/>
      <c r="DT543" s="1366"/>
      <c r="DU543" s="1366"/>
      <c r="DV543" s="1366"/>
    </row>
    <row r="544" spans="1:126" s="1367" customFormat="1" ht="30">
      <c r="A544" s="2530"/>
      <c r="B544" s="1653">
        <v>240</v>
      </c>
      <c r="C544" s="1638" t="s">
        <v>49</v>
      </c>
      <c r="D544" s="1375" t="s">
        <v>2392</v>
      </c>
      <c r="E544" s="1364" t="s">
        <v>2097</v>
      </c>
      <c r="F544" s="1364" t="s">
        <v>2107</v>
      </c>
      <c r="G544" s="506" t="s">
        <v>1907</v>
      </c>
      <c r="H544" s="1361">
        <f>(11*'Equipment Results Matrix'!$R$1064)+'Equipment Results Matrix'!$R$1050+'Equipment Results Matrix'!$R$1056+'Equipment Results Matrix'!$R$1059+'Equipment Results Matrix'!$R$1060+'Equipment Results Matrix'!$R$1063+'Equipment Results Matrix'!$T$1057</f>
        <v>7.2459715487045138</v>
      </c>
      <c r="I544" s="1371">
        <f>'Labor Results Matrix'!$E$558</f>
        <v>6.2E-2</v>
      </c>
      <c r="J544" s="1372">
        <f>'Labor Results Matrix'!$G$558*(1+'Labor Results Matrix'!$K$558)</f>
        <v>72.260416710552065</v>
      </c>
      <c r="K544" s="1372">
        <f t="shared" ref="K544:K546" si="229">I544*J544</f>
        <v>4.4801458360542279</v>
      </c>
      <c r="L544" s="1372">
        <v>0</v>
      </c>
      <c r="M544" s="1372">
        <f t="shared" si="225"/>
        <v>11.726117384758741</v>
      </c>
      <c r="N544" s="1458">
        <f>M544-$M$542</f>
        <v>1.2431722839898569</v>
      </c>
      <c r="O544" s="1429"/>
      <c r="P544" s="1430"/>
      <c r="Q544" s="1430"/>
      <c r="R544" s="1430"/>
      <c r="S544" s="1430"/>
      <c r="T544" s="1430"/>
      <c r="U544" s="1430"/>
      <c r="V544" s="1679"/>
      <c r="W544" s="1366"/>
      <c r="X544" s="1366"/>
      <c r="Y544" s="1366"/>
      <c r="Z544" s="1366"/>
      <c r="AA544" s="1366"/>
      <c r="AB544" s="1366"/>
      <c r="AC544" s="1366"/>
      <c r="AD544" s="1366"/>
      <c r="AE544" s="1366"/>
      <c r="AF544" s="1366"/>
      <c r="AG544" s="1366"/>
      <c r="AH544" s="1366"/>
      <c r="AI544" s="1366"/>
      <c r="AJ544" s="1366"/>
      <c r="AK544" s="1366"/>
      <c r="AL544" s="1366"/>
      <c r="AM544" s="1366"/>
      <c r="AN544" s="1366"/>
      <c r="AO544" s="1366"/>
      <c r="AP544" s="1366"/>
      <c r="AQ544" s="1366"/>
      <c r="AR544" s="1366"/>
      <c r="AS544" s="1366"/>
      <c r="AT544" s="1366"/>
      <c r="AU544" s="1366"/>
      <c r="AV544" s="1366"/>
      <c r="AW544" s="1366"/>
      <c r="AX544" s="1366"/>
      <c r="AY544" s="1366"/>
      <c r="AZ544" s="1366"/>
      <c r="BA544" s="1366"/>
      <c r="BB544" s="1366"/>
      <c r="BC544" s="1366"/>
      <c r="BD544" s="1366"/>
      <c r="BE544" s="1366"/>
      <c r="BF544" s="1366"/>
      <c r="BG544" s="1366"/>
      <c r="BH544" s="1366"/>
      <c r="BI544" s="1366"/>
      <c r="BJ544" s="1366"/>
      <c r="BK544" s="1366"/>
      <c r="BL544" s="1366"/>
      <c r="BM544" s="1366"/>
      <c r="BN544" s="1366"/>
      <c r="BO544" s="1366"/>
      <c r="BP544" s="1366"/>
      <c r="BQ544" s="1366"/>
      <c r="BR544" s="1366"/>
      <c r="BS544" s="1366"/>
      <c r="BT544" s="1366"/>
      <c r="BU544" s="1366"/>
      <c r="BV544" s="1366"/>
      <c r="BW544" s="1366"/>
      <c r="BX544" s="1366"/>
      <c r="BY544" s="1366"/>
      <c r="BZ544" s="1366"/>
      <c r="CA544" s="1366"/>
      <c r="CB544" s="1366"/>
      <c r="CC544" s="1366"/>
      <c r="CD544" s="1366"/>
      <c r="CE544" s="1366"/>
      <c r="CF544" s="1366"/>
      <c r="CG544" s="1366"/>
      <c r="CH544" s="1366"/>
      <c r="CI544" s="1366"/>
      <c r="CJ544" s="1366"/>
      <c r="CK544" s="1366"/>
      <c r="CL544" s="1366"/>
      <c r="CM544" s="1366"/>
      <c r="CN544" s="1366"/>
      <c r="CO544" s="1366"/>
      <c r="CP544" s="1366"/>
      <c r="CQ544" s="1366"/>
      <c r="CR544" s="1366"/>
      <c r="CS544" s="1366"/>
      <c r="CT544" s="1366"/>
      <c r="CU544" s="1366"/>
      <c r="CV544" s="1366"/>
      <c r="CW544" s="1366"/>
      <c r="CX544" s="1366"/>
      <c r="CY544" s="1366"/>
      <c r="CZ544" s="1366"/>
      <c r="DA544" s="1366"/>
      <c r="DB544" s="1366"/>
      <c r="DC544" s="1366"/>
      <c r="DD544" s="1366"/>
      <c r="DE544" s="1366"/>
      <c r="DF544" s="1366"/>
      <c r="DG544" s="1366"/>
      <c r="DH544" s="1366"/>
      <c r="DI544" s="1366"/>
      <c r="DJ544" s="1366"/>
      <c r="DK544" s="1366"/>
      <c r="DL544" s="1366"/>
      <c r="DM544" s="1366"/>
      <c r="DN544" s="1366"/>
      <c r="DO544" s="1366"/>
      <c r="DP544" s="1366"/>
      <c r="DQ544" s="1366"/>
      <c r="DR544" s="1366"/>
      <c r="DS544" s="1366"/>
      <c r="DT544" s="1366"/>
      <c r="DU544" s="1366"/>
      <c r="DV544" s="1366"/>
    </row>
    <row r="545" spans="1:126" s="1367" customFormat="1" ht="30">
      <c r="A545" s="2530"/>
      <c r="B545" s="1653">
        <v>241</v>
      </c>
      <c r="C545" s="1638" t="s">
        <v>49</v>
      </c>
      <c r="D545" s="1375" t="s">
        <v>2393</v>
      </c>
      <c r="E545" s="1364" t="s">
        <v>2097</v>
      </c>
      <c r="F545" s="1364" t="s">
        <v>2107</v>
      </c>
      <c r="G545" s="506" t="s">
        <v>1907</v>
      </c>
      <c r="H545" s="1361">
        <f>(12*'Equipment Results Matrix'!$R$1064)+'Equipment Results Matrix'!$R$1050+'Equipment Results Matrix'!$R$1056+'Equipment Results Matrix'!$R$1059+'Equipment Results Matrix'!$R$1060+'Equipment Results Matrix'!$R$1063+'Equipment Results Matrix'!$T$1057</f>
        <v>7.3932715487045133</v>
      </c>
      <c r="I545" s="1371">
        <f>'Labor Results Matrix'!$E$558</f>
        <v>6.2E-2</v>
      </c>
      <c r="J545" s="1372">
        <f>'Labor Results Matrix'!$G$558*(1+'Labor Results Matrix'!$K$558)</f>
        <v>72.260416710552065</v>
      </c>
      <c r="K545" s="1372">
        <f t="shared" si="229"/>
        <v>4.4801458360542279</v>
      </c>
      <c r="L545" s="1372">
        <v>0</v>
      </c>
      <c r="M545" s="1372">
        <f t="shared" si="225"/>
        <v>11.873417384758742</v>
      </c>
      <c r="N545" s="1458">
        <f>M545-$M$542</f>
        <v>1.3904722839898582</v>
      </c>
      <c r="O545" s="1429"/>
      <c r="P545" s="1430"/>
      <c r="Q545" s="1430"/>
      <c r="R545" s="1430"/>
      <c r="S545" s="1430"/>
      <c r="T545" s="1430"/>
      <c r="U545" s="1430"/>
      <c r="V545" s="1679"/>
      <c r="W545" s="1366"/>
      <c r="X545" s="1366"/>
      <c r="Y545" s="1366"/>
      <c r="Z545" s="1366"/>
      <c r="AA545" s="1366"/>
      <c r="AB545" s="1366"/>
      <c r="AC545" s="1366"/>
      <c r="AD545" s="1366"/>
      <c r="AE545" s="1366"/>
      <c r="AF545" s="1366"/>
      <c r="AG545" s="1366"/>
      <c r="AH545" s="1366"/>
      <c r="AI545" s="1366"/>
      <c r="AJ545" s="1366"/>
      <c r="AK545" s="1366"/>
      <c r="AL545" s="1366"/>
      <c r="AM545" s="1366"/>
      <c r="AN545" s="1366"/>
      <c r="AO545" s="1366"/>
      <c r="AP545" s="1366"/>
      <c r="AQ545" s="1366"/>
      <c r="AR545" s="1366"/>
      <c r="AS545" s="1366"/>
      <c r="AT545" s="1366"/>
      <c r="AU545" s="1366"/>
      <c r="AV545" s="1366"/>
      <c r="AW545" s="1366"/>
      <c r="AX545" s="1366"/>
      <c r="AY545" s="1366"/>
      <c r="AZ545" s="1366"/>
      <c r="BA545" s="1366"/>
      <c r="BB545" s="1366"/>
      <c r="BC545" s="1366"/>
      <c r="BD545" s="1366"/>
      <c r="BE545" s="1366"/>
      <c r="BF545" s="1366"/>
      <c r="BG545" s="1366"/>
      <c r="BH545" s="1366"/>
      <c r="BI545" s="1366"/>
      <c r="BJ545" s="1366"/>
      <c r="BK545" s="1366"/>
      <c r="BL545" s="1366"/>
      <c r="BM545" s="1366"/>
      <c r="BN545" s="1366"/>
      <c r="BO545" s="1366"/>
      <c r="BP545" s="1366"/>
      <c r="BQ545" s="1366"/>
      <c r="BR545" s="1366"/>
      <c r="BS545" s="1366"/>
      <c r="BT545" s="1366"/>
      <c r="BU545" s="1366"/>
      <c r="BV545" s="1366"/>
      <c r="BW545" s="1366"/>
      <c r="BX545" s="1366"/>
      <c r="BY545" s="1366"/>
      <c r="BZ545" s="1366"/>
      <c r="CA545" s="1366"/>
      <c r="CB545" s="1366"/>
      <c r="CC545" s="1366"/>
      <c r="CD545" s="1366"/>
      <c r="CE545" s="1366"/>
      <c r="CF545" s="1366"/>
      <c r="CG545" s="1366"/>
      <c r="CH545" s="1366"/>
      <c r="CI545" s="1366"/>
      <c r="CJ545" s="1366"/>
      <c r="CK545" s="1366"/>
      <c r="CL545" s="1366"/>
      <c r="CM545" s="1366"/>
      <c r="CN545" s="1366"/>
      <c r="CO545" s="1366"/>
      <c r="CP545" s="1366"/>
      <c r="CQ545" s="1366"/>
      <c r="CR545" s="1366"/>
      <c r="CS545" s="1366"/>
      <c r="CT545" s="1366"/>
      <c r="CU545" s="1366"/>
      <c r="CV545" s="1366"/>
      <c r="CW545" s="1366"/>
      <c r="CX545" s="1366"/>
      <c r="CY545" s="1366"/>
      <c r="CZ545" s="1366"/>
      <c r="DA545" s="1366"/>
      <c r="DB545" s="1366"/>
      <c r="DC545" s="1366"/>
      <c r="DD545" s="1366"/>
      <c r="DE545" s="1366"/>
      <c r="DF545" s="1366"/>
      <c r="DG545" s="1366"/>
      <c r="DH545" s="1366"/>
      <c r="DI545" s="1366"/>
      <c r="DJ545" s="1366"/>
      <c r="DK545" s="1366"/>
      <c r="DL545" s="1366"/>
      <c r="DM545" s="1366"/>
      <c r="DN545" s="1366"/>
      <c r="DO545" s="1366"/>
      <c r="DP545" s="1366"/>
      <c r="DQ545" s="1366"/>
      <c r="DR545" s="1366"/>
      <c r="DS545" s="1366"/>
      <c r="DT545" s="1366"/>
      <c r="DU545" s="1366"/>
      <c r="DV545" s="1366"/>
    </row>
    <row r="546" spans="1:126" s="1367" customFormat="1" ht="30">
      <c r="A546" s="2530"/>
      <c r="B546" s="1653">
        <v>242</v>
      </c>
      <c r="C546" s="1638" t="s">
        <v>49</v>
      </c>
      <c r="D546" s="1375" t="s">
        <v>2394</v>
      </c>
      <c r="E546" s="1364" t="s">
        <v>2097</v>
      </c>
      <c r="F546" s="1364" t="s">
        <v>2107</v>
      </c>
      <c r="G546" s="506" t="s">
        <v>1907</v>
      </c>
      <c r="H546" s="1361">
        <f>(13*'Equipment Results Matrix'!$R$1064)+'Equipment Results Matrix'!$R$1050+'Equipment Results Matrix'!$R$1056+'Equipment Results Matrix'!$R$1059+'Equipment Results Matrix'!$R$1060+'Equipment Results Matrix'!$R$1063+'Equipment Results Matrix'!$T$1057</f>
        <v>7.5405715487045137</v>
      </c>
      <c r="I546" s="1371">
        <f>'Labor Results Matrix'!$E$558</f>
        <v>6.2E-2</v>
      </c>
      <c r="J546" s="1372">
        <f>'Labor Results Matrix'!$G$558*(1+'Labor Results Matrix'!$K$558)</f>
        <v>72.260416710552065</v>
      </c>
      <c r="K546" s="1372">
        <f t="shared" si="229"/>
        <v>4.4801458360542279</v>
      </c>
      <c r="L546" s="1372">
        <v>0</v>
      </c>
      <c r="M546" s="1372">
        <f t="shared" si="225"/>
        <v>12.020717384758742</v>
      </c>
      <c r="N546" s="1458">
        <f>M546-$M$542</f>
        <v>1.5377722839898578</v>
      </c>
      <c r="O546" s="1429"/>
      <c r="P546" s="1430"/>
      <c r="Q546" s="1430"/>
      <c r="R546" s="1430"/>
      <c r="S546" s="1430"/>
      <c r="T546" s="1430"/>
      <c r="U546" s="1430"/>
      <c r="V546" s="1679"/>
      <c r="W546" s="1366"/>
      <c r="X546" s="1366"/>
      <c r="Y546" s="1366"/>
      <c r="Z546" s="1366"/>
      <c r="AA546" s="1366"/>
      <c r="AB546" s="1366"/>
      <c r="AC546" s="1366"/>
      <c r="AD546" s="1366"/>
      <c r="AE546" s="1366"/>
      <c r="AF546" s="1366"/>
      <c r="AG546" s="1366"/>
      <c r="AH546" s="1366"/>
      <c r="AI546" s="1366"/>
      <c r="AJ546" s="1366"/>
      <c r="AK546" s="1366"/>
      <c r="AL546" s="1366"/>
      <c r="AM546" s="1366"/>
      <c r="AN546" s="1366"/>
      <c r="AO546" s="1366"/>
      <c r="AP546" s="1366"/>
      <c r="AQ546" s="1366"/>
      <c r="AR546" s="1366"/>
      <c r="AS546" s="1366"/>
      <c r="AT546" s="1366"/>
      <c r="AU546" s="1366"/>
      <c r="AV546" s="1366"/>
      <c r="AW546" s="1366"/>
      <c r="AX546" s="1366"/>
      <c r="AY546" s="1366"/>
      <c r="AZ546" s="1366"/>
      <c r="BA546" s="1366"/>
      <c r="BB546" s="1366"/>
      <c r="BC546" s="1366"/>
      <c r="BD546" s="1366"/>
      <c r="BE546" s="1366"/>
      <c r="BF546" s="1366"/>
      <c r="BG546" s="1366"/>
      <c r="BH546" s="1366"/>
      <c r="BI546" s="1366"/>
      <c r="BJ546" s="1366"/>
      <c r="BK546" s="1366"/>
      <c r="BL546" s="1366"/>
      <c r="BM546" s="1366"/>
      <c r="BN546" s="1366"/>
      <c r="BO546" s="1366"/>
      <c r="BP546" s="1366"/>
      <c r="BQ546" s="1366"/>
      <c r="BR546" s="1366"/>
      <c r="BS546" s="1366"/>
      <c r="BT546" s="1366"/>
      <c r="BU546" s="1366"/>
      <c r="BV546" s="1366"/>
      <c r="BW546" s="1366"/>
      <c r="BX546" s="1366"/>
      <c r="BY546" s="1366"/>
      <c r="BZ546" s="1366"/>
      <c r="CA546" s="1366"/>
      <c r="CB546" s="1366"/>
      <c r="CC546" s="1366"/>
      <c r="CD546" s="1366"/>
      <c r="CE546" s="1366"/>
      <c r="CF546" s="1366"/>
      <c r="CG546" s="1366"/>
      <c r="CH546" s="1366"/>
      <c r="CI546" s="1366"/>
      <c r="CJ546" s="1366"/>
      <c r="CK546" s="1366"/>
      <c r="CL546" s="1366"/>
      <c r="CM546" s="1366"/>
      <c r="CN546" s="1366"/>
      <c r="CO546" s="1366"/>
      <c r="CP546" s="1366"/>
      <c r="CQ546" s="1366"/>
      <c r="CR546" s="1366"/>
      <c r="CS546" s="1366"/>
      <c r="CT546" s="1366"/>
      <c r="CU546" s="1366"/>
      <c r="CV546" s="1366"/>
      <c r="CW546" s="1366"/>
      <c r="CX546" s="1366"/>
      <c r="CY546" s="1366"/>
      <c r="CZ546" s="1366"/>
      <c r="DA546" s="1366"/>
      <c r="DB546" s="1366"/>
      <c r="DC546" s="1366"/>
      <c r="DD546" s="1366"/>
      <c r="DE546" s="1366"/>
      <c r="DF546" s="1366"/>
      <c r="DG546" s="1366"/>
      <c r="DH546" s="1366"/>
      <c r="DI546" s="1366"/>
      <c r="DJ546" s="1366"/>
      <c r="DK546" s="1366"/>
      <c r="DL546" s="1366"/>
      <c r="DM546" s="1366"/>
      <c r="DN546" s="1366"/>
      <c r="DO546" s="1366"/>
      <c r="DP546" s="1366"/>
      <c r="DQ546" s="1366"/>
      <c r="DR546" s="1366"/>
      <c r="DS546" s="1366"/>
      <c r="DT546" s="1366"/>
      <c r="DU546" s="1366"/>
      <c r="DV546" s="1366"/>
    </row>
    <row r="547" spans="1:126" s="1367" customFormat="1" ht="15" customHeight="1">
      <c r="A547" s="2530"/>
      <c r="B547" s="1653" t="s">
        <v>2399</v>
      </c>
      <c r="C547" s="1638" t="s">
        <v>47</v>
      </c>
      <c r="D547" s="1381" t="s">
        <v>2397</v>
      </c>
      <c r="E547" s="1364" t="s">
        <v>2097</v>
      </c>
      <c r="F547" s="1364" t="s">
        <v>2107</v>
      </c>
      <c r="G547" s="506" t="s">
        <v>1907</v>
      </c>
      <c r="H547" s="1361">
        <f>(60*'Equipment Results Matrix'!$R$995)+(2*'Equipment Results Matrix'!$R$994)+'Equipment Results Matrix'!$R$982+'Equipment Results Matrix'!$R$988+'Equipment Results Matrix'!$R$990+'Equipment Results Matrix'!$R$992+'Equipment Results Matrix'!$T$989</f>
        <v>6.1587992647146574</v>
      </c>
      <c r="I547" s="1371">
        <f>'Labor Results Matrix'!$E$490</f>
        <v>6.2E-2</v>
      </c>
      <c r="J547" s="1372">
        <f>'Labor Results Matrix'!$G$490*(1+'Labor Results Matrix'!$K$490)</f>
        <v>72.260416710552065</v>
      </c>
      <c r="K547" s="1372">
        <f>I547*J547</f>
        <v>4.4801458360542279</v>
      </c>
      <c r="L547" s="1372">
        <v>0</v>
      </c>
      <c r="M547" s="1372">
        <f t="shared" si="225"/>
        <v>10.638945100768886</v>
      </c>
      <c r="N547" s="1455" t="s">
        <v>40</v>
      </c>
      <c r="O547" s="1429"/>
      <c r="P547" s="1430"/>
      <c r="Q547" s="1430"/>
      <c r="R547" s="1430"/>
      <c r="S547" s="1430"/>
      <c r="T547" s="1430"/>
      <c r="U547" s="1430"/>
      <c r="V547" s="1679"/>
      <c r="W547" s="1366"/>
      <c r="X547" s="1366"/>
      <c r="Y547" s="1366"/>
      <c r="Z547" s="1366"/>
      <c r="AA547" s="1366"/>
      <c r="AB547" s="1366"/>
      <c r="AC547" s="1366"/>
      <c r="AD547" s="1366"/>
      <c r="AE547" s="1366"/>
      <c r="AF547" s="1366"/>
      <c r="AG547" s="1366"/>
      <c r="AH547" s="1366"/>
      <c r="AI547" s="1366"/>
      <c r="AJ547" s="1366"/>
      <c r="AK547" s="1366"/>
      <c r="AL547" s="1366"/>
      <c r="AM547" s="1366"/>
      <c r="AN547" s="1366"/>
      <c r="AO547" s="1366"/>
      <c r="AP547" s="1366"/>
      <c r="AQ547" s="1366"/>
      <c r="AR547" s="1366"/>
      <c r="AS547" s="1366"/>
      <c r="AT547" s="1366"/>
      <c r="AU547" s="1366"/>
      <c r="AV547" s="1366"/>
      <c r="AW547" s="1366"/>
      <c r="AX547" s="1366"/>
      <c r="AY547" s="1366"/>
      <c r="AZ547" s="1366"/>
      <c r="BA547" s="1366"/>
      <c r="BB547" s="1366"/>
      <c r="BC547" s="1366"/>
      <c r="BD547" s="1366"/>
      <c r="BE547" s="1366"/>
      <c r="BF547" s="1366"/>
      <c r="BG547" s="1366"/>
      <c r="BH547" s="1366"/>
      <c r="BI547" s="1366"/>
      <c r="BJ547" s="1366"/>
      <c r="BK547" s="1366"/>
      <c r="BL547" s="1366"/>
      <c r="BM547" s="1366"/>
      <c r="BN547" s="1366"/>
      <c r="BO547" s="1366"/>
      <c r="BP547" s="1366"/>
      <c r="BQ547" s="1366"/>
      <c r="BR547" s="1366"/>
      <c r="BS547" s="1366"/>
      <c r="BT547" s="1366"/>
      <c r="BU547" s="1366"/>
      <c r="BV547" s="1366"/>
      <c r="BW547" s="1366"/>
      <c r="BX547" s="1366"/>
      <c r="BY547" s="1366"/>
      <c r="BZ547" s="1366"/>
      <c r="CA547" s="1366"/>
      <c r="CB547" s="1366"/>
      <c r="CC547" s="1366"/>
      <c r="CD547" s="1366"/>
      <c r="CE547" s="1366"/>
      <c r="CF547" s="1366"/>
      <c r="CG547" s="1366"/>
      <c r="CH547" s="1366"/>
      <c r="CI547" s="1366"/>
      <c r="CJ547" s="1366"/>
      <c r="CK547" s="1366"/>
      <c r="CL547" s="1366"/>
      <c r="CM547" s="1366"/>
      <c r="CN547" s="1366"/>
      <c r="CO547" s="1366"/>
      <c r="CP547" s="1366"/>
      <c r="CQ547" s="1366"/>
      <c r="CR547" s="1366"/>
      <c r="CS547" s="1366"/>
      <c r="CT547" s="1366"/>
      <c r="CU547" s="1366"/>
      <c r="CV547" s="1366"/>
      <c r="CW547" s="1366"/>
      <c r="CX547" s="1366"/>
      <c r="CY547" s="1366"/>
      <c r="CZ547" s="1366"/>
      <c r="DA547" s="1366"/>
      <c r="DB547" s="1366"/>
      <c r="DC547" s="1366"/>
      <c r="DD547" s="1366"/>
      <c r="DE547" s="1366"/>
      <c r="DF547" s="1366"/>
      <c r="DG547" s="1366"/>
      <c r="DH547" s="1366"/>
      <c r="DI547" s="1366"/>
      <c r="DJ547" s="1366"/>
      <c r="DK547" s="1366"/>
      <c r="DL547" s="1366"/>
      <c r="DM547" s="1366"/>
      <c r="DN547" s="1366"/>
      <c r="DO547" s="1366"/>
      <c r="DP547" s="1366"/>
      <c r="DQ547" s="1366"/>
      <c r="DR547" s="1366"/>
      <c r="DS547" s="1366"/>
      <c r="DT547" s="1366"/>
      <c r="DU547" s="1366"/>
      <c r="DV547" s="1366"/>
    </row>
    <row r="548" spans="1:126" s="1367" customFormat="1" ht="30">
      <c r="A548" s="2530"/>
      <c r="B548" s="1653">
        <v>243</v>
      </c>
      <c r="C548" s="1638" t="s">
        <v>49</v>
      </c>
      <c r="D548" s="1375" t="s">
        <v>2396</v>
      </c>
      <c r="E548" s="1364" t="s">
        <v>2097</v>
      </c>
      <c r="F548" s="1364" t="s">
        <v>2107</v>
      </c>
      <c r="G548" s="506" t="s">
        <v>1907</v>
      </c>
      <c r="H548" s="1361">
        <f>(14*'Equipment Results Matrix'!$R$1064)+'Equipment Results Matrix'!$R$1050+'Equipment Results Matrix'!$R$1056+'Equipment Results Matrix'!$R$1059+'Equipment Results Matrix'!$R$1060+'Equipment Results Matrix'!$R$1063+'Equipment Results Matrix'!$T$1057</f>
        <v>7.6878715487045142</v>
      </c>
      <c r="I548" s="1371">
        <f>'Labor Results Matrix'!$E$558</f>
        <v>6.2E-2</v>
      </c>
      <c r="J548" s="1372">
        <f>'Labor Results Matrix'!$G$558*(1+'Labor Results Matrix'!$K$558)</f>
        <v>72.260416710552065</v>
      </c>
      <c r="K548" s="1372">
        <f t="shared" ref="K548:K550" si="230">I548*J548</f>
        <v>4.4801458360542279</v>
      </c>
      <c r="L548" s="1372">
        <v>0</v>
      </c>
      <c r="M548" s="1372">
        <f t="shared" si="225"/>
        <v>12.168017384758741</v>
      </c>
      <c r="N548" s="1458">
        <f>M548-$M$547</f>
        <v>1.529072283989855</v>
      </c>
      <c r="O548" s="1429"/>
      <c r="P548" s="1430"/>
      <c r="Q548" s="1430"/>
      <c r="R548" s="1430"/>
      <c r="S548" s="1430"/>
      <c r="T548" s="1430"/>
      <c r="U548" s="1430"/>
      <c r="V548" s="1679"/>
      <c r="W548" s="1366"/>
      <c r="X548" s="1366"/>
      <c r="Y548" s="1366"/>
      <c r="Z548" s="1366"/>
      <c r="AA548" s="1366"/>
      <c r="AB548" s="1366"/>
      <c r="AC548" s="1366"/>
      <c r="AD548" s="1366"/>
      <c r="AE548" s="1366"/>
      <c r="AF548" s="1366"/>
      <c r="AG548" s="1366"/>
      <c r="AH548" s="1366"/>
      <c r="AI548" s="1366"/>
      <c r="AJ548" s="1366"/>
      <c r="AK548" s="1366"/>
      <c r="AL548" s="1366"/>
      <c r="AM548" s="1366"/>
      <c r="AN548" s="1366"/>
      <c r="AO548" s="1366"/>
      <c r="AP548" s="1366"/>
      <c r="AQ548" s="1366"/>
      <c r="AR548" s="1366"/>
      <c r="AS548" s="1366"/>
      <c r="AT548" s="1366"/>
      <c r="AU548" s="1366"/>
      <c r="AV548" s="1366"/>
      <c r="AW548" s="1366"/>
      <c r="AX548" s="1366"/>
      <c r="AY548" s="1366"/>
      <c r="AZ548" s="1366"/>
      <c r="BA548" s="1366"/>
      <c r="BB548" s="1366"/>
      <c r="BC548" s="1366"/>
      <c r="BD548" s="1366"/>
      <c r="BE548" s="1366"/>
      <c r="BF548" s="1366"/>
      <c r="BG548" s="1366"/>
      <c r="BH548" s="1366"/>
      <c r="BI548" s="1366"/>
      <c r="BJ548" s="1366"/>
      <c r="BK548" s="1366"/>
      <c r="BL548" s="1366"/>
      <c r="BM548" s="1366"/>
      <c r="BN548" s="1366"/>
      <c r="BO548" s="1366"/>
      <c r="BP548" s="1366"/>
      <c r="BQ548" s="1366"/>
      <c r="BR548" s="1366"/>
      <c r="BS548" s="1366"/>
      <c r="BT548" s="1366"/>
      <c r="BU548" s="1366"/>
      <c r="BV548" s="1366"/>
      <c r="BW548" s="1366"/>
      <c r="BX548" s="1366"/>
      <c r="BY548" s="1366"/>
      <c r="BZ548" s="1366"/>
      <c r="CA548" s="1366"/>
      <c r="CB548" s="1366"/>
      <c r="CC548" s="1366"/>
      <c r="CD548" s="1366"/>
      <c r="CE548" s="1366"/>
      <c r="CF548" s="1366"/>
      <c r="CG548" s="1366"/>
      <c r="CH548" s="1366"/>
      <c r="CI548" s="1366"/>
      <c r="CJ548" s="1366"/>
      <c r="CK548" s="1366"/>
      <c r="CL548" s="1366"/>
      <c r="CM548" s="1366"/>
      <c r="CN548" s="1366"/>
      <c r="CO548" s="1366"/>
      <c r="CP548" s="1366"/>
      <c r="CQ548" s="1366"/>
      <c r="CR548" s="1366"/>
      <c r="CS548" s="1366"/>
      <c r="CT548" s="1366"/>
      <c r="CU548" s="1366"/>
      <c r="CV548" s="1366"/>
      <c r="CW548" s="1366"/>
      <c r="CX548" s="1366"/>
      <c r="CY548" s="1366"/>
      <c r="CZ548" s="1366"/>
      <c r="DA548" s="1366"/>
      <c r="DB548" s="1366"/>
      <c r="DC548" s="1366"/>
      <c r="DD548" s="1366"/>
      <c r="DE548" s="1366"/>
      <c r="DF548" s="1366"/>
      <c r="DG548" s="1366"/>
      <c r="DH548" s="1366"/>
      <c r="DI548" s="1366"/>
      <c r="DJ548" s="1366"/>
      <c r="DK548" s="1366"/>
      <c r="DL548" s="1366"/>
      <c r="DM548" s="1366"/>
      <c r="DN548" s="1366"/>
      <c r="DO548" s="1366"/>
      <c r="DP548" s="1366"/>
      <c r="DQ548" s="1366"/>
      <c r="DR548" s="1366"/>
      <c r="DS548" s="1366"/>
      <c r="DT548" s="1366"/>
      <c r="DU548" s="1366"/>
      <c r="DV548" s="1366"/>
    </row>
    <row r="549" spans="1:126" s="1367" customFormat="1" ht="30">
      <c r="A549" s="2530"/>
      <c r="B549" s="1653">
        <v>245</v>
      </c>
      <c r="C549" s="1638" t="s">
        <v>49</v>
      </c>
      <c r="D549" s="1375" t="s">
        <v>2400</v>
      </c>
      <c r="E549" s="1364" t="s">
        <v>2097</v>
      </c>
      <c r="F549" s="1364" t="s">
        <v>2107</v>
      </c>
      <c r="G549" s="506" t="s">
        <v>1907</v>
      </c>
      <c r="H549" s="1361">
        <f>(15*'Equipment Results Matrix'!$R$1064)+'Equipment Results Matrix'!$R$1050+'Equipment Results Matrix'!$R$1056+'Equipment Results Matrix'!$R$1059+'Equipment Results Matrix'!$R$1060+'Equipment Results Matrix'!$R$1063+'Equipment Results Matrix'!$T$1057</f>
        <v>7.8351715487045137</v>
      </c>
      <c r="I549" s="1371">
        <f>'Labor Results Matrix'!$E$558</f>
        <v>6.2E-2</v>
      </c>
      <c r="J549" s="1372">
        <f>'Labor Results Matrix'!$G$558*(1+'Labor Results Matrix'!$K$558)</f>
        <v>72.260416710552065</v>
      </c>
      <c r="K549" s="1372">
        <f t="shared" si="230"/>
        <v>4.4801458360542279</v>
      </c>
      <c r="L549" s="1372">
        <v>0</v>
      </c>
      <c r="M549" s="1372">
        <f t="shared" si="225"/>
        <v>12.315317384758742</v>
      </c>
      <c r="N549" s="1458">
        <f>M549-$M$547</f>
        <v>1.6763722839898563</v>
      </c>
      <c r="O549" s="1429"/>
      <c r="P549" s="1430"/>
      <c r="Q549" s="1430"/>
      <c r="R549" s="1430"/>
      <c r="S549" s="1430"/>
      <c r="T549" s="1430"/>
      <c r="U549" s="1430"/>
      <c r="V549" s="1679"/>
      <c r="W549" s="1366"/>
      <c r="X549" s="1366"/>
      <c r="Y549" s="1366"/>
      <c r="Z549" s="1366"/>
      <c r="AA549" s="1366"/>
      <c r="AB549" s="1366"/>
      <c r="AC549" s="1366"/>
      <c r="AD549" s="1366"/>
      <c r="AE549" s="1366"/>
      <c r="AF549" s="1366"/>
      <c r="AG549" s="1366"/>
      <c r="AH549" s="1366"/>
      <c r="AI549" s="1366"/>
      <c r="AJ549" s="1366"/>
      <c r="AK549" s="1366"/>
      <c r="AL549" s="1366"/>
      <c r="AM549" s="1366"/>
      <c r="AN549" s="1366"/>
      <c r="AO549" s="1366"/>
      <c r="AP549" s="1366"/>
      <c r="AQ549" s="1366"/>
      <c r="AR549" s="1366"/>
      <c r="AS549" s="1366"/>
      <c r="AT549" s="1366"/>
      <c r="AU549" s="1366"/>
      <c r="AV549" s="1366"/>
      <c r="AW549" s="1366"/>
      <c r="AX549" s="1366"/>
      <c r="AY549" s="1366"/>
      <c r="AZ549" s="1366"/>
      <c r="BA549" s="1366"/>
      <c r="BB549" s="1366"/>
      <c r="BC549" s="1366"/>
      <c r="BD549" s="1366"/>
      <c r="BE549" s="1366"/>
      <c r="BF549" s="1366"/>
      <c r="BG549" s="1366"/>
      <c r="BH549" s="1366"/>
      <c r="BI549" s="1366"/>
      <c r="BJ549" s="1366"/>
      <c r="BK549" s="1366"/>
      <c r="BL549" s="1366"/>
      <c r="BM549" s="1366"/>
      <c r="BN549" s="1366"/>
      <c r="BO549" s="1366"/>
      <c r="BP549" s="1366"/>
      <c r="BQ549" s="1366"/>
      <c r="BR549" s="1366"/>
      <c r="BS549" s="1366"/>
      <c r="BT549" s="1366"/>
      <c r="BU549" s="1366"/>
      <c r="BV549" s="1366"/>
      <c r="BW549" s="1366"/>
      <c r="BX549" s="1366"/>
      <c r="BY549" s="1366"/>
      <c r="BZ549" s="1366"/>
      <c r="CA549" s="1366"/>
      <c r="CB549" s="1366"/>
      <c r="CC549" s="1366"/>
      <c r="CD549" s="1366"/>
      <c r="CE549" s="1366"/>
      <c r="CF549" s="1366"/>
      <c r="CG549" s="1366"/>
      <c r="CH549" s="1366"/>
      <c r="CI549" s="1366"/>
      <c r="CJ549" s="1366"/>
      <c r="CK549" s="1366"/>
      <c r="CL549" s="1366"/>
      <c r="CM549" s="1366"/>
      <c r="CN549" s="1366"/>
      <c r="CO549" s="1366"/>
      <c r="CP549" s="1366"/>
      <c r="CQ549" s="1366"/>
      <c r="CR549" s="1366"/>
      <c r="CS549" s="1366"/>
      <c r="CT549" s="1366"/>
      <c r="CU549" s="1366"/>
      <c r="CV549" s="1366"/>
      <c r="CW549" s="1366"/>
      <c r="CX549" s="1366"/>
      <c r="CY549" s="1366"/>
      <c r="CZ549" s="1366"/>
      <c r="DA549" s="1366"/>
      <c r="DB549" s="1366"/>
      <c r="DC549" s="1366"/>
      <c r="DD549" s="1366"/>
      <c r="DE549" s="1366"/>
      <c r="DF549" s="1366"/>
      <c r="DG549" s="1366"/>
      <c r="DH549" s="1366"/>
      <c r="DI549" s="1366"/>
      <c r="DJ549" s="1366"/>
      <c r="DK549" s="1366"/>
      <c r="DL549" s="1366"/>
      <c r="DM549" s="1366"/>
      <c r="DN549" s="1366"/>
      <c r="DO549" s="1366"/>
      <c r="DP549" s="1366"/>
      <c r="DQ549" s="1366"/>
      <c r="DR549" s="1366"/>
      <c r="DS549" s="1366"/>
      <c r="DT549" s="1366"/>
      <c r="DU549" s="1366"/>
      <c r="DV549" s="1366"/>
    </row>
    <row r="550" spans="1:126" s="1367" customFormat="1" ht="30">
      <c r="A550" s="2530"/>
      <c r="B550" s="1653">
        <v>246</v>
      </c>
      <c r="C550" s="1638" t="s">
        <v>49</v>
      </c>
      <c r="D550" s="1375" t="s">
        <v>2401</v>
      </c>
      <c r="E550" s="1364" t="s">
        <v>2097</v>
      </c>
      <c r="F550" s="1364" t="s">
        <v>2107</v>
      </c>
      <c r="G550" s="506" t="s">
        <v>1907</v>
      </c>
      <c r="H550" s="1361">
        <f>(16*'Equipment Results Matrix'!$R$1064)+'Equipment Results Matrix'!$R$1050+'Equipment Results Matrix'!$R$1056+'Equipment Results Matrix'!$R$1059+'Equipment Results Matrix'!$R$1060+'Equipment Results Matrix'!$R$1063+'Equipment Results Matrix'!$T$1057</f>
        <v>7.9824715487045133</v>
      </c>
      <c r="I550" s="1371">
        <f>'Labor Results Matrix'!$E$558</f>
        <v>6.2E-2</v>
      </c>
      <c r="J550" s="1372">
        <f>'Labor Results Matrix'!$G$558*(1+'Labor Results Matrix'!$K$558)</f>
        <v>72.260416710552065</v>
      </c>
      <c r="K550" s="1372">
        <f t="shared" si="230"/>
        <v>4.4801458360542279</v>
      </c>
      <c r="L550" s="1372">
        <v>0</v>
      </c>
      <c r="M550" s="1372">
        <f t="shared" si="225"/>
        <v>12.46261738475874</v>
      </c>
      <c r="N550" s="1458">
        <f>M550-$M$547</f>
        <v>1.823672283989854</v>
      </c>
      <c r="O550" s="1429"/>
      <c r="P550" s="1430"/>
      <c r="Q550" s="1430"/>
      <c r="R550" s="1430"/>
      <c r="S550" s="1430"/>
      <c r="T550" s="1430"/>
      <c r="U550" s="1430"/>
      <c r="V550" s="1679"/>
      <c r="W550" s="1366"/>
      <c r="X550" s="1366"/>
      <c r="Y550" s="1366"/>
      <c r="Z550" s="1366"/>
      <c r="AA550" s="1366"/>
      <c r="AB550" s="1366"/>
      <c r="AC550" s="1366"/>
      <c r="AD550" s="1366"/>
      <c r="AE550" s="1366"/>
      <c r="AF550" s="1366"/>
      <c r="AG550" s="1366"/>
      <c r="AH550" s="1366"/>
      <c r="AI550" s="1366"/>
      <c r="AJ550" s="1366"/>
      <c r="AK550" s="1366"/>
      <c r="AL550" s="1366"/>
      <c r="AM550" s="1366"/>
      <c r="AN550" s="1366"/>
      <c r="AO550" s="1366"/>
      <c r="AP550" s="1366"/>
      <c r="AQ550" s="1366"/>
      <c r="AR550" s="1366"/>
      <c r="AS550" s="1366"/>
      <c r="AT550" s="1366"/>
      <c r="AU550" s="1366"/>
      <c r="AV550" s="1366"/>
      <c r="AW550" s="1366"/>
      <c r="AX550" s="1366"/>
      <c r="AY550" s="1366"/>
      <c r="AZ550" s="1366"/>
      <c r="BA550" s="1366"/>
      <c r="BB550" s="1366"/>
      <c r="BC550" s="1366"/>
      <c r="BD550" s="1366"/>
      <c r="BE550" s="1366"/>
      <c r="BF550" s="1366"/>
      <c r="BG550" s="1366"/>
      <c r="BH550" s="1366"/>
      <c r="BI550" s="1366"/>
      <c r="BJ550" s="1366"/>
      <c r="BK550" s="1366"/>
      <c r="BL550" s="1366"/>
      <c r="BM550" s="1366"/>
      <c r="BN550" s="1366"/>
      <c r="BO550" s="1366"/>
      <c r="BP550" s="1366"/>
      <c r="BQ550" s="1366"/>
      <c r="BR550" s="1366"/>
      <c r="BS550" s="1366"/>
      <c r="BT550" s="1366"/>
      <c r="BU550" s="1366"/>
      <c r="BV550" s="1366"/>
      <c r="BW550" s="1366"/>
      <c r="BX550" s="1366"/>
      <c r="BY550" s="1366"/>
      <c r="BZ550" s="1366"/>
      <c r="CA550" s="1366"/>
      <c r="CB550" s="1366"/>
      <c r="CC550" s="1366"/>
      <c r="CD550" s="1366"/>
      <c r="CE550" s="1366"/>
      <c r="CF550" s="1366"/>
      <c r="CG550" s="1366"/>
      <c r="CH550" s="1366"/>
      <c r="CI550" s="1366"/>
      <c r="CJ550" s="1366"/>
      <c r="CK550" s="1366"/>
      <c r="CL550" s="1366"/>
      <c r="CM550" s="1366"/>
      <c r="CN550" s="1366"/>
      <c r="CO550" s="1366"/>
      <c r="CP550" s="1366"/>
      <c r="CQ550" s="1366"/>
      <c r="CR550" s="1366"/>
      <c r="CS550" s="1366"/>
      <c r="CT550" s="1366"/>
      <c r="CU550" s="1366"/>
      <c r="CV550" s="1366"/>
      <c r="CW550" s="1366"/>
      <c r="CX550" s="1366"/>
      <c r="CY550" s="1366"/>
      <c r="CZ550" s="1366"/>
      <c r="DA550" s="1366"/>
      <c r="DB550" s="1366"/>
      <c r="DC550" s="1366"/>
      <c r="DD550" s="1366"/>
      <c r="DE550" s="1366"/>
      <c r="DF550" s="1366"/>
      <c r="DG550" s="1366"/>
      <c r="DH550" s="1366"/>
      <c r="DI550" s="1366"/>
      <c r="DJ550" s="1366"/>
      <c r="DK550" s="1366"/>
      <c r="DL550" s="1366"/>
      <c r="DM550" s="1366"/>
      <c r="DN550" s="1366"/>
      <c r="DO550" s="1366"/>
      <c r="DP550" s="1366"/>
      <c r="DQ550" s="1366"/>
      <c r="DR550" s="1366"/>
      <c r="DS550" s="1366"/>
      <c r="DT550" s="1366"/>
      <c r="DU550" s="1366"/>
      <c r="DV550" s="1366"/>
    </row>
    <row r="551" spans="1:126" s="1367" customFormat="1" ht="15" customHeight="1">
      <c r="A551" s="2530"/>
      <c r="B551" s="1653" t="s">
        <v>2405</v>
      </c>
      <c r="C551" s="1638" t="s">
        <v>47</v>
      </c>
      <c r="D551" s="1381" t="s">
        <v>2398</v>
      </c>
      <c r="E551" s="1364" t="s">
        <v>2097</v>
      </c>
      <c r="F551" s="1364" t="s">
        <v>2107</v>
      </c>
      <c r="G551" s="506" t="s">
        <v>1907</v>
      </c>
      <c r="H551" s="1361">
        <f>(75*'Equipment Results Matrix'!$R$995)+(2*'Equipment Results Matrix'!$R$994)+'Equipment Results Matrix'!$R$982+'Equipment Results Matrix'!$R$988+'Equipment Results Matrix'!$R$990+'Equipment Results Matrix'!$R$992+'Equipment Results Matrix'!$T$989</f>
        <v>6.3147992647146571</v>
      </c>
      <c r="I551" s="1371">
        <f>'Labor Results Matrix'!$E$490</f>
        <v>6.2E-2</v>
      </c>
      <c r="J551" s="1372">
        <f>'Labor Results Matrix'!$G$490*(1+'Labor Results Matrix'!$K$490)</f>
        <v>72.260416710552065</v>
      </c>
      <c r="K551" s="1372">
        <f>I551*J551</f>
        <v>4.4801458360542279</v>
      </c>
      <c r="L551" s="1372">
        <v>0</v>
      </c>
      <c r="M551" s="1372">
        <f t="shared" si="225"/>
        <v>10.794945100768885</v>
      </c>
      <c r="N551" s="1455" t="s">
        <v>40</v>
      </c>
      <c r="O551" s="1429"/>
      <c r="P551" s="1430"/>
      <c r="Q551" s="1430"/>
      <c r="R551" s="1430"/>
      <c r="S551" s="1430"/>
      <c r="T551" s="1430"/>
      <c r="U551" s="1430"/>
      <c r="V551" s="1679"/>
      <c r="W551" s="1366"/>
      <c r="X551" s="1366"/>
      <c r="Y551" s="1366"/>
      <c r="Z551" s="1366"/>
      <c r="AA551" s="1366"/>
      <c r="AB551" s="1366"/>
      <c r="AC551" s="1366"/>
      <c r="AD551" s="1366"/>
      <c r="AE551" s="1366"/>
      <c r="AF551" s="1366"/>
      <c r="AG551" s="1366"/>
      <c r="AH551" s="1366"/>
      <c r="AI551" s="1366"/>
      <c r="AJ551" s="1366"/>
      <c r="AK551" s="1366"/>
      <c r="AL551" s="1366"/>
      <c r="AM551" s="1366"/>
      <c r="AN551" s="1366"/>
      <c r="AO551" s="1366"/>
      <c r="AP551" s="1366"/>
      <c r="AQ551" s="1366"/>
      <c r="AR551" s="1366"/>
      <c r="AS551" s="1366"/>
      <c r="AT551" s="1366"/>
      <c r="AU551" s="1366"/>
      <c r="AV551" s="1366"/>
      <c r="AW551" s="1366"/>
      <c r="AX551" s="1366"/>
      <c r="AY551" s="1366"/>
      <c r="AZ551" s="1366"/>
      <c r="BA551" s="1366"/>
      <c r="BB551" s="1366"/>
      <c r="BC551" s="1366"/>
      <c r="BD551" s="1366"/>
      <c r="BE551" s="1366"/>
      <c r="BF551" s="1366"/>
      <c r="BG551" s="1366"/>
      <c r="BH551" s="1366"/>
      <c r="BI551" s="1366"/>
      <c r="BJ551" s="1366"/>
      <c r="BK551" s="1366"/>
      <c r="BL551" s="1366"/>
      <c r="BM551" s="1366"/>
      <c r="BN551" s="1366"/>
      <c r="BO551" s="1366"/>
      <c r="BP551" s="1366"/>
      <c r="BQ551" s="1366"/>
      <c r="BR551" s="1366"/>
      <c r="BS551" s="1366"/>
      <c r="BT551" s="1366"/>
      <c r="BU551" s="1366"/>
      <c r="BV551" s="1366"/>
      <c r="BW551" s="1366"/>
      <c r="BX551" s="1366"/>
      <c r="BY551" s="1366"/>
      <c r="BZ551" s="1366"/>
      <c r="CA551" s="1366"/>
      <c r="CB551" s="1366"/>
      <c r="CC551" s="1366"/>
      <c r="CD551" s="1366"/>
      <c r="CE551" s="1366"/>
      <c r="CF551" s="1366"/>
      <c r="CG551" s="1366"/>
      <c r="CH551" s="1366"/>
      <c r="CI551" s="1366"/>
      <c r="CJ551" s="1366"/>
      <c r="CK551" s="1366"/>
      <c r="CL551" s="1366"/>
      <c r="CM551" s="1366"/>
      <c r="CN551" s="1366"/>
      <c r="CO551" s="1366"/>
      <c r="CP551" s="1366"/>
      <c r="CQ551" s="1366"/>
      <c r="CR551" s="1366"/>
      <c r="CS551" s="1366"/>
      <c r="CT551" s="1366"/>
      <c r="CU551" s="1366"/>
      <c r="CV551" s="1366"/>
      <c r="CW551" s="1366"/>
      <c r="CX551" s="1366"/>
      <c r="CY551" s="1366"/>
      <c r="CZ551" s="1366"/>
      <c r="DA551" s="1366"/>
      <c r="DB551" s="1366"/>
      <c r="DC551" s="1366"/>
      <c r="DD551" s="1366"/>
      <c r="DE551" s="1366"/>
      <c r="DF551" s="1366"/>
      <c r="DG551" s="1366"/>
      <c r="DH551" s="1366"/>
      <c r="DI551" s="1366"/>
      <c r="DJ551" s="1366"/>
      <c r="DK551" s="1366"/>
      <c r="DL551" s="1366"/>
      <c r="DM551" s="1366"/>
      <c r="DN551" s="1366"/>
      <c r="DO551" s="1366"/>
      <c r="DP551" s="1366"/>
      <c r="DQ551" s="1366"/>
      <c r="DR551" s="1366"/>
      <c r="DS551" s="1366"/>
      <c r="DT551" s="1366"/>
      <c r="DU551" s="1366"/>
      <c r="DV551" s="1366"/>
    </row>
    <row r="552" spans="1:126" s="1367" customFormat="1" ht="30">
      <c r="A552" s="2530"/>
      <c r="B552" s="1653">
        <v>247</v>
      </c>
      <c r="C552" s="1638" t="s">
        <v>49</v>
      </c>
      <c r="D552" s="1375" t="s">
        <v>2402</v>
      </c>
      <c r="E552" s="1364" t="s">
        <v>2097</v>
      </c>
      <c r="F552" s="1364" t="s">
        <v>2107</v>
      </c>
      <c r="G552" s="506" t="s">
        <v>1907</v>
      </c>
      <c r="H552" s="1361">
        <f>(17*'Equipment Results Matrix'!$R$1064)+'Equipment Results Matrix'!$R$1050+'Equipment Results Matrix'!$R$1056+'Equipment Results Matrix'!$R$1059+'Equipment Results Matrix'!$R$1060+'Equipment Results Matrix'!$R$1063+'Equipment Results Matrix'!$T$1057</f>
        <v>8.1297715487045146</v>
      </c>
      <c r="I552" s="1371">
        <f>'Labor Results Matrix'!$E$558</f>
        <v>6.2E-2</v>
      </c>
      <c r="J552" s="1372">
        <f>'Labor Results Matrix'!$G$558*(1+'Labor Results Matrix'!$K$558)</f>
        <v>72.260416710552065</v>
      </c>
      <c r="K552" s="1372">
        <f t="shared" ref="K552:K554" si="231">I552*J552</f>
        <v>4.4801458360542279</v>
      </c>
      <c r="L552" s="1372">
        <v>0</v>
      </c>
      <c r="M552" s="1372">
        <f t="shared" si="225"/>
        <v>12.609917384758742</v>
      </c>
      <c r="N552" s="1458">
        <f>M552-$M$551</f>
        <v>1.8149722839898565</v>
      </c>
      <c r="O552" s="1429"/>
      <c r="P552" s="1430"/>
      <c r="Q552" s="1430"/>
      <c r="R552" s="1430"/>
      <c r="S552" s="1430"/>
      <c r="T552" s="1430"/>
      <c r="U552" s="1430"/>
      <c r="V552" s="1679"/>
      <c r="W552" s="1366"/>
      <c r="X552" s="1366"/>
      <c r="Y552" s="1366"/>
      <c r="Z552" s="1366"/>
      <c r="AA552" s="1366"/>
      <c r="AB552" s="1366"/>
      <c r="AC552" s="1366"/>
      <c r="AD552" s="1366"/>
      <c r="AE552" s="1366"/>
      <c r="AF552" s="1366"/>
      <c r="AG552" s="1366"/>
      <c r="AH552" s="1366"/>
      <c r="AI552" s="1366"/>
      <c r="AJ552" s="1366"/>
      <c r="AK552" s="1366"/>
      <c r="AL552" s="1366"/>
      <c r="AM552" s="1366"/>
      <c r="AN552" s="1366"/>
      <c r="AO552" s="1366"/>
      <c r="AP552" s="1366"/>
      <c r="AQ552" s="1366"/>
      <c r="AR552" s="1366"/>
      <c r="AS552" s="1366"/>
      <c r="AT552" s="1366"/>
      <c r="AU552" s="1366"/>
      <c r="AV552" s="1366"/>
      <c r="AW552" s="1366"/>
      <c r="AX552" s="1366"/>
      <c r="AY552" s="1366"/>
      <c r="AZ552" s="1366"/>
      <c r="BA552" s="1366"/>
      <c r="BB552" s="1366"/>
      <c r="BC552" s="1366"/>
      <c r="BD552" s="1366"/>
      <c r="BE552" s="1366"/>
      <c r="BF552" s="1366"/>
      <c r="BG552" s="1366"/>
      <c r="BH552" s="1366"/>
      <c r="BI552" s="1366"/>
      <c r="BJ552" s="1366"/>
      <c r="BK552" s="1366"/>
      <c r="BL552" s="1366"/>
      <c r="BM552" s="1366"/>
      <c r="BN552" s="1366"/>
      <c r="BO552" s="1366"/>
      <c r="BP552" s="1366"/>
      <c r="BQ552" s="1366"/>
      <c r="BR552" s="1366"/>
      <c r="BS552" s="1366"/>
      <c r="BT552" s="1366"/>
      <c r="BU552" s="1366"/>
      <c r="BV552" s="1366"/>
      <c r="BW552" s="1366"/>
      <c r="BX552" s="1366"/>
      <c r="BY552" s="1366"/>
      <c r="BZ552" s="1366"/>
      <c r="CA552" s="1366"/>
      <c r="CB552" s="1366"/>
      <c r="CC552" s="1366"/>
      <c r="CD552" s="1366"/>
      <c r="CE552" s="1366"/>
      <c r="CF552" s="1366"/>
      <c r="CG552" s="1366"/>
      <c r="CH552" s="1366"/>
      <c r="CI552" s="1366"/>
      <c r="CJ552" s="1366"/>
      <c r="CK552" s="1366"/>
      <c r="CL552" s="1366"/>
      <c r="CM552" s="1366"/>
      <c r="CN552" s="1366"/>
      <c r="CO552" s="1366"/>
      <c r="CP552" s="1366"/>
      <c r="CQ552" s="1366"/>
      <c r="CR552" s="1366"/>
      <c r="CS552" s="1366"/>
      <c r="CT552" s="1366"/>
      <c r="CU552" s="1366"/>
      <c r="CV552" s="1366"/>
      <c r="CW552" s="1366"/>
      <c r="CX552" s="1366"/>
      <c r="CY552" s="1366"/>
      <c r="CZ552" s="1366"/>
      <c r="DA552" s="1366"/>
      <c r="DB552" s="1366"/>
      <c r="DC552" s="1366"/>
      <c r="DD552" s="1366"/>
      <c r="DE552" s="1366"/>
      <c r="DF552" s="1366"/>
      <c r="DG552" s="1366"/>
      <c r="DH552" s="1366"/>
      <c r="DI552" s="1366"/>
      <c r="DJ552" s="1366"/>
      <c r="DK552" s="1366"/>
      <c r="DL552" s="1366"/>
      <c r="DM552" s="1366"/>
      <c r="DN552" s="1366"/>
      <c r="DO552" s="1366"/>
      <c r="DP552" s="1366"/>
      <c r="DQ552" s="1366"/>
      <c r="DR552" s="1366"/>
      <c r="DS552" s="1366"/>
      <c r="DT552" s="1366"/>
      <c r="DU552" s="1366"/>
      <c r="DV552" s="1366"/>
    </row>
    <row r="553" spans="1:126" s="1367" customFormat="1" ht="30">
      <c r="A553" s="2530"/>
      <c r="B553" s="1653">
        <v>248</v>
      </c>
      <c r="C553" s="1638" t="s">
        <v>49</v>
      </c>
      <c r="D553" s="1375" t="s">
        <v>2403</v>
      </c>
      <c r="E553" s="1364" t="s">
        <v>2097</v>
      </c>
      <c r="F553" s="1364" t="s">
        <v>2107</v>
      </c>
      <c r="G553" s="506" t="s">
        <v>1907</v>
      </c>
      <c r="H553" s="1361">
        <f>(18*'Equipment Results Matrix'!$R$1064)+'Equipment Results Matrix'!$R$1050+'Equipment Results Matrix'!$R$1056+'Equipment Results Matrix'!$R$1059+'Equipment Results Matrix'!$R$1060+'Equipment Results Matrix'!$R$1063+'Equipment Results Matrix'!$T$1057</f>
        <v>8.2770715487045141</v>
      </c>
      <c r="I553" s="1371">
        <f>'Labor Results Matrix'!$E$558</f>
        <v>6.2E-2</v>
      </c>
      <c r="J553" s="1372">
        <f>'Labor Results Matrix'!$G$558*(1+'Labor Results Matrix'!$K$558)</f>
        <v>72.260416710552065</v>
      </c>
      <c r="K553" s="1372">
        <f t="shared" si="231"/>
        <v>4.4801458360542279</v>
      </c>
      <c r="L553" s="1372">
        <v>0</v>
      </c>
      <c r="M553" s="1372">
        <f t="shared" si="225"/>
        <v>12.757217384758743</v>
      </c>
      <c r="N553" s="1458">
        <f>M553-$M$551</f>
        <v>1.9622722839898579</v>
      </c>
      <c r="O553" s="1429"/>
      <c r="P553" s="1430"/>
      <c r="Q553" s="1430"/>
      <c r="R553" s="1430"/>
      <c r="S553" s="1430"/>
      <c r="T553" s="1430"/>
      <c r="U553" s="1430"/>
      <c r="V553" s="1679"/>
      <c r="W553" s="1366"/>
      <c r="X553" s="1366"/>
      <c r="Y553" s="1366"/>
      <c r="Z553" s="1366"/>
      <c r="AA553" s="1366"/>
      <c r="AB553" s="1366"/>
      <c r="AC553" s="1366"/>
      <c r="AD553" s="1366"/>
      <c r="AE553" s="1366"/>
      <c r="AF553" s="1366"/>
      <c r="AG553" s="1366"/>
      <c r="AH553" s="1366"/>
      <c r="AI553" s="1366"/>
      <c r="AJ553" s="1366"/>
      <c r="AK553" s="1366"/>
      <c r="AL553" s="1366"/>
      <c r="AM553" s="1366"/>
      <c r="AN553" s="1366"/>
      <c r="AO553" s="1366"/>
      <c r="AP553" s="1366"/>
      <c r="AQ553" s="1366"/>
      <c r="AR553" s="1366"/>
      <c r="AS553" s="1366"/>
      <c r="AT553" s="1366"/>
      <c r="AU553" s="1366"/>
      <c r="AV553" s="1366"/>
      <c r="AW553" s="1366"/>
      <c r="AX553" s="1366"/>
      <c r="AY553" s="1366"/>
      <c r="AZ553" s="1366"/>
      <c r="BA553" s="1366"/>
      <c r="BB553" s="1366"/>
      <c r="BC553" s="1366"/>
      <c r="BD553" s="1366"/>
      <c r="BE553" s="1366"/>
      <c r="BF553" s="1366"/>
      <c r="BG553" s="1366"/>
      <c r="BH553" s="1366"/>
      <c r="BI553" s="1366"/>
      <c r="BJ553" s="1366"/>
      <c r="BK553" s="1366"/>
      <c r="BL553" s="1366"/>
      <c r="BM553" s="1366"/>
      <c r="BN553" s="1366"/>
      <c r="BO553" s="1366"/>
      <c r="BP553" s="1366"/>
      <c r="BQ553" s="1366"/>
      <c r="BR553" s="1366"/>
      <c r="BS553" s="1366"/>
      <c r="BT553" s="1366"/>
      <c r="BU553" s="1366"/>
      <c r="BV553" s="1366"/>
      <c r="BW553" s="1366"/>
      <c r="BX553" s="1366"/>
      <c r="BY553" s="1366"/>
      <c r="BZ553" s="1366"/>
      <c r="CA553" s="1366"/>
      <c r="CB553" s="1366"/>
      <c r="CC553" s="1366"/>
      <c r="CD553" s="1366"/>
      <c r="CE553" s="1366"/>
      <c r="CF553" s="1366"/>
      <c r="CG553" s="1366"/>
      <c r="CH553" s="1366"/>
      <c r="CI553" s="1366"/>
      <c r="CJ553" s="1366"/>
      <c r="CK553" s="1366"/>
      <c r="CL553" s="1366"/>
      <c r="CM553" s="1366"/>
      <c r="CN553" s="1366"/>
      <c r="CO553" s="1366"/>
      <c r="CP553" s="1366"/>
      <c r="CQ553" s="1366"/>
      <c r="CR553" s="1366"/>
      <c r="CS553" s="1366"/>
      <c r="CT553" s="1366"/>
      <c r="CU553" s="1366"/>
      <c r="CV553" s="1366"/>
      <c r="CW553" s="1366"/>
      <c r="CX553" s="1366"/>
      <c r="CY553" s="1366"/>
      <c r="CZ553" s="1366"/>
      <c r="DA553" s="1366"/>
      <c r="DB553" s="1366"/>
      <c r="DC553" s="1366"/>
      <c r="DD553" s="1366"/>
      <c r="DE553" s="1366"/>
      <c r="DF553" s="1366"/>
      <c r="DG553" s="1366"/>
      <c r="DH553" s="1366"/>
      <c r="DI553" s="1366"/>
      <c r="DJ553" s="1366"/>
      <c r="DK553" s="1366"/>
      <c r="DL553" s="1366"/>
      <c r="DM553" s="1366"/>
      <c r="DN553" s="1366"/>
      <c r="DO553" s="1366"/>
      <c r="DP553" s="1366"/>
      <c r="DQ553" s="1366"/>
      <c r="DR553" s="1366"/>
      <c r="DS553" s="1366"/>
      <c r="DT553" s="1366"/>
      <c r="DU553" s="1366"/>
      <c r="DV553" s="1366"/>
    </row>
    <row r="554" spans="1:126" s="1367" customFormat="1" ht="30">
      <c r="A554" s="2530"/>
      <c r="B554" s="1653">
        <v>249</v>
      </c>
      <c r="C554" s="1638" t="s">
        <v>49</v>
      </c>
      <c r="D554" s="1375" t="s">
        <v>2404</v>
      </c>
      <c r="E554" s="1364" t="s">
        <v>2097</v>
      </c>
      <c r="F554" s="1364" t="s">
        <v>2107</v>
      </c>
      <c r="G554" s="506" t="s">
        <v>1907</v>
      </c>
      <c r="H554" s="1361">
        <f>(19*'Equipment Results Matrix'!$R$1064)+'Equipment Results Matrix'!$R$1050+'Equipment Results Matrix'!$R$1056+'Equipment Results Matrix'!$R$1059+'Equipment Results Matrix'!$R$1060+'Equipment Results Matrix'!$R$1063+'Equipment Results Matrix'!$T$1057</f>
        <v>8.4243715487045137</v>
      </c>
      <c r="I554" s="1371">
        <f>'Labor Results Matrix'!$E$558</f>
        <v>6.2E-2</v>
      </c>
      <c r="J554" s="1372">
        <f>'Labor Results Matrix'!$G$558*(1+'Labor Results Matrix'!$K$558)</f>
        <v>72.260416710552065</v>
      </c>
      <c r="K554" s="1372">
        <f t="shared" si="231"/>
        <v>4.4801458360542279</v>
      </c>
      <c r="L554" s="1372">
        <v>0</v>
      </c>
      <c r="M554" s="1372">
        <f t="shared" si="225"/>
        <v>12.904517384758741</v>
      </c>
      <c r="N554" s="1458">
        <f>M554-$M$551</f>
        <v>2.1095722839898556</v>
      </c>
      <c r="O554" s="1429"/>
      <c r="P554" s="1430"/>
      <c r="Q554" s="1430"/>
      <c r="R554" s="1430"/>
      <c r="S554" s="1430"/>
      <c r="T554" s="1430"/>
      <c r="U554" s="1430"/>
      <c r="V554" s="1679"/>
      <c r="W554" s="1366"/>
      <c r="X554" s="1366"/>
      <c r="Y554" s="1366"/>
      <c r="Z554" s="1366"/>
      <c r="AA554" s="1366"/>
      <c r="AB554" s="1366"/>
      <c r="AC554" s="1366"/>
      <c r="AD554" s="1366"/>
      <c r="AE554" s="1366"/>
      <c r="AF554" s="1366"/>
      <c r="AG554" s="1366"/>
      <c r="AH554" s="1366"/>
      <c r="AI554" s="1366"/>
      <c r="AJ554" s="1366"/>
      <c r="AK554" s="1366"/>
      <c r="AL554" s="1366"/>
      <c r="AM554" s="1366"/>
      <c r="AN554" s="1366"/>
      <c r="AO554" s="1366"/>
      <c r="AP554" s="1366"/>
      <c r="AQ554" s="1366"/>
      <c r="AR554" s="1366"/>
      <c r="AS554" s="1366"/>
      <c r="AT554" s="1366"/>
      <c r="AU554" s="1366"/>
      <c r="AV554" s="1366"/>
      <c r="AW554" s="1366"/>
      <c r="AX554" s="1366"/>
      <c r="AY554" s="1366"/>
      <c r="AZ554" s="1366"/>
      <c r="BA554" s="1366"/>
      <c r="BB554" s="1366"/>
      <c r="BC554" s="1366"/>
      <c r="BD554" s="1366"/>
      <c r="BE554" s="1366"/>
      <c r="BF554" s="1366"/>
      <c r="BG554" s="1366"/>
      <c r="BH554" s="1366"/>
      <c r="BI554" s="1366"/>
      <c r="BJ554" s="1366"/>
      <c r="BK554" s="1366"/>
      <c r="BL554" s="1366"/>
      <c r="BM554" s="1366"/>
      <c r="BN554" s="1366"/>
      <c r="BO554" s="1366"/>
      <c r="BP554" s="1366"/>
      <c r="BQ554" s="1366"/>
      <c r="BR554" s="1366"/>
      <c r="BS554" s="1366"/>
      <c r="BT554" s="1366"/>
      <c r="BU554" s="1366"/>
      <c r="BV554" s="1366"/>
      <c r="BW554" s="1366"/>
      <c r="BX554" s="1366"/>
      <c r="BY554" s="1366"/>
      <c r="BZ554" s="1366"/>
      <c r="CA554" s="1366"/>
      <c r="CB554" s="1366"/>
      <c r="CC554" s="1366"/>
      <c r="CD554" s="1366"/>
      <c r="CE554" s="1366"/>
      <c r="CF554" s="1366"/>
      <c r="CG554" s="1366"/>
      <c r="CH554" s="1366"/>
      <c r="CI554" s="1366"/>
      <c r="CJ554" s="1366"/>
      <c r="CK554" s="1366"/>
      <c r="CL554" s="1366"/>
      <c r="CM554" s="1366"/>
      <c r="CN554" s="1366"/>
      <c r="CO554" s="1366"/>
      <c r="CP554" s="1366"/>
      <c r="CQ554" s="1366"/>
      <c r="CR554" s="1366"/>
      <c r="CS554" s="1366"/>
      <c r="CT554" s="1366"/>
      <c r="CU554" s="1366"/>
      <c r="CV554" s="1366"/>
      <c r="CW554" s="1366"/>
      <c r="CX554" s="1366"/>
      <c r="CY554" s="1366"/>
      <c r="CZ554" s="1366"/>
      <c r="DA554" s="1366"/>
      <c r="DB554" s="1366"/>
      <c r="DC554" s="1366"/>
      <c r="DD554" s="1366"/>
      <c r="DE554" s="1366"/>
      <c r="DF554" s="1366"/>
      <c r="DG554" s="1366"/>
      <c r="DH554" s="1366"/>
      <c r="DI554" s="1366"/>
      <c r="DJ554" s="1366"/>
      <c r="DK554" s="1366"/>
      <c r="DL554" s="1366"/>
      <c r="DM554" s="1366"/>
      <c r="DN554" s="1366"/>
      <c r="DO554" s="1366"/>
      <c r="DP554" s="1366"/>
      <c r="DQ554" s="1366"/>
      <c r="DR554" s="1366"/>
      <c r="DS554" s="1366"/>
      <c r="DT554" s="1366"/>
      <c r="DU554" s="1366"/>
      <c r="DV554" s="1366"/>
    </row>
    <row r="555" spans="1:126" s="1367" customFormat="1" ht="30">
      <c r="A555" s="2530"/>
      <c r="B555" s="1656" t="s">
        <v>2427</v>
      </c>
      <c r="C555" s="1638" t="s">
        <v>47</v>
      </c>
      <c r="D555" s="1381" t="s">
        <v>2406</v>
      </c>
      <c r="E555" s="1364" t="s">
        <v>2097</v>
      </c>
      <c r="F555" s="1364" t="s">
        <v>2107</v>
      </c>
      <c r="G555" s="506" t="s">
        <v>1907</v>
      </c>
      <c r="H555" s="1361">
        <f>(90*'Equipment Results Matrix'!$R$995)+(2*'Equipment Results Matrix'!$R$994)+'Equipment Results Matrix'!$R$982+'Equipment Results Matrix'!$R$988+'Equipment Results Matrix'!$R$990+'Equipment Results Matrix'!$R$992+'Equipment Results Matrix'!$T$989</f>
        <v>6.4707992647146568</v>
      </c>
      <c r="I555" s="1371">
        <f>'Labor Results Matrix'!$E$490</f>
        <v>6.2E-2</v>
      </c>
      <c r="J555" s="1372">
        <f>'Labor Results Matrix'!$G$490*(1+'Labor Results Matrix'!$K$490)</f>
        <v>72.260416710552065</v>
      </c>
      <c r="K555" s="1372">
        <f>I555*J555</f>
        <v>4.4801458360542279</v>
      </c>
      <c r="L555" s="1372">
        <v>0</v>
      </c>
      <c r="M555" s="1372">
        <f t="shared" si="225"/>
        <v>10.950945100768884</v>
      </c>
      <c r="N555" s="1455" t="s">
        <v>40</v>
      </c>
      <c r="O555" s="1429"/>
      <c r="P555" s="1430"/>
      <c r="Q555" s="1430"/>
      <c r="R555" s="1430"/>
      <c r="S555" s="1430"/>
      <c r="T555" s="1430"/>
      <c r="U555" s="1430"/>
      <c r="V555" s="1679"/>
      <c r="W555" s="1366"/>
      <c r="X555" s="1366"/>
      <c r="Y555" s="1366"/>
      <c r="Z555" s="1366"/>
      <c r="AA555" s="1366"/>
      <c r="AB555" s="1366"/>
      <c r="AC555" s="1366"/>
      <c r="AD555" s="1366"/>
      <c r="AE555" s="1366"/>
      <c r="AF555" s="1366"/>
      <c r="AG555" s="1366"/>
      <c r="AH555" s="1366"/>
      <c r="AI555" s="1366"/>
      <c r="AJ555" s="1366"/>
      <c r="AK555" s="1366"/>
      <c r="AL555" s="1366"/>
      <c r="AM555" s="1366"/>
      <c r="AN555" s="1366"/>
      <c r="AO555" s="1366"/>
      <c r="AP555" s="1366"/>
      <c r="AQ555" s="1366"/>
      <c r="AR555" s="1366"/>
      <c r="AS555" s="1366"/>
      <c r="AT555" s="1366"/>
      <c r="AU555" s="1366"/>
      <c r="AV555" s="1366"/>
      <c r="AW555" s="1366"/>
      <c r="AX555" s="1366"/>
      <c r="AY555" s="1366"/>
      <c r="AZ555" s="1366"/>
      <c r="BA555" s="1366"/>
      <c r="BB555" s="1366"/>
      <c r="BC555" s="1366"/>
      <c r="BD555" s="1366"/>
      <c r="BE555" s="1366"/>
      <c r="BF555" s="1366"/>
      <c r="BG555" s="1366"/>
      <c r="BH555" s="1366"/>
      <c r="BI555" s="1366"/>
      <c r="BJ555" s="1366"/>
      <c r="BK555" s="1366"/>
      <c r="BL555" s="1366"/>
      <c r="BM555" s="1366"/>
      <c r="BN555" s="1366"/>
      <c r="BO555" s="1366"/>
      <c r="BP555" s="1366"/>
      <c r="BQ555" s="1366"/>
      <c r="BR555" s="1366"/>
      <c r="BS555" s="1366"/>
      <c r="BT555" s="1366"/>
      <c r="BU555" s="1366"/>
      <c r="BV555" s="1366"/>
      <c r="BW555" s="1366"/>
      <c r="BX555" s="1366"/>
      <c r="BY555" s="1366"/>
      <c r="BZ555" s="1366"/>
      <c r="CA555" s="1366"/>
      <c r="CB555" s="1366"/>
      <c r="CC555" s="1366"/>
      <c r="CD555" s="1366"/>
      <c r="CE555" s="1366"/>
      <c r="CF555" s="1366"/>
      <c r="CG555" s="1366"/>
      <c r="CH555" s="1366"/>
      <c r="CI555" s="1366"/>
      <c r="CJ555" s="1366"/>
      <c r="CK555" s="1366"/>
      <c r="CL555" s="1366"/>
      <c r="CM555" s="1366"/>
      <c r="CN555" s="1366"/>
      <c r="CO555" s="1366"/>
      <c r="CP555" s="1366"/>
      <c r="CQ555" s="1366"/>
      <c r="CR555" s="1366"/>
      <c r="CS555" s="1366"/>
      <c r="CT555" s="1366"/>
      <c r="CU555" s="1366"/>
      <c r="CV555" s="1366"/>
      <c r="CW555" s="1366"/>
      <c r="CX555" s="1366"/>
      <c r="CY555" s="1366"/>
      <c r="CZ555" s="1366"/>
      <c r="DA555" s="1366"/>
      <c r="DB555" s="1366"/>
      <c r="DC555" s="1366"/>
      <c r="DD555" s="1366"/>
      <c r="DE555" s="1366"/>
      <c r="DF555" s="1366"/>
      <c r="DG555" s="1366"/>
      <c r="DH555" s="1366"/>
      <c r="DI555" s="1366"/>
      <c r="DJ555" s="1366"/>
      <c r="DK555" s="1366"/>
      <c r="DL555" s="1366"/>
      <c r="DM555" s="1366"/>
      <c r="DN555" s="1366"/>
      <c r="DO555" s="1366"/>
      <c r="DP555" s="1366"/>
      <c r="DQ555" s="1366"/>
      <c r="DR555" s="1366"/>
      <c r="DS555" s="1366"/>
      <c r="DT555" s="1366"/>
      <c r="DU555" s="1366"/>
      <c r="DV555" s="1366"/>
    </row>
    <row r="556" spans="1:126" s="1367" customFormat="1" ht="30">
      <c r="A556" s="2530"/>
      <c r="B556" s="1653">
        <v>251</v>
      </c>
      <c r="C556" s="1638" t="s">
        <v>49</v>
      </c>
      <c r="D556" s="1375" t="s">
        <v>2407</v>
      </c>
      <c r="E556" s="1364" t="s">
        <v>2097</v>
      </c>
      <c r="F556" s="1364" t="s">
        <v>2107</v>
      </c>
      <c r="G556" s="506" t="s">
        <v>1907</v>
      </c>
      <c r="H556" s="1361">
        <f>(20*'Equipment Results Matrix'!$R$1064)+'Equipment Results Matrix'!$R$1050+'Equipment Results Matrix'!$R$1056+'Equipment Results Matrix'!$R$1059+'Equipment Results Matrix'!$R$1060+'Equipment Results Matrix'!$R$1063+'Equipment Results Matrix'!$T$1057</f>
        <v>8.5716715487045132</v>
      </c>
      <c r="I556" s="1371">
        <f>'Labor Results Matrix'!$E$558</f>
        <v>6.2E-2</v>
      </c>
      <c r="J556" s="1372">
        <f>'Labor Results Matrix'!$G$558*(1+'Labor Results Matrix'!$K$558)</f>
        <v>72.260416710552065</v>
      </c>
      <c r="K556" s="1372">
        <f t="shared" ref="K556:K561" si="232">I556*J556</f>
        <v>4.4801458360542279</v>
      </c>
      <c r="L556" s="1372">
        <v>0</v>
      </c>
      <c r="M556" s="1372">
        <f t="shared" si="225"/>
        <v>13.051817384758742</v>
      </c>
      <c r="N556" s="1458">
        <f t="shared" ref="N556:N561" si="233">M556-$M$555</f>
        <v>2.1008722839898581</v>
      </c>
      <c r="O556" s="1429"/>
      <c r="P556" s="1430"/>
      <c r="Q556" s="1430"/>
      <c r="R556" s="1430"/>
      <c r="S556" s="1430"/>
      <c r="T556" s="1430"/>
      <c r="U556" s="1430"/>
      <c r="V556" s="1679"/>
      <c r="W556" s="1366"/>
      <c r="X556" s="1366"/>
      <c r="Y556" s="1366"/>
      <c r="Z556" s="1366"/>
      <c r="AA556" s="1366"/>
      <c r="AB556" s="1366"/>
      <c r="AC556" s="1366"/>
      <c r="AD556" s="1366"/>
      <c r="AE556" s="1366"/>
      <c r="AF556" s="1366"/>
      <c r="AG556" s="1366"/>
      <c r="AH556" s="1366"/>
      <c r="AI556" s="1366"/>
      <c r="AJ556" s="1366"/>
      <c r="AK556" s="1366"/>
      <c r="AL556" s="1366"/>
      <c r="AM556" s="1366"/>
      <c r="AN556" s="1366"/>
      <c r="AO556" s="1366"/>
      <c r="AP556" s="1366"/>
      <c r="AQ556" s="1366"/>
      <c r="AR556" s="1366"/>
      <c r="AS556" s="1366"/>
      <c r="AT556" s="1366"/>
      <c r="AU556" s="1366"/>
      <c r="AV556" s="1366"/>
      <c r="AW556" s="1366"/>
      <c r="AX556" s="1366"/>
      <c r="AY556" s="1366"/>
      <c r="AZ556" s="1366"/>
      <c r="BA556" s="1366"/>
      <c r="BB556" s="1366"/>
      <c r="BC556" s="1366"/>
      <c r="BD556" s="1366"/>
      <c r="BE556" s="1366"/>
      <c r="BF556" s="1366"/>
      <c r="BG556" s="1366"/>
      <c r="BH556" s="1366"/>
      <c r="BI556" s="1366"/>
      <c r="BJ556" s="1366"/>
      <c r="BK556" s="1366"/>
      <c r="BL556" s="1366"/>
      <c r="BM556" s="1366"/>
      <c r="BN556" s="1366"/>
      <c r="BO556" s="1366"/>
      <c r="BP556" s="1366"/>
      <c r="BQ556" s="1366"/>
      <c r="BR556" s="1366"/>
      <c r="BS556" s="1366"/>
      <c r="BT556" s="1366"/>
      <c r="BU556" s="1366"/>
      <c r="BV556" s="1366"/>
      <c r="BW556" s="1366"/>
      <c r="BX556" s="1366"/>
      <c r="BY556" s="1366"/>
      <c r="BZ556" s="1366"/>
      <c r="CA556" s="1366"/>
      <c r="CB556" s="1366"/>
      <c r="CC556" s="1366"/>
      <c r="CD556" s="1366"/>
      <c r="CE556" s="1366"/>
      <c r="CF556" s="1366"/>
      <c r="CG556" s="1366"/>
      <c r="CH556" s="1366"/>
      <c r="CI556" s="1366"/>
      <c r="CJ556" s="1366"/>
      <c r="CK556" s="1366"/>
      <c r="CL556" s="1366"/>
      <c r="CM556" s="1366"/>
      <c r="CN556" s="1366"/>
      <c r="CO556" s="1366"/>
      <c r="CP556" s="1366"/>
      <c r="CQ556" s="1366"/>
      <c r="CR556" s="1366"/>
      <c r="CS556" s="1366"/>
      <c r="CT556" s="1366"/>
      <c r="CU556" s="1366"/>
      <c r="CV556" s="1366"/>
      <c r="CW556" s="1366"/>
      <c r="CX556" s="1366"/>
      <c r="CY556" s="1366"/>
      <c r="CZ556" s="1366"/>
      <c r="DA556" s="1366"/>
      <c r="DB556" s="1366"/>
      <c r="DC556" s="1366"/>
      <c r="DD556" s="1366"/>
      <c r="DE556" s="1366"/>
      <c r="DF556" s="1366"/>
      <c r="DG556" s="1366"/>
      <c r="DH556" s="1366"/>
      <c r="DI556" s="1366"/>
      <c r="DJ556" s="1366"/>
      <c r="DK556" s="1366"/>
      <c r="DL556" s="1366"/>
      <c r="DM556" s="1366"/>
      <c r="DN556" s="1366"/>
      <c r="DO556" s="1366"/>
      <c r="DP556" s="1366"/>
      <c r="DQ556" s="1366"/>
      <c r="DR556" s="1366"/>
      <c r="DS556" s="1366"/>
      <c r="DT556" s="1366"/>
      <c r="DU556" s="1366"/>
      <c r="DV556" s="1366"/>
    </row>
    <row r="557" spans="1:126" s="1367" customFormat="1" ht="30">
      <c r="A557" s="2530"/>
      <c r="B557" s="1653">
        <v>252</v>
      </c>
      <c r="C557" s="1638" t="s">
        <v>49</v>
      </c>
      <c r="D557" s="1375" t="s">
        <v>2408</v>
      </c>
      <c r="E557" s="1364" t="s">
        <v>2097</v>
      </c>
      <c r="F557" s="1364" t="s">
        <v>2107</v>
      </c>
      <c r="G557" s="506" t="s">
        <v>1907</v>
      </c>
      <c r="H557" s="1361">
        <f>(21*'Equipment Results Matrix'!$R$1064)+'Equipment Results Matrix'!$R$1050+'Equipment Results Matrix'!$R$1056+'Equipment Results Matrix'!$R$1059+'Equipment Results Matrix'!$R$1060+'Equipment Results Matrix'!$R$1063+'Equipment Results Matrix'!$T$1057</f>
        <v>8.7189715487045127</v>
      </c>
      <c r="I557" s="1371">
        <f>'Labor Results Matrix'!$E$558</f>
        <v>6.2E-2</v>
      </c>
      <c r="J557" s="1372">
        <f>'Labor Results Matrix'!$G$558*(1+'Labor Results Matrix'!$K$558)</f>
        <v>72.260416710552065</v>
      </c>
      <c r="K557" s="1372">
        <f t="shared" si="232"/>
        <v>4.4801458360542279</v>
      </c>
      <c r="L557" s="1372">
        <v>0</v>
      </c>
      <c r="M557" s="1372">
        <f t="shared" si="225"/>
        <v>13.19911738475874</v>
      </c>
      <c r="N557" s="1458">
        <f t="shared" si="233"/>
        <v>2.2481722839898559</v>
      </c>
      <c r="O557" s="1429"/>
      <c r="P557" s="1430"/>
      <c r="Q557" s="1430"/>
      <c r="R557" s="1430"/>
      <c r="S557" s="1430"/>
      <c r="T557" s="1430"/>
      <c r="U557" s="1430"/>
      <c r="V557" s="1679"/>
      <c r="W557" s="1366"/>
      <c r="X557" s="1366"/>
      <c r="Y557" s="1366"/>
      <c r="Z557" s="1366"/>
      <c r="AA557" s="1366"/>
      <c r="AB557" s="1366"/>
      <c r="AC557" s="1366"/>
      <c r="AD557" s="1366"/>
      <c r="AE557" s="1366"/>
      <c r="AF557" s="1366"/>
      <c r="AG557" s="1366"/>
      <c r="AH557" s="1366"/>
      <c r="AI557" s="1366"/>
      <c r="AJ557" s="1366"/>
      <c r="AK557" s="1366"/>
      <c r="AL557" s="1366"/>
      <c r="AM557" s="1366"/>
      <c r="AN557" s="1366"/>
      <c r="AO557" s="1366"/>
      <c r="AP557" s="1366"/>
      <c r="AQ557" s="1366"/>
      <c r="AR557" s="1366"/>
      <c r="AS557" s="1366"/>
      <c r="AT557" s="1366"/>
      <c r="AU557" s="1366"/>
      <c r="AV557" s="1366"/>
      <c r="AW557" s="1366"/>
      <c r="AX557" s="1366"/>
      <c r="AY557" s="1366"/>
      <c r="AZ557" s="1366"/>
      <c r="BA557" s="1366"/>
      <c r="BB557" s="1366"/>
      <c r="BC557" s="1366"/>
      <c r="BD557" s="1366"/>
      <c r="BE557" s="1366"/>
      <c r="BF557" s="1366"/>
      <c r="BG557" s="1366"/>
      <c r="BH557" s="1366"/>
      <c r="BI557" s="1366"/>
      <c r="BJ557" s="1366"/>
      <c r="BK557" s="1366"/>
      <c r="BL557" s="1366"/>
      <c r="BM557" s="1366"/>
      <c r="BN557" s="1366"/>
      <c r="BO557" s="1366"/>
      <c r="BP557" s="1366"/>
      <c r="BQ557" s="1366"/>
      <c r="BR557" s="1366"/>
      <c r="BS557" s="1366"/>
      <c r="BT557" s="1366"/>
      <c r="BU557" s="1366"/>
      <c r="BV557" s="1366"/>
      <c r="BW557" s="1366"/>
      <c r="BX557" s="1366"/>
      <c r="BY557" s="1366"/>
      <c r="BZ557" s="1366"/>
      <c r="CA557" s="1366"/>
      <c r="CB557" s="1366"/>
      <c r="CC557" s="1366"/>
      <c r="CD557" s="1366"/>
      <c r="CE557" s="1366"/>
      <c r="CF557" s="1366"/>
      <c r="CG557" s="1366"/>
      <c r="CH557" s="1366"/>
      <c r="CI557" s="1366"/>
      <c r="CJ557" s="1366"/>
      <c r="CK557" s="1366"/>
      <c r="CL557" s="1366"/>
      <c r="CM557" s="1366"/>
      <c r="CN557" s="1366"/>
      <c r="CO557" s="1366"/>
      <c r="CP557" s="1366"/>
      <c r="CQ557" s="1366"/>
      <c r="CR557" s="1366"/>
      <c r="CS557" s="1366"/>
      <c r="CT557" s="1366"/>
      <c r="CU557" s="1366"/>
      <c r="CV557" s="1366"/>
      <c r="CW557" s="1366"/>
      <c r="CX557" s="1366"/>
      <c r="CY557" s="1366"/>
      <c r="CZ557" s="1366"/>
      <c r="DA557" s="1366"/>
      <c r="DB557" s="1366"/>
      <c r="DC557" s="1366"/>
      <c r="DD557" s="1366"/>
      <c r="DE557" s="1366"/>
      <c r="DF557" s="1366"/>
      <c r="DG557" s="1366"/>
      <c r="DH557" s="1366"/>
      <c r="DI557" s="1366"/>
      <c r="DJ557" s="1366"/>
      <c r="DK557" s="1366"/>
      <c r="DL557" s="1366"/>
      <c r="DM557" s="1366"/>
      <c r="DN557" s="1366"/>
      <c r="DO557" s="1366"/>
      <c r="DP557" s="1366"/>
      <c r="DQ557" s="1366"/>
      <c r="DR557" s="1366"/>
      <c r="DS557" s="1366"/>
      <c r="DT557" s="1366"/>
      <c r="DU557" s="1366"/>
      <c r="DV557" s="1366"/>
    </row>
    <row r="558" spans="1:126" s="1367" customFormat="1" ht="30.75" thickBot="1">
      <c r="A558" s="2533"/>
      <c r="B558" s="1653">
        <v>253</v>
      </c>
      <c r="C558" s="1638" t="s">
        <v>49</v>
      </c>
      <c r="D558" s="1375" t="s">
        <v>2409</v>
      </c>
      <c r="E558" s="1364" t="s">
        <v>2097</v>
      </c>
      <c r="F558" s="1364" t="s">
        <v>2107</v>
      </c>
      <c r="G558" s="506" t="s">
        <v>1907</v>
      </c>
      <c r="H558" s="1361">
        <f>(22*'Equipment Results Matrix'!$R$1064)+'Equipment Results Matrix'!$R$1050+'Equipment Results Matrix'!$R$1056+'Equipment Results Matrix'!$R$1059+'Equipment Results Matrix'!$R$1060+'Equipment Results Matrix'!$R$1063+'Equipment Results Matrix'!$T$1057</f>
        <v>8.8662715487045141</v>
      </c>
      <c r="I558" s="1371">
        <f>'Labor Results Matrix'!$E$558</f>
        <v>6.2E-2</v>
      </c>
      <c r="J558" s="1372">
        <f>'Labor Results Matrix'!$G$558*(1+'Labor Results Matrix'!$K$558)</f>
        <v>72.260416710552065</v>
      </c>
      <c r="K558" s="1372">
        <f t="shared" si="232"/>
        <v>4.4801458360542279</v>
      </c>
      <c r="L558" s="1372">
        <v>0</v>
      </c>
      <c r="M558" s="1372">
        <f t="shared" si="225"/>
        <v>13.346417384758741</v>
      </c>
      <c r="N558" s="1458">
        <f t="shared" si="233"/>
        <v>2.3954722839898572</v>
      </c>
      <c r="O558" s="1429"/>
      <c r="P558" s="1430"/>
      <c r="Q558" s="1430"/>
      <c r="R558" s="1430"/>
      <c r="S558" s="1430"/>
      <c r="T558" s="1430"/>
      <c r="U558" s="1430"/>
      <c r="V558" s="1679"/>
      <c r="W558" s="1366"/>
      <c r="X558" s="1366"/>
      <c r="Y558" s="1366"/>
      <c r="Z558" s="1366"/>
      <c r="AA558" s="1366"/>
      <c r="AB558" s="1366"/>
      <c r="AC558" s="1366"/>
      <c r="AD558" s="1366"/>
      <c r="AE558" s="1366"/>
      <c r="AF558" s="1366"/>
      <c r="AG558" s="1366"/>
      <c r="AH558" s="1366"/>
      <c r="AI558" s="1366"/>
      <c r="AJ558" s="1366"/>
      <c r="AK558" s="1366"/>
      <c r="AL558" s="1366"/>
      <c r="AM558" s="1366"/>
      <c r="AN558" s="1366"/>
      <c r="AO558" s="1366"/>
      <c r="AP558" s="1366"/>
      <c r="AQ558" s="1366"/>
      <c r="AR558" s="1366"/>
      <c r="AS558" s="1366"/>
      <c r="AT558" s="1366"/>
      <c r="AU558" s="1366"/>
      <c r="AV558" s="1366"/>
      <c r="AW558" s="1366"/>
      <c r="AX558" s="1366"/>
      <c r="AY558" s="1366"/>
      <c r="AZ558" s="1366"/>
      <c r="BA558" s="1366"/>
      <c r="BB558" s="1366"/>
      <c r="BC558" s="1366"/>
      <c r="BD558" s="1366"/>
      <c r="BE558" s="1366"/>
      <c r="BF558" s="1366"/>
      <c r="BG558" s="1366"/>
      <c r="BH558" s="1366"/>
      <c r="BI558" s="1366"/>
      <c r="BJ558" s="1366"/>
      <c r="BK558" s="1366"/>
      <c r="BL558" s="1366"/>
      <c r="BM558" s="1366"/>
      <c r="BN558" s="1366"/>
      <c r="BO558" s="1366"/>
      <c r="BP558" s="1366"/>
      <c r="BQ558" s="1366"/>
      <c r="BR558" s="1366"/>
      <c r="BS558" s="1366"/>
      <c r="BT558" s="1366"/>
      <c r="BU558" s="1366"/>
      <c r="BV558" s="1366"/>
      <c r="BW558" s="1366"/>
      <c r="BX558" s="1366"/>
      <c r="BY558" s="1366"/>
      <c r="BZ558" s="1366"/>
      <c r="CA558" s="1366"/>
      <c r="CB558" s="1366"/>
      <c r="CC558" s="1366"/>
      <c r="CD558" s="1366"/>
      <c r="CE558" s="1366"/>
      <c r="CF558" s="1366"/>
      <c r="CG558" s="1366"/>
      <c r="CH558" s="1366"/>
      <c r="CI558" s="1366"/>
      <c r="CJ558" s="1366"/>
      <c r="CK558" s="1366"/>
      <c r="CL558" s="1366"/>
      <c r="CM558" s="1366"/>
      <c r="CN558" s="1366"/>
      <c r="CO558" s="1366"/>
      <c r="CP558" s="1366"/>
      <c r="CQ558" s="1366"/>
      <c r="CR558" s="1366"/>
      <c r="CS558" s="1366"/>
      <c r="CT558" s="1366"/>
      <c r="CU558" s="1366"/>
      <c r="CV558" s="1366"/>
      <c r="CW558" s="1366"/>
      <c r="CX558" s="1366"/>
      <c r="CY558" s="1366"/>
      <c r="CZ558" s="1366"/>
      <c r="DA558" s="1366"/>
      <c r="DB558" s="1366"/>
      <c r="DC558" s="1366"/>
      <c r="DD558" s="1366"/>
      <c r="DE558" s="1366"/>
      <c r="DF558" s="1366"/>
      <c r="DG558" s="1366"/>
      <c r="DH558" s="1366"/>
      <c r="DI558" s="1366"/>
      <c r="DJ558" s="1366"/>
      <c r="DK558" s="1366"/>
      <c r="DL558" s="1366"/>
      <c r="DM558" s="1366"/>
      <c r="DN558" s="1366"/>
      <c r="DO558" s="1366"/>
      <c r="DP558" s="1366"/>
      <c r="DQ558" s="1366"/>
      <c r="DR558" s="1366"/>
      <c r="DS558" s="1366"/>
      <c r="DT558" s="1366"/>
      <c r="DU558" s="1366"/>
      <c r="DV558" s="1366"/>
    </row>
    <row r="559" spans="1:126" s="1367" customFormat="1" ht="30">
      <c r="A559" s="2529" t="s">
        <v>2486</v>
      </c>
      <c r="B559" s="1653">
        <v>254</v>
      </c>
      <c r="C559" s="1638" t="s">
        <v>49</v>
      </c>
      <c r="D559" s="1375" t="s">
        <v>2410</v>
      </c>
      <c r="E559" s="1364" t="s">
        <v>2097</v>
      </c>
      <c r="F559" s="1364" t="s">
        <v>2107</v>
      </c>
      <c r="G559" s="506" t="s">
        <v>1907</v>
      </c>
      <c r="H559" s="1361">
        <f>(23*'Equipment Results Matrix'!$R$1064)+'Equipment Results Matrix'!$R$1050+'Equipment Results Matrix'!$R$1056+'Equipment Results Matrix'!$R$1059+'Equipment Results Matrix'!$R$1060+'Equipment Results Matrix'!$R$1063+'Equipment Results Matrix'!$T$1057</f>
        <v>9.0135715487045136</v>
      </c>
      <c r="I559" s="1371">
        <f>'Labor Results Matrix'!$E$558</f>
        <v>6.2E-2</v>
      </c>
      <c r="J559" s="1372">
        <f>'Labor Results Matrix'!$G$558*(1+'Labor Results Matrix'!$K$558)</f>
        <v>72.260416710552065</v>
      </c>
      <c r="K559" s="1372">
        <f t="shared" si="232"/>
        <v>4.4801458360542279</v>
      </c>
      <c r="L559" s="1372">
        <v>0</v>
      </c>
      <c r="M559" s="1372">
        <f t="shared" si="225"/>
        <v>13.493717384758742</v>
      </c>
      <c r="N559" s="1458">
        <f t="shared" si="233"/>
        <v>2.5427722839898586</v>
      </c>
      <c r="O559" s="1429"/>
      <c r="P559" s="1430"/>
      <c r="Q559" s="1430"/>
      <c r="R559" s="1430"/>
      <c r="S559" s="1430"/>
      <c r="T559" s="1430"/>
      <c r="U559" s="1430"/>
      <c r="V559" s="1679"/>
      <c r="W559" s="1366"/>
      <c r="X559" s="1366"/>
      <c r="Y559" s="1366"/>
      <c r="Z559" s="1366"/>
      <c r="AA559" s="1366"/>
      <c r="AB559" s="1366"/>
      <c r="AC559" s="1366"/>
      <c r="AD559" s="1366"/>
      <c r="AE559" s="1366"/>
      <c r="AF559" s="1366"/>
      <c r="AG559" s="1366"/>
      <c r="AH559" s="1366"/>
      <c r="AI559" s="1366"/>
      <c r="AJ559" s="1366"/>
      <c r="AK559" s="1366"/>
      <c r="AL559" s="1366"/>
      <c r="AM559" s="1366"/>
      <c r="AN559" s="1366"/>
      <c r="AO559" s="1366"/>
      <c r="AP559" s="1366"/>
      <c r="AQ559" s="1366"/>
      <c r="AR559" s="1366"/>
      <c r="AS559" s="1366"/>
      <c r="AT559" s="1366"/>
      <c r="AU559" s="1366"/>
      <c r="AV559" s="1366"/>
      <c r="AW559" s="1366"/>
      <c r="AX559" s="1366"/>
      <c r="AY559" s="1366"/>
      <c r="AZ559" s="1366"/>
      <c r="BA559" s="1366"/>
      <c r="BB559" s="1366"/>
      <c r="BC559" s="1366"/>
      <c r="BD559" s="1366"/>
      <c r="BE559" s="1366"/>
      <c r="BF559" s="1366"/>
      <c r="BG559" s="1366"/>
      <c r="BH559" s="1366"/>
      <c r="BI559" s="1366"/>
      <c r="BJ559" s="1366"/>
      <c r="BK559" s="1366"/>
      <c r="BL559" s="1366"/>
      <c r="BM559" s="1366"/>
      <c r="BN559" s="1366"/>
      <c r="BO559" s="1366"/>
      <c r="BP559" s="1366"/>
      <c r="BQ559" s="1366"/>
      <c r="BR559" s="1366"/>
      <c r="BS559" s="1366"/>
      <c r="BT559" s="1366"/>
      <c r="BU559" s="1366"/>
      <c r="BV559" s="1366"/>
      <c r="BW559" s="1366"/>
      <c r="BX559" s="1366"/>
      <c r="BY559" s="1366"/>
      <c r="BZ559" s="1366"/>
      <c r="CA559" s="1366"/>
      <c r="CB559" s="1366"/>
      <c r="CC559" s="1366"/>
      <c r="CD559" s="1366"/>
      <c r="CE559" s="1366"/>
      <c r="CF559" s="1366"/>
      <c r="CG559" s="1366"/>
      <c r="CH559" s="1366"/>
      <c r="CI559" s="1366"/>
      <c r="CJ559" s="1366"/>
      <c r="CK559" s="1366"/>
      <c r="CL559" s="1366"/>
      <c r="CM559" s="1366"/>
      <c r="CN559" s="1366"/>
      <c r="CO559" s="1366"/>
      <c r="CP559" s="1366"/>
      <c r="CQ559" s="1366"/>
      <c r="CR559" s="1366"/>
      <c r="CS559" s="1366"/>
      <c r="CT559" s="1366"/>
      <c r="CU559" s="1366"/>
      <c r="CV559" s="1366"/>
      <c r="CW559" s="1366"/>
      <c r="CX559" s="1366"/>
      <c r="CY559" s="1366"/>
      <c r="CZ559" s="1366"/>
      <c r="DA559" s="1366"/>
      <c r="DB559" s="1366"/>
      <c r="DC559" s="1366"/>
      <c r="DD559" s="1366"/>
      <c r="DE559" s="1366"/>
      <c r="DF559" s="1366"/>
      <c r="DG559" s="1366"/>
      <c r="DH559" s="1366"/>
      <c r="DI559" s="1366"/>
      <c r="DJ559" s="1366"/>
      <c r="DK559" s="1366"/>
      <c r="DL559" s="1366"/>
      <c r="DM559" s="1366"/>
      <c r="DN559" s="1366"/>
      <c r="DO559" s="1366"/>
      <c r="DP559" s="1366"/>
      <c r="DQ559" s="1366"/>
      <c r="DR559" s="1366"/>
      <c r="DS559" s="1366"/>
      <c r="DT559" s="1366"/>
      <c r="DU559" s="1366"/>
      <c r="DV559" s="1366"/>
    </row>
    <row r="560" spans="1:126" s="1367" customFormat="1" ht="30">
      <c r="A560" s="2530"/>
      <c r="B560" s="1653">
        <v>255</v>
      </c>
      <c r="C560" s="1638" t="s">
        <v>49</v>
      </c>
      <c r="D560" s="1375" t="s">
        <v>2411</v>
      </c>
      <c r="E560" s="1364" t="s">
        <v>2097</v>
      </c>
      <c r="F560" s="1364" t="s">
        <v>2107</v>
      </c>
      <c r="G560" s="506" t="s">
        <v>1907</v>
      </c>
      <c r="H560" s="1361">
        <f>(24*'Equipment Results Matrix'!$R$1064)+'Equipment Results Matrix'!$R$1050+'Equipment Results Matrix'!$R$1056+'Equipment Results Matrix'!$R$1059+'Equipment Results Matrix'!$R$1060+'Equipment Results Matrix'!$R$1063+'Equipment Results Matrix'!$T$1057</f>
        <v>9.1608715487045131</v>
      </c>
      <c r="I560" s="1371">
        <f>'Labor Results Matrix'!$E$558</f>
        <v>6.2E-2</v>
      </c>
      <c r="J560" s="1372">
        <f>'Labor Results Matrix'!$G$558*(1+'Labor Results Matrix'!$K$558)</f>
        <v>72.260416710552065</v>
      </c>
      <c r="K560" s="1372">
        <f t="shared" si="232"/>
        <v>4.4801458360542279</v>
      </c>
      <c r="L560" s="1372">
        <v>0</v>
      </c>
      <c r="M560" s="1372">
        <f t="shared" si="225"/>
        <v>13.64101738475874</v>
      </c>
      <c r="N560" s="1458">
        <f t="shared" si="233"/>
        <v>2.6900722839898563</v>
      </c>
      <c r="O560" s="1429"/>
      <c r="P560" s="1430"/>
      <c r="Q560" s="1430"/>
      <c r="R560" s="1430"/>
      <c r="S560" s="1430"/>
      <c r="T560" s="1430"/>
      <c r="U560" s="1430"/>
      <c r="V560" s="1679"/>
      <c r="W560" s="1366"/>
      <c r="X560" s="1366"/>
      <c r="Y560" s="1366"/>
      <c r="Z560" s="1366"/>
      <c r="AA560" s="1366"/>
      <c r="AB560" s="1366"/>
      <c r="AC560" s="1366"/>
      <c r="AD560" s="1366"/>
      <c r="AE560" s="1366"/>
      <c r="AF560" s="1366"/>
      <c r="AG560" s="1366"/>
      <c r="AH560" s="1366"/>
      <c r="AI560" s="1366"/>
      <c r="AJ560" s="1366"/>
      <c r="AK560" s="1366"/>
      <c r="AL560" s="1366"/>
      <c r="AM560" s="1366"/>
      <c r="AN560" s="1366"/>
      <c r="AO560" s="1366"/>
      <c r="AP560" s="1366"/>
      <c r="AQ560" s="1366"/>
      <c r="AR560" s="1366"/>
      <c r="AS560" s="1366"/>
      <c r="AT560" s="1366"/>
      <c r="AU560" s="1366"/>
      <c r="AV560" s="1366"/>
      <c r="AW560" s="1366"/>
      <c r="AX560" s="1366"/>
      <c r="AY560" s="1366"/>
      <c r="AZ560" s="1366"/>
      <c r="BA560" s="1366"/>
      <c r="BB560" s="1366"/>
      <c r="BC560" s="1366"/>
      <c r="BD560" s="1366"/>
      <c r="BE560" s="1366"/>
      <c r="BF560" s="1366"/>
      <c r="BG560" s="1366"/>
      <c r="BH560" s="1366"/>
      <c r="BI560" s="1366"/>
      <c r="BJ560" s="1366"/>
      <c r="BK560" s="1366"/>
      <c r="BL560" s="1366"/>
      <c r="BM560" s="1366"/>
      <c r="BN560" s="1366"/>
      <c r="BO560" s="1366"/>
      <c r="BP560" s="1366"/>
      <c r="BQ560" s="1366"/>
      <c r="BR560" s="1366"/>
      <c r="BS560" s="1366"/>
      <c r="BT560" s="1366"/>
      <c r="BU560" s="1366"/>
      <c r="BV560" s="1366"/>
      <c r="BW560" s="1366"/>
      <c r="BX560" s="1366"/>
      <c r="BY560" s="1366"/>
      <c r="BZ560" s="1366"/>
      <c r="CA560" s="1366"/>
      <c r="CB560" s="1366"/>
      <c r="CC560" s="1366"/>
      <c r="CD560" s="1366"/>
      <c r="CE560" s="1366"/>
      <c r="CF560" s="1366"/>
      <c r="CG560" s="1366"/>
      <c r="CH560" s="1366"/>
      <c r="CI560" s="1366"/>
      <c r="CJ560" s="1366"/>
      <c r="CK560" s="1366"/>
      <c r="CL560" s="1366"/>
      <c r="CM560" s="1366"/>
      <c r="CN560" s="1366"/>
      <c r="CO560" s="1366"/>
      <c r="CP560" s="1366"/>
      <c r="CQ560" s="1366"/>
      <c r="CR560" s="1366"/>
      <c r="CS560" s="1366"/>
      <c r="CT560" s="1366"/>
      <c r="CU560" s="1366"/>
      <c r="CV560" s="1366"/>
      <c r="CW560" s="1366"/>
      <c r="CX560" s="1366"/>
      <c r="CY560" s="1366"/>
      <c r="CZ560" s="1366"/>
      <c r="DA560" s="1366"/>
      <c r="DB560" s="1366"/>
      <c r="DC560" s="1366"/>
      <c r="DD560" s="1366"/>
      <c r="DE560" s="1366"/>
      <c r="DF560" s="1366"/>
      <c r="DG560" s="1366"/>
      <c r="DH560" s="1366"/>
      <c r="DI560" s="1366"/>
      <c r="DJ560" s="1366"/>
      <c r="DK560" s="1366"/>
      <c r="DL560" s="1366"/>
      <c r="DM560" s="1366"/>
      <c r="DN560" s="1366"/>
      <c r="DO560" s="1366"/>
      <c r="DP560" s="1366"/>
      <c r="DQ560" s="1366"/>
      <c r="DR560" s="1366"/>
      <c r="DS560" s="1366"/>
      <c r="DT560" s="1366"/>
      <c r="DU560" s="1366"/>
      <c r="DV560" s="1366"/>
    </row>
    <row r="561" spans="1:126" s="1367" customFormat="1" ht="45">
      <c r="A561" s="2530"/>
      <c r="B561" s="1653">
        <v>256</v>
      </c>
      <c r="C561" s="1638" t="s">
        <v>49</v>
      </c>
      <c r="D561" s="1375" t="s">
        <v>2412</v>
      </c>
      <c r="E561" s="1364" t="s">
        <v>2097</v>
      </c>
      <c r="F561" s="1364" t="s">
        <v>2107</v>
      </c>
      <c r="G561" s="506" t="s">
        <v>1907</v>
      </c>
      <c r="H561" s="1361">
        <f>(25*'Equipment Results Matrix'!$R$1064)+'Equipment Results Matrix'!$R$1050+'Equipment Results Matrix'!$R$1056+'Equipment Results Matrix'!$R$1059+'Equipment Results Matrix'!$R$1060+'Equipment Results Matrix'!$R$1063+'Equipment Results Matrix'!$T$1057</f>
        <v>9.3081715487045145</v>
      </c>
      <c r="I561" s="1371">
        <f>'Labor Results Matrix'!$E$558</f>
        <v>6.2E-2</v>
      </c>
      <c r="J561" s="1372">
        <f>'Labor Results Matrix'!$G$558*(1+'Labor Results Matrix'!$K$558)</f>
        <v>72.260416710552065</v>
      </c>
      <c r="K561" s="1372">
        <f t="shared" si="232"/>
        <v>4.4801458360542279</v>
      </c>
      <c r="L561" s="1372">
        <v>0</v>
      </c>
      <c r="M561" s="1372">
        <f t="shared" si="225"/>
        <v>13.788317384758741</v>
      </c>
      <c r="N561" s="1458">
        <f t="shared" si="233"/>
        <v>2.8373722839898576</v>
      </c>
      <c r="O561" s="1429"/>
      <c r="P561" s="1430"/>
      <c r="Q561" s="1430"/>
      <c r="R561" s="1430"/>
      <c r="S561" s="1430"/>
      <c r="T561" s="1430"/>
      <c r="U561" s="1430"/>
      <c r="V561" s="1679"/>
      <c r="W561" s="1366"/>
      <c r="X561" s="1366"/>
      <c r="Y561" s="1366"/>
      <c r="Z561" s="1366"/>
      <c r="AA561" s="1366"/>
      <c r="AB561" s="1366"/>
      <c r="AC561" s="1366"/>
      <c r="AD561" s="1366"/>
      <c r="AE561" s="1366"/>
      <c r="AF561" s="1366"/>
      <c r="AG561" s="1366"/>
      <c r="AH561" s="1366"/>
      <c r="AI561" s="1366"/>
      <c r="AJ561" s="1366"/>
      <c r="AK561" s="1366"/>
      <c r="AL561" s="1366"/>
      <c r="AM561" s="1366"/>
      <c r="AN561" s="1366"/>
      <c r="AO561" s="1366"/>
      <c r="AP561" s="1366"/>
      <c r="AQ561" s="1366"/>
      <c r="AR561" s="1366"/>
      <c r="AS561" s="1366"/>
      <c r="AT561" s="1366"/>
      <c r="AU561" s="1366"/>
      <c r="AV561" s="1366"/>
      <c r="AW561" s="1366"/>
      <c r="AX561" s="1366"/>
      <c r="AY561" s="1366"/>
      <c r="AZ561" s="1366"/>
      <c r="BA561" s="1366"/>
      <c r="BB561" s="1366"/>
      <c r="BC561" s="1366"/>
      <c r="BD561" s="1366"/>
      <c r="BE561" s="1366"/>
      <c r="BF561" s="1366"/>
      <c r="BG561" s="1366"/>
      <c r="BH561" s="1366"/>
      <c r="BI561" s="1366"/>
      <c r="BJ561" s="1366"/>
      <c r="BK561" s="1366"/>
      <c r="BL561" s="1366"/>
      <c r="BM561" s="1366"/>
      <c r="BN561" s="1366"/>
      <c r="BO561" s="1366"/>
      <c r="BP561" s="1366"/>
      <c r="BQ561" s="1366"/>
      <c r="BR561" s="1366"/>
      <c r="BS561" s="1366"/>
      <c r="BT561" s="1366"/>
      <c r="BU561" s="1366"/>
      <c r="BV561" s="1366"/>
      <c r="BW561" s="1366"/>
      <c r="BX561" s="1366"/>
      <c r="BY561" s="1366"/>
      <c r="BZ561" s="1366"/>
      <c r="CA561" s="1366"/>
      <c r="CB561" s="1366"/>
      <c r="CC561" s="1366"/>
      <c r="CD561" s="1366"/>
      <c r="CE561" s="1366"/>
      <c r="CF561" s="1366"/>
      <c r="CG561" s="1366"/>
      <c r="CH561" s="1366"/>
      <c r="CI561" s="1366"/>
      <c r="CJ561" s="1366"/>
      <c r="CK561" s="1366"/>
      <c r="CL561" s="1366"/>
      <c r="CM561" s="1366"/>
      <c r="CN561" s="1366"/>
      <c r="CO561" s="1366"/>
      <c r="CP561" s="1366"/>
      <c r="CQ561" s="1366"/>
      <c r="CR561" s="1366"/>
      <c r="CS561" s="1366"/>
      <c r="CT561" s="1366"/>
      <c r="CU561" s="1366"/>
      <c r="CV561" s="1366"/>
      <c r="CW561" s="1366"/>
      <c r="CX561" s="1366"/>
      <c r="CY561" s="1366"/>
      <c r="CZ561" s="1366"/>
      <c r="DA561" s="1366"/>
      <c r="DB561" s="1366"/>
      <c r="DC561" s="1366"/>
      <c r="DD561" s="1366"/>
      <c r="DE561" s="1366"/>
      <c r="DF561" s="1366"/>
      <c r="DG561" s="1366"/>
      <c r="DH561" s="1366"/>
      <c r="DI561" s="1366"/>
      <c r="DJ561" s="1366"/>
      <c r="DK561" s="1366"/>
      <c r="DL561" s="1366"/>
      <c r="DM561" s="1366"/>
      <c r="DN561" s="1366"/>
      <c r="DO561" s="1366"/>
      <c r="DP561" s="1366"/>
      <c r="DQ561" s="1366"/>
      <c r="DR561" s="1366"/>
      <c r="DS561" s="1366"/>
      <c r="DT561" s="1366"/>
      <c r="DU561" s="1366"/>
      <c r="DV561" s="1366"/>
    </row>
    <row r="562" spans="1:126" s="1367" customFormat="1" ht="30">
      <c r="A562" s="2530"/>
      <c r="B562" s="1656" t="s">
        <v>2428</v>
      </c>
      <c r="C562" s="1638" t="s">
        <v>47</v>
      </c>
      <c r="D562" s="1381" t="s">
        <v>2429</v>
      </c>
      <c r="E562" s="1364" t="s">
        <v>2097</v>
      </c>
      <c r="F562" s="1364" t="s">
        <v>2107</v>
      </c>
      <c r="G562" s="506" t="s">
        <v>1907</v>
      </c>
      <c r="H562" s="1361">
        <f>(120*'Equipment Results Matrix'!$R$995)+(2*'Equipment Results Matrix'!$R$994)+'Equipment Results Matrix'!$R$982+'Equipment Results Matrix'!$R$988+'Equipment Results Matrix'!$R$990+'Equipment Results Matrix'!$R$992+'Equipment Results Matrix'!$T$989</f>
        <v>6.7827992647146571</v>
      </c>
      <c r="I562" s="1371">
        <f>'Labor Results Matrix'!$E$490</f>
        <v>6.2E-2</v>
      </c>
      <c r="J562" s="1372">
        <f>'Labor Results Matrix'!$G$490*(1+'Labor Results Matrix'!$K$490)</f>
        <v>72.260416710552065</v>
      </c>
      <c r="K562" s="1372">
        <f>I562*J562</f>
        <v>4.4801458360542279</v>
      </c>
      <c r="L562" s="1372">
        <v>0</v>
      </c>
      <c r="M562" s="1372">
        <f t="shared" si="225"/>
        <v>11.262945100768885</v>
      </c>
      <c r="N562" s="1455" t="s">
        <v>40</v>
      </c>
      <c r="O562" s="1429"/>
      <c r="P562" s="1430"/>
      <c r="Q562" s="1430"/>
      <c r="R562" s="1430"/>
      <c r="S562" s="1430"/>
      <c r="T562" s="1430"/>
      <c r="U562" s="1430"/>
      <c r="V562" s="1679"/>
      <c r="W562" s="1366"/>
      <c r="X562" s="1366"/>
      <c r="Y562" s="1366"/>
      <c r="Z562" s="1366"/>
      <c r="AA562" s="1366"/>
      <c r="AB562" s="1366"/>
      <c r="AC562" s="1366"/>
      <c r="AD562" s="1366"/>
      <c r="AE562" s="1366"/>
      <c r="AF562" s="1366"/>
      <c r="AG562" s="1366"/>
      <c r="AH562" s="1366"/>
      <c r="AI562" s="1366"/>
      <c r="AJ562" s="1366"/>
      <c r="AK562" s="1366"/>
      <c r="AL562" s="1366"/>
      <c r="AM562" s="1366"/>
      <c r="AN562" s="1366"/>
      <c r="AO562" s="1366"/>
      <c r="AP562" s="1366"/>
      <c r="AQ562" s="1366"/>
      <c r="AR562" s="1366"/>
      <c r="AS562" s="1366"/>
      <c r="AT562" s="1366"/>
      <c r="AU562" s="1366"/>
      <c r="AV562" s="1366"/>
      <c r="AW562" s="1366"/>
      <c r="AX562" s="1366"/>
      <c r="AY562" s="1366"/>
      <c r="AZ562" s="1366"/>
      <c r="BA562" s="1366"/>
      <c r="BB562" s="1366"/>
      <c r="BC562" s="1366"/>
      <c r="BD562" s="1366"/>
      <c r="BE562" s="1366"/>
      <c r="BF562" s="1366"/>
      <c r="BG562" s="1366"/>
      <c r="BH562" s="1366"/>
      <c r="BI562" s="1366"/>
      <c r="BJ562" s="1366"/>
      <c r="BK562" s="1366"/>
      <c r="BL562" s="1366"/>
      <c r="BM562" s="1366"/>
      <c r="BN562" s="1366"/>
      <c r="BO562" s="1366"/>
      <c r="BP562" s="1366"/>
      <c r="BQ562" s="1366"/>
      <c r="BR562" s="1366"/>
      <c r="BS562" s="1366"/>
      <c r="BT562" s="1366"/>
      <c r="BU562" s="1366"/>
      <c r="BV562" s="1366"/>
      <c r="BW562" s="1366"/>
      <c r="BX562" s="1366"/>
      <c r="BY562" s="1366"/>
      <c r="BZ562" s="1366"/>
      <c r="CA562" s="1366"/>
      <c r="CB562" s="1366"/>
      <c r="CC562" s="1366"/>
      <c r="CD562" s="1366"/>
      <c r="CE562" s="1366"/>
      <c r="CF562" s="1366"/>
      <c r="CG562" s="1366"/>
      <c r="CH562" s="1366"/>
      <c r="CI562" s="1366"/>
      <c r="CJ562" s="1366"/>
      <c r="CK562" s="1366"/>
      <c r="CL562" s="1366"/>
      <c r="CM562" s="1366"/>
      <c r="CN562" s="1366"/>
      <c r="CO562" s="1366"/>
      <c r="CP562" s="1366"/>
      <c r="CQ562" s="1366"/>
      <c r="CR562" s="1366"/>
      <c r="CS562" s="1366"/>
      <c r="CT562" s="1366"/>
      <c r="CU562" s="1366"/>
      <c r="CV562" s="1366"/>
      <c r="CW562" s="1366"/>
      <c r="CX562" s="1366"/>
      <c r="CY562" s="1366"/>
      <c r="CZ562" s="1366"/>
      <c r="DA562" s="1366"/>
      <c r="DB562" s="1366"/>
      <c r="DC562" s="1366"/>
      <c r="DD562" s="1366"/>
      <c r="DE562" s="1366"/>
      <c r="DF562" s="1366"/>
      <c r="DG562" s="1366"/>
      <c r="DH562" s="1366"/>
      <c r="DI562" s="1366"/>
      <c r="DJ562" s="1366"/>
      <c r="DK562" s="1366"/>
      <c r="DL562" s="1366"/>
      <c r="DM562" s="1366"/>
      <c r="DN562" s="1366"/>
      <c r="DO562" s="1366"/>
      <c r="DP562" s="1366"/>
      <c r="DQ562" s="1366"/>
      <c r="DR562" s="1366"/>
      <c r="DS562" s="1366"/>
      <c r="DT562" s="1366"/>
      <c r="DU562" s="1366"/>
      <c r="DV562" s="1366"/>
    </row>
    <row r="563" spans="1:126" s="1367" customFormat="1" ht="30">
      <c r="A563" s="2530"/>
      <c r="B563" s="1653">
        <v>257</v>
      </c>
      <c r="C563" s="1638" t="s">
        <v>49</v>
      </c>
      <c r="D563" s="1375" t="s">
        <v>2413</v>
      </c>
      <c r="E563" s="1364" t="s">
        <v>2097</v>
      </c>
      <c r="F563" s="1364" t="s">
        <v>2107</v>
      </c>
      <c r="G563" s="506" t="s">
        <v>1907</v>
      </c>
      <c r="H563" s="1361">
        <f>(26*'Equipment Results Matrix'!$R$1064)+'Equipment Results Matrix'!$R$1050+'Equipment Results Matrix'!$R$1056+'Equipment Results Matrix'!$R$1059+'Equipment Results Matrix'!$R$1060+'Equipment Results Matrix'!$R$1063+'Equipment Results Matrix'!$T$1057</f>
        <v>9.4554715487045122</v>
      </c>
      <c r="I563" s="1371">
        <f>'Labor Results Matrix'!$E$558</f>
        <v>6.2E-2</v>
      </c>
      <c r="J563" s="1372">
        <f>'Labor Results Matrix'!$G$558*(1+'Labor Results Matrix'!$K$558)</f>
        <v>72.260416710552065</v>
      </c>
      <c r="K563" s="1372">
        <f t="shared" ref="K563:K565" si="234">I563*J563</f>
        <v>4.4801458360542279</v>
      </c>
      <c r="L563" s="1372">
        <v>0</v>
      </c>
      <c r="M563" s="1372">
        <f t="shared" si="225"/>
        <v>13.935617384758739</v>
      </c>
      <c r="N563" s="1458">
        <f>M563-$M$562</f>
        <v>2.6726722839898542</v>
      </c>
      <c r="O563" s="1429"/>
      <c r="P563" s="1430"/>
      <c r="Q563" s="1430"/>
      <c r="R563" s="1430"/>
      <c r="S563" s="1430"/>
      <c r="T563" s="1430"/>
      <c r="U563" s="1430"/>
      <c r="V563" s="1679"/>
      <c r="W563" s="1366"/>
      <c r="X563" s="1366"/>
      <c r="Y563" s="1366"/>
      <c r="Z563" s="1366"/>
      <c r="AA563" s="1366"/>
      <c r="AB563" s="1366"/>
      <c r="AC563" s="1366"/>
      <c r="AD563" s="1366"/>
      <c r="AE563" s="1366"/>
      <c r="AF563" s="1366"/>
      <c r="AG563" s="1366"/>
      <c r="AH563" s="1366"/>
      <c r="AI563" s="1366"/>
      <c r="AJ563" s="1366"/>
      <c r="AK563" s="1366"/>
      <c r="AL563" s="1366"/>
      <c r="AM563" s="1366"/>
      <c r="AN563" s="1366"/>
      <c r="AO563" s="1366"/>
      <c r="AP563" s="1366"/>
      <c r="AQ563" s="1366"/>
      <c r="AR563" s="1366"/>
      <c r="AS563" s="1366"/>
      <c r="AT563" s="1366"/>
      <c r="AU563" s="1366"/>
      <c r="AV563" s="1366"/>
      <c r="AW563" s="1366"/>
      <c r="AX563" s="1366"/>
      <c r="AY563" s="1366"/>
      <c r="AZ563" s="1366"/>
      <c r="BA563" s="1366"/>
      <c r="BB563" s="1366"/>
      <c r="BC563" s="1366"/>
      <c r="BD563" s="1366"/>
      <c r="BE563" s="1366"/>
      <c r="BF563" s="1366"/>
      <c r="BG563" s="1366"/>
      <c r="BH563" s="1366"/>
      <c r="BI563" s="1366"/>
      <c r="BJ563" s="1366"/>
      <c r="BK563" s="1366"/>
      <c r="BL563" s="1366"/>
      <c r="BM563" s="1366"/>
      <c r="BN563" s="1366"/>
      <c r="BO563" s="1366"/>
      <c r="BP563" s="1366"/>
      <c r="BQ563" s="1366"/>
      <c r="BR563" s="1366"/>
      <c r="BS563" s="1366"/>
      <c r="BT563" s="1366"/>
      <c r="BU563" s="1366"/>
      <c r="BV563" s="1366"/>
      <c r="BW563" s="1366"/>
      <c r="BX563" s="1366"/>
      <c r="BY563" s="1366"/>
      <c r="BZ563" s="1366"/>
      <c r="CA563" s="1366"/>
      <c r="CB563" s="1366"/>
      <c r="CC563" s="1366"/>
      <c r="CD563" s="1366"/>
      <c r="CE563" s="1366"/>
      <c r="CF563" s="1366"/>
      <c r="CG563" s="1366"/>
      <c r="CH563" s="1366"/>
      <c r="CI563" s="1366"/>
      <c r="CJ563" s="1366"/>
      <c r="CK563" s="1366"/>
      <c r="CL563" s="1366"/>
      <c r="CM563" s="1366"/>
      <c r="CN563" s="1366"/>
      <c r="CO563" s="1366"/>
      <c r="CP563" s="1366"/>
      <c r="CQ563" s="1366"/>
      <c r="CR563" s="1366"/>
      <c r="CS563" s="1366"/>
      <c r="CT563" s="1366"/>
      <c r="CU563" s="1366"/>
      <c r="CV563" s="1366"/>
      <c r="CW563" s="1366"/>
      <c r="CX563" s="1366"/>
      <c r="CY563" s="1366"/>
      <c r="CZ563" s="1366"/>
      <c r="DA563" s="1366"/>
      <c r="DB563" s="1366"/>
      <c r="DC563" s="1366"/>
      <c r="DD563" s="1366"/>
      <c r="DE563" s="1366"/>
      <c r="DF563" s="1366"/>
      <c r="DG563" s="1366"/>
      <c r="DH563" s="1366"/>
      <c r="DI563" s="1366"/>
      <c r="DJ563" s="1366"/>
      <c r="DK563" s="1366"/>
      <c r="DL563" s="1366"/>
      <c r="DM563" s="1366"/>
      <c r="DN563" s="1366"/>
      <c r="DO563" s="1366"/>
      <c r="DP563" s="1366"/>
      <c r="DQ563" s="1366"/>
      <c r="DR563" s="1366"/>
      <c r="DS563" s="1366"/>
      <c r="DT563" s="1366"/>
      <c r="DU563" s="1366"/>
      <c r="DV563" s="1366"/>
    </row>
    <row r="564" spans="1:126" s="1367" customFormat="1" ht="30">
      <c r="A564" s="2530"/>
      <c r="B564" s="1653">
        <v>258</v>
      </c>
      <c r="C564" s="1638" t="s">
        <v>49</v>
      </c>
      <c r="D564" s="1375" t="s">
        <v>2414</v>
      </c>
      <c r="E564" s="1364" t="s">
        <v>2097</v>
      </c>
      <c r="F564" s="1364" t="s">
        <v>2107</v>
      </c>
      <c r="G564" s="506" t="s">
        <v>1907</v>
      </c>
      <c r="H564" s="1361">
        <f>(27*'Equipment Results Matrix'!$R$1064)+'Equipment Results Matrix'!$R$1050+'Equipment Results Matrix'!$R$1056+'Equipment Results Matrix'!$R$1059+'Equipment Results Matrix'!$R$1060+'Equipment Results Matrix'!$R$1063+'Equipment Results Matrix'!$T$1057</f>
        <v>9.6027715487045135</v>
      </c>
      <c r="I564" s="1371">
        <f>'Labor Results Matrix'!$E$558</f>
        <v>6.2E-2</v>
      </c>
      <c r="J564" s="1372">
        <f>'Labor Results Matrix'!$G$558*(1+'Labor Results Matrix'!$K$558)</f>
        <v>72.260416710552065</v>
      </c>
      <c r="K564" s="1372">
        <f t="shared" si="234"/>
        <v>4.4801458360542279</v>
      </c>
      <c r="L564" s="1372">
        <v>0</v>
      </c>
      <c r="M564" s="1372">
        <f t="shared" si="225"/>
        <v>14.082917384758741</v>
      </c>
      <c r="N564" s="1458">
        <f>M564-$M$562</f>
        <v>2.8199722839898556</v>
      </c>
      <c r="O564" s="1429"/>
      <c r="P564" s="1430"/>
      <c r="Q564" s="1430"/>
      <c r="R564" s="1430"/>
      <c r="S564" s="1430"/>
      <c r="T564" s="1430"/>
      <c r="U564" s="1430"/>
      <c r="V564" s="1679"/>
      <c r="W564" s="1366"/>
      <c r="X564" s="1366"/>
      <c r="Y564" s="1366"/>
      <c r="Z564" s="1366"/>
      <c r="AA564" s="1366"/>
      <c r="AB564" s="1366"/>
      <c r="AC564" s="1366"/>
      <c r="AD564" s="1366"/>
      <c r="AE564" s="1366"/>
      <c r="AF564" s="1366"/>
      <c r="AG564" s="1366"/>
      <c r="AH564" s="1366"/>
      <c r="AI564" s="1366"/>
      <c r="AJ564" s="1366"/>
      <c r="AK564" s="1366"/>
      <c r="AL564" s="1366"/>
      <c r="AM564" s="1366"/>
      <c r="AN564" s="1366"/>
      <c r="AO564" s="1366"/>
      <c r="AP564" s="1366"/>
      <c r="AQ564" s="1366"/>
      <c r="AR564" s="1366"/>
      <c r="AS564" s="1366"/>
      <c r="AT564" s="1366"/>
      <c r="AU564" s="1366"/>
      <c r="AV564" s="1366"/>
      <c r="AW564" s="1366"/>
      <c r="AX564" s="1366"/>
      <c r="AY564" s="1366"/>
      <c r="AZ564" s="1366"/>
      <c r="BA564" s="1366"/>
      <c r="BB564" s="1366"/>
      <c r="BC564" s="1366"/>
      <c r="BD564" s="1366"/>
      <c r="BE564" s="1366"/>
      <c r="BF564" s="1366"/>
      <c r="BG564" s="1366"/>
      <c r="BH564" s="1366"/>
      <c r="BI564" s="1366"/>
      <c r="BJ564" s="1366"/>
      <c r="BK564" s="1366"/>
      <c r="BL564" s="1366"/>
      <c r="BM564" s="1366"/>
      <c r="BN564" s="1366"/>
      <c r="BO564" s="1366"/>
      <c r="BP564" s="1366"/>
      <c r="BQ564" s="1366"/>
      <c r="BR564" s="1366"/>
      <c r="BS564" s="1366"/>
      <c r="BT564" s="1366"/>
      <c r="BU564" s="1366"/>
      <c r="BV564" s="1366"/>
      <c r="BW564" s="1366"/>
      <c r="BX564" s="1366"/>
      <c r="BY564" s="1366"/>
      <c r="BZ564" s="1366"/>
      <c r="CA564" s="1366"/>
      <c r="CB564" s="1366"/>
      <c r="CC564" s="1366"/>
      <c r="CD564" s="1366"/>
      <c r="CE564" s="1366"/>
      <c r="CF564" s="1366"/>
      <c r="CG564" s="1366"/>
      <c r="CH564" s="1366"/>
      <c r="CI564" s="1366"/>
      <c r="CJ564" s="1366"/>
      <c r="CK564" s="1366"/>
      <c r="CL564" s="1366"/>
      <c r="CM564" s="1366"/>
      <c r="CN564" s="1366"/>
      <c r="CO564" s="1366"/>
      <c r="CP564" s="1366"/>
      <c r="CQ564" s="1366"/>
      <c r="CR564" s="1366"/>
      <c r="CS564" s="1366"/>
      <c r="CT564" s="1366"/>
      <c r="CU564" s="1366"/>
      <c r="CV564" s="1366"/>
      <c r="CW564" s="1366"/>
      <c r="CX564" s="1366"/>
      <c r="CY564" s="1366"/>
      <c r="CZ564" s="1366"/>
      <c r="DA564" s="1366"/>
      <c r="DB564" s="1366"/>
      <c r="DC564" s="1366"/>
      <c r="DD564" s="1366"/>
      <c r="DE564" s="1366"/>
      <c r="DF564" s="1366"/>
      <c r="DG564" s="1366"/>
      <c r="DH564" s="1366"/>
      <c r="DI564" s="1366"/>
      <c r="DJ564" s="1366"/>
      <c r="DK564" s="1366"/>
      <c r="DL564" s="1366"/>
      <c r="DM564" s="1366"/>
      <c r="DN564" s="1366"/>
      <c r="DO564" s="1366"/>
      <c r="DP564" s="1366"/>
      <c r="DQ564" s="1366"/>
      <c r="DR564" s="1366"/>
      <c r="DS564" s="1366"/>
      <c r="DT564" s="1366"/>
      <c r="DU564" s="1366"/>
      <c r="DV564" s="1366"/>
    </row>
    <row r="565" spans="1:126" s="1367" customFormat="1" ht="30">
      <c r="A565" s="2530"/>
      <c r="B565" s="1653">
        <v>259</v>
      </c>
      <c r="C565" s="1638" t="s">
        <v>49</v>
      </c>
      <c r="D565" s="1375" t="s">
        <v>2415</v>
      </c>
      <c r="E565" s="1364" t="s">
        <v>2097</v>
      </c>
      <c r="F565" s="1364" t="s">
        <v>2107</v>
      </c>
      <c r="G565" s="506" t="s">
        <v>1907</v>
      </c>
      <c r="H565" s="1361">
        <f>(28*'Equipment Results Matrix'!$R$1064)+'Equipment Results Matrix'!$R$1050+'Equipment Results Matrix'!$R$1056+'Equipment Results Matrix'!$R$1059+'Equipment Results Matrix'!$R$1060+'Equipment Results Matrix'!$R$1063+'Equipment Results Matrix'!$T$1057</f>
        <v>9.7500715487045131</v>
      </c>
      <c r="I565" s="1371">
        <f>'Labor Results Matrix'!$E$558</f>
        <v>6.2E-2</v>
      </c>
      <c r="J565" s="1372">
        <f>'Labor Results Matrix'!$G$558*(1+'Labor Results Matrix'!$K$558)</f>
        <v>72.260416710552065</v>
      </c>
      <c r="K565" s="1372">
        <f t="shared" si="234"/>
        <v>4.4801458360542279</v>
      </c>
      <c r="L565" s="1372">
        <v>0</v>
      </c>
      <c r="M565" s="1372">
        <f t="shared" si="225"/>
        <v>14.230217384758742</v>
      </c>
      <c r="N565" s="1458">
        <f>M565-$M$562</f>
        <v>2.9672722839898569</v>
      </c>
      <c r="O565" s="1429"/>
      <c r="P565" s="1430"/>
      <c r="Q565" s="1430"/>
      <c r="R565" s="1430"/>
      <c r="S565" s="1430"/>
      <c r="T565" s="1430"/>
      <c r="U565" s="1430"/>
      <c r="V565" s="1679"/>
      <c r="W565" s="1366"/>
      <c r="X565" s="1366"/>
      <c r="Y565" s="1366"/>
      <c r="Z565" s="1366"/>
      <c r="AA565" s="1366"/>
      <c r="AB565" s="1366"/>
      <c r="AC565" s="1366"/>
      <c r="AD565" s="1366"/>
      <c r="AE565" s="1366"/>
      <c r="AF565" s="1366"/>
      <c r="AG565" s="1366"/>
      <c r="AH565" s="1366"/>
      <c r="AI565" s="1366"/>
      <c r="AJ565" s="1366"/>
      <c r="AK565" s="1366"/>
      <c r="AL565" s="1366"/>
      <c r="AM565" s="1366"/>
      <c r="AN565" s="1366"/>
      <c r="AO565" s="1366"/>
      <c r="AP565" s="1366"/>
      <c r="AQ565" s="1366"/>
      <c r="AR565" s="1366"/>
      <c r="AS565" s="1366"/>
      <c r="AT565" s="1366"/>
      <c r="AU565" s="1366"/>
      <c r="AV565" s="1366"/>
      <c r="AW565" s="1366"/>
      <c r="AX565" s="1366"/>
      <c r="AY565" s="1366"/>
      <c r="AZ565" s="1366"/>
      <c r="BA565" s="1366"/>
      <c r="BB565" s="1366"/>
      <c r="BC565" s="1366"/>
      <c r="BD565" s="1366"/>
      <c r="BE565" s="1366"/>
      <c r="BF565" s="1366"/>
      <c r="BG565" s="1366"/>
      <c r="BH565" s="1366"/>
      <c r="BI565" s="1366"/>
      <c r="BJ565" s="1366"/>
      <c r="BK565" s="1366"/>
      <c r="BL565" s="1366"/>
      <c r="BM565" s="1366"/>
      <c r="BN565" s="1366"/>
      <c r="BO565" s="1366"/>
      <c r="BP565" s="1366"/>
      <c r="BQ565" s="1366"/>
      <c r="BR565" s="1366"/>
      <c r="BS565" s="1366"/>
      <c r="BT565" s="1366"/>
      <c r="BU565" s="1366"/>
      <c r="BV565" s="1366"/>
      <c r="BW565" s="1366"/>
      <c r="BX565" s="1366"/>
      <c r="BY565" s="1366"/>
      <c r="BZ565" s="1366"/>
      <c r="CA565" s="1366"/>
      <c r="CB565" s="1366"/>
      <c r="CC565" s="1366"/>
      <c r="CD565" s="1366"/>
      <c r="CE565" s="1366"/>
      <c r="CF565" s="1366"/>
      <c r="CG565" s="1366"/>
      <c r="CH565" s="1366"/>
      <c r="CI565" s="1366"/>
      <c r="CJ565" s="1366"/>
      <c r="CK565" s="1366"/>
      <c r="CL565" s="1366"/>
      <c r="CM565" s="1366"/>
      <c r="CN565" s="1366"/>
      <c r="CO565" s="1366"/>
      <c r="CP565" s="1366"/>
      <c r="CQ565" s="1366"/>
      <c r="CR565" s="1366"/>
      <c r="CS565" s="1366"/>
      <c r="CT565" s="1366"/>
      <c r="CU565" s="1366"/>
      <c r="CV565" s="1366"/>
      <c r="CW565" s="1366"/>
      <c r="CX565" s="1366"/>
      <c r="CY565" s="1366"/>
      <c r="CZ565" s="1366"/>
      <c r="DA565" s="1366"/>
      <c r="DB565" s="1366"/>
      <c r="DC565" s="1366"/>
      <c r="DD565" s="1366"/>
      <c r="DE565" s="1366"/>
      <c r="DF565" s="1366"/>
      <c r="DG565" s="1366"/>
      <c r="DH565" s="1366"/>
      <c r="DI565" s="1366"/>
      <c r="DJ565" s="1366"/>
      <c r="DK565" s="1366"/>
      <c r="DL565" s="1366"/>
      <c r="DM565" s="1366"/>
      <c r="DN565" s="1366"/>
      <c r="DO565" s="1366"/>
      <c r="DP565" s="1366"/>
      <c r="DQ565" s="1366"/>
      <c r="DR565" s="1366"/>
      <c r="DS565" s="1366"/>
      <c r="DT565" s="1366"/>
      <c r="DU565" s="1366"/>
      <c r="DV565" s="1366"/>
    </row>
    <row r="566" spans="1:126" s="1367" customFormat="1" ht="30">
      <c r="A566" s="2530"/>
      <c r="B566" s="1653">
        <v>260</v>
      </c>
      <c r="C566" s="1638" t="s">
        <v>49</v>
      </c>
      <c r="D566" s="1375" t="s">
        <v>2416</v>
      </c>
      <c r="E566" s="1364" t="s">
        <v>2097</v>
      </c>
      <c r="F566" s="1364" t="s">
        <v>2107</v>
      </c>
      <c r="G566" s="506" t="s">
        <v>1907</v>
      </c>
      <c r="H566" s="1361">
        <f>(29*'Equipment Results Matrix'!$R$1064)+'Equipment Results Matrix'!$R$1050+'Equipment Results Matrix'!$R$1056+'Equipment Results Matrix'!$R$1059+'Equipment Results Matrix'!$R$1060+'Equipment Results Matrix'!$R$1063+'Equipment Results Matrix'!$T$1057</f>
        <v>9.8973715487045126</v>
      </c>
      <c r="I566" s="1371">
        <f>'Labor Results Matrix'!$E$558</f>
        <v>6.2E-2</v>
      </c>
      <c r="J566" s="1372">
        <f>'Labor Results Matrix'!$G$558*(1+'Labor Results Matrix'!$K$558)</f>
        <v>72.260416710552065</v>
      </c>
      <c r="K566" s="1372">
        <f t="shared" ref="K566:K567" si="235">I566*J566</f>
        <v>4.4801458360542279</v>
      </c>
      <c r="L566" s="1372">
        <v>0</v>
      </c>
      <c r="M566" s="1372">
        <f t="shared" si="225"/>
        <v>14.37751738475874</v>
      </c>
      <c r="N566" s="1458">
        <f>M566-$M$562</f>
        <v>3.1145722839898546</v>
      </c>
      <c r="O566" s="1429"/>
      <c r="P566" s="1430"/>
      <c r="Q566" s="1430"/>
      <c r="R566" s="1430"/>
      <c r="S566" s="1430"/>
      <c r="T566" s="1430"/>
      <c r="U566" s="1430"/>
      <c r="V566" s="1679"/>
      <c r="W566" s="1366"/>
      <c r="X566" s="1366"/>
      <c r="Y566" s="1366"/>
      <c r="Z566" s="1366"/>
      <c r="AA566" s="1366"/>
      <c r="AB566" s="1366"/>
      <c r="AC566" s="1366"/>
      <c r="AD566" s="1366"/>
      <c r="AE566" s="1366"/>
      <c r="AF566" s="1366"/>
      <c r="AG566" s="1366"/>
      <c r="AH566" s="1366"/>
      <c r="AI566" s="1366"/>
      <c r="AJ566" s="1366"/>
      <c r="AK566" s="1366"/>
      <c r="AL566" s="1366"/>
      <c r="AM566" s="1366"/>
      <c r="AN566" s="1366"/>
      <c r="AO566" s="1366"/>
      <c r="AP566" s="1366"/>
      <c r="AQ566" s="1366"/>
      <c r="AR566" s="1366"/>
      <c r="AS566" s="1366"/>
      <c r="AT566" s="1366"/>
      <c r="AU566" s="1366"/>
      <c r="AV566" s="1366"/>
      <c r="AW566" s="1366"/>
      <c r="AX566" s="1366"/>
      <c r="AY566" s="1366"/>
      <c r="AZ566" s="1366"/>
      <c r="BA566" s="1366"/>
      <c r="BB566" s="1366"/>
      <c r="BC566" s="1366"/>
      <c r="BD566" s="1366"/>
      <c r="BE566" s="1366"/>
      <c r="BF566" s="1366"/>
      <c r="BG566" s="1366"/>
      <c r="BH566" s="1366"/>
      <c r="BI566" s="1366"/>
      <c r="BJ566" s="1366"/>
      <c r="BK566" s="1366"/>
      <c r="BL566" s="1366"/>
      <c r="BM566" s="1366"/>
      <c r="BN566" s="1366"/>
      <c r="BO566" s="1366"/>
      <c r="BP566" s="1366"/>
      <c r="BQ566" s="1366"/>
      <c r="BR566" s="1366"/>
      <c r="BS566" s="1366"/>
      <c r="BT566" s="1366"/>
      <c r="BU566" s="1366"/>
      <c r="BV566" s="1366"/>
      <c r="BW566" s="1366"/>
      <c r="BX566" s="1366"/>
      <c r="BY566" s="1366"/>
      <c r="BZ566" s="1366"/>
      <c r="CA566" s="1366"/>
      <c r="CB566" s="1366"/>
      <c r="CC566" s="1366"/>
      <c r="CD566" s="1366"/>
      <c r="CE566" s="1366"/>
      <c r="CF566" s="1366"/>
      <c r="CG566" s="1366"/>
      <c r="CH566" s="1366"/>
      <c r="CI566" s="1366"/>
      <c r="CJ566" s="1366"/>
      <c r="CK566" s="1366"/>
      <c r="CL566" s="1366"/>
      <c r="CM566" s="1366"/>
      <c r="CN566" s="1366"/>
      <c r="CO566" s="1366"/>
      <c r="CP566" s="1366"/>
      <c r="CQ566" s="1366"/>
      <c r="CR566" s="1366"/>
      <c r="CS566" s="1366"/>
      <c r="CT566" s="1366"/>
      <c r="CU566" s="1366"/>
      <c r="CV566" s="1366"/>
      <c r="CW566" s="1366"/>
      <c r="CX566" s="1366"/>
      <c r="CY566" s="1366"/>
      <c r="CZ566" s="1366"/>
      <c r="DA566" s="1366"/>
      <c r="DB566" s="1366"/>
      <c r="DC566" s="1366"/>
      <c r="DD566" s="1366"/>
      <c r="DE566" s="1366"/>
      <c r="DF566" s="1366"/>
      <c r="DG566" s="1366"/>
      <c r="DH566" s="1366"/>
      <c r="DI566" s="1366"/>
      <c r="DJ566" s="1366"/>
      <c r="DK566" s="1366"/>
      <c r="DL566" s="1366"/>
      <c r="DM566" s="1366"/>
      <c r="DN566" s="1366"/>
      <c r="DO566" s="1366"/>
      <c r="DP566" s="1366"/>
      <c r="DQ566" s="1366"/>
      <c r="DR566" s="1366"/>
      <c r="DS566" s="1366"/>
      <c r="DT566" s="1366"/>
      <c r="DU566" s="1366"/>
      <c r="DV566" s="1366"/>
    </row>
    <row r="567" spans="1:126" s="1367" customFormat="1" ht="30">
      <c r="A567" s="2530"/>
      <c r="B567" s="1653">
        <v>261</v>
      </c>
      <c r="C567" s="1638" t="s">
        <v>49</v>
      </c>
      <c r="D567" s="1375" t="s">
        <v>2417</v>
      </c>
      <c r="E567" s="1364" t="s">
        <v>2097</v>
      </c>
      <c r="F567" s="1364" t="s">
        <v>2107</v>
      </c>
      <c r="G567" s="506" t="s">
        <v>1907</v>
      </c>
      <c r="H567" s="1361">
        <f>(30*'Equipment Results Matrix'!$R$1064)+'Equipment Results Matrix'!$R$1050+'Equipment Results Matrix'!$R$1056+'Equipment Results Matrix'!$R$1059+'Equipment Results Matrix'!$R$1060+'Equipment Results Matrix'!$R$1063+'Equipment Results Matrix'!$T$1057</f>
        <v>10.044671548704514</v>
      </c>
      <c r="I567" s="1371">
        <f>'Labor Results Matrix'!$E$558</f>
        <v>6.2E-2</v>
      </c>
      <c r="J567" s="1372">
        <f>'Labor Results Matrix'!$G$558*(1+'Labor Results Matrix'!$K$558)</f>
        <v>72.260416710552065</v>
      </c>
      <c r="K567" s="1372">
        <f t="shared" si="235"/>
        <v>4.4801458360542279</v>
      </c>
      <c r="L567" s="1372">
        <v>0</v>
      </c>
      <c r="M567" s="1372">
        <f t="shared" si="225"/>
        <v>14.524817384758741</v>
      </c>
      <c r="N567" s="1458">
        <f>M567-$M$562</f>
        <v>3.261872283989856</v>
      </c>
      <c r="O567" s="1429"/>
      <c r="P567" s="1430"/>
      <c r="Q567" s="1430"/>
      <c r="R567" s="1430"/>
      <c r="S567" s="1430"/>
      <c r="T567" s="1430"/>
      <c r="U567" s="1430"/>
      <c r="V567" s="1679"/>
      <c r="W567" s="1366"/>
      <c r="X567" s="1366"/>
      <c r="Y567" s="1366"/>
      <c r="Z567" s="1366"/>
      <c r="AA567" s="1366"/>
      <c r="AB567" s="1366"/>
      <c r="AC567" s="1366"/>
      <c r="AD567" s="1366"/>
      <c r="AE567" s="1366"/>
      <c r="AF567" s="1366"/>
      <c r="AG567" s="1366"/>
      <c r="AH567" s="1366"/>
      <c r="AI567" s="1366"/>
      <c r="AJ567" s="1366"/>
      <c r="AK567" s="1366"/>
      <c r="AL567" s="1366"/>
      <c r="AM567" s="1366"/>
      <c r="AN567" s="1366"/>
      <c r="AO567" s="1366"/>
      <c r="AP567" s="1366"/>
      <c r="AQ567" s="1366"/>
      <c r="AR567" s="1366"/>
      <c r="AS567" s="1366"/>
      <c r="AT567" s="1366"/>
      <c r="AU567" s="1366"/>
      <c r="AV567" s="1366"/>
      <c r="AW567" s="1366"/>
      <c r="AX567" s="1366"/>
      <c r="AY567" s="1366"/>
      <c r="AZ567" s="1366"/>
      <c r="BA567" s="1366"/>
      <c r="BB567" s="1366"/>
      <c r="BC567" s="1366"/>
      <c r="BD567" s="1366"/>
      <c r="BE567" s="1366"/>
      <c r="BF567" s="1366"/>
      <c r="BG567" s="1366"/>
      <c r="BH567" s="1366"/>
      <c r="BI567" s="1366"/>
      <c r="BJ567" s="1366"/>
      <c r="BK567" s="1366"/>
      <c r="BL567" s="1366"/>
      <c r="BM567" s="1366"/>
      <c r="BN567" s="1366"/>
      <c r="BO567" s="1366"/>
      <c r="BP567" s="1366"/>
      <c r="BQ567" s="1366"/>
      <c r="BR567" s="1366"/>
      <c r="BS567" s="1366"/>
      <c r="BT567" s="1366"/>
      <c r="BU567" s="1366"/>
      <c r="BV567" s="1366"/>
      <c r="BW567" s="1366"/>
      <c r="BX567" s="1366"/>
      <c r="BY567" s="1366"/>
      <c r="BZ567" s="1366"/>
      <c r="CA567" s="1366"/>
      <c r="CB567" s="1366"/>
      <c r="CC567" s="1366"/>
      <c r="CD567" s="1366"/>
      <c r="CE567" s="1366"/>
      <c r="CF567" s="1366"/>
      <c r="CG567" s="1366"/>
      <c r="CH567" s="1366"/>
      <c r="CI567" s="1366"/>
      <c r="CJ567" s="1366"/>
      <c r="CK567" s="1366"/>
      <c r="CL567" s="1366"/>
      <c r="CM567" s="1366"/>
      <c r="CN567" s="1366"/>
      <c r="CO567" s="1366"/>
      <c r="CP567" s="1366"/>
      <c r="CQ567" s="1366"/>
      <c r="CR567" s="1366"/>
      <c r="CS567" s="1366"/>
      <c r="CT567" s="1366"/>
      <c r="CU567" s="1366"/>
      <c r="CV567" s="1366"/>
      <c r="CW567" s="1366"/>
      <c r="CX567" s="1366"/>
      <c r="CY567" s="1366"/>
      <c r="CZ567" s="1366"/>
      <c r="DA567" s="1366"/>
      <c r="DB567" s="1366"/>
      <c r="DC567" s="1366"/>
      <c r="DD567" s="1366"/>
      <c r="DE567" s="1366"/>
      <c r="DF567" s="1366"/>
      <c r="DG567" s="1366"/>
      <c r="DH567" s="1366"/>
      <c r="DI567" s="1366"/>
      <c r="DJ567" s="1366"/>
      <c r="DK567" s="1366"/>
      <c r="DL567" s="1366"/>
      <c r="DM567" s="1366"/>
      <c r="DN567" s="1366"/>
      <c r="DO567" s="1366"/>
      <c r="DP567" s="1366"/>
      <c r="DQ567" s="1366"/>
      <c r="DR567" s="1366"/>
      <c r="DS567" s="1366"/>
      <c r="DT567" s="1366"/>
      <c r="DU567" s="1366"/>
      <c r="DV567" s="1366"/>
    </row>
    <row r="568" spans="1:126" s="1367" customFormat="1" ht="30">
      <c r="A568" s="2530"/>
      <c r="B568" s="1659">
        <v>262</v>
      </c>
      <c r="C568" s="1671" t="s">
        <v>49</v>
      </c>
      <c r="D568" s="1396" t="s">
        <v>2418</v>
      </c>
      <c r="E568" s="1376" t="s">
        <v>2097</v>
      </c>
      <c r="F568" s="1376" t="s">
        <v>2107</v>
      </c>
      <c r="G568" s="1377" t="s">
        <v>1907</v>
      </c>
      <c r="H568" s="1514"/>
      <c r="I568" s="1419"/>
      <c r="J568" s="1513"/>
      <c r="K568" s="1513"/>
      <c r="L568" s="1420"/>
      <c r="M568" s="1513"/>
      <c r="N568" s="1465"/>
      <c r="O568" s="1429"/>
      <c r="P568" s="1430"/>
      <c r="Q568" s="1430"/>
      <c r="R568" s="1430"/>
      <c r="S568" s="1430"/>
      <c r="T568" s="1430"/>
      <c r="U568" s="1430"/>
      <c r="V568" s="1679"/>
      <c r="W568" s="1366"/>
      <c r="X568" s="1366"/>
      <c r="Y568" s="1366"/>
      <c r="Z568" s="1366"/>
      <c r="AA568" s="1366"/>
      <c r="AB568" s="1366"/>
      <c r="AC568" s="1366"/>
      <c r="AD568" s="1366"/>
      <c r="AE568" s="1366"/>
      <c r="AF568" s="1366"/>
      <c r="AG568" s="1366"/>
      <c r="AH568" s="1366"/>
      <c r="AI568" s="1366"/>
      <c r="AJ568" s="1366"/>
      <c r="AK568" s="1366"/>
      <c r="AL568" s="1366"/>
      <c r="AM568" s="1366"/>
      <c r="AN568" s="1366"/>
      <c r="AO568" s="1366"/>
      <c r="AP568" s="1366"/>
      <c r="AQ568" s="1366"/>
      <c r="AR568" s="1366"/>
      <c r="AS568" s="1366"/>
      <c r="AT568" s="1366"/>
      <c r="AU568" s="1366"/>
      <c r="AV568" s="1366"/>
      <c r="AW568" s="1366"/>
      <c r="AX568" s="1366"/>
      <c r="AY568" s="1366"/>
      <c r="AZ568" s="1366"/>
      <c r="BA568" s="1366"/>
      <c r="BB568" s="1366"/>
      <c r="BC568" s="1366"/>
      <c r="BD568" s="1366"/>
      <c r="BE568" s="1366"/>
      <c r="BF568" s="1366"/>
      <c r="BG568" s="1366"/>
      <c r="BH568" s="1366"/>
      <c r="BI568" s="1366"/>
      <c r="BJ568" s="1366"/>
      <c r="BK568" s="1366"/>
      <c r="BL568" s="1366"/>
      <c r="BM568" s="1366"/>
      <c r="BN568" s="1366"/>
      <c r="BO568" s="1366"/>
      <c r="BP568" s="1366"/>
      <c r="BQ568" s="1366"/>
      <c r="BR568" s="1366"/>
      <c r="BS568" s="1366"/>
      <c r="BT568" s="1366"/>
      <c r="BU568" s="1366"/>
      <c r="BV568" s="1366"/>
      <c r="BW568" s="1366"/>
      <c r="BX568" s="1366"/>
      <c r="BY568" s="1366"/>
      <c r="BZ568" s="1366"/>
      <c r="CA568" s="1366"/>
      <c r="CB568" s="1366"/>
      <c r="CC568" s="1366"/>
      <c r="CD568" s="1366"/>
      <c r="CE568" s="1366"/>
      <c r="CF568" s="1366"/>
      <c r="CG568" s="1366"/>
      <c r="CH568" s="1366"/>
      <c r="CI568" s="1366"/>
      <c r="CJ568" s="1366"/>
      <c r="CK568" s="1366"/>
      <c r="CL568" s="1366"/>
      <c r="CM568" s="1366"/>
      <c r="CN568" s="1366"/>
      <c r="CO568" s="1366"/>
      <c r="CP568" s="1366"/>
      <c r="CQ568" s="1366"/>
      <c r="CR568" s="1366"/>
      <c r="CS568" s="1366"/>
      <c r="CT568" s="1366"/>
      <c r="CU568" s="1366"/>
      <c r="CV568" s="1366"/>
      <c r="CW568" s="1366"/>
      <c r="CX568" s="1366"/>
      <c r="CY568" s="1366"/>
      <c r="CZ568" s="1366"/>
      <c r="DA568" s="1366"/>
      <c r="DB568" s="1366"/>
      <c r="DC568" s="1366"/>
      <c r="DD568" s="1366"/>
      <c r="DE568" s="1366"/>
      <c r="DF568" s="1366"/>
      <c r="DG568" s="1366"/>
      <c r="DH568" s="1366"/>
      <c r="DI568" s="1366"/>
      <c r="DJ568" s="1366"/>
      <c r="DK568" s="1366"/>
      <c r="DL568" s="1366"/>
      <c r="DM568" s="1366"/>
      <c r="DN568" s="1366"/>
      <c r="DO568" s="1366"/>
      <c r="DP568" s="1366"/>
      <c r="DQ568" s="1366"/>
      <c r="DR568" s="1366"/>
      <c r="DS568" s="1366"/>
      <c r="DT568" s="1366"/>
      <c r="DU568" s="1366"/>
      <c r="DV568" s="1366"/>
    </row>
    <row r="569" spans="1:126" s="1367" customFormat="1" ht="30">
      <c r="A569" s="2530"/>
      <c r="B569" s="1659">
        <v>263</v>
      </c>
      <c r="C569" s="1671" t="s">
        <v>49</v>
      </c>
      <c r="D569" s="1396" t="s">
        <v>2419</v>
      </c>
      <c r="E569" s="1376" t="s">
        <v>2097</v>
      </c>
      <c r="F569" s="1376" t="s">
        <v>2107</v>
      </c>
      <c r="G569" s="1377" t="s">
        <v>1907</v>
      </c>
      <c r="H569" s="1514"/>
      <c r="I569" s="1419"/>
      <c r="J569" s="1513"/>
      <c r="K569" s="1513"/>
      <c r="L569" s="1420"/>
      <c r="M569" s="1513"/>
      <c r="N569" s="1465"/>
      <c r="O569" s="1429"/>
      <c r="P569" s="1430"/>
      <c r="Q569" s="1430"/>
      <c r="R569" s="1430"/>
      <c r="S569" s="1430"/>
      <c r="T569" s="1430"/>
      <c r="U569" s="1430"/>
      <c r="V569" s="1679"/>
      <c r="W569" s="1366"/>
      <c r="X569" s="1366"/>
      <c r="Y569" s="1366"/>
      <c r="Z569" s="1366"/>
      <c r="AA569" s="1366"/>
      <c r="AB569" s="1366"/>
      <c r="AC569" s="1366"/>
      <c r="AD569" s="1366"/>
      <c r="AE569" s="1366"/>
      <c r="AF569" s="1366"/>
      <c r="AG569" s="1366"/>
      <c r="AH569" s="1366"/>
      <c r="AI569" s="1366"/>
      <c r="AJ569" s="1366"/>
      <c r="AK569" s="1366"/>
      <c r="AL569" s="1366"/>
      <c r="AM569" s="1366"/>
      <c r="AN569" s="1366"/>
      <c r="AO569" s="1366"/>
      <c r="AP569" s="1366"/>
      <c r="AQ569" s="1366"/>
      <c r="AR569" s="1366"/>
      <c r="AS569" s="1366"/>
      <c r="AT569" s="1366"/>
      <c r="AU569" s="1366"/>
      <c r="AV569" s="1366"/>
      <c r="AW569" s="1366"/>
      <c r="AX569" s="1366"/>
      <c r="AY569" s="1366"/>
      <c r="AZ569" s="1366"/>
      <c r="BA569" s="1366"/>
      <c r="BB569" s="1366"/>
      <c r="BC569" s="1366"/>
      <c r="BD569" s="1366"/>
      <c r="BE569" s="1366"/>
      <c r="BF569" s="1366"/>
      <c r="BG569" s="1366"/>
      <c r="BH569" s="1366"/>
      <c r="BI569" s="1366"/>
      <c r="BJ569" s="1366"/>
      <c r="BK569" s="1366"/>
      <c r="BL569" s="1366"/>
      <c r="BM569" s="1366"/>
      <c r="BN569" s="1366"/>
      <c r="BO569" s="1366"/>
      <c r="BP569" s="1366"/>
      <c r="BQ569" s="1366"/>
      <c r="BR569" s="1366"/>
      <c r="BS569" s="1366"/>
      <c r="BT569" s="1366"/>
      <c r="BU569" s="1366"/>
      <c r="BV569" s="1366"/>
      <c r="BW569" s="1366"/>
      <c r="BX569" s="1366"/>
      <c r="BY569" s="1366"/>
      <c r="BZ569" s="1366"/>
      <c r="CA569" s="1366"/>
      <c r="CB569" s="1366"/>
      <c r="CC569" s="1366"/>
      <c r="CD569" s="1366"/>
      <c r="CE569" s="1366"/>
      <c r="CF569" s="1366"/>
      <c r="CG569" s="1366"/>
      <c r="CH569" s="1366"/>
      <c r="CI569" s="1366"/>
      <c r="CJ569" s="1366"/>
      <c r="CK569" s="1366"/>
      <c r="CL569" s="1366"/>
      <c r="CM569" s="1366"/>
      <c r="CN569" s="1366"/>
      <c r="CO569" s="1366"/>
      <c r="CP569" s="1366"/>
      <c r="CQ569" s="1366"/>
      <c r="CR569" s="1366"/>
      <c r="CS569" s="1366"/>
      <c r="CT569" s="1366"/>
      <c r="CU569" s="1366"/>
      <c r="CV569" s="1366"/>
      <c r="CW569" s="1366"/>
      <c r="CX569" s="1366"/>
      <c r="CY569" s="1366"/>
      <c r="CZ569" s="1366"/>
      <c r="DA569" s="1366"/>
      <c r="DB569" s="1366"/>
      <c r="DC569" s="1366"/>
      <c r="DD569" s="1366"/>
      <c r="DE569" s="1366"/>
      <c r="DF569" s="1366"/>
      <c r="DG569" s="1366"/>
      <c r="DH569" s="1366"/>
      <c r="DI569" s="1366"/>
      <c r="DJ569" s="1366"/>
      <c r="DK569" s="1366"/>
      <c r="DL569" s="1366"/>
      <c r="DM569" s="1366"/>
      <c r="DN569" s="1366"/>
      <c r="DO569" s="1366"/>
      <c r="DP569" s="1366"/>
      <c r="DQ569" s="1366"/>
      <c r="DR569" s="1366"/>
      <c r="DS569" s="1366"/>
      <c r="DT569" s="1366"/>
      <c r="DU569" s="1366"/>
      <c r="DV569" s="1366"/>
    </row>
    <row r="570" spans="1:126" s="1367" customFormat="1" ht="30">
      <c r="A570" s="2530"/>
      <c r="B570" s="1659">
        <v>265</v>
      </c>
      <c r="C570" s="1671" t="s">
        <v>49</v>
      </c>
      <c r="D570" s="1396" t="s">
        <v>2420</v>
      </c>
      <c r="E570" s="1376" t="s">
        <v>2097</v>
      </c>
      <c r="F570" s="1376" t="s">
        <v>2107</v>
      </c>
      <c r="G570" s="1377" t="s">
        <v>1907</v>
      </c>
      <c r="H570" s="1514"/>
      <c r="I570" s="1419"/>
      <c r="J570" s="1513"/>
      <c r="K570" s="1513"/>
      <c r="L570" s="1420"/>
      <c r="M570" s="1513"/>
      <c r="N570" s="1465"/>
      <c r="O570" s="1429"/>
      <c r="P570" s="1430"/>
      <c r="Q570" s="1430"/>
      <c r="R570" s="1430"/>
      <c r="S570" s="1430"/>
      <c r="T570" s="1430"/>
      <c r="U570" s="1430"/>
      <c r="V570" s="1679"/>
      <c r="W570" s="1366"/>
      <c r="X570" s="1366"/>
      <c r="Y570" s="1366"/>
      <c r="Z570" s="1366"/>
      <c r="AA570" s="1366"/>
      <c r="AB570" s="1366"/>
      <c r="AC570" s="1366"/>
      <c r="AD570" s="1366"/>
      <c r="AE570" s="1366"/>
      <c r="AF570" s="1366"/>
      <c r="AG570" s="1366"/>
      <c r="AH570" s="1366"/>
      <c r="AI570" s="1366"/>
      <c r="AJ570" s="1366"/>
      <c r="AK570" s="1366"/>
      <c r="AL570" s="1366"/>
      <c r="AM570" s="1366"/>
      <c r="AN570" s="1366"/>
      <c r="AO570" s="1366"/>
      <c r="AP570" s="1366"/>
      <c r="AQ570" s="1366"/>
      <c r="AR570" s="1366"/>
      <c r="AS570" s="1366"/>
      <c r="AT570" s="1366"/>
      <c r="AU570" s="1366"/>
      <c r="AV570" s="1366"/>
      <c r="AW570" s="1366"/>
      <c r="AX570" s="1366"/>
      <c r="AY570" s="1366"/>
      <c r="AZ570" s="1366"/>
      <c r="BA570" s="1366"/>
      <c r="BB570" s="1366"/>
      <c r="BC570" s="1366"/>
      <c r="BD570" s="1366"/>
      <c r="BE570" s="1366"/>
      <c r="BF570" s="1366"/>
      <c r="BG570" s="1366"/>
      <c r="BH570" s="1366"/>
      <c r="BI570" s="1366"/>
      <c r="BJ570" s="1366"/>
      <c r="BK570" s="1366"/>
      <c r="BL570" s="1366"/>
      <c r="BM570" s="1366"/>
      <c r="BN570" s="1366"/>
      <c r="BO570" s="1366"/>
      <c r="BP570" s="1366"/>
      <c r="BQ570" s="1366"/>
      <c r="BR570" s="1366"/>
      <c r="BS570" s="1366"/>
      <c r="BT570" s="1366"/>
      <c r="BU570" s="1366"/>
      <c r="BV570" s="1366"/>
      <c r="BW570" s="1366"/>
      <c r="BX570" s="1366"/>
      <c r="BY570" s="1366"/>
      <c r="BZ570" s="1366"/>
      <c r="CA570" s="1366"/>
      <c r="CB570" s="1366"/>
      <c r="CC570" s="1366"/>
      <c r="CD570" s="1366"/>
      <c r="CE570" s="1366"/>
      <c r="CF570" s="1366"/>
      <c r="CG570" s="1366"/>
      <c r="CH570" s="1366"/>
      <c r="CI570" s="1366"/>
      <c r="CJ570" s="1366"/>
      <c r="CK570" s="1366"/>
      <c r="CL570" s="1366"/>
      <c r="CM570" s="1366"/>
      <c r="CN570" s="1366"/>
      <c r="CO570" s="1366"/>
      <c r="CP570" s="1366"/>
      <c r="CQ570" s="1366"/>
      <c r="CR570" s="1366"/>
      <c r="CS570" s="1366"/>
      <c r="CT570" s="1366"/>
      <c r="CU570" s="1366"/>
      <c r="CV570" s="1366"/>
      <c r="CW570" s="1366"/>
      <c r="CX570" s="1366"/>
      <c r="CY570" s="1366"/>
      <c r="CZ570" s="1366"/>
      <c r="DA570" s="1366"/>
      <c r="DB570" s="1366"/>
      <c r="DC570" s="1366"/>
      <c r="DD570" s="1366"/>
      <c r="DE570" s="1366"/>
      <c r="DF570" s="1366"/>
      <c r="DG570" s="1366"/>
      <c r="DH570" s="1366"/>
      <c r="DI570" s="1366"/>
      <c r="DJ570" s="1366"/>
      <c r="DK570" s="1366"/>
      <c r="DL570" s="1366"/>
      <c r="DM570" s="1366"/>
      <c r="DN570" s="1366"/>
      <c r="DO570" s="1366"/>
      <c r="DP570" s="1366"/>
      <c r="DQ570" s="1366"/>
      <c r="DR570" s="1366"/>
      <c r="DS570" s="1366"/>
      <c r="DT570" s="1366"/>
      <c r="DU570" s="1366"/>
      <c r="DV570" s="1366"/>
    </row>
    <row r="571" spans="1:126" s="1367" customFormat="1" ht="30">
      <c r="A571" s="2530"/>
      <c r="B571" s="1659">
        <v>267</v>
      </c>
      <c r="C571" s="1671" t="s">
        <v>49</v>
      </c>
      <c r="D571" s="1396" t="s">
        <v>2421</v>
      </c>
      <c r="E571" s="1376" t="s">
        <v>2097</v>
      </c>
      <c r="F571" s="1376" t="s">
        <v>2107</v>
      </c>
      <c r="G571" s="1377" t="s">
        <v>1907</v>
      </c>
      <c r="H571" s="1514"/>
      <c r="I571" s="1419"/>
      <c r="J571" s="1513"/>
      <c r="K571" s="1513"/>
      <c r="L571" s="1420"/>
      <c r="M571" s="1513"/>
      <c r="N571" s="1465"/>
      <c r="O571" s="1429"/>
      <c r="P571" s="1430"/>
      <c r="Q571" s="1430"/>
      <c r="R571" s="1430"/>
      <c r="S571" s="1430"/>
      <c r="T571" s="1430"/>
      <c r="U571" s="1430"/>
      <c r="V571" s="1679"/>
      <c r="W571" s="1366"/>
      <c r="X571" s="1366"/>
      <c r="Y571" s="1366"/>
      <c r="Z571" s="1366"/>
      <c r="AA571" s="1366"/>
      <c r="AB571" s="1366"/>
      <c r="AC571" s="1366"/>
      <c r="AD571" s="1366"/>
      <c r="AE571" s="1366"/>
      <c r="AF571" s="1366"/>
      <c r="AG571" s="1366"/>
      <c r="AH571" s="1366"/>
      <c r="AI571" s="1366"/>
      <c r="AJ571" s="1366"/>
      <c r="AK571" s="1366"/>
      <c r="AL571" s="1366"/>
      <c r="AM571" s="1366"/>
      <c r="AN571" s="1366"/>
      <c r="AO571" s="1366"/>
      <c r="AP571" s="1366"/>
      <c r="AQ571" s="1366"/>
      <c r="AR571" s="1366"/>
      <c r="AS571" s="1366"/>
      <c r="AT571" s="1366"/>
      <c r="AU571" s="1366"/>
      <c r="AV571" s="1366"/>
      <c r="AW571" s="1366"/>
      <c r="AX571" s="1366"/>
      <c r="AY571" s="1366"/>
      <c r="AZ571" s="1366"/>
      <c r="BA571" s="1366"/>
      <c r="BB571" s="1366"/>
      <c r="BC571" s="1366"/>
      <c r="BD571" s="1366"/>
      <c r="BE571" s="1366"/>
      <c r="BF571" s="1366"/>
      <c r="BG571" s="1366"/>
      <c r="BH571" s="1366"/>
      <c r="BI571" s="1366"/>
      <c r="BJ571" s="1366"/>
      <c r="BK571" s="1366"/>
      <c r="BL571" s="1366"/>
      <c r="BM571" s="1366"/>
      <c r="BN571" s="1366"/>
      <c r="BO571" s="1366"/>
      <c r="BP571" s="1366"/>
      <c r="BQ571" s="1366"/>
      <c r="BR571" s="1366"/>
      <c r="BS571" s="1366"/>
      <c r="BT571" s="1366"/>
      <c r="BU571" s="1366"/>
      <c r="BV571" s="1366"/>
      <c r="BW571" s="1366"/>
      <c r="BX571" s="1366"/>
      <c r="BY571" s="1366"/>
      <c r="BZ571" s="1366"/>
      <c r="CA571" s="1366"/>
      <c r="CB571" s="1366"/>
      <c r="CC571" s="1366"/>
      <c r="CD571" s="1366"/>
      <c r="CE571" s="1366"/>
      <c r="CF571" s="1366"/>
      <c r="CG571" s="1366"/>
      <c r="CH571" s="1366"/>
      <c r="CI571" s="1366"/>
      <c r="CJ571" s="1366"/>
      <c r="CK571" s="1366"/>
      <c r="CL571" s="1366"/>
      <c r="CM571" s="1366"/>
      <c r="CN571" s="1366"/>
      <c r="CO571" s="1366"/>
      <c r="CP571" s="1366"/>
      <c r="CQ571" s="1366"/>
      <c r="CR571" s="1366"/>
      <c r="CS571" s="1366"/>
      <c r="CT571" s="1366"/>
      <c r="CU571" s="1366"/>
      <c r="CV571" s="1366"/>
      <c r="CW571" s="1366"/>
      <c r="CX571" s="1366"/>
      <c r="CY571" s="1366"/>
      <c r="CZ571" s="1366"/>
      <c r="DA571" s="1366"/>
      <c r="DB571" s="1366"/>
      <c r="DC571" s="1366"/>
      <c r="DD571" s="1366"/>
      <c r="DE571" s="1366"/>
      <c r="DF571" s="1366"/>
      <c r="DG571" s="1366"/>
      <c r="DH571" s="1366"/>
      <c r="DI571" s="1366"/>
      <c r="DJ571" s="1366"/>
      <c r="DK571" s="1366"/>
      <c r="DL571" s="1366"/>
      <c r="DM571" s="1366"/>
      <c r="DN571" s="1366"/>
      <c r="DO571" s="1366"/>
      <c r="DP571" s="1366"/>
      <c r="DQ571" s="1366"/>
      <c r="DR571" s="1366"/>
      <c r="DS571" s="1366"/>
      <c r="DT571" s="1366"/>
      <c r="DU571" s="1366"/>
      <c r="DV571" s="1366"/>
    </row>
    <row r="572" spans="1:126" s="1367" customFormat="1" ht="30">
      <c r="A572" s="2530"/>
      <c r="B572" s="1659">
        <v>269</v>
      </c>
      <c r="C572" s="1671" t="s">
        <v>49</v>
      </c>
      <c r="D572" s="1396" t="s">
        <v>2422</v>
      </c>
      <c r="E572" s="1376" t="s">
        <v>2097</v>
      </c>
      <c r="F572" s="1376" t="s">
        <v>2107</v>
      </c>
      <c r="G572" s="1377" t="s">
        <v>1907</v>
      </c>
      <c r="H572" s="1514"/>
      <c r="I572" s="1419"/>
      <c r="J572" s="1513"/>
      <c r="K572" s="1513"/>
      <c r="L572" s="1420"/>
      <c r="M572" s="1513"/>
      <c r="N572" s="1465"/>
      <c r="O572" s="1429"/>
      <c r="P572" s="1430"/>
      <c r="Q572" s="1430"/>
      <c r="R572" s="1430"/>
      <c r="S572" s="1430"/>
      <c r="T572" s="1430"/>
      <c r="U572" s="1430"/>
      <c r="V572" s="1679"/>
      <c r="W572" s="1366"/>
      <c r="X572" s="1366"/>
      <c r="Y572" s="1366"/>
      <c r="Z572" s="1366"/>
      <c r="AA572" s="1366"/>
      <c r="AB572" s="1366"/>
      <c r="AC572" s="1366"/>
      <c r="AD572" s="1366"/>
      <c r="AE572" s="1366"/>
      <c r="AF572" s="1366"/>
      <c r="AG572" s="1366"/>
      <c r="AH572" s="1366"/>
      <c r="AI572" s="1366"/>
      <c r="AJ572" s="1366"/>
      <c r="AK572" s="1366"/>
      <c r="AL572" s="1366"/>
      <c r="AM572" s="1366"/>
      <c r="AN572" s="1366"/>
      <c r="AO572" s="1366"/>
      <c r="AP572" s="1366"/>
      <c r="AQ572" s="1366"/>
      <c r="AR572" s="1366"/>
      <c r="AS572" s="1366"/>
      <c r="AT572" s="1366"/>
      <c r="AU572" s="1366"/>
      <c r="AV572" s="1366"/>
      <c r="AW572" s="1366"/>
      <c r="AX572" s="1366"/>
      <c r="AY572" s="1366"/>
      <c r="AZ572" s="1366"/>
      <c r="BA572" s="1366"/>
      <c r="BB572" s="1366"/>
      <c r="BC572" s="1366"/>
      <c r="BD572" s="1366"/>
      <c r="BE572" s="1366"/>
      <c r="BF572" s="1366"/>
      <c r="BG572" s="1366"/>
      <c r="BH572" s="1366"/>
      <c r="BI572" s="1366"/>
      <c r="BJ572" s="1366"/>
      <c r="BK572" s="1366"/>
      <c r="BL572" s="1366"/>
      <c r="BM572" s="1366"/>
      <c r="BN572" s="1366"/>
      <c r="BO572" s="1366"/>
      <c r="BP572" s="1366"/>
      <c r="BQ572" s="1366"/>
      <c r="BR572" s="1366"/>
      <c r="BS572" s="1366"/>
      <c r="BT572" s="1366"/>
      <c r="BU572" s="1366"/>
      <c r="BV572" s="1366"/>
      <c r="BW572" s="1366"/>
      <c r="BX572" s="1366"/>
      <c r="BY572" s="1366"/>
      <c r="BZ572" s="1366"/>
      <c r="CA572" s="1366"/>
      <c r="CB572" s="1366"/>
      <c r="CC572" s="1366"/>
      <c r="CD572" s="1366"/>
      <c r="CE572" s="1366"/>
      <c r="CF572" s="1366"/>
      <c r="CG572" s="1366"/>
      <c r="CH572" s="1366"/>
      <c r="CI572" s="1366"/>
      <c r="CJ572" s="1366"/>
      <c r="CK572" s="1366"/>
      <c r="CL572" s="1366"/>
      <c r="CM572" s="1366"/>
      <c r="CN572" s="1366"/>
      <c r="CO572" s="1366"/>
      <c r="CP572" s="1366"/>
      <c r="CQ572" s="1366"/>
      <c r="CR572" s="1366"/>
      <c r="CS572" s="1366"/>
      <c r="CT572" s="1366"/>
      <c r="CU572" s="1366"/>
      <c r="CV572" s="1366"/>
      <c r="CW572" s="1366"/>
      <c r="CX572" s="1366"/>
      <c r="CY572" s="1366"/>
      <c r="CZ572" s="1366"/>
      <c r="DA572" s="1366"/>
      <c r="DB572" s="1366"/>
      <c r="DC572" s="1366"/>
      <c r="DD572" s="1366"/>
      <c r="DE572" s="1366"/>
      <c r="DF572" s="1366"/>
      <c r="DG572" s="1366"/>
      <c r="DH572" s="1366"/>
      <c r="DI572" s="1366"/>
      <c r="DJ572" s="1366"/>
      <c r="DK572" s="1366"/>
      <c r="DL572" s="1366"/>
      <c r="DM572" s="1366"/>
      <c r="DN572" s="1366"/>
      <c r="DO572" s="1366"/>
      <c r="DP572" s="1366"/>
      <c r="DQ572" s="1366"/>
      <c r="DR572" s="1366"/>
      <c r="DS572" s="1366"/>
      <c r="DT572" s="1366"/>
      <c r="DU572" s="1366"/>
      <c r="DV572" s="1366"/>
    </row>
    <row r="573" spans="1:126" s="1367" customFormat="1" ht="30">
      <c r="A573" s="2530"/>
      <c r="B573" s="1659">
        <v>272</v>
      </c>
      <c r="C573" s="1671" t="s">
        <v>49</v>
      </c>
      <c r="D573" s="1396" t="s">
        <v>2423</v>
      </c>
      <c r="E573" s="1376" t="s">
        <v>2097</v>
      </c>
      <c r="F573" s="1376" t="s">
        <v>2107</v>
      </c>
      <c r="G573" s="1377" t="s">
        <v>1907</v>
      </c>
      <c r="H573" s="1514"/>
      <c r="I573" s="1419"/>
      <c r="J573" s="1513"/>
      <c r="K573" s="1513"/>
      <c r="L573" s="1420"/>
      <c r="M573" s="1513"/>
      <c r="N573" s="1465"/>
      <c r="O573" s="1429"/>
      <c r="P573" s="1430"/>
      <c r="Q573" s="1430"/>
      <c r="R573" s="1430"/>
      <c r="S573" s="1430"/>
      <c r="T573" s="1430"/>
      <c r="U573" s="1430"/>
      <c r="V573" s="1679"/>
      <c r="W573" s="1366"/>
      <c r="X573" s="1366"/>
      <c r="Y573" s="1366"/>
      <c r="Z573" s="1366"/>
      <c r="AA573" s="1366"/>
      <c r="AB573" s="1366"/>
      <c r="AC573" s="1366"/>
      <c r="AD573" s="1366"/>
      <c r="AE573" s="1366"/>
      <c r="AF573" s="1366"/>
      <c r="AG573" s="1366"/>
      <c r="AH573" s="1366"/>
      <c r="AI573" s="1366"/>
      <c r="AJ573" s="1366"/>
      <c r="AK573" s="1366"/>
      <c r="AL573" s="1366"/>
      <c r="AM573" s="1366"/>
      <c r="AN573" s="1366"/>
      <c r="AO573" s="1366"/>
      <c r="AP573" s="1366"/>
      <c r="AQ573" s="1366"/>
      <c r="AR573" s="1366"/>
      <c r="AS573" s="1366"/>
      <c r="AT573" s="1366"/>
      <c r="AU573" s="1366"/>
      <c r="AV573" s="1366"/>
      <c r="AW573" s="1366"/>
      <c r="AX573" s="1366"/>
      <c r="AY573" s="1366"/>
      <c r="AZ573" s="1366"/>
      <c r="BA573" s="1366"/>
      <c r="BB573" s="1366"/>
      <c r="BC573" s="1366"/>
      <c r="BD573" s="1366"/>
      <c r="BE573" s="1366"/>
      <c r="BF573" s="1366"/>
      <c r="BG573" s="1366"/>
      <c r="BH573" s="1366"/>
      <c r="BI573" s="1366"/>
      <c r="BJ573" s="1366"/>
      <c r="BK573" s="1366"/>
      <c r="BL573" s="1366"/>
      <c r="BM573" s="1366"/>
      <c r="BN573" s="1366"/>
      <c r="BO573" s="1366"/>
      <c r="BP573" s="1366"/>
      <c r="BQ573" s="1366"/>
      <c r="BR573" s="1366"/>
      <c r="BS573" s="1366"/>
      <c r="BT573" s="1366"/>
      <c r="BU573" s="1366"/>
      <c r="BV573" s="1366"/>
      <c r="BW573" s="1366"/>
      <c r="BX573" s="1366"/>
      <c r="BY573" s="1366"/>
      <c r="BZ573" s="1366"/>
      <c r="CA573" s="1366"/>
      <c r="CB573" s="1366"/>
      <c r="CC573" s="1366"/>
      <c r="CD573" s="1366"/>
      <c r="CE573" s="1366"/>
      <c r="CF573" s="1366"/>
      <c r="CG573" s="1366"/>
      <c r="CH573" s="1366"/>
      <c r="CI573" s="1366"/>
      <c r="CJ573" s="1366"/>
      <c r="CK573" s="1366"/>
      <c r="CL573" s="1366"/>
      <c r="CM573" s="1366"/>
      <c r="CN573" s="1366"/>
      <c r="CO573" s="1366"/>
      <c r="CP573" s="1366"/>
      <c r="CQ573" s="1366"/>
      <c r="CR573" s="1366"/>
      <c r="CS573" s="1366"/>
      <c r="CT573" s="1366"/>
      <c r="CU573" s="1366"/>
      <c r="CV573" s="1366"/>
      <c r="CW573" s="1366"/>
      <c r="CX573" s="1366"/>
      <c r="CY573" s="1366"/>
      <c r="CZ573" s="1366"/>
      <c r="DA573" s="1366"/>
      <c r="DB573" s="1366"/>
      <c r="DC573" s="1366"/>
      <c r="DD573" s="1366"/>
      <c r="DE573" s="1366"/>
      <c r="DF573" s="1366"/>
      <c r="DG573" s="1366"/>
      <c r="DH573" s="1366"/>
      <c r="DI573" s="1366"/>
      <c r="DJ573" s="1366"/>
      <c r="DK573" s="1366"/>
      <c r="DL573" s="1366"/>
      <c r="DM573" s="1366"/>
      <c r="DN573" s="1366"/>
      <c r="DO573" s="1366"/>
      <c r="DP573" s="1366"/>
      <c r="DQ573" s="1366"/>
      <c r="DR573" s="1366"/>
      <c r="DS573" s="1366"/>
      <c r="DT573" s="1366"/>
      <c r="DU573" s="1366"/>
      <c r="DV573" s="1366"/>
    </row>
    <row r="574" spans="1:126" s="1367" customFormat="1" ht="30">
      <c r="A574" s="2530"/>
      <c r="B574" s="1659">
        <v>238</v>
      </c>
      <c r="C574" s="1671" t="s">
        <v>49</v>
      </c>
      <c r="D574" s="1396" t="s">
        <v>2424</v>
      </c>
      <c r="E574" s="1376" t="s">
        <v>2097</v>
      </c>
      <c r="F574" s="1376" t="s">
        <v>2107</v>
      </c>
      <c r="G574" s="1377" t="s">
        <v>1907</v>
      </c>
      <c r="H574" s="1514"/>
      <c r="I574" s="1419"/>
      <c r="J574" s="1513"/>
      <c r="K574" s="1513"/>
      <c r="L574" s="1420"/>
      <c r="M574" s="1513"/>
      <c r="N574" s="1465"/>
      <c r="O574" s="1429"/>
      <c r="P574" s="1430"/>
      <c r="Q574" s="1430"/>
      <c r="R574" s="1430"/>
      <c r="S574" s="1430"/>
      <c r="T574" s="1430"/>
      <c r="U574" s="1430"/>
      <c r="V574" s="1679"/>
      <c r="W574" s="1366"/>
      <c r="X574" s="1366"/>
      <c r="Y574" s="1366"/>
      <c r="Z574" s="1366"/>
      <c r="AA574" s="1366"/>
      <c r="AB574" s="1366"/>
      <c r="AC574" s="1366"/>
      <c r="AD574" s="1366"/>
      <c r="AE574" s="1366"/>
      <c r="AF574" s="1366"/>
      <c r="AG574" s="1366"/>
      <c r="AH574" s="1366"/>
      <c r="AI574" s="1366"/>
      <c r="AJ574" s="1366"/>
      <c r="AK574" s="1366"/>
      <c r="AL574" s="1366"/>
      <c r="AM574" s="1366"/>
      <c r="AN574" s="1366"/>
      <c r="AO574" s="1366"/>
      <c r="AP574" s="1366"/>
      <c r="AQ574" s="1366"/>
      <c r="AR574" s="1366"/>
      <c r="AS574" s="1366"/>
      <c r="AT574" s="1366"/>
      <c r="AU574" s="1366"/>
      <c r="AV574" s="1366"/>
      <c r="AW574" s="1366"/>
      <c r="AX574" s="1366"/>
      <c r="AY574" s="1366"/>
      <c r="AZ574" s="1366"/>
      <c r="BA574" s="1366"/>
      <c r="BB574" s="1366"/>
      <c r="BC574" s="1366"/>
      <c r="BD574" s="1366"/>
      <c r="BE574" s="1366"/>
      <c r="BF574" s="1366"/>
      <c r="BG574" s="1366"/>
      <c r="BH574" s="1366"/>
      <c r="BI574" s="1366"/>
      <c r="BJ574" s="1366"/>
      <c r="BK574" s="1366"/>
      <c r="BL574" s="1366"/>
      <c r="BM574" s="1366"/>
      <c r="BN574" s="1366"/>
      <c r="BO574" s="1366"/>
      <c r="BP574" s="1366"/>
      <c r="BQ574" s="1366"/>
      <c r="BR574" s="1366"/>
      <c r="BS574" s="1366"/>
      <c r="BT574" s="1366"/>
      <c r="BU574" s="1366"/>
      <c r="BV574" s="1366"/>
      <c r="BW574" s="1366"/>
      <c r="BX574" s="1366"/>
      <c r="BY574" s="1366"/>
      <c r="BZ574" s="1366"/>
      <c r="CA574" s="1366"/>
      <c r="CB574" s="1366"/>
      <c r="CC574" s="1366"/>
      <c r="CD574" s="1366"/>
      <c r="CE574" s="1366"/>
      <c r="CF574" s="1366"/>
      <c r="CG574" s="1366"/>
      <c r="CH574" s="1366"/>
      <c r="CI574" s="1366"/>
      <c r="CJ574" s="1366"/>
      <c r="CK574" s="1366"/>
      <c r="CL574" s="1366"/>
      <c r="CM574" s="1366"/>
      <c r="CN574" s="1366"/>
      <c r="CO574" s="1366"/>
      <c r="CP574" s="1366"/>
      <c r="CQ574" s="1366"/>
      <c r="CR574" s="1366"/>
      <c r="CS574" s="1366"/>
      <c r="CT574" s="1366"/>
      <c r="CU574" s="1366"/>
      <c r="CV574" s="1366"/>
      <c r="CW574" s="1366"/>
      <c r="CX574" s="1366"/>
      <c r="CY574" s="1366"/>
      <c r="CZ574" s="1366"/>
      <c r="DA574" s="1366"/>
      <c r="DB574" s="1366"/>
      <c r="DC574" s="1366"/>
      <c r="DD574" s="1366"/>
      <c r="DE574" s="1366"/>
      <c r="DF574" s="1366"/>
      <c r="DG574" s="1366"/>
      <c r="DH574" s="1366"/>
      <c r="DI574" s="1366"/>
      <c r="DJ574" s="1366"/>
      <c r="DK574" s="1366"/>
      <c r="DL574" s="1366"/>
      <c r="DM574" s="1366"/>
      <c r="DN574" s="1366"/>
      <c r="DO574" s="1366"/>
      <c r="DP574" s="1366"/>
      <c r="DQ574" s="1366"/>
      <c r="DR574" s="1366"/>
      <c r="DS574" s="1366"/>
      <c r="DT574" s="1366"/>
      <c r="DU574" s="1366"/>
      <c r="DV574" s="1366"/>
    </row>
    <row r="575" spans="1:126" s="1367" customFormat="1" ht="30">
      <c r="A575" s="2530"/>
      <c r="B575" s="1659">
        <v>244</v>
      </c>
      <c r="C575" s="1671" t="s">
        <v>49</v>
      </c>
      <c r="D575" s="1396" t="s">
        <v>2425</v>
      </c>
      <c r="E575" s="1376" t="s">
        <v>2097</v>
      </c>
      <c r="F575" s="1376" t="s">
        <v>2107</v>
      </c>
      <c r="G575" s="1377" t="s">
        <v>1907</v>
      </c>
      <c r="H575" s="1514"/>
      <c r="I575" s="1419"/>
      <c r="J575" s="1513"/>
      <c r="K575" s="1513"/>
      <c r="L575" s="1420"/>
      <c r="M575" s="1513"/>
      <c r="N575" s="1465"/>
      <c r="O575" s="1429"/>
      <c r="P575" s="1430"/>
      <c r="Q575" s="1430"/>
      <c r="R575" s="1430"/>
      <c r="S575" s="1430"/>
      <c r="T575" s="1430"/>
      <c r="U575" s="1430"/>
      <c r="V575" s="1679"/>
      <c r="W575" s="1366"/>
      <c r="X575" s="1366"/>
      <c r="Y575" s="1366"/>
      <c r="Z575" s="1366"/>
      <c r="AA575" s="1366"/>
      <c r="AB575" s="1366"/>
      <c r="AC575" s="1366"/>
      <c r="AD575" s="1366"/>
      <c r="AE575" s="1366"/>
      <c r="AF575" s="1366"/>
      <c r="AG575" s="1366"/>
      <c r="AH575" s="1366"/>
      <c r="AI575" s="1366"/>
      <c r="AJ575" s="1366"/>
      <c r="AK575" s="1366"/>
      <c r="AL575" s="1366"/>
      <c r="AM575" s="1366"/>
      <c r="AN575" s="1366"/>
      <c r="AO575" s="1366"/>
      <c r="AP575" s="1366"/>
      <c r="AQ575" s="1366"/>
      <c r="AR575" s="1366"/>
      <c r="AS575" s="1366"/>
      <c r="AT575" s="1366"/>
      <c r="AU575" s="1366"/>
      <c r="AV575" s="1366"/>
      <c r="AW575" s="1366"/>
      <c r="AX575" s="1366"/>
      <c r="AY575" s="1366"/>
      <c r="AZ575" s="1366"/>
      <c r="BA575" s="1366"/>
      <c r="BB575" s="1366"/>
      <c r="BC575" s="1366"/>
      <c r="BD575" s="1366"/>
      <c r="BE575" s="1366"/>
      <c r="BF575" s="1366"/>
      <c r="BG575" s="1366"/>
      <c r="BH575" s="1366"/>
      <c r="BI575" s="1366"/>
      <c r="BJ575" s="1366"/>
      <c r="BK575" s="1366"/>
      <c r="BL575" s="1366"/>
      <c r="BM575" s="1366"/>
      <c r="BN575" s="1366"/>
      <c r="BO575" s="1366"/>
      <c r="BP575" s="1366"/>
      <c r="BQ575" s="1366"/>
      <c r="BR575" s="1366"/>
      <c r="BS575" s="1366"/>
      <c r="BT575" s="1366"/>
      <c r="BU575" s="1366"/>
      <c r="BV575" s="1366"/>
      <c r="BW575" s="1366"/>
      <c r="BX575" s="1366"/>
      <c r="BY575" s="1366"/>
      <c r="BZ575" s="1366"/>
      <c r="CA575" s="1366"/>
      <c r="CB575" s="1366"/>
      <c r="CC575" s="1366"/>
      <c r="CD575" s="1366"/>
      <c r="CE575" s="1366"/>
      <c r="CF575" s="1366"/>
      <c r="CG575" s="1366"/>
      <c r="CH575" s="1366"/>
      <c r="CI575" s="1366"/>
      <c r="CJ575" s="1366"/>
      <c r="CK575" s="1366"/>
      <c r="CL575" s="1366"/>
      <c r="CM575" s="1366"/>
      <c r="CN575" s="1366"/>
      <c r="CO575" s="1366"/>
      <c r="CP575" s="1366"/>
      <c r="CQ575" s="1366"/>
      <c r="CR575" s="1366"/>
      <c r="CS575" s="1366"/>
      <c r="CT575" s="1366"/>
      <c r="CU575" s="1366"/>
      <c r="CV575" s="1366"/>
      <c r="CW575" s="1366"/>
      <c r="CX575" s="1366"/>
      <c r="CY575" s="1366"/>
      <c r="CZ575" s="1366"/>
      <c r="DA575" s="1366"/>
      <c r="DB575" s="1366"/>
      <c r="DC575" s="1366"/>
      <c r="DD575" s="1366"/>
      <c r="DE575" s="1366"/>
      <c r="DF575" s="1366"/>
      <c r="DG575" s="1366"/>
      <c r="DH575" s="1366"/>
      <c r="DI575" s="1366"/>
      <c r="DJ575" s="1366"/>
      <c r="DK575" s="1366"/>
      <c r="DL575" s="1366"/>
      <c r="DM575" s="1366"/>
      <c r="DN575" s="1366"/>
      <c r="DO575" s="1366"/>
      <c r="DP575" s="1366"/>
      <c r="DQ575" s="1366"/>
      <c r="DR575" s="1366"/>
      <c r="DS575" s="1366"/>
      <c r="DT575" s="1366"/>
      <c r="DU575" s="1366"/>
      <c r="DV575" s="1366"/>
    </row>
    <row r="576" spans="1:126" s="1367" customFormat="1" ht="30.75" thickBot="1">
      <c r="A576" s="2533"/>
      <c r="B576" s="1659">
        <v>250</v>
      </c>
      <c r="C576" s="1671" t="s">
        <v>49</v>
      </c>
      <c r="D576" s="1396" t="s">
        <v>2426</v>
      </c>
      <c r="E576" s="1376" t="s">
        <v>2097</v>
      </c>
      <c r="F576" s="1376" t="s">
        <v>2107</v>
      </c>
      <c r="G576" s="1377" t="s">
        <v>1907</v>
      </c>
      <c r="H576" s="1514"/>
      <c r="I576" s="1419"/>
      <c r="J576" s="1513"/>
      <c r="K576" s="1513"/>
      <c r="L576" s="1420"/>
      <c r="M576" s="1513"/>
      <c r="N576" s="1465"/>
      <c r="O576" s="1429"/>
      <c r="P576" s="1430"/>
      <c r="Q576" s="1430"/>
      <c r="R576" s="1430"/>
      <c r="S576" s="1430"/>
      <c r="T576" s="1430"/>
      <c r="U576" s="1430"/>
      <c r="V576" s="1679"/>
      <c r="W576" s="1366"/>
      <c r="X576" s="1366"/>
      <c r="Y576" s="1366"/>
      <c r="Z576" s="1366"/>
      <c r="AA576" s="1366"/>
      <c r="AB576" s="1366"/>
      <c r="AC576" s="1366"/>
      <c r="AD576" s="1366"/>
      <c r="AE576" s="1366"/>
      <c r="AF576" s="1366"/>
      <c r="AG576" s="1366"/>
      <c r="AH576" s="1366"/>
      <c r="AI576" s="1366"/>
      <c r="AJ576" s="1366"/>
      <c r="AK576" s="1366"/>
      <c r="AL576" s="1366"/>
      <c r="AM576" s="1366"/>
      <c r="AN576" s="1366"/>
      <c r="AO576" s="1366"/>
      <c r="AP576" s="1366"/>
      <c r="AQ576" s="1366"/>
      <c r="AR576" s="1366"/>
      <c r="AS576" s="1366"/>
      <c r="AT576" s="1366"/>
      <c r="AU576" s="1366"/>
      <c r="AV576" s="1366"/>
      <c r="AW576" s="1366"/>
      <c r="AX576" s="1366"/>
      <c r="AY576" s="1366"/>
      <c r="AZ576" s="1366"/>
      <c r="BA576" s="1366"/>
      <c r="BB576" s="1366"/>
      <c r="BC576" s="1366"/>
      <c r="BD576" s="1366"/>
      <c r="BE576" s="1366"/>
      <c r="BF576" s="1366"/>
      <c r="BG576" s="1366"/>
      <c r="BH576" s="1366"/>
      <c r="BI576" s="1366"/>
      <c r="BJ576" s="1366"/>
      <c r="BK576" s="1366"/>
      <c r="BL576" s="1366"/>
      <c r="BM576" s="1366"/>
      <c r="BN576" s="1366"/>
      <c r="BO576" s="1366"/>
      <c r="BP576" s="1366"/>
      <c r="BQ576" s="1366"/>
      <c r="BR576" s="1366"/>
      <c r="BS576" s="1366"/>
      <c r="BT576" s="1366"/>
      <c r="BU576" s="1366"/>
      <c r="BV576" s="1366"/>
      <c r="BW576" s="1366"/>
      <c r="BX576" s="1366"/>
      <c r="BY576" s="1366"/>
      <c r="BZ576" s="1366"/>
      <c r="CA576" s="1366"/>
      <c r="CB576" s="1366"/>
      <c r="CC576" s="1366"/>
      <c r="CD576" s="1366"/>
      <c r="CE576" s="1366"/>
      <c r="CF576" s="1366"/>
      <c r="CG576" s="1366"/>
      <c r="CH576" s="1366"/>
      <c r="CI576" s="1366"/>
      <c r="CJ576" s="1366"/>
      <c r="CK576" s="1366"/>
      <c r="CL576" s="1366"/>
      <c r="CM576" s="1366"/>
      <c r="CN576" s="1366"/>
      <c r="CO576" s="1366"/>
      <c r="CP576" s="1366"/>
      <c r="CQ576" s="1366"/>
      <c r="CR576" s="1366"/>
      <c r="CS576" s="1366"/>
      <c r="CT576" s="1366"/>
      <c r="CU576" s="1366"/>
      <c r="CV576" s="1366"/>
      <c r="CW576" s="1366"/>
      <c r="CX576" s="1366"/>
      <c r="CY576" s="1366"/>
      <c r="CZ576" s="1366"/>
      <c r="DA576" s="1366"/>
      <c r="DB576" s="1366"/>
      <c r="DC576" s="1366"/>
      <c r="DD576" s="1366"/>
      <c r="DE576" s="1366"/>
      <c r="DF576" s="1366"/>
      <c r="DG576" s="1366"/>
      <c r="DH576" s="1366"/>
      <c r="DI576" s="1366"/>
      <c r="DJ576" s="1366"/>
      <c r="DK576" s="1366"/>
      <c r="DL576" s="1366"/>
      <c r="DM576" s="1366"/>
      <c r="DN576" s="1366"/>
      <c r="DO576" s="1366"/>
      <c r="DP576" s="1366"/>
      <c r="DQ576" s="1366"/>
      <c r="DR576" s="1366"/>
      <c r="DS576" s="1366"/>
      <c r="DT576" s="1366"/>
      <c r="DU576" s="1366"/>
      <c r="DV576" s="1366"/>
    </row>
    <row r="577" spans="1:126" s="1479" customFormat="1" ht="19.5" thickBot="1">
      <c r="A577" s="695"/>
      <c r="B577" s="1654"/>
      <c r="C577" s="1654"/>
      <c r="D577" s="1343"/>
      <c r="E577" s="1343"/>
      <c r="F577" s="1343"/>
      <c r="G577" s="1343"/>
      <c r="H577" s="1422"/>
      <c r="I577" s="1447"/>
      <c r="J577" s="1423"/>
      <c r="K577" s="1422"/>
      <c r="L577" s="1527"/>
      <c r="M577" s="1422"/>
      <c r="N577" s="1503"/>
      <c r="O577" s="1413"/>
      <c r="P577" s="1414"/>
      <c r="Q577" s="1414"/>
      <c r="R577" s="1443"/>
      <c r="S577" s="1443"/>
      <c r="T577" s="1488"/>
      <c r="U577" s="1488"/>
      <c r="V577" s="1489"/>
      <c r="W577" s="1490"/>
      <c r="X577" s="1490"/>
      <c r="Y577" s="327"/>
      <c r="Z577" s="327"/>
      <c r="AA577" s="327"/>
      <c r="AB577" s="1490"/>
      <c r="AC577" s="1490"/>
      <c r="AD577" s="1490"/>
      <c r="AE577" s="1490"/>
      <c r="AF577" s="327"/>
      <c r="AG577" s="327"/>
      <c r="AH577" s="327"/>
      <c r="AI577" s="327"/>
      <c r="AJ577" s="327"/>
      <c r="AK577" s="1478"/>
      <c r="AL577" s="1478"/>
      <c r="AM577" s="1478"/>
      <c r="AN577" s="1478"/>
      <c r="AO577" s="1478"/>
      <c r="AP577" s="1478"/>
      <c r="AQ577" s="1478"/>
      <c r="AR577" s="1478"/>
      <c r="AS577" s="1478"/>
      <c r="AT577" s="1478"/>
      <c r="AU577" s="1478"/>
      <c r="AV577" s="1478"/>
      <c r="AW577" s="1478"/>
      <c r="AX577" s="1478"/>
      <c r="AY577" s="1478"/>
      <c r="AZ577" s="1478"/>
      <c r="BA577" s="1478"/>
      <c r="BB577" s="1478"/>
      <c r="BC577" s="1478"/>
      <c r="BD577" s="1478"/>
      <c r="BE577" s="1478"/>
      <c r="BF577" s="1478"/>
      <c r="BG577" s="1478"/>
      <c r="BH577" s="1478"/>
      <c r="BI577" s="1478"/>
      <c r="BJ577" s="1478"/>
      <c r="BK577" s="327"/>
      <c r="BL577" s="327"/>
      <c r="BM577" s="327"/>
      <c r="BN577" s="327"/>
      <c r="BO577" s="327"/>
      <c r="BP577" s="327"/>
      <c r="BQ577" s="327"/>
      <c r="BR577" s="327"/>
      <c r="BS577" s="327"/>
      <c r="BT577" s="327"/>
      <c r="BU577" s="327"/>
      <c r="BV577" s="327"/>
      <c r="BW577" s="327"/>
      <c r="BX577" s="327"/>
      <c r="BY577" s="327"/>
      <c r="BZ577" s="327"/>
      <c r="CA577" s="327"/>
      <c r="CB577" s="327"/>
      <c r="CC577" s="327"/>
      <c r="CD577" s="327"/>
      <c r="CE577" s="327"/>
      <c r="CF577" s="327"/>
      <c r="CG577" s="327"/>
      <c r="CH577" s="327"/>
      <c r="CI577" s="327"/>
      <c r="CJ577" s="327"/>
      <c r="CK577" s="327"/>
      <c r="CL577" s="327"/>
      <c r="CM577" s="327"/>
      <c r="CN577" s="327"/>
      <c r="CO577" s="327"/>
      <c r="CP577" s="327"/>
      <c r="CQ577" s="327"/>
      <c r="CR577" s="327"/>
      <c r="CS577" s="327"/>
      <c r="CT577" s="327"/>
      <c r="CU577" s="327"/>
      <c r="CV577" s="327"/>
      <c r="CW577" s="327"/>
      <c r="CX577" s="327"/>
      <c r="CY577" s="327"/>
      <c r="CZ577" s="327"/>
      <c r="DA577" s="327"/>
      <c r="DB577" s="327"/>
      <c r="DC577" s="327"/>
      <c r="DD577" s="327"/>
      <c r="DE577" s="327"/>
      <c r="DF577" s="327"/>
      <c r="DG577" s="327"/>
      <c r="DH577" s="327"/>
      <c r="DI577" s="327"/>
      <c r="DJ577" s="327"/>
      <c r="DK577" s="327"/>
      <c r="DL577" s="327"/>
      <c r="DM577" s="327"/>
      <c r="DN577" s="327"/>
      <c r="DO577" s="327"/>
      <c r="DP577" s="327"/>
      <c r="DQ577" s="327"/>
      <c r="DR577" s="327"/>
      <c r="DS577" s="327"/>
      <c r="DT577" s="327"/>
      <c r="DU577" s="327"/>
      <c r="DV577" s="327"/>
    </row>
    <row r="578" spans="1:126" s="1367" customFormat="1" ht="15" customHeight="1">
      <c r="A578" s="2493" t="s">
        <v>922</v>
      </c>
      <c r="B578" s="2501" t="s">
        <v>2698</v>
      </c>
      <c r="C578" s="623" t="str">
        <f>'Equipment Results Matrix'!W1066</f>
        <v>Baseline</v>
      </c>
      <c r="D578" s="383" t="str">
        <f>'Equipment Results Matrix'!X1066</f>
        <v>Incandescent Globe, 2,000 hours, low brightness  (40 watts)</v>
      </c>
      <c r="E578" s="383" t="s">
        <v>2097</v>
      </c>
      <c r="F578" s="383" t="s">
        <v>2107</v>
      </c>
      <c r="G578" s="1617" t="s">
        <v>1907</v>
      </c>
      <c r="H578" s="1589">
        <f>'Equipment Results Matrix'!Y1066</f>
        <v>4.7540186350651101</v>
      </c>
      <c r="I578" s="1564">
        <f>'Labor Results Matrix'!$E$505</f>
        <v>0.05</v>
      </c>
      <c r="J578" s="1566">
        <f>'Labor Results Matrix'!$G$505*(1+'Labor Results Matrix'!$K$505)</f>
        <v>72.260416710552065</v>
      </c>
      <c r="K578" s="1566">
        <f>J578*I578</f>
        <v>3.6130208355276032</v>
      </c>
      <c r="L578" s="1566">
        <v>0</v>
      </c>
      <c r="M578" s="1591">
        <f>H578+K578+L578</f>
        <v>8.3670394705927134</v>
      </c>
      <c r="N578" s="1592" t="s">
        <v>40</v>
      </c>
      <c r="O578" s="1429"/>
      <c r="P578" s="1430"/>
      <c r="Q578" s="1430"/>
      <c r="R578" s="1430"/>
      <c r="S578" s="1430"/>
      <c r="T578" s="1430"/>
      <c r="U578" s="1430"/>
      <c r="V578" s="1679"/>
      <c r="W578" s="1366"/>
      <c r="X578" s="1366"/>
      <c r="Y578" s="1366"/>
      <c r="Z578" s="1366"/>
      <c r="AA578" s="1366"/>
      <c r="AB578" s="1366"/>
      <c r="AC578" s="1366"/>
      <c r="AD578" s="1366"/>
      <c r="AE578" s="1366"/>
      <c r="AF578" s="1366"/>
      <c r="AG578" s="1366"/>
      <c r="AH578" s="1366"/>
      <c r="AI578" s="1366"/>
      <c r="AJ578" s="1366"/>
      <c r="AK578" s="1366"/>
      <c r="AL578" s="1366"/>
      <c r="AM578" s="1366"/>
      <c r="AN578" s="1366"/>
      <c r="AO578" s="1366"/>
      <c r="AP578" s="1366"/>
      <c r="AQ578" s="1366"/>
      <c r="AR578" s="1366"/>
      <c r="AS578" s="1366"/>
      <c r="AT578" s="1366"/>
      <c r="AU578" s="1366"/>
      <c r="AV578" s="1366"/>
      <c r="AW578" s="1366"/>
      <c r="AX578" s="1366"/>
      <c r="AY578" s="1366"/>
      <c r="AZ578" s="1366"/>
      <c r="BA578" s="1366"/>
      <c r="BB578" s="1366"/>
      <c r="BC578" s="1366"/>
      <c r="BD578" s="1366"/>
      <c r="BE578" s="1366"/>
      <c r="BF578" s="1366"/>
      <c r="BG578" s="1366"/>
      <c r="BH578" s="1366"/>
      <c r="BI578" s="1366"/>
      <c r="BJ578" s="1366"/>
      <c r="BK578" s="1366"/>
      <c r="BL578" s="1366"/>
      <c r="BM578" s="1366"/>
      <c r="BN578" s="1366"/>
      <c r="BO578" s="1366"/>
      <c r="BP578" s="1366"/>
      <c r="BQ578" s="1366"/>
      <c r="BR578" s="1366"/>
      <c r="BS578" s="1366"/>
      <c r="BT578" s="1366"/>
      <c r="BU578" s="1366"/>
      <c r="BV578" s="1366"/>
      <c r="BW578" s="1366"/>
      <c r="BX578" s="1366"/>
      <c r="BY578" s="1366"/>
      <c r="BZ578" s="1366"/>
      <c r="CA578" s="1366"/>
      <c r="CB578" s="1366"/>
      <c r="CC578" s="1366"/>
      <c r="CD578" s="1366"/>
      <c r="CE578" s="1366"/>
      <c r="CF578" s="1366"/>
      <c r="CG578" s="1366"/>
      <c r="CH578" s="1366"/>
      <c r="CI578" s="1366"/>
      <c r="CJ578" s="1366"/>
      <c r="CK578" s="1366"/>
      <c r="CL578" s="1366"/>
      <c r="CM578" s="1366"/>
      <c r="CN578" s="1366"/>
      <c r="CO578" s="1366"/>
      <c r="CP578" s="1366"/>
      <c r="CQ578" s="1366"/>
      <c r="CR578" s="1366"/>
      <c r="CS578" s="1366"/>
      <c r="CT578" s="1366"/>
      <c r="CU578" s="1366"/>
      <c r="CV578" s="1366"/>
      <c r="CW578" s="1366"/>
      <c r="CX578" s="1366"/>
      <c r="CY578" s="1366"/>
      <c r="CZ578" s="1366"/>
      <c r="DA578" s="1366"/>
      <c r="DB578" s="1366"/>
      <c r="DC578" s="1366"/>
      <c r="DD578" s="1366"/>
      <c r="DE578" s="1366"/>
      <c r="DF578" s="1366"/>
      <c r="DG578" s="1366"/>
      <c r="DH578" s="1366"/>
      <c r="DI578" s="1366"/>
      <c r="DJ578" s="1366"/>
      <c r="DK578" s="1366"/>
      <c r="DL578" s="1366"/>
      <c r="DM578" s="1366"/>
      <c r="DN578" s="1366"/>
      <c r="DO578" s="1366"/>
      <c r="DP578" s="1366"/>
      <c r="DQ578" s="1366"/>
      <c r="DR578" s="1366"/>
      <c r="DS578" s="1366"/>
      <c r="DT578" s="1366"/>
      <c r="DU578" s="1366"/>
      <c r="DV578" s="1366"/>
    </row>
    <row r="579" spans="1:126" s="1367" customFormat="1" ht="15" customHeight="1">
      <c r="A579" s="2494"/>
      <c r="B579" s="2502"/>
      <c r="C579" s="1642" t="str">
        <f>'Equipment Results Matrix'!W1067</f>
        <v>Measure</v>
      </c>
      <c r="D579" s="1364" t="str">
        <f>'Equipment Results Matrix'!X1067</f>
        <v>CFL Globe (10 watts)</v>
      </c>
      <c r="E579" s="1364" t="s">
        <v>2097</v>
      </c>
      <c r="F579" s="1364" t="s">
        <v>2107</v>
      </c>
      <c r="G579" s="1618" t="s">
        <v>1907</v>
      </c>
      <c r="H579" s="1619">
        <f>'Equipment Results Matrix'!Y1067</f>
        <v>7.3564288613955355</v>
      </c>
      <c r="I579" s="1371">
        <f>'Labor Results Matrix'!$E$574</f>
        <v>0.05</v>
      </c>
      <c r="J579" s="1372">
        <f>'Labor Results Matrix'!$G$574*(1+'Labor Results Matrix'!$K$574)</f>
        <v>72.260416710552065</v>
      </c>
      <c r="K579" s="1372">
        <f t="shared" ref="K579:K581" si="236">J579*I579</f>
        <v>3.6130208355276032</v>
      </c>
      <c r="L579" s="1372">
        <v>0</v>
      </c>
      <c r="M579" s="1620">
        <f t="shared" ref="M579:M581" si="237">H579+K579+L579</f>
        <v>10.969449696923139</v>
      </c>
      <c r="N579" s="1621">
        <f>M579-M578</f>
        <v>2.6024102263304254</v>
      </c>
      <c r="O579" s="1429"/>
      <c r="P579" s="1430"/>
      <c r="Q579" s="1430"/>
      <c r="R579" s="1430"/>
      <c r="S579" s="1430"/>
      <c r="T579" s="1430"/>
      <c r="U579" s="1430"/>
      <c r="V579" s="1679"/>
      <c r="W579" s="1366"/>
      <c r="X579" s="1366"/>
      <c r="Y579" s="1366"/>
      <c r="Z579" s="1366"/>
      <c r="AA579" s="1366"/>
      <c r="AB579" s="1366"/>
      <c r="AC579" s="1366"/>
      <c r="AD579" s="1366"/>
      <c r="AE579" s="1366"/>
      <c r="AF579" s="1366"/>
      <c r="AG579" s="1366"/>
      <c r="AH579" s="1366"/>
      <c r="AI579" s="1366"/>
      <c r="AJ579" s="1366"/>
      <c r="AK579" s="1366"/>
      <c r="AL579" s="1366"/>
      <c r="AM579" s="1366"/>
      <c r="AN579" s="1366"/>
      <c r="AO579" s="1366"/>
      <c r="AP579" s="1366"/>
      <c r="AQ579" s="1366"/>
      <c r="AR579" s="1366"/>
      <c r="AS579" s="1366"/>
      <c r="AT579" s="1366"/>
      <c r="AU579" s="1366"/>
      <c r="AV579" s="1366"/>
      <c r="AW579" s="1366"/>
      <c r="AX579" s="1366"/>
      <c r="AY579" s="1366"/>
      <c r="AZ579" s="1366"/>
      <c r="BA579" s="1366"/>
      <c r="BB579" s="1366"/>
      <c r="BC579" s="1366"/>
      <c r="BD579" s="1366"/>
      <c r="BE579" s="1366"/>
      <c r="BF579" s="1366"/>
      <c r="BG579" s="1366"/>
      <c r="BH579" s="1366"/>
      <c r="BI579" s="1366"/>
      <c r="BJ579" s="1366"/>
      <c r="BK579" s="1366"/>
      <c r="BL579" s="1366"/>
      <c r="BM579" s="1366"/>
      <c r="BN579" s="1366"/>
      <c r="BO579" s="1366"/>
      <c r="BP579" s="1366"/>
      <c r="BQ579" s="1366"/>
      <c r="BR579" s="1366"/>
      <c r="BS579" s="1366"/>
      <c r="BT579" s="1366"/>
      <c r="BU579" s="1366"/>
      <c r="BV579" s="1366"/>
      <c r="BW579" s="1366"/>
      <c r="BX579" s="1366"/>
      <c r="BY579" s="1366"/>
      <c r="BZ579" s="1366"/>
      <c r="CA579" s="1366"/>
      <c r="CB579" s="1366"/>
      <c r="CC579" s="1366"/>
      <c r="CD579" s="1366"/>
      <c r="CE579" s="1366"/>
      <c r="CF579" s="1366"/>
      <c r="CG579" s="1366"/>
      <c r="CH579" s="1366"/>
      <c r="CI579" s="1366"/>
      <c r="CJ579" s="1366"/>
      <c r="CK579" s="1366"/>
      <c r="CL579" s="1366"/>
      <c r="CM579" s="1366"/>
      <c r="CN579" s="1366"/>
      <c r="CO579" s="1366"/>
      <c r="CP579" s="1366"/>
      <c r="CQ579" s="1366"/>
      <c r="CR579" s="1366"/>
      <c r="CS579" s="1366"/>
      <c r="CT579" s="1366"/>
      <c r="CU579" s="1366"/>
      <c r="CV579" s="1366"/>
      <c r="CW579" s="1366"/>
      <c r="CX579" s="1366"/>
      <c r="CY579" s="1366"/>
      <c r="CZ579" s="1366"/>
      <c r="DA579" s="1366"/>
      <c r="DB579" s="1366"/>
      <c r="DC579" s="1366"/>
      <c r="DD579" s="1366"/>
      <c r="DE579" s="1366"/>
      <c r="DF579" s="1366"/>
      <c r="DG579" s="1366"/>
      <c r="DH579" s="1366"/>
      <c r="DI579" s="1366"/>
      <c r="DJ579" s="1366"/>
      <c r="DK579" s="1366"/>
      <c r="DL579" s="1366"/>
      <c r="DM579" s="1366"/>
      <c r="DN579" s="1366"/>
      <c r="DO579" s="1366"/>
      <c r="DP579" s="1366"/>
      <c r="DQ579" s="1366"/>
      <c r="DR579" s="1366"/>
      <c r="DS579" s="1366"/>
      <c r="DT579" s="1366"/>
      <c r="DU579" s="1366"/>
      <c r="DV579" s="1366"/>
    </row>
    <row r="580" spans="1:126" s="1367" customFormat="1" ht="15" customHeight="1">
      <c r="A580" s="2494"/>
      <c r="B580" s="2502"/>
      <c r="C580" s="1642" t="str">
        <f>'Equipment Results Matrix'!W1068</f>
        <v>Baseline</v>
      </c>
      <c r="D580" s="1364" t="str">
        <f>'Equipment Results Matrix'!X1068</f>
        <v>Incandescent Globe, 2,000 hours, medium brightness  (60 watts)</v>
      </c>
      <c r="E580" s="1364" t="s">
        <v>2097</v>
      </c>
      <c r="F580" s="1364" t="s">
        <v>2107</v>
      </c>
      <c r="G580" s="1618" t="s">
        <v>1907</v>
      </c>
      <c r="H580" s="1619">
        <f>'Equipment Results Matrix'!Y1068</f>
        <v>4.9400186350651101</v>
      </c>
      <c r="I580" s="1371">
        <f>'Labor Results Matrix'!$E$505</f>
        <v>0.05</v>
      </c>
      <c r="J580" s="1372">
        <f>'Labor Results Matrix'!$G$505*(1+'Labor Results Matrix'!$K$505)</f>
        <v>72.260416710552065</v>
      </c>
      <c r="K580" s="1372">
        <f t="shared" si="236"/>
        <v>3.6130208355276032</v>
      </c>
      <c r="L580" s="1372">
        <v>0</v>
      </c>
      <c r="M580" s="1620">
        <f t="shared" si="237"/>
        <v>8.5530394705927133</v>
      </c>
      <c r="N580" s="1455" t="s">
        <v>40</v>
      </c>
      <c r="O580" s="1429"/>
      <c r="P580" s="1430"/>
      <c r="Q580" s="1430"/>
      <c r="R580" s="1430"/>
      <c r="S580" s="1430"/>
      <c r="T580" s="1430"/>
      <c r="U580" s="1430"/>
      <c r="V580" s="1679"/>
      <c r="W580" s="1366"/>
      <c r="X580" s="1366"/>
      <c r="Y580" s="1366"/>
      <c r="Z580" s="1366"/>
      <c r="AA580" s="1366"/>
      <c r="AB580" s="1366"/>
      <c r="AC580" s="1366"/>
      <c r="AD580" s="1366"/>
      <c r="AE580" s="1366"/>
      <c r="AF580" s="1366"/>
      <c r="AG580" s="1366"/>
      <c r="AH580" s="1366"/>
      <c r="AI580" s="1366"/>
      <c r="AJ580" s="1366"/>
      <c r="AK580" s="1366"/>
      <c r="AL580" s="1366"/>
      <c r="AM580" s="1366"/>
      <c r="AN580" s="1366"/>
      <c r="AO580" s="1366"/>
      <c r="AP580" s="1366"/>
      <c r="AQ580" s="1366"/>
      <c r="AR580" s="1366"/>
      <c r="AS580" s="1366"/>
      <c r="AT580" s="1366"/>
      <c r="AU580" s="1366"/>
      <c r="AV580" s="1366"/>
      <c r="AW580" s="1366"/>
      <c r="AX580" s="1366"/>
      <c r="AY580" s="1366"/>
      <c r="AZ580" s="1366"/>
      <c r="BA580" s="1366"/>
      <c r="BB580" s="1366"/>
      <c r="BC580" s="1366"/>
      <c r="BD580" s="1366"/>
      <c r="BE580" s="1366"/>
      <c r="BF580" s="1366"/>
      <c r="BG580" s="1366"/>
      <c r="BH580" s="1366"/>
      <c r="BI580" s="1366"/>
      <c r="BJ580" s="1366"/>
      <c r="BK580" s="1366"/>
      <c r="BL580" s="1366"/>
      <c r="BM580" s="1366"/>
      <c r="BN580" s="1366"/>
      <c r="BO580" s="1366"/>
      <c r="BP580" s="1366"/>
      <c r="BQ580" s="1366"/>
      <c r="BR580" s="1366"/>
      <c r="BS580" s="1366"/>
      <c r="BT580" s="1366"/>
      <c r="BU580" s="1366"/>
      <c r="BV580" s="1366"/>
      <c r="BW580" s="1366"/>
      <c r="BX580" s="1366"/>
      <c r="BY580" s="1366"/>
      <c r="BZ580" s="1366"/>
      <c r="CA580" s="1366"/>
      <c r="CB580" s="1366"/>
      <c r="CC580" s="1366"/>
      <c r="CD580" s="1366"/>
      <c r="CE580" s="1366"/>
      <c r="CF580" s="1366"/>
      <c r="CG580" s="1366"/>
      <c r="CH580" s="1366"/>
      <c r="CI580" s="1366"/>
      <c r="CJ580" s="1366"/>
      <c r="CK580" s="1366"/>
      <c r="CL580" s="1366"/>
      <c r="CM580" s="1366"/>
      <c r="CN580" s="1366"/>
      <c r="CO580" s="1366"/>
      <c r="CP580" s="1366"/>
      <c r="CQ580" s="1366"/>
      <c r="CR580" s="1366"/>
      <c r="CS580" s="1366"/>
      <c r="CT580" s="1366"/>
      <c r="CU580" s="1366"/>
      <c r="CV580" s="1366"/>
      <c r="CW580" s="1366"/>
      <c r="CX580" s="1366"/>
      <c r="CY580" s="1366"/>
      <c r="CZ580" s="1366"/>
      <c r="DA580" s="1366"/>
      <c r="DB580" s="1366"/>
      <c r="DC580" s="1366"/>
      <c r="DD580" s="1366"/>
      <c r="DE580" s="1366"/>
      <c r="DF580" s="1366"/>
      <c r="DG580" s="1366"/>
      <c r="DH580" s="1366"/>
      <c r="DI580" s="1366"/>
      <c r="DJ580" s="1366"/>
      <c r="DK580" s="1366"/>
      <c r="DL580" s="1366"/>
      <c r="DM580" s="1366"/>
      <c r="DN580" s="1366"/>
      <c r="DO580" s="1366"/>
      <c r="DP580" s="1366"/>
      <c r="DQ580" s="1366"/>
      <c r="DR580" s="1366"/>
      <c r="DS580" s="1366"/>
      <c r="DT580" s="1366"/>
      <c r="DU580" s="1366"/>
      <c r="DV580" s="1366"/>
    </row>
    <row r="581" spans="1:126" s="1367" customFormat="1" ht="15" customHeight="1" thickBot="1">
      <c r="A581" s="2495"/>
      <c r="B581" s="2502"/>
      <c r="C581" s="1561" t="str">
        <f>'Equipment Results Matrix'!W1069</f>
        <v>Measure</v>
      </c>
      <c r="D581" s="1587" t="str">
        <f>'Equipment Results Matrix'!X1069</f>
        <v>CFL Globe (15 watts)</v>
      </c>
      <c r="E581" s="1364" t="s">
        <v>2097</v>
      </c>
      <c r="F581" s="1364" t="s">
        <v>2107</v>
      </c>
      <c r="G581" s="1618" t="s">
        <v>1907</v>
      </c>
      <c r="H581" s="1593">
        <f>'Equipment Results Matrix'!Y1069</f>
        <v>7.2254288613955353</v>
      </c>
      <c r="I581" s="1553">
        <f>'Labor Results Matrix'!$E$574</f>
        <v>0.05</v>
      </c>
      <c r="J581" s="1555">
        <f>'Labor Results Matrix'!$G$574*(1+'Labor Results Matrix'!$K$574)</f>
        <v>72.260416710552065</v>
      </c>
      <c r="K581" s="1555">
        <f t="shared" si="236"/>
        <v>3.6130208355276032</v>
      </c>
      <c r="L581" s="1372">
        <v>0</v>
      </c>
      <c r="M581" s="1595">
        <f t="shared" si="237"/>
        <v>10.838449696923139</v>
      </c>
      <c r="N581" s="1596">
        <f>M581-M580</f>
        <v>2.2854102263304252</v>
      </c>
      <c r="O581" s="1429"/>
      <c r="P581" s="1430"/>
      <c r="Q581" s="1430"/>
      <c r="R581" s="1430"/>
      <c r="S581" s="1430"/>
      <c r="T581" s="1430"/>
      <c r="U581" s="1430"/>
      <c r="V581" s="1679"/>
      <c r="W581" s="1366"/>
      <c r="X581" s="1366"/>
      <c r="Y581" s="1366"/>
      <c r="Z581" s="1366"/>
      <c r="AA581" s="1366"/>
      <c r="AB581" s="1366"/>
      <c r="AC581" s="1366"/>
      <c r="AD581" s="1366"/>
      <c r="AE581" s="1366"/>
      <c r="AF581" s="1366"/>
      <c r="AG581" s="1366"/>
      <c r="AH581" s="1366"/>
      <c r="AI581" s="1366"/>
      <c r="AJ581" s="1366"/>
      <c r="AK581" s="1366"/>
      <c r="AL581" s="1366"/>
      <c r="AM581" s="1366"/>
      <c r="AN581" s="1366"/>
      <c r="AO581" s="1366"/>
      <c r="AP581" s="1366"/>
      <c r="AQ581" s="1366"/>
      <c r="AR581" s="1366"/>
      <c r="AS581" s="1366"/>
      <c r="AT581" s="1366"/>
      <c r="AU581" s="1366"/>
      <c r="AV581" s="1366"/>
      <c r="AW581" s="1366"/>
      <c r="AX581" s="1366"/>
      <c r="AY581" s="1366"/>
      <c r="AZ581" s="1366"/>
      <c r="BA581" s="1366"/>
      <c r="BB581" s="1366"/>
      <c r="BC581" s="1366"/>
      <c r="BD581" s="1366"/>
      <c r="BE581" s="1366"/>
      <c r="BF581" s="1366"/>
      <c r="BG581" s="1366"/>
      <c r="BH581" s="1366"/>
      <c r="BI581" s="1366"/>
      <c r="BJ581" s="1366"/>
      <c r="BK581" s="1366"/>
      <c r="BL581" s="1366"/>
      <c r="BM581" s="1366"/>
      <c r="BN581" s="1366"/>
      <c r="BO581" s="1366"/>
      <c r="BP581" s="1366"/>
      <c r="BQ581" s="1366"/>
      <c r="BR581" s="1366"/>
      <c r="BS581" s="1366"/>
      <c r="BT581" s="1366"/>
      <c r="BU581" s="1366"/>
      <c r="BV581" s="1366"/>
      <c r="BW581" s="1366"/>
      <c r="BX581" s="1366"/>
      <c r="BY581" s="1366"/>
      <c r="BZ581" s="1366"/>
      <c r="CA581" s="1366"/>
      <c r="CB581" s="1366"/>
      <c r="CC581" s="1366"/>
      <c r="CD581" s="1366"/>
      <c r="CE581" s="1366"/>
      <c r="CF581" s="1366"/>
      <c r="CG581" s="1366"/>
      <c r="CH581" s="1366"/>
      <c r="CI581" s="1366"/>
      <c r="CJ581" s="1366"/>
      <c r="CK581" s="1366"/>
      <c r="CL581" s="1366"/>
      <c r="CM581" s="1366"/>
      <c r="CN581" s="1366"/>
      <c r="CO581" s="1366"/>
      <c r="CP581" s="1366"/>
      <c r="CQ581" s="1366"/>
      <c r="CR581" s="1366"/>
      <c r="CS581" s="1366"/>
      <c r="CT581" s="1366"/>
      <c r="CU581" s="1366"/>
      <c r="CV581" s="1366"/>
      <c r="CW581" s="1366"/>
      <c r="CX581" s="1366"/>
      <c r="CY581" s="1366"/>
      <c r="CZ581" s="1366"/>
      <c r="DA581" s="1366"/>
      <c r="DB581" s="1366"/>
      <c r="DC581" s="1366"/>
      <c r="DD581" s="1366"/>
      <c r="DE581" s="1366"/>
      <c r="DF581" s="1366"/>
      <c r="DG581" s="1366"/>
      <c r="DH581" s="1366"/>
      <c r="DI581" s="1366"/>
      <c r="DJ581" s="1366"/>
      <c r="DK581" s="1366"/>
      <c r="DL581" s="1366"/>
      <c r="DM581" s="1366"/>
      <c r="DN581" s="1366"/>
      <c r="DO581" s="1366"/>
      <c r="DP581" s="1366"/>
      <c r="DQ581" s="1366"/>
      <c r="DR581" s="1366"/>
      <c r="DS581" s="1366"/>
      <c r="DT581" s="1366"/>
      <c r="DU581" s="1366"/>
      <c r="DV581" s="1366"/>
    </row>
    <row r="582" spans="1:126" s="1479" customFormat="1" ht="19.5" thickBot="1">
      <c r="A582" s="695"/>
      <c r="B582" s="1655"/>
      <c r="C582" s="1655"/>
      <c r="D582" s="683"/>
      <c r="E582" s="683"/>
      <c r="F582" s="683"/>
      <c r="G582" s="683"/>
      <c r="H582" s="1413"/>
      <c r="I582" s="1443"/>
      <c r="J582" s="1414"/>
      <c r="K582" s="1413"/>
      <c r="L582" s="1529"/>
      <c r="M582" s="1413"/>
      <c r="N582" s="1489"/>
      <c r="O582" s="1413"/>
      <c r="P582" s="1414"/>
      <c r="Q582" s="1414"/>
      <c r="R582" s="1443"/>
      <c r="S582" s="1443"/>
      <c r="T582" s="1488"/>
      <c r="U582" s="1488"/>
      <c r="V582" s="1489"/>
      <c r="W582" s="1490"/>
      <c r="X582" s="1490"/>
      <c r="Y582" s="327"/>
      <c r="Z582" s="327"/>
      <c r="AA582" s="327"/>
      <c r="AB582" s="1490"/>
      <c r="AC582" s="1490"/>
      <c r="AD582" s="1490"/>
      <c r="AE582" s="1490"/>
      <c r="AF582" s="327"/>
      <c r="AG582" s="327"/>
      <c r="AH582" s="327"/>
      <c r="AI582" s="327"/>
      <c r="AJ582" s="327"/>
      <c r="AK582" s="1478"/>
      <c r="AL582" s="1478"/>
      <c r="AM582" s="1478"/>
      <c r="AN582" s="1478"/>
      <c r="AO582" s="1478"/>
      <c r="AP582" s="1478"/>
      <c r="AQ582" s="1478"/>
      <c r="AR582" s="1478"/>
      <c r="AS582" s="1478"/>
      <c r="AT582" s="1478"/>
      <c r="AU582" s="1478"/>
      <c r="AV582" s="1478"/>
      <c r="AW582" s="1478"/>
      <c r="AX582" s="1478"/>
      <c r="AY582" s="1478"/>
      <c r="AZ582" s="1478"/>
      <c r="BA582" s="1478"/>
      <c r="BB582" s="1478"/>
      <c r="BC582" s="1478"/>
      <c r="BD582" s="1478"/>
      <c r="BE582" s="1478"/>
      <c r="BF582" s="1478"/>
      <c r="BG582" s="1478"/>
      <c r="BH582" s="1478"/>
      <c r="BI582" s="1478"/>
      <c r="BJ582" s="1478"/>
      <c r="BK582" s="327"/>
      <c r="BL582" s="327"/>
      <c r="BM582" s="327"/>
      <c r="BN582" s="327"/>
      <c r="BO582" s="327"/>
      <c r="BP582" s="327"/>
      <c r="BQ582" s="327"/>
      <c r="BR582" s="327"/>
      <c r="BS582" s="327"/>
      <c r="BT582" s="327"/>
      <c r="BU582" s="327"/>
      <c r="BV582" s="327"/>
      <c r="BW582" s="327"/>
      <c r="BX582" s="327"/>
      <c r="BY582" s="327"/>
      <c r="BZ582" s="327"/>
      <c r="CA582" s="327"/>
      <c r="CB582" s="327"/>
      <c r="CC582" s="327"/>
      <c r="CD582" s="327"/>
      <c r="CE582" s="327"/>
      <c r="CF582" s="327"/>
      <c r="CG582" s="327"/>
      <c r="CH582" s="327"/>
      <c r="CI582" s="327"/>
      <c r="CJ582" s="327"/>
      <c r="CK582" s="327"/>
      <c r="CL582" s="327"/>
      <c r="CM582" s="327"/>
      <c r="CN582" s="327"/>
      <c r="CO582" s="327"/>
      <c r="CP582" s="327"/>
      <c r="CQ582" s="327"/>
      <c r="CR582" s="327"/>
      <c r="CS582" s="327"/>
      <c r="CT582" s="327"/>
      <c r="CU582" s="327"/>
      <c r="CV582" s="327"/>
      <c r="CW582" s="327"/>
      <c r="CX582" s="327"/>
      <c r="CY582" s="327"/>
      <c r="CZ582" s="327"/>
      <c r="DA582" s="327"/>
      <c r="DB582" s="327"/>
      <c r="DC582" s="327"/>
      <c r="DD582" s="327"/>
      <c r="DE582" s="327"/>
      <c r="DF582" s="327"/>
      <c r="DG582" s="327"/>
      <c r="DH582" s="327"/>
      <c r="DI582" s="327"/>
      <c r="DJ582" s="327"/>
      <c r="DK582" s="327"/>
      <c r="DL582" s="327"/>
      <c r="DM582" s="327"/>
      <c r="DN582" s="327"/>
      <c r="DO582" s="327"/>
      <c r="DP582" s="327"/>
      <c r="DQ582" s="327"/>
      <c r="DR582" s="327"/>
      <c r="DS582" s="327"/>
      <c r="DT582" s="327"/>
      <c r="DU582" s="327"/>
      <c r="DV582" s="327"/>
    </row>
    <row r="583" spans="1:126" s="1367" customFormat="1" ht="15" customHeight="1">
      <c r="A583" s="2493" t="s">
        <v>923</v>
      </c>
      <c r="B583" s="2501" t="s">
        <v>2698</v>
      </c>
      <c r="C583" s="623" t="str">
        <f>'Equipment Results Matrix'!W1082</f>
        <v>Baseline</v>
      </c>
      <c r="D583" s="383" t="str">
        <f>'Equipment Results Matrix'!X1082</f>
        <v>Incandscent Torpedo, 2,000 hours</v>
      </c>
      <c r="E583" s="383" t="s">
        <v>2097</v>
      </c>
      <c r="F583" s="383" t="s">
        <v>2107</v>
      </c>
      <c r="G583" s="1617" t="s">
        <v>1907</v>
      </c>
      <c r="H583" s="1589">
        <f>'Equipment Results Matrix'!Y1082</f>
        <v>2.0540908343469795</v>
      </c>
      <c r="I583" s="1564">
        <f>'Labor Results Matrix'!E521</f>
        <v>7.9629999999999992E-2</v>
      </c>
      <c r="J583" s="1566">
        <f>'Labor Results Matrix'!$G$521*(1+'Labor Results Matrix'!$K$521)</f>
        <v>72.260416710552065</v>
      </c>
      <c r="K583" s="1566">
        <f>I583*J583</f>
        <v>5.7540969826612605</v>
      </c>
      <c r="L583" s="1566">
        <v>0</v>
      </c>
      <c r="M583" s="1591">
        <f>H583+K583+L583</f>
        <v>7.8081878170082399</v>
      </c>
      <c r="N583" s="1592" t="s">
        <v>40</v>
      </c>
      <c r="O583" s="1429"/>
      <c r="P583" s="1430"/>
      <c r="Q583" s="1430"/>
      <c r="R583" s="1430"/>
      <c r="S583" s="1430"/>
      <c r="T583" s="1430"/>
      <c r="U583" s="1430"/>
      <c r="V583" s="1679"/>
      <c r="W583" s="1366"/>
      <c r="X583" s="1366"/>
      <c r="Y583" s="1366"/>
      <c r="Z583" s="1366"/>
      <c r="AA583" s="1366"/>
      <c r="AB583" s="1366"/>
      <c r="AC583" s="1366"/>
      <c r="AD583" s="1366"/>
      <c r="AE583" s="1366"/>
      <c r="AF583" s="1366"/>
      <c r="AG583" s="1366"/>
      <c r="AH583" s="1366"/>
      <c r="AI583" s="1366"/>
      <c r="AJ583" s="1366"/>
      <c r="AK583" s="1366"/>
      <c r="AL583" s="1366"/>
      <c r="AM583" s="1366"/>
      <c r="AN583" s="1366"/>
      <c r="AO583" s="1366"/>
      <c r="AP583" s="1366"/>
      <c r="AQ583" s="1366"/>
      <c r="AR583" s="1366"/>
      <c r="AS583" s="1366"/>
      <c r="AT583" s="1366"/>
      <c r="AU583" s="1366"/>
      <c r="AV583" s="1366"/>
      <c r="AW583" s="1366"/>
      <c r="AX583" s="1366"/>
      <c r="AY583" s="1366"/>
      <c r="AZ583" s="1366"/>
      <c r="BA583" s="1366"/>
      <c r="BB583" s="1366"/>
      <c r="BC583" s="1366"/>
      <c r="BD583" s="1366"/>
      <c r="BE583" s="1366"/>
      <c r="BF583" s="1366"/>
      <c r="BG583" s="1366"/>
      <c r="BH583" s="1366"/>
      <c r="BI583" s="1366"/>
      <c r="BJ583" s="1366"/>
      <c r="BK583" s="1366"/>
      <c r="BL583" s="1366"/>
      <c r="BM583" s="1366"/>
      <c r="BN583" s="1366"/>
      <c r="BO583" s="1366"/>
      <c r="BP583" s="1366"/>
      <c r="BQ583" s="1366"/>
      <c r="BR583" s="1366"/>
      <c r="BS583" s="1366"/>
      <c r="BT583" s="1366"/>
      <c r="BU583" s="1366"/>
      <c r="BV583" s="1366"/>
      <c r="BW583" s="1366"/>
      <c r="BX583" s="1366"/>
      <c r="BY583" s="1366"/>
      <c r="BZ583" s="1366"/>
      <c r="CA583" s="1366"/>
      <c r="CB583" s="1366"/>
      <c r="CC583" s="1366"/>
      <c r="CD583" s="1366"/>
      <c r="CE583" s="1366"/>
      <c r="CF583" s="1366"/>
      <c r="CG583" s="1366"/>
      <c r="CH583" s="1366"/>
      <c r="CI583" s="1366"/>
      <c r="CJ583" s="1366"/>
      <c r="CK583" s="1366"/>
      <c r="CL583" s="1366"/>
      <c r="CM583" s="1366"/>
      <c r="CN583" s="1366"/>
      <c r="CO583" s="1366"/>
      <c r="CP583" s="1366"/>
      <c r="CQ583" s="1366"/>
      <c r="CR583" s="1366"/>
      <c r="CS583" s="1366"/>
      <c r="CT583" s="1366"/>
      <c r="CU583" s="1366"/>
      <c r="CV583" s="1366"/>
      <c r="CW583" s="1366"/>
      <c r="CX583" s="1366"/>
      <c r="CY583" s="1366"/>
      <c r="CZ583" s="1366"/>
      <c r="DA583" s="1366"/>
      <c r="DB583" s="1366"/>
      <c r="DC583" s="1366"/>
      <c r="DD583" s="1366"/>
      <c r="DE583" s="1366"/>
      <c r="DF583" s="1366"/>
      <c r="DG583" s="1366"/>
      <c r="DH583" s="1366"/>
      <c r="DI583" s="1366"/>
      <c r="DJ583" s="1366"/>
      <c r="DK583" s="1366"/>
      <c r="DL583" s="1366"/>
      <c r="DM583" s="1366"/>
      <c r="DN583" s="1366"/>
      <c r="DO583" s="1366"/>
      <c r="DP583" s="1366"/>
      <c r="DQ583" s="1366"/>
      <c r="DR583" s="1366"/>
      <c r="DS583" s="1366"/>
      <c r="DT583" s="1366"/>
      <c r="DU583" s="1366"/>
      <c r="DV583" s="1366"/>
    </row>
    <row r="584" spans="1:126" s="1367" customFormat="1" ht="15" customHeight="1">
      <c r="A584" s="2494"/>
      <c r="B584" s="2502"/>
      <c r="C584" s="1642" t="str">
        <f>'Equipment Results Matrix'!W1083</f>
        <v>Measure</v>
      </c>
      <c r="D584" s="1364" t="str">
        <f>'Equipment Results Matrix'!X1083</f>
        <v>CFL Torpedo, 10,000 hours, low brightness (11 watts)</v>
      </c>
      <c r="E584" s="1364" t="s">
        <v>2097</v>
      </c>
      <c r="F584" s="1364" t="s">
        <v>2107</v>
      </c>
      <c r="G584" s="1618" t="s">
        <v>1907</v>
      </c>
      <c r="H584" s="1619">
        <f>'Equipment Results Matrix'!Y1083</f>
        <v>8.2443726351512829</v>
      </c>
      <c r="I584" s="1371">
        <f>'Labor Results Matrix'!$E$590</f>
        <v>7.9629999999999992E-2</v>
      </c>
      <c r="J584" s="1372">
        <f>'Labor Results Matrix'!$G$590*(1+'Labor Results Matrix'!$K$590)</f>
        <v>72.260416710552065</v>
      </c>
      <c r="K584" s="1372">
        <f t="shared" ref="K584:K585" si="238">I584*J584</f>
        <v>5.7540969826612605</v>
      </c>
      <c r="L584" s="1372">
        <v>0</v>
      </c>
      <c r="M584" s="1620">
        <f t="shared" ref="M584:M585" si="239">H584+K584+L584</f>
        <v>13.998469617812543</v>
      </c>
      <c r="N584" s="1621">
        <f>M584-$M$583</f>
        <v>6.1902818008043026</v>
      </c>
      <c r="O584" s="1429"/>
      <c r="P584" s="1430"/>
      <c r="Q584" s="1430"/>
      <c r="R584" s="1430"/>
      <c r="S584" s="1430"/>
      <c r="T584" s="1430"/>
      <c r="U584" s="1430"/>
      <c r="V584" s="1679"/>
      <c r="W584" s="1366"/>
      <c r="X584" s="1366"/>
      <c r="Y584" s="1366"/>
      <c r="Z584" s="1366"/>
      <c r="AA584" s="1366"/>
      <c r="AB584" s="1366"/>
      <c r="AC584" s="1366"/>
      <c r="AD584" s="1366"/>
      <c r="AE584" s="1366"/>
      <c r="AF584" s="1366"/>
      <c r="AG584" s="1366"/>
      <c r="AH584" s="1366"/>
      <c r="AI584" s="1366"/>
      <c r="AJ584" s="1366"/>
      <c r="AK584" s="1366"/>
      <c r="AL584" s="1366"/>
      <c r="AM584" s="1366"/>
      <c r="AN584" s="1366"/>
      <c r="AO584" s="1366"/>
      <c r="AP584" s="1366"/>
      <c r="AQ584" s="1366"/>
      <c r="AR584" s="1366"/>
      <c r="AS584" s="1366"/>
      <c r="AT584" s="1366"/>
      <c r="AU584" s="1366"/>
      <c r="AV584" s="1366"/>
      <c r="AW584" s="1366"/>
      <c r="AX584" s="1366"/>
      <c r="AY584" s="1366"/>
      <c r="AZ584" s="1366"/>
      <c r="BA584" s="1366"/>
      <c r="BB584" s="1366"/>
      <c r="BC584" s="1366"/>
      <c r="BD584" s="1366"/>
      <c r="BE584" s="1366"/>
      <c r="BF584" s="1366"/>
      <c r="BG584" s="1366"/>
      <c r="BH584" s="1366"/>
      <c r="BI584" s="1366"/>
      <c r="BJ584" s="1366"/>
      <c r="BK584" s="1366"/>
      <c r="BL584" s="1366"/>
      <c r="BM584" s="1366"/>
      <c r="BN584" s="1366"/>
      <c r="BO584" s="1366"/>
      <c r="BP584" s="1366"/>
      <c r="BQ584" s="1366"/>
      <c r="BR584" s="1366"/>
      <c r="BS584" s="1366"/>
      <c r="BT584" s="1366"/>
      <c r="BU584" s="1366"/>
      <c r="BV584" s="1366"/>
      <c r="BW584" s="1366"/>
      <c r="BX584" s="1366"/>
      <c r="BY584" s="1366"/>
      <c r="BZ584" s="1366"/>
      <c r="CA584" s="1366"/>
      <c r="CB584" s="1366"/>
      <c r="CC584" s="1366"/>
      <c r="CD584" s="1366"/>
      <c r="CE584" s="1366"/>
      <c r="CF584" s="1366"/>
      <c r="CG584" s="1366"/>
      <c r="CH584" s="1366"/>
      <c r="CI584" s="1366"/>
      <c r="CJ584" s="1366"/>
      <c r="CK584" s="1366"/>
      <c r="CL584" s="1366"/>
      <c r="CM584" s="1366"/>
      <c r="CN584" s="1366"/>
      <c r="CO584" s="1366"/>
      <c r="CP584" s="1366"/>
      <c r="CQ584" s="1366"/>
      <c r="CR584" s="1366"/>
      <c r="CS584" s="1366"/>
      <c r="CT584" s="1366"/>
      <c r="CU584" s="1366"/>
      <c r="CV584" s="1366"/>
      <c r="CW584" s="1366"/>
      <c r="CX584" s="1366"/>
      <c r="CY584" s="1366"/>
      <c r="CZ584" s="1366"/>
      <c r="DA584" s="1366"/>
      <c r="DB584" s="1366"/>
      <c r="DC584" s="1366"/>
      <c r="DD584" s="1366"/>
      <c r="DE584" s="1366"/>
      <c r="DF584" s="1366"/>
      <c r="DG584" s="1366"/>
      <c r="DH584" s="1366"/>
      <c r="DI584" s="1366"/>
      <c r="DJ584" s="1366"/>
      <c r="DK584" s="1366"/>
      <c r="DL584" s="1366"/>
      <c r="DM584" s="1366"/>
      <c r="DN584" s="1366"/>
      <c r="DO584" s="1366"/>
      <c r="DP584" s="1366"/>
      <c r="DQ584" s="1366"/>
      <c r="DR584" s="1366"/>
      <c r="DS584" s="1366"/>
      <c r="DT584" s="1366"/>
      <c r="DU584" s="1366"/>
      <c r="DV584" s="1366"/>
    </row>
    <row r="585" spans="1:126" s="1367" customFormat="1" ht="15" customHeight="1" thickBot="1">
      <c r="A585" s="2495"/>
      <c r="B585" s="2502"/>
      <c r="C585" s="1561" t="str">
        <f>'Equipment Results Matrix'!W1084</f>
        <v>Measure</v>
      </c>
      <c r="D585" s="1587" t="str">
        <f>'Equipment Results Matrix'!X1084</f>
        <v>CFL Torpedo, 10,000 hours, medium brightness (15 watts)</v>
      </c>
      <c r="E585" s="1364" t="s">
        <v>2097</v>
      </c>
      <c r="F585" s="1364" t="s">
        <v>2107</v>
      </c>
      <c r="G585" s="1618" t="s">
        <v>1907</v>
      </c>
      <c r="H585" s="1593">
        <f>'Equipment Results Matrix'!Y1084</f>
        <v>9.0683726351512846</v>
      </c>
      <c r="I585" s="1553">
        <f>'Labor Results Matrix'!$E$590</f>
        <v>7.9629999999999992E-2</v>
      </c>
      <c r="J585" s="1555">
        <f>'Labor Results Matrix'!$G$590*(1+'Labor Results Matrix'!$K$590)</f>
        <v>72.260416710552065</v>
      </c>
      <c r="K585" s="1555">
        <f t="shared" si="238"/>
        <v>5.7540969826612605</v>
      </c>
      <c r="L585" s="1372">
        <v>0</v>
      </c>
      <c r="M585" s="1620">
        <f t="shared" si="239"/>
        <v>14.822469617812544</v>
      </c>
      <c r="N585" s="1596">
        <f>M585-$M$583</f>
        <v>7.0142818008043042</v>
      </c>
      <c r="O585" s="1429"/>
      <c r="P585" s="1430"/>
      <c r="Q585" s="1430"/>
      <c r="R585" s="1430"/>
      <c r="S585" s="1430"/>
      <c r="T585" s="1430"/>
      <c r="U585" s="1430"/>
      <c r="V585" s="1679"/>
      <c r="W585" s="1366"/>
      <c r="X585" s="1366"/>
      <c r="Y585" s="1366"/>
      <c r="Z585" s="1366"/>
      <c r="AA585" s="1366"/>
      <c r="AB585" s="1366"/>
      <c r="AC585" s="1366"/>
      <c r="AD585" s="1366"/>
      <c r="AE585" s="1366"/>
      <c r="AF585" s="1366"/>
      <c r="AG585" s="1366"/>
      <c r="AH585" s="1366"/>
      <c r="AI585" s="1366"/>
      <c r="AJ585" s="1366"/>
      <c r="AK585" s="1366"/>
      <c r="AL585" s="1366"/>
      <c r="AM585" s="1366"/>
      <c r="AN585" s="1366"/>
      <c r="AO585" s="1366"/>
      <c r="AP585" s="1366"/>
      <c r="AQ585" s="1366"/>
      <c r="AR585" s="1366"/>
      <c r="AS585" s="1366"/>
      <c r="AT585" s="1366"/>
      <c r="AU585" s="1366"/>
      <c r="AV585" s="1366"/>
      <c r="AW585" s="1366"/>
      <c r="AX585" s="1366"/>
      <c r="AY585" s="1366"/>
      <c r="AZ585" s="1366"/>
      <c r="BA585" s="1366"/>
      <c r="BB585" s="1366"/>
      <c r="BC585" s="1366"/>
      <c r="BD585" s="1366"/>
      <c r="BE585" s="1366"/>
      <c r="BF585" s="1366"/>
      <c r="BG585" s="1366"/>
      <c r="BH585" s="1366"/>
      <c r="BI585" s="1366"/>
      <c r="BJ585" s="1366"/>
      <c r="BK585" s="1366"/>
      <c r="BL585" s="1366"/>
      <c r="BM585" s="1366"/>
      <c r="BN585" s="1366"/>
      <c r="BO585" s="1366"/>
      <c r="BP585" s="1366"/>
      <c r="BQ585" s="1366"/>
      <c r="BR585" s="1366"/>
      <c r="BS585" s="1366"/>
      <c r="BT585" s="1366"/>
      <c r="BU585" s="1366"/>
      <c r="BV585" s="1366"/>
      <c r="BW585" s="1366"/>
      <c r="BX585" s="1366"/>
      <c r="BY585" s="1366"/>
      <c r="BZ585" s="1366"/>
      <c r="CA585" s="1366"/>
      <c r="CB585" s="1366"/>
      <c r="CC585" s="1366"/>
      <c r="CD585" s="1366"/>
      <c r="CE585" s="1366"/>
      <c r="CF585" s="1366"/>
      <c r="CG585" s="1366"/>
      <c r="CH585" s="1366"/>
      <c r="CI585" s="1366"/>
      <c r="CJ585" s="1366"/>
      <c r="CK585" s="1366"/>
      <c r="CL585" s="1366"/>
      <c r="CM585" s="1366"/>
      <c r="CN585" s="1366"/>
      <c r="CO585" s="1366"/>
      <c r="CP585" s="1366"/>
      <c r="CQ585" s="1366"/>
      <c r="CR585" s="1366"/>
      <c r="CS585" s="1366"/>
      <c r="CT585" s="1366"/>
      <c r="CU585" s="1366"/>
      <c r="CV585" s="1366"/>
      <c r="CW585" s="1366"/>
      <c r="CX585" s="1366"/>
      <c r="CY585" s="1366"/>
      <c r="CZ585" s="1366"/>
      <c r="DA585" s="1366"/>
      <c r="DB585" s="1366"/>
      <c r="DC585" s="1366"/>
      <c r="DD585" s="1366"/>
      <c r="DE585" s="1366"/>
      <c r="DF585" s="1366"/>
      <c r="DG585" s="1366"/>
      <c r="DH585" s="1366"/>
      <c r="DI585" s="1366"/>
      <c r="DJ585" s="1366"/>
      <c r="DK585" s="1366"/>
      <c r="DL585" s="1366"/>
      <c r="DM585" s="1366"/>
      <c r="DN585" s="1366"/>
      <c r="DO585" s="1366"/>
      <c r="DP585" s="1366"/>
      <c r="DQ585" s="1366"/>
      <c r="DR585" s="1366"/>
      <c r="DS585" s="1366"/>
      <c r="DT585" s="1366"/>
      <c r="DU585" s="1366"/>
      <c r="DV585" s="1366"/>
    </row>
    <row r="586" spans="1:126" s="1479" customFormat="1" ht="19.5" thickBot="1">
      <c r="A586" s="695"/>
      <c r="B586" s="1655"/>
      <c r="C586" s="1655"/>
      <c r="D586" s="683"/>
      <c r="E586" s="683"/>
      <c r="F586" s="683"/>
      <c r="G586" s="683"/>
      <c r="H586" s="1413"/>
      <c r="I586" s="1443"/>
      <c r="J586" s="1414"/>
      <c r="K586" s="1413"/>
      <c r="L586" s="1529"/>
      <c r="M586" s="1413"/>
      <c r="N586" s="1489"/>
      <c r="O586" s="1413"/>
      <c r="P586" s="1414"/>
      <c r="Q586" s="1414"/>
      <c r="R586" s="1443"/>
      <c r="S586" s="1443"/>
      <c r="T586" s="1488"/>
      <c r="U586" s="1488"/>
      <c r="V586" s="1489"/>
      <c r="W586" s="1490"/>
      <c r="X586" s="1490"/>
      <c r="Y586" s="327"/>
      <c r="Z586" s="327"/>
      <c r="AA586" s="327"/>
      <c r="AB586" s="1490"/>
      <c r="AC586" s="1490"/>
      <c r="AD586" s="1490"/>
      <c r="AE586" s="1490"/>
      <c r="AF586" s="327"/>
      <c r="AG586" s="327"/>
      <c r="AH586" s="327"/>
      <c r="AI586" s="327"/>
      <c r="AJ586" s="327"/>
      <c r="AK586" s="1478"/>
      <c r="AL586" s="1478"/>
      <c r="AM586" s="1478"/>
      <c r="AN586" s="1478"/>
      <c r="AO586" s="1478"/>
      <c r="AP586" s="1478"/>
      <c r="AQ586" s="1478"/>
      <c r="AR586" s="1478"/>
      <c r="AS586" s="1478"/>
      <c r="AT586" s="1478"/>
      <c r="AU586" s="1478"/>
      <c r="AV586" s="1478"/>
      <c r="AW586" s="1478"/>
      <c r="AX586" s="1478"/>
      <c r="AY586" s="1478"/>
      <c r="AZ586" s="1478"/>
      <c r="BA586" s="1478"/>
      <c r="BB586" s="1478"/>
      <c r="BC586" s="1478"/>
      <c r="BD586" s="1478"/>
      <c r="BE586" s="1478"/>
      <c r="BF586" s="1478"/>
      <c r="BG586" s="1478"/>
      <c r="BH586" s="1478"/>
      <c r="BI586" s="1478"/>
      <c r="BJ586" s="1478"/>
      <c r="BK586" s="327"/>
      <c r="BL586" s="327"/>
      <c r="BM586" s="327"/>
      <c r="BN586" s="327"/>
      <c r="BO586" s="327"/>
      <c r="BP586" s="327"/>
      <c r="BQ586" s="327"/>
      <c r="BR586" s="327"/>
      <c r="BS586" s="327"/>
      <c r="BT586" s="327"/>
      <c r="BU586" s="327"/>
      <c r="BV586" s="327"/>
      <c r="BW586" s="327"/>
      <c r="BX586" s="327"/>
      <c r="BY586" s="327"/>
      <c r="BZ586" s="327"/>
      <c r="CA586" s="327"/>
      <c r="CB586" s="327"/>
      <c r="CC586" s="327"/>
      <c r="CD586" s="327"/>
      <c r="CE586" s="327"/>
      <c r="CF586" s="327"/>
      <c r="CG586" s="327"/>
      <c r="CH586" s="327"/>
      <c r="CI586" s="327"/>
      <c r="CJ586" s="327"/>
      <c r="CK586" s="327"/>
      <c r="CL586" s="327"/>
      <c r="CM586" s="327"/>
      <c r="CN586" s="327"/>
      <c r="CO586" s="327"/>
      <c r="CP586" s="327"/>
      <c r="CQ586" s="327"/>
      <c r="CR586" s="327"/>
      <c r="CS586" s="327"/>
      <c r="CT586" s="327"/>
      <c r="CU586" s="327"/>
      <c r="CV586" s="327"/>
      <c r="CW586" s="327"/>
      <c r="CX586" s="327"/>
      <c r="CY586" s="327"/>
      <c r="CZ586" s="327"/>
      <c r="DA586" s="327"/>
      <c r="DB586" s="327"/>
      <c r="DC586" s="327"/>
      <c r="DD586" s="327"/>
      <c r="DE586" s="327"/>
      <c r="DF586" s="327"/>
      <c r="DG586" s="327"/>
      <c r="DH586" s="327"/>
      <c r="DI586" s="327"/>
      <c r="DJ586" s="327"/>
      <c r="DK586" s="327"/>
      <c r="DL586" s="327"/>
      <c r="DM586" s="327"/>
      <c r="DN586" s="327"/>
      <c r="DO586" s="327"/>
      <c r="DP586" s="327"/>
      <c r="DQ586" s="327"/>
      <c r="DR586" s="327"/>
      <c r="DS586" s="327"/>
      <c r="DT586" s="327"/>
      <c r="DU586" s="327"/>
      <c r="DV586" s="327"/>
    </row>
    <row r="587" spans="1:126" s="1367" customFormat="1" ht="15" customHeight="1">
      <c r="A587" s="2493" t="s">
        <v>926</v>
      </c>
      <c r="B587" s="2501" t="s">
        <v>2698</v>
      </c>
      <c r="C587" s="623" t="str">
        <f>'Equipment Results Matrix'!W1094</f>
        <v>Baseline</v>
      </c>
      <c r="D587" s="383" t="str">
        <f>'Equipment Results Matrix'!X1094</f>
        <v>Incandescent A-Lamp, EISA, 1,500 hours, low brightness  (40 watts)</v>
      </c>
      <c r="E587" s="383" t="s">
        <v>2097</v>
      </c>
      <c r="F587" s="383" t="s">
        <v>2107</v>
      </c>
      <c r="G587" s="1617" t="s">
        <v>1907</v>
      </c>
      <c r="H587" s="1589">
        <f>'Equipment Results Matrix'!Y1094</f>
        <v>1.2283265288286027</v>
      </c>
      <c r="I587" s="1564">
        <f>'Labor Results Matrix'!$E$470</f>
        <v>7.9629999999999992E-2</v>
      </c>
      <c r="J587" s="1566">
        <f>'Labor Results Matrix'!$G$470*(1+'Labor Results Matrix'!$K$470)</f>
        <v>72.260416710552065</v>
      </c>
      <c r="K587" s="1566">
        <f>I587*J587</f>
        <v>5.7540969826612605</v>
      </c>
      <c r="L587" s="1566">
        <v>0</v>
      </c>
      <c r="M587" s="1591">
        <f>H587+K587+L587</f>
        <v>6.9824235114898627</v>
      </c>
      <c r="N587" s="1592" t="s">
        <v>40</v>
      </c>
      <c r="O587" s="1429"/>
      <c r="P587" s="1430"/>
      <c r="Q587" s="1430"/>
      <c r="R587" s="1430"/>
      <c r="S587" s="1430"/>
      <c r="T587" s="1430"/>
      <c r="U587" s="1430"/>
      <c r="V587" s="1679"/>
      <c r="W587" s="1366"/>
      <c r="X587" s="1366"/>
      <c r="Y587" s="1366"/>
      <c r="Z587" s="1366"/>
      <c r="AA587" s="1366"/>
      <c r="AB587" s="1366"/>
      <c r="AC587" s="1366"/>
      <c r="AD587" s="1366"/>
      <c r="AE587" s="1366"/>
      <c r="AF587" s="1366"/>
      <c r="AG587" s="1366"/>
      <c r="AH587" s="1366"/>
      <c r="AI587" s="1366"/>
      <c r="AJ587" s="1366"/>
      <c r="AK587" s="1366"/>
      <c r="AL587" s="1366"/>
      <c r="AM587" s="1366"/>
      <c r="AN587" s="1366"/>
      <c r="AO587" s="1366"/>
      <c r="AP587" s="1366"/>
      <c r="AQ587" s="1366"/>
      <c r="AR587" s="1366"/>
      <c r="AS587" s="1366"/>
      <c r="AT587" s="1366"/>
      <c r="AU587" s="1366"/>
      <c r="AV587" s="1366"/>
      <c r="AW587" s="1366"/>
      <c r="AX587" s="1366"/>
      <c r="AY587" s="1366"/>
      <c r="AZ587" s="1366"/>
      <c r="BA587" s="1366"/>
      <c r="BB587" s="1366"/>
      <c r="BC587" s="1366"/>
      <c r="BD587" s="1366"/>
      <c r="BE587" s="1366"/>
      <c r="BF587" s="1366"/>
      <c r="BG587" s="1366"/>
      <c r="BH587" s="1366"/>
      <c r="BI587" s="1366"/>
      <c r="BJ587" s="1366"/>
      <c r="BK587" s="1366"/>
      <c r="BL587" s="1366"/>
      <c r="BM587" s="1366"/>
      <c r="BN587" s="1366"/>
      <c r="BO587" s="1366"/>
      <c r="BP587" s="1366"/>
      <c r="BQ587" s="1366"/>
      <c r="BR587" s="1366"/>
      <c r="BS587" s="1366"/>
      <c r="BT587" s="1366"/>
      <c r="BU587" s="1366"/>
      <c r="BV587" s="1366"/>
      <c r="BW587" s="1366"/>
      <c r="BX587" s="1366"/>
      <c r="BY587" s="1366"/>
      <c r="BZ587" s="1366"/>
      <c r="CA587" s="1366"/>
      <c r="CB587" s="1366"/>
      <c r="CC587" s="1366"/>
      <c r="CD587" s="1366"/>
      <c r="CE587" s="1366"/>
      <c r="CF587" s="1366"/>
      <c r="CG587" s="1366"/>
      <c r="CH587" s="1366"/>
      <c r="CI587" s="1366"/>
      <c r="CJ587" s="1366"/>
      <c r="CK587" s="1366"/>
      <c r="CL587" s="1366"/>
      <c r="CM587" s="1366"/>
      <c r="CN587" s="1366"/>
      <c r="CO587" s="1366"/>
      <c r="CP587" s="1366"/>
      <c r="CQ587" s="1366"/>
      <c r="CR587" s="1366"/>
      <c r="CS587" s="1366"/>
      <c r="CT587" s="1366"/>
      <c r="CU587" s="1366"/>
      <c r="CV587" s="1366"/>
      <c r="CW587" s="1366"/>
      <c r="CX587" s="1366"/>
      <c r="CY587" s="1366"/>
      <c r="CZ587" s="1366"/>
      <c r="DA587" s="1366"/>
      <c r="DB587" s="1366"/>
      <c r="DC587" s="1366"/>
      <c r="DD587" s="1366"/>
      <c r="DE587" s="1366"/>
      <c r="DF587" s="1366"/>
      <c r="DG587" s="1366"/>
      <c r="DH587" s="1366"/>
      <c r="DI587" s="1366"/>
      <c r="DJ587" s="1366"/>
      <c r="DK587" s="1366"/>
      <c r="DL587" s="1366"/>
      <c r="DM587" s="1366"/>
      <c r="DN587" s="1366"/>
      <c r="DO587" s="1366"/>
      <c r="DP587" s="1366"/>
      <c r="DQ587" s="1366"/>
      <c r="DR587" s="1366"/>
      <c r="DS587" s="1366"/>
      <c r="DT587" s="1366"/>
      <c r="DU587" s="1366"/>
      <c r="DV587" s="1366"/>
    </row>
    <row r="588" spans="1:126" s="1367" customFormat="1" ht="15" customHeight="1">
      <c r="A588" s="2494"/>
      <c r="B588" s="2502"/>
      <c r="C588" s="1642" t="str">
        <f>'Equipment Results Matrix'!W1095</f>
        <v>Measure</v>
      </c>
      <c r="D588" s="1364" t="str">
        <f>'Equipment Results Matrix'!X1095</f>
        <v>LED A-Lamp, Energy Star, low brightness (9 watts)</v>
      </c>
      <c r="E588" s="1364" t="s">
        <v>2097</v>
      </c>
      <c r="F588" s="1364" t="s">
        <v>2107</v>
      </c>
      <c r="G588" s="1618" t="s">
        <v>1907</v>
      </c>
      <c r="H588" s="1619">
        <f>'Equipment Results Matrix'!Y1095</f>
        <v>28.294607764598105</v>
      </c>
      <c r="I588" s="1371">
        <f>'Labor Results Matrix'!$E$602</f>
        <v>7.9629999999999992E-2</v>
      </c>
      <c r="J588" s="1372">
        <f>'Labor Results Matrix'!$G$602*(1+'Labor Results Matrix'!$K$602)</f>
        <v>72.260416710552065</v>
      </c>
      <c r="K588" s="1372">
        <f t="shared" ref="K588:K594" si="240">I588*J588</f>
        <v>5.7540969826612605</v>
      </c>
      <c r="L588" s="1372">
        <v>0</v>
      </c>
      <c r="M588" s="1620">
        <f t="shared" ref="M588:M590" si="241">H588+K588+L588</f>
        <v>34.048704747259364</v>
      </c>
      <c r="N588" s="1621">
        <f>M588-M587</f>
        <v>27.066281235769502</v>
      </c>
      <c r="O588" s="1429"/>
      <c r="P588" s="1430"/>
      <c r="Q588" s="1430"/>
      <c r="R588" s="1430"/>
      <c r="S588" s="1430"/>
      <c r="T588" s="1430"/>
      <c r="U588" s="1430"/>
      <c r="V588" s="1679"/>
      <c r="W588" s="1366"/>
      <c r="X588" s="1366"/>
      <c r="Y588" s="1366"/>
      <c r="Z588" s="1366"/>
      <c r="AA588" s="1366"/>
      <c r="AB588" s="1366"/>
      <c r="AC588" s="1366"/>
      <c r="AD588" s="1366"/>
      <c r="AE588" s="1366"/>
      <c r="AF588" s="1366"/>
      <c r="AG588" s="1366"/>
      <c r="AH588" s="1366"/>
      <c r="AI588" s="1366"/>
      <c r="AJ588" s="1366"/>
      <c r="AK588" s="1366"/>
      <c r="AL588" s="1366"/>
      <c r="AM588" s="1366"/>
      <c r="AN588" s="1366"/>
      <c r="AO588" s="1366"/>
      <c r="AP588" s="1366"/>
      <c r="AQ588" s="1366"/>
      <c r="AR588" s="1366"/>
      <c r="AS588" s="1366"/>
      <c r="AT588" s="1366"/>
      <c r="AU588" s="1366"/>
      <c r="AV588" s="1366"/>
      <c r="AW588" s="1366"/>
      <c r="AX588" s="1366"/>
      <c r="AY588" s="1366"/>
      <c r="AZ588" s="1366"/>
      <c r="BA588" s="1366"/>
      <c r="BB588" s="1366"/>
      <c r="BC588" s="1366"/>
      <c r="BD588" s="1366"/>
      <c r="BE588" s="1366"/>
      <c r="BF588" s="1366"/>
      <c r="BG588" s="1366"/>
      <c r="BH588" s="1366"/>
      <c r="BI588" s="1366"/>
      <c r="BJ588" s="1366"/>
      <c r="BK588" s="1366"/>
      <c r="BL588" s="1366"/>
      <c r="BM588" s="1366"/>
      <c r="BN588" s="1366"/>
      <c r="BO588" s="1366"/>
      <c r="BP588" s="1366"/>
      <c r="BQ588" s="1366"/>
      <c r="BR588" s="1366"/>
      <c r="BS588" s="1366"/>
      <c r="BT588" s="1366"/>
      <c r="BU588" s="1366"/>
      <c r="BV588" s="1366"/>
      <c r="BW588" s="1366"/>
      <c r="BX588" s="1366"/>
      <c r="BY588" s="1366"/>
      <c r="BZ588" s="1366"/>
      <c r="CA588" s="1366"/>
      <c r="CB588" s="1366"/>
      <c r="CC588" s="1366"/>
      <c r="CD588" s="1366"/>
      <c r="CE588" s="1366"/>
      <c r="CF588" s="1366"/>
      <c r="CG588" s="1366"/>
      <c r="CH588" s="1366"/>
      <c r="CI588" s="1366"/>
      <c r="CJ588" s="1366"/>
      <c r="CK588" s="1366"/>
      <c r="CL588" s="1366"/>
      <c r="CM588" s="1366"/>
      <c r="CN588" s="1366"/>
      <c r="CO588" s="1366"/>
      <c r="CP588" s="1366"/>
      <c r="CQ588" s="1366"/>
      <c r="CR588" s="1366"/>
      <c r="CS588" s="1366"/>
      <c r="CT588" s="1366"/>
      <c r="CU588" s="1366"/>
      <c r="CV588" s="1366"/>
      <c r="CW588" s="1366"/>
      <c r="CX588" s="1366"/>
      <c r="CY588" s="1366"/>
      <c r="CZ588" s="1366"/>
      <c r="DA588" s="1366"/>
      <c r="DB588" s="1366"/>
      <c r="DC588" s="1366"/>
      <c r="DD588" s="1366"/>
      <c r="DE588" s="1366"/>
      <c r="DF588" s="1366"/>
      <c r="DG588" s="1366"/>
      <c r="DH588" s="1366"/>
      <c r="DI588" s="1366"/>
      <c r="DJ588" s="1366"/>
      <c r="DK588" s="1366"/>
      <c r="DL588" s="1366"/>
      <c r="DM588" s="1366"/>
      <c r="DN588" s="1366"/>
      <c r="DO588" s="1366"/>
      <c r="DP588" s="1366"/>
      <c r="DQ588" s="1366"/>
      <c r="DR588" s="1366"/>
      <c r="DS588" s="1366"/>
      <c r="DT588" s="1366"/>
      <c r="DU588" s="1366"/>
      <c r="DV588" s="1366"/>
    </row>
    <row r="589" spans="1:126" s="1367" customFormat="1" ht="15" customHeight="1">
      <c r="A589" s="2494"/>
      <c r="B589" s="2502"/>
      <c r="C589" s="1642" t="str">
        <f>'Equipment Results Matrix'!W1096</f>
        <v>Baseline</v>
      </c>
      <c r="D589" s="1364" t="str">
        <f>'Equipment Results Matrix'!X1096</f>
        <v>CFL Twister, 10,000 hours, low brightness  (10 watts)</v>
      </c>
      <c r="E589" s="1364" t="s">
        <v>2097</v>
      </c>
      <c r="F589" s="1364" t="s">
        <v>2107</v>
      </c>
      <c r="G589" s="1618" t="s">
        <v>1907</v>
      </c>
      <c r="H589" s="1619">
        <f>'Equipment Results Matrix'!Y1096</f>
        <v>2.8560158137312852</v>
      </c>
      <c r="I589" s="1371">
        <f>'Labor Results Matrix'!$E$470</f>
        <v>7.9629999999999992E-2</v>
      </c>
      <c r="J589" s="1372">
        <f>'Labor Results Matrix'!$G$470*(1+'Labor Results Matrix'!$K$470)</f>
        <v>72.260416710552065</v>
      </c>
      <c r="K589" s="1372">
        <f t="shared" si="240"/>
        <v>5.7540969826612605</v>
      </c>
      <c r="L589" s="1372">
        <v>0</v>
      </c>
      <c r="M589" s="1620">
        <f t="shared" si="241"/>
        <v>8.6101127963925457</v>
      </c>
      <c r="N589" s="1455" t="s">
        <v>40</v>
      </c>
      <c r="O589" s="1429"/>
      <c r="P589" s="1430"/>
      <c r="Q589" s="1430"/>
      <c r="R589" s="1430"/>
      <c r="S589" s="1430"/>
      <c r="T589" s="1430"/>
      <c r="U589" s="1430"/>
      <c r="V589" s="1679"/>
      <c r="W589" s="1366"/>
      <c r="X589" s="1366"/>
      <c r="Y589" s="1366"/>
      <c r="Z589" s="1366"/>
      <c r="AA589" s="1366"/>
      <c r="AB589" s="1366"/>
      <c r="AC589" s="1366"/>
      <c r="AD589" s="1366"/>
      <c r="AE589" s="1366"/>
      <c r="AF589" s="1366"/>
      <c r="AG589" s="1366"/>
      <c r="AH589" s="1366"/>
      <c r="AI589" s="1366"/>
      <c r="AJ589" s="1366"/>
      <c r="AK589" s="1366"/>
      <c r="AL589" s="1366"/>
      <c r="AM589" s="1366"/>
      <c r="AN589" s="1366"/>
      <c r="AO589" s="1366"/>
      <c r="AP589" s="1366"/>
      <c r="AQ589" s="1366"/>
      <c r="AR589" s="1366"/>
      <c r="AS589" s="1366"/>
      <c r="AT589" s="1366"/>
      <c r="AU589" s="1366"/>
      <c r="AV589" s="1366"/>
      <c r="AW589" s="1366"/>
      <c r="AX589" s="1366"/>
      <c r="AY589" s="1366"/>
      <c r="AZ589" s="1366"/>
      <c r="BA589" s="1366"/>
      <c r="BB589" s="1366"/>
      <c r="BC589" s="1366"/>
      <c r="BD589" s="1366"/>
      <c r="BE589" s="1366"/>
      <c r="BF589" s="1366"/>
      <c r="BG589" s="1366"/>
      <c r="BH589" s="1366"/>
      <c r="BI589" s="1366"/>
      <c r="BJ589" s="1366"/>
      <c r="BK589" s="1366"/>
      <c r="BL589" s="1366"/>
      <c r="BM589" s="1366"/>
      <c r="BN589" s="1366"/>
      <c r="BO589" s="1366"/>
      <c r="BP589" s="1366"/>
      <c r="BQ589" s="1366"/>
      <c r="BR589" s="1366"/>
      <c r="BS589" s="1366"/>
      <c r="BT589" s="1366"/>
      <c r="BU589" s="1366"/>
      <c r="BV589" s="1366"/>
      <c r="BW589" s="1366"/>
      <c r="BX589" s="1366"/>
      <c r="BY589" s="1366"/>
      <c r="BZ589" s="1366"/>
      <c r="CA589" s="1366"/>
      <c r="CB589" s="1366"/>
      <c r="CC589" s="1366"/>
      <c r="CD589" s="1366"/>
      <c r="CE589" s="1366"/>
      <c r="CF589" s="1366"/>
      <c r="CG589" s="1366"/>
      <c r="CH589" s="1366"/>
      <c r="CI589" s="1366"/>
      <c r="CJ589" s="1366"/>
      <c r="CK589" s="1366"/>
      <c r="CL589" s="1366"/>
      <c r="CM589" s="1366"/>
      <c r="CN589" s="1366"/>
      <c r="CO589" s="1366"/>
      <c r="CP589" s="1366"/>
      <c r="CQ589" s="1366"/>
      <c r="CR589" s="1366"/>
      <c r="CS589" s="1366"/>
      <c r="CT589" s="1366"/>
      <c r="CU589" s="1366"/>
      <c r="CV589" s="1366"/>
      <c r="CW589" s="1366"/>
      <c r="CX589" s="1366"/>
      <c r="CY589" s="1366"/>
      <c r="CZ589" s="1366"/>
      <c r="DA589" s="1366"/>
      <c r="DB589" s="1366"/>
      <c r="DC589" s="1366"/>
      <c r="DD589" s="1366"/>
      <c r="DE589" s="1366"/>
      <c r="DF589" s="1366"/>
      <c r="DG589" s="1366"/>
      <c r="DH589" s="1366"/>
      <c r="DI589" s="1366"/>
      <c r="DJ589" s="1366"/>
      <c r="DK589" s="1366"/>
      <c r="DL589" s="1366"/>
      <c r="DM589" s="1366"/>
      <c r="DN589" s="1366"/>
      <c r="DO589" s="1366"/>
      <c r="DP589" s="1366"/>
      <c r="DQ589" s="1366"/>
      <c r="DR589" s="1366"/>
      <c r="DS589" s="1366"/>
      <c r="DT589" s="1366"/>
      <c r="DU589" s="1366"/>
      <c r="DV589" s="1366"/>
    </row>
    <row r="590" spans="1:126" s="1367" customFormat="1" ht="15" customHeight="1">
      <c r="A590" s="2494"/>
      <c r="B590" s="2502"/>
      <c r="C590" s="1642" t="str">
        <f>'Equipment Results Matrix'!W1097</f>
        <v>Measure</v>
      </c>
      <c r="D590" s="1364" t="str">
        <f>'Equipment Results Matrix'!X1097</f>
        <v>LED A-Lamp, Energy Star, low brightness (9 watts)</v>
      </c>
      <c r="E590" s="1364" t="s">
        <v>2097</v>
      </c>
      <c r="F590" s="1364" t="s">
        <v>2107</v>
      </c>
      <c r="G590" s="1618" t="s">
        <v>1907</v>
      </c>
      <c r="H590" s="1619">
        <f>'Equipment Results Matrix'!Y1097</f>
        <v>28.294607764598105</v>
      </c>
      <c r="I590" s="1371">
        <f>'Labor Results Matrix'!$E$602</f>
        <v>7.9629999999999992E-2</v>
      </c>
      <c r="J590" s="1372">
        <f>'Labor Results Matrix'!$G$602*(1+'Labor Results Matrix'!$K$602)</f>
        <v>72.260416710552065</v>
      </c>
      <c r="K590" s="1372">
        <f t="shared" si="240"/>
        <v>5.7540969826612605</v>
      </c>
      <c r="L590" s="1372">
        <v>0</v>
      </c>
      <c r="M590" s="1620">
        <f t="shared" si="241"/>
        <v>34.048704747259364</v>
      </c>
      <c r="N590" s="1621">
        <f>M590-M589</f>
        <v>25.438591950866819</v>
      </c>
      <c r="O590" s="1429"/>
      <c r="P590" s="1430"/>
      <c r="Q590" s="1430"/>
      <c r="R590" s="1430"/>
      <c r="S590" s="1430"/>
      <c r="T590" s="1430"/>
      <c r="U590" s="1430"/>
      <c r="V590" s="1679"/>
      <c r="W590" s="1366"/>
      <c r="X590" s="1366"/>
      <c r="Y590" s="1366"/>
      <c r="Z590" s="1366"/>
      <c r="AA590" s="1366"/>
      <c r="AB590" s="1366"/>
      <c r="AC590" s="1366"/>
      <c r="AD590" s="1366"/>
      <c r="AE590" s="1366"/>
      <c r="AF590" s="1366"/>
      <c r="AG590" s="1366"/>
      <c r="AH590" s="1366"/>
      <c r="AI590" s="1366"/>
      <c r="AJ590" s="1366"/>
      <c r="AK590" s="1366"/>
      <c r="AL590" s="1366"/>
      <c r="AM590" s="1366"/>
      <c r="AN590" s="1366"/>
      <c r="AO590" s="1366"/>
      <c r="AP590" s="1366"/>
      <c r="AQ590" s="1366"/>
      <c r="AR590" s="1366"/>
      <c r="AS590" s="1366"/>
      <c r="AT590" s="1366"/>
      <c r="AU590" s="1366"/>
      <c r="AV590" s="1366"/>
      <c r="AW590" s="1366"/>
      <c r="AX590" s="1366"/>
      <c r="AY590" s="1366"/>
      <c r="AZ590" s="1366"/>
      <c r="BA590" s="1366"/>
      <c r="BB590" s="1366"/>
      <c r="BC590" s="1366"/>
      <c r="BD590" s="1366"/>
      <c r="BE590" s="1366"/>
      <c r="BF590" s="1366"/>
      <c r="BG590" s="1366"/>
      <c r="BH590" s="1366"/>
      <c r="BI590" s="1366"/>
      <c r="BJ590" s="1366"/>
      <c r="BK590" s="1366"/>
      <c r="BL590" s="1366"/>
      <c r="BM590" s="1366"/>
      <c r="BN590" s="1366"/>
      <c r="BO590" s="1366"/>
      <c r="BP590" s="1366"/>
      <c r="BQ590" s="1366"/>
      <c r="BR590" s="1366"/>
      <c r="BS590" s="1366"/>
      <c r="BT590" s="1366"/>
      <c r="BU590" s="1366"/>
      <c r="BV590" s="1366"/>
      <c r="BW590" s="1366"/>
      <c r="BX590" s="1366"/>
      <c r="BY590" s="1366"/>
      <c r="BZ590" s="1366"/>
      <c r="CA590" s="1366"/>
      <c r="CB590" s="1366"/>
      <c r="CC590" s="1366"/>
      <c r="CD590" s="1366"/>
      <c r="CE590" s="1366"/>
      <c r="CF590" s="1366"/>
      <c r="CG590" s="1366"/>
      <c r="CH590" s="1366"/>
      <c r="CI590" s="1366"/>
      <c r="CJ590" s="1366"/>
      <c r="CK590" s="1366"/>
      <c r="CL590" s="1366"/>
      <c r="CM590" s="1366"/>
      <c r="CN590" s="1366"/>
      <c r="CO590" s="1366"/>
      <c r="CP590" s="1366"/>
      <c r="CQ590" s="1366"/>
      <c r="CR590" s="1366"/>
      <c r="CS590" s="1366"/>
      <c r="CT590" s="1366"/>
      <c r="CU590" s="1366"/>
      <c r="CV590" s="1366"/>
      <c r="CW590" s="1366"/>
      <c r="CX590" s="1366"/>
      <c r="CY590" s="1366"/>
      <c r="CZ590" s="1366"/>
      <c r="DA590" s="1366"/>
      <c r="DB590" s="1366"/>
      <c r="DC590" s="1366"/>
      <c r="DD590" s="1366"/>
      <c r="DE590" s="1366"/>
      <c r="DF590" s="1366"/>
      <c r="DG590" s="1366"/>
      <c r="DH590" s="1366"/>
      <c r="DI590" s="1366"/>
      <c r="DJ590" s="1366"/>
      <c r="DK590" s="1366"/>
      <c r="DL590" s="1366"/>
      <c r="DM590" s="1366"/>
      <c r="DN590" s="1366"/>
      <c r="DO590" s="1366"/>
      <c r="DP590" s="1366"/>
      <c r="DQ590" s="1366"/>
      <c r="DR590" s="1366"/>
      <c r="DS590" s="1366"/>
      <c r="DT590" s="1366"/>
      <c r="DU590" s="1366"/>
      <c r="DV590" s="1366"/>
    </row>
    <row r="591" spans="1:126" s="1367" customFormat="1" ht="30">
      <c r="A591" s="2494"/>
      <c r="B591" s="2502"/>
      <c r="C591" s="1642" t="str">
        <f>'Equipment Results Matrix'!W1098</f>
        <v>Baseline</v>
      </c>
      <c r="D591" s="1375" t="str">
        <f>'Equipment Results Matrix'!X1098</f>
        <v>Incandescent A-Lamp, EISA, 1,500 hours, medium brightness  (60 watts)</v>
      </c>
      <c r="E591" s="1364" t="s">
        <v>2097</v>
      </c>
      <c r="F591" s="1364" t="s">
        <v>2107</v>
      </c>
      <c r="G591" s="1618" t="s">
        <v>1907</v>
      </c>
      <c r="H591" s="1619">
        <f>'Equipment Results Matrix'!Y1098</f>
        <v>1.4123265288286027</v>
      </c>
      <c r="I591" s="1371">
        <f>'Labor Results Matrix'!$E$470</f>
        <v>7.9629999999999992E-2</v>
      </c>
      <c r="J591" s="1372">
        <f>'Labor Results Matrix'!$G$470*(1+'Labor Results Matrix'!$K$470)</f>
        <v>72.260416710552065</v>
      </c>
      <c r="K591" s="1372">
        <f t="shared" si="240"/>
        <v>5.7540969826612605</v>
      </c>
      <c r="L591" s="1372">
        <v>0</v>
      </c>
      <c r="M591" s="1620">
        <f>H591+K591+L591</f>
        <v>7.1664235114898629</v>
      </c>
      <c r="N591" s="1455" t="s">
        <v>40</v>
      </c>
      <c r="O591" s="1429"/>
      <c r="P591" s="1430"/>
      <c r="Q591" s="1430"/>
      <c r="R591" s="1430"/>
      <c r="S591" s="1430"/>
      <c r="T591" s="1430"/>
      <c r="U591" s="1430"/>
      <c r="V591" s="1679"/>
      <c r="W591" s="1366"/>
      <c r="X591" s="1366"/>
      <c r="Y591" s="1366"/>
      <c r="Z591" s="1366"/>
      <c r="AA591" s="1366"/>
      <c r="AB591" s="1366"/>
      <c r="AC591" s="1366"/>
      <c r="AD591" s="1366"/>
      <c r="AE591" s="1366"/>
      <c r="AF591" s="1366"/>
      <c r="AG591" s="1366"/>
      <c r="AH591" s="1366"/>
      <c r="AI591" s="1366"/>
      <c r="AJ591" s="1366"/>
      <c r="AK591" s="1366"/>
      <c r="AL591" s="1366"/>
      <c r="AM591" s="1366"/>
      <c r="AN591" s="1366"/>
      <c r="AO591" s="1366"/>
      <c r="AP591" s="1366"/>
      <c r="AQ591" s="1366"/>
      <c r="AR591" s="1366"/>
      <c r="AS591" s="1366"/>
      <c r="AT591" s="1366"/>
      <c r="AU591" s="1366"/>
      <c r="AV591" s="1366"/>
      <c r="AW591" s="1366"/>
      <c r="AX591" s="1366"/>
      <c r="AY591" s="1366"/>
      <c r="AZ591" s="1366"/>
      <c r="BA591" s="1366"/>
      <c r="BB591" s="1366"/>
      <c r="BC591" s="1366"/>
      <c r="BD591" s="1366"/>
      <c r="BE591" s="1366"/>
      <c r="BF591" s="1366"/>
      <c r="BG591" s="1366"/>
      <c r="BH591" s="1366"/>
      <c r="BI591" s="1366"/>
      <c r="BJ591" s="1366"/>
      <c r="BK591" s="1366"/>
      <c r="BL591" s="1366"/>
      <c r="BM591" s="1366"/>
      <c r="BN591" s="1366"/>
      <c r="BO591" s="1366"/>
      <c r="BP591" s="1366"/>
      <c r="BQ591" s="1366"/>
      <c r="BR591" s="1366"/>
      <c r="BS591" s="1366"/>
      <c r="BT591" s="1366"/>
      <c r="BU591" s="1366"/>
      <c r="BV591" s="1366"/>
      <c r="BW591" s="1366"/>
      <c r="BX591" s="1366"/>
      <c r="BY591" s="1366"/>
      <c r="BZ591" s="1366"/>
      <c r="CA591" s="1366"/>
      <c r="CB591" s="1366"/>
      <c r="CC591" s="1366"/>
      <c r="CD591" s="1366"/>
      <c r="CE591" s="1366"/>
      <c r="CF591" s="1366"/>
      <c r="CG591" s="1366"/>
      <c r="CH591" s="1366"/>
      <c r="CI591" s="1366"/>
      <c r="CJ591" s="1366"/>
      <c r="CK591" s="1366"/>
      <c r="CL591" s="1366"/>
      <c r="CM591" s="1366"/>
      <c r="CN591" s="1366"/>
      <c r="CO591" s="1366"/>
      <c r="CP591" s="1366"/>
      <c r="CQ591" s="1366"/>
      <c r="CR591" s="1366"/>
      <c r="CS591" s="1366"/>
      <c r="CT591" s="1366"/>
      <c r="CU591" s="1366"/>
      <c r="CV591" s="1366"/>
      <c r="CW591" s="1366"/>
      <c r="CX591" s="1366"/>
      <c r="CY591" s="1366"/>
      <c r="CZ591" s="1366"/>
      <c r="DA591" s="1366"/>
      <c r="DB591" s="1366"/>
      <c r="DC591" s="1366"/>
      <c r="DD591" s="1366"/>
      <c r="DE591" s="1366"/>
      <c r="DF591" s="1366"/>
      <c r="DG591" s="1366"/>
      <c r="DH591" s="1366"/>
      <c r="DI591" s="1366"/>
      <c r="DJ591" s="1366"/>
      <c r="DK591" s="1366"/>
      <c r="DL591" s="1366"/>
      <c r="DM591" s="1366"/>
      <c r="DN591" s="1366"/>
      <c r="DO591" s="1366"/>
      <c r="DP591" s="1366"/>
      <c r="DQ591" s="1366"/>
      <c r="DR591" s="1366"/>
      <c r="DS591" s="1366"/>
      <c r="DT591" s="1366"/>
      <c r="DU591" s="1366"/>
      <c r="DV591" s="1366"/>
    </row>
    <row r="592" spans="1:126" s="1367" customFormat="1" ht="15" customHeight="1">
      <c r="A592" s="2494"/>
      <c r="B592" s="2502"/>
      <c r="C592" s="1642" t="str">
        <f>'Equipment Results Matrix'!W1099</f>
        <v>Measure</v>
      </c>
      <c r="D592" s="1364" t="str">
        <f>'Equipment Results Matrix'!X1099</f>
        <v>LED A-Lamp, Energy Star, medium brightness (12 watts)</v>
      </c>
      <c r="E592" s="1364" t="s">
        <v>2097</v>
      </c>
      <c r="F592" s="1364" t="s">
        <v>2107</v>
      </c>
      <c r="G592" s="1618" t="s">
        <v>1907</v>
      </c>
      <c r="H592" s="1619">
        <f>'Equipment Results Matrix'!Y1099</f>
        <v>34.420007764598104</v>
      </c>
      <c r="I592" s="1371">
        <f>'Labor Results Matrix'!$E$602</f>
        <v>7.9629999999999992E-2</v>
      </c>
      <c r="J592" s="1372">
        <f>'Labor Results Matrix'!$G$602*(1+'Labor Results Matrix'!$K$602)</f>
        <v>72.260416710552065</v>
      </c>
      <c r="K592" s="1372">
        <f t="shared" si="240"/>
        <v>5.7540969826612605</v>
      </c>
      <c r="L592" s="1372">
        <v>0</v>
      </c>
      <c r="M592" s="1620">
        <f t="shared" ref="M592:M594" si="242">H592+K592+L592</f>
        <v>40.174104747259364</v>
      </c>
      <c r="N592" s="1621">
        <f>M592-M591</f>
        <v>33.007681235769503</v>
      </c>
      <c r="O592" s="1429"/>
      <c r="P592" s="1430"/>
      <c r="Q592" s="1430"/>
      <c r="R592" s="1430"/>
      <c r="S592" s="1430"/>
      <c r="T592" s="1430"/>
      <c r="U592" s="1430"/>
      <c r="V592" s="1679"/>
      <c r="W592" s="1366"/>
      <c r="X592" s="1366"/>
      <c r="Y592" s="1366"/>
      <c r="Z592" s="1366"/>
      <c r="AA592" s="1366"/>
      <c r="AB592" s="1366"/>
      <c r="AC592" s="1366"/>
      <c r="AD592" s="1366"/>
      <c r="AE592" s="1366"/>
      <c r="AF592" s="1366"/>
      <c r="AG592" s="1366"/>
      <c r="AH592" s="1366"/>
      <c r="AI592" s="1366"/>
      <c r="AJ592" s="1366"/>
      <c r="AK592" s="1366"/>
      <c r="AL592" s="1366"/>
      <c r="AM592" s="1366"/>
      <c r="AN592" s="1366"/>
      <c r="AO592" s="1366"/>
      <c r="AP592" s="1366"/>
      <c r="AQ592" s="1366"/>
      <c r="AR592" s="1366"/>
      <c r="AS592" s="1366"/>
      <c r="AT592" s="1366"/>
      <c r="AU592" s="1366"/>
      <c r="AV592" s="1366"/>
      <c r="AW592" s="1366"/>
      <c r="AX592" s="1366"/>
      <c r="AY592" s="1366"/>
      <c r="AZ592" s="1366"/>
      <c r="BA592" s="1366"/>
      <c r="BB592" s="1366"/>
      <c r="BC592" s="1366"/>
      <c r="BD592" s="1366"/>
      <c r="BE592" s="1366"/>
      <c r="BF592" s="1366"/>
      <c r="BG592" s="1366"/>
      <c r="BH592" s="1366"/>
      <c r="BI592" s="1366"/>
      <c r="BJ592" s="1366"/>
      <c r="BK592" s="1366"/>
      <c r="BL592" s="1366"/>
      <c r="BM592" s="1366"/>
      <c r="BN592" s="1366"/>
      <c r="BO592" s="1366"/>
      <c r="BP592" s="1366"/>
      <c r="BQ592" s="1366"/>
      <c r="BR592" s="1366"/>
      <c r="BS592" s="1366"/>
      <c r="BT592" s="1366"/>
      <c r="BU592" s="1366"/>
      <c r="BV592" s="1366"/>
      <c r="BW592" s="1366"/>
      <c r="BX592" s="1366"/>
      <c r="BY592" s="1366"/>
      <c r="BZ592" s="1366"/>
      <c r="CA592" s="1366"/>
      <c r="CB592" s="1366"/>
      <c r="CC592" s="1366"/>
      <c r="CD592" s="1366"/>
      <c r="CE592" s="1366"/>
      <c r="CF592" s="1366"/>
      <c r="CG592" s="1366"/>
      <c r="CH592" s="1366"/>
      <c r="CI592" s="1366"/>
      <c r="CJ592" s="1366"/>
      <c r="CK592" s="1366"/>
      <c r="CL592" s="1366"/>
      <c r="CM592" s="1366"/>
      <c r="CN592" s="1366"/>
      <c r="CO592" s="1366"/>
      <c r="CP592" s="1366"/>
      <c r="CQ592" s="1366"/>
      <c r="CR592" s="1366"/>
      <c r="CS592" s="1366"/>
      <c r="CT592" s="1366"/>
      <c r="CU592" s="1366"/>
      <c r="CV592" s="1366"/>
      <c r="CW592" s="1366"/>
      <c r="CX592" s="1366"/>
      <c r="CY592" s="1366"/>
      <c r="CZ592" s="1366"/>
      <c r="DA592" s="1366"/>
      <c r="DB592" s="1366"/>
      <c r="DC592" s="1366"/>
      <c r="DD592" s="1366"/>
      <c r="DE592" s="1366"/>
      <c r="DF592" s="1366"/>
      <c r="DG592" s="1366"/>
      <c r="DH592" s="1366"/>
      <c r="DI592" s="1366"/>
      <c r="DJ592" s="1366"/>
      <c r="DK592" s="1366"/>
      <c r="DL592" s="1366"/>
      <c r="DM592" s="1366"/>
      <c r="DN592" s="1366"/>
      <c r="DO592" s="1366"/>
      <c r="DP592" s="1366"/>
      <c r="DQ592" s="1366"/>
      <c r="DR592" s="1366"/>
      <c r="DS592" s="1366"/>
      <c r="DT592" s="1366"/>
      <c r="DU592" s="1366"/>
      <c r="DV592" s="1366"/>
    </row>
    <row r="593" spans="1:126" s="1367" customFormat="1" ht="15" customHeight="1">
      <c r="A593" s="2494"/>
      <c r="B593" s="2502"/>
      <c r="C593" s="1642" t="str">
        <f>'Equipment Results Matrix'!W1100</f>
        <v>Baseline</v>
      </c>
      <c r="D593" s="1364" t="str">
        <f>'Equipment Results Matrix'!X1100</f>
        <v>CFL Twister, 20,000 hours, medium brightness  (15 watts)</v>
      </c>
      <c r="E593" s="1364" t="s">
        <v>2097</v>
      </c>
      <c r="F593" s="1364" t="s">
        <v>2107</v>
      </c>
      <c r="G593" s="1618" t="s">
        <v>1907</v>
      </c>
      <c r="H593" s="1619">
        <f>'Equipment Results Matrix'!Y1100</f>
        <v>3.1885158137312852</v>
      </c>
      <c r="I593" s="1371">
        <f>'Labor Results Matrix'!$E$470</f>
        <v>7.9629999999999992E-2</v>
      </c>
      <c r="J593" s="1372">
        <f>'Labor Results Matrix'!$G$470*(1+'Labor Results Matrix'!$K$470)</f>
        <v>72.260416710552065</v>
      </c>
      <c r="K593" s="1372">
        <f t="shared" si="240"/>
        <v>5.7540969826612605</v>
      </c>
      <c r="L593" s="1372">
        <v>0</v>
      </c>
      <c r="M593" s="1620">
        <f t="shared" si="242"/>
        <v>8.9426127963925452</v>
      </c>
      <c r="N593" s="1455" t="s">
        <v>40</v>
      </c>
      <c r="O593" s="1429"/>
      <c r="P593" s="1430"/>
      <c r="Q593" s="1430"/>
      <c r="R593" s="1430"/>
      <c r="S593" s="1430"/>
      <c r="T593" s="1430"/>
      <c r="U593" s="1430"/>
      <c r="V593" s="1679"/>
      <c r="W593" s="1366"/>
      <c r="X593" s="1366"/>
      <c r="Y593" s="1366"/>
      <c r="Z593" s="1366"/>
      <c r="AA593" s="1366"/>
      <c r="AB593" s="1366"/>
      <c r="AC593" s="1366"/>
      <c r="AD593" s="1366"/>
      <c r="AE593" s="1366"/>
      <c r="AF593" s="1366"/>
      <c r="AG593" s="1366"/>
      <c r="AH593" s="1366"/>
      <c r="AI593" s="1366"/>
      <c r="AJ593" s="1366"/>
      <c r="AK593" s="1366"/>
      <c r="AL593" s="1366"/>
      <c r="AM593" s="1366"/>
      <c r="AN593" s="1366"/>
      <c r="AO593" s="1366"/>
      <c r="AP593" s="1366"/>
      <c r="AQ593" s="1366"/>
      <c r="AR593" s="1366"/>
      <c r="AS593" s="1366"/>
      <c r="AT593" s="1366"/>
      <c r="AU593" s="1366"/>
      <c r="AV593" s="1366"/>
      <c r="AW593" s="1366"/>
      <c r="AX593" s="1366"/>
      <c r="AY593" s="1366"/>
      <c r="AZ593" s="1366"/>
      <c r="BA593" s="1366"/>
      <c r="BB593" s="1366"/>
      <c r="BC593" s="1366"/>
      <c r="BD593" s="1366"/>
      <c r="BE593" s="1366"/>
      <c r="BF593" s="1366"/>
      <c r="BG593" s="1366"/>
      <c r="BH593" s="1366"/>
      <c r="BI593" s="1366"/>
      <c r="BJ593" s="1366"/>
      <c r="BK593" s="1366"/>
      <c r="BL593" s="1366"/>
      <c r="BM593" s="1366"/>
      <c r="BN593" s="1366"/>
      <c r="BO593" s="1366"/>
      <c r="BP593" s="1366"/>
      <c r="BQ593" s="1366"/>
      <c r="BR593" s="1366"/>
      <c r="BS593" s="1366"/>
      <c r="BT593" s="1366"/>
      <c r="BU593" s="1366"/>
      <c r="BV593" s="1366"/>
      <c r="BW593" s="1366"/>
      <c r="BX593" s="1366"/>
      <c r="BY593" s="1366"/>
      <c r="BZ593" s="1366"/>
      <c r="CA593" s="1366"/>
      <c r="CB593" s="1366"/>
      <c r="CC593" s="1366"/>
      <c r="CD593" s="1366"/>
      <c r="CE593" s="1366"/>
      <c r="CF593" s="1366"/>
      <c r="CG593" s="1366"/>
      <c r="CH593" s="1366"/>
      <c r="CI593" s="1366"/>
      <c r="CJ593" s="1366"/>
      <c r="CK593" s="1366"/>
      <c r="CL593" s="1366"/>
      <c r="CM593" s="1366"/>
      <c r="CN593" s="1366"/>
      <c r="CO593" s="1366"/>
      <c r="CP593" s="1366"/>
      <c r="CQ593" s="1366"/>
      <c r="CR593" s="1366"/>
      <c r="CS593" s="1366"/>
      <c r="CT593" s="1366"/>
      <c r="CU593" s="1366"/>
      <c r="CV593" s="1366"/>
      <c r="CW593" s="1366"/>
      <c r="CX593" s="1366"/>
      <c r="CY593" s="1366"/>
      <c r="CZ593" s="1366"/>
      <c r="DA593" s="1366"/>
      <c r="DB593" s="1366"/>
      <c r="DC593" s="1366"/>
      <c r="DD593" s="1366"/>
      <c r="DE593" s="1366"/>
      <c r="DF593" s="1366"/>
      <c r="DG593" s="1366"/>
      <c r="DH593" s="1366"/>
      <c r="DI593" s="1366"/>
      <c r="DJ593" s="1366"/>
      <c r="DK593" s="1366"/>
      <c r="DL593" s="1366"/>
      <c r="DM593" s="1366"/>
      <c r="DN593" s="1366"/>
      <c r="DO593" s="1366"/>
      <c r="DP593" s="1366"/>
      <c r="DQ593" s="1366"/>
      <c r="DR593" s="1366"/>
      <c r="DS593" s="1366"/>
      <c r="DT593" s="1366"/>
      <c r="DU593" s="1366"/>
      <c r="DV593" s="1366"/>
    </row>
    <row r="594" spans="1:126" s="1367" customFormat="1" ht="15" customHeight="1" thickBot="1">
      <c r="A594" s="2495"/>
      <c r="B594" s="2502"/>
      <c r="C594" s="1561" t="str">
        <f>'Equipment Results Matrix'!W1101</f>
        <v>Measure</v>
      </c>
      <c r="D594" s="1587" t="str">
        <f>'Equipment Results Matrix'!X1101</f>
        <v>LED A-Lamp, Energy Star, medium brightness (12 watts)</v>
      </c>
      <c r="E594" s="1364" t="s">
        <v>2097</v>
      </c>
      <c r="F594" s="1364" t="s">
        <v>2107</v>
      </c>
      <c r="G594" s="1618" t="s">
        <v>1907</v>
      </c>
      <c r="H594" s="1593">
        <f>'Equipment Results Matrix'!Y1101</f>
        <v>34.420007764598104</v>
      </c>
      <c r="I594" s="1553">
        <f>'Labor Results Matrix'!$E$602</f>
        <v>7.9629999999999992E-2</v>
      </c>
      <c r="J594" s="1555">
        <f>'Labor Results Matrix'!$G$602*(1+'Labor Results Matrix'!$K$602)</f>
        <v>72.260416710552065</v>
      </c>
      <c r="K594" s="1555">
        <f t="shared" si="240"/>
        <v>5.7540969826612605</v>
      </c>
      <c r="L594" s="1372">
        <v>0</v>
      </c>
      <c r="M594" s="1595">
        <f t="shared" si="242"/>
        <v>40.174104747259364</v>
      </c>
      <c r="N594" s="1596">
        <f>M594-M593</f>
        <v>31.231491950866818</v>
      </c>
      <c r="O594" s="1429"/>
      <c r="P594" s="1430"/>
      <c r="Q594" s="1430"/>
      <c r="R594" s="1430"/>
      <c r="S594" s="1430"/>
      <c r="T594" s="1430"/>
      <c r="U594" s="1430"/>
      <c r="V594" s="1679"/>
      <c r="W594" s="1366"/>
      <c r="X594" s="1366"/>
      <c r="Y594" s="1366"/>
      <c r="Z594" s="1366"/>
      <c r="AA594" s="1366"/>
      <c r="AB594" s="1366"/>
      <c r="AC594" s="1366"/>
      <c r="AD594" s="1366"/>
      <c r="AE594" s="1366"/>
      <c r="AF594" s="1366"/>
      <c r="AG594" s="1366"/>
      <c r="AH594" s="1366"/>
      <c r="AI594" s="1366"/>
      <c r="AJ594" s="1366"/>
      <c r="AK594" s="1366"/>
      <c r="AL594" s="1366"/>
      <c r="AM594" s="1366"/>
      <c r="AN594" s="1366"/>
      <c r="AO594" s="1366"/>
      <c r="AP594" s="1366"/>
      <c r="AQ594" s="1366"/>
      <c r="AR594" s="1366"/>
      <c r="AS594" s="1366"/>
      <c r="AT594" s="1366"/>
      <c r="AU594" s="1366"/>
      <c r="AV594" s="1366"/>
      <c r="AW594" s="1366"/>
      <c r="AX594" s="1366"/>
      <c r="AY594" s="1366"/>
      <c r="AZ594" s="1366"/>
      <c r="BA594" s="1366"/>
      <c r="BB594" s="1366"/>
      <c r="BC594" s="1366"/>
      <c r="BD594" s="1366"/>
      <c r="BE594" s="1366"/>
      <c r="BF594" s="1366"/>
      <c r="BG594" s="1366"/>
      <c r="BH594" s="1366"/>
      <c r="BI594" s="1366"/>
      <c r="BJ594" s="1366"/>
      <c r="BK594" s="1366"/>
      <c r="BL594" s="1366"/>
      <c r="BM594" s="1366"/>
      <c r="BN594" s="1366"/>
      <c r="BO594" s="1366"/>
      <c r="BP594" s="1366"/>
      <c r="BQ594" s="1366"/>
      <c r="BR594" s="1366"/>
      <c r="BS594" s="1366"/>
      <c r="BT594" s="1366"/>
      <c r="BU594" s="1366"/>
      <c r="BV594" s="1366"/>
      <c r="BW594" s="1366"/>
      <c r="BX594" s="1366"/>
      <c r="BY594" s="1366"/>
      <c r="BZ594" s="1366"/>
      <c r="CA594" s="1366"/>
      <c r="CB594" s="1366"/>
      <c r="CC594" s="1366"/>
      <c r="CD594" s="1366"/>
      <c r="CE594" s="1366"/>
      <c r="CF594" s="1366"/>
      <c r="CG594" s="1366"/>
      <c r="CH594" s="1366"/>
      <c r="CI594" s="1366"/>
      <c r="CJ594" s="1366"/>
      <c r="CK594" s="1366"/>
      <c r="CL594" s="1366"/>
      <c r="CM594" s="1366"/>
      <c r="CN594" s="1366"/>
      <c r="CO594" s="1366"/>
      <c r="CP594" s="1366"/>
      <c r="CQ594" s="1366"/>
      <c r="CR594" s="1366"/>
      <c r="CS594" s="1366"/>
      <c r="CT594" s="1366"/>
      <c r="CU594" s="1366"/>
      <c r="CV594" s="1366"/>
      <c r="CW594" s="1366"/>
      <c r="CX594" s="1366"/>
      <c r="CY594" s="1366"/>
      <c r="CZ594" s="1366"/>
      <c r="DA594" s="1366"/>
      <c r="DB594" s="1366"/>
      <c r="DC594" s="1366"/>
      <c r="DD594" s="1366"/>
      <c r="DE594" s="1366"/>
      <c r="DF594" s="1366"/>
      <c r="DG594" s="1366"/>
      <c r="DH594" s="1366"/>
      <c r="DI594" s="1366"/>
      <c r="DJ594" s="1366"/>
      <c r="DK594" s="1366"/>
      <c r="DL594" s="1366"/>
      <c r="DM594" s="1366"/>
      <c r="DN594" s="1366"/>
      <c r="DO594" s="1366"/>
      <c r="DP594" s="1366"/>
      <c r="DQ594" s="1366"/>
      <c r="DR594" s="1366"/>
      <c r="DS594" s="1366"/>
      <c r="DT594" s="1366"/>
      <c r="DU594" s="1366"/>
      <c r="DV594" s="1366"/>
    </row>
    <row r="595" spans="1:126" s="1479" customFormat="1" ht="19.5" thickBot="1">
      <c r="A595" s="695"/>
      <c r="B595" s="1655"/>
      <c r="C595" s="1655"/>
      <c r="D595" s="683"/>
      <c r="E595" s="683"/>
      <c r="F595" s="683"/>
      <c r="G595" s="683"/>
      <c r="H595" s="1413"/>
      <c r="I595" s="1443"/>
      <c r="J595" s="1414"/>
      <c r="K595" s="1413"/>
      <c r="L595" s="1529"/>
      <c r="M595" s="1413"/>
      <c r="N595" s="1489"/>
      <c r="O595" s="1413"/>
      <c r="P595" s="1414"/>
      <c r="Q595" s="1414"/>
      <c r="R595" s="1443"/>
      <c r="S595" s="1443"/>
      <c r="T595" s="1488"/>
      <c r="U595" s="1488"/>
      <c r="V595" s="1489"/>
      <c r="W595" s="1490"/>
      <c r="X595" s="1490"/>
      <c r="Y595" s="327"/>
      <c r="Z595" s="327"/>
      <c r="AA595" s="327"/>
      <c r="AB595" s="1490"/>
      <c r="AC595" s="1490"/>
      <c r="AD595" s="1490"/>
      <c r="AE595" s="1490"/>
      <c r="AF595" s="327"/>
      <c r="AG595" s="327"/>
      <c r="AH595" s="327"/>
      <c r="AI595" s="327"/>
      <c r="AJ595" s="327"/>
      <c r="AK595" s="1478"/>
      <c r="AL595" s="1478"/>
      <c r="AM595" s="1478"/>
      <c r="AN595" s="1478"/>
      <c r="AO595" s="1478"/>
      <c r="AP595" s="1478"/>
      <c r="AQ595" s="1478"/>
      <c r="AR595" s="1478"/>
      <c r="AS595" s="1478"/>
      <c r="AT595" s="1478"/>
      <c r="AU595" s="1478"/>
      <c r="AV595" s="1478"/>
      <c r="AW595" s="1478"/>
      <c r="AX595" s="1478"/>
      <c r="AY595" s="1478"/>
      <c r="AZ595" s="1478"/>
      <c r="BA595" s="1478"/>
      <c r="BB595" s="1478"/>
      <c r="BC595" s="1478"/>
      <c r="BD595" s="1478"/>
      <c r="BE595" s="1478"/>
      <c r="BF595" s="1478"/>
      <c r="BG595" s="1478"/>
      <c r="BH595" s="1478"/>
      <c r="BI595" s="1478"/>
      <c r="BJ595" s="1478"/>
      <c r="BK595" s="327"/>
      <c r="BL595" s="327"/>
      <c r="BM595" s="327"/>
      <c r="BN595" s="327"/>
      <c r="BO595" s="327"/>
      <c r="BP595" s="327"/>
      <c r="BQ595" s="327"/>
      <c r="BR595" s="327"/>
      <c r="BS595" s="327"/>
      <c r="BT595" s="327"/>
      <c r="BU595" s="327"/>
      <c r="BV595" s="327"/>
      <c r="BW595" s="327"/>
      <c r="BX595" s="327"/>
      <c r="BY595" s="327"/>
      <c r="BZ595" s="327"/>
      <c r="CA595" s="327"/>
      <c r="CB595" s="327"/>
      <c r="CC595" s="327"/>
      <c r="CD595" s="327"/>
      <c r="CE595" s="327"/>
      <c r="CF595" s="327"/>
      <c r="CG595" s="327"/>
      <c r="CH595" s="327"/>
      <c r="CI595" s="327"/>
      <c r="CJ595" s="327"/>
      <c r="CK595" s="327"/>
      <c r="CL595" s="327"/>
      <c r="CM595" s="327"/>
      <c r="CN595" s="327"/>
      <c r="CO595" s="327"/>
      <c r="CP595" s="327"/>
      <c r="CQ595" s="327"/>
      <c r="CR595" s="327"/>
      <c r="CS595" s="327"/>
      <c r="CT595" s="327"/>
      <c r="CU595" s="327"/>
      <c r="CV595" s="327"/>
      <c r="CW595" s="327"/>
      <c r="CX595" s="327"/>
      <c r="CY595" s="327"/>
      <c r="CZ595" s="327"/>
      <c r="DA595" s="327"/>
      <c r="DB595" s="327"/>
      <c r="DC595" s="327"/>
      <c r="DD595" s="327"/>
      <c r="DE595" s="327"/>
      <c r="DF595" s="327"/>
      <c r="DG595" s="327"/>
      <c r="DH595" s="327"/>
      <c r="DI595" s="327"/>
      <c r="DJ595" s="327"/>
      <c r="DK595" s="327"/>
      <c r="DL595" s="327"/>
      <c r="DM595" s="327"/>
      <c r="DN595" s="327"/>
      <c r="DO595" s="327"/>
      <c r="DP595" s="327"/>
      <c r="DQ595" s="327"/>
      <c r="DR595" s="327"/>
      <c r="DS595" s="327"/>
      <c r="DT595" s="327"/>
      <c r="DU595" s="327"/>
      <c r="DV595" s="327"/>
    </row>
    <row r="596" spans="1:126" s="1367" customFormat="1" ht="15" customHeight="1">
      <c r="A596" s="2493" t="s">
        <v>928</v>
      </c>
      <c r="B596" s="2501" t="s">
        <v>2698</v>
      </c>
      <c r="C596" s="623" t="str">
        <f>'Equipment Results Matrix'!W1108</f>
        <v>Baseline</v>
      </c>
      <c r="D596" s="383" t="str">
        <f>'Equipment Results Matrix'!X1108</f>
        <v>Incandescent Reflector, 2,000 hours, medium brightness  (60 watts)</v>
      </c>
      <c r="E596" s="383" t="s">
        <v>2097</v>
      </c>
      <c r="F596" s="383" t="s">
        <v>2107</v>
      </c>
      <c r="G596" s="1617" t="s">
        <v>1907</v>
      </c>
      <c r="H596" s="1589">
        <f>'Equipment Results Matrix'!Y1108</f>
        <v>6.1587992647146574</v>
      </c>
      <c r="I596" s="1564">
        <f>'Labor Results Matrix'!$E$490</f>
        <v>6.2E-2</v>
      </c>
      <c r="J596" s="1566">
        <f>'Labor Results Matrix'!$G$490*(1+'Labor Results Matrix'!$K$490)</f>
        <v>72.260416710552065</v>
      </c>
      <c r="K596" s="1566">
        <f>I596*J596</f>
        <v>4.4801458360542279</v>
      </c>
      <c r="L596" s="1566">
        <v>0</v>
      </c>
      <c r="M596" s="1591">
        <f>H596+K596+L596</f>
        <v>10.638945100768886</v>
      </c>
      <c r="N596" s="1592" t="s">
        <v>40</v>
      </c>
      <c r="O596" s="1429"/>
      <c r="P596" s="1430"/>
      <c r="Q596" s="1430"/>
      <c r="R596" s="1430"/>
      <c r="S596" s="1430"/>
      <c r="T596" s="1430"/>
      <c r="U596" s="1430"/>
      <c r="V596" s="1679"/>
      <c r="W596" s="1366"/>
      <c r="X596" s="1366"/>
      <c r="Y596" s="1366"/>
      <c r="Z596" s="1366"/>
      <c r="AA596" s="1366"/>
      <c r="AB596" s="1366"/>
      <c r="AC596" s="1366"/>
      <c r="AD596" s="1366"/>
      <c r="AE596" s="1366"/>
      <c r="AF596" s="1366"/>
      <c r="AG596" s="1366"/>
      <c r="AH596" s="1366"/>
      <c r="AI596" s="1366"/>
      <c r="AJ596" s="1366"/>
      <c r="AK596" s="1366"/>
      <c r="AL596" s="1366"/>
      <c r="AM596" s="1366"/>
      <c r="AN596" s="1366"/>
      <c r="AO596" s="1366"/>
      <c r="AP596" s="1366"/>
      <c r="AQ596" s="1366"/>
      <c r="AR596" s="1366"/>
      <c r="AS596" s="1366"/>
      <c r="AT596" s="1366"/>
      <c r="AU596" s="1366"/>
      <c r="AV596" s="1366"/>
      <c r="AW596" s="1366"/>
      <c r="AX596" s="1366"/>
      <c r="AY596" s="1366"/>
      <c r="AZ596" s="1366"/>
      <c r="BA596" s="1366"/>
      <c r="BB596" s="1366"/>
      <c r="BC596" s="1366"/>
      <c r="BD596" s="1366"/>
      <c r="BE596" s="1366"/>
      <c r="BF596" s="1366"/>
      <c r="BG596" s="1366"/>
      <c r="BH596" s="1366"/>
      <c r="BI596" s="1366"/>
      <c r="BJ596" s="1366"/>
      <c r="BK596" s="1366"/>
      <c r="BL596" s="1366"/>
      <c r="BM596" s="1366"/>
      <c r="BN596" s="1366"/>
      <c r="BO596" s="1366"/>
      <c r="BP596" s="1366"/>
      <c r="BQ596" s="1366"/>
      <c r="BR596" s="1366"/>
      <c r="BS596" s="1366"/>
      <c r="BT596" s="1366"/>
      <c r="BU596" s="1366"/>
      <c r="BV596" s="1366"/>
      <c r="BW596" s="1366"/>
      <c r="BX596" s="1366"/>
      <c r="BY596" s="1366"/>
      <c r="BZ596" s="1366"/>
      <c r="CA596" s="1366"/>
      <c r="CB596" s="1366"/>
      <c r="CC596" s="1366"/>
      <c r="CD596" s="1366"/>
      <c r="CE596" s="1366"/>
      <c r="CF596" s="1366"/>
      <c r="CG596" s="1366"/>
      <c r="CH596" s="1366"/>
      <c r="CI596" s="1366"/>
      <c r="CJ596" s="1366"/>
      <c r="CK596" s="1366"/>
      <c r="CL596" s="1366"/>
      <c r="CM596" s="1366"/>
      <c r="CN596" s="1366"/>
      <c r="CO596" s="1366"/>
      <c r="CP596" s="1366"/>
      <c r="CQ596" s="1366"/>
      <c r="CR596" s="1366"/>
      <c r="CS596" s="1366"/>
      <c r="CT596" s="1366"/>
      <c r="CU596" s="1366"/>
      <c r="CV596" s="1366"/>
      <c r="CW596" s="1366"/>
      <c r="CX596" s="1366"/>
      <c r="CY596" s="1366"/>
      <c r="CZ596" s="1366"/>
      <c r="DA596" s="1366"/>
      <c r="DB596" s="1366"/>
      <c r="DC596" s="1366"/>
      <c r="DD596" s="1366"/>
      <c r="DE596" s="1366"/>
      <c r="DF596" s="1366"/>
      <c r="DG596" s="1366"/>
      <c r="DH596" s="1366"/>
      <c r="DI596" s="1366"/>
      <c r="DJ596" s="1366"/>
      <c r="DK596" s="1366"/>
      <c r="DL596" s="1366"/>
      <c r="DM596" s="1366"/>
      <c r="DN596" s="1366"/>
      <c r="DO596" s="1366"/>
      <c r="DP596" s="1366"/>
      <c r="DQ596" s="1366"/>
      <c r="DR596" s="1366"/>
      <c r="DS596" s="1366"/>
      <c r="DT596" s="1366"/>
      <c r="DU596" s="1366"/>
      <c r="DV596" s="1366"/>
    </row>
    <row r="597" spans="1:126" s="1367" customFormat="1" ht="15" customHeight="1">
      <c r="A597" s="2494"/>
      <c r="B597" s="2502"/>
      <c r="C597" s="1642" t="str">
        <f>'Equipment Results Matrix'!W1109</f>
        <v>Measure</v>
      </c>
      <c r="D597" s="1364" t="str">
        <f>'Equipment Results Matrix'!X1109</f>
        <v>LED Reflector, Energy Star, medium brightness (15 watts)</v>
      </c>
      <c r="E597" s="1364" t="s">
        <v>2097</v>
      </c>
      <c r="F597" s="1364" t="s">
        <v>2107</v>
      </c>
      <c r="G597" s="1618" t="s">
        <v>1907</v>
      </c>
      <c r="H597" s="1619">
        <f>'Equipment Results Matrix'!Y1109</f>
        <v>48.101554446985098</v>
      </c>
      <c r="I597" s="1371">
        <f>'Labor Results Matrix'!$E$616</f>
        <v>6.2E-2</v>
      </c>
      <c r="J597" s="1372">
        <f>'Labor Results Matrix'!$G$616*(1+'Labor Results Matrix'!$K$616)</f>
        <v>72.260416710552065</v>
      </c>
      <c r="K597" s="1372">
        <f t="shared" ref="K597:K603" si="243">I597*J597</f>
        <v>4.4801458360542279</v>
      </c>
      <c r="L597" s="1372">
        <v>0</v>
      </c>
      <c r="M597" s="1620">
        <f t="shared" ref="M597:M599" si="244">H597+K597+L597</f>
        <v>52.581700283039325</v>
      </c>
      <c r="N597" s="1621">
        <f>M597-M596</f>
        <v>41.942755182270439</v>
      </c>
      <c r="O597" s="1429"/>
      <c r="P597" s="1430"/>
      <c r="Q597" s="1430"/>
      <c r="R597" s="1430"/>
      <c r="S597" s="1430"/>
      <c r="T597" s="1430"/>
      <c r="U597" s="1430"/>
      <c r="V597" s="1679"/>
      <c r="W597" s="1366"/>
      <c r="X597" s="1366"/>
      <c r="Y597" s="1366"/>
      <c r="Z597" s="1366"/>
      <c r="AA597" s="1366"/>
      <c r="AB597" s="1366"/>
      <c r="AC597" s="1366"/>
      <c r="AD597" s="1366"/>
      <c r="AE597" s="1366"/>
      <c r="AF597" s="1366"/>
      <c r="AG597" s="1366"/>
      <c r="AH597" s="1366"/>
      <c r="AI597" s="1366"/>
      <c r="AJ597" s="1366"/>
      <c r="AK597" s="1366"/>
      <c r="AL597" s="1366"/>
      <c r="AM597" s="1366"/>
      <c r="AN597" s="1366"/>
      <c r="AO597" s="1366"/>
      <c r="AP597" s="1366"/>
      <c r="AQ597" s="1366"/>
      <c r="AR597" s="1366"/>
      <c r="AS597" s="1366"/>
      <c r="AT597" s="1366"/>
      <c r="AU597" s="1366"/>
      <c r="AV597" s="1366"/>
      <c r="AW597" s="1366"/>
      <c r="AX597" s="1366"/>
      <c r="AY597" s="1366"/>
      <c r="AZ597" s="1366"/>
      <c r="BA597" s="1366"/>
      <c r="BB597" s="1366"/>
      <c r="BC597" s="1366"/>
      <c r="BD597" s="1366"/>
      <c r="BE597" s="1366"/>
      <c r="BF597" s="1366"/>
      <c r="BG597" s="1366"/>
      <c r="BH597" s="1366"/>
      <c r="BI597" s="1366"/>
      <c r="BJ597" s="1366"/>
      <c r="BK597" s="1366"/>
      <c r="BL597" s="1366"/>
      <c r="BM597" s="1366"/>
      <c r="BN597" s="1366"/>
      <c r="BO597" s="1366"/>
      <c r="BP597" s="1366"/>
      <c r="BQ597" s="1366"/>
      <c r="BR597" s="1366"/>
      <c r="BS597" s="1366"/>
      <c r="BT597" s="1366"/>
      <c r="BU597" s="1366"/>
      <c r="BV597" s="1366"/>
      <c r="BW597" s="1366"/>
      <c r="BX597" s="1366"/>
      <c r="BY597" s="1366"/>
      <c r="BZ597" s="1366"/>
      <c r="CA597" s="1366"/>
      <c r="CB597" s="1366"/>
      <c r="CC597" s="1366"/>
      <c r="CD597" s="1366"/>
      <c r="CE597" s="1366"/>
      <c r="CF597" s="1366"/>
      <c r="CG597" s="1366"/>
      <c r="CH597" s="1366"/>
      <c r="CI597" s="1366"/>
      <c r="CJ597" s="1366"/>
      <c r="CK597" s="1366"/>
      <c r="CL597" s="1366"/>
      <c r="CM597" s="1366"/>
      <c r="CN597" s="1366"/>
      <c r="CO597" s="1366"/>
      <c r="CP597" s="1366"/>
      <c r="CQ597" s="1366"/>
      <c r="CR597" s="1366"/>
      <c r="CS597" s="1366"/>
      <c r="CT597" s="1366"/>
      <c r="CU597" s="1366"/>
      <c r="CV597" s="1366"/>
      <c r="CW597" s="1366"/>
      <c r="CX597" s="1366"/>
      <c r="CY597" s="1366"/>
      <c r="CZ597" s="1366"/>
      <c r="DA597" s="1366"/>
      <c r="DB597" s="1366"/>
      <c r="DC597" s="1366"/>
      <c r="DD597" s="1366"/>
      <c r="DE597" s="1366"/>
      <c r="DF597" s="1366"/>
      <c r="DG597" s="1366"/>
      <c r="DH597" s="1366"/>
      <c r="DI597" s="1366"/>
      <c r="DJ597" s="1366"/>
      <c r="DK597" s="1366"/>
      <c r="DL597" s="1366"/>
      <c r="DM597" s="1366"/>
      <c r="DN597" s="1366"/>
      <c r="DO597" s="1366"/>
      <c r="DP597" s="1366"/>
      <c r="DQ597" s="1366"/>
      <c r="DR597" s="1366"/>
      <c r="DS597" s="1366"/>
      <c r="DT597" s="1366"/>
      <c r="DU597" s="1366"/>
      <c r="DV597" s="1366"/>
    </row>
    <row r="598" spans="1:126" s="1367" customFormat="1" ht="15" customHeight="1">
      <c r="A598" s="2494"/>
      <c r="B598" s="2502"/>
      <c r="C598" s="1642" t="str">
        <f>'Equipment Results Matrix'!W1110</f>
        <v>Baseline</v>
      </c>
      <c r="D598" s="1364" t="str">
        <f>'Equipment Results Matrix'!X1110</f>
        <v>CFL Reflector, medium brightness  (15 watts)</v>
      </c>
      <c r="E598" s="1364" t="s">
        <v>2097</v>
      </c>
      <c r="F598" s="1364" t="s">
        <v>2107</v>
      </c>
      <c r="G598" s="1618" t="s">
        <v>1907</v>
      </c>
      <c r="H598" s="1619">
        <f>'Equipment Results Matrix'!Y1110</f>
        <v>7.8351715487045137</v>
      </c>
      <c r="I598" s="1371">
        <f>'Labor Results Matrix'!$E$490</f>
        <v>6.2E-2</v>
      </c>
      <c r="J598" s="1372">
        <f>'Labor Results Matrix'!$G$490*(1+'Labor Results Matrix'!$K$490)</f>
        <v>72.260416710552065</v>
      </c>
      <c r="K598" s="1372">
        <f t="shared" si="243"/>
        <v>4.4801458360542279</v>
      </c>
      <c r="L598" s="1372">
        <v>0</v>
      </c>
      <c r="M598" s="1620">
        <f t="shared" si="244"/>
        <v>12.315317384758742</v>
      </c>
      <c r="N598" s="1455" t="s">
        <v>40</v>
      </c>
      <c r="O598" s="1429"/>
      <c r="P598" s="1430"/>
      <c r="Q598" s="1430"/>
      <c r="R598" s="1430"/>
      <c r="S598" s="1430"/>
      <c r="T598" s="1430"/>
      <c r="U598" s="1430"/>
      <c r="V598" s="1679"/>
      <c r="W598" s="1366"/>
      <c r="X598" s="1366"/>
      <c r="Y598" s="1366"/>
      <c r="Z598" s="1366"/>
      <c r="AA598" s="1366"/>
      <c r="AB598" s="1366"/>
      <c r="AC598" s="1366"/>
      <c r="AD598" s="1366"/>
      <c r="AE598" s="1366"/>
      <c r="AF598" s="1366"/>
      <c r="AG598" s="1366"/>
      <c r="AH598" s="1366"/>
      <c r="AI598" s="1366"/>
      <c r="AJ598" s="1366"/>
      <c r="AK598" s="1366"/>
      <c r="AL598" s="1366"/>
      <c r="AM598" s="1366"/>
      <c r="AN598" s="1366"/>
      <c r="AO598" s="1366"/>
      <c r="AP598" s="1366"/>
      <c r="AQ598" s="1366"/>
      <c r="AR598" s="1366"/>
      <c r="AS598" s="1366"/>
      <c r="AT598" s="1366"/>
      <c r="AU598" s="1366"/>
      <c r="AV598" s="1366"/>
      <c r="AW598" s="1366"/>
      <c r="AX598" s="1366"/>
      <c r="AY598" s="1366"/>
      <c r="AZ598" s="1366"/>
      <c r="BA598" s="1366"/>
      <c r="BB598" s="1366"/>
      <c r="BC598" s="1366"/>
      <c r="BD598" s="1366"/>
      <c r="BE598" s="1366"/>
      <c r="BF598" s="1366"/>
      <c r="BG598" s="1366"/>
      <c r="BH598" s="1366"/>
      <c r="BI598" s="1366"/>
      <c r="BJ598" s="1366"/>
      <c r="BK598" s="1366"/>
      <c r="BL598" s="1366"/>
      <c r="BM598" s="1366"/>
      <c r="BN598" s="1366"/>
      <c r="BO598" s="1366"/>
      <c r="BP598" s="1366"/>
      <c r="BQ598" s="1366"/>
      <c r="BR598" s="1366"/>
      <c r="BS598" s="1366"/>
      <c r="BT598" s="1366"/>
      <c r="BU598" s="1366"/>
      <c r="BV598" s="1366"/>
      <c r="BW598" s="1366"/>
      <c r="BX598" s="1366"/>
      <c r="BY598" s="1366"/>
      <c r="BZ598" s="1366"/>
      <c r="CA598" s="1366"/>
      <c r="CB598" s="1366"/>
      <c r="CC598" s="1366"/>
      <c r="CD598" s="1366"/>
      <c r="CE598" s="1366"/>
      <c r="CF598" s="1366"/>
      <c r="CG598" s="1366"/>
      <c r="CH598" s="1366"/>
      <c r="CI598" s="1366"/>
      <c r="CJ598" s="1366"/>
      <c r="CK598" s="1366"/>
      <c r="CL598" s="1366"/>
      <c r="CM598" s="1366"/>
      <c r="CN598" s="1366"/>
      <c r="CO598" s="1366"/>
      <c r="CP598" s="1366"/>
      <c r="CQ598" s="1366"/>
      <c r="CR598" s="1366"/>
      <c r="CS598" s="1366"/>
      <c r="CT598" s="1366"/>
      <c r="CU598" s="1366"/>
      <c r="CV598" s="1366"/>
      <c r="CW598" s="1366"/>
      <c r="CX598" s="1366"/>
      <c r="CY598" s="1366"/>
      <c r="CZ598" s="1366"/>
      <c r="DA598" s="1366"/>
      <c r="DB598" s="1366"/>
      <c r="DC598" s="1366"/>
      <c r="DD598" s="1366"/>
      <c r="DE598" s="1366"/>
      <c r="DF598" s="1366"/>
      <c r="DG598" s="1366"/>
      <c r="DH598" s="1366"/>
      <c r="DI598" s="1366"/>
      <c r="DJ598" s="1366"/>
      <c r="DK598" s="1366"/>
      <c r="DL598" s="1366"/>
      <c r="DM598" s="1366"/>
      <c r="DN598" s="1366"/>
      <c r="DO598" s="1366"/>
      <c r="DP598" s="1366"/>
      <c r="DQ598" s="1366"/>
      <c r="DR598" s="1366"/>
      <c r="DS598" s="1366"/>
      <c r="DT598" s="1366"/>
      <c r="DU598" s="1366"/>
      <c r="DV598" s="1366"/>
    </row>
    <row r="599" spans="1:126" s="1367" customFormat="1" ht="15" customHeight="1">
      <c r="A599" s="2494"/>
      <c r="B599" s="2502"/>
      <c r="C599" s="1642" t="str">
        <f>'Equipment Results Matrix'!W1111</f>
        <v>Measure</v>
      </c>
      <c r="D599" s="1364" t="str">
        <f>'Equipment Results Matrix'!X1111</f>
        <v>LED Reflector, Energy Star, medium brightness (15 watts)</v>
      </c>
      <c r="E599" s="1364" t="s">
        <v>2097</v>
      </c>
      <c r="F599" s="1364" t="s">
        <v>2107</v>
      </c>
      <c r="G599" s="1618" t="s">
        <v>1907</v>
      </c>
      <c r="H599" s="1619">
        <f>'Equipment Results Matrix'!Y1111</f>
        <v>48.101554446985098</v>
      </c>
      <c r="I599" s="1371">
        <f>'Labor Results Matrix'!$E$616</f>
        <v>6.2E-2</v>
      </c>
      <c r="J599" s="1372">
        <f>'Labor Results Matrix'!$G$616*(1+'Labor Results Matrix'!$K$616)</f>
        <v>72.260416710552065</v>
      </c>
      <c r="K599" s="1372">
        <f t="shared" si="243"/>
        <v>4.4801458360542279</v>
      </c>
      <c r="L599" s="1372">
        <v>0</v>
      </c>
      <c r="M599" s="1620">
        <f t="shared" si="244"/>
        <v>52.581700283039325</v>
      </c>
      <c r="N599" s="1621">
        <f>M599-M598</f>
        <v>40.266382898280582</v>
      </c>
      <c r="O599" s="1429"/>
      <c r="P599" s="1430"/>
      <c r="Q599" s="1430"/>
      <c r="R599" s="1430"/>
      <c r="S599" s="1430"/>
      <c r="T599" s="1430"/>
      <c r="U599" s="1430"/>
      <c r="V599" s="1679"/>
      <c r="W599" s="1366"/>
      <c r="X599" s="1366"/>
      <c r="Y599" s="1366"/>
      <c r="Z599" s="1366"/>
      <c r="AA599" s="1366"/>
      <c r="AB599" s="1366"/>
      <c r="AC599" s="1366"/>
      <c r="AD599" s="1366"/>
      <c r="AE599" s="1366"/>
      <c r="AF599" s="1366"/>
      <c r="AG599" s="1366"/>
      <c r="AH599" s="1366"/>
      <c r="AI599" s="1366"/>
      <c r="AJ599" s="1366"/>
      <c r="AK599" s="1366"/>
      <c r="AL599" s="1366"/>
      <c r="AM599" s="1366"/>
      <c r="AN599" s="1366"/>
      <c r="AO599" s="1366"/>
      <c r="AP599" s="1366"/>
      <c r="AQ599" s="1366"/>
      <c r="AR599" s="1366"/>
      <c r="AS599" s="1366"/>
      <c r="AT599" s="1366"/>
      <c r="AU599" s="1366"/>
      <c r="AV599" s="1366"/>
      <c r="AW599" s="1366"/>
      <c r="AX599" s="1366"/>
      <c r="AY599" s="1366"/>
      <c r="AZ599" s="1366"/>
      <c r="BA599" s="1366"/>
      <c r="BB599" s="1366"/>
      <c r="BC599" s="1366"/>
      <c r="BD599" s="1366"/>
      <c r="BE599" s="1366"/>
      <c r="BF599" s="1366"/>
      <c r="BG599" s="1366"/>
      <c r="BH599" s="1366"/>
      <c r="BI599" s="1366"/>
      <c r="BJ599" s="1366"/>
      <c r="BK599" s="1366"/>
      <c r="BL599" s="1366"/>
      <c r="BM599" s="1366"/>
      <c r="BN599" s="1366"/>
      <c r="BO599" s="1366"/>
      <c r="BP599" s="1366"/>
      <c r="BQ599" s="1366"/>
      <c r="BR599" s="1366"/>
      <c r="BS599" s="1366"/>
      <c r="BT599" s="1366"/>
      <c r="BU599" s="1366"/>
      <c r="BV599" s="1366"/>
      <c r="BW599" s="1366"/>
      <c r="BX599" s="1366"/>
      <c r="BY599" s="1366"/>
      <c r="BZ599" s="1366"/>
      <c r="CA599" s="1366"/>
      <c r="CB599" s="1366"/>
      <c r="CC599" s="1366"/>
      <c r="CD599" s="1366"/>
      <c r="CE599" s="1366"/>
      <c r="CF599" s="1366"/>
      <c r="CG599" s="1366"/>
      <c r="CH599" s="1366"/>
      <c r="CI599" s="1366"/>
      <c r="CJ599" s="1366"/>
      <c r="CK599" s="1366"/>
      <c r="CL599" s="1366"/>
      <c r="CM599" s="1366"/>
      <c r="CN599" s="1366"/>
      <c r="CO599" s="1366"/>
      <c r="CP599" s="1366"/>
      <c r="CQ599" s="1366"/>
      <c r="CR599" s="1366"/>
      <c r="CS599" s="1366"/>
      <c r="CT599" s="1366"/>
      <c r="CU599" s="1366"/>
      <c r="CV599" s="1366"/>
      <c r="CW599" s="1366"/>
      <c r="CX599" s="1366"/>
      <c r="CY599" s="1366"/>
      <c r="CZ599" s="1366"/>
      <c r="DA599" s="1366"/>
      <c r="DB599" s="1366"/>
      <c r="DC599" s="1366"/>
      <c r="DD599" s="1366"/>
      <c r="DE599" s="1366"/>
      <c r="DF599" s="1366"/>
      <c r="DG599" s="1366"/>
      <c r="DH599" s="1366"/>
      <c r="DI599" s="1366"/>
      <c r="DJ599" s="1366"/>
      <c r="DK599" s="1366"/>
      <c r="DL599" s="1366"/>
      <c r="DM599" s="1366"/>
      <c r="DN599" s="1366"/>
      <c r="DO599" s="1366"/>
      <c r="DP599" s="1366"/>
      <c r="DQ599" s="1366"/>
      <c r="DR599" s="1366"/>
      <c r="DS599" s="1366"/>
      <c r="DT599" s="1366"/>
      <c r="DU599" s="1366"/>
      <c r="DV599" s="1366"/>
    </row>
    <row r="600" spans="1:126" s="1367" customFormat="1" ht="15" customHeight="1">
      <c r="A600" s="2494"/>
      <c r="B600" s="2502"/>
      <c r="C600" s="1642" t="str">
        <f>'Equipment Results Matrix'!W1112</f>
        <v>Baseline</v>
      </c>
      <c r="D600" s="1364" t="str">
        <f>'Equipment Results Matrix'!X1112</f>
        <v>Incandescent Reflector, 2,000 hours, high brightness  (90 watts)</v>
      </c>
      <c r="E600" s="1364" t="s">
        <v>2097</v>
      </c>
      <c r="F600" s="1364" t="s">
        <v>2107</v>
      </c>
      <c r="G600" s="1618" t="s">
        <v>1907</v>
      </c>
      <c r="H600" s="1619">
        <f>'Equipment Results Matrix'!Y1112</f>
        <v>6.4707992647146577</v>
      </c>
      <c r="I600" s="1371">
        <f>'Labor Results Matrix'!$E$490</f>
        <v>6.2E-2</v>
      </c>
      <c r="J600" s="1372">
        <f>'Labor Results Matrix'!$G$490*(1+'Labor Results Matrix'!$K$490)</f>
        <v>72.260416710552065</v>
      </c>
      <c r="K600" s="1372">
        <f t="shared" si="243"/>
        <v>4.4801458360542279</v>
      </c>
      <c r="L600" s="1372">
        <v>0</v>
      </c>
      <c r="M600" s="1620">
        <f>H600+K600+L600</f>
        <v>10.950945100768886</v>
      </c>
      <c r="N600" s="1455" t="s">
        <v>40</v>
      </c>
      <c r="O600" s="1429"/>
      <c r="P600" s="1430"/>
      <c r="Q600" s="1430"/>
      <c r="R600" s="1430"/>
      <c r="S600" s="1430"/>
      <c r="T600" s="1430"/>
      <c r="U600" s="1430"/>
      <c r="V600" s="1679"/>
      <c r="W600" s="1366"/>
      <c r="X600" s="1366"/>
      <c r="Y600" s="1366"/>
      <c r="Z600" s="1366"/>
      <c r="AA600" s="1366"/>
      <c r="AB600" s="1366"/>
      <c r="AC600" s="1366"/>
      <c r="AD600" s="1366"/>
      <c r="AE600" s="1366"/>
      <c r="AF600" s="1366"/>
      <c r="AG600" s="1366"/>
      <c r="AH600" s="1366"/>
      <c r="AI600" s="1366"/>
      <c r="AJ600" s="1366"/>
      <c r="AK600" s="1366"/>
      <c r="AL600" s="1366"/>
      <c r="AM600" s="1366"/>
      <c r="AN600" s="1366"/>
      <c r="AO600" s="1366"/>
      <c r="AP600" s="1366"/>
      <c r="AQ600" s="1366"/>
      <c r="AR600" s="1366"/>
      <c r="AS600" s="1366"/>
      <c r="AT600" s="1366"/>
      <c r="AU600" s="1366"/>
      <c r="AV600" s="1366"/>
      <c r="AW600" s="1366"/>
      <c r="AX600" s="1366"/>
      <c r="AY600" s="1366"/>
      <c r="AZ600" s="1366"/>
      <c r="BA600" s="1366"/>
      <c r="BB600" s="1366"/>
      <c r="BC600" s="1366"/>
      <c r="BD600" s="1366"/>
      <c r="BE600" s="1366"/>
      <c r="BF600" s="1366"/>
      <c r="BG600" s="1366"/>
      <c r="BH600" s="1366"/>
      <c r="BI600" s="1366"/>
      <c r="BJ600" s="1366"/>
      <c r="BK600" s="1366"/>
      <c r="BL600" s="1366"/>
      <c r="BM600" s="1366"/>
      <c r="BN600" s="1366"/>
      <c r="BO600" s="1366"/>
      <c r="BP600" s="1366"/>
      <c r="BQ600" s="1366"/>
      <c r="BR600" s="1366"/>
      <c r="BS600" s="1366"/>
      <c r="BT600" s="1366"/>
      <c r="BU600" s="1366"/>
      <c r="BV600" s="1366"/>
      <c r="BW600" s="1366"/>
      <c r="BX600" s="1366"/>
      <c r="BY600" s="1366"/>
      <c r="BZ600" s="1366"/>
      <c r="CA600" s="1366"/>
      <c r="CB600" s="1366"/>
      <c r="CC600" s="1366"/>
      <c r="CD600" s="1366"/>
      <c r="CE600" s="1366"/>
      <c r="CF600" s="1366"/>
      <c r="CG600" s="1366"/>
      <c r="CH600" s="1366"/>
      <c r="CI600" s="1366"/>
      <c r="CJ600" s="1366"/>
      <c r="CK600" s="1366"/>
      <c r="CL600" s="1366"/>
      <c r="CM600" s="1366"/>
      <c r="CN600" s="1366"/>
      <c r="CO600" s="1366"/>
      <c r="CP600" s="1366"/>
      <c r="CQ600" s="1366"/>
      <c r="CR600" s="1366"/>
      <c r="CS600" s="1366"/>
      <c r="CT600" s="1366"/>
      <c r="CU600" s="1366"/>
      <c r="CV600" s="1366"/>
      <c r="CW600" s="1366"/>
      <c r="CX600" s="1366"/>
      <c r="CY600" s="1366"/>
      <c r="CZ600" s="1366"/>
      <c r="DA600" s="1366"/>
      <c r="DB600" s="1366"/>
      <c r="DC600" s="1366"/>
      <c r="DD600" s="1366"/>
      <c r="DE600" s="1366"/>
      <c r="DF600" s="1366"/>
      <c r="DG600" s="1366"/>
      <c r="DH600" s="1366"/>
      <c r="DI600" s="1366"/>
      <c r="DJ600" s="1366"/>
      <c r="DK600" s="1366"/>
      <c r="DL600" s="1366"/>
      <c r="DM600" s="1366"/>
      <c r="DN600" s="1366"/>
      <c r="DO600" s="1366"/>
      <c r="DP600" s="1366"/>
      <c r="DQ600" s="1366"/>
      <c r="DR600" s="1366"/>
      <c r="DS600" s="1366"/>
      <c r="DT600" s="1366"/>
      <c r="DU600" s="1366"/>
      <c r="DV600" s="1366"/>
    </row>
    <row r="601" spans="1:126" s="1367" customFormat="1" ht="15" customHeight="1">
      <c r="A601" s="2494"/>
      <c r="B601" s="2502"/>
      <c r="C601" s="1642" t="str">
        <f>'Equipment Results Matrix'!W1113</f>
        <v>Measure</v>
      </c>
      <c r="D601" s="1364" t="str">
        <f>'Equipment Results Matrix'!X1113</f>
        <v>LED Reflector, Energy Star, high brightness (22 watts)</v>
      </c>
      <c r="E601" s="1364" t="s">
        <v>2097</v>
      </c>
      <c r="F601" s="1364" t="s">
        <v>2107</v>
      </c>
      <c r="G601" s="1618" t="s">
        <v>1907</v>
      </c>
      <c r="H601" s="1619">
        <f>'Equipment Results Matrix'!Y1113</f>
        <v>57.942854446985095</v>
      </c>
      <c r="I601" s="1371">
        <f>'Labor Results Matrix'!$E$616</f>
        <v>6.2E-2</v>
      </c>
      <c r="J601" s="1372">
        <f>'Labor Results Matrix'!$G$616*(1+'Labor Results Matrix'!$K$616)</f>
        <v>72.260416710552065</v>
      </c>
      <c r="K601" s="1372">
        <f t="shared" si="243"/>
        <v>4.4801458360542279</v>
      </c>
      <c r="L601" s="1372">
        <v>0</v>
      </c>
      <c r="M601" s="1620">
        <f t="shared" ref="M601:M603" si="245">H601+K601+L601</f>
        <v>62.423000283039322</v>
      </c>
      <c r="N601" s="1621">
        <f>M601-M600</f>
        <v>51.472055182270438</v>
      </c>
      <c r="O601" s="1429"/>
      <c r="P601" s="1430"/>
      <c r="Q601" s="1430"/>
      <c r="R601" s="1430"/>
      <c r="S601" s="1430"/>
      <c r="T601" s="1430"/>
      <c r="U601" s="1430"/>
      <c r="V601" s="1679"/>
      <c r="W601" s="1366"/>
      <c r="X601" s="1366"/>
      <c r="Y601" s="1366"/>
      <c r="Z601" s="1366"/>
      <c r="AA601" s="1366"/>
      <c r="AB601" s="1366"/>
      <c r="AC601" s="1366"/>
      <c r="AD601" s="1366"/>
      <c r="AE601" s="1366"/>
      <c r="AF601" s="1366"/>
      <c r="AG601" s="1366"/>
      <c r="AH601" s="1366"/>
      <c r="AI601" s="1366"/>
      <c r="AJ601" s="1366"/>
      <c r="AK601" s="1366"/>
      <c r="AL601" s="1366"/>
      <c r="AM601" s="1366"/>
      <c r="AN601" s="1366"/>
      <c r="AO601" s="1366"/>
      <c r="AP601" s="1366"/>
      <c r="AQ601" s="1366"/>
      <c r="AR601" s="1366"/>
      <c r="AS601" s="1366"/>
      <c r="AT601" s="1366"/>
      <c r="AU601" s="1366"/>
      <c r="AV601" s="1366"/>
      <c r="AW601" s="1366"/>
      <c r="AX601" s="1366"/>
      <c r="AY601" s="1366"/>
      <c r="AZ601" s="1366"/>
      <c r="BA601" s="1366"/>
      <c r="BB601" s="1366"/>
      <c r="BC601" s="1366"/>
      <c r="BD601" s="1366"/>
      <c r="BE601" s="1366"/>
      <c r="BF601" s="1366"/>
      <c r="BG601" s="1366"/>
      <c r="BH601" s="1366"/>
      <c r="BI601" s="1366"/>
      <c r="BJ601" s="1366"/>
      <c r="BK601" s="1366"/>
      <c r="BL601" s="1366"/>
      <c r="BM601" s="1366"/>
      <c r="BN601" s="1366"/>
      <c r="BO601" s="1366"/>
      <c r="BP601" s="1366"/>
      <c r="BQ601" s="1366"/>
      <c r="BR601" s="1366"/>
      <c r="BS601" s="1366"/>
      <c r="BT601" s="1366"/>
      <c r="BU601" s="1366"/>
      <c r="BV601" s="1366"/>
      <c r="BW601" s="1366"/>
      <c r="BX601" s="1366"/>
      <c r="BY601" s="1366"/>
      <c r="BZ601" s="1366"/>
      <c r="CA601" s="1366"/>
      <c r="CB601" s="1366"/>
      <c r="CC601" s="1366"/>
      <c r="CD601" s="1366"/>
      <c r="CE601" s="1366"/>
      <c r="CF601" s="1366"/>
      <c r="CG601" s="1366"/>
      <c r="CH601" s="1366"/>
      <c r="CI601" s="1366"/>
      <c r="CJ601" s="1366"/>
      <c r="CK601" s="1366"/>
      <c r="CL601" s="1366"/>
      <c r="CM601" s="1366"/>
      <c r="CN601" s="1366"/>
      <c r="CO601" s="1366"/>
      <c r="CP601" s="1366"/>
      <c r="CQ601" s="1366"/>
      <c r="CR601" s="1366"/>
      <c r="CS601" s="1366"/>
      <c r="CT601" s="1366"/>
      <c r="CU601" s="1366"/>
      <c r="CV601" s="1366"/>
      <c r="CW601" s="1366"/>
      <c r="CX601" s="1366"/>
      <c r="CY601" s="1366"/>
      <c r="CZ601" s="1366"/>
      <c r="DA601" s="1366"/>
      <c r="DB601" s="1366"/>
      <c r="DC601" s="1366"/>
      <c r="DD601" s="1366"/>
      <c r="DE601" s="1366"/>
      <c r="DF601" s="1366"/>
      <c r="DG601" s="1366"/>
      <c r="DH601" s="1366"/>
      <c r="DI601" s="1366"/>
      <c r="DJ601" s="1366"/>
      <c r="DK601" s="1366"/>
      <c r="DL601" s="1366"/>
      <c r="DM601" s="1366"/>
      <c r="DN601" s="1366"/>
      <c r="DO601" s="1366"/>
      <c r="DP601" s="1366"/>
      <c r="DQ601" s="1366"/>
      <c r="DR601" s="1366"/>
      <c r="DS601" s="1366"/>
      <c r="DT601" s="1366"/>
      <c r="DU601" s="1366"/>
      <c r="DV601" s="1366"/>
    </row>
    <row r="602" spans="1:126" s="1367" customFormat="1" ht="15" customHeight="1">
      <c r="A602" s="2494"/>
      <c r="B602" s="2502"/>
      <c r="C602" s="1642" t="str">
        <f>'Equipment Results Matrix'!W1114</f>
        <v>Baseline</v>
      </c>
      <c r="D602" s="1364" t="str">
        <f>'Equipment Results Matrix'!X1114</f>
        <v>CFL Reflector, high brightness  (25 watts)</v>
      </c>
      <c r="E602" s="1364" t="s">
        <v>2097</v>
      </c>
      <c r="F602" s="1364" t="s">
        <v>2107</v>
      </c>
      <c r="G602" s="1618" t="s">
        <v>1907</v>
      </c>
      <c r="H602" s="1619">
        <f>'Equipment Results Matrix'!Y1114</f>
        <v>9.3081715487045145</v>
      </c>
      <c r="I602" s="1371">
        <f>'Labor Results Matrix'!$E$490</f>
        <v>6.2E-2</v>
      </c>
      <c r="J602" s="1372">
        <f>'Labor Results Matrix'!$G$490*(1+'Labor Results Matrix'!$K$490)</f>
        <v>72.260416710552065</v>
      </c>
      <c r="K602" s="1372">
        <f t="shared" si="243"/>
        <v>4.4801458360542279</v>
      </c>
      <c r="L602" s="1372">
        <v>0</v>
      </c>
      <c r="M602" s="1620">
        <f t="shared" si="245"/>
        <v>13.788317384758741</v>
      </c>
      <c r="N602" s="1455" t="s">
        <v>40</v>
      </c>
      <c r="O602" s="1429"/>
      <c r="P602" s="1430"/>
      <c r="Q602" s="1430"/>
      <c r="R602" s="1430"/>
      <c r="S602" s="1430"/>
      <c r="T602" s="1430"/>
      <c r="U602" s="1430"/>
      <c r="V602" s="1679"/>
      <c r="W602" s="1366"/>
      <c r="X602" s="1366"/>
      <c r="Y602" s="1366"/>
      <c r="Z602" s="1366"/>
      <c r="AA602" s="1366"/>
      <c r="AB602" s="1366"/>
      <c r="AC602" s="1366"/>
      <c r="AD602" s="1366"/>
      <c r="AE602" s="1366"/>
      <c r="AF602" s="1366"/>
      <c r="AG602" s="1366"/>
      <c r="AH602" s="1366"/>
      <c r="AI602" s="1366"/>
      <c r="AJ602" s="1366"/>
      <c r="AK602" s="1366"/>
      <c r="AL602" s="1366"/>
      <c r="AM602" s="1366"/>
      <c r="AN602" s="1366"/>
      <c r="AO602" s="1366"/>
      <c r="AP602" s="1366"/>
      <c r="AQ602" s="1366"/>
      <c r="AR602" s="1366"/>
      <c r="AS602" s="1366"/>
      <c r="AT602" s="1366"/>
      <c r="AU602" s="1366"/>
      <c r="AV602" s="1366"/>
      <c r="AW602" s="1366"/>
      <c r="AX602" s="1366"/>
      <c r="AY602" s="1366"/>
      <c r="AZ602" s="1366"/>
      <c r="BA602" s="1366"/>
      <c r="BB602" s="1366"/>
      <c r="BC602" s="1366"/>
      <c r="BD602" s="1366"/>
      <c r="BE602" s="1366"/>
      <c r="BF602" s="1366"/>
      <c r="BG602" s="1366"/>
      <c r="BH602" s="1366"/>
      <c r="BI602" s="1366"/>
      <c r="BJ602" s="1366"/>
      <c r="BK602" s="1366"/>
      <c r="BL602" s="1366"/>
      <c r="BM602" s="1366"/>
      <c r="BN602" s="1366"/>
      <c r="BO602" s="1366"/>
      <c r="BP602" s="1366"/>
      <c r="BQ602" s="1366"/>
      <c r="BR602" s="1366"/>
      <c r="BS602" s="1366"/>
      <c r="BT602" s="1366"/>
      <c r="BU602" s="1366"/>
      <c r="BV602" s="1366"/>
      <c r="BW602" s="1366"/>
      <c r="BX602" s="1366"/>
      <c r="BY602" s="1366"/>
      <c r="BZ602" s="1366"/>
      <c r="CA602" s="1366"/>
      <c r="CB602" s="1366"/>
      <c r="CC602" s="1366"/>
      <c r="CD602" s="1366"/>
      <c r="CE602" s="1366"/>
      <c r="CF602" s="1366"/>
      <c r="CG602" s="1366"/>
      <c r="CH602" s="1366"/>
      <c r="CI602" s="1366"/>
      <c r="CJ602" s="1366"/>
      <c r="CK602" s="1366"/>
      <c r="CL602" s="1366"/>
      <c r="CM602" s="1366"/>
      <c r="CN602" s="1366"/>
      <c r="CO602" s="1366"/>
      <c r="CP602" s="1366"/>
      <c r="CQ602" s="1366"/>
      <c r="CR602" s="1366"/>
      <c r="CS602" s="1366"/>
      <c r="CT602" s="1366"/>
      <c r="CU602" s="1366"/>
      <c r="CV602" s="1366"/>
      <c r="CW602" s="1366"/>
      <c r="CX602" s="1366"/>
      <c r="CY602" s="1366"/>
      <c r="CZ602" s="1366"/>
      <c r="DA602" s="1366"/>
      <c r="DB602" s="1366"/>
      <c r="DC602" s="1366"/>
      <c r="DD602" s="1366"/>
      <c r="DE602" s="1366"/>
      <c r="DF602" s="1366"/>
      <c r="DG602" s="1366"/>
      <c r="DH602" s="1366"/>
      <c r="DI602" s="1366"/>
      <c r="DJ602" s="1366"/>
      <c r="DK602" s="1366"/>
      <c r="DL602" s="1366"/>
      <c r="DM602" s="1366"/>
      <c r="DN602" s="1366"/>
      <c r="DO602" s="1366"/>
      <c r="DP602" s="1366"/>
      <c r="DQ602" s="1366"/>
      <c r="DR602" s="1366"/>
      <c r="DS602" s="1366"/>
      <c r="DT602" s="1366"/>
      <c r="DU602" s="1366"/>
      <c r="DV602" s="1366"/>
    </row>
    <row r="603" spans="1:126" s="1367" customFormat="1" ht="15" customHeight="1" thickBot="1">
      <c r="A603" s="2495"/>
      <c r="B603" s="2502"/>
      <c r="C603" s="1561" t="str">
        <f>'Equipment Results Matrix'!W1115</f>
        <v>Measure</v>
      </c>
      <c r="D603" s="1587" t="str">
        <f>'Equipment Results Matrix'!X1115</f>
        <v>LED Reflector, Energy Star, high brightness (22 watts)</v>
      </c>
      <c r="E603" s="1364" t="s">
        <v>2097</v>
      </c>
      <c r="F603" s="1364" t="s">
        <v>2107</v>
      </c>
      <c r="G603" s="1618" t="s">
        <v>1907</v>
      </c>
      <c r="H603" s="1593">
        <f>'Equipment Results Matrix'!Y1115</f>
        <v>57.942854446985095</v>
      </c>
      <c r="I603" s="1553">
        <f>'Labor Results Matrix'!$E$616</f>
        <v>6.2E-2</v>
      </c>
      <c r="J603" s="1555">
        <f>'Labor Results Matrix'!$G$616*(1+'Labor Results Matrix'!$K$616)</f>
        <v>72.260416710552065</v>
      </c>
      <c r="K603" s="1555">
        <f t="shared" si="243"/>
        <v>4.4801458360542279</v>
      </c>
      <c r="L603" s="1372">
        <v>0</v>
      </c>
      <c r="M603" s="1595">
        <f t="shared" si="245"/>
        <v>62.423000283039322</v>
      </c>
      <c r="N603" s="1596">
        <f>M603-M602</f>
        <v>48.63468289828058</v>
      </c>
      <c r="O603" s="1429"/>
      <c r="P603" s="1430"/>
      <c r="Q603" s="1430"/>
      <c r="R603" s="1430"/>
      <c r="S603" s="1430"/>
      <c r="T603" s="1430"/>
      <c r="U603" s="1430"/>
      <c r="V603" s="1679"/>
      <c r="W603" s="1366"/>
      <c r="X603" s="1366"/>
      <c r="Y603" s="1366"/>
      <c r="Z603" s="1366"/>
      <c r="AA603" s="1366"/>
      <c r="AB603" s="1366"/>
      <c r="AC603" s="1366"/>
      <c r="AD603" s="1366"/>
      <c r="AE603" s="1366"/>
      <c r="AF603" s="1366"/>
      <c r="AG603" s="1366"/>
      <c r="AH603" s="1366"/>
      <c r="AI603" s="1366"/>
      <c r="AJ603" s="1366"/>
      <c r="AK603" s="1366"/>
      <c r="AL603" s="1366"/>
      <c r="AM603" s="1366"/>
      <c r="AN603" s="1366"/>
      <c r="AO603" s="1366"/>
      <c r="AP603" s="1366"/>
      <c r="AQ603" s="1366"/>
      <c r="AR603" s="1366"/>
      <c r="AS603" s="1366"/>
      <c r="AT603" s="1366"/>
      <c r="AU603" s="1366"/>
      <c r="AV603" s="1366"/>
      <c r="AW603" s="1366"/>
      <c r="AX603" s="1366"/>
      <c r="AY603" s="1366"/>
      <c r="AZ603" s="1366"/>
      <c r="BA603" s="1366"/>
      <c r="BB603" s="1366"/>
      <c r="BC603" s="1366"/>
      <c r="BD603" s="1366"/>
      <c r="BE603" s="1366"/>
      <c r="BF603" s="1366"/>
      <c r="BG603" s="1366"/>
      <c r="BH603" s="1366"/>
      <c r="BI603" s="1366"/>
      <c r="BJ603" s="1366"/>
      <c r="BK603" s="1366"/>
      <c r="BL603" s="1366"/>
      <c r="BM603" s="1366"/>
      <c r="BN603" s="1366"/>
      <c r="BO603" s="1366"/>
      <c r="BP603" s="1366"/>
      <c r="BQ603" s="1366"/>
      <c r="BR603" s="1366"/>
      <c r="BS603" s="1366"/>
      <c r="BT603" s="1366"/>
      <c r="BU603" s="1366"/>
      <c r="BV603" s="1366"/>
      <c r="BW603" s="1366"/>
      <c r="BX603" s="1366"/>
      <c r="BY603" s="1366"/>
      <c r="BZ603" s="1366"/>
      <c r="CA603" s="1366"/>
      <c r="CB603" s="1366"/>
      <c r="CC603" s="1366"/>
      <c r="CD603" s="1366"/>
      <c r="CE603" s="1366"/>
      <c r="CF603" s="1366"/>
      <c r="CG603" s="1366"/>
      <c r="CH603" s="1366"/>
      <c r="CI603" s="1366"/>
      <c r="CJ603" s="1366"/>
      <c r="CK603" s="1366"/>
      <c r="CL603" s="1366"/>
      <c r="CM603" s="1366"/>
      <c r="CN603" s="1366"/>
      <c r="CO603" s="1366"/>
      <c r="CP603" s="1366"/>
      <c r="CQ603" s="1366"/>
      <c r="CR603" s="1366"/>
      <c r="CS603" s="1366"/>
      <c r="CT603" s="1366"/>
      <c r="CU603" s="1366"/>
      <c r="CV603" s="1366"/>
      <c r="CW603" s="1366"/>
      <c r="CX603" s="1366"/>
      <c r="CY603" s="1366"/>
      <c r="CZ603" s="1366"/>
      <c r="DA603" s="1366"/>
      <c r="DB603" s="1366"/>
      <c r="DC603" s="1366"/>
      <c r="DD603" s="1366"/>
      <c r="DE603" s="1366"/>
      <c r="DF603" s="1366"/>
      <c r="DG603" s="1366"/>
      <c r="DH603" s="1366"/>
      <c r="DI603" s="1366"/>
      <c r="DJ603" s="1366"/>
      <c r="DK603" s="1366"/>
      <c r="DL603" s="1366"/>
      <c r="DM603" s="1366"/>
      <c r="DN603" s="1366"/>
      <c r="DO603" s="1366"/>
      <c r="DP603" s="1366"/>
      <c r="DQ603" s="1366"/>
      <c r="DR603" s="1366"/>
      <c r="DS603" s="1366"/>
      <c r="DT603" s="1366"/>
      <c r="DU603" s="1366"/>
      <c r="DV603" s="1366"/>
    </row>
    <row r="604" spans="1:126" s="1479" customFormat="1" ht="19.5" thickBot="1">
      <c r="A604" s="695"/>
      <c r="B604" s="1655"/>
      <c r="C604" s="1655"/>
      <c r="D604" s="683"/>
      <c r="E604" s="683"/>
      <c r="F604" s="683"/>
      <c r="G604" s="683"/>
      <c r="H604" s="1413"/>
      <c r="I604" s="1443"/>
      <c r="J604" s="1414"/>
      <c r="K604" s="1413"/>
      <c r="L604" s="1529"/>
      <c r="M604" s="1413"/>
      <c r="N604" s="1489"/>
      <c r="O604" s="1413"/>
      <c r="P604" s="1414"/>
      <c r="Q604" s="1414"/>
      <c r="R604" s="1443"/>
      <c r="S604" s="1443"/>
      <c r="T604" s="1488"/>
      <c r="U604" s="1488"/>
      <c r="V604" s="1489"/>
      <c r="W604" s="1490"/>
      <c r="X604" s="1490"/>
      <c r="Y604" s="327"/>
      <c r="Z604" s="327"/>
      <c r="AA604" s="327"/>
      <c r="AB604" s="1490"/>
      <c r="AC604" s="1490"/>
      <c r="AD604" s="1490"/>
      <c r="AE604" s="1490"/>
      <c r="AF604" s="327"/>
      <c r="AG604" s="327"/>
      <c r="AH604" s="327"/>
      <c r="AI604" s="327"/>
      <c r="AJ604" s="327"/>
      <c r="AK604" s="1478"/>
      <c r="AL604" s="1478"/>
      <c r="AM604" s="1478"/>
      <c r="AN604" s="1478"/>
      <c r="AO604" s="1478"/>
      <c r="AP604" s="1478"/>
      <c r="AQ604" s="1478"/>
      <c r="AR604" s="1478"/>
      <c r="AS604" s="1478"/>
      <c r="AT604" s="1478"/>
      <c r="AU604" s="1478"/>
      <c r="AV604" s="1478"/>
      <c r="AW604" s="1478"/>
      <c r="AX604" s="1478"/>
      <c r="AY604" s="1478"/>
      <c r="AZ604" s="1478"/>
      <c r="BA604" s="1478"/>
      <c r="BB604" s="1478"/>
      <c r="BC604" s="1478"/>
      <c r="BD604" s="1478"/>
      <c r="BE604" s="1478"/>
      <c r="BF604" s="1478"/>
      <c r="BG604" s="1478"/>
      <c r="BH604" s="1478"/>
      <c r="BI604" s="1478"/>
      <c r="BJ604" s="1478"/>
      <c r="BK604" s="327"/>
      <c r="BL604" s="327"/>
      <c r="BM604" s="327"/>
      <c r="BN604" s="327"/>
      <c r="BO604" s="327"/>
      <c r="BP604" s="327"/>
      <c r="BQ604" s="327"/>
      <c r="BR604" s="327"/>
      <c r="BS604" s="327"/>
      <c r="BT604" s="327"/>
      <c r="BU604" s="327"/>
      <c r="BV604" s="327"/>
      <c r="BW604" s="327"/>
      <c r="BX604" s="327"/>
      <c r="BY604" s="327"/>
      <c r="BZ604" s="327"/>
      <c r="CA604" s="327"/>
      <c r="CB604" s="327"/>
      <c r="CC604" s="327"/>
      <c r="CD604" s="327"/>
      <c r="CE604" s="327"/>
      <c r="CF604" s="327"/>
      <c r="CG604" s="327"/>
      <c r="CH604" s="327"/>
      <c r="CI604" s="327"/>
      <c r="CJ604" s="327"/>
      <c r="CK604" s="327"/>
      <c r="CL604" s="327"/>
      <c r="CM604" s="327"/>
      <c r="CN604" s="327"/>
      <c r="CO604" s="327"/>
      <c r="CP604" s="327"/>
      <c r="CQ604" s="327"/>
      <c r="CR604" s="327"/>
      <c r="CS604" s="327"/>
      <c r="CT604" s="327"/>
      <c r="CU604" s="327"/>
      <c r="CV604" s="327"/>
      <c r="CW604" s="327"/>
      <c r="CX604" s="327"/>
      <c r="CY604" s="327"/>
      <c r="CZ604" s="327"/>
      <c r="DA604" s="327"/>
      <c r="DB604" s="327"/>
      <c r="DC604" s="327"/>
      <c r="DD604" s="327"/>
      <c r="DE604" s="327"/>
      <c r="DF604" s="327"/>
      <c r="DG604" s="327"/>
      <c r="DH604" s="327"/>
      <c r="DI604" s="327"/>
      <c r="DJ604" s="327"/>
      <c r="DK604" s="327"/>
      <c r="DL604" s="327"/>
      <c r="DM604" s="327"/>
      <c r="DN604" s="327"/>
      <c r="DO604" s="327"/>
      <c r="DP604" s="327"/>
      <c r="DQ604" s="327"/>
      <c r="DR604" s="327"/>
      <c r="DS604" s="327"/>
      <c r="DT604" s="327"/>
      <c r="DU604" s="327"/>
      <c r="DV604" s="327"/>
    </row>
    <row r="605" spans="1:126" s="1367" customFormat="1" ht="15" customHeight="1">
      <c r="A605" s="2493" t="s">
        <v>929</v>
      </c>
      <c r="B605" s="2501" t="s">
        <v>2698</v>
      </c>
      <c r="C605" s="623" t="str">
        <f>'Equipment Results Matrix'!W1121</f>
        <v>Baseline</v>
      </c>
      <c r="D605" s="383" t="str">
        <f>'Equipment Results Matrix'!X1121</f>
        <v>Incandescent Globe, 2,000 hours, low brightness  (40 watts)</v>
      </c>
      <c r="E605" s="383" t="s">
        <v>2097</v>
      </c>
      <c r="F605" s="383" t="s">
        <v>2107</v>
      </c>
      <c r="G605" s="1617" t="s">
        <v>1907</v>
      </c>
      <c r="H605" s="1589">
        <f>'Equipment Results Matrix'!Y1121</f>
        <v>4.7540186350651101</v>
      </c>
      <c r="I605" s="1564">
        <f>'Labor Results Matrix'!$E$505</f>
        <v>0.05</v>
      </c>
      <c r="J605" s="1566">
        <f>'Labor Results Matrix'!$G$505*(1+'Labor Results Matrix'!$K$505)</f>
        <v>72.260416710552065</v>
      </c>
      <c r="K605" s="1566">
        <f>I605*J605</f>
        <v>3.6130208355276032</v>
      </c>
      <c r="L605" s="1566">
        <v>0</v>
      </c>
      <c r="M605" s="1591">
        <f>H605+K605+L605</f>
        <v>8.3670394705927134</v>
      </c>
      <c r="N605" s="1592" t="s">
        <v>40</v>
      </c>
      <c r="O605" s="1429"/>
      <c r="P605" s="1430"/>
      <c r="Q605" s="1430"/>
      <c r="R605" s="1430"/>
      <c r="S605" s="1430"/>
      <c r="T605" s="1430"/>
      <c r="U605" s="1430"/>
      <c r="V605" s="1679"/>
      <c r="W605" s="1366"/>
      <c r="X605" s="1366"/>
      <c r="Y605" s="1366"/>
      <c r="Z605" s="1366"/>
      <c r="AA605" s="1366"/>
      <c r="AB605" s="1366"/>
      <c r="AC605" s="1366"/>
      <c r="AD605" s="1366"/>
      <c r="AE605" s="1366"/>
      <c r="AF605" s="1366"/>
      <c r="AG605" s="1366"/>
      <c r="AH605" s="1366"/>
      <c r="AI605" s="1366"/>
      <c r="AJ605" s="1366"/>
      <c r="AK605" s="1366"/>
      <c r="AL605" s="1366"/>
      <c r="AM605" s="1366"/>
      <c r="AN605" s="1366"/>
      <c r="AO605" s="1366"/>
      <c r="AP605" s="1366"/>
      <c r="AQ605" s="1366"/>
      <c r="AR605" s="1366"/>
      <c r="AS605" s="1366"/>
      <c r="AT605" s="1366"/>
      <c r="AU605" s="1366"/>
      <c r="AV605" s="1366"/>
      <c r="AW605" s="1366"/>
      <c r="AX605" s="1366"/>
      <c r="AY605" s="1366"/>
      <c r="AZ605" s="1366"/>
      <c r="BA605" s="1366"/>
      <c r="BB605" s="1366"/>
      <c r="BC605" s="1366"/>
      <c r="BD605" s="1366"/>
      <c r="BE605" s="1366"/>
      <c r="BF605" s="1366"/>
      <c r="BG605" s="1366"/>
      <c r="BH605" s="1366"/>
      <c r="BI605" s="1366"/>
      <c r="BJ605" s="1366"/>
      <c r="BK605" s="1366"/>
      <c r="BL605" s="1366"/>
      <c r="BM605" s="1366"/>
      <c r="BN605" s="1366"/>
      <c r="BO605" s="1366"/>
      <c r="BP605" s="1366"/>
      <c r="BQ605" s="1366"/>
      <c r="BR605" s="1366"/>
      <c r="BS605" s="1366"/>
      <c r="BT605" s="1366"/>
      <c r="BU605" s="1366"/>
      <c r="BV605" s="1366"/>
      <c r="BW605" s="1366"/>
      <c r="BX605" s="1366"/>
      <c r="BY605" s="1366"/>
      <c r="BZ605" s="1366"/>
      <c r="CA605" s="1366"/>
      <c r="CB605" s="1366"/>
      <c r="CC605" s="1366"/>
      <c r="CD605" s="1366"/>
      <c r="CE605" s="1366"/>
      <c r="CF605" s="1366"/>
      <c r="CG605" s="1366"/>
      <c r="CH605" s="1366"/>
      <c r="CI605" s="1366"/>
      <c r="CJ605" s="1366"/>
      <c r="CK605" s="1366"/>
      <c r="CL605" s="1366"/>
      <c r="CM605" s="1366"/>
      <c r="CN605" s="1366"/>
      <c r="CO605" s="1366"/>
      <c r="CP605" s="1366"/>
      <c r="CQ605" s="1366"/>
      <c r="CR605" s="1366"/>
      <c r="CS605" s="1366"/>
      <c r="CT605" s="1366"/>
      <c r="CU605" s="1366"/>
      <c r="CV605" s="1366"/>
      <c r="CW605" s="1366"/>
      <c r="CX605" s="1366"/>
      <c r="CY605" s="1366"/>
      <c r="CZ605" s="1366"/>
      <c r="DA605" s="1366"/>
      <c r="DB605" s="1366"/>
      <c r="DC605" s="1366"/>
      <c r="DD605" s="1366"/>
      <c r="DE605" s="1366"/>
      <c r="DF605" s="1366"/>
      <c r="DG605" s="1366"/>
      <c r="DH605" s="1366"/>
      <c r="DI605" s="1366"/>
      <c r="DJ605" s="1366"/>
      <c r="DK605" s="1366"/>
      <c r="DL605" s="1366"/>
      <c r="DM605" s="1366"/>
      <c r="DN605" s="1366"/>
      <c r="DO605" s="1366"/>
      <c r="DP605" s="1366"/>
      <c r="DQ605" s="1366"/>
      <c r="DR605" s="1366"/>
      <c r="DS605" s="1366"/>
      <c r="DT605" s="1366"/>
      <c r="DU605" s="1366"/>
      <c r="DV605" s="1366"/>
    </row>
    <row r="606" spans="1:126" s="1367" customFormat="1" ht="15" customHeight="1">
      <c r="A606" s="2494"/>
      <c r="B606" s="2502"/>
      <c r="C606" s="1642" t="str">
        <f>'Equipment Results Matrix'!W1122</f>
        <v>Measure</v>
      </c>
      <c r="D606" s="1364" t="str">
        <f>'Equipment Results Matrix'!X1122</f>
        <v>LED Globe, Energy Star, 30,000 hours, low brightness (8 watts)</v>
      </c>
      <c r="E606" s="1364" t="s">
        <v>2097</v>
      </c>
      <c r="F606" s="1364" t="s">
        <v>2107</v>
      </c>
      <c r="G606" s="1618" t="s">
        <v>1907</v>
      </c>
      <c r="H606" s="1619">
        <f>'Equipment Results Matrix'!Y1122</f>
        <v>31.207045984185555</v>
      </c>
      <c r="I606" s="1371">
        <f>'Labor Results Matrix'!$E$629</f>
        <v>0.05</v>
      </c>
      <c r="J606" s="1372">
        <f>'Labor Results Matrix'!$G$629*(1+'Labor Results Matrix'!$K$629)</f>
        <v>72.260416710552065</v>
      </c>
      <c r="K606" s="1372">
        <f t="shared" ref="K606:K608" si="246">I606*J606</f>
        <v>3.6130208355276032</v>
      </c>
      <c r="L606" s="1372">
        <v>0</v>
      </c>
      <c r="M606" s="1620">
        <f t="shared" ref="M606:M608" si="247">H606+K606+L606</f>
        <v>34.820066819713162</v>
      </c>
      <c r="N606" s="1621">
        <f>M606-M605</f>
        <v>26.453027349120447</v>
      </c>
      <c r="O606" s="1429"/>
      <c r="P606" s="1430"/>
      <c r="Q606" s="1430"/>
      <c r="R606" s="1430"/>
      <c r="S606" s="1430"/>
      <c r="T606" s="1430"/>
      <c r="U606" s="1430"/>
      <c r="V606" s="1679"/>
      <c r="W606" s="1366"/>
      <c r="X606" s="1366"/>
      <c r="Y606" s="1366"/>
      <c r="Z606" s="1366"/>
      <c r="AA606" s="1366"/>
      <c r="AB606" s="1366"/>
      <c r="AC606" s="1366"/>
      <c r="AD606" s="1366"/>
      <c r="AE606" s="1366"/>
      <c r="AF606" s="1366"/>
      <c r="AG606" s="1366"/>
      <c r="AH606" s="1366"/>
      <c r="AI606" s="1366"/>
      <c r="AJ606" s="1366"/>
      <c r="AK606" s="1366"/>
      <c r="AL606" s="1366"/>
      <c r="AM606" s="1366"/>
      <c r="AN606" s="1366"/>
      <c r="AO606" s="1366"/>
      <c r="AP606" s="1366"/>
      <c r="AQ606" s="1366"/>
      <c r="AR606" s="1366"/>
      <c r="AS606" s="1366"/>
      <c r="AT606" s="1366"/>
      <c r="AU606" s="1366"/>
      <c r="AV606" s="1366"/>
      <c r="AW606" s="1366"/>
      <c r="AX606" s="1366"/>
      <c r="AY606" s="1366"/>
      <c r="AZ606" s="1366"/>
      <c r="BA606" s="1366"/>
      <c r="BB606" s="1366"/>
      <c r="BC606" s="1366"/>
      <c r="BD606" s="1366"/>
      <c r="BE606" s="1366"/>
      <c r="BF606" s="1366"/>
      <c r="BG606" s="1366"/>
      <c r="BH606" s="1366"/>
      <c r="BI606" s="1366"/>
      <c r="BJ606" s="1366"/>
      <c r="BK606" s="1366"/>
      <c r="BL606" s="1366"/>
      <c r="BM606" s="1366"/>
      <c r="BN606" s="1366"/>
      <c r="BO606" s="1366"/>
      <c r="BP606" s="1366"/>
      <c r="BQ606" s="1366"/>
      <c r="BR606" s="1366"/>
      <c r="BS606" s="1366"/>
      <c r="BT606" s="1366"/>
      <c r="BU606" s="1366"/>
      <c r="BV606" s="1366"/>
      <c r="BW606" s="1366"/>
      <c r="BX606" s="1366"/>
      <c r="BY606" s="1366"/>
      <c r="BZ606" s="1366"/>
      <c r="CA606" s="1366"/>
      <c r="CB606" s="1366"/>
      <c r="CC606" s="1366"/>
      <c r="CD606" s="1366"/>
      <c r="CE606" s="1366"/>
      <c r="CF606" s="1366"/>
      <c r="CG606" s="1366"/>
      <c r="CH606" s="1366"/>
      <c r="CI606" s="1366"/>
      <c r="CJ606" s="1366"/>
      <c r="CK606" s="1366"/>
      <c r="CL606" s="1366"/>
      <c r="CM606" s="1366"/>
      <c r="CN606" s="1366"/>
      <c r="CO606" s="1366"/>
      <c r="CP606" s="1366"/>
      <c r="CQ606" s="1366"/>
      <c r="CR606" s="1366"/>
      <c r="CS606" s="1366"/>
      <c r="CT606" s="1366"/>
      <c r="CU606" s="1366"/>
      <c r="CV606" s="1366"/>
      <c r="CW606" s="1366"/>
      <c r="CX606" s="1366"/>
      <c r="CY606" s="1366"/>
      <c r="CZ606" s="1366"/>
      <c r="DA606" s="1366"/>
      <c r="DB606" s="1366"/>
      <c r="DC606" s="1366"/>
      <c r="DD606" s="1366"/>
      <c r="DE606" s="1366"/>
      <c r="DF606" s="1366"/>
      <c r="DG606" s="1366"/>
      <c r="DH606" s="1366"/>
      <c r="DI606" s="1366"/>
      <c r="DJ606" s="1366"/>
      <c r="DK606" s="1366"/>
      <c r="DL606" s="1366"/>
      <c r="DM606" s="1366"/>
      <c r="DN606" s="1366"/>
      <c r="DO606" s="1366"/>
      <c r="DP606" s="1366"/>
      <c r="DQ606" s="1366"/>
      <c r="DR606" s="1366"/>
      <c r="DS606" s="1366"/>
      <c r="DT606" s="1366"/>
      <c r="DU606" s="1366"/>
      <c r="DV606" s="1366"/>
    </row>
    <row r="607" spans="1:126" s="1367" customFormat="1" ht="15" customHeight="1">
      <c r="A607" s="2494"/>
      <c r="B607" s="2502"/>
      <c r="C607" s="1642" t="str">
        <f>'Equipment Results Matrix'!W1123</f>
        <v>Baseline</v>
      </c>
      <c r="D607" s="1364" t="str">
        <f>'Equipment Results Matrix'!X1123</f>
        <v>CFL Globe</v>
      </c>
      <c r="E607" s="1364" t="s">
        <v>2097</v>
      </c>
      <c r="F607" s="1364" t="s">
        <v>2107</v>
      </c>
      <c r="G607" s="1618" t="s">
        <v>1907</v>
      </c>
      <c r="H607" s="1619">
        <f>'Equipment Results Matrix'!Y1123</f>
        <v>7.6184288613955351</v>
      </c>
      <c r="I607" s="1371">
        <f>'Labor Results Matrix'!$E$574</f>
        <v>0.05</v>
      </c>
      <c r="J607" s="1372">
        <f>'Labor Results Matrix'!$G$574*(1+'Labor Results Matrix'!$K$574)</f>
        <v>72.260416710552065</v>
      </c>
      <c r="K607" s="1372">
        <f t="shared" si="246"/>
        <v>3.6130208355276032</v>
      </c>
      <c r="L607" s="1372">
        <v>0</v>
      </c>
      <c r="M607" s="1620">
        <f t="shared" si="247"/>
        <v>11.231449696923139</v>
      </c>
      <c r="N607" s="1455" t="s">
        <v>40</v>
      </c>
      <c r="O607" s="1429"/>
      <c r="P607" s="1430"/>
      <c r="Q607" s="1430"/>
      <c r="R607" s="1430"/>
      <c r="S607" s="1430"/>
      <c r="T607" s="1430"/>
      <c r="U607" s="1430"/>
      <c r="V607" s="1679"/>
      <c r="W607" s="1366"/>
      <c r="X607" s="1366"/>
      <c r="Y607" s="1366"/>
      <c r="Z607" s="1366"/>
      <c r="AA607" s="1366"/>
      <c r="AB607" s="1366"/>
      <c r="AC607" s="1366"/>
      <c r="AD607" s="1366"/>
      <c r="AE607" s="1366"/>
      <c r="AF607" s="1366"/>
      <c r="AG607" s="1366"/>
      <c r="AH607" s="1366"/>
      <c r="AI607" s="1366"/>
      <c r="AJ607" s="1366"/>
      <c r="AK607" s="1366"/>
      <c r="AL607" s="1366"/>
      <c r="AM607" s="1366"/>
      <c r="AN607" s="1366"/>
      <c r="AO607" s="1366"/>
      <c r="AP607" s="1366"/>
      <c r="AQ607" s="1366"/>
      <c r="AR607" s="1366"/>
      <c r="AS607" s="1366"/>
      <c r="AT607" s="1366"/>
      <c r="AU607" s="1366"/>
      <c r="AV607" s="1366"/>
      <c r="AW607" s="1366"/>
      <c r="AX607" s="1366"/>
      <c r="AY607" s="1366"/>
      <c r="AZ607" s="1366"/>
      <c r="BA607" s="1366"/>
      <c r="BB607" s="1366"/>
      <c r="BC607" s="1366"/>
      <c r="BD607" s="1366"/>
      <c r="BE607" s="1366"/>
      <c r="BF607" s="1366"/>
      <c r="BG607" s="1366"/>
      <c r="BH607" s="1366"/>
      <c r="BI607" s="1366"/>
      <c r="BJ607" s="1366"/>
      <c r="BK607" s="1366"/>
      <c r="BL607" s="1366"/>
      <c r="BM607" s="1366"/>
      <c r="BN607" s="1366"/>
      <c r="BO607" s="1366"/>
      <c r="BP607" s="1366"/>
      <c r="BQ607" s="1366"/>
      <c r="BR607" s="1366"/>
      <c r="BS607" s="1366"/>
      <c r="BT607" s="1366"/>
      <c r="BU607" s="1366"/>
      <c r="BV607" s="1366"/>
      <c r="BW607" s="1366"/>
      <c r="BX607" s="1366"/>
      <c r="BY607" s="1366"/>
      <c r="BZ607" s="1366"/>
      <c r="CA607" s="1366"/>
      <c r="CB607" s="1366"/>
      <c r="CC607" s="1366"/>
      <c r="CD607" s="1366"/>
      <c r="CE607" s="1366"/>
      <c r="CF607" s="1366"/>
      <c r="CG607" s="1366"/>
      <c r="CH607" s="1366"/>
      <c r="CI607" s="1366"/>
      <c r="CJ607" s="1366"/>
      <c r="CK607" s="1366"/>
      <c r="CL607" s="1366"/>
      <c r="CM607" s="1366"/>
      <c r="CN607" s="1366"/>
      <c r="CO607" s="1366"/>
      <c r="CP607" s="1366"/>
      <c r="CQ607" s="1366"/>
      <c r="CR607" s="1366"/>
      <c r="CS607" s="1366"/>
      <c r="CT607" s="1366"/>
      <c r="CU607" s="1366"/>
      <c r="CV607" s="1366"/>
      <c r="CW607" s="1366"/>
      <c r="CX607" s="1366"/>
      <c r="CY607" s="1366"/>
      <c r="CZ607" s="1366"/>
      <c r="DA607" s="1366"/>
      <c r="DB607" s="1366"/>
      <c r="DC607" s="1366"/>
      <c r="DD607" s="1366"/>
      <c r="DE607" s="1366"/>
      <c r="DF607" s="1366"/>
      <c r="DG607" s="1366"/>
      <c r="DH607" s="1366"/>
      <c r="DI607" s="1366"/>
      <c r="DJ607" s="1366"/>
      <c r="DK607" s="1366"/>
      <c r="DL607" s="1366"/>
      <c r="DM607" s="1366"/>
      <c r="DN607" s="1366"/>
      <c r="DO607" s="1366"/>
      <c r="DP607" s="1366"/>
      <c r="DQ607" s="1366"/>
      <c r="DR607" s="1366"/>
      <c r="DS607" s="1366"/>
      <c r="DT607" s="1366"/>
      <c r="DU607" s="1366"/>
      <c r="DV607" s="1366"/>
    </row>
    <row r="608" spans="1:126" s="1367" customFormat="1" ht="15" customHeight="1" thickBot="1">
      <c r="A608" s="2495"/>
      <c r="B608" s="2502"/>
      <c r="C608" s="1561" t="str">
        <f>'Equipment Results Matrix'!W1124</f>
        <v>Measure</v>
      </c>
      <c r="D608" s="1587" t="str">
        <f>'Equipment Results Matrix'!X1124</f>
        <v>LED Globe, Energy Star, 30,000 hours, low brightness (8 watts)</v>
      </c>
      <c r="E608" s="1364" t="s">
        <v>2097</v>
      </c>
      <c r="F608" s="1364" t="s">
        <v>2107</v>
      </c>
      <c r="G608" s="1618" t="s">
        <v>1907</v>
      </c>
      <c r="H608" s="1593">
        <f>'Equipment Results Matrix'!Y1124</f>
        <v>31.207045984185555</v>
      </c>
      <c r="I608" s="1553">
        <f>'Labor Results Matrix'!$E$629</f>
        <v>0.05</v>
      </c>
      <c r="J608" s="1555">
        <f>'Labor Results Matrix'!$G$629*(1+'Labor Results Matrix'!$K$629)</f>
        <v>72.260416710552065</v>
      </c>
      <c r="K608" s="1372">
        <f t="shared" si="246"/>
        <v>3.6130208355276032</v>
      </c>
      <c r="L608" s="1372">
        <v>0</v>
      </c>
      <c r="M608" s="1620">
        <f t="shared" si="247"/>
        <v>34.820066819713162</v>
      </c>
      <c r="N608" s="1621">
        <f>M608-M607</f>
        <v>23.588617122790023</v>
      </c>
      <c r="O608" s="1429"/>
      <c r="P608" s="1430"/>
      <c r="Q608" s="1430"/>
      <c r="R608" s="1430"/>
      <c r="S608" s="1430"/>
      <c r="T608" s="1430"/>
      <c r="U608" s="1430"/>
      <c r="V608" s="1679"/>
      <c r="W608" s="1366"/>
      <c r="X608" s="1366"/>
      <c r="Y608" s="1366"/>
      <c r="Z608" s="1366"/>
      <c r="AA608" s="1366"/>
      <c r="AB608" s="1366"/>
      <c r="AC608" s="1366"/>
      <c r="AD608" s="1366"/>
      <c r="AE608" s="1366"/>
      <c r="AF608" s="1366"/>
      <c r="AG608" s="1366"/>
      <c r="AH608" s="1366"/>
      <c r="AI608" s="1366"/>
      <c r="AJ608" s="1366"/>
      <c r="AK608" s="1366"/>
      <c r="AL608" s="1366"/>
      <c r="AM608" s="1366"/>
      <c r="AN608" s="1366"/>
      <c r="AO608" s="1366"/>
      <c r="AP608" s="1366"/>
      <c r="AQ608" s="1366"/>
      <c r="AR608" s="1366"/>
      <c r="AS608" s="1366"/>
      <c r="AT608" s="1366"/>
      <c r="AU608" s="1366"/>
      <c r="AV608" s="1366"/>
      <c r="AW608" s="1366"/>
      <c r="AX608" s="1366"/>
      <c r="AY608" s="1366"/>
      <c r="AZ608" s="1366"/>
      <c r="BA608" s="1366"/>
      <c r="BB608" s="1366"/>
      <c r="BC608" s="1366"/>
      <c r="BD608" s="1366"/>
      <c r="BE608" s="1366"/>
      <c r="BF608" s="1366"/>
      <c r="BG608" s="1366"/>
      <c r="BH608" s="1366"/>
      <c r="BI608" s="1366"/>
      <c r="BJ608" s="1366"/>
      <c r="BK608" s="1366"/>
      <c r="BL608" s="1366"/>
      <c r="BM608" s="1366"/>
      <c r="BN608" s="1366"/>
      <c r="BO608" s="1366"/>
      <c r="BP608" s="1366"/>
      <c r="BQ608" s="1366"/>
      <c r="BR608" s="1366"/>
      <c r="BS608" s="1366"/>
      <c r="BT608" s="1366"/>
      <c r="BU608" s="1366"/>
      <c r="BV608" s="1366"/>
      <c r="BW608" s="1366"/>
      <c r="BX608" s="1366"/>
      <c r="BY608" s="1366"/>
      <c r="BZ608" s="1366"/>
      <c r="CA608" s="1366"/>
      <c r="CB608" s="1366"/>
      <c r="CC608" s="1366"/>
      <c r="CD608" s="1366"/>
      <c r="CE608" s="1366"/>
      <c r="CF608" s="1366"/>
      <c r="CG608" s="1366"/>
      <c r="CH608" s="1366"/>
      <c r="CI608" s="1366"/>
      <c r="CJ608" s="1366"/>
      <c r="CK608" s="1366"/>
      <c r="CL608" s="1366"/>
      <c r="CM608" s="1366"/>
      <c r="CN608" s="1366"/>
      <c r="CO608" s="1366"/>
      <c r="CP608" s="1366"/>
      <c r="CQ608" s="1366"/>
      <c r="CR608" s="1366"/>
      <c r="CS608" s="1366"/>
      <c r="CT608" s="1366"/>
      <c r="CU608" s="1366"/>
      <c r="CV608" s="1366"/>
      <c r="CW608" s="1366"/>
      <c r="CX608" s="1366"/>
      <c r="CY608" s="1366"/>
      <c r="CZ608" s="1366"/>
      <c r="DA608" s="1366"/>
      <c r="DB608" s="1366"/>
      <c r="DC608" s="1366"/>
      <c r="DD608" s="1366"/>
      <c r="DE608" s="1366"/>
      <c r="DF608" s="1366"/>
      <c r="DG608" s="1366"/>
      <c r="DH608" s="1366"/>
      <c r="DI608" s="1366"/>
      <c r="DJ608" s="1366"/>
      <c r="DK608" s="1366"/>
      <c r="DL608" s="1366"/>
      <c r="DM608" s="1366"/>
      <c r="DN608" s="1366"/>
      <c r="DO608" s="1366"/>
      <c r="DP608" s="1366"/>
      <c r="DQ608" s="1366"/>
      <c r="DR608" s="1366"/>
      <c r="DS608" s="1366"/>
      <c r="DT608" s="1366"/>
      <c r="DU608" s="1366"/>
      <c r="DV608" s="1366"/>
    </row>
    <row r="609" spans="1:126" s="1479" customFormat="1" ht="19.5" thickBot="1">
      <c r="A609" s="695"/>
      <c r="B609" s="1655"/>
      <c r="C609" s="1655"/>
      <c r="D609" s="683"/>
      <c r="E609" s="683"/>
      <c r="F609" s="683"/>
      <c r="G609" s="683"/>
      <c r="H609" s="1413"/>
      <c r="I609" s="1443"/>
      <c r="J609" s="1414"/>
      <c r="K609" s="1413"/>
      <c r="L609" s="1529"/>
      <c r="M609" s="1413"/>
      <c r="N609" s="1489"/>
      <c r="O609" s="1413"/>
      <c r="P609" s="1414"/>
      <c r="Q609" s="1414"/>
      <c r="R609" s="1443"/>
      <c r="S609" s="1443"/>
      <c r="T609" s="1488"/>
      <c r="U609" s="1488"/>
      <c r="V609" s="1489"/>
      <c r="W609" s="1490"/>
      <c r="X609" s="1490"/>
      <c r="Y609" s="327"/>
      <c r="Z609" s="327"/>
      <c r="AA609" s="327"/>
      <c r="AB609" s="1490"/>
      <c r="AC609" s="1490"/>
      <c r="AD609" s="1490"/>
      <c r="AE609" s="1490"/>
      <c r="AF609" s="327"/>
      <c r="AG609" s="327"/>
      <c r="AH609" s="327"/>
      <c r="AI609" s="327"/>
      <c r="AJ609" s="327"/>
      <c r="AK609" s="1478"/>
      <c r="AL609" s="1478"/>
      <c r="AM609" s="1478"/>
      <c r="AN609" s="1478"/>
      <c r="AO609" s="1478"/>
      <c r="AP609" s="1478"/>
      <c r="AQ609" s="1478"/>
      <c r="AR609" s="1478"/>
      <c r="AS609" s="1478"/>
      <c r="AT609" s="1478"/>
      <c r="AU609" s="1478"/>
      <c r="AV609" s="1478"/>
      <c r="AW609" s="1478"/>
      <c r="AX609" s="1478"/>
      <c r="AY609" s="1478"/>
      <c r="AZ609" s="1478"/>
      <c r="BA609" s="1478"/>
      <c r="BB609" s="1478"/>
      <c r="BC609" s="1478"/>
      <c r="BD609" s="1478"/>
      <c r="BE609" s="1478"/>
      <c r="BF609" s="1478"/>
      <c r="BG609" s="1478"/>
      <c r="BH609" s="1478"/>
      <c r="BI609" s="1478"/>
      <c r="BJ609" s="1478"/>
      <c r="BK609" s="327"/>
      <c r="BL609" s="327"/>
      <c r="BM609" s="327"/>
      <c r="BN609" s="327"/>
      <c r="BO609" s="327"/>
      <c r="BP609" s="327"/>
      <c r="BQ609" s="327"/>
      <c r="BR609" s="327"/>
      <c r="BS609" s="327"/>
      <c r="BT609" s="327"/>
      <c r="BU609" s="327"/>
      <c r="BV609" s="327"/>
      <c r="BW609" s="327"/>
      <c r="BX609" s="327"/>
      <c r="BY609" s="327"/>
      <c r="BZ609" s="327"/>
      <c r="CA609" s="327"/>
      <c r="CB609" s="327"/>
      <c r="CC609" s="327"/>
      <c r="CD609" s="327"/>
      <c r="CE609" s="327"/>
      <c r="CF609" s="327"/>
      <c r="CG609" s="327"/>
      <c r="CH609" s="327"/>
      <c r="CI609" s="327"/>
      <c r="CJ609" s="327"/>
      <c r="CK609" s="327"/>
      <c r="CL609" s="327"/>
      <c r="CM609" s="327"/>
      <c r="CN609" s="327"/>
      <c r="CO609" s="327"/>
      <c r="CP609" s="327"/>
      <c r="CQ609" s="327"/>
      <c r="CR609" s="327"/>
      <c r="CS609" s="327"/>
      <c r="CT609" s="327"/>
      <c r="CU609" s="327"/>
      <c r="CV609" s="327"/>
      <c r="CW609" s="327"/>
      <c r="CX609" s="327"/>
      <c r="CY609" s="327"/>
      <c r="CZ609" s="327"/>
      <c r="DA609" s="327"/>
      <c r="DB609" s="327"/>
      <c r="DC609" s="327"/>
      <c r="DD609" s="327"/>
      <c r="DE609" s="327"/>
      <c r="DF609" s="327"/>
      <c r="DG609" s="327"/>
      <c r="DH609" s="327"/>
      <c r="DI609" s="327"/>
      <c r="DJ609" s="327"/>
      <c r="DK609" s="327"/>
      <c r="DL609" s="327"/>
      <c r="DM609" s="327"/>
      <c r="DN609" s="327"/>
      <c r="DO609" s="327"/>
      <c r="DP609" s="327"/>
      <c r="DQ609" s="327"/>
      <c r="DR609" s="327"/>
      <c r="DS609" s="327"/>
      <c r="DT609" s="327"/>
      <c r="DU609" s="327"/>
      <c r="DV609" s="327"/>
    </row>
    <row r="610" spans="1:126" s="1367" customFormat="1" ht="15" customHeight="1">
      <c r="A610" s="2493" t="s">
        <v>931</v>
      </c>
      <c r="B610" s="2501" t="s">
        <v>2698</v>
      </c>
      <c r="C610" s="623" t="str">
        <f>'Equipment Results Matrix'!W1132</f>
        <v>Baseline</v>
      </c>
      <c r="D610" s="383" t="str">
        <f>'Equipment Results Matrix'!X1132</f>
        <v>Incandscent Torpedo, 2,000 hours</v>
      </c>
      <c r="E610" s="383" t="s">
        <v>2097</v>
      </c>
      <c r="F610" s="383" t="s">
        <v>2107</v>
      </c>
      <c r="G610" s="1617" t="s">
        <v>1907</v>
      </c>
      <c r="H610" s="1589">
        <f>'Equipment Results Matrix'!Y1132</f>
        <v>2.0540908343469795</v>
      </c>
      <c r="I610" s="1564">
        <f>'Labor Results Matrix'!$E$521</f>
        <v>7.9629999999999992E-2</v>
      </c>
      <c r="J610" s="1566">
        <f>'Labor Results Matrix'!$G$521*(1+'Labor Results Matrix'!$K$521)</f>
        <v>72.260416710552065</v>
      </c>
      <c r="K610" s="1566">
        <f>I610*J610</f>
        <v>5.7540969826612605</v>
      </c>
      <c r="L610" s="1566">
        <v>0</v>
      </c>
      <c r="M610" s="1591">
        <f>H610+K610+L610</f>
        <v>7.8081878170082399</v>
      </c>
      <c r="N610" s="1592" t="s">
        <v>40</v>
      </c>
      <c r="O610" s="1429"/>
      <c r="P610" s="1430"/>
      <c r="Q610" s="1430"/>
      <c r="R610" s="1430"/>
      <c r="S610" s="1430"/>
      <c r="T610" s="1430"/>
      <c r="U610" s="1430"/>
      <c r="V610" s="1679"/>
      <c r="W610" s="1366"/>
      <c r="X610" s="1366"/>
      <c r="Y610" s="1366"/>
      <c r="Z610" s="1366"/>
      <c r="AA610" s="1366"/>
      <c r="AB610" s="1366"/>
      <c r="AC610" s="1366"/>
      <c r="AD610" s="1366"/>
      <c r="AE610" s="1366"/>
      <c r="AF610" s="1366"/>
      <c r="AG610" s="1366"/>
      <c r="AH610" s="1366"/>
      <c r="AI610" s="1366"/>
      <c r="AJ610" s="1366"/>
      <c r="AK610" s="1366"/>
      <c r="AL610" s="1366"/>
      <c r="AM610" s="1366"/>
      <c r="AN610" s="1366"/>
      <c r="AO610" s="1366"/>
      <c r="AP610" s="1366"/>
      <c r="AQ610" s="1366"/>
      <c r="AR610" s="1366"/>
      <c r="AS610" s="1366"/>
      <c r="AT610" s="1366"/>
      <c r="AU610" s="1366"/>
      <c r="AV610" s="1366"/>
      <c r="AW610" s="1366"/>
      <c r="AX610" s="1366"/>
      <c r="AY610" s="1366"/>
      <c r="AZ610" s="1366"/>
      <c r="BA610" s="1366"/>
      <c r="BB610" s="1366"/>
      <c r="BC610" s="1366"/>
      <c r="BD610" s="1366"/>
      <c r="BE610" s="1366"/>
      <c r="BF610" s="1366"/>
      <c r="BG610" s="1366"/>
      <c r="BH610" s="1366"/>
      <c r="BI610" s="1366"/>
      <c r="BJ610" s="1366"/>
      <c r="BK610" s="1366"/>
      <c r="BL610" s="1366"/>
      <c r="BM610" s="1366"/>
      <c r="BN610" s="1366"/>
      <c r="BO610" s="1366"/>
      <c r="BP610" s="1366"/>
      <c r="BQ610" s="1366"/>
      <c r="BR610" s="1366"/>
      <c r="BS610" s="1366"/>
      <c r="BT610" s="1366"/>
      <c r="BU610" s="1366"/>
      <c r="BV610" s="1366"/>
      <c r="BW610" s="1366"/>
      <c r="BX610" s="1366"/>
      <c r="BY610" s="1366"/>
      <c r="BZ610" s="1366"/>
      <c r="CA610" s="1366"/>
      <c r="CB610" s="1366"/>
      <c r="CC610" s="1366"/>
      <c r="CD610" s="1366"/>
      <c r="CE610" s="1366"/>
      <c r="CF610" s="1366"/>
      <c r="CG610" s="1366"/>
      <c r="CH610" s="1366"/>
      <c r="CI610" s="1366"/>
      <c r="CJ610" s="1366"/>
      <c r="CK610" s="1366"/>
      <c r="CL610" s="1366"/>
      <c r="CM610" s="1366"/>
      <c r="CN610" s="1366"/>
      <c r="CO610" s="1366"/>
      <c r="CP610" s="1366"/>
      <c r="CQ610" s="1366"/>
      <c r="CR610" s="1366"/>
      <c r="CS610" s="1366"/>
      <c r="CT610" s="1366"/>
      <c r="CU610" s="1366"/>
      <c r="CV610" s="1366"/>
      <c r="CW610" s="1366"/>
      <c r="CX610" s="1366"/>
      <c r="CY610" s="1366"/>
      <c r="CZ610" s="1366"/>
      <c r="DA610" s="1366"/>
      <c r="DB610" s="1366"/>
      <c r="DC610" s="1366"/>
      <c r="DD610" s="1366"/>
      <c r="DE610" s="1366"/>
      <c r="DF610" s="1366"/>
      <c r="DG610" s="1366"/>
      <c r="DH610" s="1366"/>
      <c r="DI610" s="1366"/>
      <c r="DJ610" s="1366"/>
      <c r="DK610" s="1366"/>
      <c r="DL610" s="1366"/>
      <c r="DM610" s="1366"/>
      <c r="DN610" s="1366"/>
      <c r="DO610" s="1366"/>
      <c r="DP610" s="1366"/>
      <c r="DQ610" s="1366"/>
      <c r="DR610" s="1366"/>
      <c r="DS610" s="1366"/>
      <c r="DT610" s="1366"/>
      <c r="DU610" s="1366"/>
      <c r="DV610" s="1366"/>
    </row>
    <row r="611" spans="1:126" s="1367" customFormat="1" ht="15" customHeight="1">
      <c r="A611" s="2494"/>
      <c r="B611" s="2502"/>
      <c r="C611" s="1642" t="str">
        <f>'Equipment Results Matrix'!W1133</f>
        <v>Measure</v>
      </c>
      <c r="D611" s="1364" t="str">
        <f>'Equipment Results Matrix'!X1133</f>
        <v>LED Torpedo, low brightness (4 watts)</v>
      </c>
      <c r="E611" s="1364" t="s">
        <v>2097</v>
      </c>
      <c r="F611" s="1364" t="s">
        <v>2107</v>
      </c>
      <c r="G611" s="1618" t="s">
        <v>1907</v>
      </c>
      <c r="H611" s="1619">
        <f>'Equipment Results Matrix'!Y1133</f>
        <v>16.072600396492383</v>
      </c>
      <c r="I611" s="1371">
        <f>'Labor Results Matrix'!$E$640</f>
        <v>7.9629999999999992E-2</v>
      </c>
      <c r="J611" s="1372">
        <f>'Labor Results Matrix'!$G$640*(1+'Labor Results Matrix'!$K$640)</f>
        <v>72.260416710552065</v>
      </c>
      <c r="K611" s="1372">
        <f t="shared" ref="K611:K613" si="248">I611*J611</f>
        <v>5.7540969826612605</v>
      </c>
      <c r="L611" s="1372">
        <v>0</v>
      </c>
      <c r="M611" s="1620">
        <f t="shared" ref="M611:M613" si="249">H611+K611+L611</f>
        <v>21.826697379153643</v>
      </c>
      <c r="N611" s="1621">
        <f>M611-M610</f>
        <v>14.018509562145404</v>
      </c>
      <c r="O611" s="1429"/>
      <c r="P611" s="1430"/>
      <c r="Q611" s="1430"/>
      <c r="R611" s="1430"/>
      <c r="S611" s="1430"/>
      <c r="T611" s="1430"/>
      <c r="U611" s="1430"/>
      <c r="V611" s="1679"/>
      <c r="W611" s="1366"/>
      <c r="X611" s="1366"/>
      <c r="Y611" s="1366"/>
      <c r="Z611" s="1366"/>
      <c r="AA611" s="1366"/>
      <c r="AB611" s="1366"/>
      <c r="AC611" s="1366"/>
      <c r="AD611" s="1366"/>
      <c r="AE611" s="1366"/>
      <c r="AF611" s="1366"/>
      <c r="AG611" s="1366"/>
      <c r="AH611" s="1366"/>
      <c r="AI611" s="1366"/>
      <c r="AJ611" s="1366"/>
      <c r="AK611" s="1366"/>
      <c r="AL611" s="1366"/>
      <c r="AM611" s="1366"/>
      <c r="AN611" s="1366"/>
      <c r="AO611" s="1366"/>
      <c r="AP611" s="1366"/>
      <c r="AQ611" s="1366"/>
      <c r="AR611" s="1366"/>
      <c r="AS611" s="1366"/>
      <c r="AT611" s="1366"/>
      <c r="AU611" s="1366"/>
      <c r="AV611" s="1366"/>
      <c r="AW611" s="1366"/>
      <c r="AX611" s="1366"/>
      <c r="AY611" s="1366"/>
      <c r="AZ611" s="1366"/>
      <c r="BA611" s="1366"/>
      <c r="BB611" s="1366"/>
      <c r="BC611" s="1366"/>
      <c r="BD611" s="1366"/>
      <c r="BE611" s="1366"/>
      <c r="BF611" s="1366"/>
      <c r="BG611" s="1366"/>
      <c r="BH611" s="1366"/>
      <c r="BI611" s="1366"/>
      <c r="BJ611" s="1366"/>
      <c r="BK611" s="1366"/>
      <c r="BL611" s="1366"/>
      <c r="BM611" s="1366"/>
      <c r="BN611" s="1366"/>
      <c r="BO611" s="1366"/>
      <c r="BP611" s="1366"/>
      <c r="BQ611" s="1366"/>
      <c r="BR611" s="1366"/>
      <c r="BS611" s="1366"/>
      <c r="BT611" s="1366"/>
      <c r="BU611" s="1366"/>
      <c r="BV611" s="1366"/>
      <c r="BW611" s="1366"/>
      <c r="BX611" s="1366"/>
      <c r="BY611" s="1366"/>
      <c r="BZ611" s="1366"/>
      <c r="CA611" s="1366"/>
      <c r="CB611" s="1366"/>
      <c r="CC611" s="1366"/>
      <c r="CD611" s="1366"/>
      <c r="CE611" s="1366"/>
      <c r="CF611" s="1366"/>
      <c r="CG611" s="1366"/>
      <c r="CH611" s="1366"/>
      <c r="CI611" s="1366"/>
      <c r="CJ611" s="1366"/>
      <c r="CK611" s="1366"/>
      <c r="CL611" s="1366"/>
      <c r="CM611" s="1366"/>
      <c r="CN611" s="1366"/>
      <c r="CO611" s="1366"/>
      <c r="CP611" s="1366"/>
      <c r="CQ611" s="1366"/>
      <c r="CR611" s="1366"/>
      <c r="CS611" s="1366"/>
      <c r="CT611" s="1366"/>
      <c r="CU611" s="1366"/>
      <c r="CV611" s="1366"/>
      <c r="CW611" s="1366"/>
      <c r="CX611" s="1366"/>
      <c r="CY611" s="1366"/>
      <c r="CZ611" s="1366"/>
      <c r="DA611" s="1366"/>
      <c r="DB611" s="1366"/>
      <c r="DC611" s="1366"/>
      <c r="DD611" s="1366"/>
      <c r="DE611" s="1366"/>
      <c r="DF611" s="1366"/>
      <c r="DG611" s="1366"/>
      <c r="DH611" s="1366"/>
      <c r="DI611" s="1366"/>
      <c r="DJ611" s="1366"/>
      <c r="DK611" s="1366"/>
      <c r="DL611" s="1366"/>
      <c r="DM611" s="1366"/>
      <c r="DN611" s="1366"/>
      <c r="DO611" s="1366"/>
      <c r="DP611" s="1366"/>
      <c r="DQ611" s="1366"/>
      <c r="DR611" s="1366"/>
      <c r="DS611" s="1366"/>
      <c r="DT611" s="1366"/>
      <c r="DU611" s="1366"/>
      <c r="DV611" s="1366"/>
    </row>
    <row r="612" spans="1:126" s="1367" customFormat="1" ht="15" customHeight="1">
      <c r="A612" s="2494"/>
      <c r="B612" s="2502"/>
      <c r="C612" s="1642" t="str">
        <f>'Equipment Results Matrix'!W1134</f>
        <v>Baseline</v>
      </c>
      <c r="D612" s="1364" t="str">
        <f>'Equipment Results Matrix'!X1134</f>
        <v>CFL Torpedo, 10,000 hours, low brightness (11 watts)</v>
      </c>
      <c r="E612" s="1364" t="s">
        <v>2097</v>
      </c>
      <c r="F612" s="1364" t="s">
        <v>2107</v>
      </c>
      <c r="G612" s="1618" t="s">
        <v>1907</v>
      </c>
      <c r="H612" s="1619">
        <f>'Equipment Results Matrix'!Y1134</f>
        <v>8.2443726351512829</v>
      </c>
      <c r="I612" s="1371">
        <f>'Labor Results Matrix'!E590</f>
        <v>7.9629999999999992E-2</v>
      </c>
      <c r="J612" s="1372">
        <f>'Labor Results Matrix'!G590*(1+'Labor Results Matrix'!$K$590)</f>
        <v>72.260416710552065</v>
      </c>
      <c r="K612" s="1372">
        <f t="shared" si="248"/>
        <v>5.7540969826612605</v>
      </c>
      <c r="L612" s="1372">
        <v>0</v>
      </c>
      <c r="M612" s="1620">
        <f t="shared" si="249"/>
        <v>13.998469617812543</v>
      </c>
      <c r="N612" s="1455" t="s">
        <v>40</v>
      </c>
      <c r="O612" s="1429"/>
      <c r="P612" s="1430"/>
      <c r="Q612" s="1430"/>
      <c r="R612" s="1430"/>
      <c r="S612" s="1430"/>
      <c r="T612" s="1430"/>
      <c r="U612" s="1430"/>
      <c r="V612" s="1679"/>
      <c r="W612" s="1366"/>
      <c r="X612" s="1366"/>
      <c r="Y612" s="1366"/>
      <c r="Z612" s="1366"/>
      <c r="AA612" s="1366"/>
      <c r="AB612" s="1366"/>
      <c r="AC612" s="1366"/>
      <c r="AD612" s="1366"/>
      <c r="AE612" s="1366"/>
      <c r="AF612" s="1366"/>
      <c r="AG612" s="1366"/>
      <c r="AH612" s="1366"/>
      <c r="AI612" s="1366"/>
      <c r="AJ612" s="1366"/>
      <c r="AK612" s="1366"/>
      <c r="AL612" s="1366"/>
      <c r="AM612" s="1366"/>
      <c r="AN612" s="1366"/>
      <c r="AO612" s="1366"/>
      <c r="AP612" s="1366"/>
      <c r="AQ612" s="1366"/>
      <c r="AR612" s="1366"/>
      <c r="AS612" s="1366"/>
      <c r="AT612" s="1366"/>
      <c r="AU612" s="1366"/>
      <c r="AV612" s="1366"/>
      <c r="AW612" s="1366"/>
      <c r="AX612" s="1366"/>
      <c r="AY612" s="1366"/>
      <c r="AZ612" s="1366"/>
      <c r="BA612" s="1366"/>
      <c r="BB612" s="1366"/>
      <c r="BC612" s="1366"/>
      <c r="BD612" s="1366"/>
      <c r="BE612" s="1366"/>
      <c r="BF612" s="1366"/>
      <c r="BG612" s="1366"/>
      <c r="BH612" s="1366"/>
      <c r="BI612" s="1366"/>
      <c r="BJ612" s="1366"/>
      <c r="BK612" s="1366"/>
      <c r="BL612" s="1366"/>
      <c r="BM612" s="1366"/>
      <c r="BN612" s="1366"/>
      <c r="BO612" s="1366"/>
      <c r="BP612" s="1366"/>
      <c r="BQ612" s="1366"/>
      <c r="BR612" s="1366"/>
      <c r="BS612" s="1366"/>
      <c r="BT612" s="1366"/>
      <c r="BU612" s="1366"/>
      <c r="BV612" s="1366"/>
      <c r="BW612" s="1366"/>
      <c r="BX612" s="1366"/>
      <c r="BY612" s="1366"/>
      <c r="BZ612" s="1366"/>
      <c r="CA612" s="1366"/>
      <c r="CB612" s="1366"/>
      <c r="CC612" s="1366"/>
      <c r="CD612" s="1366"/>
      <c r="CE612" s="1366"/>
      <c r="CF612" s="1366"/>
      <c r="CG612" s="1366"/>
      <c r="CH612" s="1366"/>
      <c r="CI612" s="1366"/>
      <c r="CJ612" s="1366"/>
      <c r="CK612" s="1366"/>
      <c r="CL612" s="1366"/>
      <c r="CM612" s="1366"/>
      <c r="CN612" s="1366"/>
      <c r="CO612" s="1366"/>
      <c r="CP612" s="1366"/>
      <c r="CQ612" s="1366"/>
      <c r="CR612" s="1366"/>
      <c r="CS612" s="1366"/>
      <c r="CT612" s="1366"/>
      <c r="CU612" s="1366"/>
      <c r="CV612" s="1366"/>
      <c r="CW612" s="1366"/>
      <c r="CX612" s="1366"/>
      <c r="CY612" s="1366"/>
      <c r="CZ612" s="1366"/>
      <c r="DA612" s="1366"/>
      <c r="DB612" s="1366"/>
      <c r="DC612" s="1366"/>
      <c r="DD612" s="1366"/>
      <c r="DE612" s="1366"/>
      <c r="DF612" s="1366"/>
      <c r="DG612" s="1366"/>
      <c r="DH612" s="1366"/>
      <c r="DI612" s="1366"/>
      <c r="DJ612" s="1366"/>
      <c r="DK612" s="1366"/>
      <c r="DL612" s="1366"/>
      <c r="DM612" s="1366"/>
      <c r="DN612" s="1366"/>
      <c r="DO612" s="1366"/>
      <c r="DP612" s="1366"/>
      <c r="DQ612" s="1366"/>
      <c r="DR612" s="1366"/>
      <c r="DS612" s="1366"/>
      <c r="DT612" s="1366"/>
      <c r="DU612" s="1366"/>
      <c r="DV612" s="1366"/>
    </row>
    <row r="613" spans="1:126" s="1367" customFormat="1" ht="15" customHeight="1" thickBot="1">
      <c r="A613" s="2495"/>
      <c r="B613" s="2502"/>
      <c r="C613" s="1561" t="str">
        <f>'Equipment Results Matrix'!W1135</f>
        <v>Measure</v>
      </c>
      <c r="D613" s="1587" t="str">
        <f>'Equipment Results Matrix'!X1135</f>
        <v>LED Torpedo, low brightness (4 watts)</v>
      </c>
      <c r="E613" s="1364" t="s">
        <v>2097</v>
      </c>
      <c r="F613" s="1364" t="s">
        <v>2107</v>
      </c>
      <c r="G613" s="1618" t="s">
        <v>1907</v>
      </c>
      <c r="H613" s="1593">
        <f>'Equipment Results Matrix'!Y1135</f>
        <v>16.072600396492383</v>
      </c>
      <c r="I613" s="1553">
        <f>'Labor Results Matrix'!$E$640</f>
        <v>7.9629999999999992E-2</v>
      </c>
      <c r="J613" s="1555">
        <f>'Labor Results Matrix'!$G$640*(1+'Labor Results Matrix'!$K$640)</f>
        <v>72.260416710552065</v>
      </c>
      <c r="K613" s="1372">
        <f t="shared" si="248"/>
        <v>5.7540969826612605</v>
      </c>
      <c r="L613" s="1372">
        <v>0</v>
      </c>
      <c r="M613" s="1620">
        <f t="shared" si="249"/>
        <v>21.826697379153643</v>
      </c>
      <c r="N613" s="1621">
        <f>M613-M612</f>
        <v>7.8282277613411004</v>
      </c>
      <c r="O613" s="1429"/>
      <c r="P613" s="1430"/>
      <c r="Q613" s="1430"/>
      <c r="R613" s="1430"/>
      <c r="S613" s="1430"/>
      <c r="T613" s="1430"/>
      <c r="U613" s="1430"/>
      <c r="V613" s="1679"/>
      <c r="W613" s="1366"/>
      <c r="X613" s="1366"/>
      <c r="Y613" s="1366"/>
      <c r="Z613" s="1366"/>
      <c r="AA613" s="1366"/>
      <c r="AB613" s="1366"/>
      <c r="AC613" s="1366"/>
      <c r="AD613" s="1366"/>
      <c r="AE613" s="1366"/>
      <c r="AF613" s="1366"/>
      <c r="AG613" s="1366"/>
      <c r="AH613" s="1366"/>
      <c r="AI613" s="1366"/>
      <c r="AJ613" s="1366"/>
      <c r="AK613" s="1366"/>
      <c r="AL613" s="1366"/>
      <c r="AM613" s="1366"/>
      <c r="AN613" s="1366"/>
      <c r="AO613" s="1366"/>
      <c r="AP613" s="1366"/>
      <c r="AQ613" s="1366"/>
      <c r="AR613" s="1366"/>
      <c r="AS613" s="1366"/>
      <c r="AT613" s="1366"/>
      <c r="AU613" s="1366"/>
      <c r="AV613" s="1366"/>
      <c r="AW613" s="1366"/>
      <c r="AX613" s="1366"/>
      <c r="AY613" s="1366"/>
      <c r="AZ613" s="1366"/>
      <c r="BA613" s="1366"/>
      <c r="BB613" s="1366"/>
      <c r="BC613" s="1366"/>
      <c r="BD613" s="1366"/>
      <c r="BE613" s="1366"/>
      <c r="BF613" s="1366"/>
      <c r="BG613" s="1366"/>
      <c r="BH613" s="1366"/>
      <c r="BI613" s="1366"/>
      <c r="BJ613" s="1366"/>
      <c r="BK613" s="1366"/>
      <c r="BL613" s="1366"/>
      <c r="BM613" s="1366"/>
      <c r="BN613" s="1366"/>
      <c r="BO613" s="1366"/>
      <c r="BP613" s="1366"/>
      <c r="BQ613" s="1366"/>
      <c r="BR613" s="1366"/>
      <c r="BS613" s="1366"/>
      <c r="BT613" s="1366"/>
      <c r="BU613" s="1366"/>
      <c r="BV613" s="1366"/>
      <c r="BW613" s="1366"/>
      <c r="BX613" s="1366"/>
      <c r="BY613" s="1366"/>
      <c r="BZ613" s="1366"/>
      <c r="CA613" s="1366"/>
      <c r="CB613" s="1366"/>
      <c r="CC613" s="1366"/>
      <c r="CD613" s="1366"/>
      <c r="CE613" s="1366"/>
      <c r="CF613" s="1366"/>
      <c r="CG613" s="1366"/>
      <c r="CH613" s="1366"/>
      <c r="CI613" s="1366"/>
      <c r="CJ613" s="1366"/>
      <c r="CK613" s="1366"/>
      <c r="CL613" s="1366"/>
      <c r="CM613" s="1366"/>
      <c r="CN613" s="1366"/>
      <c r="CO613" s="1366"/>
      <c r="CP613" s="1366"/>
      <c r="CQ613" s="1366"/>
      <c r="CR613" s="1366"/>
      <c r="CS613" s="1366"/>
      <c r="CT613" s="1366"/>
      <c r="CU613" s="1366"/>
      <c r="CV613" s="1366"/>
      <c r="CW613" s="1366"/>
      <c r="CX613" s="1366"/>
      <c r="CY613" s="1366"/>
      <c r="CZ613" s="1366"/>
      <c r="DA613" s="1366"/>
      <c r="DB613" s="1366"/>
      <c r="DC613" s="1366"/>
      <c r="DD613" s="1366"/>
      <c r="DE613" s="1366"/>
      <c r="DF613" s="1366"/>
      <c r="DG613" s="1366"/>
      <c r="DH613" s="1366"/>
      <c r="DI613" s="1366"/>
      <c r="DJ613" s="1366"/>
      <c r="DK613" s="1366"/>
      <c r="DL613" s="1366"/>
      <c r="DM613" s="1366"/>
      <c r="DN613" s="1366"/>
      <c r="DO613" s="1366"/>
      <c r="DP613" s="1366"/>
      <c r="DQ613" s="1366"/>
      <c r="DR613" s="1366"/>
      <c r="DS613" s="1366"/>
      <c r="DT613" s="1366"/>
      <c r="DU613" s="1366"/>
      <c r="DV613" s="1366"/>
    </row>
    <row r="614" spans="1:126" s="1479" customFormat="1" ht="19.5" thickBot="1">
      <c r="A614" s="695"/>
      <c r="B614" s="1660"/>
      <c r="C614" s="1660"/>
      <c r="D614" s="699"/>
      <c r="E614" s="699"/>
      <c r="F614" s="699"/>
      <c r="G614" s="699"/>
      <c r="H614" s="1386"/>
      <c r="I614" s="1445"/>
      <c r="J614" s="1387"/>
      <c r="K614" s="1386"/>
      <c r="L614" s="1531"/>
      <c r="M614" s="1386"/>
      <c r="N614" s="1491"/>
      <c r="O614" s="1413"/>
      <c r="P614" s="1414"/>
      <c r="Q614" s="1414"/>
      <c r="R614" s="1443"/>
      <c r="S614" s="1443"/>
      <c r="T614" s="1488"/>
      <c r="U614" s="1488"/>
      <c r="V614" s="1489"/>
      <c r="W614" s="1490"/>
      <c r="X614" s="1490"/>
      <c r="Y614" s="327"/>
      <c r="Z614" s="327"/>
      <c r="AA614" s="327"/>
      <c r="AB614" s="1490"/>
      <c r="AC614" s="1490"/>
      <c r="AD614" s="1490"/>
      <c r="AE614" s="1490"/>
      <c r="AF614" s="327"/>
      <c r="AG614" s="327"/>
      <c r="AH614" s="327"/>
      <c r="AI614" s="327"/>
      <c r="AJ614" s="327"/>
      <c r="AK614" s="1478"/>
      <c r="AL614" s="1478"/>
      <c r="AM614" s="1478"/>
      <c r="AN614" s="1478"/>
      <c r="AO614" s="1478"/>
      <c r="AP614" s="1478"/>
      <c r="AQ614" s="1478"/>
      <c r="AR614" s="1478"/>
      <c r="AS614" s="1478"/>
      <c r="AT614" s="1478"/>
      <c r="AU614" s="1478"/>
      <c r="AV614" s="1478"/>
      <c r="AW614" s="1478"/>
      <c r="AX614" s="1478"/>
      <c r="AY614" s="1478"/>
      <c r="AZ614" s="1478"/>
      <c r="BA614" s="1478"/>
      <c r="BB614" s="1478"/>
      <c r="BC614" s="1478"/>
      <c r="BD614" s="1478"/>
      <c r="BE614" s="1478"/>
      <c r="BF614" s="1478"/>
      <c r="BG614" s="1478"/>
      <c r="BH614" s="1478"/>
      <c r="BI614" s="1478"/>
      <c r="BJ614" s="1478"/>
      <c r="BK614" s="327"/>
      <c r="BL614" s="327"/>
      <c r="BM614" s="327"/>
      <c r="BN614" s="327"/>
      <c r="BO614" s="327"/>
      <c r="BP614" s="327"/>
      <c r="BQ614" s="327"/>
      <c r="BR614" s="327"/>
      <c r="BS614" s="327"/>
      <c r="BT614" s="327"/>
      <c r="BU614" s="327"/>
      <c r="BV614" s="327"/>
      <c r="BW614" s="327"/>
      <c r="BX614" s="327"/>
      <c r="BY614" s="327"/>
      <c r="BZ614" s="327"/>
      <c r="CA614" s="327"/>
      <c r="CB614" s="327"/>
      <c r="CC614" s="327"/>
      <c r="CD614" s="327"/>
      <c r="CE614" s="327"/>
      <c r="CF614" s="327"/>
      <c r="CG614" s="327"/>
      <c r="CH614" s="327"/>
      <c r="CI614" s="327"/>
      <c r="CJ614" s="327"/>
      <c r="CK614" s="327"/>
      <c r="CL614" s="327"/>
      <c r="CM614" s="327"/>
      <c r="CN614" s="327"/>
      <c r="CO614" s="327"/>
      <c r="CP614" s="327"/>
      <c r="CQ614" s="327"/>
      <c r="CR614" s="327"/>
      <c r="CS614" s="327"/>
      <c r="CT614" s="327"/>
      <c r="CU614" s="327"/>
      <c r="CV614" s="327"/>
      <c r="CW614" s="327"/>
      <c r="CX614" s="327"/>
      <c r="CY614" s="327"/>
      <c r="CZ614" s="327"/>
      <c r="DA614" s="327"/>
      <c r="DB614" s="327"/>
      <c r="DC614" s="327"/>
      <c r="DD614" s="327"/>
      <c r="DE614" s="327"/>
      <c r="DF614" s="327"/>
      <c r="DG614" s="327"/>
      <c r="DH614" s="327"/>
      <c r="DI614" s="327"/>
      <c r="DJ614" s="327"/>
      <c r="DK614" s="327"/>
      <c r="DL614" s="327"/>
      <c r="DM614" s="327"/>
      <c r="DN614" s="327"/>
      <c r="DO614" s="327"/>
      <c r="DP614" s="327"/>
      <c r="DQ614" s="327"/>
      <c r="DR614" s="327"/>
      <c r="DS614" s="327"/>
      <c r="DT614" s="327"/>
      <c r="DU614" s="327"/>
      <c r="DV614" s="327"/>
    </row>
    <row r="615" spans="1:126" s="1378" customFormat="1" ht="30">
      <c r="A615" s="2493" t="s">
        <v>1031</v>
      </c>
      <c r="B615" s="1659">
        <v>2183</v>
      </c>
      <c r="C615" s="1671" t="s">
        <v>47</v>
      </c>
      <c r="D615" s="1396" t="s">
        <v>2585</v>
      </c>
      <c r="E615" s="1376" t="s">
        <v>2100</v>
      </c>
      <c r="F615" s="1376" t="s">
        <v>2108</v>
      </c>
      <c r="G615" s="1377" t="s">
        <v>2584</v>
      </c>
      <c r="H615" s="1514"/>
      <c r="I615" s="1419"/>
      <c r="J615" s="1513"/>
      <c r="K615" s="1513"/>
      <c r="L615" s="1420"/>
      <c r="M615" s="1513"/>
      <c r="N615" s="1465"/>
      <c r="O615" s="1429"/>
      <c r="P615" s="1430"/>
      <c r="Q615" s="1430"/>
      <c r="R615" s="1430"/>
      <c r="S615" s="1430"/>
      <c r="T615" s="1430"/>
      <c r="U615" s="1430"/>
      <c r="V615" s="1679"/>
      <c r="W615" s="1366"/>
      <c r="X615" s="1366"/>
      <c r="Y615" s="1366"/>
      <c r="Z615" s="1366"/>
      <c r="AA615" s="1366"/>
      <c r="AB615" s="1366"/>
      <c r="AC615" s="1366"/>
      <c r="AD615" s="1366"/>
      <c r="AE615" s="1366"/>
      <c r="AF615" s="1366"/>
      <c r="AG615" s="1366"/>
      <c r="AH615" s="1366"/>
      <c r="AI615" s="1366"/>
      <c r="AJ615" s="1366"/>
      <c r="AK615" s="1366"/>
      <c r="AL615" s="1366"/>
      <c r="AM615" s="1366"/>
      <c r="AN615" s="1366"/>
      <c r="AO615" s="1366"/>
      <c r="AP615" s="1366"/>
      <c r="AQ615" s="1366"/>
      <c r="AR615" s="1366"/>
      <c r="AS615" s="1366"/>
      <c r="AT615" s="1366"/>
      <c r="AU615" s="1366"/>
      <c r="AV615" s="1366"/>
      <c r="AW615" s="1366"/>
      <c r="AX615" s="1366"/>
      <c r="AY615" s="1366"/>
      <c r="AZ615" s="1366"/>
      <c r="BA615" s="1366"/>
      <c r="BB615" s="1366"/>
      <c r="BC615" s="1366"/>
      <c r="BD615" s="1366"/>
      <c r="BE615" s="1366"/>
      <c r="BF615" s="1366"/>
      <c r="BG615" s="1366"/>
      <c r="BH615" s="1366"/>
      <c r="BI615" s="1366"/>
      <c r="BJ615" s="1366"/>
      <c r="BK615" s="1366"/>
      <c r="BL615" s="1366"/>
      <c r="BM615" s="1366"/>
      <c r="BN615" s="1366"/>
      <c r="BO615" s="1366"/>
      <c r="BP615" s="1366"/>
      <c r="BQ615" s="1366"/>
      <c r="BR615" s="1366"/>
      <c r="BS615" s="1366"/>
      <c r="BT615" s="1366"/>
      <c r="BU615" s="1366"/>
      <c r="BV615" s="1366"/>
      <c r="BW615" s="1366"/>
      <c r="BX615" s="1366"/>
      <c r="BY615" s="1366"/>
      <c r="BZ615" s="1366"/>
      <c r="CA615" s="1366"/>
      <c r="CB615" s="1366"/>
      <c r="CC615" s="1366"/>
      <c r="CD615" s="1366"/>
      <c r="CE615" s="1366"/>
      <c r="CF615" s="1366"/>
      <c r="CG615" s="1366"/>
      <c r="CH615" s="1366"/>
      <c r="CI615" s="1366"/>
      <c r="CJ615" s="1366"/>
      <c r="CK615" s="1366"/>
      <c r="CL615" s="1366"/>
      <c r="CM615" s="1366"/>
      <c r="CN615" s="1366"/>
      <c r="CO615" s="1366"/>
      <c r="CP615" s="1366"/>
      <c r="CQ615" s="1366"/>
      <c r="CR615" s="1366"/>
      <c r="CS615" s="1366"/>
      <c r="CT615" s="1366"/>
      <c r="CU615" s="1366"/>
      <c r="CV615" s="1366"/>
      <c r="CW615" s="1366"/>
      <c r="CX615" s="1366"/>
      <c r="CY615" s="1366"/>
      <c r="CZ615" s="1366"/>
      <c r="DA615" s="1366"/>
      <c r="DB615" s="1366"/>
      <c r="DC615" s="1366"/>
      <c r="DD615" s="1366"/>
      <c r="DE615" s="1366"/>
      <c r="DF615" s="1366"/>
      <c r="DG615" s="1366"/>
      <c r="DH615" s="1366"/>
      <c r="DI615" s="1366"/>
      <c r="DJ615" s="1366"/>
      <c r="DK615" s="1366"/>
      <c r="DL615" s="1366"/>
      <c r="DM615" s="1366"/>
      <c r="DN615" s="1366"/>
      <c r="DO615" s="1366"/>
      <c r="DP615" s="1366"/>
      <c r="DQ615" s="1366"/>
      <c r="DR615" s="1366"/>
      <c r="DS615" s="1366"/>
      <c r="DT615" s="1366"/>
      <c r="DU615" s="1366"/>
      <c r="DV615" s="1366"/>
    </row>
    <row r="616" spans="1:126" s="1378" customFormat="1" ht="30">
      <c r="A616" s="2494"/>
      <c r="B616" s="1659">
        <v>2183</v>
      </c>
      <c r="C616" s="1671" t="s">
        <v>49</v>
      </c>
      <c r="D616" s="1396" t="s">
        <v>2585</v>
      </c>
      <c r="E616" s="1376" t="s">
        <v>2100</v>
      </c>
      <c r="F616" s="1376" t="s">
        <v>2108</v>
      </c>
      <c r="G616" s="1377" t="s">
        <v>2584</v>
      </c>
      <c r="H616" s="1514"/>
      <c r="I616" s="1419"/>
      <c r="J616" s="1513"/>
      <c r="K616" s="1513"/>
      <c r="L616" s="1420"/>
      <c r="M616" s="1513"/>
      <c r="N616" s="1465"/>
      <c r="O616" s="1429"/>
      <c r="P616" s="1430"/>
      <c r="Q616" s="1430"/>
      <c r="R616" s="1430"/>
      <c r="S616" s="1430"/>
      <c r="T616" s="1430"/>
      <c r="U616" s="1430"/>
      <c r="V616" s="1679"/>
      <c r="W616" s="1366"/>
      <c r="X616" s="1366"/>
      <c r="Y616" s="1366"/>
      <c r="Z616" s="1366"/>
      <c r="AA616" s="1366"/>
      <c r="AB616" s="1366"/>
      <c r="AC616" s="1366"/>
      <c r="AD616" s="1366"/>
      <c r="AE616" s="1366"/>
      <c r="AF616" s="1366"/>
      <c r="AG616" s="1366"/>
      <c r="AH616" s="1366"/>
      <c r="AI616" s="1366"/>
      <c r="AJ616" s="1366"/>
      <c r="AK616" s="1366"/>
      <c r="AL616" s="1366"/>
      <c r="AM616" s="1366"/>
      <c r="AN616" s="1366"/>
      <c r="AO616" s="1366"/>
      <c r="AP616" s="1366"/>
      <c r="AQ616" s="1366"/>
      <c r="AR616" s="1366"/>
      <c r="AS616" s="1366"/>
      <c r="AT616" s="1366"/>
      <c r="AU616" s="1366"/>
      <c r="AV616" s="1366"/>
      <c r="AW616" s="1366"/>
      <c r="AX616" s="1366"/>
      <c r="AY616" s="1366"/>
      <c r="AZ616" s="1366"/>
      <c r="BA616" s="1366"/>
      <c r="BB616" s="1366"/>
      <c r="BC616" s="1366"/>
      <c r="BD616" s="1366"/>
      <c r="BE616" s="1366"/>
      <c r="BF616" s="1366"/>
      <c r="BG616" s="1366"/>
      <c r="BH616" s="1366"/>
      <c r="BI616" s="1366"/>
      <c r="BJ616" s="1366"/>
      <c r="BK616" s="1366"/>
      <c r="BL616" s="1366"/>
      <c r="BM616" s="1366"/>
      <c r="BN616" s="1366"/>
      <c r="BO616" s="1366"/>
      <c r="BP616" s="1366"/>
      <c r="BQ616" s="1366"/>
      <c r="BR616" s="1366"/>
      <c r="BS616" s="1366"/>
      <c r="BT616" s="1366"/>
      <c r="BU616" s="1366"/>
      <c r="BV616" s="1366"/>
      <c r="BW616" s="1366"/>
      <c r="BX616" s="1366"/>
      <c r="BY616" s="1366"/>
      <c r="BZ616" s="1366"/>
      <c r="CA616" s="1366"/>
      <c r="CB616" s="1366"/>
      <c r="CC616" s="1366"/>
      <c r="CD616" s="1366"/>
      <c r="CE616" s="1366"/>
      <c r="CF616" s="1366"/>
      <c r="CG616" s="1366"/>
      <c r="CH616" s="1366"/>
      <c r="CI616" s="1366"/>
      <c r="CJ616" s="1366"/>
      <c r="CK616" s="1366"/>
      <c r="CL616" s="1366"/>
      <c r="CM616" s="1366"/>
      <c r="CN616" s="1366"/>
      <c r="CO616" s="1366"/>
      <c r="CP616" s="1366"/>
      <c r="CQ616" s="1366"/>
      <c r="CR616" s="1366"/>
      <c r="CS616" s="1366"/>
      <c r="CT616" s="1366"/>
      <c r="CU616" s="1366"/>
      <c r="CV616" s="1366"/>
      <c r="CW616" s="1366"/>
      <c r="CX616" s="1366"/>
      <c r="CY616" s="1366"/>
      <c r="CZ616" s="1366"/>
      <c r="DA616" s="1366"/>
      <c r="DB616" s="1366"/>
      <c r="DC616" s="1366"/>
      <c r="DD616" s="1366"/>
      <c r="DE616" s="1366"/>
      <c r="DF616" s="1366"/>
      <c r="DG616" s="1366"/>
      <c r="DH616" s="1366"/>
      <c r="DI616" s="1366"/>
      <c r="DJ616" s="1366"/>
      <c r="DK616" s="1366"/>
      <c r="DL616" s="1366"/>
      <c r="DM616" s="1366"/>
      <c r="DN616" s="1366"/>
      <c r="DO616" s="1366"/>
      <c r="DP616" s="1366"/>
      <c r="DQ616" s="1366"/>
      <c r="DR616" s="1366"/>
      <c r="DS616" s="1366"/>
      <c r="DT616" s="1366"/>
      <c r="DU616" s="1366"/>
      <c r="DV616" s="1366"/>
    </row>
    <row r="617" spans="1:126" s="1399" customFormat="1" ht="45">
      <c r="A617" s="2494"/>
      <c r="B617" s="1666" t="s">
        <v>2581</v>
      </c>
      <c r="C617" s="1673" t="s">
        <v>47</v>
      </c>
      <c r="D617" s="1396" t="s">
        <v>2586</v>
      </c>
      <c r="E617" s="1396" t="s">
        <v>2100</v>
      </c>
      <c r="F617" s="1396" t="s">
        <v>2108</v>
      </c>
      <c r="G617" s="1397" t="s">
        <v>2584</v>
      </c>
      <c r="H617" s="1435">
        <f>(('Equipment Results Matrix'!$R$1345*18)+(208*'Equipment Results Matrix'!$R$1346)+'Equipment Results Matrix'!$R$1347+'Equipment Results Matrix'!$R$1349+'Equipment Results Matrix'!$R$1351+'Equipment Results Matrix'!$R$1353+'Equipment Results Matrix'!$T$1352)+((208*'Equipment Results Matrix'!$R$1143)+(120*'Equipment Results Matrix'!$R$1144)+(3500*'Equipment Results Matrix'!$R$1145)+(90*'Equipment Results Matrix'!$R$1146)+'Equipment Results Matrix'!$R$1147+'Equipment Results Matrix'!$R$1150+'Equipment Results Matrix'!$R$1153+'Equipment Results Matrix'!$R$1156+'Equipment Results Matrix'!$R$1159+'Equipment Results Matrix'!$T$1150)</f>
        <v>251.76420782247186</v>
      </c>
      <c r="I617" s="1436">
        <f>'Labor Results Matrix'!$E$853+'Labor Results Matrix'!$E$652</f>
        <v>1.57917</v>
      </c>
      <c r="J617" s="1437">
        <f>AVERAGE('Labor Results Matrix'!$G$652,'Labor Results Matrix'!$G$853)*(1+AVERAGE('Labor Results Matrix'!$K$853,'Labor Results Matrix'!$K$651))</f>
        <v>72.005668760628666</v>
      </c>
      <c r="K617" s="1437">
        <f>I617*J617</f>
        <v>113.70919193672196</v>
      </c>
      <c r="L617" s="1437">
        <f>'Labor Results Matrix'!$I$853*(1+'Labor Results Matrix'!$K$853)</f>
        <v>35.180719999999994</v>
      </c>
      <c r="M617" s="1437">
        <f>H617+K617+L617</f>
        <v>400.65411975919386</v>
      </c>
      <c r="N617" s="1463" t="s">
        <v>40</v>
      </c>
      <c r="O617" s="1438"/>
      <c r="P617" s="1439"/>
      <c r="Q617" s="1439"/>
      <c r="R617" s="1439"/>
      <c r="S617" s="1439"/>
      <c r="T617" s="1439"/>
      <c r="U617" s="1439"/>
      <c r="V617" s="1682"/>
      <c r="W617" s="1398"/>
      <c r="X617" s="1398"/>
      <c r="Y617" s="1398"/>
      <c r="Z617" s="1398"/>
      <c r="AA617" s="1398"/>
      <c r="AB617" s="1398"/>
      <c r="AC617" s="1398"/>
      <c r="AD617" s="1398"/>
      <c r="AE617" s="1398"/>
      <c r="AF617" s="1398"/>
      <c r="AG617" s="1398"/>
      <c r="AH617" s="1398"/>
      <c r="AI617" s="1398"/>
      <c r="AJ617" s="1398"/>
      <c r="AK617" s="1398"/>
      <c r="AL617" s="1398"/>
      <c r="AM617" s="1398"/>
      <c r="AN617" s="1398"/>
      <c r="AO617" s="1398"/>
      <c r="AP617" s="1398"/>
      <c r="AQ617" s="1398"/>
      <c r="AR617" s="1398"/>
      <c r="AS617" s="1398"/>
      <c r="AT617" s="1398"/>
      <c r="AU617" s="1398"/>
      <c r="AV617" s="1398"/>
      <c r="AW617" s="1398"/>
      <c r="AX617" s="1398"/>
      <c r="AY617" s="1398"/>
      <c r="AZ617" s="1398"/>
      <c r="BA617" s="1398"/>
      <c r="BB617" s="1398"/>
      <c r="BC617" s="1398"/>
      <c r="BD617" s="1398"/>
      <c r="BE617" s="1398"/>
      <c r="BF617" s="1398"/>
      <c r="BG617" s="1398"/>
      <c r="BH617" s="1398"/>
      <c r="BI617" s="1398"/>
      <c r="BJ617" s="1398"/>
      <c r="BK617" s="1398"/>
      <c r="BL617" s="1398"/>
      <c r="BM617" s="1398"/>
      <c r="BN617" s="1398"/>
      <c r="BO617" s="1398"/>
      <c r="BP617" s="1398"/>
      <c r="BQ617" s="1398"/>
      <c r="BR617" s="1398"/>
      <c r="BS617" s="1398"/>
      <c r="BT617" s="1398"/>
      <c r="BU617" s="1398"/>
      <c r="BV617" s="1398"/>
      <c r="BW617" s="1398"/>
      <c r="BX617" s="1398"/>
      <c r="BY617" s="1398"/>
      <c r="BZ617" s="1398"/>
      <c r="CA617" s="1398"/>
      <c r="CB617" s="1398"/>
      <c r="CC617" s="1398"/>
      <c r="CD617" s="1398"/>
      <c r="CE617" s="1398"/>
      <c r="CF617" s="1398"/>
      <c r="CG617" s="1398"/>
      <c r="CH617" s="1398"/>
      <c r="CI617" s="1398"/>
      <c r="CJ617" s="1398"/>
      <c r="CK617" s="1398"/>
      <c r="CL617" s="1398"/>
      <c r="CM617" s="1398"/>
      <c r="CN617" s="1398"/>
      <c r="CO617" s="1398"/>
      <c r="CP617" s="1398"/>
      <c r="CQ617" s="1398"/>
      <c r="CR617" s="1398"/>
      <c r="CS617" s="1398"/>
      <c r="CT617" s="1398"/>
      <c r="CU617" s="1398"/>
      <c r="CV617" s="1398"/>
      <c r="CW617" s="1398"/>
      <c r="CX617" s="1398"/>
      <c r="CY617" s="1398"/>
      <c r="CZ617" s="1398"/>
      <c r="DA617" s="1398"/>
      <c r="DB617" s="1398"/>
      <c r="DC617" s="1398"/>
      <c r="DD617" s="1398"/>
      <c r="DE617" s="1398"/>
      <c r="DF617" s="1398"/>
      <c r="DG617" s="1398"/>
      <c r="DH617" s="1398"/>
      <c r="DI617" s="1398"/>
      <c r="DJ617" s="1398"/>
      <c r="DK617" s="1398"/>
      <c r="DL617" s="1398"/>
      <c r="DM617" s="1398"/>
      <c r="DN617" s="1398"/>
      <c r="DO617" s="1398"/>
      <c r="DP617" s="1398"/>
      <c r="DQ617" s="1398"/>
      <c r="DR617" s="1398"/>
      <c r="DS617" s="1398"/>
      <c r="DT617" s="1398"/>
      <c r="DU617" s="1398"/>
      <c r="DV617" s="1398"/>
    </row>
    <row r="618" spans="1:126" s="1399" customFormat="1" ht="45">
      <c r="A618" s="2494"/>
      <c r="B618" s="1666">
        <v>2184</v>
      </c>
      <c r="C618" s="1673" t="s">
        <v>49</v>
      </c>
      <c r="D618" s="1396" t="s">
        <v>2587</v>
      </c>
      <c r="E618" s="1396" t="s">
        <v>2100</v>
      </c>
      <c r="F618" s="1396" t="s">
        <v>2108</v>
      </c>
      <c r="G618" s="1397" t="s">
        <v>2584</v>
      </c>
      <c r="H618" s="1435">
        <f>(('Equipment Results Matrix'!$R$1345*18)+(208*'Equipment Results Matrix'!$R$1346)+'Equipment Results Matrix'!$R$1347+'Equipment Results Matrix'!$R$1349+'Equipment Results Matrix'!$R$1351+'Equipment Results Matrix'!$R$1353+'Equipment Results Matrix'!$T$1352)+((208*'Equipment Results Matrix'!$R$1143)+(120*'Equipment Results Matrix'!$R$1144)+(3500*'Equipment Results Matrix'!$R$1145)+(90*'Equipment Results Matrix'!$R$1146)+'Equipment Results Matrix'!$R$1147+'Equipment Results Matrix'!$R$1150+'Equipment Results Matrix'!$R$1153+'Equipment Results Matrix'!$R$1156+'Equipment Results Matrix'!$R$1159+'Equipment Results Matrix'!$T$1150)</f>
        <v>251.76420782247186</v>
      </c>
      <c r="I618" s="1436">
        <f>'Labor Results Matrix'!$E$853+'Labor Results Matrix'!$E$652</f>
        <v>1.57917</v>
      </c>
      <c r="J618" s="1437">
        <f>AVERAGE('Labor Results Matrix'!$G$652,'Labor Results Matrix'!$G$853)*(1+AVERAGE('Labor Results Matrix'!$K$853,'Labor Results Matrix'!$K$651))</f>
        <v>72.005668760628666</v>
      </c>
      <c r="K618" s="1437">
        <f t="shared" ref="K618:K625" si="250">I618*J618</f>
        <v>113.70919193672196</v>
      </c>
      <c r="L618" s="1437">
        <f>'Labor Results Matrix'!$I$853*(1+'Labor Results Matrix'!$K$853)</f>
        <v>35.180719999999994</v>
      </c>
      <c r="M618" s="1437">
        <f t="shared" ref="M618:M625" si="251">H618+K618+L618</f>
        <v>400.65411975919386</v>
      </c>
      <c r="N618" s="1464">
        <f>M618-$M$617</f>
        <v>0</v>
      </c>
      <c r="O618" s="1438"/>
      <c r="P618" s="1439"/>
      <c r="Q618" s="1439"/>
      <c r="R618" s="1439"/>
      <c r="S618" s="1439"/>
      <c r="T618" s="1439"/>
      <c r="U618" s="1439"/>
      <c r="V618" s="1682"/>
      <c r="W618" s="1398"/>
      <c r="X618" s="1398"/>
      <c r="Y618" s="1398"/>
      <c r="Z618" s="1398"/>
      <c r="AA618" s="1398"/>
      <c r="AB618" s="1398"/>
      <c r="AC618" s="1398"/>
      <c r="AD618" s="1398"/>
      <c r="AE618" s="1398"/>
      <c r="AF618" s="1398"/>
      <c r="AG618" s="1398"/>
      <c r="AH618" s="1398"/>
      <c r="AI618" s="1398"/>
      <c r="AJ618" s="1398"/>
      <c r="AK618" s="1398"/>
      <c r="AL618" s="1398"/>
      <c r="AM618" s="1398"/>
      <c r="AN618" s="1398"/>
      <c r="AO618" s="1398"/>
      <c r="AP618" s="1398"/>
      <c r="AQ618" s="1398"/>
      <c r="AR618" s="1398"/>
      <c r="AS618" s="1398"/>
      <c r="AT618" s="1398"/>
      <c r="AU618" s="1398"/>
      <c r="AV618" s="1398"/>
      <c r="AW618" s="1398"/>
      <c r="AX618" s="1398"/>
      <c r="AY618" s="1398"/>
      <c r="AZ618" s="1398"/>
      <c r="BA618" s="1398"/>
      <c r="BB618" s="1398"/>
      <c r="BC618" s="1398"/>
      <c r="BD618" s="1398"/>
      <c r="BE618" s="1398"/>
      <c r="BF618" s="1398"/>
      <c r="BG618" s="1398"/>
      <c r="BH618" s="1398"/>
      <c r="BI618" s="1398"/>
      <c r="BJ618" s="1398"/>
      <c r="BK618" s="1398"/>
      <c r="BL618" s="1398"/>
      <c r="BM618" s="1398"/>
      <c r="BN618" s="1398"/>
      <c r="BO618" s="1398"/>
      <c r="BP618" s="1398"/>
      <c r="BQ618" s="1398"/>
      <c r="BR618" s="1398"/>
      <c r="BS618" s="1398"/>
      <c r="BT618" s="1398"/>
      <c r="BU618" s="1398"/>
      <c r="BV618" s="1398"/>
      <c r="BW618" s="1398"/>
      <c r="BX618" s="1398"/>
      <c r="BY618" s="1398"/>
      <c r="BZ618" s="1398"/>
      <c r="CA618" s="1398"/>
      <c r="CB618" s="1398"/>
      <c r="CC618" s="1398"/>
      <c r="CD618" s="1398"/>
      <c r="CE618" s="1398"/>
      <c r="CF618" s="1398"/>
      <c r="CG618" s="1398"/>
      <c r="CH618" s="1398"/>
      <c r="CI618" s="1398"/>
      <c r="CJ618" s="1398"/>
      <c r="CK618" s="1398"/>
      <c r="CL618" s="1398"/>
      <c r="CM618" s="1398"/>
      <c r="CN618" s="1398"/>
      <c r="CO618" s="1398"/>
      <c r="CP618" s="1398"/>
      <c r="CQ618" s="1398"/>
      <c r="CR618" s="1398"/>
      <c r="CS618" s="1398"/>
      <c r="CT618" s="1398"/>
      <c r="CU618" s="1398"/>
      <c r="CV618" s="1398"/>
      <c r="CW618" s="1398"/>
      <c r="CX618" s="1398"/>
      <c r="CY618" s="1398"/>
      <c r="CZ618" s="1398"/>
      <c r="DA618" s="1398"/>
      <c r="DB618" s="1398"/>
      <c r="DC618" s="1398"/>
      <c r="DD618" s="1398"/>
      <c r="DE618" s="1398"/>
      <c r="DF618" s="1398"/>
      <c r="DG618" s="1398"/>
      <c r="DH618" s="1398"/>
      <c r="DI618" s="1398"/>
      <c r="DJ618" s="1398"/>
      <c r="DK618" s="1398"/>
      <c r="DL618" s="1398"/>
      <c r="DM618" s="1398"/>
      <c r="DN618" s="1398"/>
      <c r="DO618" s="1398"/>
      <c r="DP618" s="1398"/>
      <c r="DQ618" s="1398"/>
      <c r="DR618" s="1398"/>
      <c r="DS618" s="1398"/>
      <c r="DT618" s="1398"/>
      <c r="DU618" s="1398"/>
      <c r="DV618" s="1398"/>
    </row>
    <row r="619" spans="1:126" s="1399" customFormat="1" ht="45">
      <c r="A619" s="2494"/>
      <c r="B619" s="1666">
        <v>2185</v>
      </c>
      <c r="C619" s="1673" t="s">
        <v>49</v>
      </c>
      <c r="D619" s="1396" t="s">
        <v>2588</v>
      </c>
      <c r="E619" s="1396" t="s">
        <v>2100</v>
      </c>
      <c r="F619" s="1396" t="s">
        <v>2108</v>
      </c>
      <c r="G619" s="1397" t="s">
        <v>2584</v>
      </c>
      <c r="H619" s="1435">
        <f>(('Equipment Results Matrix'!$R$1345*18)+(208*'Equipment Results Matrix'!$R$1346)+'Equipment Results Matrix'!$R$1347+'Equipment Results Matrix'!$R$1349+'Equipment Results Matrix'!$R$1351+'Equipment Results Matrix'!$R$1353+'Equipment Results Matrix'!$T$1352)+((208*'Equipment Results Matrix'!$R$1143)+(120*'Equipment Results Matrix'!$R$1144)+(3500*'Equipment Results Matrix'!$R$1145)+(90*'Equipment Results Matrix'!$R$1146)+'Equipment Results Matrix'!$R$1147+'Equipment Results Matrix'!$R$1150+'Equipment Results Matrix'!$R$1153+'Equipment Results Matrix'!$R$1156+'Equipment Results Matrix'!$R$1159+'Equipment Results Matrix'!$T$1150)</f>
        <v>251.76420782247186</v>
      </c>
      <c r="I619" s="1436">
        <f>'Labor Results Matrix'!$E$853+'Labor Results Matrix'!$E$652</f>
        <v>1.57917</v>
      </c>
      <c r="J619" s="1437">
        <f>AVERAGE('Labor Results Matrix'!$G$652,'Labor Results Matrix'!$G$853)*(1+AVERAGE('Labor Results Matrix'!$K$853,'Labor Results Matrix'!$K$651))</f>
        <v>72.005668760628666</v>
      </c>
      <c r="K619" s="1437">
        <f t="shared" si="250"/>
        <v>113.70919193672196</v>
      </c>
      <c r="L619" s="1437">
        <f>'Labor Results Matrix'!$I$853*(1+'Labor Results Matrix'!$K$853)</f>
        <v>35.180719999999994</v>
      </c>
      <c r="M619" s="1437">
        <f t="shared" si="251"/>
        <v>400.65411975919386</v>
      </c>
      <c r="N619" s="1464">
        <f>M619-$M$617</f>
        <v>0</v>
      </c>
      <c r="O619" s="1438"/>
      <c r="P619" s="1439"/>
      <c r="Q619" s="1439"/>
      <c r="R619" s="1439"/>
      <c r="S619" s="1439"/>
      <c r="T619" s="1439"/>
      <c r="U619" s="1439"/>
      <c r="V619" s="1682"/>
      <c r="W619" s="1398"/>
      <c r="X619" s="1398"/>
      <c r="Y619" s="1398"/>
      <c r="Z619" s="1398"/>
      <c r="AA619" s="1398"/>
      <c r="AB619" s="1398"/>
      <c r="AC619" s="1398"/>
      <c r="AD619" s="1398"/>
      <c r="AE619" s="1398"/>
      <c r="AF619" s="1398"/>
      <c r="AG619" s="1398"/>
      <c r="AH619" s="1398"/>
      <c r="AI619" s="1398"/>
      <c r="AJ619" s="1398"/>
      <c r="AK619" s="1398"/>
      <c r="AL619" s="1398"/>
      <c r="AM619" s="1398"/>
      <c r="AN619" s="1398"/>
      <c r="AO619" s="1398"/>
      <c r="AP619" s="1398"/>
      <c r="AQ619" s="1398"/>
      <c r="AR619" s="1398"/>
      <c r="AS619" s="1398"/>
      <c r="AT619" s="1398"/>
      <c r="AU619" s="1398"/>
      <c r="AV619" s="1398"/>
      <c r="AW619" s="1398"/>
      <c r="AX619" s="1398"/>
      <c r="AY619" s="1398"/>
      <c r="AZ619" s="1398"/>
      <c r="BA619" s="1398"/>
      <c r="BB619" s="1398"/>
      <c r="BC619" s="1398"/>
      <c r="BD619" s="1398"/>
      <c r="BE619" s="1398"/>
      <c r="BF619" s="1398"/>
      <c r="BG619" s="1398"/>
      <c r="BH619" s="1398"/>
      <c r="BI619" s="1398"/>
      <c r="BJ619" s="1398"/>
      <c r="BK619" s="1398"/>
      <c r="BL619" s="1398"/>
      <c r="BM619" s="1398"/>
      <c r="BN619" s="1398"/>
      <c r="BO619" s="1398"/>
      <c r="BP619" s="1398"/>
      <c r="BQ619" s="1398"/>
      <c r="BR619" s="1398"/>
      <c r="BS619" s="1398"/>
      <c r="BT619" s="1398"/>
      <c r="BU619" s="1398"/>
      <c r="BV619" s="1398"/>
      <c r="BW619" s="1398"/>
      <c r="BX619" s="1398"/>
      <c r="BY619" s="1398"/>
      <c r="BZ619" s="1398"/>
      <c r="CA619" s="1398"/>
      <c r="CB619" s="1398"/>
      <c r="CC619" s="1398"/>
      <c r="CD619" s="1398"/>
      <c r="CE619" s="1398"/>
      <c r="CF619" s="1398"/>
      <c r="CG619" s="1398"/>
      <c r="CH619" s="1398"/>
      <c r="CI619" s="1398"/>
      <c r="CJ619" s="1398"/>
      <c r="CK619" s="1398"/>
      <c r="CL619" s="1398"/>
      <c r="CM619" s="1398"/>
      <c r="CN619" s="1398"/>
      <c r="CO619" s="1398"/>
      <c r="CP619" s="1398"/>
      <c r="CQ619" s="1398"/>
      <c r="CR619" s="1398"/>
      <c r="CS619" s="1398"/>
      <c r="CT619" s="1398"/>
      <c r="CU619" s="1398"/>
      <c r="CV619" s="1398"/>
      <c r="CW619" s="1398"/>
      <c r="CX619" s="1398"/>
      <c r="CY619" s="1398"/>
      <c r="CZ619" s="1398"/>
      <c r="DA619" s="1398"/>
      <c r="DB619" s="1398"/>
      <c r="DC619" s="1398"/>
      <c r="DD619" s="1398"/>
      <c r="DE619" s="1398"/>
      <c r="DF619" s="1398"/>
      <c r="DG619" s="1398"/>
      <c r="DH619" s="1398"/>
      <c r="DI619" s="1398"/>
      <c r="DJ619" s="1398"/>
      <c r="DK619" s="1398"/>
      <c r="DL619" s="1398"/>
      <c r="DM619" s="1398"/>
      <c r="DN619" s="1398"/>
      <c r="DO619" s="1398"/>
      <c r="DP619" s="1398"/>
      <c r="DQ619" s="1398"/>
      <c r="DR619" s="1398"/>
      <c r="DS619" s="1398"/>
      <c r="DT619" s="1398"/>
      <c r="DU619" s="1398"/>
      <c r="DV619" s="1398"/>
    </row>
    <row r="620" spans="1:126" s="1399" customFormat="1" ht="45">
      <c r="A620" s="2494"/>
      <c r="B620" s="1666" t="s">
        <v>2582</v>
      </c>
      <c r="C620" s="1673" t="s">
        <v>47</v>
      </c>
      <c r="D620" s="1396" t="s">
        <v>2591</v>
      </c>
      <c r="E620" s="1396" t="s">
        <v>2100</v>
      </c>
      <c r="F620" s="1396" t="s">
        <v>2108</v>
      </c>
      <c r="G620" s="1397" t="s">
        <v>2584</v>
      </c>
      <c r="H620" s="1435">
        <f>(('Equipment Results Matrix'!$R$1345*18)+(288*'Equipment Results Matrix'!$R$1346)+'Equipment Results Matrix'!$R$1347+'Equipment Results Matrix'!$R$1349+'Equipment Results Matrix'!$R$1351+'Equipment Results Matrix'!$R$1353+'Equipment Results Matrix'!$T$1352)+((288*'Equipment Results Matrix'!$R$1143)+(120*'Equipment Results Matrix'!$R$1144)+(3500*'Equipment Results Matrix'!$R$1145)+(90*'Equipment Results Matrix'!$R$1146)+'Equipment Results Matrix'!$R$1147+'Equipment Results Matrix'!$R$1150+'Equipment Results Matrix'!$R$1153+'Equipment Results Matrix'!$R$1156+'Equipment Results Matrix'!$R$1159+'Equipment Results Matrix'!$T$1150)</f>
        <v>258.07476782247187</v>
      </c>
      <c r="I620" s="1436">
        <f>'Labor Results Matrix'!$E$853+'Labor Results Matrix'!$E$652</f>
        <v>1.57917</v>
      </c>
      <c r="J620" s="1437">
        <f>AVERAGE('Labor Results Matrix'!$G$652,'Labor Results Matrix'!$G$853)*(1+AVERAGE('Labor Results Matrix'!$K$853,'Labor Results Matrix'!$K$651))</f>
        <v>72.005668760628666</v>
      </c>
      <c r="K620" s="1437">
        <f t="shared" si="250"/>
        <v>113.70919193672196</v>
      </c>
      <c r="L620" s="1437">
        <f>'Labor Results Matrix'!$I$853*(1+'Labor Results Matrix'!$K$853)</f>
        <v>35.180719999999994</v>
      </c>
      <c r="M620" s="1437">
        <f t="shared" si="251"/>
        <v>406.96467975919387</v>
      </c>
      <c r="N620" s="1463" t="s">
        <v>40</v>
      </c>
      <c r="O620" s="1438"/>
      <c r="P620" s="1439"/>
      <c r="Q620" s="1439"/>
      <c r="R620" s="1439"/>
      <c r="S620" s="1439"/>
      <c r="T620" s="1439"/>
      <c r="U620" s="1439"/>
      <c r="V620" s="1682"/>
      <c r="W620" s="1398"/>
      <c r="X620" s="1398"/>
      <c r="Y620" s="1398"/>
      <c r="Z620" s="1398"/>
      <c r="AA620" s="1398"/>
      <c r="AB620" s="1398"/>
      <c r="AC620" s="1398"/>
      <c r="AD620" s="1398"/>
      <c r="AE620" s="1398"/>
      <c r="AF620" s="1398"/>
      <c r="AG620" s="1398"/>
      <c r="AH620" s="1398"/>
      <c r="AI620" s="1398"/>
      <c r="AJ620" s="1398"/>
      <c r="AK620" s="1398"/>
      <c r="AL620" s="1398"/>
      <c r="AM620" s="1398"/>
      <c r="AN620" s="1398"/>
      <c r="AO620" s="1398"/>
      <c r="AP620" s="1398"/>
      <c r="AQ620" s="1398"/>
      <c r="AR620" s="1398"/>
      <c r="AS620" s="1398"/>
      <c r="AT620" s="1398"/>
      <c r="AU620" s="1398"/>
      <c r="AV620" s="1398"/>
      <c r="AW620" s="1398"/>
      <c r="AX620" s="1398"/>
      <c r="AY620" s="1398"/>
      <c r="AZ620" s="1398"/>
      <c r="BA620" s="1398"/>
      <c r="BB620" s="1398"/>
      <c r="BC620" s="1398"/>
      <c r="BD620" s="1398"/>
      <c r="BE620" s="1398"/>
      <c r="BF620" s="1398"/>
      <c r="BG620" s="1398"/>
      <c r="BH620" s="1398"/>
      <c r="BI620" s="1398"/>
      <c r="BJ620" s="1398"/>
      <c r="BK620" s="1398"/>
      <c r="BL620" s="1398"/>
      <c r="BM620" s="1398"/>
      <c r="BN620" s="1398"/>
      <c r="BO620" s="1398"/>
      <c r="BP620" s="1398"/>
      <c r="BQ620" s="1398"/>
      <c r="BR620" s="1398"/>
      <c r="BS620" s="1398"/>
      <c r="BT620" s="1398"/>
      <c r="BU620" s="1398"/>
      <c r="BV620" s="1398"/>
      <c r="BW620" s="1398"/>
      <c r="BX620" s="1398"/>
      <c r="BY620" s="1398"/>
      <c r="BZ620" s="1398"/>
      <c r="CA620" s="1398"/>
      <c r="CB620" s="1398"/>
      <c r="CC620" s="1398"/>
      <c r="CD620" s="1398"/>
      <c r="CE620" s="1398"/>
      <c r="CF620" s="1398"/>
      <c r="CG620" s="1398"/>
      <c r="CH620" s="1398"/>
      <c r="CI620" s="1398"/>
      <c r="CJ620" s="1398"/>
      <c r="CK620" s="1398"/>
      <c r="CL620" s="1398"/>
      <c r="CM620" s="1398"/>
      <c r="CN620" s="1398"/>
      <c r="CO620" s="1398"/>
      <c r="CP620" s="1398"/>
      <c r="CQ620" s="1398"/>
      <c r="CR620" s="1398"/>
      <c r="CS620" s="1398"/>
      <c r="CT620" s="1398"/>
      <c r="CU620" s="1398"/>
      <c r="CV620" s="1398"/>
      <c r="CW620" s="1398"/>
      <c r="CX620" s="1398"/>
      <c r="CY620" s="1398"/>
      <c r="CZ620" s="1398"/>
      <c r="DA620" s="1398"/>
      <c r="DB620" s="1398"/>
      <c r="DC620" s="1398"/>
      <c r="DD620" s="1398"/>
      <c r="DE620" s="1398"/>
      <c r="DF620" s="1398"/>
      <c r="DG620" s="1398"/>
      <c r="DH620" s="1398"/>
      <c r="DI620" s="1398"/>
      <c r="DJ620" s="1398"/>
      <c r="DK620" s="1398"/>
      <c r="DL620" s="1398"/>
      <c r="DM620" s="1398"/>
      <c r="DN620" s="1398"/>
      <c r="DO620" s="1398"/>
      <c r="DP620" s="1398"/>
      <c r="DQ620" s="1398"/>
      <c r="DR620" s="1398"/>
      <c r="DS620" s="1398"/>
      <c r="DT620" s="1398"/>
      <c r="DU620" s="1398"/>
      <c r="DV620" s="1398"/>
    </row>
    <row r="621" spans="1:126" s="1399" customFormat="1" ht="45">
      <c r="A621" s="2494"/>
      <c r="B621" s="1666">
        <v>2186</v>
      </c>
      <c r="C621" s="1673" t="s">
        <v>49</v>
      </c>
      <c r="D621" s="1396" t="s">
        <v>2589</v>
      </c>
      <c r="E621" s="1396" t="s">
        <v>2100</v>
      </c>
      <c r="F621" s="1396" t="s">
        <v>2108</v>
      </c>
      <c r="G621" s="1397" t="s">
        <v>2584</v>
      </c>
      <c r="H621" s="1435">
        <f>(('Equipment Results Matrix'!$R$1345*18)+(288*'Equipment Results Matrix'!$R$1346)+'Equipment Results Matrix'!$R$1347+'Equipment Results Matrix'!$R$1349+'Equipment Results Matrix'!$R$1351+'Equipment Results Matrix'!$R$1353+'Equipment Results Matrix'!$T$1352)+((288*'Equipment Results Matrix'!$R$1143)+(120*'Equipment Results Matrix'!$R$1144)+(3500*'Equipment Results Matrix'!$R$1145)+(90*'Equipment Results Matrix'!$R$1146)+'Equipment Results Matrix'!$R$1147+'Equipment Results Matrix'!$R$1150+'Equipment Results Matrix'!$R$1153+'Equipment Results Matrix'!$R$1156+'Equipment Results Matrix'!$R$1159+'Equipment Results Matrix'!$T$1150)</f>
        <v>258.07476782247187</v>
      </c>
      <c r="I621" s="1436">
        <f>'Labor Results Matrix'!$E$853+'Labor Results Matrix'!$E$652</f>
        <v>1.57917</v>
      </c>
      <c r="J621" s="1437">
        <f>AVERAGE('Labor Results Matrix'!$G$652,'Labor Results Matrix'!$G$853)*(1+AVERAGE('Labor Results Matrix'!$K$853,'Labor Results Matrix'!$K$651))</f>
        <v>72.005668760628666</v>
      </c>
      <c r="K621" s="1437">
        <f t="shared" si="250"/>
        <v>113.70919193672196</v>
      </c>
      <c r="L621" s="1437">
        <f>'Labor Results Matrix'!$I$853*(1+'Labor Results Matrix'!$K$853)</f>
        <v>35.180719999999994</v>
      </c>
      <c r="M621" s="1437">
        <f t="shared" si="251"/>
        <v>406.96467975919387</v>
      </c>
      <c r="N621" s="1464">
        <f>M621-$M$620</f>
        <v>0</v>
      </c>
      <c r="O621" s="1438"/>
      <c r="P621" s="1439"/>
      <c r="Q621" s="1439"/>
      <c r="R621" s="1439"/>
      <c r="S621" s="1439"/>
      <c r="T621" s="1439"/>
      <c r="U621" s="1439"/>
      <c r="V621" s="1682"/>
      <c r="W621" s="1398"/>
      <c r="X621" s="1398"/>
      <c r="Y621" s="1398"/>
      <c r="Z621" s="1398"/>
      <c r="AA621" s="1398"/>
      <c r="AB621" s="1398"/>
      <c r="AC621" s="1398"/>
      <c r="AD621" s="1398"/>
      <c r="AE621" s="1398"/>
      <c r="AF621" s="1398"/>
      <c r="AG621" s="1398"/>
      <c r="AH621" s="1398"/>
      <c r="AI621" s="1398"/>
      <c r="AJ621" s="1398"/>
      <c r="AK621" s="1398"/>
      <c r="AL621" s="1398"/>
      <c r="AM621" s="1398"/>
      <c r="AN621" s="1398"/>
      <c r="AO621" s="1398"/>
      <c r="AP621" s="1398"/>
      <c r="AQ621" s="1398"/>
      <c r="AR621" s="1398"/>
      <c r="AS621" s="1398"/>
      <c r="AT621" s="1398"/>
      <c r="AU621" s="1398"/>
      <c r="AV621" s="1398"/>
      <c r="AW621" s="1398"/>
      <c r="AX621" s="1398"/>
      <c r="AY621" s="1398"/>
      <c r="AZ621" s="1398"/>
      <c r="BA621" s="1398"/>
      <c r="BB621" s="1398"/>
      <c r="BC621" s="1398"/>
      <c r="BD621" s="1398"/>
      <c r="BE621" s="1398"/>
      <c r="BF621" s="1398"/>
      <c r="BG621" s="1398"/>
      <c r="BH621" s="1398"/>
      <c r="BI621" s="1398"/>
      <c r="BJ621" s="1398"/>
      <c r="BK621" s="1398"/>
      <c r="BL621" s="1398"/>
      <c r="BM621" s="1398"/>
      <c r="BN621" s="1398"/>
      <c r="BO621" s="1398"/>
      <c r="BP621" s="1398"/>
      <c r="BQ621" s="1398"/>
      <c r="BR621" s="1398"/>
      <c r="BS621" s="1398"/>
      <c r="BT621" s="1398"/>
      <c r="BU621" s="1398"/>
      <c r="BV621" s="1398"/>
      <c r="BW621" s="1398"/>
      <c r="BX621" s="1398"/>
      <c r="BY621" s="1398"/>
      <c r="BZ621" s="1398"/>
      <c r="CA621" s="1398"/>
      <c r="CB621" s="1398"/>
      <c r="CC621" s="1398"/>
      <c r="CD621" s="1398"/>
      <c r="CE621" s="1398"/>
      <c r="CF621" s="1398"/>
      <c r="CG621" s="1398"/>
      <c r="CH621" s="1398"/>
      <c r="CI621" s="1398"/>
      <c r="CJ621" s="1398"/>
      <c r="CK621" s="1398"/>
      <c r="CL621" s="1398"/>
      <c r="CM621" s="1398"/>
      <c r="CN621" s="1398"/>
      <c r="CO621" s="1398"/>
      <c r="CP621" s="1398"/>
      <c r="CQ621" s="1398"/>
      <c r="CR621" s="1398"/>
      <c r="CS621" s="1398"/>
      <c r="CT621" s="1398"/>
      <c r="CU621" s="1398"/>
      <c r="CV621" s="1398"/>
      <c r="CW621" s="1398"/>
      <c r="CX621" s="1398"/>
      <c r="CY621" s="1398"/>
      <c r="CZ621" s="1398"/>
      <c r="DA621" s="1398"/>
      <c r="DB621" s="1398"/>
      <c r="DC621" s="1398"/>
      <c r="DD621" s="1398"/>
      <c r="DE621" s="1398"/>
      <c r="DF621" s="1398"/>
      <c r="DG621" s="1398"/>
      <c r="DH621" s="1398"/>
      <c r="DI621" s="1398"/>
      <c r="DJ621" s="1398"/>
      <c r="DK621" s="1398"/>
      <c r="DL621" s="1398"/>
      <c r="DM621" s="1398"/>
      <c r="DN621" s="1398"/>
      <c r="DO621" s="1398"/>
      <c r="DP621" s="1398"/>
      <c r="DQ621" s="1398"/>
      <c r="DR621" s="1398"/>
      <c r="DS621" s="1398"/>
      <c r="DT621" s="1398"/>
      <c r="DU621" s="1398"/>
      <c r="DV621" s="1398"/>
    </row>
    <row r="622" spans="1:126" s="1399" customFormat="1" ht="45">
      <c r="A622" s="2494"/>
      <c r="B622" s="1666">
        <v>2187</v>
      </c>
      <c r="C622" s="1673" t="s">
        <v>49</v>
      </c>
      <c r="D622" s="1396" t="s">
        <v>2589</v>
      </c>
      <c r="E622" s="1396" t="s">
        <v>2100</v>
      </c>
      <c r="F622" s="1396" t="s">
        <v>2108</v>
      </c>
      <c r="G622" s="1397" t="s">
        <v>2584</v>
      </c>
      <c r="H622" s="1435">
        <f>(('Equipment Results Matrix'!$R$1345*18)+(288*'Equipment Results Matrix'!$R$1346)+'Equipment Results Matrix'!$R$1347+'Equipment Results Matrix'!$R$1349+'Equipment Results Matrix'!$R$1351+'Equipment Results Matrix'!$R$1353+'Equipment Results Matrix'!$T$1352)+((288*'Equipment Results Matrix'!$R$1143)+(120*'Equipment Results Matrix'!$R$1144)+(3500*'Equipment Results Matrix'!$R$1145)+(90*'Equipment Results Matrix'!$R$1146)+'Equipment Results Matrix'!$R$1147+'Equipment Results Matrix'!$R$1150+'Equipment Results Matrix'!$R$1153+'Equipment Results Matrix'!$R$1156+'Equipment Results Matrix'!$R$1159+'Equipment Results Matrix'!$T$1150)</f>
        <v>258.07476782247187</v>
      </c>
      <c r="I622" s="1436">
        <f>'Labor Results Matrix'!$E$853+'Labor Results Matrix'!$E$652</f>
        <v>1.57917</v>
      </c>
      <c r="J622" s="1437">
        <f>AVERAGE('Labor Results Matrix'!$G$652,'Labor Results Matrix'!$G$853)*(1+AVERAGE('Labor Results Matrix'!$K$853,'Labor Results Matrix'!$K$651))</f>
        <v>72.005668760628666</v>
      </c>
      <c r="K622" s="1437">
        <f t="shared" si="250"/>
        <v>113.70919193672196</v>
      </c>
      <c r="L622" s="1437">
        <f>'Labor Results Matrix'!$I$853*(1+'Labor Results Matrix'!$K$853)</f>
        <v>35.180719999999994</v>
      </c>
      <c r="M622" s="1437">
        <f t="shared" si="251"/>
        <v>406.96467975919387</v>
      </c>
      <c r="N622" s="1464">
        <f>M622-$M$620</f>
        <v>0</v>
      </c>
      <c r="O622" s="1438"/>
      <c r="P622" s="1439"/>
      <c r="Q622" s="1439"/>
      <c r="R622" s="1439"/>
      <c r="S622" s="1439"/>
      <c r="T622" s="1439"/>
      <c r="U622" s="1439"/>
      <c r="V622" s="1682"/>
      <c r="W622" s="1398"/>
      <c r="X622" s="1398"/>
      <c r="Y622" s="1398"/>
      <c r="Z622" s="1398"/>
      <c r="AA622" s="1398"/>
      <c r="AB622" s="1398"/>
      <c r="AC622" s="1398"/>
      <c r="AD622" s="1398"/>
      <c r="AE622" s="1398"/>
      <c r="AF622" s="1398"/>
      <c r="AG622" s="1398"/>
      <c r="AH622" s="1398"/>
      <c r="AI622" s="1398"/>
      <c r="AJ622" s="1398"/>
      <c r="AK622" s="1398"/>
      <c r="AL622" s="1398"/>
      <c r="AM622" s="1398"/>
      <c r="AN622" s="1398"/>
      <c r="AO622" s="1398"/>
      <c r="AP622" s="1398"/>
      <c r="AQ622" s="1398"/>
      <c r="AR622" s="1398"/>
      <c r="AS622" s="1398"/>
      <c r="AT622" s="1398"/>
      <c r="AU622" s="1398"/>
      <c r="AV622" s="1398"/>
      <c r="AW622" s="1398"/>
      <c r="AX622" s="1398"/>
      <c r="AY622" s="1398"/>
      <c r="AZ622" s="1398"/>
      <c r="BA622" s="1398"/>
      <c r="BB622" s="1398"/>
      <c r="BC622" s="1398"/>
      <c r="BD622" s="1398"/>
      <c r="BE622" s="1398"/>
      <c r="BF622" s="1398"/>
      <c r="BG622" s="1398"/>
      <c r="BH622" s="1398"/>
      <c r="BI622" s="1398"/>
      <c r="BJ622" s="1398"/>
      <c r="BK622" s="1398"/>
      <c r="BL622" s="1398"/>
      <c r="BM622" s="1398"/>
      <c r="BN622" s="1398"/>
      <c r="BO622" s="1398"/>
      <c r="BP622" s="1398"/>
      <c r="BQ622" s="1398"/>
      <c r="BR622" s="1398"/>
      <c r="BS622" s="1398"/>
      <c r="BT622" s="1398"/>
      <c r="BU622" s="1398"/>
      <c r="BV622" s="1398"/>
      <c r="BW622" s="1398"/>
      <c r="BX622" s="1398"/>
      <c r="BY622" s="1398"/>
      <c r="BZ622" s="1398"/>
      <c r="CA622" s="1398"/>
      <c r="CB622" s="1398"/>
      <c r="CC622" s="1398"/>
      <c r="CD622" s="1398"/>
      <c r="CE622" s="1398"/>
      <c r="CF622" s="1398"/>
      <c r="CG622" s="1398"/>
      <c r="CH622" s="1398"/>
      <c r="CI622" s="1398"/>
      <c r="CJ622" s="1398"/>
      <c r="CK622" s="1398"/>
      <c r="CL622" s="1398"/>
      <c r="CM622" s="1398"/>
      <c r="CN622" s="1398"/>
      <c r="CO622" s="1398"/>
      <c r="CP622" s="1398"/>
      <c r="CQ622" s="1398"/>
      <c r="CR622" s="1398"/>
      <c r="CS622" s="1398"/>
      <c r="CT622" s="1398"/>
      <c r="CU622" s="1398"/>
      <c r="CV622" s="1398"/>
      <c r="CW622" s="1398"/>
      <c r="CX622" s="1398"/>
      <c r="CY622" s="1398"/>
      <c r="CZ622" s="1398"/>
      <c r="DA622" s="1398"/>
      <c r="DB622" s="1398"/>
      <c r="DC622" s="1398"/>
      <c r="DD622" s="1398"/>
      <c r="DE622" s="1398"/>
      <c r="DF622" s="1398"/>
      <c r="DG622" s="1398"/>
      <c r="DH622" s="1398"/>
      <c r="DI622" s="1398"/>
      <c r="DJ622" s="1398"/>
      <c r="DK622" s="1398"/>
      <c r="DL622" s="1398"/>
      <c r="DM622" s="1398"/>
      <c r="DN622" s="1398"/>
      <c r="DO622" s="1398"/>
      <c r="DP622" s="1398"/>
      <c r="DQ622" s="1398"/>
      <c r="DR622" s="1398"/>
      <c r="DS622" s="1398"/>
      <c r="DT622" s="1398"/>
      <c r="DU622" s="1398"/>
      <c r="DV622" s="1398"/>
    </row>
    <row r="623" spans="1:126" s="1399" customFormat="1" ht="45">
      <c r="A623" s="2494"/>
      <c r="B623" s="1666" t="s">
        <v>2583</v>
      </c>
      <c r="C623" s="1673" t="s">
        <v>47</v>
      </c>
      <c r="D623" s="1396" t="s">
        <v>2592</v>
      </c>
      <c r="E623" s="1396" t="s">
        <v>2100</v>
      </c>
      <c r="F623" s="1396" t="s">
        <v>2108</v>
      </c>
      <c r="G623" s="1397" t="s">
        <v>2584</v>
      </c>
      <c r="H623" s="1435">
        <f>(('Equipment Results Matrix'!$R$1345*18)+(400*'Equipment Results Matrix'!$R$1346)+'Equipment Results Matrix'!$R$1347+'Equipment Results Matrix'!$R$1349+'Equipment Results Matrix'!$R$1351+'Equipment Results Matrix'!$R$1353+'Equipment Results Matrix'!$T$1352)+((400*'Equipment Results Matrix'!$R$1143)+(120*'Equipment Results Matrix'!$R$1144)+(3500*'Equipment Results Matrix'!$R$1145)+(90*'Equipment Results Matrix'!$R$1146)+'Equipment Results Matrix'!$R$1147+'Equipment Results Matrix'!$R$1150+'Equipment Results Matrix'!$R$1153+'Equipment Results Matrix'!$R$1156+'Equipment Results Matrix'!$R$1159+'Equipment Results Matrix'!$T$1150)</f>
        <v>266.90955182247194</v>
      </c>
      <c r="I623" s="1436">
        <f>'Labor Results Matrix'!$E$853+'Labor Results Matrix'!$E$652</f>
        <v>1.57917</v>
      </c>
      <c r="J623" s="1437">
        <f>AVERAGE('Labor Results Matrix'!$G$652,'Labor Results Matrix'!$G$853)*(1+AVERAGE('Labor Results Matrix'!$K$853,'Labor Results Matrix'!$K$651))</f>
        <v>72.005668760628666</v>
      </c>
      <c r="K623" s="1437">
        <f t="shared" si="250"/>
        <v>113.70919193672196</v>
      </c>
      <c r="L623" s="1437">
        <f>'Labor Results Matrix'!$I$853*(1+'Labor Results Matrix'!$K$853)</f>
        <v>35.180719999999994</v>
      </c>
      <c r="M623" s="1437">
        <f t="shared" si="251"/>
        <v>415.79946375919388</v>
      </c>
      <c r="N623" s="1463" t="s">
        <v>40</v>
      </c>
      <c r="O623" s="1438"/>
      <c r="P623" s="1439"/>
      <c r="Q623" s="1439"/>
      <c r="R623" s="1439"/>
      <c r="S623" s="1439"/>
      <c r="T623" s="1439"/>
      <c r="U623" s="1439"/>
      <c r="V623" s="1682"/>
      <c r="W623" s="1398"/>
      <c r="X623" s="1398"/>
      <c r="Y623" s="1398"/>
      <c r="Z623" s="1398"/>
      <c r="AA623" s="1398"/>
      <c r="AB623" s="1398"/>
      <c r="AC623" s="1398"/>
      <c r="AD623" s="1398"/>
      <c r="AE623" s="1398"/>
      <c r="AF623" s="1398"/>
      <c r="AG623" s="1398"/>
      <c r="AH623" s="1398"/>
      <c r="AI623" s="1398"/>
      <c r="AJ623" s="1398"/>
      <c r="AK623" s="1398"/>
      <c r="AL623" s="1398"/>
      <c r="AM623" s="1398"/>
      <c r="AN623" s="1398"/>
      <c r="AO623" s="1398"/>
      <c r="AP623" s="1398"/>
      <c r="AQ623" s="1398"/>
      <c r="AR623" s="1398"/>
      <c r="AS623" s="1398"/>
      <c r="AT623" s="1398"/>
      <c r="AU623" s="1398"/>
      <c r="AV623" s="1398"/>
      <c r="AW623" s="1398"/>
      <c r="AX623" s="1398"/>
      <c r="AY623" s="1398"/>
      <c r="AZ623" s="1398"/>
      <c r="BA623" s="1398"/>
      <c r="BB623" s="1398"/>
      <c r="BC623" s="1398"/>
      <c r="BD623" s="1398"/>
      <c r="BE623" s="1398"/>
      <c r="BF623" s="1398"/>
      <c r="BG623" s="1398"/>
      <c r="BH623" s="1398"/>
      <c r="BI623" s="1398"/>
      <c r="BJ623" s="1398"/>
      <c r="BK623" s="1398"/>
      <c r="BL623" s="1398"/>
      <c r="BM623" s="1398"/>
      <c r="BN623" s="1398"/>
      <c r="BO623" s="1398"/>
      <c r="BP623" s="1398"/>
      <c r="BQ623" s="1398"/>
      <c r="BR623" s="1398"/>
      <c r="BS623" s="1398"/>
      <c r="BT623" s="1398"/>
      <c r="BU623" s="1398"/>
      <c r="BV623" s="1398"/>
      <c r="BW623" s="1398"/>
      <c r="BX623" s="1398"/>
      <c r="BY623" s="1398"/>
      <c r="BZ623" s="1398"/>
      <c r="CA623" s="1398"/>
      <c r="CB623" s="1398"/>
      <c r="CC623" s="1398"/>
      <c r="CD623" s="1398"/>
      <c r="CE623" s="1398"/>
      <c r="CF623" s="1398"/>
      <c r="CG623" s="1398"/>
      <c r="CH623" s="1398"/>
      <c r="CI623" s="1398"/>
      <c r="CJ623" s="1398"/>
      <c r="CK623" s="1398"/>
      <c r="CL623" s="1398"/>
      <c r="CM623" s="1398"/>
      <c r="CN623" s="1398"/>
      <c r="CO623" s="1398"/>
      <c r="CP623" s="1398"/>
      <c r="CQ623" s="1398"/>
      <c r="CR623" s="1398"/>
      <c r="CS623" s="1398"/>
      <c r="CT623" s="1398"/>
      <c r="CU623" s="1398"/>
      <c r="CV623" s="1398"/>
      <c r="CW623" s="1398"/>
      <c r="CX623" s="1398"/>
      <c r="CY623" s="1398"/>
      <c r="CZ623" s="1398"/>
      <c r="DA623" s="1398"/>
      <c r="DB623" s="1398"/>
      <c r="DC623" s="1398"/>
      <c r="DD623" s="1398"/>
      <c r="DE623" s="1398"/>
      <c r="DF623" s="1398"/>
      <c r="DG623" s="1398"/>
      <c r="DH623" s="1398"/>
      <c r="DI623" s="1398"/>
      <c r="DJ623" s="1398"/>
      <c r="DK623" s="1398"/>
      <c r="DL623" s="1398"/>
      <c r="DM623" s="1398"/>
      <c r="DN623" s="1398"/>
      <c r="DO623" s="1398"/>
      <c r="DP623" s="1398"/>
      <c r="DQ623" s="1398"/>
      <c r="DR623" s="1398"/>
      <c r="DS623" s="1398"/>
      <c r="DT623" s="1398"/>
      <c r="DU623" s="1398"/>
      <c r="DV623" s="1398"/>
    </row>
    <row r="624" spans="1:126" s="1399" customFormat="1" ht="45">
      <c r="A624" s="2494"/>
      <c r="B624" s="1666">
        <v>2188</v>
      </c>
      <c r="C624" s="1673" t="s">
        <v>49</v>
      </c>
      <c r="D624" s="1396" t="s">
        <v>2590</v>
      </c>
      <c r="E624" s="1396" t="s">
        <v>2100</v>
      </c>
      <c r="F624" s="1396" t="s">
        <v>2108</v>
      </c>
      <c r="G624" s="1397" t="s">
        <v>2584</v>
      </c>
      <c r="H624" s="1435">
        <f>(('Equipment Results Matrix'!$R$1345*18)+(400*'Equipment Results Matrix'!$R$1346)+'Equipment Results Matrix'!$R$1347+'Equipment Results Matrix'!$R$1349+'Equipment Results Matrix'!$R$1351+'Equipment Results Matrix'!$R$1353+'Equipment Results Matrix'!$T$1352)+((400*'Equipment Results Matrix'!$R$1143)+(120*'Equipment Results Matrix'!$R$1144)+(3500*'Equipment Results Matrix'!$R$1145)+(90*'Equipment Results Matrix'!$R$1146)+'Equipment Results Matrix'!$R$1147+'Equipment Results Matrix'!$R$1150+'Equipment Results Matrix'!$R$1153+'Equipment Results Matrix'!$R$1156+'Equipment Results Matrix'!$R$1159+'Equipment Results Matrix'!$T$1150)</f>
        <v>266.90955182247194</v>
      </c>
      <c r="I624" s="1436">
        <f>'Labor Results Matrix'!$E$853+'Labor Results Matrix'!$E$652</f>
        <v>1.57917</v>
      </c>
      <c r="J624" s="1437">
        <f>AVERAGE('Labor Results Matrix'!$G$652,'Labor Results Matrix'!$G$853)*(1+AVERAGE('Labor Results Matrix'!$K$853,'Labor Results Matrix'!$K$651))</f>
        <v>72.005668760628666</v>
      </c>
      <c r="K624" s="1437">
        <f t="shared" si="250"/>
        <v>113.70919193672196</v>
      </c>
      <c r="L624" s="1437">
        <f>'Labor Results Matrix'!$I$853*(1+'Labor Results Matrix'!$K$853)</f>
        <v>35.180719999999994</v>
      </c>
      <c r="M624" s="1437">
        <f t="shared" si="251"/>
        <v>415.79946375919388</v>
      </c>
      <c r="N624" s="1464">
        <f>M624-$M$623</f>
        <v>0</v>
      </c>
      <c r="O624" s="1438"/>
      <c r="P624" s="1439"/>
      <c r="Q624" s="1439"/>
      <c r="R624" s="1439"/>
      <c r="S624" s="1439"/>
      <c r="T624" s="1439"/>
      <c r="U624" s="1439"/>
      <c r="V624" s="1682"/>
      <c r="W624" s="1398"/>
      <c r="X624" s="1398"/>
      <c r="Y624" s="1398"/>
      <c r="Z624" s="1398"/>
      <c r="AA624" s="1398"/>
      <c r="AB624" s="1398"/>
      <c r="AC624" s="1398"/>
      <c r="AD624" s="1398"/>
      <c r="AE624" s="1398"/>
      <c r="AF624" s="1398"/>
      <c r="AG624" s="1398"/>
      <c r="AH624" s="1398"/>
      <c r="AI624" s="1398"/>
      <c r="AJ624" s="1398"/>
      <c r="AK624" s="1398"/>
      <c r="AL624" s="1398"/>
      <c r="AM624" s="1398"/>
      <c r="AN624" s="1398"/>
      <c r="AO624" s="1398"/>
      <c r="AP624" s="1398"/>
      <c r="AQ624" s="1398"/>
      <c r="AR624" s="1398"/>
      <c r="AS624" s="1398"/>
      <c r="AT624" s="1398"/>
      <c r="AU624" s="1398"/>
      <c r="AV624" s="1398"/>
      <c r="AW624" s="1398"/>
      <c r="AX624" s="1398"/>
      <c r="AY624" s="1398"/>
      <c r="AZ624" s="1398"/>
      <c r="BA624" s="1398"/>
      <c r="BB624" s="1398"/>
      <c r="BC624" s="1398"/>
      <c r="BD624" s="1398"/>
      <c r="BE624" s="1398"/>
      <c r="BF624" s="1398"/>
      <c r="BG624" s="1398"/>
      <c r="BH624" s="1398"/>
      <c r="BI624" s="1398"/>
      <c r="BJ624" s="1398"/>
      <c r="BK624" s="1398"/>
      <c r="BL624" s="1398"/>
      <c r="BM624" s="1398"/>
      <c r="BN624" s="1398"/>
      <c r="BO624" s="1398"/>
      <c r="BP624" s="1398"/>
      <c r="BQ624" s="1398"/>
      <c r="BR624" s="1398"/>
      <c r="BS624" s="1398"/>
      <c r="BT624" s="1398"/>
      <c r="BU624" s="1398"/>
      <c r="BV624" s="1398"/>
      <c r="BW624" s="1398"/>
      <c r="BX624" s="1398"/>
      <c r="BY624" s="1398"/>
      <c r="BZ624" s="1398"/>
      <c r="CA624" s="1398"/>
      <c r="CB624" s="1398"/>
      <c r="CC624" s="1398"/>
      <c r="CD624" s="1398"/>
      <c r="CE624" s="1398"/>
      <c r="CF624" s="1398"/>
      <c r="CG624" s="1398"/>
      <c r="CH624" s="1398"/>
      <c r="CI624" s="1398"/>
      <c r="CJ624" s="1398"/>
      <c r="CK624" s="1398"/>
      <c r="CL624" s="1398"/>
      <c r="CM624" s="1398"/>
      <c r="CN624" s="1398"/>
      <c r="CO624" s="1398"/>
      <c r="CP624" s="1398"/>
      <c r="CQ624" s="1398"/>
      <c r="CR624" s="1398"/>
      <c r="CS624" s="1398"/>
      <c r="CT624" s="1398"/>
      <c r="CU624" s="1398"/>
      <c r="CV624" s="1398"/>
      <c r="CW624" s="1398"/>
      <c r="CX624" s="1398"/>
      <c r="CY624" s="1398"/>
      <c r="CZ624" s="1398"/>
      <c r="DA624" s="1398"/>
      <c r="DB624" s="1398"/>
      <c r="DC624" s="1398"/>
      <c r="DD624" s="1398"/>
      <c r="DE624" s="1398"/>
      <c r="DF624" s="1398"/>
      <c r="DG624" s="1398"/>
      <c r="DH624" s="1398"/>
      <c r="DI624" s="1398"/>
      <c r="DJ624" s="1398"/>
      <c r="DK624" s="1398"/>
      <c r="DL624" s="1398"/>
      <c r="DM624" s="1398"/>
      <c r="DN624" s="1398"/>
      <c r="DO624" s="1398"/>
      <c r="DP624" s="1398"/>
      <c r="DQ624" s="1398"/>
      <c r="DR624" s="1398"/>
      <c r="DS624" s="1398"/>
      <c r="DT624" s="1398"/>
      <c r="DU624" s="1398"/>
      <c r="DV624" s="1398"/>
    </row>
    <row r="625" spans="1:126" s="1399" customFormat="1" ht="45.75" thickBot="1">
      <c r="A625" s="2494"/>
      <c r="B625" s="1666">
        <v>2189</v>
      </c>
      <c r="C625" s="1673" t="s">
        <v>49</v>
      </c>
      <c r="D625" s="1396" t="s">
        <v>2590</v>
      </c>
      <c r="E625" s="1396" t="s">
        <v>2100</v>
      </c>
      <c r="F625" s="1396" t="s">
        <v>2108</v>
      </c>
      <c r="G625" s="1397" t="s">
        <v>2584</v>
      </c>
      <c r="H625" s="1435">
        <f>(('Equipment Results Matrix'!$R$1345*18)+(400*'Equipment Results Matrix'!$R$1346)+'Equipment Results Matrix'!$R$1347+'Equipment Results Matrix'!$R$1349+'Equipment Results Matrix'!$R$1351+'Equipment Results Matrix'!$R$1353+'Equipment Results Matrix'!$T$1352)+((400*'Equipment Results Matrix'!$R$1143)+(120*'Equipment Results Matrix'!$R$1144)+(3500*'Equipment Results Matrix'!$R$1145)+(90*'Equipment Results Matrix'!$R$1146)+'Equipment Results Matrix'!$R$1147+'Equipment Results Matrix'!$R$1150+'Equipment Results Matrix'!$R$1153+'Equipment Results Matrix'!$R$1156+'Equipment Results Matrix'!$R$1159+'Equipment Results Matrix'!$T$1150)</f>
        <v>266.90955182247194</v>
      </c>
      <c r="I625" s="1436">
        <f>'Labor Results Matrix'!$E$853+'Labor Results Matrix'!$E$652</f>
        <v>1.57917</v>
      </c>
      <c r="J625" s="1437">
        <f>AVERAGE('Labor Results Matrix'!$G$652,'Labor Results Matrix'!$G$853)*(1+AVERAGE('Labor Results Matrix'!$K$853,'Labor Results Matrix'!$K$651))</f>
        <v>72.005668760628666</v>
      </c>
      <c r="K625" s="1437">
        <f t="shared" si="250"/>
        <v>113.70919193672196</v>
      </c>
      <c r="L625" s="1437">
        <f>'Labor Results Matrix'!$I$853*(1+'Labor Results Matrix'!$K$853)</f>
        <v>35.180719999999994</v>
      </c>
      <c r="M625" s="1437">
        <f t="shared" si="251"/>
        <v>415.79946375919388</v>
      </c>
      <c r="N625" s="1464">
        <f>M625-$M$623</f>
        <v>0</v>
      </c>
      <c r="O625" s="1438"/>
      <c r="P625" s="1439"/>
      <c r="Q625" s="1439"/>
      <c r="R625" s="1439"/>
      <c r="S625" s="1439"/>
      <c r="T625" s="1439"/>
      <c r="U625" s="1439"/>
      <c r="V625" s="1682"/>
      <c r="W625" s="1398"/>
      <c r="X625" s="1398"/>
      <c r="Y625" s="1398"/>
      <c r="Z625" s="1398"/>
      <c r="AA625" s="1398"/>
      <c r="AB625" s="1398"/>
      <c r="AC625" s="1398"/>
      <c r="AD625" s="1398"/>
      <c r="AE625" s="1398"/>
      <c r="AF625" s="1398"/>
      <c r="AG625" s="1398"/>
      <c r="AH625" s="1398"/>
      <c r="AI625" s="1398"/>
      <c r="AJ625" s="1398"/>
      <c r="AK625" s="1398"/>
      <c r="AL625" s="1398"/>
      <c r="AM625" s="1398"/>
      <c r="AN625" s="1398"/>
      <c r="AO625" s="1398"/>
      <c r="AP625" s="1398"/>
      <c r="AQ625" s="1398"/>
      <c r="AR625" s="1398"/>
      <c r="AS625" s="1398"/>
      <c r="AT625" s="1398"/>
      <c r="AU625" s="1398"/>
      <c r="AV625" s="1398"/>
      <c r="AW625" s="1398"/>
      <c r="AX625" s="1398"/>
      <c r="AY625" s="1398"/>
      <c r="AZ625" s="1398"/>
      <c r="BA625" s="1398"/>
      <c r="BB625" s="1398"/>
      <c r="BC625" s="1398"/>
      <c r="BD625" s="1398"/>
      <c r="BE625" s="1398"/>
      <c r="BF625" s="1398"/>
      <c r="BG625" s="1398"/>
      <c r="BH625" s="1398"/>
      <c r="BI625" s="1398"/>
      <c r="BJ625" s="1398"/>
      <c r="BK625" s="1398"/>
      <c r="BL625" s="1398"/>
      <c r="BM625" s="1398"/>
      <c r="BN625" s="1398"/>
      <c r="BO625" s="1398"/>
      <c r="BP625" s="1398"/>
      <c r="BQ625" s="1398"/>
      <c r="BR625" s="1398"/>
      <c r="BS625" s="1398"/>
      <c r="BT625" s="1398"/>
      <c r="BU625" s="1398"/>
      <c r="BV625" s="1398"/>
      <c r="BW625" s="1398"/>
      <c r="BX625" s="1398"/>
      <c r="BY625" s="1398"/>
      <c r="BZ625" s="1398"/>
      <c r="CA625" s="1398"/>
      <c r="CB625" s="1398"/>
      <c r="CC625" s="1398"/>
      <c r="CD625" s="1398"/>
      <c r="CE625" s="1398"/>
      <c r="CF625" s="1398"/>
      <c r="CG625" s="1398"/>
      <c r="CH625" s="1398"/>
      <c r="CI625" s="1398"/>
      <c r="CJ625" s="1398"/>
      <c r="CK625" s="1398"/>
      <c r="CL625" s="1398"/>
      <c r="CM625" s="1398"/>
      <c r="CN625" s="1398"/>
      <c r="CO625" s="1398"/>
      <c r="CP625" s="1398"/>
      <c r="CQ625" s="1398"/>
      <c r="CR625" s="1398"/>
      <c r="CS625" s="1398"/>
      <c r="CT625" s="1398"/>
      <c r="CU625" s="1398"/>
      <c r="CV625" s="1398"/>
      <c r="CW625" s="1398"/>
      <c r="CX625" s="1398"/>
      <c r="CY625" s="1398"/>
      <c r="CZ625" s="1398"/>
      <c r="DA625" s="1398"/>
      <c r="DB625" s="1398"/>
      <c r="DC625" s="1398"/>
      <c r="DD625" s="1398"/>
      <c r="DE625" s="1398"/>
      <c r="DF625" s="1398"/>
      <c r="DG625" s="1398"/>
      <c r="DH625" s="1398"/>
      <c r="DI625" s="1398"/>
      <c r="DJ625" s="1398"/>
      <c r="DK625" s="1398"/>
      <c r="DL625" s="1398"/>
      <c r="DM625" s="1398"/>
      <c r="DN625" s="1398"/>
      <c r="DO625" s="1398"/>
      <c r="DP625" s="1398"/>
      <c r="DQ625" s="1398"/>
      <c r="DR625" s="1398"/>
      <c r="DS625" s="1398"/>
      <c r="DT625" s="1398"/>
      <c r="DU625" s="1398"/>
      <c r="DV625" s="1398"/>
    </row>
    <row r="626" spans="1:126" s="1479" customFormat="1" ht="19.5" hidden="1" thickBot="1">
      <c r="A626" s="695"/>
      <c r="B626" s="1654"/>
      <c r="C626" s="1654"/>
      <c r="D626" s="1343"/>
      <c r="E626" s="1343"/>
      <c r="F626" s="1343"/>
      <c r="G626" s="1343"/>
      <c r="H626" s="1422"/>
      <c r="I626" s="1447"/>
      <c r="J626" s="1423"/>
      <c r="K626" s="1422"/>
      <c r="L626" s="1527"/>
      <c r="M626" s="1422"/>
      <c r="N626" s="1503"/>
      <c r="O626" s="1413"/>
      <c r="P626" s="1414"/>
      <c r="Q626" s="1414"/>
      <c r="R626" s="1443"/>
      <c r="S626" s="1443"/>
      <c r="T626" s="1488"/>
      <c r="U626" s="1488"/>
      <c r="V626" s="1489"/>
      <c r="W626" s="1490"/>
      <c r="X626" s="1490"/>
      <c r="Y626" s="327"/>
      <c r="Z626" s="327"/>
      <c r="AA626" s="327"/>
      <c r="AB626" s="1490"/>
      <c r="AC626" s="1490"/>
      <c r="AD626" s="1490"/>
      <c r="AE626" s="1490"/>
      <c r="AF626" s="327"/>
      <c r="AG626" s="327"/>
      <c r="AH626" s="327"/>
      <c r="AI626" s="327"/>
      <c r="AJ626" s="327"/>
      <c r="AK626" s="1478"/>
      <c r="AL626" s="1478"/>
      <c r="AM626" s="1478"/>
      <c r="AN626" s="1478"/>
      <c r="AO626" s="1478"/>
      <c r="AP626" s="1478"/>
      <c r="AQ626" s="1478"/>
      <c r="AR626" s="1478"/>
      <c r="AS626" s="1478"/>
      <c r="AT626" s="1478"/>
      <c r="AU626" s="1478"/>
      <c r="AV626" s="1478"/>
      <c r="AW626" s="1478"/>
      <c r="AX626" s="1478"/>
      <c r="AY626" s="1478"/>
      <c r="AZ626" s="1478"/>
      <c r="BA626" s="1478"/>
      <c r="BB626" s="1478"/>
      <c r="BC626" s="1478"/>
      <c r="BD626" s="1478"/>
      <c r="BE626" s="1478"/>
      <c r="BF626" s="1478"/>
      <c r="BG626" s="1478"/>
      <c r="BH626" s="1478"/>
      <c r="BI626" s="1478"/>
      <c r="BJ626" s="1478"/>
      <c r="BK626" s="327"/>
      <c r="BL626" s="327"/>
      <c r="BM626" s="327"/>
      <c r="BN626" s="327"/>
      <c r="BO626" s="327"/>
      <c r="BP626" s="327"/>
      <c r="BQ626" s="327"/>
      <c r="BR626" s="327"/>
      <c r="BS626" s="327"/>
      <c r="BT626" s="327"/>
      <c r="BU626" s="327"/>
      <c r="BV626" s="327"/>
      <c r="BW626" s="327"/>
      <c r="BX626" s="327"/>
      <c r="BY626" s="327"/>
      <c r="BZ626" s="327"/>
      <c r="CA626" s="327"/>
      <c r="CB626" s="327"/>
      <c r="CC626" s="327"/>
      <c r="CD626" s="327"/>
      <c r="CE626" s="327"/>
      <c r="CF626" s="327"/>
      <c r="CG626" s="327"/>
      <c r="CH626" s="327"/>
      <c r="CI626" s="327"/>
      <c r="CJ626" s="327"/>
      <c r="CK626" s="327"/>
      <c r="CL626" s="327"/>
      <c r="CM626" s="327"/>
      <c r="CN626" s="327"/>
      <c r="CO626" s="327"/>
      <c r="CP626" s="327"/>
      <c r="CQ626" s="327"/>
      <c r="CR626" s="327"/>
      <c r="CS626" s="327"/>
      <c r="CT626" s="327"/>
      <c r="CU626" s="327"/>
      <c r="CV626" s="327"/>
      <c r="CW626" s="327"/>
      <c r="CX626" s="327"/>
      <c r="CY626" s="327"/>
      <c r="CZ626" s="327"/>
      <c r="DA626" s="327"/>
      <c r="DB626" s="327"/>
      <c r="DC626" s="327"/>
      <c r="DD626" s="327"/>
      <c r="DE626" s="327"/>
      <c r="DF626" s="327"/>
      <c r="DG626" s="327"/>
      <c r="DH626" s="327"/>
      <c r="DI626" s="327"/>
      <c r="DJ626" s="327"/>
      <c r="DK626" s="327"/>
      <c r="DL626" s="327"/>
      <c r="DM626" s="327"/>
      <c r="DN626" s="327"/>
      <c r="DO626" s="327"/>
      <c r="DP626" s="327"/>
      <c r="DQ626" s="327"/>
      <c r="DR626" s="327"/>
      <c r="DS626" s="327"/>
      <c r="DT626" s="327"/>
      <c r="DU626" s="327"/>
      <c r="DV626" s="327"/>
    </row>
    <row r="627" spans="1:126" s="1367" customFormat="1" hidden="1">
      <c r="A627" s="2493" t="s">
        <v>1374</v>
      </c>
      <c r="B627" s="1643"/>
      <c r="C627" s="1674"/>
      <c r="D627" s="1480"/>
      <c r="E627" s="1480"/>
      <c r="F627" s="1480"/>
      <c r="G627" s="1480"/>
      <c r="H627" s="1481"/>
      <c r="I627" s="1482"/>
      <c r="J627" s="1483"/>
      <c r="K627" s="1483"/>
      <c r="L627" s="1528"/>
      <c r="M627" s="1483"/>
      <c r="N627" s="1484"/>
      <c r="O627" s="1481"/>
      <c r="P627" s="1485"/>
      <c r="Q627" s="1485"/>
      <c r="R627" s="1485"/>
      <c r="S627" s="1485"/>
      <c r="T627" s="1485"/>
      <c r="U627" s="1485"/>
      <c r="V627" s="1484"/>
      <c r="W627" s="1366"/>
      <c r="X627" s="1366"/>
      <c r="Y627" s="1366"/>
      <c r="Z627" s="1366"/>
      <c r="AA627" s="1366"/>
      <c r="AB627" s="1366"/>
      <c r="AC627" s="1366"/>
      <c r="AD627" s="1366"/>
      <c r="AE627" s="1366"/>
      <c r="AF627" s="1366"/>
      <c r="AG627" s="1366"/>
      <c r="AH627" s="1366"/>
      <c r="AI627" s="1366"/>
      <c r="AJ627" s="1366"/>
      <c r="AK627" s="1366"/>
      <c r="AL627" s="1366"/>
      <c r="AM627" s="1366"/>
      <c r="AN627" s="1366"/>
      <c r="AO627" s="1366"/>
      <c r="AP627" s="1366"/>
      <c r="AQ627" s="1366"/>
      <c r="AR627" s="1366"/>
      <c r="AS627" s="1366"/>
      <c r="AT627" s="1366"/>
      <c r="AU627" s="1366"/>
      <c r="AV627" s="1366"/>
      <c r="AW627" s="1366"/>
      <c r="AX627" s="1366"/>
      <c r="AY627" s="1366"/>
      <c r="AZ627" s="1366"/>
      <c r="BA627" s="1366"/>
      <c r="BB627" s="1366"/>
      <c r="BC627" s="1366"/>
      <c r="BD627" s="1366"/>
      <c r="BE627" s="1366"/>
      <c r="BF627" s="1366"/>
      <c r="BG627" s="1366"/>
      <c r="BH627" s="1366"/>
      <c r="BI627" s="1366"/>
      <c r="BJ627" s="1366"/>
      <c r="BK627" s="1366"/>
      <c r="BL627" s="1366"/>
      <c r="BM627" s="1366"/>
      <c r="BN627" s="1366"/>
      <c r="BO627" s="1366"/>
      <c r="BP627" s="1366"/>
      <c r="BQ627" s="1366"/>
      <c r="BR627" s="1366"/>
      <c r="BS627" s="1366"/>
      <c r="BT627" s="1366"/>
      <c r="BU627" s="1366"/>
      <c r="BV627" s="1366"/>
      <c r="BW627" s="1366"/>
      <c r="BX627" s="1366"/>
      <c r="BY627" s="1366"/>
      <c r="BZ627" s="1366"/>
      <c r="CA627" s="1366"/>
      <c r="CB627" s="1366"/>
      <c r="CC627" s="1366"/>
      <c r="CD627" s="1366"/>
      <c r="CE627" s="1366"/>
      <c r="CF627" s="1366"/>
      <c r="CG627" s="1366"/>
      <c r="CH627" s="1366"/>
      <c r="CI627" s="1366"/>
      <c r="CJ627" s="1366"/>
      <c r="CK627" s="1366"/>
      <c r="CL627" s="1366"/>
      <c r="CM627" s="1366"/>
      <c r="CN627" s="1366"/>
      <c r="CO627" s="1366"/>
      <c r="CP627" s="1366"/>
      <c r="CQ627" s="1366"/>
      <c r="CR627" s="1366"/>
      <c r="CS627" s="1366"/>
      <c r="CT627" s="1366"/>
      <c r="CU627" s="1366"/>
      <c r="CV627" s="1366"/>
      <c r="CW627" s="1366"/>
      <c r="CX627" s="1366"/>
      <c r="CY627" s="1366"/>
      <c r="CZ627" s="1366"/>
      <c r="DA627" s="1366"/>
      <c r="DB627" s="1366"/>
      <c r="DC627" s="1366"/>
      <c r="DD627" s="1366"/>
      <c r="DE627" s="1366"/>
      <c r="DF627" s="1366"/>
      <c r="DG627" s="1366"/>
      <c r="DH627" s="1366"/>
      <c r="DI627" s="1366"/>
      <c r="DJ627" s="1366"/>
      <c r="DK627" s="1366"/>
      <c r="DL627" s="1366"/>
      <c r="DM627" s="1366"/>
      <c r="DN627" s="1366"/>
      <c r="DO627" s="1366"/>
      <c r="DP627" s="1366"/>
      <c r="DQ627" s="1366"/>
      <c r="DR627" s="1366"/>
      <c r="DS627" s="1366"/>
      <c r="DT627" s="1366"/>
      <c r="DU627" s="1366"/>
      <c r="DV627" s="1366"/>
    </row>
    <row r="628" spans="1:126" s="1367" customFormat="1" hidden="1">
      <c r="A628" s="2494"/>
      <c r="B628" s="1643"/>
      <c r="C628" s="1674"/>
      <c r="D628" s="1480"/>
      <c r="E628" s="1480"/>
      <c r="F628" s="1480"/>
      <c r="G628" s="1480"/>
      <c r="H628" s="1481"/>
      <c r="I628" s="1482"/>
      <c r="J628" s="1483"/>
      <c r="K628" s="1483"/>
      <c r="L628" s="1528"/>
      <c r="M628" s="1483"/>
      <c r="N628" s="1484"/>
      <c r="O628" s="1481"/>
      <c r="P628" s="1485"/>
      <c r="Q628" s="1485"/>
      <c r="R628" s="1485"/>
      <c r="S628" s="1485"/>
      <c r="T628" s="1485"/>
      <c r="U628" s="1485"/>
      <c r="V628" s="1484"/>
      <c r="W628" s="1366"/>
      <c r="X628" s="1366"/>
      <c r="Y628" s="1366"/>
      <c r="Z628" s="1366"/>
      <c r="AA628" s="1366"/>
      <c r="AB628" s="1366"/>
      <c r="AC628" s="1366"/>
      <c r="AD628" s="1366"/>
      <c r="AE628" s="1366"/>
      <c r="AF628" s="1366"/>
      <c r="AG628" s="1366"/>
      <c r="AH628" s="1366"/>
      <c r="AI628" s="1366"/>
      <c r="AJ628" s="1366"/>
      <c r="AK628" s="1366"/>
      <c r="AL628" s="1366"/>
      <c r="AM628" s="1366"/>
      <c r="AN628" s="1366"/>
      <c r="AO628" s="1366"/>
      <c r="AP628" s="1366"/>
      <c r="AQ628" s="1366"/>
      <c r="AR628" s="1366"/>
      <c r="AS628" s="1366"/>
      <c r="AT628" s="1366"/>
      <c r="AU628" s="1366"/>
      <c r="AV628" s="1366"/>
      <c r="AW628" s="1366"/>
      <c r="AX628" s="1366"/>
      <c r="AY628" s="1366"/>
      <c r="AZ628" s="1366"/>
      <c r="BA628" s="1366"/>
      <c r="BB628" s="1366"/>
      <c r="BC628" s="1366"/>
      <c r="BD628" s="1366"/>
      <c r="BE628" s="1366"/>
      <c r="BF628" s="1366"/>
      <c r="BG628" s="1366"/>
      <c r="BH628" s="1366"/>
      <c r="BI628" s="1366"/>
      <c r="BJ628" s="1366"/>
      <c r="BK628" s="1366"/>
      <c r="BL628" s="1366"/>
      <c r="BM628" s="1366"/>
      <c r="BN628" s="1366"/>
      <c r="BO628" s="1366"/>
      <c r="BP628" s="1366"/>
      <c r="BQ628" s="1366"/>
      <c r="BR628" s="1366"/>
      <c r="BS628" s="1366"/>
      <c r="BT628" s="1366"/>
      <c r="BU628" s="1366"/>
      <c r="BV628" s="1366"/>
      <c r="BW628" s="1366"/>
      <c r="BX628" s="1366"/>
      <c r="BY628" s="1366"/>
      <c r="BZ628" s="1366"/>
      <c r="CA628" s="1366"/>
      <c r="CB628" s="1366"/>
      <c r="CC628" s="1366"/>
      <c r="CD628" s="1366"/>
      <c r="CE628" s="1366"/>
      <c r="CF628" s="1366"/>
      <c r="CG628" s="1366"/>
      <c r="CH628" s="1366"/>
      <c r="CI628" s="1366"/>
      <c r="CJ628" s="1366"/>
      <c r="CK628" s="1366"/>
      <c r="CL628" s="1366"/>
      <c r="CM628" s="1366"/>
      <c r="CN628" s="1366"/>
      <c r="CO628" s="1366"/>
      <c r="CP628" s="1366"/>
      <c r="CQ628" s="1366"/>
      <c r="CR628" s="1366"/>
      <c r="CS628" s="1366"/>
      <c r="CT628" s="1366"/>
      <c r="CU628" s="1366"/>
      <c r="CV628" s="1366"/>
      <c r="CW628" s="1366"/>
      <c r="CX628" s="1366"/>
      <c r="CY628" s="1366"/>
      <c r="CZ628" s="1366"/>
      <c r="DA628" s="1366"/>
      <c r="DB628" s="1366"/>
      <c r="DC628" s="1366"/>
      <c r="DD628" s="1366"/>
      <c r="DE628" s="1366"/>
      <c r="DF628" s="1366"/>
      <c r="DG628" s="1366"/>
      <c r="DH628" s="1366"/>
      <c r="DI628" s="1366"/>
      <c r="DJ628" s="1366"/>
      <c r="DK628" s="1366"/>
      <c r="DL628" s="1366"/>
      <c r="DM628" s="1366"/>
      <c r="DN628" s="1366"/>
      <c r="DO628" s="1366"/>
      <c r="DP628" s="1366"/>
      <c r="DQ628" s="1366"/>
      <c r="DR628" s="1366"/>
      <c r="DS628" s="1366"/>
      <c r="DT628" s="1366"/>
      <c r="DU628" s="1366"/>
      <c r="DV628" s="1366"/>
    </row>
    <row r="629" spans="1:126" s="1367" customFormat="1" hidden="1">
      <c r="A629" s="2494"/>
      <c r="B629" s="1643"/>
      <c r="C629" s="1674"/>
      <c r="D629" s="1480"/>
      <c r="E629" s="1480"/>
      <c r="F629" s="1480"/>
      <c r="G629" s="1480"/>
      <c r="H629" s="1481"/>
      <c r="I629" s="1482"/>
      <c r="J629" s="1483"/>
      <c r="K629" s="1483"/>
      <c r="L629" s="1528"/>
      <c r="M629" s="1483"/>
      <c r="N629" s="1484"/>
      <c r="O629" s="1481"/>
      <c r="P629" s="1485"/>
      <c r="Q629" s="1485"/>
      <c r="R629" s="1485"/>
      <c r="S629" s="1485"/>
      <c r="T629" s="1485"/>
      <c r="U629" s="1485"/>
      <c r="V629" s="1484"/>
      <c r="W629" s="1366"/>
      <c r="X629" s="1366"/>
      <c r="Y629" s="1366"/>
      <c r="Z629" s="1366"/>
      <c r="AA629" s="1366"/>
      <c r="AB629" s="1366"/>
      <c r="AC629" s="1366"/>
      <c r="AD629" s="1366"/>
      <c r="AE629" s="1366"/>
      <c r="AF629" s="1366"/>
      <c r="AG629" s="1366"/>
      <c r="AH629" s="1366"/>
      <c r="AI629" s="1366"/>
      <c r="AJ629" s="1366"/>
      <c r="AK629" s="1366"/>
      <c r="AL629" s="1366"/>
      <c r="AM629" s="1366"/>
      <c r="AN629" s="1366"/>
      <c r="AO629" s="1366"/>
      <c r="AP629" s="1366"/>
      <c r="AQ629" s="1366"/>
      <c r="AR629" s="1366"/>
      <c r="AS629" s="1366"/>
      <c r="AT629" s="1366"/>
      <c r="AU629" s="1366"/>
      <c r="AV629" s="1366"/>
      <c r="AW629" s="1366"/>
      <c r="AX629" s="1366"/>
      <c r="AY629" s="1366"/>
      <c r="AZ629" s="1366"/>
      <c r="BA629" s="1366"/>
      <c r="BB629" s="1366"/>
      <c r="BC629" s="1366"/>
      <c r="BD629" s="1366"/>
      <c r="BE629" s="1366"/>
      <c r="BF629" s="1366"/>
      <c r="BG629" s="1366"/>
      <c r="BH629" s="1366"/>
      <c r="BI629" s="1366"/>
      <c r="BJ629" s="1366"/>
      <c r="BK629" s="1366"/>
      <c r="BL629" s="1366"/>
      <c r="BM629" s="1366"/>
      <c r="BN629" s="1366"/>
      <c r="BO629" s="1366"/>
      <c r="BP629" s="1366"/>
      <c r="BQ629" s="1366"/>
      <c r="BR629" s="1366"/>
      <c r="BS629" s="1366"/>
      <c r="BT629" s="1366"/>
      <c r="BU629" s="1366"/>
      <c r="BV629" s="1366"/>
      <c r="BW629" s="1366"/>
      <c r="BX629" s="1366"/>
      <c r="BY629" s="1366"/>
      <c r="BZ629" s="1366"/>
      <c r="CA629" s="1366"/>
      <c r="CB629" s="1366"/>
      <c r="CC629" s="1366"/>
      <c r="CD629" s="1366"/>
      <c r="CE629" s="1366"/>
      <c r="CF629" s="1366"/>
      <c r="CG629" s="1366"/>
      <c r="CH629" s="1366"/>
      <c r="CI629" s="1366"/>
      <c r="CJ629" s="1366"/>
      <c r="CK629" s="1366"/>
      <c r="CL629" s="1366"/>
      <c r="CM629" s="1366"/>
      <c r="CN629" s="1366"/>
      <c r="CO629" s="1366"/>
      <c r="CP629" s="1366"/>
      <c r="CQ629" s="1366"/>
      <c r="CR629" s="1366"/>
      <c r="CS629" s="1366"/>
      <c r="CT629" s="1366"/>
      <c r="CU629" s="1366"/>
      <c r="CV629" s="1366"/>
      <c r="CW629" s="1366"/>
      <c r="CX629" s="1366"/>
      <c r="CY629" s="1366"/>
      <c r="CZ629" s="1366"/>
      <c r="DA629" s="1366"/>
      <c r="DB629" s="1366"/>
      <c r="DC629" s="1366"/>
      <c r="DD629" s="1366"/>
      <c r="DE629" s="1366"/>
      <c r="DF629" s="1366"/>
      <c r="DG629" s="1366"/>
      <c r="DH629" s="1366"/>
      <c r="DI629" s="1366"/>
      <c r="DJ629" s="1366"/>
      <c r="DK629" s="1366"/>
      <c r="DL629" s="1366"/>
      <c r="DM629" s="1366"/>
      <c r="DN629" s="1366"/>
      <c r="DO629" s="1366"/>
      <c r="DP629" s="1366"/>
      <c r="DQ629" s="1366"/>
      <c r="DR629" s="1366"/>
      <c r="DS629" s="1366"/>
      <c r="DT629" s="1366"/>
      <c r="DU629" s="1366"/>
      <c r="DV629" s="1366"/>
    </row>
    <row r="630" spans="1:126" s="1367" customFormat="1" hidden="1">
      <c r="A630" s="2494"/>
      <c r="B630" s="1643"/>
      <c r="C630" s="1674"/>
      <c r="D630" s="1480"/>
      <c r="E630" s="1480"/>
      <c r="F630" s="1480"/>
      <c r="G630" s="1480"/>
      <c r="H630" s="1481"/>
      <c r="I630" s="1482"/>
      <c r="J630" s="1483"/>
      <c r="K630" s="1483"/>
      <c r="L630" s="1528"/>
      <c r="M630" s="1483"/>
      <c r="N630" s="1484"/>
      <c r="O630" s="1481"/>
      <c r="P630" s="1485"/>
      <c r="Q630" s="1485"/>
      <c r="R630" s="1485"/>
      <c r="S630" s="1485"/>
      <c r="T630" s="1485"/>
      <c r="U630" s="1485"/>
      <c r="V630" s="1484"/>
      <c r="W630" s="1366"/>
      <c r="X630" s="1366"/>
      <c r="Y630" s="1366"/>
      <c r="Z630" s="1366"/>
      <c r="AA630" s="1366"/>
      <c r="AB630" s="1366"/>
      <c r="AC630" s="1366"/>
      <c r="AD630" s="1366"/>
      <c r="AE630" s="1366"/>
      <c r="AF630" s="1366"/>
      <c r="AG630" s="1366"/>
      <c r="AH630" s="1366"/>
      <c r="AI630" s="1366"/>
      <c r="AJ630" s="1366"/>
      <c r="AK630" s="1366"/>
      <c r="AL630" s="1366"/>
      <c r="AM630" s="1366"/>
      <c r="AN630" s="1366"/>
      <c r="AO630" s="1366"/>
      <c r="AP630" s="1366"/>
      <c r="AQ630" s="1366"/>
      <c r="AR630" s="1366"/>
      <c r="AS630" s="1366"/>
      <c r="AT630" s="1366"/>
      <c r="AU630" s="1366"/>
      <c r="AV630" s="1366"/>
      <c r="AW630" s="1366"/>
      <c r="AX630" s="1366"/>
      <c r="AY630" s="1366"/>
      <c r="AZ630" s="1366"/>
      <c r="BA630" s="1366"/>
      <c r="BB630" s="1366"/>
      <c r="BC630" s="1366"/>
      <c r="BD630" s="1366"/>
      <c r="BE630" s="1366"/>
      <c r="BF630" s="1366"/>
      <c r="BG630" s="1366"/>
      <c r="BH630" s="1366"/>
      <c r="BI630" s="1366"/>
      <c r="BJ630" s="1366"/>
      <c r="BK630" s="1366"/>
      <c r="BL630" s="1366"/>
      <c r="BM630" s="1366"/>
      <c r="BN630" s="1366"/>
      <c r="BO630" s="1366"/>
      <c r="BP630" s="1366"/>
      <c r="BQ630" s="1366"/>
      <c r="BR630" s="1366"/>
      <c r="BS630" s="1366"/>
      <c r="BT630" s="1366"/>
      <c r="BU630" s="1366"/>
      <c r="BV630" s="1366"/>
      <c r="BW630" s="1366"/>
      <c r="BX630" s="1366"/>
      <c r="BY630" s="1366"/>
      <c r="BZ630" s="1366"/>
      <c r="CA630" s="1366"/>
      <c r="CB630" s="1366"/>
      <c r="CC630" s="1366"/>
      <c r="CD630" s="1366"/>
      <c r="CE630" s="1366"/>
      <c r="CF630" s="1366"/>
      <c r="CG630" s="1366"/>
      <c r="CH630" s="1366"/>
      <c r="CI630" s="1366"/>
      <c r="CJ630" s="1366"/>
      <c r="CK630" s="1366"/>
      <c r="CL630" s="1366"/>
      <c r="CM630" s="1366"/>
      <c r="CN630" s="1366"/>
      <c r="CO630" s="1366"/>
      <c r="CP630" s="1366"/>
      <c r="CQ630" s="1366"/>
      <c r="CR630" s="1366"/>
      <c r="CS630" s="1366"/>
      <c r="CT630" s="1366"/>
      <c r="CU630" s="1366"/>
      <c r="CV630" s="1366"/>
      <c r="CW630" s="1366"/>
      <c r="CX630" s="1366"/>
      <c r="CY630" s="1366"/>
      <c r="CZ630" s="1366"/>
      <c r="DA630" s="1366"/>
      <c r="DB630" s="1366"/>
      <c r="DC630" s="1366"/>
      <c r="DD630" s="1366"/>
      <c r="DE630" s="1366"/>
      <c r="DF630" s="1366"/>
      <c r="DG630" s="1366"/>
      <c r="DH630" s="1366"/>
      <c r="DI630" s="1366"/>
      <c r="DJ630" s="1366"/>
      <c r="DK630" s="1366"/>
      <c r="DL630" s="1366"/>
      <c r="DM630" s="1366"/>
      <c r="DN630" s="1366"/>
      <c r="DO630" s="1366"/>
      <c r="DP630" s="1366"/>
      <c r="DQ630" s="1366"/>
      <c r="DR630" s="1366"/>
      <c r="DS630" s="1366"/>
      <c r="DT630" s="1366"/>
      <c r="DU630" s="1366"/>
      <c r="DV630" s="1366"/>
    </row>
    <row r="631" spans="1:126" s="1367" customFormat="1" hidden="1">
      <c r="A631" s="2494"/>
      <c r="B631" s="1643"/>
      <c r="C631" s="1674"/>
      <c r="D631" s="1480"/>
      <c r="E631" s="1480"/>
      <c r="F631" s="1480"/>
      <c r="G631" s="1480"/>
      <c r="H631" s="1481"/>
      <c r="I631" s="1482"/>
      <c r="J631" s="1483"/>
      <c r="K631" s="1483"/>
      <c r="L631" s="1528"/>
      <c r="M631" s="1483"/>
      <c r="N631" s="1484"/>
      <c r="O631" s="1481"/>
      <c r="P631" s="1485"/>
      <c r="Q631" s="1485"/>
      <c r="R631" s="1485"/>
      <c r="S631" s="1485"/>
      <c r="T631" s="1485"/>
      <c r="U631" s="1485"/>
      <c r="V631" s="1484"/>
      <c r="W631" s="1366"/>
      <c r="X631" s="1366"/>
      <c r="Y631" s="1366"/>
      <c r="Z631" s="1366"/>
      <c r="AA631" s="1366"/>
      <c r="AB631" s="1366"/>
      <c r="AC631" s="1366"/>
      <c r="AD631" s="1366"/>
      <c r="AE631" s="1366"/>
      <c r="AF631" s="1366"/>
      <c r="AG631" s="1366"/>
      <c r="AH631" s="1366"/>
      <c r="AI631" s="1366"/>
      <c r="AJ631" s="1366"/>
      <c r="AK631" s="1366"/>
      <c r="AL631" s="1366"/>
      <c r="AM631" s="1366"/>
      <c r="AN631" s="1366"/>
      <c r="AO631" s="1366"/>
      <c r="AP631" s="1366"/>
      <c r="AQ631" s="1366"/>
      <c r="AR631" s="1366"/>
      <c r="AS631" s="1366"/>
      <c r="AT631" s="1366"/>
      <c r="AU631" s="1366"/>
      <c r="AV631" s="1366"/>
      <c r="AW631" s="1366"/>
      <c r="AX631" s="1366"/>
      <c r="AY631" s="1366"/>
      <c r="AZ631" s="1366"/>
      <c r="BA631" s="1366"/>
      <c r="BB631" s="1366"/>
      <c r="BC631" s="1366"/>
      <c r="BD631" s="1366"/>
      <c r="BE631" s="1366"/>
      <c r="BF631" s="1366"/>
      <c r="BG631" s="1366"/>
      <c r="BH631" s="1366"/>
      <c r="BI631" s="1366"/>
      <c r="BJ631" s="1366"/>
      <c r="BK631" s="1366"/>
      <c r="BL631" s="1366"/>
      <c r="BM631" s="1366"/>
      <c r="BN631" s="1366"/>
      <c r="BO631" s="1366"/>
      <c r="BP631" s="1366"/>
      <c r="BQ631" s="1366"/>
      <c r="BR631" s="1366"/>
      <c r="BS631" s="1366"/>
      <c r="BT631" s="1366"/>
      <c r="BU631" s="1366"/>
      <c r="BV631" s="1366"/>
      <c r="BW631" s="1366"/>
      <c r="BX631" s="1366"/>
      <c r="BY631" s="1366"/>
      <c r="BZ631" s="1366"/>
      <c r="CA631" s="1366"/>
      <c r="CB631" s="1366"/>
      <c r="CC631" s="1366"/>
      <c r="CD631" s="1366"/>
      <c r="CE631" s="1366"/>
      <c r="CF631" s="1366"/>
      <c r="CG631" s="1366"/>
      <c r="CH631" s="1366"/>
      <c r="CI631" s="1366"/>
      <c r="CJ631" s="1366"/>
      <c r="CK631" s="1366"/>
      <c r="CL631" s="1366"/>
      <c r="CM631" s="1366"/>
      <c r="CN631" s="1366"/>
      <c r="CO631" s="1366"/>
      <c r="CP631" s="1366"/>
      <c r="CQ631" s="1366"/>
      <c r="CR631" s="1366"/>
      <c r="CS631" s="1366"/>
      <c r="CT631" s="1366"/>
      <c r="CU631" s="1366"/>
      <c r="CV631" s="1366"/>
      <c r="CW631" s="1366"/>
      <c r="CX631" s="1366"/>
      <c r="CY631" s="1366"/>
      <c r="CZ631" s="1366"/>
      <c r="DA631" s="1366"/>
      <c r="DB631" s="1366"/>
      <c r="DC631" s="1366"/>
      <c r="DD631" s="1366"/>
      <c r="DE631" s="1366"/>
      <c r="DF631" s="1366"/>
      <c r="DG631" s="1366"/>
      <c r="DH631" s="1366"/>
      <c r="DI631" s="1366"/>
      <c r="DJ631" s="1366"/>
      <c r="DK631" s="1366"/>
      <c r="DL631" s="1366"/>
      <c r="DM631" s="1366"/>
      <c r="DN631" s="1366"/>
      <c r="DO631" s="1366"/>
      <c r="DP631" s="1366"/>
      <c r="DQ631" s="1366"/>
      <c r="DR631" s="1366"/>
      <c r="DS631" s="1366"/>
      <c r="DT631" s="1366"/>
      <c r="DU631" s="1366"/>
      <c r="DV631" s="1366"/>
    </row>
    <row r="632" spans="1:126" s="1367" customFormat="1" hidden="1">
      <c r="A632" s="2494"/>
      <c r="B632" s="1643"/>
      <c r="C632" s="1674"/>
      <c r="D632" s="1480"/>
      <c r="E632" s="1480"/>
      <c r="F632" s="1480"/>
      <c r="G632" s="1480"/>
      <c r="H632" s="1481"/>
      <c r="I632" s="1482"/>
      <c r="J632" s="1483"/>
      <c r="K632" s="1483"/>
      <c r="L632" s="1528"/>
      <c r="M632" s="1483"/>
      <c r="N632" s="1484"/>
      <c r="O632" s="1481"/>
      <c r="P632" s="1485"/>
      <c r="Q632" s="1485"/>
      <c r="R632" s="1485"/>
      <c r="S632" s="1485"/>
      <c r="T632" s="1485"/>
      <c r="U632" s="1485"/>
      <c r="V632" s="1484"/>
      <c r="W632" s="1366"/>
      <c r="X632" s="1366"/>
      <c r="Y632" s="1366"/>
      <c r="Z632" s="1366"/>
      <c r="AA632" s="1366"/>
      <c r="AB632" s="1366"/>
      <c r="AC632" s="1366"/>
      <c r="AD632" s="1366"/>
      <c r="AE632" s="1366"/>
      <c r="AF632" s="1366"/>
      <c r="AG632" s="1366"/>
      <c r="AH632" s="1366"/>
      <c r="AI632" s="1366"/>
      <c r="AJ632" s="1366"/>
      <c r="AK632" s="1366"/>
      <c r="AL632" s="1366"/>
      <c r="AM632" s="1366"/>
      <c r="AN632" s="1366"/>
      <c r="AO632" s="1366"/>
      <c r="AP632" s="1366"/>
      <c r="AQ632" s="1366"/>
      <c r="AR632" s="1366"/>
      <c r="AS632" s="1366"/>
      <c r="AT632" s="1366"/>
      <c r="AU632" s="1366"/>
      <c r="AV632" s="1366"/>
      <c r="AW632" s="1366"/>
      <c r="AX632" s="1366"/>
      <c r="AY632" s="1366"/>
      <c r="AZ632" s="1366"/>
      <c r="BA632" s="1366"/>
      <c r="BB632" s="1366"/>
      <c r="BC632" s="1366"/>
      <c r="BD632" s="1366"/>
      <c r="BE632" s="1366"/>
      <c r="BF632" s="1366"/>
      <c r="BG632" s="1366"/>
      <c r="BH632" s="1366"/>
      <c r="BI632" s="1366"/>
      <c r="BJ632" s="1366"/>
      <c r="BK632" s="1366"/>
      <c r="BL632" s="1366"/>
      <c r="BM632" s="1366"/>
      <c r="BN632" s="1366"/>
      <c r="BO632" s="1366"/>
      <c r="BP632" s="1366"/>
      <c r="BQ632" s="1366"/>
      <c r="BR632" s="1366"/>
      <c r="BS632" s="1366"/>
      <c r="BT632" s="1366"/>
      <c r="BU632" s="1366"/>
      <c r="BV632" s="1366"/>
      <c r="BW632" s="1366"/>
      <c r="BX632" s="1366"/>
      <c r="BY632" s="1366"/>
      <c r="BZ632" s="1366"/>
      <c r="CA632" s="1366"/>
      <c r="CB632" s="1366"/>
      <c r="CC632" s="1366"/>
      <c r="CD632" s="1366"/>
      <c r="CE632" s="1366"/>
      <c r="CF632" s="1366"/>
      <c r="CG632" s="1366"/>
      <c r="CH632" s="1366"/>
      <c r="CI632" s="1366"/>
      <c r="CJ632" s="1366"/>
      <c r="CK632" s="1366"/>
      <c r="CL632" s="1366"/>
      <c r="CM632" s="1366"/>
      <c r="CN632" s="1366"/>
      <c r="CO632" s="1366"/>
      <c r="CP632" s="1366"/>
      <c r="CQ632" s="1366"/>
      <c r="CR632" s="1366"/>
      <c r="CS632" s="1366"/>
      <c r="CT632" s="1366"/>
      <c r="CU632" s="1366"/>
      <c r="CV632" s="1366"/>
      <c r="CW632" s="1366"/>
      <c r="CX632" s="1366"/>
      <c r="CY632" s="1366"/>
      <c r="CZ632" s="1366"/>
      <c r="DA632" s="1366"/>
      <c r="DB632" s="1366"/>
      <c r="DC632" s="1366"/>
      <c r="DD632" s="1366"/>
      <c r="DE632" s="1366"/>
      <c r="DF632" s="1366"/>
      <c r="DG632" s="1366"/>
      <c r="DH632" s="1366"/>
      <c r="DI632" s="1366"/>
      <c r="DJ632" s="1366"/>
      <c r="DK632" s="1366"/>
      <c r="DL632" s="1366"/>
      <c r="DM632" s="1366"/>
      <c r="DN632" s="1366"/>
      <c r="DO632" s="1366"/>
      <c r="DP632" s="1366"/>
      <c r="DQ632" s="1366"/>
      <c r="DR632" s="1366"/>
      <c r="DS632" s="1366"/>
      <c r="DT632" s="1366"/>
      <c r="DU632" s="1366"/>
      <c r="DV632" s="1366"/>
    </row>
    <row r="633" spans="1:126" s="1367" customFormat="1" hidden="1">
      <c r="A633" s="2494"/>
      <c r="B633" s="1643"/>
      <c r="C633" s="1674"/>
      <c r="D633" s="1480"/>
      <c r="E633" s="1480"/>
      <c r="F633" s="1480"/>
      <c r="G633" s="1480"/>
      <c r="H633" s="1481"/>
      <c r="I633" s="1482"/>
      <c r="J633" s="1483"/>
      <c r="K633" s="1483"/>
      <c r="L633" s="1528"/>
      <c r="M633" s="1483"/>
      <c r="N633" s="1484"/>
      <c r="O633" s="1481"/>
      <c r="P633" s="1485"/>
      <c r="Q633" s="1485"/>
      <c r="R633" s="1485"/>
      <c r="S633" s="1485"/>
      <c r="T633" s="1485"/>
      <c r="U633" s="1485"/>
      <c r="V633" s="1484"/>
      <c r="W633" s="1366"/>
      <c r="X633" s="1366"/>
      <c r="Y633" s="1366"/>
      <c r="Z633" s="1366"/>
      <c r="AA633" s="1366"/>
      <c r="AB633" s="1366"/>
      <c r="AC633" s="1366"/>
      <c r="AD633" s="1366"/>
      <c r="AE633" s="1366"/>
      <c r="AF633" s="1366"/>
      <c r="AG633" s="1366"/>
      <c r="AH633" s="1366"/>
      <c r="AI633" s="1366"/>
      <c r="AJ633" s="1366"/>
      <c r="AK633" s="1366"/>
      <c r="AL633" s="1366"/>
      <c r="AM633" s="1366"/>
      <c r="AN633" s="1366"/>
      <c r="AO633" s="1366"/>
      <c r="AP633" s="1366"/>
      <c r="AQ633" s="1366"/>
      <c r="AR633" s="1366"/>
      <c r="AS633" s="1366"/>
      <c r="AT633" s="1366"/>
      <c r="AU633" s="1366"/>
      <c r="AV633" s="1366"/>
      <c r="AW633" s="1366"/>
      <c r="AX633" s="1366"/>
      <c r="AY633" s="1366"/>
      <c r="AZ633" s="1366"/>
      <c r="BA633" s="1366"/>
      <c r="BB633" s="1366"/>
      <c r="BC633" s="1366"/>
      <c r="BD633" s="1366"/>
      <c r="BE633" s="1366"/>
      <c r="BF633" s="1366"/>
      <c r="BG633" s="1366"/>
      <c r="BH633" s="1366"/>
      <c r="BI633" s="1366"/>
      <c r="BJ633" s="1366"/>
      <c r="BK633" s="1366"/>
      <c r="BL633" s="1366"/>
      <c r="BM633" s="1366"/>
      <c r="BN633" s="1366"/>
      <c r="BO633" s="1366"/>
      <c r="BP633" s="1366"/>
      <c r="BQ633" s="1366"/>
      <c r="BR633" s="1366"/>
      <c r="BS633" s="1366"/>
      <c r="BT633" s="1366"/>
      <c r="BU633" s="1366"/>
      <c r="BV633" s="1366"/>
      <c r="BW633" s="1366"/>
      <c r="BX633" s="1366"/>
      <c r="BY633" s="1366"/>
      <c r="BZ633" s="1366"/>
      <c r="CA633" s="1366"/>
      <c r="CB633" s="1366"/>
      <c r="CC633" s="1366"/>
      <c r="CD633" s="1366"/>
      <c r="CE633" s="1366"/>
      <c r="CF633" s="1366"/>
      <c r="CG633" s="1366"/>
      <c r="CH633" s="1366"/>
      <c r="CI633" s="1366"/>
      <c r="CJ633" s="1366"/>
      <c r="CK633" s="1366"/>
      <c r="CL633" s="1366"/>
      <c r="CM633" s="1366"/>
      <c r="CN633" s="1366"/>
      <c r="CO633" s="1366"/>
      <c r="CP633" s="1366"/>
      <c r="CQ633" s="1366"/>
      <c r="CR633" s="1366"/>
      <c r="CS633" s="1366"/>
      <c r="CT633" s="1366"/>
      <c r="CU633" s="1366"/>
      <c r="CV633" s="1366"/>
      <c r="CW633" s="1366"/>
      <c r="CX633" s="1366"/>
      <c r="CY633" s="1366"/>
      <c r="CZ633" s="1366"/>
      <c r="DA633" s="1366"/>
      <c r="DB633" s="1366"/>
      <c r="DC633" s="1366"/>
      <c r="DD633" s="1366"/>
      <c r="DE633" s="1366"/>
      <c r="DF633" s="1366"/>
      <c r="DG633" s="1366"/>
      <c r="DH633" s="1366"/>
      <c r="DI633" s="1366"/>
      <c r="DJ633" s="1366"/>
      <c r="DK633" s="1366"/>
      <c r="DL633" s="1366"/>
      <c r="DM633" s="1366"/>
      <c r="DN633" s="1366"/>
      <c r="DO633" s="1366"/>
      <c r="DP633" s="1366"/>
      <c r="DQ633" s="1366"/>
      <c r="DR633" s="1366"/>
      <c r="DS633" s="1366"/>
      <c r="DT633" s="1366"/>
      <c r="DU633" s="1366"/>
      <c r="DV633" s="1366"/>
    </row>
    <row r="634" spans="1:126" s="1367" customFormat="1" hidden="1">
      <c r="A634" s="2494"/>
      <c r="B634" s="1643"/>
      <c r="C634" s="1674"/>
      <c r="D634" s="1480"/>
      <c r="E634" s="1480"/>
      <c r="F634" s="1480"/>
      <c r="G634" s="1480"/>
      <c r="H634" s="1481"/>
      <c r="I634" s="1482"/>
      <c r="J634" s="1483"/>
      <c r="K634" s="1483"/>
      <c r="L634" s="1528"/>
      <c r="M634" s="1483"/>
      <c r="N634" s="1484"/>
      <c r="O634" s="1481"/>
      <c r="P634" s="1485"/>
      <c r="Q634" s="1485"/>
      <c r="R634" s="1485"/>
      <c r="S634" s="1485"/>
      <c r="T634" s="1485"/>
      <c r="U634" s="1485"/>
      <c r="V634" s="1484"/>
      <c r="W634" s="1366"/>
      <c r="X634" s="1366"/>
      <c r="Y634" s="1366"/>
      <c r="Z634" s="1366"/>
      <c r="AA634" s="1366"/>
      <c r="AB634" s="1366"/>
      <c r="AC634" s="1366"/>
      <c r="AD634" s="1366"/>
      <c r="AE634" s="1366"/>
      <c r="AF634" s="1366"/>
      <c r="AG634" s="1366"/>
      <c r="AH634" s="1366"/>
      <c r="AI634" s="1366"/>
      <c r="AJ634" s="1366"/>
      <c r="AK634" s="1366"/>
      <c r="AL634" s="1366"/>
      <c r="AM634" s="1366"/>
      <c r="AN634" s="1366"/>
      <c r="AO634" s="1366"/>
      <c r="AP634" s="1366"/>
      <c r="AQ634" s="1366"/>
      <c r="AR634" s="1366"/>
      <c r="AS634" s="1366"/>
      <c r="AT634" s="1366"/>
      <c r="AU634" s="1366"/>
      <c r="AV634" s="1366"/>
      <c r="AW634" s="1366"/>
      <c r="AX634" s="1366"/>
      <c r="AY634" s="1366"/>
      <c r="AZ634" s="1366"/>
      <c r="BA634" s="1366"/>
      <c r="BB634" s="1366"/>
      <c r="BC634" s="1366"/>
      <c r="BD634" s="1366"/>
      <c r="BE634" s="1366"/>
      <c r="BF634" s="1366"/>
      <c r="BG634" s="1366"/>
      <c r="BH634" s="1366"/>
      <c r="BI634" s="1366"/>
      <c r="BJ634" s="1366"/>
      <c r="BK634" s="1366"/>
      <c r="BL634" s="1366"/>
      <c r="BM634" s="1366"/>
      <c r="BN634" s="1366"/>
      <c r="BO634" s="1366"/>
      <c r="BP634" s="1366"/>
      <c r="BQ634" s="1366"/>
      <c r="BR634" s="1366"/>
      <c r="BS634" s="1366"/>
      <c r="BT634" s="1366"/>
      <c r="BU634" s="1366"/>
      <c r="BV634" s="1366"/>
      <c r="BW634" s="1366"/>
      <c r="BX634" s="1366"/>
      <c r="BY634" s="1366"/>
      <c r="BZ634" s="1366"/>
      <c r="CA634" s="1366"/>
      <c r="CB634" s="1366"/>
      <c r="CC634" s="1366"/>
      <c r="CD634" s="1366"/>
      <c r="CE634" s="1366"/>
      <c r="CF634" s="1366"/>
      <c r="CG634" s="1366"/>
      <c r="CH634" s="1366"/>
      <c r="CI634" s="1366"/>
      <c r="CJ634" s="1366"/>
      <c r="CK634" s="1366"/>
      <c r="CL634" s="1366"/>
      <c r="CM634" s="1366"/>
      <c r="CN634" s="1366"/>
      <c r="CO634" s="1366"/>
      <c r="CP634" s="1366"/>
      <c r="CQ634" s="1366"/>
      <c r="CR634" s="1366"/>
      <c r="CS634" s="1366"/>
      <c r="CT634" s="1366"/>
      <c r="CU634" s="1366"/>
      <c r="CV634" s="1366"/>
      <c r="CW634" s="1366"/>
      <c r="CX634" s="1366"/>
      <c r="CY634" s="1366"/>
      <c r="CZ634" s="1366"/>
      <c r="DA634" s="1366"/>
      <c r="DB634" s="1366"/>
      <c r="DC634" s="1366"/>
      <c r="DD634" s="1366"/>
      <c r="DE634" s="1366"/>
      <c r="DF634" s="1366"/>
      <c r="DG634" s="1366"/>
      <c r="DH634" s="1366"/>
      <c r="DI634" s="1366"/>
      <c r="DJ634" s="1366"/>
      <c r="DK634" s="1366"/>
      <c r="DL634" s="1366"/>
      <c r="DM634" s="1366"/>
      <c r="DN634" s="1366"/>
      <c r="DO634" s="1366"/>
      <c r="DP634" s="1366"/>
      <c r="DQ634" s="1366"/>
      <c r="DR634" s="1366"/>
      <c r="DS634" s="1366"/>
      <c r="DT634" s="1366"/>
      <c r="DU634" s="1366"/>
      <c r="DV634" s="1366"/>
    </row>
    <row r="635" spans="1:126" s="1367" customFormat="1" hidden="1">
      <c r="A635" s="2494"/>
      <c r="B635" s="1643"/>
      <c r="C635" s="1674"/>
      <c r="D635" s="1480"/>
      <c r="E635" s="1480"/>
      <c r="F635" s="1480"/>
      <c r="G635" s="1480"/>
      <c r="H635" s="1481"/>
      <c r="I635" s="1482"/>
      <c r="J635" s="1483"/>
      <c r="K635" s="1483"/>
      <c r="L635" s="1528"/>
      <c r="M635" s="1483"/>
      <c r="N635" s="1484"/>
      <c r="O635" s="1481"/>
      <c r="P635" s="1485"/>
      <c r="Q635" s="1485"/>
      <c r="R635" s="1485"/>
      <c r="S635" s="1485"/>
      <c r="T635" s="1485"/>
      <c r="U635" s="1485"/>
      <c r="V635" s="1484"/>
      <c r="W635" s="1366"/>
      <c r="X635" s="1366"/>
      <c r="Y635" s="1366"/>
      <c r="Z635" s="1366"/>
      <c r="AA635" s="1366"/>
      <c r="AB635" s="1366"/>
      <c r="AC635" s="1366"/>
      <c r="AD635" s="1366"/>
      <c r="AE635" s="1366"/>
      <c r="AF635" s="1366"/>
      <c r="AG635" s="1366"/>
      <c r="AH635" s="1366"/>
      <c r="AI635" s="1366"/>
      <c r="AJ635" s="1366"/>
      <c r="AK635" s="1366"/>
      <c r="AL635" s="1366"/>
      <c r="AM635" s="1366"/>
      <c r="AN635" s="1366"/>
      <c r="AO635" s="1366"/>
      <c r="AP635" s="1366"/>
      <c r="AQ635" s="1366"/>
      <c r="AR635" s="1366"/>
      <c r="AS635" s="1366"/>
      <c r="AT635" s="1366"/>
      <c r="AU635" s="1366"/>
      <c r="AV635" s="1366"/>
      <c r="AW635" s="1366"/>
      <c r="AX635" s="1366"/>
      <c r="AY635" s="1366"/>
      <c r="AZ635" s="1366"/>
      <c r="BA635" s="1366"/>
      <c r="BB635" s="1366"/>
      <c r="BC635" s="1366"/>
      <c r="BD635" s="1366"/>
      <c r="BE635" s="1366"/>
      <c r="BF635" s="1366"/>
      <c r="BG635" s="1366"/>
      <c r="BH635" s="1366"/>
      <c r="BI635" s="1366"/>
      <c r="BJ635" s="1366"/>
      <c r="BK635" s="1366"/>
      <c r="BL635" s="1366"/>
      <c r="BM635" s="1366"/>
      <c r="BN635" s="1366"/>
      <c r="BO635" s="1366"/>
      <c r="BP635" s="1366"/>
      <c r="BQ635" s="1366"/>
      <c r="BR635" s="1366"/>
      <c r="BS635" s="1366"/>
      <c r="BT635" s="1366"/>
      <c r="BU635" s="1366"/>
      <c r="BV635" s="1366"/>
      <c r="BW635" s="1366"/>
      <c r="BX635" s="1366"/>
      <c r="BY635" s="1366"/>
      <c r="BZ635" s="1366"/>
      <c r="CA635" s="1366"/>
      <c r="CB635" s="1366"/>
      <c r="CC635" s="1366"/>
      <c r="CD635" s="1366"/>
      <c r="CE635" s="1366"/>
      <c r="CF635" s="1366"/>
      <c r="CG635" s="1366"/>
      <c r="CH635" s="1366"/>
      <c r="CI635" s="1366"/>
      <c r="CJ635" s="1366"/>
      <c r="CK635" s="1366"/>
      <c r="CL635" s="1366"/>
      <c r="CM635" s="1366"/>
      <c r="CN635" s="1366"/>
      <c r="CO635" s="1366"/>
      <c r="CP635" s="1366"/>
      <c r="CQ635" s="1366"/>
      <c r="CR635" s="1366"/>
      <c r="CS635" s="1366"/>
      <c r="CT635" s="1366"/>
      <c r="CU635" s="1366"/>
      <c r="CV635" s="1366"/>
      <c r="CW635" s="1366"/>
      <c r="CX635" s="1366"/>
      <c r="CY635" s="1366"/>
      <c r="CZ635" s="1366"/>
      <c r="DA635" s="1366"/>
      <c r="DB635" s="1366"/>
      <c r="DC635" s="1366"/>
      <c r="DD635" s="1366"/>
      <c r="DE635" s="1366"/>
      <c r="DF635" s="1366"/>
      <c r="DG635" s="1366"/>
      <c r="DH635" s="1366"/>
      <c r="DI635" s="1366"/>
      <c r="DJ635" s="1366"/>
      <c r="DK635" s="1366"/>
      <c r="DL635" s="1366"/>
      <c r="DM635" s="1366"/>
      <c r="DN635" s="1366"/>
      <c r="DO635" s="1366"/>
      <c r="DP635" s="1366"/>
      <c r="DQ635" s="1366"/>
      <c r="DR635" s="1366"/>
      <c r="DS635" s="1366"/>
      <c r="DT635" s="1366"/>
      <c r="DU635" s="1366"/>
      <c r="DV635" s="1366"/>
    </row>
    <row r="636" spans="1:126" s="1367" customFormat="1" ht="15.75" hidden="1" thickBot="1">
      <c r="A636" s="2495"/>
      <c r="B636" s="1643"/>
      <c r="C636" s="1674"/>
      <c r="D636" s="1480"/>
      <c r="E636" s="1480"/>
      <c r="F636" s="1480"/>
      <c r="G636" s="1480"/>
      <c r="H636" s="1481"/>
      <c r="I636" s="1482"/>
      <c r="J636" s="1483"/>
      <c r="K636" s="1483"/>
      <c r="L636" s="1528"/>
      <c r="M636" s="1483"/>
      <c r="N636" s="1484"/>
      <c r="O636" s="1481"/>
      <c r="P636" s="1485"/>
      <c r="Q636" s="1485"/>
      <c r="R636" s="1485"/>
      <c r="S636" s="1485"/>
      <c r="T636" s="1485"/>
      <c r="U636" s="1485"/>
      <c r="V636" s="1484"/>
      <c r="W636" s="1366"/>
      <c r="X636" s="1366"/>
      <c r="Y636" s="1366"/>
      <c r="Z636" s="1366"/>
      <c r="AA636" s="1366"/>
      <c r="AB636" s="1366"/>
      <c r="AC636" s="1366"/>
      <c r="AD636" s="1366"/>
      <c r="AE636" s="1366"/>
      <c r="AF636" s="1366"/>
      <c r="AG636" s="1366"/>
      <c r="AH636" s="1366"/>
      <c r="AI636" s="1366"/>
      <c r="AJ636" s="1366"/>
      <c r="AK636" s="1366"/>
      <c r="AL636" s="1366"/>
      <c r="AM636" s="1366"/>
      <c r="AN636" s="1366"/>
      <c r="AO636" s="1366"/>
      <c r="AP636" s="1366"/>
      <c r="AQ636" s="1366"/>
      <c r="AR636" s="1366"/>
      <c r="AS636" s="1366"/>
      <c r="AT636" s="1366"/>
      <c r="AU636" s="1366"/>
      <c r="AV636" s="1366"/>
      <c r="AW636" s="1366"/>
      <c r="AX636" s="1366"/>
      <c r="AY636" s="1366"/>
      <c r="AZ636" s="1366"/>
      <c r="BA636" s="1366"/>
      <c r="BB636" s="1366"/>
      <c r="BC636" s="1366"/>
      <c r="BD636" s="1366"/>
      <c r="BE636" s="1366"/>
      <c r="BF636" s="1366"/>
      <c r="BG636" s="1366"/>
      <c r="BH636" s="1366"/>
      <c r="BI636" s="1366"/>
      <c r="BJ636" s="1366"/>
      <c r="BK636" s="1366"/>
      <c r="BL636" s="1366"/>
      <c r="BM636" s="1366"/>
      <c r="BN636" s="1366"/>
      <c r="BO636" s="1366"/>
      <c r="BP636" s="1366"/>
      <c r="BQ636" s="1366"/>
      <c r="BR636" s="1366"/>
      <c r="BS636" s="1366"/>
      <c r="BT636" s="1366"/>
      <c r="BU636" s="1366"/>
      <c r="BV636" s="1366"/>
      <c r="BW636" s="1366"/>
      <c r="BX636" s="1366"/>
      <c r="BY636" s="1366"/>
      <c r="BZ636" s="1366"/>
      <c r="CA636" s="1366"/>
      <c r="CB636" s="1366"/>
      <c r="CC636" s="1366"/>
      <c r="CD636" s="1366"/>
      <c r="CE636" s="1366"/>
      <c r="CF636" s="1366"/>
      <c r="CG636" s="1366"/>
      <c r="CH636" s="1366"/>
      <c r="CI636" s="1366"/>
      <c r="CJ636" s="1366"/>
      <c r="CK636" s="1366"/>
      <c r="CL636" s="1366"/>
      <c r="CM636" s="1366"/>
      <c r="CN636" s="1366"/>
      <c r="CO636" s="1366"/>
      <c r="CP636" s="1366"/>
      <c r="CQ636" s="1366"/>
      <c r="CR636" s="1366"/>
      <c r="CS636" s="1366"/>
      <c r="CT636" s="1366"/>
      <c r="CU636" s="1366"/>
      <c r="CV636" s="1366"/>
      <c r="CW636" s="1366"/>
      <c r="CX636" s="1366"/>
      <c r="CY636" s="1366"/>
      <c r="CZ636" s="1366"/>
      <c r="DA636" s="1366"/>
      <c r="DB636" s="1366"/>
      <c r="DC636" s="1366"/>
      <c r="DD636" s="1366"/>
      <c r="DE636" s="1366"/>
      <c r="DF636" s="1366"/>
      <c r="DG636" s="1366"/>
      <c r="DH636" s="1366"/>
      <c r="DI636" s="1366"/>
      <c r="DJ636" s="1366"/>
      <c r="DK636" s="1366"/>
      <c r="DL636" s="1366"/>
      <c r="DM636" s="1366"/>
      <c r="DN636" s="1366"/>
      <c r="DO636" s="1366"/>
      <c r="DP636" s="1366"/>
      <c r="DQ636" s="1366"/>
      <c r="DR636" s="1366"/>
      <c r="DS636" s="1366"/>
      <c r="DT636" s="1366"/>
      <c r="DU636" s="1366"/>
      <c r="DV636" s="1366"/>
    </row>
    <row r="637" spans="1:126" s="1479" customFormat="1" ht="19.5" hidden="1" thickBot="1">
      <c r="A637" s="695"/>
      <c r="B637" s="1655"/>
      <c r="C637" s="1655"/>
      <c r="D637" s="683"/>
      <c r="E637" s="683"/>
      <c r="F637" s="683"/>
      <c r="G637" s="683"/>
      <c r="H637" s="1413"/>
      <c r="I637" s="1443"/>
      <c r="J637" s="1414"/>
      <c r="K637" s="1413"/>
      <c r="L637" s="1529"/>
      <c r="M637" s="1413"/>
      <c r="N637" s="1489"/>
      <c r="O637" s="1413"/>
      <c r="P637" s="1414"/>
      <c r="Q637" s="1414"/>
      <c r="R637" s="1443"/>
      <c r="S637" s="1443"/>
      <c r="T637" s="1488"/>
      <c r="U637" s="1488"/>
      <c r="V637" s="1489"/>
      <c r="W637" s="1490"/>
      <c r="X637" s="1490"/>
      <c r="Y637" s="327"/>
      <c r="Z637" s="327"/>
      <c r="AA637" s="327"/>
      <c r="AB637" s="1490"/>
      <c r="AC637" s="1490"/>
      <c r="AD637" s="1490"/>
      <c r="AE637" s="1490"/>
      <c r="AF637" s="327"/>
      <c r="AG637" s="327"/>
      <c r="AH637" s="327"/>
      <c r="AI637" s="327"/>
      <c r="AJ637" s="327"/>
      <c r="AK637" s="1478"/>
      <c r="AL637" s="1478"/>
      <c r="AM637" s="1478"/>
      <c r="AN637" s="1478"/>
      <c r="AO637" s="1478"/>
      <c r="AP637" s="1478"/>
      <c r="AQ637" s="1478"/>
      <c r="AR637" s="1478"/>
      <c r="AS637" s="1478"/>
      <c r="AT637" s="1478"/>
      <c r="AU637" s="1478"/>
      <c r="AV637" s="1478"/>
      <c r="AW637" s="1478"/>
      <c r="AX637" s="1478"/>
      <c r="AY637" s="1478"/>
      <c r="AZ637" s="1478"/>
      <c r="BA637" s="1478"/>
      <c r="BB637" s="1478"/>
      <c r="BC637" s="1478"/>
      <c r="BD637" s="1478"/>
      <c r="BE637" s="1478"/>
      <c r="BF637" s="1478"/>
      <c r="BG637" s="1478"/>
      <c r="BH637" s="1478"/>
      <c r="BI637" s="1478"/>
      <c r="BJ637" s="1478"/>
      <c r="BK637" s="327"/>
      <c r="BL637" s="327"/>
      <c r="BM637" s="327"/>
      <c r="BN637" s="327"/>
      <c r="BO637" s="327"/>
      <c r="BP637" s="327"/>
      <c r="BQ637" s="327"/>
      <c r="BR637" s="327"/>
      <c r="BS637" s="327"/>
      <c r="BT637" s="327"/>
      <c r="BU637" s="327"/>
      <c r="BV637" s="327"/>
      <c r="BW637" s="327"/>
      <c r="BX637" s="327"/>
      <c r="BY637" s="327"/>
      <c r="BZ637" s="327"/>
      <c r="CA637" s="327"/>
      <c r="CB637" s="327"/>
      <c r="CC637" s="327"/>
      <c r="CD637" s="327"/>
      <c r="CE637" s="327"/>
      <c r="CF637" s="327"/>
      <c r="CG637" s="327"/>
      <c r="CH637" s="327"/>
      <c r="CI637" s="327"/>
      <c r="CJ637" s="327"/>
      <c r="CK637" s="327"/>
      <c r="CL637" s="327"/>
      <c r="CM637" s="327"/>
      <c r="CN637" s="327"/>
      <c r="CO637" s="327"/>
      <c r="CP637" s="327"/>
      <c r="CQ637" s="327"/>
      <c r="CR637" s="327"/>
      <c r="CS637" s="327"/>
      <c r="CT637" s="327"/>
      <c r="CU637" s="327"/>
      <c r="CV637" s="327"/>
      <c r="CW637" s="327"/>
      <c r="CX637" s="327"/>
      <c r="CY637" s="327"/>
      <c r="CZ637" s="327"/>
      <c r="DA637" s="327"/>
      <c r="DB637" s="327"/>
      <c r="DC637" s="327"/>
      <c r="DD637" s="327"/>
      <c r="DE637" s="327"/>
      <c r="DF637" s="327"/>
      <c r="DG637" s="327"/>
      <c r="DH637" s="327"/>
      <c r="DI637" s="327"/>
      <c r="DJ637" s="327"/>
      <c r="DK637" s="327"/>
      <c r="DL637" s="327"/>
      <c r="DM637" s="327"/>
      <c r="DN637" s="327"/>
      <c r="DO637" s="327"/>
      <c r="DP637" s="327"/>
      <c r="DQ637" s="327"/>
      <c r="DR637" s="327"/>
      <c r="DS637" s="327"/>
      <c r="DT637" s="327"/>
      <c r="DU637" s="327"/>
      <c r="DV637" s="327"/>
    </row>
    <row r="638" spans="1:126" s="1367" customFormat="1" hidden="1">
      <c r="A638" s="2493" t="s">
        <v>1373</v>
      </c>
      <c r="B638" s="1643"/>
      <c r="C638" s="1674"/>
      <c r="D638" s="1480"/>
      <c r="E638" s="1480"/>
      <c r="F638" s="1480"/>
      <c r="G638" s="1480"/>
      <c r="H638" s="1481"/>
      <c r="I638" s="1482"/>
      <c r="J638" s="1483"/>
      <c r="K638" s="1483"/>
      <c r="L638" s="1528"/>
      <c r="M638" s="1483"/>
      <c r="N638" s="1484"/>
      <c r="O638" s="1481"/>
      <c r="P638" s="1485"/>
      <c r="Q638" s="1485"/>
      <c r="R638" s="1485"/>
      <c r="S638" s="1485"/>
      <c r="T638" s="1485"/>
      <c r="U638" s="1485"/>
      <c r="V638" s="1484"/>
      <c r="W638" s="1366"/>
      <c r="X638" s="1366"/>
      <c r="Y638" s="1366"/>
      <c r="Z638" s="1366"/>
      <c r="AA638" s="1366"/>
      <c r="AB638" s="1366"/>
      <c r="AC638" s="1366"/>
      <c r="AD638" s="1366"/>
      <c r="AE638" s="1366"/>
      <c r="AF638" s="1366"/>
      <c r="AG638" s="1366"/>
      <c r="AH638" s="1366"/>
      <c r="AI638" s="1366"/>
      <c r="AJ638" s="1366"/>
      <c r="AK638" s="1366"/>
      <c r="AL638" s="1366"/>
      <c r="AM638" s="1366"/>
      <c r="AN638" s="1366"/>
      <c r="AO638" s="1366"/>
      <c r="AP638" s="1366"/>
      <c r="AQ638" s="1366"/>
      <c r="AR638" s="1366"/>
      <c r="AS638" s="1366"/>
      <c r="AT638" s="1366"/>
      <c r="AU638" s="1366"/>
      <c r="AV638" s="1366"/>
      <c r="AW638" s="1366"/>
      <c r="AX638" s="1366"/>
      <c r="AY638" s="1366"/>
      <c r="AZ638" s="1366"/>
      <c r="BA638" s="1366"/>
      <c r="BB638" s="1366"/>
      <c r="BC638" s="1366"/>
      <c r="BD638" s="1366"/>
      <c r="BE638" s="1366"/>
      <c r="BF638" s="1366"/>
      <c r="BG638" s="1366"/>
      <c r="BH638" s="1366"/>
      <c r="BI638" s="1366"/>
      <c r="BJ638" s="1366"/>
      <c r="BK638" s="1366"/>
      <c r="BL638" s="1366"/>
      <c r="BM638" s="1366"/>
      <c r="BN638" s="1366"/>
      <c r="BO638" s="1366"/>
      <c r="BP638" s="1366"/>
      <c r="BQ638" s="1366"/>
      <c r="BR638" s="1366"/>
      <c r="BS638" s="1366"/>
      <c r="BT638" s="1366"/>
      <c r="BU638" s="1366"/>
      <c r="BV638" s="1366"/>
      <c r="BW638" s="1366"/>
      <c r="BX638" s="1366"/>
      <c r="BY638" s="1366"/>
      <c r="BZ638" s="1366"/>
      <c r="CA638" s="1366"/>
      <c r="CB638" s="1366"/>
      <c r="CC638" s="1366"/>
      <c r="CD638" s="1366"/>
      <c r="CE638" s="1366"/>
      <c r="CF638" s="1366"/>
      <c r="CG638" s="1366"/>
      <c r="CH638" s="1366"/>
      <c r="CI638" s="1366"/>
      <c r="CJ638" s="1366"/>
      <c r="CK638" s="1366"/>
      <c r="CL638" s="1366"/>
      <c r="CM638" s="1366"/>
      <c r="CN638" s="1366"/>
      <c r="CO638" s="1366"/>
      <c r="CP638" s="1366"/>
      <c r="CQ638" s="1366"/>
      <c r="CR638" s="1366"/>
      <c r="CS638" s="1366"/>
      <c r="CT638" s="1366"/>
      <c r="CU638" s="1366"/>
      <c r="CV638" s="1366"/>
      <c r="CW638" s="1366"/>
      <c r="CX638" s="1366"/>
      <c r="CY638" s="1366"/>
      <c r="CZ638" s="1366"/>
      <c r="DA638" s="1366"/>
      <c r="DB638" s="1366"/>
      <c r="DC638" s="1366"/>
      <c r="DD638" s="1366"/>
      <c r="DE638" s="1366"/>
      <c r="DF638" s="1366"/>
      <c r="DG638" s="1366"/>
      <c r="DH638" s="1366"/>
      <c r="DI638" s="1366"/>
      <c r="DJ638" s="1366"/>
      <c r="DK638" s="1366"/>
      <c r="DL638" s="1366"/>
      <c r="DM638" s="1366"/>
      <c r="DN638" s="1366"/>
      <c r="DO638" s="1366"/>
      <c r="DP638" s="1366"/>
      <c r="DQ638" s="1366"/>
      <c r="DR638" s="1366"/>
      <c r="DS638" s="1366"/>
      <c r="DT638" s="1366"/>
      <c r="DU638" s="1366"/>
      <c r="DV638" s="1366"/>
    </row>
    <row r="639" spans="1:126" s="1367" customFormat="1" hidden="1">
      <c r="A639" s="2503"/>
      <c r="B639" s="1643"/>
      <c r="C639" s="1674"/>
      <c r="D639" s="1480"/>
      <c r="E639" s="1480"/>
      <c r="F639" s="1480"/>
      <c r="G639" s="1480"/>
      <c r="H639" s="1481"/>
      <c r="I639" s="1482"/>
      <c r="J639" s="1483"/>
      <c r="K639" s="1483"/>
      <c r="L639" s="1528"/>
      <c r="M639" s="1483"/>
      <c r="N639" s="1484"/>
      <c r="O639" s="1481"/>
      <c r="P639" s="1485"/>
      <c r="Q639" s="1485"/>
      <c r="R639" s="1485"/>
      <c r="S639" s="1485"/>
      <c r="T639" s="1485"/>
      <c r="U639" s="1485"/>
      <c r="V639" s="1484"/>
      <c r="W639" s="1366"/>
      <c r="X639" s="1366"/>
      <c r="Y639" s="1366"/>
      <c r="Z639" s="1366"/>
      <c r="AA639" s="1366"/>
      <c r="AB639" s="1366"/>
      <c r="AC639" s="1366"/>
      <c r="AD639" s="1366"/>
      <c r="AE639" s="1366"/>
      <c r="AF639" s="1366"/>
      <c r="AG639" s="1366"/>
      <c r="AH639" s="1366"/>
      <c r="AI639" s="1366"/>
      <c r="AJ639" s="1366"/>
      <c r="AK639" s="1366"/>
      <c r="AL639" s="1366"/>
      <c r="AM639" s="1366"/>
      <c r="AN639" s="1366"/>
      <c r="AO639" s="1366"/>
      <c r="AP639" s="1366"/>
      <c r="AQ639" s="1366"/>
      <c r="AR639" s="1366"/>
      <c r="AS639" s="1366"/>
      <c r="AT639" s="1366"/>
      <c r="AU639" s="1366"/>
      <c r="AV639" s="1366"/>
      <c r="AW639" s="1366"/>
      <c r="AX639" s="1366"/>
      <c r="AY639" s="1366"/>
      <c r="AZ639" s="1366"/>
      <c r="BA639" s="1366"/>
      <c r="BB639" s="1366"/>
      <c r="BC639" s="1366"/>
      <c r="BD639" s="1366"/>
      <c r="BE639" s="1366"/>
      <c r="BF639" s="1366"/>
      <c r="BG639" s="1366"/>
      <c r="BH639" s="1366"/>
      <c r="BI639" s="1366"/>
      <c r="BJ639" s="1366"/>
      <c r="BK639" s="1366"/>
      <c r="BL639" s="1366"/>
      <c r="BM639" s="1366"/>
      <c r="BN639" s="1366"/>
      <c r="BO639" s="1366"/>
      <c r="BP639" s="1366"/>
      <c r="BQ639" s="1366"/>
      <c r="BR639" s="1366"/>
      <c r="BS639" s="1366"/>
      <c r="BT639" s="1366"/>
      <c r="BU639" s="1366"/>
      <c r="BV639" s="1366"/>
      <c r="BW639" s="1366"/>
      <c r="BX639" s="1366"/>
      <c r="BY639" s="1366"/>
      <c r="BZ639" s="1366"/>
      <c r="CA639" s="1366"/>
      <c r="CB639" s="1366"/>
      <c r="CC639" s="1366"/>
      <c r="CD639" s="1366"/>
      <c r="CE639" s="1366"/>
      <c r="CF639" s="1366"/>
      <c r="CG639" s="1366"/>
      <c r="CH639" s="1366"/>
      <c r="CI639" s="1366"/>
      <c r="CJ639" s="1366"/>
      <c r="CK639" s="1366"/>
      <c r="CL639" s="1366"/>
      <c r="CM639" s="1366"/>
      <c r="CN639" s="1366"/>
      <c r="CO639" s="1366"/>
      <c r="CP639" s="1366"/>
      <c r="CQ639" s="1366"/>
      <c r="CR639" s="1366"/>
      <c r="CS639" s="1366"/>
      <c r="CT639" s="1366"/>
      <c r="CU639" s="1366"/>
      <c r="CV639" s="1366"/>
      <c r="CW639" s="1366"/>
      <c r="CX639" s="1366"/>
      <c r="CY639" s="1366"/>
      <c r="CZ639" s="1366"/>
      <c r="DA639" s="1366"/>
      <c r="DB639" s="1366"/>
      <c r="DC639" s="1366"/>
      <c r="DD639" s="1366"/>
      <c r="DE639" s="1366"/>
      <c r="DF639" s="1366"/>
      <c r="DG639" s="1366"/>
      <c r="DH639" s="1366"/>
      <c r="DI639" s="1366"/>
      <c r="DJ639" s="1366"/>
      <c r="DK639" s="1366"/>
      <c r="DL639" s="1366"/>
      <c r="DM639" s="1366"/>
      <c r="DN639" s="1366"/>
      <c r="DO639" s="1366"/>
      <c r="DP639" s="1366"/>
      <c r="DQ639" s="1366"/>
      <c r="DR639" s="1366"/>
      <c r="DS639" s="1366"/>
      <c r="DT639" s="1366"/>
      <c r="DU639" s="1366"/>
      <c r="DV639" s="1366"/>
    </row>
    <row r="640" spans="1:126" s="1367" customFormat="1" hidden="1">
      <c r="A640" s="2503"/>
      <c r="B640" s="1643"/>
      <c r="C640" s="1674"/>
      <c r="D640" s="1480"/>
      <c r="E640" s="1480"/>
      <c r="F640" s="1480"/>
      <c r="G640" s="1480"/>
      <c r="H640" s="1481"/>
      <c r="I640" s="1482"/>
      <c r="J640" s="1483"/>
      <c r="K640" s="1483"/>
      <c r="L640" s="1528"/>
      <c r="M640" s="1483"/>
      <c r="N640" s="1484"/>
      <c r="O640" s="1481"/>
      <c r="P640" s="1485"/>
      <c r="Q640" s="1485"/>
      <c r="R640" s="1485"/>
      <c r="S640" s="1485"/>
      <c r="T640" s="1485"/>
      <c r="U640" s="1485"/>
      <c r="V640" s="1484"/>
      <c r="W640" s="1366"/>
      <c r="X640" s="1366"/>
      <c r="Y640" s="1366"/>
      <c r="Z640" s="1366"/>
      <c r="AA640" s="1366"/>
      <c r="AB640" s="1366"/>
      <c r="AC640" s="1366"/>
      <c r="AD640" s="1366"/>
      <c r="AE640" s="1366"/>
      <c r="AF640" s="1366"/>
      <c r="AG640" s="1366"/>
      <c r="AH640" s="1366"/>
      <c r="AI640" s="1366"/>
      <c r="AJ640" s="1366"/>
      <c r="AK640" s="1366"/>
      <c r="AL640" s="1366"/>
      <c r="AM640" s="1366"/>
      <c r="AN640" s="1366"/>
      <c r="AO640" s="1366"/>
      <c r="AP640" s="1366"/>
      <c r="AQ640" s="1366"/>
      <c r="AR640" s="1366"/>
      <c r="AS640" s="1366"/>
      <c r="AT640" s="1366"/>
      <c r="AU640" s="1366"/>
      <c r="AV640" s="1366"/>
      <c r="AW640" s="1366"/>
      <c r="AX640" s="1366"/>
      <c r="AY640" s="1366"/>
      <c r="AZ640" s="1366"/>
      <c r="BA640" s="1366"/>
      <c r="BB640" s="1366"/>
      <c r="BC640" s="1366"/>
      <c r="BD640" s="1366"/>
      <c r="BE640" s="1366"/>
      <c r="BF640" s="1366"/>
      <c r="BG640" s="1366"/>
      <c r="BH640" s="1366"/>
      <c r="BI640" s="1366"/>
      <c r="BJ640" s="1366"/>
      <c r="BK640" s="1366"/>
      <c r="BL640" s="1366"/>
      <c r="BM640" s="1366"/>
      <c r="BN640" s="1366"/>
      <c r="BO640" s="1366"/>
      <c r="BP640" s="1366"/>
      <c r="BQ640" s="1366"/>
      <c r="BR640" s="1366"/>
      <c r="BS640" s="1366"/>
      <c r="BT640" s="1366"/>
      <c r="BU640" s="1366"/>
      <c r="BV640" s="1366"/>
      <c r="BW640" s="1366"/>
      <c r="BX640" s="1366"/>
      <c r="BY640" s="1366"/>
      <c r="BZ640" s="1366"/>
      <c r="CA640" s="1366"/>
      <c r="CB640" s="1366"/>
      <c r="CC640" s="1366"/>
      <c r="CD640" s="1366"/>
      <c r="CE640" s="1366"/>
      <c r="CF640" s="1366"/>
      <c r="CG640" s="1366"/>
      <c r="CH640" s="1366"/>
      <c r="CI640" s="1366"/>
      <c r="CJ640" s="1366"/>
      <c r="CK640" s="1366"/>
      <c r="CL640" s="1366"/>
      <c r="CM640" s="1366"/>
      <c r="CN640" s="1366"/>
      <c r="CO640" s="1366"/>
      <c r="CP640" s="1366"/>
      <c r="CQ640" s="1366"/>
      <c r="CR640" s="1366"/>
      <c r="CS640" s="1366"/>
      <c r="CT640" s="1366"/>
      <c r="CU640" s="1366"/>
      <c r="CV640" s="1366"/>
      <c r="CW640" s="1366"/>
      <c r="CX640" s="1366"/>
      <c r="CY640" s="1366"/>
      <c r="CZ640" s="1366"/>
      <c r="DA640" s="1366"/>
      <c r="DB640" s="1366"/>
      <c r="DC640" s="1366"/>
      <c r="DD640" s="1366"/>
      <c r="DE640" s="1366"/>
      <c r="DF640" s="1366"/>
      <c r="DG640" s="1366"/>
      <c r="DH640" s="1366"/>
      <c r="DI640" s="1366"/>
      <c r="DJ640" s="1366"/>
      <c r="DK640" s="1366"/>
      <c r="DL640" s="1366"/>
      <c r="DM640" s="1366"/>
      <c r="DN640" s="1366"/>
      <c r="DO640" s="1366"/>
      <c r="DP640" s="1366"/>
      <c r="DQ640" s="1366"/>
      <c r="DR640" s="1366"/>
      <c r="DS640" s="1366"/>
      <c r="DT640" s="1366"/>
      <c r="DU640" s="1366"/>
      <c r="DV640" s="1366"/>
    </row>
    <row r="641" spans="1:126" s="1367" customFormat="1" hidden="1">
      <c r="A641" s="2503"/>
      <c r="B641" s="1643"/>
      <c r="C641" s="1674"/>
      <c r="D641" s="1480"/>
      <c r="E641" s="1480"/>
      <c r="F641" s="1480"/>
      <c r="G641" s="1480"/>
      <c r="H641" s="1481"/>
      <c r="I641" s="1482"/>
      <c r="J641" s="1483"/>
      <c r="K641" s="1483"/>
      <c r="L641" s="1528"/>
      <c r="M641" s="1483"/>
      <c r="N641" s="1484"/>
      <c r="O641" s="1481"/>
      <c r="P641" s="1485"/>
      <c r="Q641" s="1485"/>
      <c r="R641" s="1485"/>
      <c r="S641" s="1485"/>
      <c r="T641" s="1485"/>
      <c r="U641" s="1485"/>
      <c r="V641" s="1484"/>
      <c r="W641" s="1366"/>
      <c r="X641" s="1366"/>
      <c r="Y641" s="1366"/>
      <c r="Z641" s="1366"/>
      <c r="AA641" s="1366"/>
      <c r="AB641" s="1366"/>
      <c r="AC641" s="1366"/>
      <c r="AD641" s="1366"/>
      <c r="AE641" s="1366"/>
      <c r="AF641" s="1366"/>
      <c r="AG641" s="1366"/>
      <c r="AH641" s="1366"/>
      <c r="AI641" s="1366"/>
      <c r="AJ641" s="1366"/>
      <c r="AK641" s="1366"/>
      <c r="AL641" s="1366"/>
      <c r="AM641" s="1366"/>
      <c r="AN641" s="1366"/>
      <c r="AO641" s="1366"/>
      <c r="AP641" s="1366"/>
      <c r="AQ641" s="1366"/>
      <c r="AR641" s="1366"/>
      <c r="AS641" s="1366"/>
      <c r="AT641" s="1366"/>
      <c r="AU641" s="1366"/>
      <c r="AV641" s="1366"/>
      <c r="AW641" s="1366"/>
      <c r="AX641" s="1366"/>
      <c r="AY641" s="1366"/>
      <c r="AZ641" s="1366"/>
      <c r="BA641" s="1366"/>
      <c r="BB641" s="1366"/>
      <c r="BC641" s="1366"/>
      <c r="BD641" s="1366"/>
      <c r="BE641" s="1366"/>
      <c r="BF641" s="1366"/>
      <c r="BG641" s="1366"/>
      <c r="BH641" s="1366"/>
      <c r="BI641" s="1366"/>
      <c r="BJ641" s="1366"/>
      <c r="BK641" s="1366"/>
      <c r="BL641" s="1366"/>
      <c r="BM641" s="1366"/>
      <c r="BN641" s="1366"/>
      <c r="BO641" s="1366"/>
      <c r="BP641" s="1366"/>
      <c r="BQ641" s="1366"/>
      <c r="BR641" s="1366"/>
      <c r="BS641" s="1366"/>
      <c r="BT641" s="1366"/>
      <c r="BU641" s="1366"/>
      <c r="BV641" s="1366"/>
      <c r="BW641" s="1366"/>
      <c r="BX641" s="1366"/>
      <c r="BY641" s="1366"/>
      <c r="BZ641" s="1366"/>
      <c r="CA641" s="1366"/>
      <c r="CB641" s="1366"/>
      <c r="CC641" s="1366"/>
      <c r="CD641" s="1366"/>
      <c r="CE641" s="1366"/>
      <c r="CF641" s="1366"/>
      <c r="CG641" s="1366"/>
      <c r="CH641" s="1366"/>
      <c r="CI641" s="1366"/>
      <c r="CJ641" s="1366"/>
      <c r="CK641" s="1366"/>
      <c r="CL641" s="1366"/>
      <c r="CM641" s="1366"/>
      <c r="CN641" s="1366"/>
      <c r="CO641" s="1366"/>
      <c r="CP641" s="1366"/>
      <c r="CQ641" s="1366"/>
      <c r="CR641" s="1366"/>
      <c r="CS641" s="1366"/>
      <c r="CT641" s="1366"/>
      <c r="CU641" s="1366"/>
      <c r="CV641" s="1366"/>
      <c r="CW641" s="1366"/>
      <c r="CX641" s="1366"/>
      <c r="CY641" s="1366"/>
      <c r="CZ641" s="1366"/>
      <c r="DA641" s="1366"/>
      <c r="DB641" s="1366"/>
      <c r="DC641" s="1366"/>
      <c r="DD641" s="1366"/>
      <c r="DE641" s="1366"/>
      <c r="DF641" s="1366"/>
      <c r="DG641" s="1366"/>
      <c r="DH641" s="1366"/>
      <c r="DI641" s="1366"/>
      <c r="DJ641" s="1366"/>
      <c r="DK641" s="1366"/>
      <c r="DL641" s="1366"/>
      <c r="DM641" s="1366"/>
      <c r="DN641" s="1366"/>
      <c r="DO641" s="1366"/>
      <c r="DP641" s="1366"/>
      <c r="DQ641" s="1366"/>
      <c r="DR641" s="1366"/>
      <c r="DS641" s="1366"/>
      <c r="DT641" s="1366"/>
      <c r="DU641" s="1366"/>
      <c r="DV641" s="1366"/>
    </row>
    <row r="642" spans="1:126" s="1367" customFormat="1" hidden="1">
      <c r="A642" s="2503"/>
      <c r="B642" s="1643"/>
      <c r="C642" s="1674"/>
      <c r="D642" s="1480"/>
      <c r="E642" s="1480"/>
      <c r="F642" s="1480"/>
      <c r="G642" s="1480"/>
      <c r="H642" s="1481"/>
      <c r="I642" s="1482"/>
      <c r="J642" s="1483"/>
      <c r="K642" s="1483"/>
      <c r="L642" s="1528"/>
      <c r="M642" s="1483"/>
      <c r="N642" s="1484"/>
      <c r="O642" s="1481"/>
      <c r="P642" s="1485"/>
      <c r="Q642" s="1485"/>
      <c r="R642" s="1485"/>
      <c r="S642" s="1485"/>
      <c r="T642" s="1485"/>
      <c r="U642" s="1485"/>
      <c r="V642" s="1484"/>
      <c r="W642" s="1366"/>
      <c r="X642" s="1366"/>
      <c r="Y642" s="1366"/>
      <c r="Z642" s="1366"/>
      <c r="AA642" s="1366"/>
      <c r="AB642" s="1366"/>
      <c r="AC642" s="1366"/>
      <c r="AD642" s="1366"/>
      <c r="AE642" s="1366"/>
      <c r="AF642" s="1366"/>
      <c r="AG642" s="1366"/>
      <c r="AH642" s="1366"/>
      <c r="AI642" s="1366"/>
      <c r="AJ642" s="1366"/>
      <c r="AK642" s="1366"/>
      <c r="AL642" s="1366"/>
      <c r="AM642" s="1366"/>
      <c r="AN642" s="1366"/>
      <c r="AO642" s="1366"/>
      <c r="AP642" s="1366"/>
      <c r="AQ642" s="1366"/>
      <c r="AR642" s="1366"/>
      <c r="AS642" s="1366"/>
      <c r="AT642" s="1366"/>
      <c r="AU642" s="1366"/>
      <c r="AV642" s="1366"/>
      <c r="AW642" s="1366"/>
      <c r="AX642" s="1366"/>
      <c r="AY642" s="1366"/>
      <c r="AZ642" s="1366"/>
      <c r="BA642" s="1366"/>
      <c r="BB642" s="1366"/>
      <c r="BC642" s="1366"/>
      <c r="BD642" s="1366"/>
      <c r="BE642" s="1366"/>
      <c r="BF642" s="1366"/>
      <c r="BG642" s="1366"/>
      <c r="BH642" s="1366"/>
      <c r="BI642" s="1366"/>
      <c r="BJ642" s="1366"/>
      <c r="BK642" s="1366"/>
      <c r="BL642" s="1366"/>
      <c r="BM642" s="1366"/>
      <c r="BN642" s="1366"/>
      <c r="BO642" s="1366"/>
      <c r="BP642" s="1366"/>
      <c r="BQ642" s="1366"/>
      <c r="BR642" s="1366"/>
      <c r="BS642" s="1366"/>
      <c r="BT642" s="1366"/>
      <c r="BU642" s="1366"/>
      <c r="BV642" s="1366"/>
      <c r="BW642" s="1366"/>
      <c r="BX642" s="1366"/>
      <c r="BY642" s="1366"/>
      <c r="BZ642" s="1366"/>
      <c r="CA642" s="1366"/>
      <c r="CB642" s="1366"/>
      <c r="CC642" s="1366"/>
      <c r="CD642" s="1366"/>
      <c r="CE642" s="1366"/>
      <c r="CF642" s="1366"/>
      <c r="CG642" s="1366"/>
      <c r="CH642" s="1366"/>
      <c r="CI642" s="1366"/>
      <c r="CJ642" s="1366"/>
      <c r="CK642" s="1366"/>
      <c r="CL642" s="1366"/>
      <c r="CM642" s="1366"/>
      <c r="CN642" s="1366"/>
      <c r="CO642" s="1366"/>
      <c r="CP642" s="1366"/>
      <c r="CQ642" s="1366"/>
      <c r="CR642" s="1366"/>
      <c r="CS642" s="1366"/>
      <c r="CT642" s="1366"/>
      <c r="CU642" s="1366"/>
      <c r="CV642" s="1366"/>
      <c r="CW642" s="1366"/>
      <c r="CX642" s="1366"/>
      <c r="CY642" s="1366"/>
      <c r="CZ642" s="1366"/>
      <c r="DA642" s="1366"/>
      <c r="DB642" s="1366"/>
      <c r="DC642" s="1366"/>
      <c r="DD642" s="1366"/>
      <c r="DE642" s="1366"/>
      <c r="DF642" s="1366"/>
      <c r="DG642" s="1366"/>
      <c r="DH642" s="1366"/>
      <c r="DI642" s="1366"/>
      <c r="DJ642" s="1366"/>
      <c r="DK642" s="1366"/>
      <c r="DL642" s="1366"/>
      <c r="DM642" s="1366"/>
      <c r="DN642" s="1366"/>
      <c r="DO642" s="1366"/>
      <c r="DP642" s="1366"/>
      <c r="DQ642" s="1366"/>
      <c r="DR642" s="1366"/>
      <c r="DS642" s="1366"/>
      <c r="DT642" s="1366"/>
      <c r="DU642" s="1366"/>
      <c r="DV642" s="1366"/>
    </row>
    <row r="643" spans="1:126" s="1367" customFormat="1" hidden="1">
      <c r="A643" s="2503"/>
      <c r="B643" s="1643"/>
      <c r="C643" s="1674"/>
      <c r="D643" s="1480"/>
      <c r="E643" s="1480"/>
      <c r="F643" s="1480"/>
      <c r="G643" s="1480"/>
      <c r="H643" s="1481"/>
      <c r="I643" s="1482"/>
      <c r="J643" s="1483"/>
      <c r="K643" s="1483"/>
      <c r="L643" s="1528"/>
      <c r="M643" s="1483"/>
      <c r="N643" s="1484"/>
      <c r="O643" s="1481"/>
      <c r="P643" s="1485"/>
      <c r="Q643" s="1485"/>
      <c r="R643" s="1485"/>
      <c r="S643" s="1485"/>
      <c r="T643" s="1485"/>
      <c r="U643" s="1485"/>
      <c r="V643" s="1484"/>
      <c r="W643" s="1366"/>
      <c r="X643" s="1366"/>
      <c r="Y643" s="1366"/>
      <c r="Z643" s="1366"/>
      <c r="AA643" s="1366"/>
      <c r="AB643" s="1366"/>
      <c r="AC643" s="1366"/>
      <c r="AD643" s="1366"/>
      <c r="AE643" s="1366"/>
      <c r="AF643" s="1366"/>
      <c r="AG643" s="1366"/>
      <c r="AH643" s="1366"/>
      <c r="AI643" s="1366"/>
      <c r="AJ643" s="1366"/>
      <c r="AK643" s="1366"/>
      <c r="AL643" s="1366"/>
      <c r="AM643" s="1366"/>
      <c r="AN643" s="1366"/>
      <c r="AO643" s="1366"/>
      <c r="AP643" s="1366"/>
      <c r="AQ643" s="1366"/>
      <c r="AR643" s="1366"/>
      <c r="AS643" s="1366"/>
      <c r="AT643" s="1366"/>
      <c r="AU643" s="1366"/>
      <c r="AV643" s="1366"/>
      <c r="AW643" s="1366"/>
      <c r="AX643" s="1366"/>
      <c r="AY643" s="1366"/>
      <c r="AZ643" s="1366"/>
      <c r="BA643" s="1366"/>
      <c r="BB643" s="1366"/>
      <c r="BC643" s="1366"/>
      <c r="BD643" s="1366"/>
      <c r="BE643" s="1366"/>
      <c r="BF643" s="1366"/>
      <c r="BG643" s="1366"/>
      <c r="BH643" s="1366"/>
      <c r="BI643" s="1366"/>
      <c r="BJ643" s="1366"/>
      <c r="BK643" s="1366"/>
      <c r="BL643" s="1366"/>
      <c r="BM643" s="1366"/>
      <c r="BN643" s="1366"/>
      <c r="BO643" s="1366"/>
      <c r="BP643" s="1366"/>
      <c r="BQ643" s="1366"/>
      <c r="BR643" s="1366"/>
      <c r="BS643" s="1366"/>
      <c r="BT643" s="1366"/>
      <c r="BU643" s="1366"/>
      <c r="BV643" s="1366"/>
      <c r="BW643" s="1366"/>
      <c r="BX643" s="1366"/>
      <c r="BY643" s="1366"/>
      <c r="BZ643" s="1366"/>
      <c r="CA643" s="1366"/>
      <c r="CB643" s="1366"/>
      <c r="CC643" s="1366"/>
      <c r="CD643" s="1366"/>
      <c r="CE643" s="1366"/>
      <c r="CF643" s="1366"/>
      <c r="CG643" s="1366"/>
      <c r="CH643" s="1366"/>
      <c r="CI643" s="1366"/>
      <c r="CJ643" s="1366"/>
      <c r="CK643" s="1366"/>
      <c r="CL643" s="1366"/>
      <c r="CM643" s="1366"/>
      <c r="CN643" s="1366"/>
      <c r="CO643" s="1366"/>
      <c r="CP643" s="1366"/>
      <c r="CQ643" s="1366"/>
      <c r="CR643" s="1366"/>
      <c r="CS643" s="1366"/>
      <c r="CT643" s="1366"/>
      <c r="CU643" s="1366"/>
      <c r="CV643" s="1366"/>
      <c r="CW643" s="1366"/>
      <c r="CX643" s="1366"/>
      <c r="CY643" s="1366"/>
      <c r="CZ643" s="1366"/>
      <c r="DA643" s="1366"/>
      <c r="DB643" s="1366"/>
      <c r="DC643" s="1366"/>
      <c r="DD643" s="1366"/>
      <c r="DE643" s="1366"/>
      <c r="DF643" s="1366"/>
      <c r="DG643" s="1366"/>
      <c r="DH643" s="1366"/>
      <c r="DI643" s="1366"/>
      <c r="DJ643" s="1366"/>
      <c r="DK643" s="1366"/>
      <c r="DL643" s="1366"/>
      <c r="DM643" s="1366"/>
      <c r="DN643" s="1366"/>
      <c r="DO643" s="1366"/>
      <c r="DP643" s="1366"/>
      <c r="DQ643" s="1366"/>
      <c r="DR643" s="1366"/>
      <c r="DS643" s="1366"/>
      <c r="DT643" s="1366"/>
      <c r="DU643" s="1366"/>
      <c r="DV643" s="1366"/>
    </row>
    <row r="644" spans="1:126" s="1367" customFormat="1" hidden="1">
      <c r="A644" s="2503"/>
      <c r="B644" s="1643"/>
      <c r="C644" s="1674"/>
      <c r="D644" s="1480"/>
      <c r="E644" s="1480"/>
      <c r="F644" s="1480"/>
      <c r="G644" s="1480"/>
      <c r="H644" s="1481"/>
      <c r="I644" s="1482"/>
      <c r="J644" s="1483"/>
      <c r="K644" s="1483"/>
      <c r="L644" s="1528"/>
      <c r="M644" s="1483"/>
      <c r="N644" s="1484"/>
      <c r="O644" s="1481"/>
      <c r="P644" s="1485"/>
      <c r="Q644" s="1485"/>
      <c r="R644" s="1485"/>
      <c r="S644" s="1485"/>
      <c r="T644" s="1485"/>
      <c r="U644" s="1485"/>
      <c r="V644" s="1484"/>
      <c r="W644" s="1366"/>
      <c r="X644" s="1366"/>
      <c r="Y644" s="1366"/>
      <c r="Z644" s="1366"/>
      <c r="AA644" s="1366"/>
      <c r="AB644" s="1366"/>
      <c r="AC644" s="1366"/>
      <c r="AD644" s="1366"/>
      <c r="AE644" s="1366"/>
      <c r="AF644" s="1366"/>
      <c r="AG644" s="1366"/>
      <c r="AH644" s="1366"/>
      <c r="AI644" s="1366"/>
      <c r="AJ644" s="1366"/>
      <c r="AK644" s="1366"/>
      <c r="AL644" s="1366"/>
      <c r="AM644" s="1366"/>
      <c r="AN644" s="1366"/>
      <c r="AO644" s="1366"/>
      <c r="AP644" s="1366"/>
      <c r="AQ644" s="1366"/>
      <c r="AR644" s="1366"/>
      <c r="AS644" s="1366"/>
      <c r="AT644" s="1366"/>
      <c r="AU644" s="1366"/>
      <c r="AV644" s="1366"/>
      <c r="AW644" s="1366"/>
      <c r="AX644" s="1366"/>
      <c r="AY644" s="1366"/>
      <c r="AZ644" s="1366"/>
      <c r="BA644" s="1366"/>
      <c r="BB644" s="1366"/>
      <c r="BC644" s="1366"/>
      <c r="BD644" s="1366"/>
      <c r="BE644" s="1366"/>
      <c r="BF644" s="1366"/>
      <c r="BG644" s="1366"/>
      <c r="BH644" s="1366"/>
      <c r="BI644" s="1366"/>
      <c r="BJ644" s="1366"/>
      <c r="BK644" s="1366"/>
      <c r="BL644" s="1366"/>
      <c r="BM644" s="1366"/>
      <c r="BN644" s="1366"/>
      <c r="BO644" s="1366"/>
      <c r="BP644" s="1366"/>
      <c r="BQ644" s="1366"/>
      <c r="BR644" s="1366"/>
      <c r="BS644" s="1366"/>
      <c r="BT644" s="1366"/>
      <c r="BU644" s="1366"/>
      <c r="BV644" s="1366"/>
      <c r="BW644" s="1366"/>
      <c r="BX644" s="1366"/>
      <c r="BY644" s="1366"/>
      <c r="BZ644" s="1366"/>
      <c r="CA644" s="1366"/>
      <c r="CB644" s="1366"/>
      <c r="CC644" s="1366"/>
      <c r="CD644" s="1366"/>
      <c r="CE644" s="1366"/>
      <c r="CF644" s="1366"/>
      <c r="CG644" s="1366"/>
      <c r="CH644" s="1366"/>
      <c r="CI644" s="1366"/>
      <c r="CJ644" s="1366"/>
      <c r="CK644" s="1366"/>
      <c r="CL644" s="1366"/>
      <c r="CM644" s="1366"/>
      <c r="CN644" s="1366"/>
      <c r="CO644" s="1366"/>
      <c r="CP644" s="1366"/>
      <c r="CQ644" s="1366"/>
      <c r="CR644" s="1366"/>
      <c r="CS644" s="1366"/>
      <c r="CT644" s="1366"/>
      <c r="CU644" s="1366"/>
      <c r="CV644" s="1366"/>
      <c r="CW644" s="1366"/>
      <c r="CX644" s="1366"/>
      <c r="CY644" s="1366"/>
      <c r="CZ644" s="1366"/>
      <c r="DA644" s="1366"/>
      <c r="DB644" s="1366"/>
      <c r="DC644" s="1366"/>
      <c r="DD644" s="1366"/>
      <c r="DE644" s="1366"/>
      <c r="DF644" s="1366"/>
      <c r="DG644" s="1366"/>
      <c r="DH644" s="1366"/>
      <c r="DI644" s="1366"/>
      <c r="DJ644" s="1366"/>
      <c r="DK644" s="1366"/>
      <c r="DL644" s="1366"/>
      <c r="DM644" s="1366"/>
      <c r="DN644" s="1366"/>
      <c r="DO644" s="1366"/>
      <c r="DP644" s="1366"/>
      <c r="DQ644" s="1366"/>
      <c r="DR644" s="1366"/>
      <c r="DS644" s="1366"/>
      <c r="DT644" s="1366"/>
      <c r="DU644" s="1366"/>
      <c r="DV644" s="1366"/>
    </row>
    <row r="645" spans="1:126" s="1367" customFormat="1" hidden="1">
      <c r="A645" s="2523"/>
      <c r="B645" s="1643"/>
      <c r="C645" s="1674"/>
      <c r="D645" s="1480"/>
      <c r="E645" s="1480"/>
      <c r="F645" s="1480"/>
      <c r="G645" s="1480"/>
      <c r="H645" s="1481"/>
      <c r="I645" s="1482"/>
      <c r="J645" s="1483"/>
      <c r="K645" s="1483"/>
      <c r="L645" s="1528"/>
      <c r="M645" s="1483"/>
      <c r="N645" s="1484"/>
      <c r="O645" s="1481"/>
      <c r="P645" s="1485"/>
      <c r="Q645" s="1485"/>
      <c r="R645" s="1485"/>
      <c r="S645" s="1485"/>
      <c r="T645" s="1485"/>
      <c r="U645" s="1485"/>
      <c r="V645" s="1484"/>
      <c r="W645" s="1366"/>
      <c r="X645" s="1366"/>
      <c r="Y645" s="1366"/>
      <c r="Z645" s="1366"/>
      <c r="AA645" s="1366"/>
      <c r="AB645" s="1366"/>
      <c r="AC645" s="1366"/>
      <c r="AD645" s="1366"/>
      <c r="AE645" s="1366"/>
      <c r="AF645" s="1366"/>
      <c r="AG645" s="1366"/>
      <c r="AH645" s="1366"/>
      <c r="AI645" s="1366"/>
      <c r="AJ645" s="1366"/>
      <c r="AK645" s="1366"/>
      <c r="AL645" s="1366"/>
      <c r="AM645" s="1366"/>
      <c r="AN645" s="1366"/>
      <c r="AO645" s="1366"/>
      <c r="AP645" s="1366"/>
      <c r="AQ645" s="1366"/>
      <c r="AR645" s="1366"/>
      <c r="AS645" s="1366"/>
      <c r="AT645" s="1366"/>
      <c r="AU645" s="1366"/>
      <c r="AV645" s="1366"/>
      <c r="AW645" s="1366"/>
      <c r="AX645" s="1366"/>
      <c r="AY645" s="1366"/>
      <c r="AZ645" s="1366"/>
      <c r="BA645" s="1366"/>
      <c r="BB645" s="1366"/>
      <c r="BC645" s="1366"/>
      <c r="BD645" s="1366"/>
      <c r="BE645" s="1366"/>
      <c r="BF645" s="1366"/>
      <c r="BG645" s="1366"/>
      <c r="BH645" s="1366"/>
      <c r="BI645" s="1366"/>
      <c r="BJ645" s="1366"/>
      <c r="BK645" s="1366"/>
      <c r="BL645" s="1366"/>
      <c r="BM645" s="1366"/>
      <c r="BN645" s="1366"/>
      <c r="BO645" s="1366"/>
      <c r="BP645" s="1366"/>
      <c r="BQ645" s="1366"/>
      <c r="BR645" s="1366"/>
      <c r="BS645" s="1366"/>
      <c r="BT645" s="1366"/>
      <c r="BU645" s="1366"/>
      <c r="BV645" s="1366"/>
      <c r="BW645" s="1366"/>
      <c r="BX645" s="1366"/>
      <c r="BY645" s="1366"/>
      <c r="BZ645" s="1366"/>
      <c r="CA645" s="1366"/>
      <c r="CB645" s="1366"/>
      <c r="CC645" s="1366"/>
      <c r="CD645" s="1366"/>
      <c r="CE645" s="1366"/>
      <c r="CF645" s="1366"/>
      <c r="CG645" s="1366"/>
      <c r="CH645" s="1366"/>
      <c r="CI645" s="1366"/>
      <c r="CJ645" s="1366"/>
      <c r="CK645" s="1366"/>
      <c r="CL645" s="1366"/>
      <c r="CM645" s="1366"/>
      <c r="CN645" s="1366"/>
      <c r="CO645" s="1366"/>
      <c r="CP645" s="1366"/>
      <c r="CQ645" s="1366"/>
      <c r="CR645" s="1366"/>
      <c r="CS645" s="1366"/>
      <c r="CT645" s="1366"/>
      <c r="CU645" s="1366"/>
      <c r="CV645" s="1366"/>
      <c r="CW645" s="1366"/>
      <c r="CX645" s="1366"/>
      <c r="CY645" s="1366"/>
      <c r="CZ645" s="1366"/>
      <c r="DA645" s="1366"/>
      <c r="DB645" s="1366"/>
      <c r="DC645" s="1366"/>
      <c r="DD645" s="1366"/>
      <c r="DE645" s="1366"/>
      <c r="DF645" s="1366"/>
      <c r="DG645" s="1366"/>
      <c r="DH645" s="1366"/>
      <c r="DI645" s="1366"/>
      <c r="DJ645" s="1366"/>
      <c r="DK645" s="1366"/>
      <c r="DL645" s="1366"/>
      <c r="DM645" s="1366"/>
      <c r="DN645" s="1366"/>
      <c r="DO645" s="1366"/>
      <c r="DP645" s="1366"/>
      <c r="DQ645" s="1366"/>
      <c r="DR645" s="1366"/>
      <c r="DS645" s="1366"/>
      <c r="DT645" s="1366"/>
      <c r="DU645" s="1366"/>
      <c r="DV645" s="1366"/>
    </row>
    <row r="646" spans="1:126" s="1367" customFormat="1" hidden="1">
      <c r="A646" s="2523"/>
      <c r="B646" s="1643"/>
      <c r="C646" s="1674"/>
      <c r="D646" s="1480"/>
      <c r="E646" s="1480"/>
      <c r="F646" s="1480"/>
      <c r="G646" s="1480"/>
      <c r="H646" s="1481"/>
      <c r="I646" s="1482"/>
      <c r="J646" s="1483"/>
      <c r="K646" s="1483"/>
      <c r="L646" s="1528"/>
      <c r="M646" s="1483"/>
      <c r="N646" s="1484"/>
      <c r="O646" s="1481"/>
      <c r="P646" s="1485"/>
      <c r="Q646" s="1485"/>
      <c r="R646" s="1485"/>
      <c r="S646" s="1485"/>
      <c r="T646" s="1485"/>
      <c r="U646" s="1485"/>
      <c r="V646" s="1484"/>
      <c r="W646" s="1366"/>
      <c r="X646" s="1366"/>
      <c r="Y646" s="1366"/>
      <c r="Z646" s="1366"/>
      <c r="AA646" s="1366"/>
      <c r="AB646" s="1366"/>
      <c r="AC646" s="1366"/>
      <c r="AD646" s="1366"/>
      <c r="AE646" s="1366"/>
      <c r="AF646" s="1366"/>
      <c r="AG646" s="1366"/>
      <c r="AH646" s="1366"/>
      <c r="AI646" s="1366"/>
      <c r="AJ646" s="1366"/>
      <c r="AK646" s="1366"/>
      <c r="AL646" s="1366"/>
      <c r="AM646" s="1366"/>
      <c r="AN646" s="1366"/>
      <c r="AO646" s="1366"/>
      <c r="AP646" s="1366"/>
      <c r="AQ646" s="1366"/>
      <c r="AR646" s="1366"/>
      <c r="AS646" s="1366"/>
      <c r="AT646" s="1366"/>
      <c r="AU646" s="1366"/>
      <c r="AV646" s="1366"/>
      <c r="AW646" s="1366"/>
      <c r="AX646" s="1366"/>
      <c r="AY646" s="1366"/>
      <c r="AZ646" s="1366"/>
      <c r="BA646" s="1366"/>
      <c r="BB646" s="1366"/>
      <c r="BC646" s="1366"/>
      <c r="BD646" s="1366"/>
      <c r="BE646" s="1366"/>
      <c r="BF646" s="1366"/>
      <c r="BG646" s="1366"/>
      <c r="BH646" s="1366"/>
      <c r="BI646" s="1366"/>
      <c r="BJ646" s="1366"/>
      <c r="BK646" s="1366"/>
      <c r="BL646" s="1366"/>
      <c r="BM646" s="1366"/>
      <c r="BN646" s="1366"/>
      <c r="BO646" s="1366"/>
      <c r="BP646" s="1366"/>
      <c r="BQ646" s="1366"/>
      <c r="BR646" s="1366"/>
      <c r="BS646" s="1366"/>
      <c r="BT646" s="1366"/>
      <c r="BU646" s="1366"/>
      <c r="BV646" s="1366"/>
      <c r="BW646" s="1366"/>
      <c r="BX646" s="1366"/>
      <c r="BY646" s="1366"/>
      <c r="BZ646" s="1366"/>
      <c r="CA646" s="1366"/>
      <c r="CB646" s="1366"/>
      <c r="CC646" s="1366"/>
      <c r="CD646" s="1366"/>
      <c r="CE646" s="1366"/>
      <c r="CF646" s="1366"/>
      <c r="CG646" s="1366"/>
      <c r="CH646" s="1366"/>
      <c r="CI646" s="1366"/>
      <c r="CJ646" s="1366"/>
      <c r="CK646" s="1366"/>
      <c r="CL646" s="1366"/>
      <c r="CM646" s="1366"/>
      <c r="CN646" s="1366"/>
      <c r="CO646" s="1366"/>
      <c r="CP646" s="1366"/>
      <c r="CQ646" s="1366"/>
      <c r="CR646" s="1366"/>
      <c r="CS646" s="1366"/>
      <c r="CT646" s="1366"/>
      <c r="CU646" s="1366"/>
      <c r="CV646" s="1366"/>
      <c r="CW646" s="1366"/>
      <c r="CX646" s="1366"/>
      <c r="CY646" s="1366"/>
      <c r="CZ646" s="1366"/>
      <c r="DA646" s="1366"/>
      <c r="DB646" s="1366"/>
      <c r="DC646" s="1366"/>
      <c r="DD646" s="1366"/>
      <c r="DE646" s="1366"/>
      <c r="DF646" s="1366"/>
      <c r="DG646" s="1366"/>
      <c r="DH646" s="1366"/>
      <c r="DI646" s="1366"/>
      <c r="DJ646" s="1366"/>
      <c r="DK646" s="1366"/>
      <c r="DL646" s="1366"/>
      <c r="DM646" s="1366"/>
      <c r="DN646" s="1366"/>
      <c r="DO646" s="1366"/>
      <c r="DP646" s="1366"/>
      <c r="DQ646" s="1366"/>
      <c r="DR646" s="1366"/>
      <c r="DS646" s="1366"/>
      <c r="DT646" s="1366"/>
      <c r="DU646" s="1366"/>
      <c r="DV646" s="1366"/>
    </row>
    <row r="647" spans="1:126" s="1367" customFormat="1" ht="15.75" hidden="1" thickBot="1">
      <c r="A647" s="2524"/>
      <c r="B647" s="1643"/>
      <c r="C647" s="1674"/>
      <c r="D647" s="1480"/>
      <c r="E647" s="1480"/>
      <c r="F647" s="1480"/>
      <c r="G647" s="1480"/>
      <c r="H647" s="1481"/>
      <c r="I647" s="1482"/>
      <c r="J647" s="1483"/>
      <c r="K647" s="1483"/>
      <c r="L647" s="1528"/>
      <c r="M647" s="1483"/>
      <c r="N647" s="1484"/>
      <c r="O647" s="1481"/>
      <c r="P647" s="1485"/>
      <c r="Q647" s="1485"/>
      <c r="R647" s="1485"/>
      <c r="S647" s="1485"/>
      <c r="T647" s="1485"/>
      <c r="U647" s="1485"/>
      <c r="V647" s="1484"/>
      <c r="W647" s="1366"/>
      <c r="X647" s="1366"/>
      <c r="Y647" s="1366"/>
      <c r="Z647" s="1366"/>
      <c r="AA647" s="1366"/>
      <c r="AB647" s="1366"/>
      <c r="AC647" s="1366"/>
      <c r="AD647" s="1366"/>
      <c r="AE647" s="1366"/>
      <c r="AF647" s="1366"/>
      <c r="AG647" s="1366"/>
      <c r="AH647" s="1366"/>
      <c r="AI647" s="1366"/>
      <c r="AJ647" s="1366"/>
      <c r="AK647" s="1366"/>
      <c r="AL647" s="1366"/>
      <c r="AM647" s="1366"/>
      <c r="AN647" s="1366"/>
      <c r="AO647" s="1366"/>
      <c r="AP647" s="1366"/>
      <c r="AQ647" s="1366"/>
      <c r="AR647" s="1366"/>
      <c r="AS647" s="1366"/>
      <c r="AT647" s="1366"/>
      <c r="AU647" s="1366"/>
      <c r="AV647" s="1366"/>
      <c r="AW647" s="1366"/>
      <c r="AX647" s="1366"/>
      <c r="AY647" s="1366"/>
      <c r="AZ647" s="1366"/>
      <c r="BA647" s="1366"/>
      <c r="BB647" s="1366"/>
      <c r="BC647" s="1366"/>
      <c r="BD647" s="1366"/>
      <c r="BE647" s="1366"/>
      <c r="BF647" s="1366"/>
      <c r="BG647" s="1366"/>
      <c r="BH647" s="1366"/>
      <c r="BI647" s="1366"/>
      <c r="BJ647" s="1366"/>
      <c r="BK647" s="1366"/>
      <c r="BL647" s="1366"/>
      <c r="BM647" s="1366"/>
      <c r="BN647" s="1366"/>
      <c r="BO647" s="1366"/>
      <c r="BP647" s="1366"/>
      <c r="BQ647" s="1366"/>
      <c r="BR647" s="1366"/>
      <c r="BS647" s="1366"/>
      <c r="BT647" s="1366"/>
      <c r="BU647" s="1366"/>
      <c r="BV647" s="1366"/>
      <c r="BW647" s="1366"/>
      <c r="BX647" s="1366"/>
      <c r="BY647" s="1366"/>
      <c r="BZ647" s="1366"/>
      <c r="CA647" s="1366"/>
      <c r="CB647" s="1366"/>
      <c r="CC647" s="1366"/>
      <c r="CD647" s="1366"/>
      <c r="CE647" s="1366"/>
      <c r="CF647" s="1366"/>
      <c r="CG647" s="1366"/>
      <c r="CH647" s="1366"/>
      <c r="CI647" s="1366"/>
      <c r="CJ647" s="1366"/>
      <c r="CK647" s="1366"/>
      <c r="CL647" s="1366"/>
      <c r="CM647" s="1366"/>
      <c r="CN647" s="1366"/>
      <c r="CO647" s="1366"/>
      <c r="CP647" s="1366"/>
      <c r="CQ647" s="1366"/>
      <c r="CR647" s="1366"/>
      <c r="CS647" s="1366"/>
      <c r="CT647" s="1366"/>
      <c r="CU647" s="1366"/>
      <c r="CV647" s="1366"/>
      <c r="CW647" s="1366"/>
      <c r="CX647" s="1366"/>
      <c r="CY647" s="1366"/>
      <c r="CZ647" s="1366"/>
      <c r="DA647" s="1366"/>
      <c r="DB647" s="1366"/>
      <c r="DC647" s="1366"/>
      <c r="DD647" s="1366"/>
      <c r="DE647" s="1366"/>
      <c r="DF647" s="1366"/>
      <c r="DG647" s="1366"/>
      <c r="DH647" s="1366"/>
      <c r="DI647" s="1366"/>
      <c r="DJ647" s="1366"/>
      <c r="DK647" s="1366"/>
      <c r="DL647" s="1366"/>
      <c r="DM647" s="1366"/>
      <c r="DN647" s="1366"/>
      <c r="DO647" s="1366"/>
      <c r="DP647" s="1366"/>
      <c r="DQ647" s="1366"/>
      <c r="DR647" s="1366"/>
      <c r="DS647" s="1366"/>
      <c r="DT647" s="1366"/>
      <c r="DU647" s="1366"/>
      <c r="DV647" s="1366"/>
    </row>
    <row r="648" spans="1:126" s="1479" customFormat="1" ht="19.5" hidden="1" thickBot="1">
      <c r="A648" s="695"/>
      <c r="B648" s="1655"/>
      <c r="C648" s="1655"/>
      <c r="D648" s="683"/>
      <c r="E648" s="683"/>
      <c r="F648" s="683"/>
      <c r="G648" s="683"/>
      <c r="H648" s="1413"/>
      <c r="I648" s="1443"/>
      <c r="J648" s="1414"/>
      <c r="K648" s="1413"/>
      <c r="L648" s="1529"/>
      <c r="M648" s="1413"/>
      <c r="N648" s="1489"/>
      <c r="O648" s="1413"/>
      <c r="P648" s="1414"/>
      <c r="Q648" s="1414"/>
      <c r="R648" s="1443"/>
      <c r="S648" s="1443"/>
      <c r="T648" s="1488"/>
      <c r="U648" s="1488"/>
      <c r="V648" s="1489"/>
      <c r="W648" s="1490"/>
      <c r="X648" s="1490"/>
      <c r="Y648" s="327"/>
      <c r="Z648" s="327"/>
      <c r="AA648" s="327"/>
      <c r="AB648" s="1490"/>
      <c r="AC648" s="1490"/>
      <c r="AD648" s="1490"/>
      <c r="AE648" s="1490"/>
      <c r="AF648" s="327"/>
      <c r="AG648" s="327"/>
      <c r="AH648" s="327"/>
      <c r="AI648" s="327"/>
      <c r="AJ648" s="327"/>
      <c r="AK648" s="1478"/>
      <c r="AL648" s="1478"/>
      <c r="AM648" s="1478"/>
      <c r="AN648" s="1478"/>
      <c r="AO648" s="1478"/>
      <c r="AP648" s="1478"/>
      <c r="AQ648" s="1478"/>
      <c r="AR648" s="1478"/>
      <c r="AS648" s="1478"/>
      <c r="AT648" s="1478"/>
      <c r="AU648" s="1478"/>
      <c r="AV648" s="1478"/>
      <c r="AW648" s="1478"/>
      <c r="AX648" s="1478"/>
      <c r="AY648" s="1478"/>
      <c r="AZ648" s="1478"/>
      <c r="BA648" s="1478"/>
      <c r="BB648" s="1478"/>
      <c r="BC648" s="1478"/>
      <c r="BD648" s="1478"/>
      <c r="BE648" s="1478"/>
      <c r="BF648" s="1478"/>
      <c r="BG648" s="1478"/>
      <c r="BH648" s="1478"/>
      <c r="BI648" s="1478"/>
      <c r="BJ648" s="1478"/>
      <c r="BK648" s="327"/>
      <c r="BL648" s="327"/>
      <c r="BM648" s="327"/>
      <c r="BN648" s="327"/>
      <c r="BO648" s="327"/>
      <c r="BP648" s="327"/>
      <c r="BQ648" s="327"/>
      <c r="BR648" s="327"/>
      <c r="BS648" s="327"/>
      <c r="BT648" s="327"/>
      <c r="BU648" s="327"/>
      <c r="BV648" s="327"/>
      <c r="BW648" s="327"/>
      <c r="BX648" s="327"/>
      <c r="BY648" s="327"/>
      <c r="BZ648" s="327"/>
      <c r="CA648" s="327"/>
      <c r="CB648" s="327"/>
      <c r="CC648" s="327"/>
      <c r="CD648" s="327"/>
      <c r="CE648" s="327"/>
      <c r="CF648" s="327"/>
      <c r="CG648" s="327"/>
      <c r="CH648" s="327"/>
      <c r="CI648" s="327"/>
      <c r="CJ648" s="327"/>
      <c r="CK648" s="327"/>
      <c r="CL648" s="327"/>
      <c r="CM648" s="327"/>
      <c r="CN648" s="327"/>
      <c r="CO648" s="327"/>
      <c r="CP648" s="327"/>
      <c r="CQ648" s="327"/>
      <c r="CR648" s="327"/>
      <c r="CS648" s="327"/>
      <c r="CT648" s="327"/>
      <c r="CU648" s="327"/>
      <c r="CV648" s="327"/>
      <c r="CW648" s="327"/>
      <c r="CX648" s="327"/>
      <c r="CY648" s="327"/>
      <c r="CZ648" s="327"/>
      <c r="DA648" s="327"/>
      <c r="DB648" s="327"/>
      <c r="DC648" s="327"/>
      <c r="DD648" s="327"/>
      <c r="DE648" s="327"/>
      <c r="DF648" s="327"/>
      <c r="DG648" s="327"/>
      <c r="DH648" s="327"/>
      <c r="DI648" s="327"/>
      <c r="DJ648" s="327"/>
      <c r="DK648" s="327"/>
      <c r="DL648" s="327"/>
      <c r="DM648" s="327"/>
      <c r="DN648" s="327"/>
      <c r="DO648" s="327"/>
      <c r="DP648" s="327"/>
      <c r="DQ648" s="327"/>
      <c r="DR648" s="327"/>
      <c r="DS648" s="327"/>
      <c r="DT648" s="327"/>
      <c r="DU648" s="327"/>
      <c r="DV648" s="327"/>
    </row>
    <row r="649" spans="1:126" s="1367" customFormat="1" hidden="1">
      <c r="A649" s="2493" t="s">
        <v>1372</v>
      </c>
      <c r="B649" s="1643"/>
      <c r="C649" s="1674"/>
      <c r="D649" s="1480"/>
      <c r="E649" s="1480"/>
      <c r="F649" s="1480"/>
      <c r="G649" s="1480"/>
      <c r="H649" s="1481"/>
      <c r="I649" s="1482"/>
      <c r="J649" s="1483"/>
      <c r="K649" s="1483"/>
      <c r="L649" s="1528"/>
      <c r="M649" s="1483"/>
      <c r="N649" s="1484"/>
      <c r="O649" s="1481"/>
      <c r="P649" s="1485"/>
      <c r="Q649" s="1485"/>
      <c r="R649" s="1485"/>
      <c r="S649" s="1485"/>
      <c r="T649" s="1485"/>
      <c r="U649" s="1485"/>
      <c r="V649" s="1484"/>
      <c r="W649" s="1366"/>
      <c r="X649" s="1366"/>
      <c r="Y649" s="1366"/>
      <c r="Z649" s="1366"/>
      <c r="AA649" s="1366"/>
      <c r="AB649" s="1366"/>
      <c r="AC649" s="1366"/>
      <c r="AD649" s="1366"/>
      <c r="AE649" s="1366"/>
      <c r="AF649" s="1366"/>
      <c r="AG649" s="1366"/>
      <c r="AH649" s="1366"/>
      <c r="AI649" s="1366"/>
      <c r="AJ649" s="1366"/>
      <c r="AK649" s="1366"/>
      <c r="AL649" s="1366"/>
      <c r="AM649" s="1366"/>
      <c r="AN649" s="1366"/>
      <c r="AO649" s="1366"/>
      <c r="AP649" s="1366"/>
      <c r="AQ649" s="1366"/>
      <c r="AR649" s="1366"/>
      <c r="AS649" s="1366"/>
      <c r="AT649" s="1366"/>
      <c r="AU649" s="1366"/>
      <c r="AV649" s="1366"/>
      <c r="AW649" s="1366"/>
      <c r="AX649" s="1366"/>
      <c r="AY649" s="1366"/>
      <c r="AZ649" s="1366"/>
      <c r="BA649" s="1366"/>
      <c r="BB649" s="1366"/>
      <c r="BC649" s="1366"/>
      <c r="BD649" s="1366"/>
      <c r="BE649" s="1366"/>
      <c r="BF649" s="1366"/>
      <c r="BG649" s="1366"/>
      <c r="BH649" s="1366"/>
      <c r="BI649" s="1366"/>
      <c r="BJ649" s="1366"/>
      <c r="BK649" s="1366"/>
      <c r="BL649" s="1366"/>
      <c r="BM649" s="1366"/>
      <c r="BN649" s="1366"/>
      <c r="BO649" s="1366"/>
      <c r="BP649" s="1366"/>
      <c r="BQ649" s="1366"/>
      <c r="BR649" s="1366"/>
      <c r="BS649" s="1366"/>
      <c r="BT649" s="1366"/>
      <c r="BU649" s="1366"/>
      <c r="BV649" s="1366"/>
      <c r="BW649" s="1366"/>
      <c r="BX649" s="1366"/>
      <c r="BY649" s="1366"/>
      <c r="BZ649" s="1366"/>
      <c r="CA649" s="1366"/>
      <c r="CB649" s="1366"/>
      <c r="CC649" s="1366"/>
      <c r="CD649" s="1366"/>
      <c r="CE649" s="1366"/>
      <c r="CF649" s="1366"/>
      <c r="CG649" s="1366"/>
      <c r="CH649" s="1366"/>
      <c r="CI649" s="1366"/>
      <c r="CJ649" s="1366"/>
      <c r="CK649" s="1366"/>
      <c r="CL649" s="1366"/>
      <c r="CM649" s="1366"/>
      <c r="CN649" s="1366"/>
      <c r="CO649" s="1366"/>
      <c r="CP649" s="1366"/>
      <c r="CQ649" s="1366"/>
      <c r="CR649" s="1366"/>
      <c r="CS649" s="1366"/>
      <c r="CT649" s="1366"/>
      <c r="CU649" s="1366"/>
      <c r="CV649" s="1366"/>
      <c r="CW649" s="1366"/>
      <c r="CX649" s="1366"/>
      <c r="CY649" s="1366"/>
      <c r="CZ649" s="1366"/>
      <c r="DA649" s="1366"/>
      <c r="DB649" s="1366"/>
      <c r="DC649" s="1366"/>
      <c r="DD649" s="1366"/>
      <c r="DE649" s="1366"/>
      <c r="DF649" s="1366"/>
      <c r="DG649" s="1366"/>
      <c r="DH649" s="1366"/>
      <c r="DI649" s="1366"/>
      <c r="DJ649" s="1366"/>
      <c r="DK649" s="1366"/>
      <c r="DL649" s="1366"/>
      <c r="DM649" s="1366"/>
      <c r="DN649" s="1366"/>
      <c r="DO649" s="1366"/>
      <c r="DP649" s="1366"/>
      <c r="DQ649" s="1366"/>
      <c r="DR649" s="1366"/>
      <c r="DS649" s="1366"/>
      <c r="DT649" s="1366"/>
      <c r="DU649" s="1366"/>
      <c r="DV649" s="1366"/>
    </row>
    <row r="650" spans="1:126" s="1367" customFormat="1" hidden="1">
      <c r="A650" s="2503"/>
      <c r="B650" s="1643"/>
      <c r="C650" s="1674"/>
      <c r="D650" s="1480"/>
      <c r="E650" s="1480"/>
      <c r="F650" s="1480"/>
      <c r="G650" s="1480"/>
      <c r="H650" s="1481"/>
      <c r="I650" s="1482"/>
      <c r="J650" s="1483"/>
      <c r="K650" s="1483"/>
      <c r="L650" s="1528"/>
      <c r="M650" s="1483"/>
      <c r="N650" s="1484"/>
      <c r="O650" s="1481"/>
      <c r="P650" s="1485"/>
      <c r="Q650" s="1485"/>
      <c r="R650" s="1485"/>
      <c r="S650" s="1485"/>
      <c r="T650" s="1485"/>
      <c r="U650" s="1485"/>
      <c r="V650" s="1484"/>
      <c r="W650" s="1366"/>
      <c r="X650" s="1366"/>
      <c r="Y650" s="1366"/>
      <c r="Z650" s="1366"/>
      <c r="AA650" s="1366"/>
      <c r="AB650" s="1366"/>
      <c r="AC650" s="1366"/>
      <c r="AD650" s="1366"/>
      <c r="AE650" s="1366"/>
      <c r="AF650" s="1366"/>
      <c r="AG650" s="1366"/>
      <c r="AH650" s="1366"/>
      <c r="AI650" s="1366"/>
      <c r="AJ650" s="1366"/>
      <c r="AK650" s="1366"/>
      <c r="AL650" s="1366"/>
      <c r="AM650" s="1366"/>
      <c r="AN650" s="1366"/>
      <c r="AO650" s="1366"/>
      <c r="AP650" s="1366"/>
      <c r="AQ650" s="1366"/>
      <c r="AR650" s="1366"/>
      <c r="AS650" s="1366"/>
      <c r="AT650" s="1366"/>
      <c r="AU650" s="1366"/>
      <c r="AV650" s="1366"/>
      <c r="AW650" s="1366"/>
      <c r="AX650" s="1366"/>
      <c r="AY650" s="1366"/>
      <c r="AZ650" s="1366"/>
      <c r="BA650" s="1366"/>
      <c r="BB650" s="1366"/>
      <c r="BC650" s="1366"/>
      <c r="BD650" s="1366"/>
      <c r="BE650" s="1366"/>
      <c r="BF650" s="1366"/>
      <c r="BG650" s="1366"/>
      <c r="BH650" s="1366"/>
      <c r="BI650" s="1366"/>
      <c r="BJ650" s="1366"/>
      <c r="BK650" s="1366"/>
      <c r="BL650" s="1366"/>
      <c r="BM650" s="1366"/>
      <c r="BN650" s="1366"/>
      <c r="BO650" s="1366"/>
      <c r="BP650" s="1366"/>
      <c r="BQ650" s="1366"/>
      <c r="BR650" s="1366"/>
      <c r="BS650" s="1366"/>
      <c r="BT650" s="1366"/>
      <c r="BU650" s="1366"/>
      <c r="BV650" s="1366"/>
      <c r="BW650" s="1366"/>
      <c r="BX650" s="1366"/>
      <c r="BY650" s="1366"/>
      <c r="BZ650" s="1366"/>
      <c r="CA650" s="1366"/>
      <c r="CB650" s="1366"/>
      <c r="CC650" s="1366"/>
      <c r="CD650" s="1366"/>
      <c r="CE650" s="1366"/>
      <c r="CF650" s="1366"/>
      <c r="CG650" s="1366"/>
      <c r="CH650" s="1366"/>
      <c r="CI650" s="1366"/>
      <c r="CJ650" s="1366"/>
      <c r="CK650" s="1366"/>
      <c r="CL650" s="1366"/>
      <c r="CM650" s="1366"/>
      <c r="CN650" s="1366"/>
      <c r="CO650" s="1366"/>
      <c r="CP650" s="1366"/>
      <c r="CQ650" s="1366"/>
      <c r="CR650" s="1366"/>
      <c r="CS650" s="1366"/>
      <c r="CT650" s="1366"/>
      <c r="CU650" s="1366"/>
      <c r="CV650" s="1366"/>
      <c r="CW650" s="1366"/>
      <c r="CX650" s="1366"/>
      <c r="CY650" s="1366"/>
      <c r="CZ650" s="1366"/>
      <c r="DA650" s="1366"/>
      <c r="DB650" s="1366"/>
      <c r="DC650" s="1366"/>
      <c r="DD650" s="1366"/>
      <c r="DE650" s="1366"/>
      <c r="DF650" s="1366"/>
      <c r="DG650" s="1366"/>
      <c r="DH650" s="1366"/>
      <c r="DI650" s="1366"/>
      <c r="DJ650" s="1366"/>
      <c r="DK650" s="1366"/>
      <c r="DL650" s="1366"/>
      <c r="DM650" s="1366"/>
      <c r="DN650" s="1366"/>
      <c r="DO650" s="1366"/>
      <c r="DP650" s="1366"/>
      <c r="DQ650" s="1366"/>
      <c r="DR650" s="1366"/>
      <c r="DS650" s="1366"/>
      <c r="DT650" s="1366"/>
      <c r="DU650" s="1366"/>
      <c r="DV650" s="1366"/>
    </row>
    <row r="651" spans="1:126" s="1367" customFormat="1" hidden="1">
      <c r="A651" s="2503"/>
      <c r="B651" s="1643"/>
      <c r="C651" s="1674"/>
      <c r="D651" s="1480"/>
      <c r="E651" s="1480"/>
      <c r="F651" s="1480"/>
      <c r="G651" s="1480"/>
      <c r="H651" s="1481"/>
      <c r="I651" s="1482"/>
      <c r="J651" s="1483"/>
      <c r="K651" s="1483"/>
      <c r="L651" s="1528"/>
      <c r="M651" s="1483"/>
      <c r="N651" s="1484"/>
      <c r="O651" s="1481"/>
      <c r="P651" s="1485"/>
      <c r="Q651" s="1485"/>
      <c r="R651" s="1485"/>
      <c r="S651" s="1485"/>
      <c r="T651" s="1485"/>
      <c r="U651" s="1485"/>
      <c r="V651" s="1484"/>
      <c r="W651" s="1366"/>
      <c r="X651" s="1366"/>
      <c r="Y651" s="1366"/>
      <c r="Z651" s="1366"/>
      <c r="AA651" s="1366"/>
      <c r="AB651" s="1366"/>
      <c r="AC651" s="1366"/>
      <c r="AD651" s="1366"/>
      <c r="AE651" s="1366"/>
      <c r="AF651" s="1366"/>
      <c r="AG651" s="1366"/>
      <c r="AH651" s="1366"/>
      <c r="AI651" s="1366"/>
      <c r="AJ651" s="1366"/>
      <c r="AK651" s="1366"/>
      <c r="AL651" s="1366"/>
      <c r="AM651" s="1366"/>
      <c r="AN651" s="1366"/>
      <c r="AO651" s="1366"/>
      <c r="AP651" s="1366"/>
      <c r="AQ651" s="1366"/>
      <c r="AR651" s="1366"/>
      <c r="AS651" s="1366"/>
      <c r="AT651" s="1366"/>
      <c r="AU651" s="1366"/>
      <c r="AV651" s="1366"/>
      <c r="AW651" s="1366"/>
      <c r="AX651" s="1366"/>
      <c r="AY651" s="1366"/>
      <c r="AZ651" s="1366"/>
      <c r="BA651" s="1366"/>
      <c r="BB651" s="1366"/>
      <c r="BC651" s="1366"/>
      <c r="BD651" s="1366"/>
      <c r="BE651" s="1366"/>
      <c r="BF651" s="1366"/>
      <c r="BG651" s="1366"/>
      <c r="BH651" s="1366"/>
      <c r="BI651" s="1366"/>
      <c r="BJ651" s="1366"/>
      <c r="BK651" s="1366"/>
      <c r="BL651" s="1366"/>
      <c r="BM651" s="1366"/>
      <c r="BN651" s="1366"/>
      <c r="BO651" s="1366"/>
      <c r="BP651" s="1366"/>
      <c r="BQ651" s="1366"/>
      <c r="BR651" s="1366"/>
      <c r="BS651" s="1366"/>
      <c r="BT651" s="1366"/>
      <c r="BU651" s="1366"/>
      <c r="BV651" s="1366"/>
      <c r="BW651" s="1366"/>
      <c r="BX651" s="1366"/>
      <c r="BY651" s="1366"/>
      <c r="BZ651" s="1366"/>
      <c r="CA651" s="1366"/>
      <c r="CB651" s="1366"/>
      <c r="CC651" s="1366"/>
      <c r="CD651" s="1366"/>
      <c r="CE651" s="1366"/>
      <c r="CF651" s="1366"/>
      <c r="CG651" s="1366"/>
      <c r="CH651" s="1366"/>
      <c r="CI651" s="1366"/>
      <c r="CJ651" s="1366"/>
      <c r="CK651" s="1366"/>
      <c r="CL651" s="1366"/>
      <c r="CM651" s="1366"/>
      <c r="CN651" s="1366"/>
      <c r="CO651" s="1366"/>
      <c r="CP651" s="1366"/>
      <c r="CQ651" s="1366"/>
      <c r="CR651" s="1366"/>
      <c r="CS651" s="1366"/>
      <c r="CT651" s="1366"/>
      <c r="CU651" s="1366"/>
      <c r="CV651" s="1366"/>
      <c r="CW651" s="1366"/>
      <c r="CX651" s="1366"/>
      <c r="CY651" s="1366"/>
      <c r="CZ651" s="1366"/>
      <c r="DA651" s="1366"/>
      <c r="DB651" s="1366"/>
      <c r="DC651" s="1366"/>
      <c r="DD651" s="1366"/>
      <c r="DE651" s="1366"/>
      <c r="DF651" s="1366"/>
      <c r="DG651" s="1366"/>
      <c r="DH651" s="1366"/>
      <c r="DI651" s="1366"/>
      <c r="DJ651" s="1366"/>
      <c r="DK651" s="1366"/>
      <c r="DL651" s="1366"/>
      <c r="DM651" s="1366"/>
      <c r="DN651" s="1366"/>
      <c r="DO651" s="1366"/>
      <c r="DP651" s="1366"/>
      <c r="DQ651" s="1366"/>
      <c r="DR651" s="1366"/>
      <c r="DS651" s="1366"/>
      <c r="DT651" s="1366"/>
      <c r="DU651" s="1366"/>
      <c r="DV651" s="1366"/>
    </row>
    <row r="652" spans="1:126" s="1367" customFormat="1" hidden="1">
      <c r="A652" s="2503"/>
      <c r="B652" s="1643"/>
      <c r="C652" s="1674"/>
      <c r="D652" s="1480"/>
      <c r="E652" s="1480"/>
      <c r="F652" s="1480"/>
      <c r="G652" s="1480"/>
      <c r="H652" s="1481"/>
      <c r="I652" s="1482"/>
      <c r="J652" s="1483"/>
      <c r="K652" s="1483"/>
      <c r="L652" s="1528"/>
      <c r="M652" s="1483"/>
      <c r="N652" s="1484"/>
      <c r="O652" s="1481"/>
      <c r="P652" s="1485"/>
      <c r="Q652" s="1485"/>
      <c r="R652" s="1485"/>
      <c r="S652" s="1485"/>
      <c r="T652" s="1485"/>
      <c r="U652" s="1485"/>
      <c r="V652" s="1484"/>
      <c r="W652" s="1366"/>
      <c r="X652" s="1366"/>
      <c r="Y652" s="1366"/>
      <c r="Z652" s="1366"/>
      <c r="AA652" s="1366"/>
      <c r="AB652" s="1366"/>
      <c r="AC652" s="1366"/>
      <c r="AD652" s="1366"/>
      <c r="AE652" s="1366"/>
      <c r="AF652" s="1366"/>
      <c r="AG652" s="1366"/>
      <c r="AH652" s="1366"/>
      <c r="AI652" s="1366"/>
      <c r="AJ652" s="1366"/>
      <c r="AK652" s="1366"/>
      <c r="AL652" s="1366"/>
      <c r="AM652" s="1366"/>
      <c r="AN652" s="1366"/>
      <c r="AO652" s="1366"/>
      <c r="AP652" s="1366"/>
      <c r="AQ652" s="1366"/>
      <c r="AR652" s="1366"/>
      <c r="AS652" s="1366"/>
      <c r="AT652" s="1366"/>
      <c r="AU652" s="1366"/>
      <c r="AV652" s="1366"/>
      <c r="AW652" s="1366"/>
      <c r="AX652" s="1366"/>
      <c r="AY652" s="1366"/>
      <c r="AZ652" s="1366"/>
      <c r="BA652" s="1366"/>
      <c r="BB652" s="1366"/>
      <c r="BC652" s="1366"/>
      <c r="BD652" s="1366"/>
      <c r="BE652" s="1366"/>
      <c r="BF652" s="1366"/>
      <c r="BG652" s="1366"/>
      <c r="BH652" s="1366"/>
      <c r="BI652" s="1366"/>
      <c r="BJ652" s="1366"/>
      <c r="BK652" s="1366"/>
      <c r="BL652" s="1366"/>
      <c r="BM652" s="1366"/>
      <c r="BN652" s="1366"/>
      <c r="BO652" s="1366"/>
      <c r="BP652" s="1366"/>
      <c r="BQ652" s="1366"/>
      <c r="BR652" s="1366"/>
      <c r="BS652" s="1366"/>
      <c r="BT652" s="1366"/>
      <c r="BU652" s="1366"/>
      <c r="BV652" s="1366"/>
      <c r="BW652" s="1366"/>
      <c r="BX652" s="1366"/>
      <c r="BY652" s="1366"/>
      <c r="BZ652" s="1366"/>
      <c r="CA652" s="1366"/>
      <c r="CB652" s="1366"/>
      <c r="CC652" s="1366"/>
      <c r="CD652" s="1366"/>
      <c r="CE652" s="1366"/>
      <c r="CF652" s="1366"/>
      <c r="CG652" s="1366"/>
      <c r="CH652" s="1366"/>
      <c r="CI652" s="1366"/>
      <c r="CJ652" s="1366"/>
      <c r="CK652" s="1366"/>
      <c r="CL652" s="1366"/>
      <c r="CM652" s="1366"/>
      <c r="CN652" s="1366"/>
      <c r="CO652" s="1366"/>
      <c r="CP652" s="1366"/>
      <c r="CQ652" s="1366"/>
      <c r="CR652" s="1366"/>
      <c r="CS652" s="1366"/>
      <c r="CT652" s="1366"/>
      <c r="CU652" s="1366"/>
      <c r="CV652" s="1366"/>
      <c r="CW652" s="1366"/>
      <c r="CX652" s="1366"/>
      <c r="CY652" s="1366"/>
      <c r="CZ652" s="1366"/>
      <c r="DA652" s="1366"/>
      <c r="DB652" s="1366"/>
      <c r="DC652" s="1366"/>
      <c r="DD652" s="1366"/>
      <c r="DE652" s="1366"/>
      <c r="DF652" s="1366"/>
      <c r="DG652" s="1366"/>
      <c r="DH652" s="1366"/>
      <c r="DI652" s="1366"/>
      <c r="DJ652" s="1366"/>
      <c r="DK652" s="1366"/>
      <c r="DL652" s="1366"/>
      <c r="DM652" s="1366"/>
      <c r="DN652" s="1366"/>
      <c r="DO652" s="1366"/>
      <c r="DP652" s="1366"/>
      <c r="DQ652" s="1366"/>
      <c r="DR652" s="1366"/>
      <c r="DS652" s="1366"/>
      <c r="DT652" s="1366"/>
      <c r="DU652" s="1366"/>
      <c r="DV652" s="1366"/>
    </row>
    <row r="653" spans="1:126" s="1367" customFormat="1" hidden="1">
      <c r="A653" s="2503"/>
      <c r="B653" s="1643"/>
      <c r="C653" s="1674"/>
      <c r="D653" s="1480"/>
      <c r="E653" s="1480"/>
      <c r="F653" s="1480"/>
      <c r="G653" s="1480"/>
      <c r="H653" s="1481"/>
      <c r="I653" s="1482"/>
      <c r="J653" s="1483"/>
      <c r="K653" s="1483"/>
      <c r="L653" s="1528"/>
      <c r="M653" s="1483"/>
      <c r="N653" s="1484"/>
      <c r="O653" s="1481"/>
      <c r="P653" s="1485"/>
      <c r="Q653" s="1485"/>
      <c r="R653" s="1485"/>
      <c r="S653" s="1485"/>
      <c r="T653" s="1485"/>
      <c r="U653" s="1485"/>
      <c r="V653" s="1484"/>
      <c r="W653" s="1366"/>
      <c r="X653" s="1366"/>
      <c r="Y653" s="1366"/>
      <c r="Z653" s="1366"/>
      <c r="AA653" s="1366"/>
      <c r="AB653" s="1366"/>
      <c r="AC653" s="1366"/>
      <c r="AD653" s="1366"/>
      <c r="AE653" s="1366"/>
      <c r="AF653" s="1366"/>
      <c r="AG653" s="1366"/>
      <c r="AH653" s="1366"/>
      <c r="AI653" s="1366"/>
      <c r="AJ653" s="1366"/>
      <c r="AK653" s="1366"/>
      <c r="AL653" s="1366"/>
      <c r="AM653" s="1366"/>
      <c r="AN653" s="1366"/>
      <c r="AO653" s="1366"/>
      <c r="AP653" s="1366"/>
      <c r="AQ653" s="1366"/>
      <c r="AR653" s="1366"/>
      <c r="AS653" s="1366"/>
      <c r="AT653" s="1366"/>
      <c r="AU653" s="1366"/>
      <c r="AV653" s="1366"/>
      <c r="AW653" s="1366"/>
      <c r="AX653" s="1366"/>
      <c r="AY653" s="1366"/>
      <c r="AZ653" s="1366"/>
      <c r="BA653" s="1366"/>
      <c r="BB653" s="1366"/>
      <c r="BC653" s="1366"/>
      <c r="BD653" s="1366"/>
      <c r="BE653" s="1366"/>
      <c r="BF653" s="1366"/>
      <c r="BG653" s="1366"/>
      <c r="BH653" s="1366"/>
      <c r="BI653" s="1366"/>
      <c r="BJ653" s="1366"/>
      <c r="BK653" s="1366"/>
      <c r="BL653" s="1366"/>
      <c r="BM653" s="1366"/>
      <c r="BN653" s="1366"/>
      <c r="BO653" s="1366"/>
      <c r="BP653" s="1366"/>
      <c r="BQ653" s="1366"/>
      <c r="BR653" s="1366"/>
      <c r="BS653" s="1366"/>
      <c r="BT653" s="1366"/>
      <c r="BU653" s="1366"/>
      <c r="BV653" s="1366"/>
      <c r="BW653" s="1366"/>
      <c r="BX653" s="1366"/>
      <c r="BY653" s="1366"/>
      <c r="BZ653" s="1366"/>
      <c r="CA653" s="1366"/>
      <c r="CB653" s="1366"/>
      <c r="CC653" s="1366"/>
      <c r="CD653" s="1366"/>
      <c r="CE653" s="1366"/>
      <c r="CF653" s="1366"/>
      <c r="CG653" s="1366"/>
      <c r="CH653" s="1366"/>
      <c r="CI653" s="1366"/>
      <c r="CJ653" s="1366"/>
      <c r="CK653" s="1366"/>
      <c r="CL653" s="1366"/>
      <c r="CM653" s="1366"/>
      <c r="CN653" s="1366"/>
      <c r="CO653" s="1366"/>
      <c r="CP653" s="1366"/>
      <c r="CQ653" s="1366"/>
      <c r="CR653" s="1366"/>
      <c r="CS653" s="1366"/>
      <c r="CT653" s="1366"/>
      <c r="CU653" s="1366"/>
      <c r="CV653" s="1366"/>
      <c r="CW653" s="1366"/>
      <c r="CX653" s="1366"/>
      <c r="CY653" s="1366"/>
      <c r="CZ653" s="1366"/>
      <c r="DA653" s="1366"/>
      <c r="DB653" s="1366"/>
      <c r="DC653" s="1366"/>
      <c r="DD653" s="1366"/>
      <c r="DE653" s="1366"/>
      <c r="DF653" s="1366"/>
      <c r="DG653" s="1366"/>
      <c r="DH653" s="1366"/>
      <c r="DI653" s="1366"/>
      <c r="DJ653" s="1366"/>
      <c r="DK653" s="1366"/>
      <c r="DL653" s="1366"/>
      <c r="DM653" s="1366"/>
      <c r="DN653" s="1366"/>
      <c r="DO653" s="1366"/>
      <c r="DP653" s="1366"/>
      <c r="DQ653" s="1366"/>
      <c r="DR653" s="1366"/>
      <c r="DS653" s="1366"/>
      <c r="DT653" s="1366"/>
      <c r="DU653" s="1366"/>
      <c r="DV653" s="1366"/>
    </row>
    <row r="654" spans="1:126" s="1367" customFormat="1" hidden="1">
      <c r="A654" s="2503"/>
      <c r="B654" s="1643"/>
      <c r="C654" s="1674"/>
      <c r="D654" s="1480"/>
      <c r="E654" s="1480"/>
      <c r="F654" s="1480"/>
      <c r="G654" s="1480"/>
      <c r="H654" s="1481"/>
      <c r="I654" s="1482"/>
      <c r="J654" s="1483"/>
      <c r="K654" s="1483"/>
      <c r="L654" s="1528"/>
      <c r="M654" s="1483"/>
      <c r="N654" s="1484"/>
      <c r="O654" s="1481"/>
      <c r="P654" s="1485"/>
      <c r="Q654" s="1485"/>
      <c r="R654" s="1485"/>
      <c r="S654" s="1485"/>
      <c r="T654" s="1485"/>
      <c r="U654" s="1485"/>
      <c r="V654" s="1484"/>
      <c r="W654" s="1366"/>
      <c r="X654" s="1366"/>
      <c r="Y654" s="1366"/>
      <c r="Z654" s="1366"/>
      <c r="AA654" s="1366"/>
      <c r="AB654" s="1366"/>
      <c r="AC654" s="1366"/>
      <c r="AD654" s="1366"/>
      <c r="AE654" s="1366"/>
      <c r="AF654" s="1366"/>
      <c r="AG654" s="1366"/>
      <c r="AH654" s="1366"/>
      <c r="AI654" s="1366"/>
      <c r="AJ654" s="1366"/>
      <c r="AK654" s="1366"/>
      <c r="AL654" s="1366"/>
      <c r="AM654" s="1366"/>
      <c r="AN654" s="1366"/>
      <c r="AO654" s="1366"/>
      <c r="AP654" s="1366"/>
      <c r="AQ654" s="1366"/>
      <c r="AR654" s="1366"/>
      <c r="AS654" s="1366"/>
      <c r="AT654" s="1366"/>
      <c r="AU654" s="1366"/>
      <c r="AV654" s="1366"/>
      <c r="AW654" s="1366"/>
      <c r="AX654" s="1366"/>
      <c r="AY654" s="1366"/>
      <c r="AZ654" s="1366"/>
      <c r="BA654" s="1366"/>
      <c r="BB654" s="1366"/>
      <c r="BC654" s="1366"/>
      <c r="BD654" s="1366"/>
      <c r="BE654" s="1366"/>
      <c r="BF654" s="1366"/>
      <c r="BG654" s="1366"/>
      <c r="BH654" s="1366"/>
      <c r="BI654" s="1366"/>
      <c r="BJ654" s="1366"/>
      <c r="BK654" s="1366"/>
      <c r="BL654" s="1366"/>
      <c r="BM654" s="1366"/>
      <c r="BN654" s="1366"/>
      <c r="BO654" s="1366"/>
      <c r="BP654" s="1366"/>
      <c r="BQ654" s="1366"/>
      <c r="BR654" s="1366"/>
      <c r="BS654" s="1366"/>
      <c r="BT654" s="1366"/>
      <c r="BU654" s="1366"/>
      <c r="BV654" s="1366"/>
      <c r="BW654" s="1366"/>
      <c r="BX654" s="1366"/>
      <c r="BY654" s="1366"/>
      <c r="BZ654" s="1366"/>
      <c r="CA654" s="1366"/>
      <c r="CB654" s="1366"/>
      <c r="CC654" s="1366"/>
      <c r="CD654" s="1366"/>
      <c r="CE654" s="1366"/>
      <c r="CF654" s="1366"/>
      <c r="CG654" s="1366"/>
      <c r="CH654" s="1366"/>
      <c r="CI654" s="1366"/>
      <c r="CJ654" s="1366"/>
      <c r="CK654" s="1366"/>
      <c r="CL654" s="1366"/>
      <c r="CM654" s="1366"/>
      <c r="CN654" s="1366"/>
      <c r="CO654" s="1366"/>
      <c r="CP654" s="1366"/>
      <c r="CQ654" s="1366"/>
      <c r="CR654" s="1366"/>
      <c r="CS654" s="1366"/>
      <c r="CT654" s="1366"/>
      <c r="CU654" s="1366"/>
      <c r="CV654" s="1366"/>
      <c r="CW654" s="1366"/>
      <c r="CX654" s="1366"/>
      <c r="CY654" s="1366"/>
      <c r="CZ654" s="1366"/>
      <c r="DA654" s="1366"/>
      <c r="DB654" s="1366"/>
      <c r="DC654" s="1366"/>
      <c r="DD654" s="1366"/>
      <c r="DE654" s="1366"/>
      <c r="DF654" s="1366"/>
      <c r="DG654" s="1366"/>
      <c r="DH654" s="1366"/>
      <c r="DI654" s="1366"/>
      <c r="DJ654" s="1366"/>
      <c r="DK654" s="1366"/>
      <c r="DL654" s="1366"/>
      <c r="DM654" s="1366"/>
      <c r="DN654" s="1366"/>
      <c r="DO654" s="1366"/>
      <c r="DP654" s="1366"/>
      <c r="DQ654" s="1366"/>
      <c r="DR654" s="1366"/>
      <c r="DS654" s="1366"/>
      <c r="DT654" s="1366"/>
      <c r="DU654" s="1366"/>
      <c r="DV654" s="1366"/>
    </row>
    <row r="655" spans="1:126" s="1367" customFormat="1" hidden="1">
      <c r="A655" s="2503"/>
      <c r="B655" s="1643"/>
      <c r="C655" s="1674"/>
      <c r="D655" s="1480"/>
      <c r="E655" s="1480"/>
      <c r="F655" s="1480"/>
      <c r="G655" s="1480"/>
      <c r="H655" s="1481"/>
      <c r="I655" s="1482"/>
      <c r="J655" s="1483"/>
      <c r="K655" s="1483"/>
      <c r="L655" s="1528"/>
      <c r="M655" s="1483"/>
      <c r="N655" s="1484"/>
      <c r="O655" s="1481"/>
      <c r="P655" s="1485"/>
      <c r="Q655" s="1485"/>
      <c r="R655" s="1485"/>
      <c r="S655" s="1485"/>
      <c r="T655" s="1485"/>
      <c r="U655" s="1485"/>
      <c r="V655" s="1484"/>
      <c r="W655" s="1366"/>
      <c r="X655" s="1366"/>
      <c r="Y655" s="1366"/>
      <c r="Z655" s="1366"/>
      <c r="AA655" s="1366"/>
      <c r="AB655" s="1366"/>
      <c r="AC655" s="1366"/>
      <c r="AD655" s="1366"/>
      <c r="AE655" s="1366"/>
      <c r="AF655" s="1366"/>
      <c r="AG655" s="1366"/>
      <c r="AH655" s="1366"/>
      <c r="AI655" s="1366"/>
      <c r="AJ655" s="1366"/>
      <c r="AK655" s="1366"/>
      <c r="AL655" s="1366"/>
      <c r="AM655" s="1366"/>
      <c r="AN655" s="1366"/>
      <c r="AO655" s="1366"/>
      <c r="AP655" s="1366"/>
      <c r="AQ655" s="1366"/>
      <c r="AR655" s="1366"/>
      <c r="AS655" s="1366"/>
      <c r="AT655" s="1366"/>
      <c r="AU655" s="1366"/>
      <c r="AV655" s="1366"/>
      <c r="AW655" s="1366"/>
      <c r="AX655" s="1366"/>
      <c r="AY655" s="1366"/>
      <c r="AZ655" s="1366"/>
      <c r="BA655" s="1366"/>
      <c r="BB655" s="1366"/>
      <c r="BC655" s="1366"/>
      <c r="BD655" s="1366"/>
      <c r="BE655" s="1366"/>
      <c r="BF655" s="1366"/>
      <c r="BG655" s="1366"/>
      <c r="BH655" s="1366"/>
      <c r="BI655" s="1366"/>
      <c r="BJ655" s="1366"/>
      <c r="BK655" s="1366"/>
      <c r="BL655" s="1366"/>
      <c r="BM655" s="1366"/>
      <c r="BN655" s="1366"/>
      <c r="BO655" s="1366"/>
      <c r="BP655" s="1366"/>
      <c r="BQ655" s="1366"/>
      <c r="BR655" s="1366"/>
      <c r="BS655" s="1366"/>
      <c r="BT655" s="1366"/>
      <c r="BU655" s="1366"/>
      <c r="BV655" s="1366"/>
      <c r="BW655" s="1366"/>
      <c r="BX655" s="1366"/>
      <c r="BY655" s="1366"/>
      <c r="BZ655" s="1366"/>
      <c r="CA655" s="1366"/>
      <c r="CB655" s="1366"/>
      <c r="CC655" s="1366"/>
      <c r="CD655" s="1366"/>
      <c r="CE655" s="1366"/>
      <c r="CF655" s="1366"/>
      <c r="CG655" s="1366"/>
      <c r="CH655" s="1366"/>
      <c r="CI655" s="1366"/>
      <c r="CJ655" s="1366"/>
      <c r="CK655" s="1366"/>
      <c r="CL655" s="1366"/>
      <c r="CM655" s="1366"/>
      <c r="CN655" s="1366"/>
      <c r="CO655" s="1366"/>
      <c r="CP655" s="1366"/>
      <c r="CQ655" s="1366"/>
      <c r="CR655" s="1366"/>
      <c r="CS655" s="1366"/>
      <c r="CT655" s="1366"/>
      <c r="CU655" s="1366"/>
      <c r="CV655" s="1366"/>
      <c r="CW655" s="1366"/>
      <c r="CX655" s="1366"/>
      <c r="CY655" s="1366"/>
      <c r="CZ655" s="1366"/>
      <c r="DA655" s="1366"/>
      <c r="DB655" s="1366"/>
      <c r="DC655" s="1366"/>
      <c r="DD655" s="1366"/>
      <c r="DE655" s="1366"/>
      <c r="DF655" s="1366"/>
      <c r="DG655" s="1366"/>
      <c r="DH655" s="1366"/>
      <c r="DI655" s="1366"/>
      <c r="DJ655" s="1366"/>
      <c r="DK655" s="1366"/>
      <c r="DL655" s="1366"/>
      <c r="DM655" s="1366"/>
      <c r="DN655" s="1366"/>
      <c r="DO655" s="1366"/>
      <c r="DP655" s="1366"/>
      <c r="DQ655" s="1366"/>
      <c r="DR655" s="1366"/>
      <c r="DS655" s="1366"/>
      <c r="DT655" s="1366"/>
      <c r="DU655" s="1366"/>
      <c r="DV655" s="1366"/>
    </row>
    <row r="656" spans="1:126" s="1367" customFormat="1" hidden="1">
      <c r="A656" s="2503"/>
      <c r="B656" s="1643"/>
      <c r="C656" s="1674"/>
      <c r="D656" s="1480"/>
      <c r="E656" s="1480"/>
      <c r="F656" s="1480"/>
      <c r="G656" s="1480"/>
      <c r="H656" s="1481"/>
      <c r="I656" s="1482"/>
      <c r="J656" s="1483"/>
      <c r="K656" s="1483"/>
      <c r="L656" s="1528"/>
      <c r="M656" s="1483"/>
      <c r="N656" s="1484"/>
      <c r="O656" s="1481"/>
      <c r="P656" s="1485"/>
      <c r="Q656" s="1485"/>
      <c r="R656" s="1485"/>
      <c r="S656" s="1485"/>
      <c r="T656" s="1485"/>
      <c r="U656" s="1485"/>
      <c r="V656" s="1484"/>
      <c r="W656" s="1366"/>
      <c r="X656" s="1366"/>
      <c r="Y656" s="1366"/>
      <c r="Z656" s="1366"/>
      <c r="AA656" s="1366"/>
      <c r="AB656" s="1366"/>
      <c r="AC656" s="1366"/>
      <c r="AD656" s="1366"/>
      <c r="AE656" s="1366"/>
      <c r="AF656" s="1366"/>
      <c r="AG656" s="1366"/>
      <c r="AH656" s="1366"/>
      <c r="AI656" s="1366"/>
      <c r="AJ656" s="1366"/>
      <c r="AK656" s="1366"/>
      <c r="AL656" s="1366"/>
      <c r="AM656" s="1366"/>
      <c r="AN656" s="1366"/>
      <c r="AO656" s="1366"/>
      <c r="AP656" s="1366"/>
      <c r="AQ656" s="1366"/>
      <c r="AR656" s="1366"/>
      <c r="AS656" s="1366"/>
      <c r="AT656" s="1366"/>
      <c r="AU656" s="1366"/>
      <c r="AV656" s="1366"/>
      <c r="AW656" s="1366"/>
      <c r="AX656" s="1366"/>
      <c r="AY656" s="1366"/>
      <c r="AZ656" s="1366"/>
      <c r="BA656" s="1366"/>
      <c r="BB656" s="1366"/>
      <c r="BC656" s="1366"/>
      <c r="BD656" s="1366"/>
      <c r="BE656" s="1366"/>
      <c r="BF656" s="1366"/>
      <c r="BG656" s="1366"/>
      <c r="BH656" s="1366"/>
      <c r="BI656" s="1366"/>
      <c r="BJ656" s="1366"/>
      <c r="BK656" s="1366"/>
      <c r="BL656" s="1366"/>
      <c r="BM656" s="1366"/>
      <c r="BN656" s="1366"/>
      <c r="BO656" s="1366"/>
      <c r="BP656" s="1366"/>
      <c r="BQ656" s="1366"/>
      <c r="BR656" s="1366"/>
      <c r="BS656" s="1366"/>
      <c r="BT656" s="1366"/>
      <c r="BU656" s="1366"/>
      <c r="BV656" s="1366"/>
      <c r="BW656" s="1366"/>
      <c r="BX656" s="1366"/>
      <c r="BY656" s="1366"/>
      <c r="BZ656" s="1366"/>
      <c r="CA656" s="1366"/>
      <c r="CB656" s="1366"/>
      <c r="CC656" s="1366"/>
      <c r="CD656" s="1366"/>
      <c r="CE656" s="1366"/>
      <c r="CF656" s="1366"/>
      <c r="CG656" s="1366"/>
      <c r="CH656" s="1366"/>
      <c r="CI656" s="1366"/>
      <c r="CJ656" s="1366"/>
      <c r="CK656" s="1366"/>
      <c r="CL656" s="1366"/>
      <c r="CM656" s="1366"/>
      <c r="CN656" s="1366"/>
      <c r="CO656" s="1366"/>
      <c r="CP656" s="1366"/>
      <c r="CQ656" s="1366"/>
      <c r="CR656" s="1366"/>
      <c r="CS656" s="1366"/>
      <c r="CT656" s="1366"/>
      <c r="CU656" s="1366"/>
      <c r="CV656" s="1366"/>
      <c r="CW656" s="1366"/>
      <c r="CX656" s="1366"/>
      <c r="CY656" s="1366"/>
      <c r="CZ656" s="1366"/>
      <c r="DA656" s="1366"/>
      <c r="DB656" s="1366"/>
      <c r="DC656" s="1366"/>
      <c r="DD656" s="1366"/>
      <c r="DE656" s="1366"/>
      <c r="DF656" s="1366"/>
      <c r="DG656" s="1366"/>
      <c r="DH656" s="1366"/>
      <c r="DI656" s="1366"/>
      <c r="DJ656" s="1366"/>
      <c r="DK656" s="1366"/>
      <c r="DL656" s="1366"/>
      <c r="DM656" s="1366"/>
      <c r="DN656" s="1366"/>
      <c r="DO656" s="1366"/>
      <c r="DP656" s="1366"/>
      <c r="DQ656" s="1366"/>
      <c r="DR656" s="1366"/>
      <c r="DS656" s="1366"/>
      <c r="DT656" s="1366"/>
      <c r="DU656" s="1366"/>
      <c r="DV656" s="1366"/>
    </row>
    <row r="657" spans="1:126" s="1367" customFormat="1" hidden="1">
      <c r="A657" s="2503"/>
      <c r="B657" s="1643"/>
      <c r="C657" s="1674"/>
      <c r="D657" s="1480"/>
      <c r="E657" s="1480"/>
      <c r="F657" s="1480"/>
      <c r="G657" s="1480"/>
      <c r="H657" s="1481"/>
      <c r="I657" s="1482"/>
      <c r="J657" s="1483"/>
      <c r="K657" s="1483"/>
      <c r="L657" s="1528"/>
      <c r="M657" s="1483"/>
      <c r="N657" s="1484"/>
      <c r="O657" s="1481"/>
      <c r="P657" s="1485"/>
      <c r="Q657" s="1485"/>
      <c r="R657" s="1485"/>
      <c r="S657" s="1485"/>
      <c r="T657" s="1485"/>
      <c r="U657" s="1485"/>
      <c r="V657" s="1484"/>
      <c r="W657" s="1366"/>
      <c r="X657" s="1366"/>
      <c r="Y657" s="1366"/>
      <c r="Z657" s="1366"/>
      <c r="AA657" s="1366"/>
      <c r="AB657" s="1366"/>
      <c r="AC657" s="1366"/>
      <c r="AD657" s="1366"/>
      <c r="AE657" s="1366"/>
      <c r="AF657" s="1366"/>
      <c r="AG657" s="1366"/>
      <c r="AH657" s="1366"/>
      <c r="AI657" s="1366"/>
      <c r="AJ657" s="1366"/>
      <c r="AK657" s="1366"/>
      <c r="AL657" s="1366"/>
      <c r="AM657" s="1366"/>
      <c r="AN657" s="1366"/>
      <c r="AO657" s="1366"/>
      <c r="AP657" s="1366"/>
      <c r="AQ657" s="1366"/>
      <c r="AR657" s="1366"/>
      <c r="AS657" s="1366"/>
      <c r="AT657" s="1366"/>
      <c r="AU657" s="1366"/>
      <c r="AV657" s="1366"/>
      <c r="AW657" s="1366"/>
      <c r="AX657" s="1366"/>
      <c r="AY657" s="1366"/>
      <c r="AZ657" s="1366"/>
      <c r="BA657" s="1366"/>
      <c r="BB657" s="1366"/>
      <c r="BC657" s="1366"/>
      <c r="BD657" s="1366"/>
      <c r="BE657" s="1366"/>
      <c r="BF657" s="1366"/>
      <c r="BG657" s="1366"/>
      <c r="BH657" s="1366"/>
      <c r="BI657" s="1366"/>
      <c r="BJ657" s="1366"/>
      <c r="BK657" s="1366"/>
      <c r="BL657" s="1366"/>
      <c r="BM657" s="1366"/>
      <c r="BN657" s="1366"/>
      <c r="BO657" s="1366"/>
      <c r="BP657" s="1366"/>
      <c r="BQ657" s="1366"/>
      <c r="BR657" s="1366"/>
      <c r="BS657" s="1366"/>
      <c r="BT657" s="1366"/>
      <c r="BU657" s="1366"/>
      <c r="BV657" s="1366"/>
      <c r="BW657" s="1366"/>
      <c r="BX657" s="1366"/>
      <c r="BY657" s="1366"/>
      <c r="BZ657" s="1366"/>
      <c r="CA657" s="1366"/>
      <c r="CB657" s="1366"/>
      <c r="CC657" s="1366"/>
      <c r="CD657" s="1366"/>
      <c r="CE657" s="1366"/>
      <c r="CF657" s="1366"/>
      <c r="CG657" s="1366"/>
      <c r="CH657" s="1366"/>
      <c r="CI657" s="1366"/>
      <c r="CJ657" s="1366"/>
      <c r="CK657" s="1366"/>
      <c r="CL657" s="1366"/>
      <c r="CM657" s="1366"/>
      <c r="CN657" s="1366"/>
      <c r="CO657" s="1366"/>
      <c r="CP657" s="1366"/>
      <c r="CQ657" s="1366"/>
      <c r="CR657" s="1366"/>
      <c r="CS657" s="1366"/>
      <c r="CT657" s="1366"/>
      <c r="CU657" s="1366"/>
      <c r="CV657" s="1366"/>
      <c r="CW657" s="1366"/>
      <c r="CX657" s="1366"/>
      <c r="CY657" s="1366"/>
      <c r="CZ657" s="1366"/>
      <c r="DA657" s="1366"/>
      <c r="DB657" s="1366"/>
      <c r="DC657" s="1366"/>
      <c r="DD657" s="1366"/>
      <c r="DE657" s="1366"/>
      <c r="DF657" s="1366"/>
      <c r="DG657" s="1366"/>
      <c r="DH657" s="1366"/>
      <c r="DI657" s="1366"/>
      <c r="DJ657" s="1366"/>
      <c r="DK657" s="1366"/>
      <c r="DL657" s="1366"/>
      <c r="DM657" s="1366"/>
      <c r="DN657" s="1366"/>
      <c r="DO657" s="1366"/>
      <c r="DP657" s="1366"/>
      <c r="DQ657" s="1366"/>
      <c r="DR657" s="1366"/>
      <c r="DS657" s="1366"/>
      <c r="DT657" s="1366"/>
      <c r="DU657" s="1366"/>
      <c r="DV657" s="1366"/>
    </row>
    <row r="658" spans="1:126" s="1367" customFormat="1" ht="15.75" hidden="1" thickBot="1">
      <c r="A658" s="2500"/>
      <c r="B658" s="1643"/>
      <c r="C658" s="1674"/>
      <c r="D658" s="1480"/>
      <c r="E658" s="1480"/>
      <c r="F658" s="1480"/>
      <c r="G658" s="1480"/>
      <c r="H658" s="1481"/>
      <c r="I658" s="1482"/>
      <c r="J658" s="1483"/>
      <c r="K658" s="1483"/>
      <c r="L658" s="1528"/>
      <c r="M658" s="1483"/>
      <c r="N658" s="1484"/>
      <c r="O658" s="1481"/>
      <c r="P658" s="1485"/>
      <c r="Q658" s="1485"/>
      <c r="R658" s="1485"/>
      <c r="S658" s="1485"/>
      <c r="T658" s="1485"/>
      <c r="U658" s="1485"/>
      <c r="V658" s="1484"/>
      <c r="W658" s="1366"/>
      <c r="X658" s="1366"/>
      <c r="Y658" s="1366"/>
      <c r="Z658" s="1366"/>
      <c r="AA658" s="1366"/>
      <c r="AB658" s="1366"/>
      <c r="AC658" s="1366"/>
      <c r="AD658" s="1366"/>
      <c r="AE658" s="1366"/>
      <c r="AF658" s="1366"/>
      <c r="AG658" s="1366"/>
      <c r="AH658" s="1366"/>
      <c r="AI658" s="1366"/>
      <c r="AJ658" s="1366"/>
      <c r="AK658" s="1366"/>
      <c r="AL658" s="1366"/>
      <c r="AM658" s="1366"/>
      <c r="AN658" s="1366"/>
      <c r="AO658" s="1366"/>
      <c r="AP658" s="1366"/>
      <c r="AQ658" s="1366"/>
      <c r="AR658" s="1366"/>
      <c r="AS658" s="1366"/>
      <c r="AT658" s="1366"/>
      <c r="AU658" s="1366"/>
      <c r="AV658" s="1366"/>
      <c r="AW658" s="1366"/>
      <c r="AX658" s="1366"/>
      <c r="AY658" s="1366"/>
      <c r="AZ658" s="1366"/>
      <c r="BA658" s="1366"/>
      <c r="BB658" s="1366"/>
      <c r="BC658" s="1366"/>
      <c r="BD658" s="1366"/>
      <c r="BE658" s="1366"/>
      <c r="BF658" s="1366"/>
      <c r="BG658" s="1366"/>
      <c r="BH658" s="1366"/>
      <c r="BI658" s="1366"/>
      <c r="BJ658" s="1366"/>
      <c r="BK658" s="1366"/>
      <c r="BL658" s="1366"/>
      <c r="BM658" s="1366"/>
      <c r="BN658" s="1366"/>
      <c r="BO658" s="1366"/>
      <c r="BP658" s="1366"/>
      <c r="BQ658" s="1366"/>
      <c r="BR658" s="1366"/>
      <c r="BS658" s="1366"/>
      <c r="BT658" s="1366"/>
      <c r="BU658" s="1366"/>
      <c r="BV658" s="1366"/>
      <c r="BW658" s="1366"/>
      <c r="BX658" s="1366"/>
      <c r="BY658" s="1366"/>
      <c r="BZ658" s="1366"/>
      <c r="CA658" s="1366"/>
      <c r="CB658" s="1366"/>
      <c r="CC658" s="1366"/>
      <c r="CD658" s="1366"/>
      <c r="CE658" s="1366"/>
      <c r="CF658" s="1366"/>
      <c r="CG658" s="1366"/>
      <c r="CH658" s="1366"/>
      <c r="CI658" s="1366"/>
      <c r="CJ658" s="1366"/>
      <c r="CK658" s="1366"/>
      <c r="CL658" s="1366"/>
      <c r="CM658" s="1366"/>
      <c r="CN658" s="1366"/>
      <c r="CO658" s="1366"/>
      <c r="CP658" s="1366"/>
      <c r="CQ658" s="1366"/>
      <c r="CR658" s="1366"/>
      <c r="CS658" s="1366"/>
      <c r="CT658" s="1366"/>
      <c r="CU658" s="1366"/>
      <c r="CV658" s="1366"/>
      <c r="CW658" s="1366"/>
      <c r="CX658" s="1366"/>
      <c r="CY658" s="1366"/>
      <c r="CZ658" s="1366"/>
      <c r="DA658" s="1366"/>
      <c r="DB658" s="1366"/>
      <c r="DC658" s="1366"/>
      <c r="DD658" s="1366"/>
      <c r="DE658" s="1366"/>
      <c r="DF658" s="1366"/>
      <c r="DG658" s="1366"/>
      <c r="DH658" s="1366"/>
      <c r="DI658" s="1366"/>
      <c r="DJ658" s="1366"/>
      <c r="DK658" s="1366"/>
      <c r="DL658" s="1366"/>
      <c r="DM658" s="1366"/>
      <c r="DN658" s="1366"/>
      <c r="DO658" s="1366"/>
      <c r="DP658" s="1366"/>
      <c r="DQ658" s="1366"/>
      <c r="DR658" s="1366"/>
      <c r="DS658" s="1366"/>
      <c r="DT658" s="1366"/>
      <c r="DU658" s="1366"/>
      <c r="DV658" s="1366"/>
    </row>
    <row r="659" spans="1:126" s="1479" customFormat="1" ht="19.5" hidden="1" thickBot="1">
      <c r="A659" s="695"/>
      <c r="B659" s="1655"/>
      <c r="C659" s="1655"/>
      <c r="D659" s="683"/>
      <c r="E659" s="683"/>
      <c r="F659" s="683"/>
      <c r="G659" s="683"/>
      <c r="H659" s="1413"/>
      <c r="I659" s="1443"/>
      <c r="J659" s="1414"/>
      <c r="K659" s="1413"/>
      <c r="L659" s="1529"/>
      <c r="M659" s="1413"/>
      <c r="N659" s="1489"/>
      <c r="O659" s="1413"/>
      <c r="P659" s="1414"/>
      <c r="Q659" s="1414"/>
      <c r="R659" s="1443"/>
      <c r="S659" s="1443"/>
      <c r="T659" s="1488"/>
      <c r="U659" s="1488"/>
      <c r="V659" s="1489"/>
      <c r="W659" s="1490"/>
      <c r="X659" s="1490"/>
      <c r="Y659" s="327"/>
      <c r="Z659" s="327"/>
      <c r="AA659" s="327"/>
      <c r="AB659" s="1490"/>
      <c r="AC659" s="1490"/>
      <c r="AD659" s="1490"/>
      <c r="AE659" s="1490"/>
      <c r="AF659" s="327"/>
      <c r="AG659" s="327"/>
      <c r="AH659" s="327"/>
      <c r="AI659" s="327"/>
      <c r="AJ659" s="327"/>
      <c r="AK659" s="1478"/>
      <c r="AL659" s="1478"/>
      <c r="AM659" s="1478"/>
      <c r="AN659" s="1478"/>
      <c r="AO659" s="1478"/>
      <c r="AP659" s="1478"/>
      <c r="AQ659" s="1478"/>
      <c r="AR659" s="1478"/>
      <c r="AS659" s="1478"/>
      <c r="AT659" s="1478"/>
      <c r="AU659" s="1478"/>
      <c r="AV659" s="1478"/>
      <c r="AW659" s="1478"/>
      <c r="AX659" s="1478"/>
      <c r="AY659" s="1478"/>
      <c r="AZ659" s="1478"/>
      <c r="BA659" s="1478"/>
      <c r="BB659" s="1478"/>
      <c r="BC659" s="1478"/>
      <c r="BD659" s="1478"/>
      <c r="BE659" s="1478"/>
      <c r="BF659" s="1478"/>
      <c r="BG659" s="1478"/>
      <c r="BH659" s="1478"/>
      <c r="BI659" s="1478"/>
      <c r="BJ659" s="1478"/>
      <c r="BK659" s="327"/>
      <c r="BL659" s="327"/>
      <c r="BM659" s="327"/>
      <c r="BN659" s="327"/>
      <c r="BO659" s="327"/>
      <c r="BP659" s="327"/>
      <c r="BQ659" s="327"/>
      <c r="BR659" s="327"/>
      <c r="BS659" s="327"/>
      <c r="BT659" s="327"/>
      <c r="BU659" s="327"/>
      <c r="BV659" s="327"/>
      <c r="BW659" s="327"/>
      <c r="BX659" s="327"/>
      <c r="BY659" s="327"/>
      <c r="BZ659" s="327"/>
      <c r="CA659" s="327"/>
      <c r="CB659" s="327"/>
      <c r="CC659" s="327"/>
      <c r="CD659" s="327"/>
      <c r="CE659" s="327"/>
      <c r="CF659" s="327"/>
      <c r="CG659" s="327"/>
      <c r="CH659" s="327"/>
      <c r="CI659" s="327"/>
      <c r="CJ659" s="327"/>
      <c r="CK659" s="327"/>
      <c r="CL659" s="327"/>
      <c r="CM659" s="327"/>
      <c r="CN659" s="327"/>
      <c r="CO659" s="327"/>
      <c r="CP659" s="327"/>
      <c r="CQ659" s="327"/>
      <c r="CR659" s="327"/>
      <c r="CS659" s="327"/>
      <c r="CT659" s="327"/>
      <c r="CU659" s="327"/>
      <c r="CV659" s="327"/>
      <c r="CW659" s="327"/>
      <c r="CX659" s="327"/>
      <c r="CY659" s="327"/>
      <c r="CZ659" s="327"/>
      <c r="DA659" s="327"/>
      <c r="DB659" s="327"/>
      <c r="DC659" s="327"/>
      <c r="DD659" s="327"/>
      <c r="DE659" s="327"/>
      <c r="DF659" s="327"/>
      <c r="DG659" s="327"/>
      <c r="DH659" s="327"/>
      <c r="DI659" s="327"/>
      <c r="DJ659" s="327"/>
      <c r="DK659" s="327"/>
      <c r="DL659" s="327"/>
      <c r="DM659" s="327"/>
      <c r="DN659" s="327"/>
      <c r="DO659" s="327"/>
      <c r="DP659" s="327"/>
      <c r="DQ659" s="327"/>
      <c r="DR659" s="327"/>
      <c r="DS659" s="327"/>
      <c r="DT659" s="327"/>
      <c r="DU659" s="327"/>
      <c r="DV659" s="327"/>
    </row>
    <row r="660" spans="1:126" s="1367" customFormat="1" hidden="1">
      <c r="A660" s="2493" t="s">
        <v>1371</v>
      </c>
      <c r="B660" s="1643"/>
      <c r="C660" s="1674"/>
      <c r="D660" s="1480"/>
      <c r="E660" s="1480"/>
      <c r="F660" s="1480"/>
      <c r="G660" s="1480"/>
      <c r="H660" s="1481"/>
      <c r="I660" s="1482"/>
      <c r="J660" s="1483"/>
      <c r="K660" s="1483"/>
      <c r="L660" s="1528"/>
      <c r="M660" s="1483"/>
      <c r="N660" s="1484"/>
      <c r="O660" s="1481"/>
      <c r="P660" s="1485"/>
      <c r="Q660" s="1485"/>
      <c r="R660" s="1485"/>
      <c r="S660" s="1485"/>
      <c r="T660" s="1485"/>
      <c r="U660" s="1485"/>
      <c r="V660" s="1484"/>
      <c r="W660" s="1366"/>
      <c r="X660" s="1366"/>
      <c r="Y660" s="1366"/>
      <c r="Z660" s="1366"/>
      <c r="AA660" s="1366"/>
      <c r="AB660" s="1366"/>
      <c r="AC660" s="1366"/>
      <c r="AD660" s="1366"/>
      <c r="AE660" s="1366"/>
      <c r="AF660" s="1366"/>
      <c r="AG660" s="1366"/>
      <c r="AH660" s="1366"/>
      <c r="AI660" s="1366"/>
      <c r="AJ660" s="1366"/>
      <c r="AK660" s="1366"/>
      <c r="AL660" s="1366"/>
      <c r="AM660" s="1366"/>
      <c r="AN660" s="1366"/>
      <c r="AO660" s="1366"/>
      <c r="AP660" s="1366"/>
      <c r="AQ660" s="1366"/>
      <c r="AR660" s="1366"/>
      <c r="AS660" s="1366"/>
      <c r="AT660" s="1366"/>
      <c r="AU660" s="1366"/>
      <c r="AV660" s="1366"/>
      <c r="AW660" s="1366"/>
      <c r="AX660" s="1366"/>
      <c r="AY660" s="1366"/>
      <c r="AZ660" s="1366"/>
      <c r="BA660" s="1366"/>
      <c r="BB660" s="1366"/>
      <c r="BC660" s="1366"/>
      <c r="BD660" s="1366"/>
      <c r="BE660" s="1366"/>
      <c r="BF660" s="1366"/>
      <c r="BG660" s="1366"/>
      <c r="BH660" s="1366"/>
      <c r="BI660" s="1366"/>
      <c r="BJ660" s="1366"/>
      <c r="BK660" s="1366"/>
      <c r="BL660" s="1366"/>
      <c r="BM660" s="1366"/>
      <c r="BN660" s="1366"/>
      <c r="BO660" s="1366"/>
      <c r="BP660" s="1366"/>
      <c r="BQ660" s="1366"/>
      <c r="BR660" s="1366"/>
      <c r="BS660" s="1366"/>
      <c r="BT660" s="1366"/>
      <c r="BU660" s="1366"/>
      <c r="BV660" s="1366"/>
      <c r="BW660" s="1366"/>
      <c r="BX660" s="1366"/>
      <c r="BY660" s="1366"/>
      <c r="BZ660" s="1366"/>
      <c r="CA660" s="1366"/>
      <c r="CB660" s="1366"/>
      <c r="CC660" s="1366"/>
      <c r="CD660" s="1366"/>
      <c r="CE660" s="1366"/>
      <c r="CF660" s="1366"/>
      <c r="CG660" s="1366"/>
      <c r="CH660" s="1366"/>
      <c r="CI660" s="1366"/>
      <c r="CJ660" s="1366"/>
      <c r="CK660" s="1366"/>
      <c r="CL660" s="1366"/>
      <c r="CM660" s="1366"/>
      <c r="CN660" s="1366"/>
      <c r="CO660" s="1366"/>
      <c r="CP660" s="1366"/>
      <c r="CQ660" s="1366"/>
      <c r="CR660" s="1366"/>
      <c r="CS660" s="1366"/>
      <c r="CT660" s="1366"/>
      <c r="CU660" s="1366"/>
      <c r="CV660" s="1366"/>
      <c r="CW660" s="1366"/>
      <c r="CX660" s="1366"/>
      <c r="CY660" s="1366"/>
      <c r="CZ660" s="1366"/>
      <c r="DA660" s="1366"/>
      <c r="DB660" s="1366"/>
      <c r="DC660" s="1366"/>
      <c r="DD660" s="1366"/>
      <c r="DE660" s="1366"/>
      <c r="DF660" s="1366"/>
      <c r="DG660" s="1366"/>
      <c r="DH660" s="1366"/>
      <c r="DI660" s="1366"/>
      <c r="DJ660" s="1366"/>
      <c r="DK660" s="1366"/>
      <c r="DL660" s="1366"/>
      <c r="DM660" s="1366"/>
      <c r="DN660" s="1366"/>
      <c r="DO660" s="1366"/>
      <c r="DP660" s="1366"/>
      <c r="DQ660" s="1366"/>
      <c r="DR660" s="1366"/>
      <c r="DS660" s="1366"/>
      <c r="DT660" s="1366"/>
      <c r="DU660" s="1366"/>
      <c r="DV660" s="1366"/>
    </row>
    <row r="661" spans="1:126" s="1367" customFormat="1" hidden="1">
      <c r="A661" s="2503"/>
      <c r="B661" s="1643"/>
      <c r="C661" s="1674"/>
      <c r="D661" s="1480"/>
      <c r="E661" s="1480"/>
      <c r="F661" s="1480"/>
      <c r="G661" s="1480"/>
      <c r="H661" s="1481"/>
      <c r="I661" s="1482"/>
      <c r="J661" s="1483"/>
      <c r="K661" s="1483"/>
      <c r="L661" s="1528"/>
      <c r="M661" s="1483"/>
      <c r="N661" s="1484"/>
      <c r="O661" s="1481"/>
      <c r="P661" s="1485"/>
      <c r="Q661" s="1485"/>
      <c r="R661" s="1485"/>
      <c r="S661" s="1485"/>
      <c r="T661" s="1485"/>
      <c r="U661" s="1485"/>
      <c r="V661" s="1484"/>
      <c r="W661" s="1366"/>
      <c r="X661" s="1366"/>
      <c r="Y661" s="1366"/>
      <c r="Z661" s="1366"/>
      <c r="AA661" s="1366"/>
      <c r="AB661" s="1366"/>
      <c r="AC661" s="1366"/>
      <c r="AD661" s="1366"/>
      <c r="AE661" s="1366"/>
      <c r="AF661" s="1366"/>
      <c r="AG661" s="1366"/>
      <c r="AH661" s="1366"/>
      <c r="AI661" s="1366"/>
      <c r="AJ661" s="1366"/>
      <c r="AK661" s="1366"/>
      <c r="AL661" s="1366"/>
      <c r="AM661" s="1366"/>
      <c r="AN661" s="1366"/>
      <c r="AO661" s="1366"/>
      <c r="AP661" s="1366"/>
      <c r="AQ661" s="1366"/>
      <c r="AR661" s="1366"/>
      <c r="AS661" s="1366"/>
      <c r="AT661" s="1366"/>
      <c r="AU661" s="1366"/>
      <c r="AV661" s="1366"/>
      <c r="AW661" s="1366"/>
      <c r="AX661" s="1366"/>
      <c r="AY661" s="1366"/>
      <c r="AZ661" s="1366"/>
      <c r="BA661" s="1366"/>
      <c r="BB661" s="1366"/>
      <c r="BC661" s="1366"/>
      <c r="BD661" s="1366"/>
      <c r="BE661" s="1366"/>
      <c r="BF661" s="1366"/>
      <c r="BG661" s="1366"/>
      <c r="BH661" s="1366"/>
      <c r="BI661" s="1366"/>
      <c r="BJ661" s="1366"/>
      <c r="BK661" s="1366"/>
      <c r="BL661" s="1366"/>
      <c r="BM661" s="1366"/>
      <c r="BN661" s="1366"/>
      <c r="BO661" s="1366"/>
      <c r="BP661" s="1366"/>
      <c r="BQ661" s="1366"/>
      <c r="BR661" s="1366"/>
      <c r="BS661" s="1366"/>
      <c r="BT661" s="1366"/>
      <c r="BU661" s="1366"/>
      <c r="BV661" s="1366"/>
      <c r="BW661" s="1366"/>
      <c r="BX661" s="1366"/>
      <c r="BY661" s="1366"/>
      <c r="BZ661" s="1366"/>
      <c r="CA661" s="1366"/>
      <c r="CB661" s="1366"/>
      <c r="CC661" s="1366"/>
      <c r="CD661" s="1366"/>
      <c r="CE661" s="1366"/>
      <c r="CF661" s="1366"/>
      <c r="CG661" s="1366"/>
      <c r="CH661" s="1366"/>
      <c r="CI661" s="1366"/>
      <c r="CJ661" s="1366"/>
      <c r="CK661" s="1366"/>
      <c r="CL661" s="1366"/>
      <c r="CM661" s="1366"/>
      <c r="CN661" s="1366"/>
      <c r="CO661" s="1366"/>
      <c r="CP661" s="1366"/>
      <c r="CQ661" s="1366"/>
      <c r="CR661" s="1366"/>
      <c r="CS661" s="1366"/>
      <c r="CT661" s="1366"/>
      <c r="CU661" s="1366"/>
      <c r="CV661" s="1366"/>
      <c r="CW661" s="1366"/>
      <c r="CX661" s="1366"/>
      <c r="CY661" s="1366"/>
      <c r="CZ661" s="1366"/>
      <c r="DA661" s="1366"/>
      <c r="DB661" s="1366"/>
      <c r="DC661" s="1366"/>
      <c r="DD661" s="1366"/>
      <c r="DE661" s="1366"/>
      <c r="DF661" s="1366"/>
      <c r="DG661" s="1366"/>
      <c r="DH661" s="1366"/>
      <c r="DI661" s="1366"/>
      <c r="DJ661" s="1366"/>
      <c r="DK661" s="1366"/>
      <c r="DL661" s="1366"/>
      <c r="DM661" s="1366"/>
      <c r="DN661" s="1366"/>
      <c r="DO661" s="1366"/>
      <c r="DP661" s="1366"/>
      <c r="DQ661" s="1366"/>
      <c r="DR661" s="1366"/>
      <c r="DS661" s="1366"/>
      <c r="DT661" s="1366"/>
      <c r="DU661" s="1366"/>
      <c r="DV661" s="1366"/>
    </row>
    <row r="662" spans="1:126" s="1367" customFormat="1" hidden="1">
      <c r="A662" s="2503"/>
      <c r="B662" s="1643"/>
      <c r="C662" s="1674"/>
      <c r="D662" s="1480"/>
      <c r="E662" s="1480"/>
      <c r="F662" s="1480"/>
      <c r="G662" s="1480"/>
      <c r="H662" s="1481"/>
      <c r="I662" s="1482"/>
      <c r="J662" s="1483"/>
      <c r="K662" s="1483"/>
      <c r="L662" s="1528"/>
      <c r="M662" s="1483"/>
      <c r="N662" s="1484"/>
      <c r="O662" s="1481"/>
      <c r="P662" s="1485"/>
      <c r="Q662" s="1485"/>
      <c r="R662" s="1485"/>
      <c r="S662" s="1485"/>
      <c r="T662" s="1485"/>
      <c r="U662" s="1485"/>
      <c r="V662" s="1484"/>
      <c r="W662" s="1366"/>
      <c r="X662" s="1366"/>
      <c r="Y662" s="1366"/>
      <c r="Z662" s="1366"/>
      <c r="AA662" s="1366"/>
      <c r="AB662" s="1366"/>
      <c r="AC662" s="1366"/>
      <c r="AD662" s="1366"/>
      <c r="AE662" s="1366"/>
      <c r="AF662" s="1366"/>
      <c r="AG662" s="1366"/>
      <c r="AH662" s="1366"/>
      <c r="AI662" s="1366"/>
      <c r="AJ662" s="1366"/>
      <c r="AK662" s="1366"/>
      <c r="AL662" s="1366"/>
      <c r="AM662" s="1366"/>
      <c r="AN662" s="1366"/>
      <c r="AO662" s="1366"/>
      <c r="AP662" s="1366"/>
      <c r="AQ662" s="1366"/>
      <c r="AR662" s="1366"/>
      <c r="AS662" s="1366"/>
      <c r="AT662" s="1366"/>
      <c r="AU662" s="1366"/>
      <c r="AV662" s="1366"/>
      <c r="AW662" s="1366"/>
      <c r="AX662" s="1366"/>
      <c r="AY662" s="1366"/>
      <c r="AZ662" s="1366"/>
      <c r="BA662" s="1366"/>
      <c r="BB662" s="1366"/>
      <c r="BC662" s="1366"/>
      <c r="BD662" s="1366"/>
      <c r="BE662" s="1366"/>
      <c r="BF662" s="1366"/>
      <c r="BG662" s="1366"/>
      <c r="BH662" s="1366"/>
      <c r="BI662" s="1366"/>
      <c r="BJ662" s="1366"/>
      <c r="BK662" s="1366"/>
      <c r="BL662" s="1366"/>
      <c r="BM662" s="1366"/>
      <c r="BN662" s="1366"/>
      <c r="BO662" s="1366"/>
      <c r="BP662" s="1366"/>
      <c r="BQ662" s="1366"/>
      <c r="BR662" s="1366"/>
      <c r="BS662" s="1366"/>
      <c r="BT662" s="1366"/>
      <c r="BU662" s="1366"/>
      <c r="BV662" s="1366"/>
      <c r="BW662" s="1366"/>
      <c r="BX662" s="1366"/>
      <c r="BY662" s="1366"/>
      <c r="BZ662" s="1366"/>
      <c r="CA662" s="1366"/>
      <c r="CB662" s="1366"/>
      <c r="CC662" s="1366"/>
      <c r="CD662" s="1366"/>
      <c r="CE662" s="1366"/>
      <c r="CF662" s="1366"/>
      <c r="CG662" s="1366"/>
      <c r="CH662" s="1366"/>
      <c r="CI662" s="1366"/>
      <c r="CJ662" s="1366"/>
      <c r="CK662" s="1366"/>
      <c r="CL662" s="1366"/>
      <c r="CM662" s="1366"/>
      <c r="CN662" s="1366"/>
      <c r="CO662" s="1366"/>
      <c r="CP662" s="1366"/>
      <c r="CQ662" s="1366"/>
      <c r="CR662" s="1366"/>
      <c r="CS662" s="1366"/>
      <c r="CT662" s="1366"/>
      <c r="CU662" s="1366"/>
      <c r="CV662" s="1366"/>
      <c r="CW662" s="1366"/>
      <c r="CX662" s="1366"/>
      <c r="CY662" s="1366"/>
      <c r="CZ662" s="1366"/>
      <c r="DA662" s="1366"/>
      <c r="DB662" s="1366"/>
      <c r="DC662" s="1366"/>
      <c r="DD662" s="1366"/>
      <c r="DE662" s="1366"/>
      <c r="DF662" s="1366"/>
      <c r="DG662" s="1366"/>
      <c r="DH662" s="1366"/>
      <c r="DI662" s="1366"/>
      <c r="DJ662" s="1366"/>
      <c r="DK662" s="1366"/>
      <c r="DL662" s="1366"/>
      <c r="DM662" s="1366"/>
      <c r="DN662" s="1366"/>
      <c r="DO662" s="1366"/>
      <c r="DP662" s="1366"/>
      <c r="DQ662" s="1366"/>
      <c r="DR662" s="1366"/>
      <c r="DS662" s="1366"/>
      <c r="DT662" s="1366"/>
      <c r="DU662" s="1366"/>
      <c r="DV662" s="1366"/>
    </row>
    <row r="663" spans="1:126" s="1367" customFormat="1" hidden="1">
      <c r="A663" s="2503"/>
      <c r="B663" s="1643"/>
      <c r="C663" s="1674"/>
      <c r="D663" s="1480"/>
      <c r="E663" s="1480"/>
      <c r="F663" s="1480"/>
      <c r="G663" s="1480"/>
      <c r="H663" s="1481"/>
      <c r="I663" s="1482"/>
      <c r="J663" s="1483"/>
      <c r="K663" s="1483"/>
      <c r="L663" s="1528"/>
      <c r="M663" s="1483"/>
      <c r="N663" s="1484"/>
      <c r="O663" s="1481"/>
      <c r="P663" s="1485"/>
      <c r="Q663" s="1485"/>
      <c r="R663" s="1485"/>
      <c r="S663" s="1485"/>
      <c r="T663" s="1485"/>
      <c r="U663" s="1485"/>
      <c r="V663" s="1484"/>
      <c r="W663" s="1366"/>
      <c r="X663" s="1366"/>
      <c r="Y663" s="1366"/>
      <c r="Z663" s="1366"/>
      <c r="AA663" s="1366"/>
      <c r="AB663" s="1366"/>
      <c r="AC663" s="1366"/>
      <c r="AD663" s="1366"/>
      <c r="AE663" s="1366"/>
      <c r="AF663" s="1366"/>
      <c r="AG663" s="1366"/>
      <c r="AH663" s="1366"/>
      <c r="AI663" s="1366"/>
      <c r="AJ663" s="1366"/>
      <c r="AK663" s="1366"/>
      <c r="AL663" s="1366"/>
      <c r="AM663" s="1366"/>
      <c r="AN663" s="1366"/>
      <c r="AO663" s="1366"/>
      <c r="AP663" s="1366"/>
      <c r="AQ663" s="1366"/>
      <c r="AR663" s="1366"/>
      <c r="AS663" s="1366"/>
      <c r="AT663" s="1366"/>
      <c r="AU663" s="1366"/>
      <c r="AV663" s="1366"/>
      <c r="AW663" s="1366"/>
      <c r="AX663" s="1366"/>
      <c r="AY663" s="1366"/>
      <c r="AZ663" s="1366"/>
      <c r="BA663" s="1366"/>
      <c r="BB663" s="1366"/>
      <c r="BC663" s="1366"/>
      <c r="BD663" s="1366"/>
      <c r="BE663" s="1366"/>
      <c r="BF663" s="1366"/>
      <c r="BG663" s="1366"/>
      <c r="BH663" s="1366"/>
      <c r="BI663" s="1366"/>
      <c r="BJ663" s="1366"/>
      <c r="BK663" s="1366"/>
      <c r="BL663" s="1366"/>
      <c r="BM663" s="1366"/>
      <c r="BN663" s="1366"/>
      <c r="BO663" s="1366"/>
      <c r="BP663" s="1366"/>
      <c r="BQ663" s="1366"/>
      <c r="BR663" s="1366"/>
      <c r="BS663" s="1366"/>
      <c r="BT663" s="1366"/>
      <c r="BU663" s="1366"/>
      <c r="BV663" s="1366"/>
      <c r="BW663" s="1366"/>
      <c r="BX663" s="1366"/>
      <c r="BY663" s="1366"/>
      <c r="BZ663" s="1366"/>
      <c r="CA663" s="1366"/>
      <c r="CB663" s="1366"/>
      <c r="CC663" s="1366"/>
      <c r="CD663" s="1366"/>
      <c r="CE663" s="1366"/>
      <c r="CF663" s="1366"/>
      <c r="CG663" s="1366"/>
      <c r="CH663" s="1366"/>
      <c r="CI663" s="1366"/>
      <c r="CJ663" s="1366"/>
      <c r="CK663" s="1366"/>
      <c r="CL663" s="1366"/>
      <c r="CM663" s="1366"/>
      <c r="CN663" s="1366"/>
      <c r="CO663" s="1366"/>
      <c r="CP663" s="1366"/>
      <c r="CQ663" s="1366"/>
      <c r="CR663" s="1366"/>
      <c r="CS663" s="1366"/>
      <c r="CT663" s="1366"/>
      <c r="CU663" s="1366"/>
      <c r="CV663" s="1366"/>
      <c r="CW663" s="1366"/>
      <c r="CX663" s="1366"/>
      <c r="CY663" s="1366"/>
      <c r="CZ663" s="1366"/>
      <c r="DA663" s="1366"/>
      <c r="DB663" s="1366"/>
      <c r="DC663" s="1366"/>
      <c r="DD663" s="1366"/>
      <c r="DE663" s="1366"/>
      <c r="DF663" s="1366"/>
      <c r="DG663" s="1366"/>
      <c r="DH663" s="1366"/>
      <c r="DI663" s="1366"/>
      <c r="DJ663" s="1366"/>
      <c r="DK663" s="1366"/>
      <c r="DL663" s="1366"/>
      <c r="DM663" s="1366"/>
      <c r="DN663" s="1366"/>
      <c r="DO663" s="1366"/>
      <c r="DP663" s="1366"/>
      <c r="DQ663" s="1366"/>
      <c r="DR663" s="1366"/>
      <c r="DS663" s="1366"/>
      <c r="DT663" s="1366"/>
      <c r="DU663" s="1366"/>
      <c r="DV663" s="1366"/>
    </row>
    <row r="664" spans="1:126" s="1367" customFormat="1" hidden="1">
      <c r="A664" s="2503"/>
      <c r="B664" s="1643"/>
      <c r="C664" s="1674"/>
      <c r="D664" s="1480"/>
      <c r="E664" s="1480"/>
      <c r="F664" s="1480"/>
      <c r="G664" s="1480"/>
      <c r="H664" s="1481"/>
      <c r="I664" s="1482"/>
      <c r="J664" s="1483"/>
      <c r="K664" s="1483"/>
      <c r="L664" s="1528"/>
      <c r="M664" s="1483"/>
      <c r="N664" s="1484"/>
      <c r="O664" s="1481"/>
      <c r="P664" s="1485"/>
      <c r="Q664" s="1485"/>
      <c r="R664" s="1485"/>
      <c r="S664" s="1485"/>
      <c r="T664" s="1485"/>
      <c r="U664" s="1485"/>
      <c r="V664" s="1484"/>
      <c r="W664" s="1366"/>
      <c r="X664" s="1366"/>
      <c r="Y664" s="1366"/>
      <c r="Z664" s="1366"/>
      <c r="AA664" s="1366"/>
      <c r="AB664" s="1366"/>
      <c r="AC664" s="1366"/>
      <c r="AD664" s="1366"/>
      <c r="AE664" s="1366"/>
      <c r="AF664" s="1366"/>
      <c r="AG664" s="1366"/>
      <c r="AH664" s="1366"/>
      <c r="AI664" s="1366"/>
      <c r="AJ664" s="1366"/>
      <c r="AK664" s="1366"/>
      <c r="AL664" s="1366"/>
      <c r="AM664" s="1366"/>
      <c r="AN664" s="1366"/>
      <c r="AO664" s="1366"/>
      <c r="AP664" s="1366"/>
      <c r="AQ664" s="1366"/>
      <c r="AR664" s="1366"/>
      <c r="AS664" s="1366"/>
      <c r="AT664" s="1366"/>
      <c r="AU664" s="1366"/>
      <c r="AV664" s="1366"/>
      <c r="AW664" s="1366"/>
      <c r="AX664" s="1366"/>
      <c r="AY664" s="1366"/>
      <c r="AZ664" s="1366"/>
      <c r="BA664" s="1366"/>
      <c r="BB664" s="1366"/>
      <c r="BC664" s="1366"/>
      <c r="BD664" s="1366"/>
      <c r="BE664" s="1366"/>
      <c r="BF664" s="1366"/>
      <c r="BG664" s="1366"/>
      <c r="BH664" s="1366"/>
      <c r="BI664" s="1366"/>
      <c r="BJ664" s="1366"/>
      <c r="BK664" s="1366"/>
      <c r="BL664" s="1366"/>
      <c r="BM664" s="1366"/>
      <c r="BN664" s="1366"/>
      <c r="BO664" s="1366"/>
      <c r="BP664" s="1366"/>
      <c r="BQ664" s="1366"/>
      <c r="BR664" s="1366"/>
      <c r="BS664" s="1366"/>
      <c r="BT664" s="1366"/>
      <c r="BU664" s="1366"/>
      <c r="BV664" s="1366"/>
      <c r="BW664" s="1366"/>
      <c r="BX664" s="1366"/>
      <c r="BY664" s="1366"/>
      <c r="BZ664" s="1366"/>
      <c r="CA664" s="1366"/>
      <c r="CB664" s="1366"/>
      <c r="CC664" s="1366"/>
      <c r="CD664" s="1366"/>
      <c r="CE664" s="1366"/>
      <c r="CF664" s="1366"/>
      <c r="CG664" s="1366"/>
      <c r="CH664" s="1366"/>
      <c r="CI664" s="1366"/>
      <c r="CJ664" s="1366"/>
      <c r="CK664" s="1366"/>
      <c r="CL664" s="1366"/>
      <c r="CM664" s="1366"/>
      <c r="CN664" s="1366"/>
      <c r="CO664" s="1366"/>
      <c r="CP664" s="1366"/>
      <c r="CQ664" s="1366"/>
      <c r="CR664" s="1366"/>
      <c r="CS664" s="1366"/>
      <c r="CT664" s="1366"/>
      <c r="CU664" s="1366"/>
      <c r="CV664" s="1366"/>
      <c r="CW664" s="1366"/>
      <c r="CX664" s="1366"/>
      <c r="CY664" s="1366"/>
      <c r="CZ664" s="1366"/>
      <c r="DA664" s="1366"/>
      <c r="DB664" s="1366"/>
      <c r="DC664" s="1366"/>
      <c r="DD664" s="1366"/>
      <c r="DE664" s="1366"/>
      <c r="DF664" s="1366"/>
      <c r="DG664" s="1366"/>
      <c r="DH664" s="1366"/>
      <c r="DI664" s="1366"/>
      <c r="DJ664" s="1366"/>
      <c r="DK664" s="1366"/>
      <c r="DL664" s="1366"/>
      <c r="DM664" s="1366"/>
      <c r="DN664" s="1366"/>
      <c r="DO664" s="1366"/>
      <c r="DP664" s="1366"/>
      <c r="DQ664" s="1366"/>
      <c r="DR664" s="1366"/>
      <c r="DS664" s="1366"/>
      <c r="DT664" s="1366"/>
      <c r="DU664" s="1366"/>
      <c r="DV664" s="1366"/>
    </row>
    <row r="665" spans="1:126" s="1367" customFormat="1" hidden="1">
      <c r="A665" s="2503"/>
      <c r="B665" s="1643"/>
      <c r="C665" s="1674"/>
      <c r="D665" s="1480"/>
      <c r="E665" s="1480"/>
      <c r="F665" s="1480"/>
      <c r="G665" s="1480"/>
      <c r="H665" s="1481"/>
      <c r="I665" s="1482"/>
      <c r="J665" s="1483"/>
      <c r="K665" s="1483"/>
      <c r="L665" s="1528"/>
      <c r="M665" s="1483"/>
      <c r="N665" s="1484"/>
      <c r="O665" s="1481"/>
      <c r="P665" s="1485"/>
      <c r="Q665" s="1485"/>
      <c r="R665" s="1485"/>
      <c r="S665" s="1485"/>
      <c r="T665" s="1485"/>
      <c r="U665" s="1485"/>
      <c r="V665" s="1484"/>
      <c r="W665" s="1366"/>
      <c r="X665" s="1366"/>
      <c r="Y665" s="1366"/>
      <c r="Z665" s="1366"/>
      <c r="AA665" s="1366"/>
      <c r="AB665" s="1366"/>
      <c r="AC665" s="1366"/>
      <c r="AD665" s="1366"/>
      <c r="AE665" s="1366"/>
      <c r="AF665" s="1366"/>
      <c r="AG665" s="1366"/>
      <c r="AH665" s="1366"/>
      <c r="AI665" s="1366"/>
      <c r="AJ665" s="1366"/>
      <c r="AK665" s="1366"/>
      <c r="AL665" s="1366"/>
      <c r="AM665" s="1366"/>
      <c r="AN665" s="1366"/>
      <c r="AO665" s="1366"/>
      <c r="AP665" s="1366"/>
      <c r="AQ665" s="1366"/>
      <c r="AR665" s="1366"/>
      <c r="AS665" s="1366"/>
      <c r="AT665" s="1366"/>
      <c r="AU665" s="1366"/>
      <c r="AV665" s="1366"/>
      <c r="AW665" s="1366"/>
      <c r="AX665" s="1366"/>
      <c r="AY665" s="1366"/>
      <c r="AZ665" s="1366"/>
      <c r="BA665" s="1366"/>
      <c r="BB665" s="1366"/>
      <c r="BC665" s="1366"/>
      <c r="BD665" s="1366"/>
      <c r="BE665" s="1366"/>
      <c r="BF665" s="1366"/>
      <c r="BG665" s="1366"/>
      <c r="BH665" s="1366"/>
      <c r="BI665" s="1366"/>
      <c r="BJ665" s="1366"/>
      <c r="BK665" s="1366"/>
      <c r="BL665" s="1366"/>
      <c r="BM665" s="1366"/>
      <c r="BN665" s="1366"/>
      <c r="BO665" s="1366"/>
      <c r="BP665" s="1366"/>
      <c r="BQ665" s="1366"/>
      <c r="BR665" s="1366"/>
      <c r="BS665" s="1366"/>
      <c r="BT665" s="1366"/>
      <c r="BU665" s="1366"/>
      <c r="BV665" s="1366"/>
      <c r="BW665" s="1366"/>
      <c r="BX665" s="1366"/>
      <c r="BY665" s="1366"/>
      <c r="BZ665" s="1366"/>
      <c r="CA665" s="1366"/>
      <c r="CB665" s="1366"/>
      <c r="CC665" s="1366"/>
      <c r="CD665" s="1366"/>
      <c r="CE665" s="1366"/>
      <c r="CF665" s="1366"/>
      <c r="CG665" s="1366"/>
      <c r="CH665" s="1366"/>
      <c r="CI665" s="1366"/>
      <c r="CJ665" s="1366"/>
      <c r="CK665" s="1366"/>
      <c r="CL665" s="1366"/>
      <c r="CM665" s="1366"/>
      <c r="CN665" s="1366"/>
      <c r="CO665" s="1366"/>
      <c r="CP665" s="1366"/>
      <c r="CQ665" s="1366"/>
      <c r="CR665" s="1366"/>
      <c r="CS665" s="1366"/>
      <c r="CT665" s="1366"/>
      <c r="CU665" s="1366"/>
      <c r="CV665" s="1366"/>
      <c r="CW665" s="1366"/>
      <c r="CX665" s="1366"/>
      <c r="CY665" s="1366"/>
      <c r="CZ665" s="1366"/>
      <c r="DA665" s="1366"/>
      <c r="DB665" s="1366"/>
      <c r="DC665" s="1366"/>
      <c r="DD665" s="1366"/>
      <c r="DE665" s="1366"/>
      <c r="DF665" s="1366"/>
      <c r="DG665" s="1366"/>
      <c r="DH665" s="1366"/>
      <c r="DI665" s="1366"/>
      <c r="DJ665" s="1366"/>
      <c r="DK665" s="1366"/>
      <c r="DL665" s="1366"/>
      <c r="DM665" s="1366"/>
      <c r="DN665" s="1366"/>
      <c r="DO665" s="1366"/>
      <c r="DP665" s="1366"/>
      <c r="DQ665" s="1366"/>
      <c r="DR665" s="1366"/>
      <c r="DS665" s="1366"/>
      <c r="DT665" s="1366"/>
      <c r="DU665" s="1366"/>
      <c r="DV665" s="1366"/>
    </row>
    <row r="666" spans="1:126" s="1367" customFormat="1" hidden="1">
      <c r="A666" s="2503"/>
      <c r="B666" s="1643"/>
      <c r="C666" s="1674"/>
      <c r="D666" s="1480"/>
      <c r="E666" s="1480"/>
      <c r="F666" s="1480"/>
      <c r="G666" s="1480"/>
      <c r="H666" s="1481"/>
      <c r="I666" s="1482"/>
      <c r="J666" s="1483"/>
      <c r="K666" s="1483"/>
      <c r="L666" s="1528"/>
      <c r="M666" s="1483"/>
      <c r="N666" s="1484"/>
      <c r="O666" s="1481"/>
      <c r="P666" s="1485"/>
      <c r="Q666" s="1485"/>
      <c r="R666" s="1485"/>
      <c r="S666" s="1485"/>
      <c r="T666" s="1485"/>
      <c r="U666" s="1485"/>
      <c r="V666" s="1484"/>
      <c r="W666" s="1366"/>
      <c r="X666" s="1366"/>
      <c r="Y666" s="1366"/>
      <c r="Z666" s="1366"/>
      <c r="AA666" s="1366"/>
      <c r="AB666" s="1366"/>
      <c r="AC666" s="1366"/>
      <c r="AD666" s="1366"/>
      <c r="AE666" s="1366"/>
      <c r="AF666" s="1366"/>
      <c r="AG666" s="1366"/>
      <c r="AH666" s="1366"/>
      <c r="AI666" s="1366"/>
      <c r="AJ666" s="1366"/>
      <c r="AK666" s="1366"/>
      <c r="AL666" s="1366"/>
      <c r="AM666" s="1366"/>
      <c r="AN666" s="1366"/>
      <c r="AO666" s="1366"/>
      <c r="AP666" s="1366"/>
      <c r="AQ666" s="1366"/>
      <c r="AR666" s="1366"/>
      <c r="AS666" s="1366"/>
      <c r="AT666" s="1366"/>
      <c r="AU666" s="1366"/>
      <c r="AV666" s="1366"/>
      <c r="AW666" s="1366"/>
      <c r="AX666" s="1366"/>
      <c r="AY666" s="1366"/>
      <c r="AZ666" s="1366"/>
      <c r="BA666" s="1366"/>
      <c r="BB666" s="1366"/>
      <c r="BC666" s="1366"/>
      <c r="BD666" s="1366"/>
      <c r="BE666" s="1366"/>
      <c r="BF666" s="1366"/>
      <c r="BG666" s="1366"/>
      <c r="BH666" s="1366"/>
      <c r="BI666" s="1366"/>
      <c r="BJ666" s="1366"/>
      <c r="BK666" s="1366"/>
      <c r="BL666" s="1366"/>
      <c r="BM666" s="1366"/>
      <c r="BN666" s="1366"/>
      <c r="BO666" s="1366"/>
      <c r="BP666" s="1366"/>
      <c r="BQ666" s="1366"/>
      <c r="BR666" s="1366"/>
      <c r="BS666" s="1366"/>
      <c r="BT666" s="1366"/>
      <c r="BU666" s="1366"/>
      <c r="BV666" s="1366"/>
      <c r="BW666" s="1366"/>
      <c r="BX666" s="1366"/>
      <c r="BY666" s="1366"/>
      <c r="BZ666" s="1366"/>
      <c r="CA666" s="1366"/>
      <c r="CB666" s="1366"/>
      <c r="CC666" s="1366"/>
      <c r="CD666" s="1366"/>
      <c r="CE666" s="1366"/>
      <c r="CF666" s="1366"/>
      <c r="CG666" s="1366"/>
      <c r="CH666" s="1366"/>
      <c r="CI666" s="1366"/>
      <c r="CJ666" s="1366"/>
      <c r="CK666" s="1366"/>
      <c r="CL666" s="1366"/>
      <c r="CM666" s="1366"/>
      <c r="CN666" s="1366"/>
      <c r="CO666" s="1366"/>
      <c r="CP666" s="1366"/>
      <c r="CQ666" s="1366"/>
      <c r="CR666" s="1366"/>
      <c r="CS666" s="1366"/>
      <c r="CT666" s="1366"/>
      <c r="CU666" s="1366"/>
      <c r="CV666" s="1366"/>
      <c r="CW666" s="1366"/>
      <c r="CX666" s="1366"/>
      <c r="CY666" s="1366"/>
      <c r="CZ666" s="1366"/>
      <c r="DA666" s="1366"/>
      <c r="DB666" s="1366"/>
      <c r="DC666" s="1366"/>
      <c r="DD666" s="1366"/>
      <c r="DE666" s="1366"/>
      <c r="DF666" s="1366"/>
      <c r="DG666" s="1366"/>
      <c r="DH666" s="1366"/>
      <c r="DI666" s="1366"/>
      <c r="DJ666" s="1366"/>
      <c r="DK666" s="1366"/>
      <c r="DL666" s="1366"/>
      <c r="DM666" s="1366"/>
      <c r="DN666" s="1366"/>
      <c r="DO666" s="1366"/>
      <c r="DP666" s="1366"/>
      <c r="DQ666" s="1366"/>
      <c r="DR666" s="1366"/>
      <c r="DS666" s="1366"/>
      <c r="DT666" s="1366"/>
      <c r="DU666" s="1366"/>
      <c r="DV666" s="1366"/>
    </row>
    <row r="667" spans="1:126" s="1367" customFormat="1" hidden="1">
      <c r="A667" s="2503"/>
      <c r="B667" s="1643"/>
      <c r="C667" s="1674"/>
      <c r="D667" s="1480"/>
      <c r="E667" s="1480"/>
      <c r="F667" s="1480"/>
      <c r="G667" s="1480"/>
      <c r="H667" s="1481"/>
      <c r="I667" s="1482"/>
      <c r="J667" s="1483"/>
      <c r="K667" s="1483"/>
      <c r="L667" s="1528"/>
      <c r="M667" s="1483"/>
      <c r="N667" s="1484"/>
      <c r="O667" s="1481"/>
      <c r="P667" s="1485"/>
      <c r="Q667" s="1485"/>
      <c r="R667" s="1485"/>
      <c r="S667" s="1485"/>
      <c r="T667" s="1485"/>
      <c r="U667" s="1485"/>
      <c r="V667" s="1484"/>
      <c r="W667" s="1366"/>
      <c r="X667" s="1366"/>
      <c r="Y667" s="1366"/>
      <c r="Z667" s="1366"/>
      <c r="AA667" s="1366"/>
      <c r="AB667" s="1366"/>
      <c r="AC667" s="1366"/>
      <c r="AD667" s="1366"/>
      <c r="AE667" s="1366"/>
      <c r="AF667" s="1366"/>
      <c r="AG667" s="1366"/>
      <c r="AH667" s="1366"/>
      <c r="AI667" s="1366"/>
      <c r="AJ667" s="1366"/>
      <c r="AK667" s="1366"/>
      <c r="AL667" s="1366"/>
      <c r="AM667" s="1366"/>
      <c r="AN667" s="1366"/>
      <c r="AO667" s="1366"/>
      <c r="AP667" s="1366"/>
      <c r="AQ667" s="1366"/>
      <c r="AR667" s="1366"/>
      <c r="AS667" s="1366"/>
      <c r="AT667" s="1366"/>
      <c r="AU667" s="1366"/>
      <c r="AV667" s="1366"/>
      <c r="AW667" s="1366"/>
      <c r="AX667" s="1366"/>
      <c r="AY667" s="1366"/>
      <c r="AZ667" s="1366"/>
      <c r="BA667" s="1366"/>
      <c r="BB667" s="1366"/>
      <c r="BC667" s="1366"/>
      <c r="BD667" s="1366"/>
      <c r="BE667" s="1366"/>
      <c r="BF667" s="1366"/>
      <c r="BG667" s="1366"/>
      <c r="BH667" s="1366"/>
      <c r="BI667" s="1366"/>
      <c r="BJ667" s="1366"/>
      <c r="BK667" s="1366"/>
      <c r="BL667" s="1366"/>
      <c r="BM667" s="1366"/>
      <c r="BN667" s="1366"/>
      <c r="BO667" s="1366"/>
      <c r="BP667" s="1366"/>
      <c r="BQ667" s="1366"/>
      <c r="BR667" s="1366"/>
      <c r="BS667" s="1366"/>
      <c r="BT667" s="1366"/>
      <c r="BU667" s="1366"/>
      <c r="BV667" s="1366"/>
      <c r="BW667" s="1366"/>
      <c r="BX667" s="1366"/>
      <c r="BY667" s="1366"/>
      <c r="BZ667" s="1366"/>
      <c r="CA667" s="1366"/>
      <c r="CB667" s="1366"/>
      <c r="CC667" s="1366"/>
      <c r="CD667" s="1366"/>
      <c r="CE667" s="1366"/>
      <c r="CF667" s="1366"/>
      <c r="CG667" s="1366"/>
      <c r="CH667" s="1366"/>
      <c r="CI667" s="1366"/>
      <c r="CJ667" s="1366"/>
      <c r="CK667" s="1366"/>
      <c r="CL667" s="1366"/>
      <c r="CM667" s="1366"/>
      <c r="CN667" s="1366"/>
      <c r="CO667" s="1366"/>
      <c r="CP667" s="1366"/>
      <c r="CQ667" s="1366"/>
      <c r="CR667" s="1366"/>
      <c r="CS667" s="1366"/>
      <c r="CT667" s="1366"/>
      <c r="CU667" s="1366"/>
      <c r="CV667" s="1366"/>
      <c r="CW667" s="1366"/>
      <c r="CX667" s="1366"/>
      <c r="CY667" s="1366"/>
      <c r="CZ667" s="1366"/>
      <c r="DA667" s="1366"/>
      <c r="DB667" s="1366"/>
      <c r="DC667" s="1366"/>
      <c r="DD667" s="1366"/>
      <c r="DE667" s="1366"/>
      <c r="DF667" s="1366"/>
      <c r="DG667" s="1366"/>
      <c r="DH667" s="1366"/>
      <c r="DI667" s="1366"/>
      <c r="DJ667" s="1366"/>
      <c r="DK667" s="1366"/>
      <c r="DL667" s="1366"/>
      <c r="DM667" s="1366"/>
      <c r="DN667" s="1366"/>
      <c r="DO667" s="1366"/>
      <c r="DP667" s="1366"/>
      <c r="DQ667" s="1366"/>
      <c r="DR667" s="1366"/>
      <c r="DS667" s="1366"/>
      <c r="DT667" s="1366"/>
      <c r="DU667" s="1366"/>
      <c r="DV667" s="1366"/>
    </row>
    <row r="668" spans="1:126" s="1367" customFormat="1" hidden="1">
      <c r="A668" s="2503"/>
      <c r="B668" s="1643"/>
      <c r="C668" s="1674"/>
      <c r="D668" s="1480"/>
      <c r="E668" s="1480"/>
      <c r="F668" s="1480"/>
      <c r="G668" s="1480"/>
      <c r="H668" s="1481"/>
      <c r="I668" s="1482"/>
      <c r="J668" s="1483"/>
      <c r="K668" s="1483"/>
      <c r="L668" s="1528"/>
      <c r="M668" s="1483"/>
      <c r="N668" s="1484"/>
      <c r="O668" s="1481"/>
      <c r="P668" s="1485"/>
      <c r="Q668" s="1485"/>
      <c r="R668" s="1485"/>
      <c r="S668" s="1485"/>
      <c r="T668" s="1485"/>
      <c r="U668" s="1485"/>
      <c r="V668" s="1484"/>
      <c r="W668" s="1366"/>
      <c r="X668" s="1366"/>
      <c r="Y668" s="1366"/>
      <c r="Z668" s="1366"/>
      <c r="AA668" s="1366"/>
      <c r="AB668" s="1366"/>
      <c r="AC668" s="1366"/>
      <c r="AD668" s="1366"/>
      <c r="AE668" s="1366"/>
      <c r="AF668" s="1366"/>
      <c r="AG668" s="1366"/>
      <c r="AH668" s="1366"/>
      <c r="AI668" s="1366"/>
      <c r="AJ668" s="1366"/>
      <c r="AK668" s="1366"/>
      <c r="AL668" s="1366"/>
      <c r="AM668" s="1366"/>
      <c r="AN668" s="1366"/>
      <c r="AO668" s="1366"/>
      <c r="AP668" s="1366"/>
      <c r="AQ668" s="1366"/>
      <c r="AR668" s="1366"/>
      <c r="AS668" s="1366"/>
      <c r="AT668" s="1366"/>
      <c r="AU668" s="1366"/>
      <c r="AV668" s="1366"/>
      <c r="AW668" s="1366"/>
      <c r="AX668" s="1366"/>
      <c r="AY668" s="1366"/>
      <c r="AZ668" s="1366"/>
      <c r="BA668" s="1366"/>
      <c r="BB668" s="1366"/>
      <c r="BC668" s="1366"/>
      <c r="BD668" s="1366"/>
      <c r="BE668" s="1366"/>
      <c r="BF668" s="1366"/>
      <c r="BG668" s="1366"/>
      <c r="BH668" s="1366"/>
      <c r="BI668" s="1366"/>
      <c r="BJ668" s="1366"/>
      <c r="BK668" s="1366"/>
      <c r="BL668" s="1366"/>
      <c r="BM668" s="1366"/>
      <c r="BN668" s="1366"/>
      <c r="BO668" s="1366"/>
      <c r="BP668" s="1366"/>
      <c r="BQ668" s="1366"/>
      <c r="BR668" s="1366"/>
      <c r="BS668" s="1366"/>
      <c r="BT668" s="1366"/>
      <c r="BU668" s="1366"/>
      <c r="BV668" s="1366"/>
      <c r="BW668" s="1366"/>
      <c r="BX668" s="1366"/>
      <c r="BY668" s="1366"/>
      <c r="BZ668" s="1366"/>
      <c r="CA668" s="1366"/>
      <c r="CB668" s="1366"/>
      <c r="CC668" s="1366"/>
      <c r="CD668" s="1366"/>
      <c r="CE668" s="1366"/>
      <c r="CF668" s="1366"/>
      <c r="CG668" s="1366"/>
      <c r="CH668" s="1366"/>
      <c r="CI668" s="1366"/>
      <c r="CJ668" s="1366"/>
      <c r="CK668" s="1366"/>
      <c r="CL668" s="1366"/>
      <c r="CM668" s="1366"/>
      <c r="CN668" s="1366"/>
      <c r="CO668" s="1366"/>
      <c r="CP668" s="1366"/>
      <c r="CQ668" s="1366"/>
      <c r="CR668" s="1366"/>
      <c r="CS668" s="1366"/>
      <c r="CT668" s="1366"/>
      <c r="CU668" s="1366"/>
      <c r="CV668" s="1366"/>
      <c r="CW668" s="1366"/>
      <c r="CX668" s="1366"/>
      <c r="CY668" s="1366"/>
      <c r="CZ668" s="1366"/>
      <c r="DA668" s="1366"/>
      <c r="DB668" s="1366"/>
      <c r="DC668" s="1366"/>
      <c r="DD668" s="1366"/>
      <c r="DE668" s="1366"/>
      <c r="DF668" s="1366"/>
      <c r="DG668" s="1366"/>
      <c r="DH668" s="1366"/>
      <c r="DI668" s="1366"/>
      <c r="DJ668" s="1366"/>
      <c r="DK668" s="1366"/>
      <c r="DL668" s="1366"/>
      <c r="DM668" s="1366"/>
      <c r="DN668" s="1366"/>
      <c r="DO668" s="1366"/>
      <c r="DP668" s="1366"/>
      <c r="DQ668" s="1366"/>
      <c r="DR668" s="1366"/>
      <c r="DS668" s="1366"/>
      <c r="DT668" s="1366"/>
      <c r="DU668" s="1366"/>
      <c r="DV668" s="1366"/>
    </row>
    <row r="669" spans="1:126" s="1367" customFormat="1" hidden="1">
      <c r="A669" s="2503"/>
      <c r="B669" s="1643"/>
      <c r="C669" s="1674"/>
      <c r="D669" s="1480"/>
      <c r="E669" s="1480"/>
      <c r="F669" s="1480"/>
      <c r="G669" s="1480"/>
      <c r="H669" s="1481"/>
      <c r="I669" s="1482"/>
      <c r="J669" s="1483"/>
      <c r="K669" s="1483"/>
      <c r="L669" s="1528"/>
      <c r="M669" s="1483"/>
      <c r="N669" s="1484"/>
      <c r="O669" s="1481"/>
      <c r="P669" s="1485"/>
      <c r="Q669" s="1485"/>
      <c r="R669" s="1485"/>
      <c r="S669" s="1485"/>
      <c r="T669" s="1485"/>
      <c r="U669" s="1485"/>
      <c r="V669" s="1484"/>
      <c r="W669" s="1366"/>
      <c r="X669" s="1366"/>
      <c r="Y669" s="1366"/>
      <c r="Z669" s="1366"/>
      <c r="AA669" s="1366"/>
      <c r="AB669" s="1366"/>
      <c r="AC669" s="1366"/>
      <c r="AD669" s="1366"/>
      <c r="AE669" s="1366"/>
      <c r="AF669" s="1366"/>
      <c r="AG669" s="1366"/>
      <c r="AH669" s="1366"/>
      <c r="AI669" s="1366"/>
      <c r="AJ669" s="1366"/>
      <c r="AK669" s="1366"/>
      <c r="AL669" s="1366"/>
      <c r="AM669" s="1366"/>
      <c r="AN669" s="1366"/>
      <c r="AO669" s="1366"/>
      <c r="AP669" s="1366"/>
      <c r="AQ669" s="1366"/>
      <c r="AR669" s="1366"/>
      <c r="AS669" s="1366"/>
      <c r="AT669" s="1366"/>
      <c r="AU669" s="1366"/>
      <c r="AV669" s="1366"/>
      <c r="AW669" s="1366"/>
      <c r="AX669" s="1366"/>
      <c r="AY669" s="1366"/>
      <c r="AZ669" s="1366"/>
      <c r="BA669" s="1366"/>
      <c r="BB669" s="1366"/>
      <c r="BC669" s="1366"/>
      <c r="BD669" s="1366"/>
      <c r="BE669" s="1366"/>
      <c r="BF669" s="1366"/>
      <c r="BG669" s="1366"/>
      <c r="BH669" s="1366"/>
      <c r="BI669" s="1366"/>
      <c r="BJ669" s="1366"/>
      <c r="BK669" s="1366"/>
      <c r="BL669" s="1366"/>
      <c r="BM669" s="1366"/>
      <c r="BN669" s="1366"/>
      <c r="BO669" s="1366"/>
      <c r="BP669" s="1366"/>
      <c r="BQ669" s="1366"/>
      <c r="BR669" s="1366"/>
      <c r="BS669" s="1366"/>
      <c r="BT669" s="1366"/>
      <c r="BU669" s="1366"/>
      <c r="BV669" s="1366"/>
      <c r="BW669" s="1366"/>
      <c r="BX669" s="1366"/>
      <c r="BY669" s="1366"/>
      <c r="BZ669" s="1366"/>
      <c r="CA669" s="1366"/>
      <c r="CB669" s="1366"/>
      <c r="CC669" s="1366"/>
      <c r="CD669" s="1366"/>
      <c r="CE669" s="1366"/>
      <c r="CF669" s="1366"/>
      <c r="CG669" s="1366"/>
      <c r="CH669" s="1366"/>
      <c r="CI669" s="1366"/>
      <c r="CJ669" s="1366"/>
      <c r="CK669" s="1366"/>
      <c r="CL669" s="1366"/>
      <c r="CM669" s="1366"/>
      <c r="CN669" s="1366"/>
      <c r="CO669" s="1366"/>
      <c r="CP669" s="1366"/>
      <c r="CQ669" s="1366"/>
      <c r="CR669" s="1366"/>
      <c r="CS669" s="1366"/>
      <c r="CT669" s="1366"/>
      <c r="CU669" s="1366"/>
      <c r="CV669" s="1366"/>
      <c r="CW669" s="1366"/>
      <c r="CX669" s="1366"/>
      <c r="CY669" s="1366"/>
      <c r="CZ669" s="1366"/>
      <c r="DA669" s="1366"/>
      <c r="DB669" s="1366"/>
      <c r="DC669" s="1366"/>
      <c r="DD669" s="1366"/>
      <c r="DE669" s="1366"/>
      <c r="DF669" s="1366"/>
      <c r="DG669" s="1366"/>
      <c r="DH669" s="1366"/>
      <c r="DI669" s="1366"/>
      <c r="DJ669" s="1366"/>
      <c r="DK669" s="1366"/>
      <c r="DL669" s="1366"/>
      <c r="DM669" s="1366"/>
      <c r="DN669" s="1366"/>
      <c r="DO669" s="1366"/>
      <c r="DP669" s="1366"/>
      <c r="DQ669" s="1366"/>
      <c r="DR669" s="1366"/>
      <c r="DS669" s="1366"/>
      <c r="DT669" s="1366"/>
      <c r="DU669" s="1366"/>
      <c r="DV669" s="1366"/>
    </row>
    <row r="670" spans="1:126" s="1367" customFormat="1" hidden="1">
      <c r="A670" s="2503"/>
      <c r="B670" s="1643"/>
      <c r="C670" s="1674"/>
      <c r="D670" s="1480"/>
      <c r="E670" s="1480"/>
      <c r="F670" s="1480"/>
      <c r="G670" s="1480"/>
      <c r="H670" s="1481"/>
      <c r="I670" s="1482"/>
      <c r="J670" s="1483"/>
      <c r="K670" s="1483"/>
      <c r="L670" s="1528"/>
      <c r="M670" s="1483"/>
      <c r="N670" s="1484"/>
      <c r="O670" s="1481"/>
      <c r="P670" s="1485"/>
      <c r="Q670" s="1485"/>
      <c r="R670" s="1485"/>
      <c r="S670" s="1485"/>
      <c r="T670" s="1485"/>
      <c r="U670" s="1485"/>
      <c r="V670" s="1484"/>
      <c r="W670" s="1366"/>
      <c r="X670" s="1366"/>
      <c r="Y670" s="1366"/>
      <c r="Z670" s="1366"/>
      <c r="AA670" s="1366"/>
      <c r="AB670" s="1366"/>
      <c r="AC670" s="1366"/>
      <c r="AD670" s="1366"/>
      <c r="AE670" s="1366"/>
      <c r="AF670" s="1366"/>
      <c r="AG670" s="1366"/>
      <c r="AH670" s="1366"/>
      <c r="AI670" s="1366"/>
      <c r="AJ670" s="1366"/>
      <c r="AK670" s="1366"/>
      <c r="AL670" s="1366"/>
      <c r="AM670" s="1366"/>
      <c r="AN670" s="1366"/>
      <c r="AO670" s="1366"/>
      <c r="AP670" s="1366"/>
      <c r="AQ670" s="1366"/>
      <c r="AR670" s="1366"/>
      <c r="AS670" s="1366"/>
      <c r="AT670" s="1366"/>
      <c r="AU670" s="1366"/>
      <c r="AV670" s="1366"/>
      <c r="AW670" s="1366"/>
      <c r="AX670" s="1366"/>
      <c r="AY670" s="1366"/>
      <c r="AZ670" s="1366"/>
      <c r="BA670" s="1366"/>
      <c r="BB670" s="1366"/>
      <c r="BC670" s="1366"/>
      <c r="BD670" s="1366"/>
      <c r="BE670" s="1366"/>
      <c r="BF670" s="1366"/>
      <c r="BG670" s="1366"/>
      <c r="BH670" s="1366"/>
      <c r="BI670" s="1366"/>
      <c r="BJ670" s="1366"/>
      <c r="BK670" s="1366"/>
      <c r="BL670" s="1366"/>
      <c r="BM670" s="1366"/>
      <c r="BN670" s="1366"/>
      <c r="BO670" s="1366"/>
      <c r="BP670" s="1366"/>
      <c r="BQ670" s="1366"/>
      <c r="BR670" s="1366"/>
      <c r="BS670" s="1366"/>
      <c r="BT670" s="1366"/>
      <c r="BU670" s="1366"/>
      <c r="BV670" s="1366"/>
      <c r="BW670" s="1366"/>
      <c r="BX670" s="1366"/>
      <c r="BY670" s="1366"/>
      <c r="BZ670" s="1366"/>
      <c r="CA670" s="1366"/>
      <c r="CB670" s="1366"/>
      <c r="CC670" s="1366"/>
      <c r="CD670" s="1366"/>
      <c r="CE670" s="1366"/>
      <c r="CF670" s="1366"/>
      <c r="CG670" s="1366"/>
      <c r="CH670" s="1366"/>
      <c r="CI670" s="1366"/>
      <c r="CJ670" s="1366"/>
      <c r="CK670" s="1366"/>
      <c r="CL670" s="1366"/>
      <c r="CM670" s="1366"/>
      <c r="CN670" s="1366"/>
      <c r="CO670" s="1366"/>
      <c r="CP670" s="1366"/>
      <c r="CQ670" s="1366"/>
      <c r="CR670" s="1366"/>
      <c r="CS670" s="1366"/>
      <c r="CT670" s="1366"/>
      <c r="CU670" s="1366"/>
      <c r="CV670" s="1366"/>
      <c r="CW670" s="1366"/>
      <c r="CX670" s="1366"/>
      <c r="CY670" s="1366"/>
      <c r="CZ670" s="1366"/>
      <c r="DA670" s="1366"/>
      <c r="DB670" s="1366"/>
      <c r="DC670" s="1366"/>
      <c r="DD670" s="1366"/>
      <c r="DE670" s="1366"/>
      <c r="DF670" s="1366"/>
      <c r="DG670" s="1366"/>
      <c r="DH670" s="1366"/>
      <c r="DI670" s="1366"/>
      <c r="DJ670" s="1366"/>
      <c r="DK670" s="1366"/>
      <c r="DL670" s="1366"/>
      <c r="DM670" s="1366"/>
      <c r="DN670" s="1366"/>
      <c r="DO670" s="1366"/>
      <c r="DP670" s="1366"/>
      <c r="DQ670" s="1366"/>
      <c r="DR670" s="1366"/>
      <c r="DS670" s="1366"/>
      <c r="DT670" s="1366"/>
      <c r="DU670" s="1366"/>
      <c r="DV670" s="1366"/>
    </row>
    <row r="671" spans="1:126" s="1367" customFormat="1" hidden="1">
      <c r="A671" s="2503"/>
      <c r="B671" s="1643"/>
      <c r="C671" s="1674"/>
      <c r="D671" s="1480"/>
      <c r="E671" s="1480"/>
      <c r="F671" s="1480"/>
      <c r="G671" s="1480"/>
      <c r="H671" s="1481"/>
      <c r="I671" s="1482"/>
      <c r="J671" s="1483"/>
      <c r="K671" s="1483"/>
      <c r="L671" s="1528"/>
      <c r="M671" s="1483"/>
      <c r="N671" s="1484"/>
      <c r="O671" s="1481"/>
      <c r="P671" s="1485"/>
      <c r="Q671" s="1485"/>
      <c r="R671" s="1485"/>
      <c r="S671" s="1485"/>
      <c r="T671" s="1485"/>
      <c r="U671" s="1485"/>
      <c r="V671" s="1484"/>
      <c r="W671" s="1366"/>
      <c r="X671" s="1366"/>
      <c r="Y671" s="1366"/>
      <c r="Z671" s="1366"/>
      <c r="AA671" s="1366"/>
      <c r="AB671" s="1366"/>
      <c r="AC671" s="1366"/>
      <c r="AD671" s="1366"/>
      <c r="AE671" s="1366"/>
      <c r="AF671" s="1366"/>
      <c r="AG671" s="1366"/>
      <c r="AH671" s="1366"/>
      <c r="AI671" s="1366"/>
      <c r="AJ671" s="1366"/>
      <c r="AK671" s="1366"/>
      <c r="AL671" s="1366"/>
      <c r="AM671" s="1366"/>
      <c r="AN671" s="1366"/>
      <c r="AO671" s="1366"/>
      <c r="AP671" s="1366"/>
      <c r="AQ671" s="1366"/>
      <c r="AR671" s="1366"/>
      <c r="AS671" s="1366"/>
      <c r="AT671" s="1366"/>
      <c r="AU671" s="1366"/>
      <c r="AV671" s="1366"/>
      <c r="AW671" s="1366"/>
      <c r="AX671" s="1366"/>
      <c r="AY671" s="1366"/>
      <c r="AZ671" s="1366"/>
      <c r="BA671" s="1366"/>
      <c r="BB671" s="1366"/>
      <c r="BC671" s="1366"/>
      <c r="BD671" s="1366"/>
      <c r="BE671" s="1366"/>
      <c r="BF671" s="1366"/>
      <c r="BG671" s="1366"/>
      <c r="BH671" s="1366"/>
      <c r="BI671" s="1366"/>
      <c r="BJ671" s="1366"/>
      <c r="BK671" s="1366"/>
      <c r="BL671" s="1366"/>
      <c r="BM671" s="1366"/>
      <c r="BN671" s="1366"/>
      <c r="BO671" s="1366"/>
      <c r="BP671" s="1366"/>
      <c r="BQ671" s="1366"/>
      <c r="BR671" s="1366"/>
      <c r="BS671" s="1366"/>
      <c r="BT671" s="1366"/>
      <c r="BU671" s="1366"/>
      <c r="BV671" s="1366"/>
      <c r="BW671" s="1366"/>
      <c r="BX671" s="1366"/>
      <c r="BY671" s="1366"/>
      <c r="BZ671" s="1366"/>
      <c r="CA671" s="1366"/>
      <c r="CB671" s="1366"/>
      <c r="CC671" s="1366"/>
      <c r="CD671" s="1366"/>
      <c r="CE671" s="1366"/>
      <c r="CF671" s="1366"/>
      <c r="CG671" s="1366"/>
      <c r="CH671" s="1366"/>
      <c r="CI671" s="1366"/>
      <c r="CJ671" s="1366"/>
      <c r="CK671" s="1366"/>
      <c r="CL671" s="1366"/>
      <c r="CM671" s="1366"/>
      <c r="CN671" s="1366"/>
      <c r="CO671" s="1366"/>
      <c r="CP671" s="1366"/>
      <c r="CQ671" s="1366"/>
      <c r="CR671" s="1366"/>
      <c r="CS671" s="1366"/>
      <c r="CT671" s="1366"/>
      <c r="CU671" s="1366"/>
      <c r="CV671" s="1366"/>
      <c r="CW671" s="1366"/>
      <c r="CX671" s="1366"/>
      <c r="CY671" s="1366"/>
      <c r="CZ671" s="1366"/>
      <c r="DA671" s="1366"/>
      <c r="DB671" s="1366"/>
      <c r="DC671" s="1366"/>
      <c r="DD671" s="1366"/>
      <c r="DE671" s="1366"/>
      <c r="DF671" s="1366"/>
      <c r="DG671" s="1366"/>
      <c r="DH671" s="1366"/>
      <c r="DI671" s="1366"/>
      <c r="DJ671" s="1366"/>
      <c r="DK671" s="1366"/>
      <c r="DL671" s="1366"/>
      <c r="DM671" s="1366"/>
      <c r="DN671" s="1366"/>
      <c r="DO671" s="1366"/>
      <c r="DP671" s="1366"/>
      <c r="DQ671" s="1366"/>
      <c r="DR671" s="1366"/>
      <c r="DS671" s="1366"/>
      <c r="DT671" s="1366"/>
      <c r="DU671" s="1366"/>
      <c r="DV671" s="1366"/>
    </row>
    <row r="672" spans="1:126" s="1367" customFormat="1" hidden="1">
      <c r="A672" s="2503"/>
      <c r="B672" s="1643"/>
      <c r="C672" s="1674"/>
      <c r="D672" s="1480"/>
      <c r="E672" s="1480"/>
      <c r="F672" s="1480"/>
      <c r="G672" s="1480"/>
      <c r="H672" s="1481"/>
      <c r="I672" s="1482"/>
      <c r="J672" s="1483"/>
      <c r="K672" s="1483"/>
      <c r="L672" s="1528"/>
      <c r="M672" s="1483"/>
      <c r="N672" s="1484"/>
      <c r="O672" s="1481"/>
      <c r="P672" s="1485"/>
      <c r="Q672" s="1485"/>
      <c r="R672" s="1485"/>
      <c r="S672" s="1485"/>
      <c r="T672" s="1485"/>
      <c r="U672" s="1485"/>
      <c r="V672" s="1484"/>
      <c r="W672" s="1366"/>
      <c r="X672" s="1366"/>
      <c r="Y672" s="1366"/>
      <c r="Z672" s="1366"/>
      <c r="AA672" s="1366"/>
      <c r="AB672" s="1366"/>
      <c r="AC672" s="1366"/>
      <c r="AD672" s="1366"/>
      <c r="AE672" s="1366"/>
      <c r="AF672" s="1366"/>
      <c r="AG672" s="1366"/>
      <c r="AH672" s="1366"/>
      <c r="AI672" s="1366"/>
      <c r="AJ672" s="1366"/>
      <c r="AK672" s="1366"/>
      <c r="AL672" s="1366"/>
      <c r="AM672" s="1366"/>
      <c r="AN672" s="1366"/>
      <c r="AO672" s="1366"/>
      <c r="AP672" s="1366"/>
      <c r="AQ672" s="1366"/>
      <c r="AR672" s="1366"/>
      <c r="AS672" s="1366"/>
      <c r="AT672" s="1366"/>
      <c r="AU672" s="1366"/>
      <c r="AV672" s="1366"/>
      <c r="AW672" s="1366"/>
      <c r="AX672" s="1366"/>
      <c r="AY672" s="1366"/>
      <c r="AZ672" s="1366"/>
      <c r="BA672" s="1366"/>
      <c r="BB672" s="1366"/>
      <c r="BC672" s="1366"/>
      <c r="BD672" s="1366"/>
      <c r="BE672" s="1366"/>
      <c r="BF672" s="1366"/>
      <c r="BG672" s="1366"/>
      <c r="BH672" s="1366"/>
      <c r="BI672" s="1366"/>
      <c r="BJ672" s="1366"/>
      <c r="BK672" s="1366"/>
      <c r="BL672" s="1366"/>
      <c r="BM672" s="1366"/>
      <c r="BN672" s="1366"/>
      <c r="BO672" s="1366"/>
      <c r="BP672" s="1366"/>
      <c r="BQ672" s="1366"/>
      <c r="BR672" s="1366"/>
      <c r="BS672" s="1366"/>
      <c r="BT672" s="1366"/>
      <c r="BU672" s="1366"/>
      <c r="BV672" s="1366"/>
      <c r="BW672" s="1366"/>
      <c r="BX672" s="1366"/>
      <c r="BY672" s="1366"/>
      <c r="BZ672" s="1366"/>
      <c r="CA672" s="1366"/>
      <c r="CB672" s="1366"/>
      <c r="CC672" s="1366"/>
      <c r="CD672" s="1366"/>
      <c r="CE672" s="1366"/>
      <c r="CF672" s="1366"/>
      <c r="CG672" s="1366"/>
      <c r="CH672" s="1366"/>
      <c r="CI672" s="1366"/>
      <c r="CJ672" s="1366"/>
      <c r="CK672" s="1366"/>
      <c r="CL672" s="1366"/>
      <c r="CM672" s="1366"/>
      <c r="CN672" s="1366"/>
      <c r="CO672" s="1366"/>
      <c r="CP672" s="1366"/>
      <c r="CQ672" s="1366"/>
      <c r="CR672" s="1366"/>
      <c r="CS672" s="1366"/>
      <c r="CT672" s="1366"/>
      <c r="CU672" s="1366"/>
      <c r="CV672" s="1366"/>
      <c r="CW672" s="1366"/>
      <c r="CX672" s="1366"/>
      <c r="CY672" s="1366"/>
      <c r="CZ672" s="1366"/>
      <c r="DA672" s="1366"/>
      <c r="DB672" s="1366"/>
      <c r="DC672" s="1366"/>
      <c r="DD672" s="1366"/>
      <c r="DE672" s="1366"/>
      <c r="DF672" s="1366"/>
      <c r="DG672" s="1366"/>
      <c r="DH672" s="1366"/>
      <c r="DI672" s="1366"/>
      <c r="DJ672" s="1366"/>
      <c r="DK672" s="1366"/>
      <c r="DL672" s="1366"/>
      <c r="DM672" s="1366"/>
      <c r="DN672" s="1366"/>
      <c r="DO672" s="1366"/>
      <c r="DP672" s="1366"/>
      <c r="DQ672" s="1366"/>
      <c r="DR672" s="1366"/>
      <c r="DS672" s="1366"/>
      <c r="DT672" s="1366"/>
      <c r="DU672" s="1366"/>
      <c r="DV672" s="1366"/>
    </row>
    <row r="673" spans="1:126" s="1367" customFormat="1" hidden="1">
      <c r="A673" s="2503"/>
      <c r="B673" s="1643"/>
      <c r="C673" s="1674"/>
      <c r="D673" s="1480"/>
      <c r="E673" s="1480"/>
      <c r="F673" s="1480"/>
      <c r="G673" s="1480"/>
      <c r="H673" s="1481"/>
      <c r="I673" s="1482"/>
      <c r="J673" s="1483"/>
      <c r="K673" s="1483"/>
      <c r="L673" s="1528"/>
      <c r="M673" s="1483"/>
      <c r="N673" s="1484"/>
      <c r="O673" s="1481"/>
      <c r="P673" s="1485"/>
      <c r="Q673" s="1485"/>
      <c r="R673" s="1485"/>
      <c r="S673" s="1485"/>
      <c r="T673" s="1485"/>
      <c r="U673" s="1485"/>
      <c r="V673" s="1484"/>
      <c r="W673" s="1366"/>
      <c r="X673" s="1366"/>
      <c r="Y673" s="1366"/>
      <c r="Z673" s="1366"/>
      <c r="AA673" s="1366"/>
      <c r="AB673" s="1366"/>
      <c r="AC673" s="1366"/>
      <c r="AD673" s="1366"/>
      <c r="AE673" s="1366"/>
      <c r="AF673" s="1366"/>
      <c r="AG673" s="1366"/>
      <c r="AH673" s="1366"/>
      <c r="AI673" s="1366"/>
      <c r="AJ673" s="1366"/>
      <c r="AK673" s="1366"/>
      <c r="AL673" s="1366"/>
      <c r="AM673" s="1366"/>
      <c r="AN673" s="1366"/>
      <c r="AO673" s="1366"/>
      <c r="AP673" s="1366"/>
      <c r="AQ673" s="1366"/>
      <c r="AR673" s="1366"/>
      <c r="AS673" s="1366"/>
      <c r="AT673" s="1366"/>
      <c r="AU673" s="1366"/>
      <c r="AV673" s="1366"/>
      <c r="AW673" s="1366"/>
      <c r="AX673" s="1366"/>
      <c r="AY673" s="1366"/>
      <c r="AZ673" s="1366"/>
      <c r="BA673" s="1366"/>
      <c r="BB673" s="1366"/>
      <c r="BC673" s="1366"/>
      <c r="BD673" s="1366"/>
      <c r="BE673" s="1366"/>
      <c r="BF673" s="1366"/>
      <c r="BG673" s="1366"/>
      <c r="BH673" s="1366"/>
      <c r="BI673" s="1366"/>
      <c r="BJ673" s="1366"/>
      <c r="BK673" s="1366"/>
      <c r="BL673" s="1366"/>
      <c r="BM673" s="1366"/>
      <c r="BN673" s="1366"/>
      <c r="BO673" s="1366"/>
      <c r="BP673" s="1366"/>
      <c r="BQ673" s="1366"/>
      <c r="BR673" s="1366"/>
      <c r="BS673" s="1366"/>
      <c r="BT673" s="1366"/>
      <c r="BU673" s="1366"/>
      <c r="BV673" s="1366"/>
      <c r="BW673" s="1366"/>
      <c r="BX673" s="1366"/>
      <c r="BY673" s="1366"/>
      <c r="BZ673" s="1366"/>
      <c r="CA673" s="1366"/>
      <c r="CB673" s="1366"/>
      <c r="CC673" s="1366"/>
      <c r="CD673" s="1366"/>
      <c r="CE673" s="1366"/>
      <c r="CF673" s="1366"/>
      <c r="CG673" s="1366"/>
      <c r="CH673" s="1366"/>
      <c r="CI673" s="1366"/>
      <c r="CJ673" s="1366"/>
      <c r="CK673" s="1366"/>
      <c r="CL673" s="1366"/>
      <c r="CM673" s="1366"/>
      <c r="CN673" s="1366"/>
      <c r="CO673" s="1366"/>
      <c r="CP673" s="1366"/>
      <c r="CQ673" s="1366"/>
      <c r="CR673" s="1366"/>
      <c r="CS673" s="1366"/>
      <c r="CT673" s="1366"/>
      <c r="CU673" s="1366"/>
      <c r="CV673" s="1366"/>
      <c r="CW673" s="1366"/>
      <c r="CX673" s="1366"/>
      <c r="CY673" s="1366"/>
      <c r="CZ673" s="1366"/>
      <c r="DA673" s="1366"/>
      <c r="DB673" s="1366"/>
      <c r="DC673" s="1366"/>
      <c r="DD673" s="1366"/>
      <c r="DE673" s="1366"/>
      <c r="DF673" s="1366"/>
      <c r="DG673" s="1366"/>
      <c r="DH673" s="1366"/>
      <c r="DI673" s="1366"/>
      <c r="DJ673" s="1366"/>
      <c r="DK673" s="1366"/>
      <c r="DL673" s="1366"/>
      <c r="DM673" s="1366"/>
      <c r="DN673" s="1366"/>
      <c r="DO673" s="1366"/>
      <c r="DP673" s="1366"/>
      <c r="DQ673" s="1366"/>
      <c r="DR673" s="1366"/>
      <c r="DS673" s="1366"/>
      <c r="DT673" s="1366"/>
      <c r="DU673" s="1366"/>
      <c r="DV673" s="1366"/>
    </row>
    <row r="674" spans="1:126" s="1367" customFormat="1" hidden="1">
      <c r="A674" s="2503"/>
      <c r="B674" s="1643"/>
      <c r="C674" s="1674"/>
      <c r="D674" s="1480"/>
      <c r="E674" s="1480"/>
      <c r="F674" s="1480"/>
      <c r="G674" s="1480"/>
      <c r="H674" s="1481"/>
      <c r="I674" s="1482"/>
      <c r="J674" s="1483"/>
      <c r="K674" s="1483"/>
      <c r="L674" s="1528"/>
      <c r="M674" s="1483"/>
      <c r="N674" s="1484"/>
      <c r="O674" s="1481"/>
      <c r="P674" s="1485"/>
      <c r="Q674" s="1485"/>
      <c r="R674" s="1485"/>
      <c r="S674" s="1485"/>
      <c r="T674" s="1485"/>
      <c r="U674" s="1485"/>
      <c r="V674" s="1484"/>
      <c r="W674" s="1366"/>
      <c r="X674" s="1366"/>
      <c r="Y674" s="1366"/>
      <c r="Z674" s="1366"/>
      <c r="AA674" s="1366"/>
      <c r="AB674" s="1366"/>
      <c r="AC674" s="1366"/>
      <c r="AD674" s="1366"/>
      <c r="AE674" s="1366"/>
      <c r="AF674" s="1366"/>
      <c r="AG674" s="1366"/>
      <c r="AH674" s="1366"/>
      <c r="AI674" s="1366"/>
      <c r="AJ674" s="1366"/>
      <c r="AK674" s="1366"/>
      <c r="AL674" s="1366"/>
      <c r="AM674" s="1366"/>
      <c r="AN674" s="1366"/>
      <c r="AO674" s="1366"/>
      <c r="AP674" s="1366"/>
      <c r="AQ674" s="1366"/>
      <c r="AR674" s="1366"/>
      <c r="AS674" s="1366"/>
      <c r="AT674" s="1366"/>
      <c r="AU674" s="1366"/>
      <c r="AV674" s="1366"/>
      <c r="AW674" s="1366"/>
      <c r="AX674" s="1366"/>
      <c r="AY674" s="1366"/>
      <c r="AZ674" s="1366"/>
      <c r="BA674" s="1366"/>
      <c r="BB674" s="1366"/>
      <c r="BC674" s="1366"/>
      <c r="BD674" s="1366"/>
      <c r="BE674" s="1366"/>
      <c r="BF674" s="1366"/>
      <c r="BG674" s="1366"/>
      <c r="BH674" s="1366"/>
      <c r="BI674" s="1366"/>
      <c r="BJ674" s="1366"/>
      <c r="BK674" s="1366"/>
      <c r="BL674" s="1366"/>
      <c r="BM674" s="1366"/>
      <c r="BN674" s="1366"/>
      <c r="BO674" s="1366"/>
      <c r="BP674" s="1366"/>
      <c r="BQ674" s="1366"/>
      <c r="BR674" s="1366"/>
      <c r="BS674" s="1366"/>
      <c r="BT674" s="1366"/>
      <c r="BU674" s="1366"/>
      <c r="BV674" s="1366"/>
      <c r="BW674" s="1366"/>
      <c r="BX674" s="1366"/>
      <c r="BY674" s="1366"/>
      <c r="BZ674" s="1366"/>
      <c r="CA674" s="1366"/>
      <c r="CB674" s="1366"/>
      <c r="CC674" s="1366"/>
      <c r="CD674" s="1366"/>
      <c r="CE674" s="1366"/>
      <c r="CF674" s="1366"/>
      <c r="CG674" s="1366"/>
      <c r="CH674" s="1366"/>
      <c r="CI674" s="1366"/>
      <c r="CJ674" s="1366"/>
      <c r="CK674" s="1366"/>
      <c r="CL674" s="1366"/>
      <c r="CM674" s="1366"/>
      <c r="CN674" s="1366"/>
      <c r="CO674" s="1366"/>
      <c r="CP674" s="1366"/>
      <c r="CQ674" s="1366"/>
      <c r="CR674" s="1366"/>
      <c r="CS674" s="1366"/>
      <c r="CT674" s="1366"/>
      <c r="CU674" s="1366"/>
      <c r="CV674" s="1366"/>
      <c r="CW674" s="1366"/>
      <c r="CX674" s="1366"/>
      <c r="CY674" s="1366"/>
      <c r="CZ674" s="1366"/>
      <c r="DA674" s="1366"/>
      <c r="DB674" s="1366"/>
      <c r="DC674" s="1366"/>
      <c r="DD674" s="1366"/>
      <c r="DE674" s="1366"/>
      <c r="DF674" s="1366"/>
      <c r="DG674" s="1366"/>
      <c r="DH674" s="1366"/>
      <c r="DI674" s="1366"/>
      <c r="DJ674" s="1366"/>
      <c r="DK674" s="1366"/>
      <c r="DL674" s="1366"/>
      <c r="DM674" s="1366"/>
      <c r="DN674" s="1366"/>
      <c r="DO674" s="1366"/>
      <c r="DP674" s="1366"/>
      <c r="DQ674" s="1366"/>
      <c r="DR674" s="1366"/>
      <c r="DS674" s="1366"/>
      <c r="DT674" s="1366"/>
      <c r="DU674" s="1366"/>
      <c r="DV674" s="1366"/>
    </row>
    <row r="675" spans="1:126" s="1367" customFormat="1" hidden="1">
      <c r="A675" s="2503"/>
      <c r="B675" s="1643"/>
      <c r="C675" s="1674"/>
      <c r="D675" s="1480"/>
      <c r="E675" s="1480"/>
      <c r="F675" s="1480"/>
      <c r="G675" s="1480"/>
      <c r="H675" s="1481"/>
      <c r="I675" s="1482"/>
      <c r="J675" s="1483"/>
      <c r="K675" s="1483"/>
      <c r="L675" s="1528"/>
      <c r="M675" s="1483"/>
      <c r="N675" s="1484"/>
      <c r="O675" s="1481"/>
      <c r="P675" s="1485"/>
      <c r="Q675" s="1485"/>
      <c r="R675" s="1485"/>
      <c r="S675" s="1485"/>
      <c r="T675" s="1485"/>
      <c r="U675" s="1485"/>
      <c r="V675" s="1484"/>
      <c r="W675" s="1366"/>
      <c r="X675" s="1366"/>
      <c r="Y675" s="1366"/>
      <c r="Z675" s="1366"/>
      <c r="AA675" s="1366"/>
      <c r="AB675" s="1366"/>
      <c r="AC675" s="1366"/>
      <c r="AD675" s="1366"/>
      <c r="AE675" s="1366"/>
      <c r="AF675" s="1366"/>
      <c r="AG675" s="1366"/>
      <c r="AH675" s="1366"/>
      <c r="AI675" s="1366"/>
      <c r="AJ675" s="1366"/>
      <c r="AK675" s="1366"/>
      <c r="AL675" s="1366"/>
      <c r="AM675" s="1366"/>
      <c r="AN675" s="1366"/>
      <c r="AO675" s="1366"/>
      <c r="AP675" s="1366"/>
      <c r="AQ675" s="1366"/>
      <c r="AR675" s="1366"/>
      <c r="AS675" s="1366"/>
      <c r="AT675" s="1366"/>
      <c r="AU675" s="1366"/>
      <c r="AV675" s="1366"/>
      <c r="AW675" s="1366"/>
      <c r="AX675" s="1366"/>
      <c r="AY675" s="1366"/>
      <c r="AZ675" s="1366"/>
      <c r="BA675" s="1366"/>
      <c r="BB675" s="1366"/>
      <c r="BC675" s="1366"/>
      <c r="BD675" s="1366"/>
      <c r="BE675" s="1366"/>
      <c r="BF675" s="1366"/>
      <c r="BG675" s="1366"/>
      <c r="BH675" s="1366"/>
      <c r="BI675" s="1366"/>
      <c r="BJ675" s="1366"/>
      <c r="BK675" s="1366"/>
      <c r="BL675" s="1366"/>
      <c r="BM675" s="1366"/>
      <c r="BN675" s="1366"/>
      <c r="BO675" s="1366"/>
      <c r="BP675" s="1366"/>
      <c r="BQ675" s="1366"/>
      <c r="BR675" s="1366"/>
      <c r="BS675" s="1366"/>
      <c r="BT675" s="1366"/>
      <c r="BU675" s="1366"/>
      <c r="BV675" s="1366"/>
      <c r="BW675" s="1366"/>
      <c r="BX675" s="1366"/>
      <c r="BY675" s="1366"/>
      <c r="BZ675" s="1366"/>
      <c r="CA675" s="1366"/>
      <c r="CB675" s="1366"/>
      <c r="CC675" s="1366"/>
      <c r="CD675" s="1366"/>
      <c r="CE675" s="1366"/>
      <c r="CF675" s="1366"/>
      <c r="CG675" s="1366"/>
      <c r="CH675" s="1366"/>
      <c r="CI675" s="1366"/>
      <c r="CJ675" s="1366"/>
      <c r="CK675" s="1366"/>
      <c r="CL675" s="1366"/>
      <c r="CM675" s="1366"/>
      <c r="CN675" s="1366"/>
      <c r="CO675" s="1366"/>
      <c r="CP675" s="1366"/>
      <c r="CQ675" s="1366"/>
      <c r="CR675" s="1366"/>
      <c r="CS675" s="1366"/>
      <c r="CT675" s="1366"/>
      <c r="CU675" s="1366"/>
      <c r="CV675" s="1366"/>
      <c r="CW675" s="1366"/>
      <c r="CX675" s="1366"/>
      <c r="CY675" s="1366"/>
      <c r="CZ675" s="1366"/>
      <c r="DA675" s="1366"/>
      <c r="DB675" s="1366"/>
      <c r="DC675" s="1366"/>
      <c r="DD675" s="1366"/>
      <c r="DE675" s="1366"/>
      <c r="DF675" s="1366"/>
      <c r="DG675" s="1366"/>
      <c r="DH675" s="1366"/>
      <c r="DI675" s="1366"/>
      <c r="DJ675" s="1366"/>
      <c r="DK675" s="1366"/>
      <c r="DL675" s="1366"/>
      <c r="DM675" s="1366"/>
      <c r="DN675" s="1366"/>
      <c r="DO675" s="1366"/>
      <c r="DP675" s="1366"/>
      <c r="DQ675" s="1366"/>
      <c r="DR675" s="1366"/>
      <c r="DS675" s="1366"/>
      <c r="DT675" s="1366"/>
      <c r="DU675" s="1366"/>
      <c r="DV675" s="1366"/>
    </row>
    <row r="676" spans="1:126" s="1367" customFormat="1" ht="15.75" hidden="1" thickBot="1">
      <c r="A676" s="2500"/>
      <c r="B676" s="1643"/>
      <c r="C676" s="1674"/>
      <c r="D676" s="1480"/>
      <c r="E676" s="1480"/>
      <c r="F676" s="1480"/>
      <c r="G676" s="1480"/>
      <c r="H676" s="1481"/>
      <c r="I676" s="1482"/>
      <c r="J676" s="1483"/>
      <c r="K676" s="1483"/>
      <c r="L676" s="1528"/>
      <c r="M676" s="1483"/>
      <c r="N676" s="1484"/>
      <c r="O676" s="1481"/>
      <c r="P676" s="1485"/>
      <c r="Q676" s="1485"/>
      <c r="R676" s="1485"/>
      <c r="S676" s="1485"/>
      <c r="T676" s="1485"/>
      <c r="U676" s="1485"/>
      <c r="V676" s="1484"/>
      <c r="W676" s="1366"/>
      <c r="X676" s="1366"/>
      <c r="Y676" s="1366"/>
      <c r="Z676" s="1366"/>
      <c r="AA676" s="1366"/>
      <c r="AB676" s="1366"/>
      <c r="AC676" s="1366"/>
      <c r="AD676" s="1366"/>
      <c r="AE676" s="1366"/>
      <c r="AF676" s="1366"/>
      <c r="AG676" s="1366"/>
      <c r="AH676" s="1366"/>
      <c r="AI676" s="1366"/>
      <c r="AJ676" s="1366"/>
      <c r="AK676" s="1366"/>
      <c r="AL676" s="1366"/>
      <c r="AM676" s="1366"/>
      <c r="AN676" s="1366"/>
      <c r="AO676" s="1366"/>
      <c r="AP676" s="1366"/>
      <c r="AQ676" s="1366"/>
      <c r="AR676" s="1366"/>
      <c r="AS676" s="1366"/>
      <c r="AT676" s="1366"/>
      <c r="AU676" s="1366"/>
      <c r="AV676" s="1366"/>
      <c r="AW676" s="1366"/>
      <c r="AX676" s="1366"/>
      <c r="AY676" s="1366"/>
      <c r="AZ676" s="1366"/>
      <c r="BA676" s="1366"/>
      <c r="BB676" s="1366"/>
      <c r="BC676" s="1366"/>
      <c r="BD676" s="1366"/>
      <c r="BE676" s="1366"/>
      <c r="BF676" s="1366"/>
      <c r="BG676" s="1366"/>
      <c r="BH676" s="1366"/>
      <c r="BI676" s="1366"/>
      <c r="BJ676" s="1366"/>
      <c r="BK676" s="1366"/>
      <c r="BL676" s="1366"/>
      <c r="BM676" s="1366"/>
      <c r="BN676" s="1366"/>
      <c r="BO676" s="1366"/>
      <c r="BP676" s="1366"/>
      <c r="BQ676" s="1366"/>
      <c r="BR676" s="1366"/>
      <c r="BS676" s="1366"/>
      <c r="BT676" s="1366"/>
      <c r="BU676" s="1366"/>
      <c r="BV676" s="1366"/>
      <c r="BW676" s="1366"/>
      <c r="BX676" s="1366"/>
      <c r="BY676" s="1366"/>
      <c r="BZ676" s="1366"/>
      <c r="CA676" s="1366"/>
      <c r="CB676" s="1366"/>
      <c r="CC676" s="1366"/>
      <c r="CD676" s="1366"/>
      <c r="CE676" s="1366"/>
      <c r="CF676" s="1366"/>
      <c r="CG676" s="1366"/>
      <c r="CH676" s="1366"/>
      <c r="CI676" s="1366"/>
      <c r="CJ676" s="1366"/>
      <c r="CK676" s="1366"/>
      <c r="CL676" s="1366"/>
      <c r="CM676" s="1366"/>
      <c r="CN676" s="1366"/>
      <c r="CO676" s="1366"/>
      <c r="CP676" s="1366"/>
      <c r="CQ676" s="1366"/>
      <c r="CR676" s="1366"/>
      <c r="CS676" s="1366"/>
      <c r="CT676" s="1366"/>
      <c r="CU676" s="1366"/>
      <c r="CV676" s="1366"/>
      <c r="CW676" s="1366"/>
      <c r="CX676" s="1366"/>
      <c r="CY676" s="1366"/>
      <c r="CZ676" s="1366"/>
      <c r="DA676" s="1366"/>
      <c r="DB676" s="1366"/>
      <c r="DC676" s="1366"/>
      <c r="DD676" s="1366"/>
      <c r="DE676" s="1366"/>
      <c r="DF676" s="1366"/>
      <c r="DG676" s="1366"/>
      <c r="DH676" s="1366"/>
      <c r="DI676" s="1366"/>
      <c r="DJ676" s="1366"/>
      <c r="DK676" s="1366"/>
      <c r="DL676" s="1366"/>
      <c r="DM676" s="1366"/>
      <c r="DN676" s="1366"/>
      <c r="DO676" s="1366"/>
      <c r="DP676" s="1366"/>
      <c r="DQ676" s="1366"/>
      <c r="DR676" s="1366"/>
      <c r="DS676" s="1366"/>
      <c r="DT676" s="1366"/>
      <c r="DU676" s="1366"/>
      <c r="DV676" s="1366"/>
    </row>
    <row r="677" spans="1:126" s="1367" customFormat="1" ht="24" thickBot="1">
      <c r="A677" s="721" t="s">
        <v>2487</v>
      </c>
      <c r="B677" s="1347"/>
      <c r="C677" s="1347"/>
      <c r="D677" s="1347"/>
      <c r="E677" s="1347"/>
      <c r="F677" s="1347"/>
      <c r="G677" s="1347"/>
      <c r="H677" s="1428"/>
      <c r="I677" s="1448"/>
      <c r="J677" s="1428"/>
      <c r="K677" s="1428"/>
      <c r="L677" s="1534"/>
      <c r="M677" s="1428"/>
      <c r="N677" s="1459"/>
      <c r="O677" s="1415"/>
      <c r="P677" s="1415"/>
      <c r="Q677" s="1415"/>
      <c r="R677" s="1415"/>
      <c r="S677" s="1415"/>
      <c r="T677" s="1415"/>
      <c r="U677" s="1415"/>
      <c r="V677" s="1454"/>
      <c r="W677" s="1366"/>
      <c r="X677" s="1366"/>
      <c r="Y677" s="1366"/>
      <c r="Z677" s="1366"/>
      <c r="AA677" s="1366"/>
      <c r="AB677" s="1366"/>
      <c r="AC677" s="1366"/>
      <c r="AD677" s="1366"/>
      <c r="AE677" s="1366"/>
      <c r="AF677" s="1366"/>
      <c r="AG677" s="1366"/>
      <c r="AH677" s="1366"/>
      <c r="AI677" s="1366"/>
      <c r="AJ677" s="1366"/>
      <c r="AK677" s="1366"/>
      <c r="AL677" s="1366"/>
      <c r="AM677" s="1366"/>
      <c r="AN677" s="1366"/>
      <c r="AO677" s="1366"/>
      <c r="AP677" s="1366"/>
      <c r="AQ677" s="1366"/>
      <c r="AR677" s="1366"/>
      <c r="AS677" s="1366"/>
      <c r="AT677" s="1366"/>
      <c r="AU677" s="1366"/>
      <c r="AV677" s="1366"/>
      <c r="AW677" s="1366"/>
      <c r="AX677" s="1366"/>
      <c r="AY677" s="1366"/>
      <c r="AZ677" s="1366"/>
      <c r="BA677" s="1366"/>
      <c r="BB677" s="1366"/>
      <c r="BC677" s="1366"/>
      <c r="BD677" s="1366"/>
      <c r="BE677" s="1366"/>
      <c r="BF677" s="1366"/>
      <c r="BG677" s="1366"/>
      <c r="BH677" s="1366"/>
      <c r="BI677" s="1366"/>
      <c r="BJ677" s="1366"/>
      <c r="BK677" s="1366"/>
      <c r="BL677" s="1366"/>
      <c r="BM677" s="1366"/>
      <c r="BN677" s="1366"/>
      <c r="BO677" s="1366"/>
      <c r="BP677" s="1366"/>
      <c r="BQ677" s="1366"/>
      <c r="BR677" s="1366"/>
      <c r="BS677" s="1366"/>
      <c r="BT677" s="1366"/>
      <c r="BU677" s="1366"/>
      <c r="BV677" s="1366"/>
      <c r="BW677" s="1366"/>
      <c r="BX677" s="1366"/>
      <c r="BY677" s="1366"/>
      <c r="BZ677" s="1366"/>
      <c r="CA677" s="1366"/>
      <c r="CB677" s="1366"/>
      <c r="CC677" s="1366"/>
      <c r="CD677" s="1366"/>
      <c r="CE677" s="1366"/>
      <c r="CF677" s="1366"/>
      <c r="CG677" s="1366"/>
      <c r="CH677" s="1366"/>
      <c r="CI677" s="1366"/>
      <c r="CJ677" s="1366"/>
      <c r="CK677" s="1366"/>
      <c r="CL677" s="1366"/>
      <c r="CM677" s="1366"/>
      <c r="CN677" s="1366"/>
      <c r="CO677" s="1366"/>
      <c r="CP677" s="1366"/>
      <c r="CQ677" s="1366"/>
      <c r="CR677" s="1366"/>
      <c r="CS677" s="1366"/>
      <c r="CT677" s="1366"/>
      <c r="CU677" s="1366"/>
      <c r="CV677" s="1366"/>
      <c r="CW677" s="1366"/>
      <c r="CX677" s="1366"/>
      <c r="CY677" s="1366"/>
      <c r="CZ677" s="1366"/>
      <c r="DA677" s="1366"/>
      <c r="DB677" s="1366"/>
      <c r="DC677" s="1366"/>
      <c r="DD677" s="1366"/>
      <c r="DE677" s="1366"/>
      <c r="DF677" s="1366"/>
      <c r="DG677" s="1366"/>
      <c r="DH677" s="1366"/>
      <c r="DI677" s="1366"/>
      <c r="DJ677" s="1366"/>
      <c r="DK677" s="1366"/>
      <c r="DL677" s="1366"/>
      <c r="DM677" s="1366"/>
      <c r="DN677" s="1366"/>
      <c r="DO677" s="1366"/>
      <c r="DP677" s="1366"/>
      <c r="DQ677" s="1366"/>
      <c r="DR677" s="1366"/>
      <c r="DS677" s="1366"/>
      <c r="DT677" s="1366"/>
      <c r="DU677" s="1366"/>
      <c r="DV677" s="1366"/>
    </row>
    <row r="678" spans="1:126" s="1382" customFormat="1" ht="65.25" customHeight="1">
      <c r="A678" s="2534" t="s">
        <v>2488</v>
      </c>
      <c r="B678" s="1657">
        <v>2003</v>
      </c>
      <c r="C678" s="1638" t="s">
        <v>47</v>
      </c>
      <c r="D678" s="1379" t="s">
        <v>2493</v>
      </c>
      <c r="E678" s="1365" t="s">
        <v>2100</v>
      </c>
      <c r="F678" s="1365" t="s">
        <v>2108</v>
      </c>
      <c r="G678" s="1147" t="s">
        <v>2681</v>
      </c>
      <c r="H678" s="1433">
        <f>(('Equipment Results Matrix'!$N$1212*28)+('Equipment Results Matrix'!$N$1213*0.98)+'Equipment Results Matrix'!$R$1214+'Equipment Results Matrix'!$N$1216+'Equipment Results Matrix'!$T$1219)+((28*'Equipment Results Matrix'!$R$1194)+(85*'Equipment Results Matrix'!$R$1195)+(103*'Equipment Results Matrix'!$R$1196)+'Equipment Results Matrix'!$R$1197+'Equipment Results Matrix'!$R$1199+'Equipment Results Matrix'!$R$1201+'Equipment Results Matrix'!$R$1203+'Equipment Results Matrix'!$R$1205+'Equipment Results Matrix'!$R$1207+'Equipment Results Matrix'!$R$1209+'Equipment Results Matrix'!$T$1201)*(1+'Equipment Results Matrix'!$T$1203)</f>
        <v>54.737827339901486</v>
      </c>
      <c r="I678" s="1434">
        <f>('Labor Results Matrix'!$E$702+'Labor Results Matrix'!$E$703)+('Labor Results Matrix'!$E$720+'Labor Results Matrix'!$E$722)</f>
        <v>2.3858152712486929</v>
      </c>
      <c r="J678" s="1388">
        <f>'Labor Results Matrix'!$G$723*(1+AVERAGE('Labor Results Matrix'!$K$720,'Labor Results Matrix'!$K$702))</f>
        <v>72.551789358578489</v>
      </c>
      <c r="K678" s="1388">
        <f>J678*I678</f>
        <v>173.09516700811497</v>
      </c>
      <c r="L678" s="1388">
        <v>0</v>
      </c>
      <c r="M678" s="1388">
        <f>H678+K678</f>
        <v>227.83299434801646</v>
      </c>
      <c r="N678" s="1462" t="s">
        <v>40</v>
      </c>
      <c r="O678" s="1429"/>
      <c r="P678" s="1430"/>
      <c r="Q678" s="1430"/>
      <c r="R678" s="1430"/>
      <c r="S678" s="1430"/>
      <c r="T678" s="1430"/>
      <c r="U678" s="1430"/>
      <c r="V678" s="1679"/>
      <c r="W678" s="1366"/>
      <c r="X678" s="1366"/>
      <c r="Y678" s="1366"/>
      <c r="Z678" s="1366"/>
      <c r="AA678" s="1366"/>
      <c r="AB678" s="1366"/>
      <c r="AC678" s="1366"/>
      <c r="AD678" s="1366"/>
      <c r="AE678" s="1366"/>
      <c r="AF678" s="1366"/>
      <c r="AG678" s="1366"/>
      <c r="AH678" s="1366"/>
      <c r="AI678" s="1366"/>
      <c r="AJ678" s="1366"/>
      <c r="AK678" s="1366"/>
      <c r="AL678" s="1366"/>
      <c r="AM678" s="1366"/>
      <c r="AN678" s="1366"/>
      <c r="AO678" s="1366"/>
      <c r="AP678" s="1366"/>
      <c r="AQ678" s="1366"/>
      <c r="AR678" s="1366"/>
      <c r="AS678" s="1366"/>
      <c r="AT678" s="1366"/>
      <c r="AU678" s="1366"/>
      <c r="AV678" s="1366"/>
      <c r="AW678" s="1366"/>
      <c r="AX678" s="1366"/>
      <c r="AY678" s="1366"/>
      <c r="AZ678" s="1366"/>
      <c r="BA678" s="1366"/>
      <c r="BB678" s="1366"/>
      <c r="BC678" s="1366"/>
      <c r="BD678" s="1366"/>
      <c r="BE678" s="1366"/>
      <c r="BF678" s="1366"/>
      <c r="BG678" s="1366"/>
      <c r="BH678" s="1366"/>
      <c r="BI678" s="1366"/>
      <c r="BJ678" s="1366"/>
      <c r="BK678" s="1366"/>
      <c r="BL678" s="1366"/>
      <c r="BM678" s="1366"/>
      <c r="BN678" s="1366"/>
      <c r="BO678" s="1366"/>
      <c r="BP678" s="1366"/>
      <c r="BQ678" s="1366"/>
      <c r="BR678" s="1366"/>
      <c r="BS678" s="1366"/>
      <c r="BT678" s="1366"/>
      <c r="BU678" s="1366"/>
      <c r="BV678" s="1366"/>
      <c r="BW678" s="1366"/>
      <c r="BX678" s="1366"/>
      <c r="BY678" s="1366"/>
      <c r="BZ678" s="1366"/>
      <c r="CA678" s="1366"/>
      <c r="CB678" s="1366"/>
      <c r="CC678" s="1366"/>
      <c r="CD678" s="1366"/>
      <c r="CE678" s="1366"/>
      <c r="CF678" s="1366"/>
      <c r="CG678" s="1366"/>
      <c r="CH678" s="1366"/>
      <c r="CI678" s="1366"/>
      <c r="CJ678" s="1366"/>
      <c r="CK678" s="1366"/>
      <c r="CL678" s="1366"/>
      <c r="CM678" s="1366"/>
      <c r="CN678" s="1366"/>
      <c r="CO678" s="1366"/>
      <c r="CP678" s="1366"/>
      <c r="CQ678" s="1366"/>
      <c r="CR678" s="1366"/>
      <c r="CS678" s="1366"/>
      <c r="CT678" s="1366"/>
      <c r="CU678" s="1366"/>
      <c r="CV678" s="1366"/>
      <c r="CW678" s="1366"/>
      <c r="CX678" s="1366"/>
      <c r="CY678" s="1366"/>
      <c r="CZ678" s="1366"/>
      <c r="DA678" s="1366"/>
      <c r="DB678" s="1366"/>
      <c r="DC678" s="1366"/>
      <c r="DD678" s="1366"/>
      <c r="DE678" s="1366"/>
      <c r="DF678" s="1366"/>
      <c r="DG678" s="1366"/>
      <c r="DH678" s="1366"/>
      <c r="DI678" s="1366"/>
      <c r="DJ678" s="1366"/>
      <c r="DK678" s="1366"/>
      <c r="DL678" s="1366"/>
      <c r="DM678" s="1366"/>
      <c r="DN678" s="1366"/>
      <c r="DO678" s="1366"/>
      <c r="DP678" s="1366"/>
      <c r="DQ678" s="1366"/>
      <c r="DR678" s="1366"/>
      <c r="DS678" s="1366"/>
      <c r="DT678" s="1366"/>
      <c r="DU678" s="1366"/>
      <c r="DV678" s="1366"/>
    </row>
    <row r="679" spans="1:126" s="1382" customFormat="1" ht="60">
      <c r="A679" s="2535"/>
      <c r="B679" s="1657">
        <v>2003</v>
      </c>
      <c r="C679" s="1638" t="s">
        <v>49</v>
      </c>
      <c r="D679" s="1396" t="s">
        <v>2738</v>
      </c>
      <c r="E679" s="1365" t="s">
        <v>2100</v>
      </c>
      <c r="F679" s="1365" t="s">
        <v>2108</v>
      </c>
      <c r="G679" s="1147" t="s">
        <v>2681</v>
      </c>
      <c r="H679" s="1433">
        <f>(('Equipment Results Matrix'!$N$1212*28)+('Equipment Results Matrix'!$N$1213*0.98)+'Equipment Results Matrix'!$R$1214+'Equipment Results Matrix'!$N$1216+'Equipment Results Matrix'!$T$1219)+((28*'Equipment Results Matrix'!$R$1194)+(85*'Equipment Results Matrix'!$R$1195)+(103*'Equipment Results Matrix'!$R$1196)+'Equipment Results Matrix'!$R$1197+'Equipment Results Matrix'!$R$1199+'Equipment Results Matrix'!$R$1201+'Equipment Results Matrix'!$R$1203+'Equipment Results Matrix'!$R$1205+'Equipment Results Matrix'!$R$1207+'Equipment Results Matrix'!$R$1209+'Equipment Results Matrix'!$T$1201)*(1+'Equipment Results Matrix'!$T$1203)</f>
        <v>54.737827339901486</v>
      </c>
      <c r="I679" s="1434">
        <f>('Labor Results Matrix'!$E$702+'Labor Results Matrix'!$E$703)+('Labor Results Matrix'!$E$720+'Labor Results Matrix'!$E$722)</f>
        <v>2.3858152712486929</v>
      </c>
      <c r="J679" s="1388">
        <f>'Labor Results Matrix'!$G$723*(1+AVERAGE('Labor Results Matrix'!$K$720,'Labor Results Matrix'!$K$702))</f>
        <v>72.551789358578489</v>
      </c>
      <c r="K679" s="1388">
        <f t="shared" ref="K679:K693" si="252">J679*I679</f>
        <v>173.09516700811497</v>
      </c>
      <c r="L679" s="1388">
        <v>0</v>
      </c>
      <c r="M679" s="1388">
        <f t="shared" ref="M679:M693" si="253">H679+K679</f>
        <v>227.83299434801646</v>
      </c>
      <c r="N679" s="1457">
        <f>M679-M678</f>
        <v>0</v>
      </c>
      <c r="O679" s="1429"/>
      <c r="P679" s="1430"/>
      <c r="Q679" s="1430"/>
      <c r="R679" s="1430"/>
      <c r="S679" s="1430"/>
      <c r="T679" s="1430"/>
      <c r="U679" s="1430"/>
      <c r="V679" s="1679"/>
      <c r="W679" s="1366"/>
      <c r="X679" s="1366"/>
      <c r="Y679" s="1366"/>
      <c r="Z679" s="1366"/>
      <c r="AA679" s="1366"/>
      <c r="AB679" s="1366"/>
      <c r="AC679" s="1366"/>
      <c r="AD679" s="1366"/>
      <c r="AE679" s="1366"/>
      <c r="AF679" s="1366"/>
      <c r="AG679" s="1366"/>
      <c r="AH679" s="1366"/>
      <c r="AI679" s="1366"/>
      <c r="AJ679" s="1366"/>
      <c r="AK679" s="1366"/>
      <c r="AL679" s="1366"/>
      <c r="AM679" s="1366"/>
      <c r="AN679" s="1366"/>
      <c r="AO679" s="1366"/>
      <c r="AP679" s="1366"/>
      <c r="AQ679" s="1366"/>
      <c r="AR679" s="1366"/>
      <c r="AS679" s="1366"/>
      <c r="AT679" s="1366"/>
      <c r="AU679" s="1366"/>
      <c r="AV679" s="1366"/>
      <c r="AW679" s="1366"/>
      <c r="AX679" s="1366"/>
      <c r="AY679" s="1366"/>
      <c r="AZ679" s="1366"/>
      <c r="BA679" s="1366"/>
      <c r="BB679" s="1366"/>
      <c r="BC679" s="1366"/>
      <c r="BD679" s="1366"/>
      <c r="BE679" s="1366"/>
      <c r="BF679" s="1366"/>
      <c r="BG679" s="1366"/>
      <c r="BH679" s="1366"/>
      <c r="BI679" s="1366"/>
      <c r="BJ679" s="1366"/>
      <c r="BK679" s="1366"/>
      <c r="BL679" s="1366"/>
      <c r="BM679" s="1366"/>
      <c r="BN679" s="1366"/>
      <c r="BO679" s="1366"/>
      <c r="BP679" s="1366"/>
      <c r="BQ679" s="1366"/>
      <c r="BR679" s="1366"/>
      <c r="BS679" s="1366"/>
      <c r="BT679" s="1366"/>
      <c r="BU679" s="1366"/>
      <c r="BV679" s="1366"/>
      <c r="BW679" s="1366"/>
      <c r="BX679" s="1366"/>
      <c r="BY679" s="1366"/>
      <c r="BZ679" s="1366"/>
      <c r="CA679" s="1366"/>
      <c r="CB679" s="1366"/>
      <c r="CC679" s="1366"/>
      <c r="CD679" s="1366"/>
      <c r="CE679" s="1366"/>
      <c r="CF679" s="1366"/>
      <c r="CG679" s="1366"/>
      <c r="CH679" s="1366"/>
      <c r="CI679" s="1366"/>
      <c r="CJ679" s="1366"/>
      <c r="CK679" s="1366"/>
      <c r="CL679" s="1366"/>
      <c r="CM679" s="1366"/>
      <c r="CN679" s="1366"/>
      <c r="CO679" s="1366"/>
      <c r="CP679" s="1366"/>
      <c r="CQ679" s="1366"/>
      <c r="CR679" s="1366"/>
      <c r="CS679" s="1366"/>
      <c r="CT679" s="1366"/>
      <c r="CU679" s="1366"/>
      <c r="CV679" s="1366"/>
      <c r="CW679" s="1366"/>
      <c r="CX679" s="1366"/>
      <c r="CY679" s="1366"/>
      <c r="CZ679" s="1366"/>
      <c r="DA679" s="1366"/>
      <c r="DB679" s="1366"/>
      <c r="DC679" s="1366"/>
      <c r="DD679" s="1366"/>
      <c r="DE679" s="1366"/>
      <c r="DF679" s="1366"/>
      <c r="DG679" s="1366"/>
      <c r="DH679" s="1366"/>
      <c r="DI679" s="1366"/>
      <c r="DJ679" s="1366"/>
      <c r="DK679" s="1366"/>
      <c r="DL679" s="1366"/>
      <c r="DM679" s="1366"/>
      <c r="DN679" s="1366"/>
      <c r="DO679" s="1366"/>
      <c r="DP679" s="1366"/>
      <c r="DQ679" s="1366"/>
      <c r="DR679" s="1366"/>
      <c r="DS679" s="1366"/>
      <c r="DT679" s="1366"/>
      <c r="DU679" s="1366"/>
      <c r="DV679" s="1366"/>
    </row>
    <row r="680" spans="1:126" s="1382" customFormat="1" ht="45">
      <c r="A680" s="2535"/>
      <c r="B680" s="1657">
        <v>2004</v>
      </c>
      <c r="C680" s="1638" t="s">
        <v>47</v>
      </c>
      <c r="D680" s="1379" t="s">
        <v>2491</v>
      </c>
      <c r="E680" s="1365" t="s">
        <v>2100</v>
      </c>
      <c r="F680" s="1365" t="s">
        <v>2108</v>
      </c>
      <c r="G680" s="1147" t="s">
        <v>2681</v>
      </c>
      <c r="H680" s="1433">
        <f>(('Equipment Results Matrix'!$N$1212*56)+('Equipment Results Matrix'!$N$1213*0.98)+'Equipment Results Matrix'!$R$1214+'Equipment Results Matrix'!$N$1216+'Equipment Results Matrix'!$T$1219)+((28*'Equipment Results Matrix'!$R$1194)+(85*'Equipment Results Matrix'!$R$1195)+(103*'Equipment Results Matrix'!$R$1196)+'Equipment Results Matrix'!$R$1197+'Equipment Results Matrix'!$R$1199+'Equipment Results Matrix'!$R$1201+'Equipment Results Matrix'!$R$1203+'Equipment Results Matrix'!$R$1205+'Equipment Results Matrix'!$R$1207+'Equipment Results Matrix'!$R$1209+'Equipment Results Matrix'!$T$1201)*(1+'Equipment Results Matrix'!$T$1203)*2</f>
        <v>71.757754679802972</v>
      </c>
      <c r="I680" s="1434">
        <f>('Labor Results Matrix'!$E$702+'Labor Results Matrix'!$E$703)+('Labor Results Matrix'!$E$720+'Labor Results Matrix'!$E$722)</f>
        <v>2.3858152712486929</v>
      </c>
      <c r="J680" s="1388">
        <f>'Labor Results Matrix'!$G$723*(1+AVERAGE('Labor Results Matrix'!$K$720,'Labor Results Matrix'!$K$702))</f>
        <v>72.551789358578489</v>
      </c>
      <c r="K680" s="1388">
        <f t="shared" si="252"/>
        <v>173.09516700811497</v>
      </c>
      <c r="L680" s="1388">
        <v>0</v>
      </c>
      <c r="M680" s="1388">
        <f t="shared" si="253"/>
        <v>244.85292168791796</v>
      </c>
      <c r="N680" s="1462" t="s">
        <v>40</v>
      </c>
      <c r="O680" s="1429"/>
      <c r="P680" s="1430"/>
      <c r="Q680" s="1430"/>
      <c r="R680" s="1430"/>
      <c r="S680" s="1430"/>
      <c r="T680" s="1430"/>
      <c r="U680" s="1430"/>
      <c r="V680" s="1679"/>
      <c r="W680" s="1366"/>
      <c r="X680" s="1366"/>
      <c r="Y680" s="1366"/>
      <c r="Z680" s="1366"/>
      <c r="AA680" s="1366"/>
      <c r="AB680" s="1366"/>
      <c r="AC680" s="1366"/>
      <c r="AD680" s="1366"/>
      <c r="AE680" s="1366"/>
      <c r="AF680" s="1366"/>
      <c r="AG680" s="1366"/>
      <c r="AH680" s="1366"/>
      <c r="AI680" s="1366"/>
      <c r="AJ680" s="1366"/>
      <c r="AK680" s="1366"/>
      <c r="AL680" s="1366"/>
      <c r="AM680" s="1366"/>
      <c r="AN680" s="1366"/>
      <c r="AO680" s="1366"/>
      <c r="AP680" s="1366"/>
      <c r="AQ680" s="1366"/>
      <c r="AR680" s="1366"/>
      <c r="AS680" s="1366"/>
      <c r="AT680" s="1366"/>
      <c r="AU680" s="1366"/>
      <c r="AV680" s="1366"/>
      <c r="AW680" s="1366"/>
      <c r="AX680" s="1366"/>
      <c r="AY680" s="1366"/>
      <c r="AZ680" s="1366"/>
      <c r="BA680" s="1366"/>
      <c r="BB680" s="1366"/>
      <c r="BC680" s="1366"/>
      <c r="BD680" s="1366"/>
      <c r="BE680" s="1366"/>
      <c r="BF680" s="1366"/>
      <c r="BG680" s="1366"/>
      <c r="BH680" s="1366"/>
      <c r="BI680" s="1366"/>
      <c r="BJ680" s="1366"/>
      <c r="BK680" s="1366"/>
      <c r="BL680" s="1366"/>
      <c r="BM680" s="1366"/>
      <c r="BN680" s="1366"/>
      <c r="BO680" s="1366"/>
      <c r="BP680" s="1366"/>
      <c r="BQ680" s="1366"/>
      <c r="BR680" s="1366"/>
      <c r="BS680" s="1366"/>
      <c r="BT680" s="1366"/>
      <c r="BU680" s="1366"/>
      <c r="BV680" s="1366"/>
      <c r="BW680" s="1366"/>
      <c r="BX680" s="1366"/>
      <c r="BY680" s="1366"/>
      <c r="BZ680" s="1366"/>
      <c r="CA680" s="1366"/>
      <c r="CB680" s="1366"/>
      <c r="CC680" s="1366"/>
      <c r="CD680" s="1366"/>
      <c r="CE680" s="1366"/>
      <c r="CF680" s="1366"/>
      <c r="CG680" s="1366"/>
      <c r="CH680" s="1366"/>
      <c r="CI680" s="1366"/>
      <c r="CJ680" s="1366"/>
      <c r="CK680" s="1366"/>
      <c r="CL680" s="1366"/>
      <c r="CM680" s="1366"/>
      <c r="CN680" s="1366"/>
      <c r="CO680" s="1366"/>
      <c r="CP680" s="1366"/>
      <c r="CQ680" s="1366"/>
      <c r="CR680" s="1366"/>
      <c r="CS680" s="1366"/>
      <c r="CT680" s="1366"/>
      <c r="CU680" s="1366"/>
      <c r="CV680" s="1366"/>
      <c r="CW680" s="1366"/>
      <c r="CX680" s="1366"/>
      <c r="CY680" s="1366"/>
      <c r="CZ680" s="1366"/>
      <c r="DA680" s="1366"/>
      <c r="DB680" s="1366"/>
      <c r="DC680" s="1366"/>
      <c r="DD680" s="1366"/>
      <c r="DE680" s="1366"/>
      <c r="DF680" s="1366"/>
      <c r="DG680" s="1366"/>
      <c r="DH680" s="1366"/>
      <c r="DI680" s="1366"/>
      <c r="DJ680" s="1366"/>
      <c r="DK680" s="1366"/>
      <c r="DL680" s="1366"/>
      <c r="DM680" s="1366"/>
      <c r="DN680" s="1366"/>
      <c r="DO680" s="1366"/>
      <c r="DP680" s="1366"/>
      <c r="DQ680" s="1366"/>
      <c r="DR680" s="1366"/>
      <c r="DS680" s="1366"/>
      <c r="DT680" s="1366"/>
      <c r="DU680" s="1366"/>
      <c r="DV680" s="1366"/>
    </row>
    <row r="681" spans="1:126" s="1382" customFormat="1" ht="60">
      <c r="A681" s="2535"/>
      <c r="B681" s="1657">
        <v>2004</v>
      </c>
      <c r="C681" s="1638" t="s">
        <v>49</v>
      </c>
      <c r="D681" s="1396" t="s">
        <v>2739</v>
      </c>
      <c r="E681" s="1365" t="s">
        <v>2100</v>
      </c>
      <c r="F681" s="1365" t="s">
        <v>2108</v>
      </c>
      <c r="G681" s="1147" t="s">
        <v>2681</v>
      </c>
      <c r="H681" s="1433">
        <f>(('Equipment Results Matrix'!$N$1212*56)+('Equipment Results Matrix'!$N$1213*0.98)+'Equipment Results Matrix'!$R$1214+'Equipment Results Matrix'!$N$1216+'Equipment Results Matrix'!$T$1219)+((28*'Equipment Results Matrix'!$R$1194)+(85*'Equipment Results Matrix'!$R$1195)+(103*'Equipment Results Matrix'!$R$1196)+'Equipment Results Matrix'!$R$1197+'Equipment Results Matrix'!$R$1199+'Equipment Results Matrix'!$R$1201+'Equipment Results Matrix'!$R$1203+'Equipment Results Matrix'!$R$1205+'Equipment Results Matrix'!$R$1207+'Equipment Results Matrix'!$R$1209+'Equipment Results Matrix'!$T$1201)*(1+'Equipment Results Matrix'!$T$1203)*2</f>
        <v>71.757754679802972</v>
      </c>
      <c r="I681" s="1434">
        <f>('Labor Results Matrix'!$E$702+'Labor Results Matrix'!$E$703)+('Labor Results Matrix'!$E$720+'Labor Results Matrix'!$E$722)</f>
        <v>2.3858152712486929</v>
      </c>
      <c r="J681" s="1388">
        <f>'Labor Results Matrix'!$G$723*(1+AVERAGE('Labor Results Matrix'!$K$720,'Labor Results Matrix'!$K$702))</f>
        <v>72.551789358578489</v>
      </c>
      <c r="K681" s="1388">
        <f t="shared" si="252"/>
        <v>173.09516700811497</v>
      </c>
      <c r="L681" s="1388">
        <v>0</v>
      </c>
      <c r="M681" s="1388">
        <f t="shared" si="253"/>
        <v>244.85292168791796</v>
      </c>
      <c r="N681" s="1457">
        <f>M681-M680</f>
        <v>0</v>
      </c>
      <c r="O681" s="1429"/>
      <c r="P681" s="1430"/>
      <c r="Q681" s="1430"/>
      <c r="R681" s="1430"/>
      <c r="S681" s="1430"/>
      <c r="T681" s="1430"/>
      <c r="U681" s="1430"/>
      <c r="V681" s="1679"/>
      <c r="W681" s="1366"/>
      <c r="X681" s="1366"/>
      <c r="Y681" s="1366"/>
      <c r="Z681" s="1366"/>
      <c r="AA681" s="1366"/>
      <c r="AB681" s="1366"/>
      <c r="AC681" s="1366"/>
      <c r="AD681" s="1366"/>
      <c r="AE681" s="1366"/>
      <c r="AF681" s="1366"/>
      <c r="AG681" s="1366"/>
      <c r="AH681" s="1366"/>
      <c r="AI681" s="1366"/>
      <c r="AJ681" s="1366"/>
      <c r="AK681" s="1366"/>
      <c r="AL681" s="1366"/>
      <c r="AM681" s="1366"/>
      <c r="AN681" s="1366"/>
      <c r="AO681" s="1366"/>
      <c r="AP681" s="1366"/>
      <c r="AQ681" s="1366"/>
      <c r="AR681" s="1366"/>
      <c r="AS681" s="1366"/>
      <c r="AT681" s="1366"/>
      <c r="AU681" s="1366"/>
      <c r="AV681" s="1366"/>
      <c r="AW681" s="1366"/>
      <c r="AX681" s="1366"/>
      <c r="AY681" s="1366"/>
      <c r="AZ681" s="1366"/>
      <c r="BA681" s="1366"/>
      <c r="BB681" s="1366"/>
      <c r="BC681" s="1366"/>
      <c r="BD681" s="1366"/>
      <c r="BE681" s="1366"/>
      <c r="BF681" s="1366"/>
      <c r="BG681" s="1366"/>
      <c r="BH681" s="1366"/>
      <c r="BI681" s="1366"/>
      <c r="BJ681" s="1366"/>
      <c r="BK681" s="1366"/>
      <c r="BL681" s="1366"/>
      <c r="BM681" s="1366"/>
      <c r="BN681" s="1366"/>
      <c r="BO681" s="1366"/>
      <c r="BP681" s="1366"/>
      <c r="BQ681" s="1366"/>
      <c r="BR681" s="1366"/>
      <c r="BS681" s="1366"/>
      <c r="BT681" s="1366"/>
      <c r="BU681" s="1366"/>
      <c r="BV681" s="1366"/>
      <c r="BW681" s="1366"/>
      <c r="BX681" s="1366"/>
      <c r="BY681" s="1366"/>
      <c r="BZ681" s="1366"/>
      <c r="CA681" s="1366"/>
      <c r="CB681" s="1366"/>
      <c r="CC681" s="1366"/>
      <c r="CD681" s="1366"/>
      <c r="CE681" s="1366"/>
      <c r="CF681" s="1366"/>
      <c r="CG681" s="1366"/>
      <c r="CH681" s="1366"/>
      <c r="CI681" s="1366"/>
      <c r="CJ681" s="1366"/>
      <c r="CK681" s="1366"/>
      <c r="CL681" s="1366"/>
      <c r="CM681" s="1366"/>
      <c r="CN681" s="1366"/>
      <c r="CO681" s="1366"/>
      <c r="CP681" s="1366"/>
      <c r="CQ681" s="1366"/>
      <c r="CR681" s="1366"/>
      <c r="CS681" s="1366"/>
      <c r="CT681" s="1366"/>
      <c r="CU681" s="1366"/>
      <c r="CV681" s="1366"/>
      <c r="CW681" s="1366"/>
      <c r="CX681" s="1366"/>
      <c r="CY681" s="1366"/>
      <c r="CZ681" s="1366"/>
      <c r="DA681" s="1366"/>
      <c r="DB681" s="1366"/>
      <c r="DC681" s="1366"/>
      <c r="DD681" s="1366"/>
      <c r="DE681" s="1366"/>
      <c r="DF681" s="1366"/>
      <c r="DG681" s="1366"/>
      <c r="DH681" s="1366"/>
      <c r="DI681" s="1366"/>
      <c r="DJ681" s="1366"/>
      <c r="DK681" s="1366"/>
      <c r="DL681" s="1366"/>
      <c r="DM681" s="1366"/>
      <c r="DN681" s="1366"/>
      <c r="DO681" s="1366"/>
      <c r="DP681" s="1366"/>
      <c r="DQ681" s="1366"/>
      <c r="DR681" s="1366"/>
      <c r="DS681" s="1366"/>
      <c r="DT681" s="1366"/>
      <c r="DU681" s="1366"/>
      <c r="DV681" s="1366"/>
    </row>
    <row r="682" spans="1:126" s="1382" customFormat="1" ht="45">
      <c r="A682" s="2535"/>
      <c r="B682" s="1657">
        <v>2005</v>
      </c>
      <c r="C682" s="1638" t="s">
        <v>47</v>
      </c>
      <c r="D682" s="1379" t="s">
        <v>2491</v>
      </c>
      <c r="E682" s="1365" t="s">
        <v>2100</v>
      </c>
      <c r="F682" s="1365" t="s">
        <v>2108</v>
      </c>
      <c r="G682" s="1147" t="s">
        <v>2681</v>
      </c>
      <c r="H682" s="1433">
        <f>(('Equipment Results Matrix'!$N$1212*56)+('Equipment Results Matrix'!$N$1213*0.98)+'Equipment Results Matrix'!$R$1214+'Equipment Results Matrix'!$N$1216+'Equipment Results Matrix'!$T$1219)+((28*'Equipment Results Matrix'!$R$1194)+(85*'Equipment Results Matrix'!$R$1195)+(103*'Equipment Results Matrix'!$R$1196)+'Equipment Results Matrix'!$R$1197+'Equipment Results Matrix'!$R$1199+'Equipment Results Matrix'!$R$1201+'Equipment Results Matrix'!$R$1203+'Equipment Results Matrix'!$R$1205+'Equipment Results Matrix'!$R$1207+'Equipment Results Matrix'!$R$1209+'Equipment Results Matrix'!$T$1201)*(1+'Equipment Results Matrix'!$T$1203)*2</f>
        <v>71.757754679802972</v>
      </c>
      <c r="I682" s="1434">
        <f>('Labor Results Matrix'!$E$702+'Labor Results Matrix'!$E$703)+('Labor Results Matrix'!$E$720+'Labor Results Matrix'!$E$722)</f>
        <v>2.3858152712486929</v>
      </c>
      <c r="J682" s="1388">
        <f>'Labor Results Matrix'!$G$723*(1+AVERAGE('Labor Results Matrix'!$K$720,'Labor Results Matrix'!$K$702))</f>
        <v>72.551789358578489</v>
      </c>
      <c r="K682" s="1388">
        <f t="shared" si="252"/>
        <v>173.09516700811497</v>
      </c>
      <c r="L682" s="1388">
        <v>0</v>
      </c>
      <c r="M682" s="1388">
        <f t="shared" si="253"/>
        <v>244.85292168791796</v>
      </c>
      <c r="N682" s="1462" t="s">
        <v>40</v>
      </c>
      <c r="O682" s="1429"/>
      <c r="P682" s="1430"/>
      <c r="Q682" s="1430"/>
      <c r="R682" s="1430"/>
      <c r="S682" s="1430"/>
      <c r="T682" s="1430"/>
      <c r="U682" s="1430"/>
      <c r="V682" s="1679"/>
      <c r="W682" s="1366"/>
      <c r="X682" s="1366"/>
      <c r="Y682" s="1366"/>
      <c r="Z682" s="1366"/>
      <c r="AA682" s="1366"/>
      <c r="AB682" s="1366"/>
      <c r="AC682" s="1366"/>
      <c r="AD682" s="1366"/>
      <c r="AE682" s="1366"/>
      <c r="AF682" s="1366"/>
      <c r="AG682" s="1366"/>
      <c r="AH682" s="1366"/>
      <c r="AI682" s="1366"/>
      <c r="AJ682" s="1366"/>
      <c r="AK682" s="1366"/>
      <c r="AL682" s="1366"/>
      <c r="AM682" s="1366"/>
      <c r="AN682" s="1366"/>
      <c r="AO682" s="1366"/>
      <c r="AP682" s="1366"/>
      <c r="AQ682" s="1366"/>
      <c r="AR682" s="1366"/>
      <c r="AS682" s="1366"/>
      <c r="AT682" s="1366"/>
      <c r="AU682" s="1366"/>
      <c r="AV682" s="1366"/>
      <c r="AW682" s="1366"/>
      <c r="AX682" s="1366"/>
      <c r="AY682" s="1366"/>
      <c r="AZ682" s="1366"/>
      <c r="BA682" s="1366"/>
      <c r="BB682" s="1366"/>
      <c r="BC682" s="1366"/>
      <c r="BD682" s="1366"/>
      <c r="BE682" s="1366"/>
      <c r="BF682" s="1366"/>
      <c r="BG682" s="1366"/>
      <c r="BH682" s="1366"/>
      <c r="BI682" s="1366"/>
      <c r="BJ682" s="1366"/>
      <c r="BK682" s="1366"/>
      <c r="BL682" s="1366"/>
      <c r="BM682" s="1366"/>
      <c r="BN682" s="1366"/>
      <c r="BO682" s="1366"/>
      <c r="BP682" s="1366"/>
      <c r="BQ682" s="1366"/>
      <c r="BR682" s="1366"/>
      <c r="BS682" s="1366"/>
      <c r="BT682" s="1366"/>
      <c r="BU682" s="1366"/>
      <c r="BV682" s="1366"/>
      <c r="BW682" s="1366"/>
      <c r="BX682" s="1366"/>
      <c r="BY682" s="1366"/>
      <c r="BZ682" s="1366"/>
      <c r="CA682" s="1366"/>
      <c r="CB682" s="1366"/>
      <c r="CC682" s="1366"/>
      <c r="CD682" s="1366"/>
      <c r="CE682" s="1366"/>
      <c r="CF682" s="1366"/>
      <c r="CG682" s="1366"/>
      <c r="CH682" s="1366"/>
      <c r="CI682" s="1366"/>
      <c r="CJ682" s="1366"/>
      <c r="CK682" s="1366"/>
      <c r="CL682" s="1366"/>
      <c r="CM682" s="1366"/>
      <c r="CN682" s="1366"/>
      <c r="CO682" s="1366"/>
      <c r="CP682" s="1366"/>
      <c r="CQ682" s="1366"/>
      <c r="CR682" s="1366"/>
      <c r="CS682" s="1366"/>
      <c r="CT682" s="1366"/>
      <c r="CU682" s="1366"/>
      <c r="CV682" s="1366"/>
      <c r="CW682" s="1366"/>
      <c r="CX682" s="1366"/>
      <c r="CY682" s="1366"/>
      <c r="CZ682" s="1366"/>
      <c r="DA682" s="1366"/>
      <c r="DB682" s="1366"/>
      <c r="DC682" s="1366"/>
      <c r="DD682" s="1366"/>
      <c r="DE682" s="1366"/>
      <c r="DF682" s="1366"/>
      <c r="DG682" s="1366"/>
      <c r="DH682" s="1366"/>
      <c r="DI682" s="1366"/>
      <c r="DJ682" s="1366"/>
      <c r="DK682" s="1366"/>
      <c r="DL682" s="1366"/>
      <c r="DM682" s="1366"/>
      <c r="DN682" s="1366"/>
      <c r="DO682" s="1366"/>
      <c r="DP682" s="1366"/>
      <c r="DQ682" s="1366"/>
      <c r="DR682" s="1366"/>
      <c r="DS682" s="1366"/>
      <c r="DT682" s="1366"/>
      <c r="DU682" s="1366"/>
      <c r="DV682" s="1366"/>
    </row>
    <row r="683" spans="1:126" s="1382" customFormat="1" ht="60">
      <c r="A683" s="2535"/>
      <c r="B683" s="1657">
        <v>2005</v>
      </c>
      <c r="C683" s="1638" t="s">
        <v>49</v>
      </c>
      <c r="D683" s="1396" t="s">
        <v>2739</v>
      </c>
      <c r="E683" s="1365" t="s">
        <v>2100</v>
      </c>
      <c r="F683" s="1365" t="s">
        <v>2108</v>
      </c>
      <c r="G683" s="1147" t="s">
        <v>2681</v>
      </c>
      <c r="H683" s="1433">
        <f>(('Equipment Results Matrix'!$N$1212*56)+('Equipment Results Matrix'!$N$1213*0.98)+'Equipment Results Matrix'!$R$1214+'Equipment Results Matrix'!$N$1216+'Equipment Results Matrix'!$T$1219)+((28*'Equipment Results Matrix'!$R$1194)+(85*'Equipment Results Matrix'!$R$1195)+(103*'Equipment Results Matrix'!$R$1196)+'Equipment Results Matrix'!$R$1197+'Equipment Results Matrix'!$R$1199+'Equipment Results Matrix'!$R$1201+'Equipment Results Matrix'!$R$1203+'Equipment Results Matrix'!$R$1205+'Equipment Results Matrix'!$R$1207+'Equipment Results Matrix'!$R$1209+'Equipment Results Matrix'!$T$1201)*(1+'Equipment Results Matrix'!$T$1203)*2</f>
        <v>71.757754679802972</v>
      </c>
      <c r="I683" s="1434">
        <f>('Labor Results Matrix'!$E$702+'Labor Results Matrix'!$E$703)+('Labor Results Matrix'!$E$720+'Labor Results Matrix'!$E$722)</f>
        <v>2.3858152712486929</v>
      </c>
      <c r="J683" s="1388">
        <f>'Labor Results Matrix'!$G$723*(1+AVERAGE('Labor Results Matrix'!$K$720,'Labor Results Matrix'!$K$702))</f>
        <v>72.551789358578489</v>
      </c>
      <c r="K683" s="1388">
        <f t="shared" si="252"/>
        <v>173.09516700811497</v>
      </c>
      <c r="L683" s="1388">
        <v>0</v>
      </c>
      <c r="M683" s="1388">
        <f t="shared" si="253"/>
        <v>244.85292168791796</v>
      </c>
      <c r="N683" s="1457">
        <f>M683-M682</f>
        <v>0</v>
      </c>
      <c r="O683" s="1429"/>
      <c r="P683" s="1430"/>
      <c r="Q683" s="1430"/>
      <c r="R683" s="1430"/>
      <c r="S683" s="1430"/>
      <c r="T683" s="1430"/>
      <c r="U683" s="1430"/>
      <c r="V683" s="1679"/>
      <c r="W683" s="1366"/>
      <c r="X683" s="1366"/>
      <c r="Y683" s="1366"/>
      <c r="Z683" s="1366"/>
      <c r="AA683" s="1366"/>
      <c r="AB683" s="1366"/>
      <c r="AC683" s="1366"/>
      <c r="AD683" s="1366"/>
      <c r="AE683" s="1366"/>
      <c r="AF683" s="1366"/>
      <c r="AG683" s="1366"/>
      <c r="AH683" s="1366"/>
      <c r="AI683" s="1366"/>
      <c r="AJ683" s="1366"/>
      <c r="AK683" s="1366"/>
      <c r="AL683" s="1366"/>
      <c r="AM683" s="1366"/>
      <c r="AN683" s="1366"/>
      <c r="AO683" s="1366"/>
      <c r="AP683" s="1366"/>
      <c r="AQ683" s="1366"/>
      <c r="AR683" s="1366"/>
      <c r="AS683" s="1366"/>
      <c r="AT683" s="1366"/>
      <c r="AU683" s="1366"/>
      <c r="AV683" s="1366"/>
      <c r="AW683" s="1366"/>
      <c r="AX683" s="1366"/>
      <c r="AY683" s="1366"/>
      <c r="AZ683" s="1366"/>
      <c r="BA683" s="1366"/>
      <c r="BB683" s="1366"/>
      <c r="BC683" s="1366"/>
      <c r="BD683" s="1366"/>
      <c r="BE683" s="1366"/>
      <c r="BF683" s="1366"/>
      <c r="BG683" s="1366"/>
      <c r="BH683" s="1366"/>
      <c r="BI683" s="1366"/>
      <c r="BJ683" s="1366"/>
      <c r="BK683" s="1366"/>
      <c r="BL683" s="1366"/>
      <c r="BM683" s="1366"/>
      <c r="BN683" s="1366"/>
      <c r="BO683" s="1366"/>
      <c r="BP683" s="1366"/>
      <c r="BQ683" s="1366"/>
      <c r="BR683" s="1366"/>
      <c r="BS683" s="1366"/>
      <c r="BT683" s="1366"/>
      <c r="BU683" s="1366"/>
      <c r="BV683" s="1366"/>
      <c r="BW683" s="1366"/>
      <c r="BX683" s="1366"/>
      <c r="BY683" s="1366"/>
      <c r="BZ683" s="1366"/>
      <c r="CA683" s="1366"/>
      <c r="CB683" s="1366"/>
      <c r="CC683" s="1366"/>
      <c r="CD683" s="1366"/>
      <c r="CE683" s="1366"/>
      <c r="CF683" s="1366"/>
      <c r="CG683" s="1366"/>
      <c r="CH683" s="1366"/>
      <c r="CI683" s="1366"/>
      <c r="CJ683" s="1366"/>
      <c r="CK683" s="1366"/>
      <c r="CL683" s="1366"/>
      <c r="CM683" s="1366"/>
      <c r="CN683" s="1366"/>
      <c r="CO683" s="1366"/>
      <c r="CP683" s="1366"/>
      <c r="CQ683" s="1366"/>
      <c r="CR683" s="1366"/>
      <c r="CS683" s="1366"/>
      <c r="CT683" s="1366"/>
      <c r="CU683" s="1366"/>
      <c r="CV683" s="1366"/>
      <c r="CW683" s="1366"/>
      <c r="CX683" s="1366"/>
      <c r="CY683" s="1366"/>
      <c r="CZ683" s="1366"/>
      <c r="DA683" s="1366"/>
      <c r="DB683" s="1366"/>
      <c r="DC683" s="1366"/>
      <c r="DD683" s="1366"/>
      <c r="DE683" s="1366"/>
      <c r="DF683" s="1366"/>
      <c r="DG683" s="1366"/>
      <c r="DH683" s="1366"/>
      <c r="DI683" s="1366"/>
      <c r="DJ683" s="1366"/>
      <c r="DK683" s="1366"/>
      <c r="DL683" s="1366"/>
      <c r="DM683" s="1366"/>
      <c r="DN683" s="1366"/>
      <c r="DO683" s="1366"/>
      <c r="DP683" s="1366"/>
      <c r="DQ683" s="1366"/>
      <c r="DR683" s="1366"/>
      <c r="DS683" s="1366"/>
      <c r="DT683" s="1366"/>
      <c r="DU683" s="1366"/>
      <c r="DV683" s="1366"/>
    </row>
    <row r="684" spans="1:126" s="1382" customFormat="1" ht="45">
      <c r="A684" s="2535"/>
      <c r="B684" s="1657">
        <v>2006</v>
      </c>
      <c r="C684" s="1638" t="s">
        <v>47</v>
      </c>
      <c r="D684" s="1379" t="s">
        <v>2492</v>
      </c>
      <c r="E684" s="1365" t="s">
        <v>2100</v>
      </c>
      <c r="F684" s="1365" t="s">
        <v>2108</v>
      </c>
      <c r="G684" s="1147" t="s">
        <v>2681</v>
      </c>
      <c r="H684" s="1433">
        <f>(('Equipment Results Matrix'!$N$1212*84)+('Equipment Results Matrix'!$N$1213*0.98)+'Equipment Results Matrix'!$R$1214+'Equipment Results Matrix'!$N$1216+'Equipment Results Matrix'!$T$1219)*2+((28*'Equipment Results Matrix'!$R$1194)+(85*'Equipment Results Matrix'!$R$1195)+(103*'Equipment Results Matrix'!$R$1196)+'Equipment Results Matrix'!$R$1197+'Equipment Results Matrix'!$R$1199+'Equipment Results Matrix'!$R$1201+'Equipment Results Matrix'!$R$1203+'Equipment Results Matrix'!$R$1205+'Equipment Results Matrix'!$R$1207+'Equipment Results Matrix'!$R$1209+'Equipment Results Matrix'!$T$1201)*(1+'Equipment Results Matrix'!$T$1203)*3</f>
        <v>140.01958201970444</v>
      </c>
      <c r="I684" s="1434">
        <f>('Labor Results Matrix'!$E$702+'Labor Results Matrix'!$E$703)+('Labor Results Matrix'!$E$720+'Labor Results Matrix'!$E$722)</f>
        <v>2.3858152712486929</v>
      </c>
      <c r="J684" s="1388">
        <f>'Labor Results Matrix'!$G$723*(1+AVERAGE('Labor Results Matrix'!$K$720,'Labor Results Matrix'!$K$702))</f>
        <v>72.551789358578489</v>
      </c>
      <c r="K684" s="1388">
        <f t="shared" si="252"/>
        <v>173.09516700811497</v>
      </c>
      <c r="L684" s="1388">
        <v>0</v>
      </c>
      <c r="M684" s="1388">
        <f t="shared" si="253"/>
        <v>313.11474902781941</v>
      </c>
      <c r="N684" s="1462" t="s">
        <v>40</v>
      </c>
      <c r="O684" s="1429"/>
      <c r="P684" s="1430"/>
      <c r="Q684" s="1430"/>
      <c r="R684" s="1430"/>
      <c r="S684" s="1430"/>
      <c r="T684" s="1430"/>
      <c r="U684" s="1430"/>
      <c r="V684" s="1679"/>
      <c r="W684" s="1366"/>
      <c r="X684" s="1366"/>
      <c r="Y684" s="1366"/>
      <c r="Z684" s="1366"/>
      <c r="AA684" s="1366"/>
      <c r="AB684" s="1366"/>
      <c r="AC684" s="1366"/>
      <c r="AD684" s="1366"/>
      <c r="AE684" s="1366"/>
      <c r="AF684" s="1366"/>
      <c r="AG684" s="1366"/>
      <c r="AH684" s="1366"/>
      <c r="AI684" s="1366"/>
      <c r="AJ684" s="1366"/>
      <c r="AK684" s="1366"/>
      <c r="AL684" s="1366"/>
      <c r="AM684" s="1366"/>
      <c r="AN684" s="1366"/>
      <c r="AO684" s="1366"/>
      <c r="AP684" s="1366"/>
      <c r="AQ684" s="1366"/>
      <c r="AR684" s="1366"/>
      <c r="AS684" s="1366"/>
      <c r="AT684" s="1366"/>
      <c r="AU684" s="1366"/>
      <c r="AV684" s="1366"/>
      <c r="AW684" s="1366"/>
      <c r="AX684" s="1366"/>
      <c r="AY684" s="1366"/>
      <c r="AZ684" s="1366"/>
      <c r="BA684" s="1366"/>
      <c r="BB684" s="1366"/>
      <c r="BC684" s="1366"/>
      <c r="BD684" s="1366"/>
      <c r="BE684" s="1366"/>
      <c r="BF684" s="1366"/>
      <c r="BG684" s="1366"/>
      <c r="BH684" s="1366"/>
      <c r="BI684" s="1366"/>
      <c r="BJ684" s="1366"/>
      <c r="BK684" s="1366"/>
      <c r="BL684" s="1366"/>
      <c r="BM684" s="1366"/>
      <c r="BN684" s="1366"/>
      <c r="BO684" s="1366"/>
      <c r="BP684" s="1366"/>
      <c r="BQ684" s="1366"/>
      <c r="BR684" s="1366"/>
      <c r="BS684" s="1366"/>
      <c r="BT684" s="1366"/>
      <c r="BU684" s="1366"/>
      <c r="BV684" s="1366"/>
      <c r="BW684" s="1366"/>
      <c r="BX684" s="1366"/>
      <c r="BY684" s="1366"/>
      <c r="BZ684" s="1366"/>
      <c r="CA684" s="1366"/>
      <c r="CB684" s="1366"/>
      <c r="CC684" s="1366"/>
      <c r="CD684" s="1366"/>
      <c r="CE684" s="1366"/>
      <c r="CF684" s="1366"/>
      <c r="CG684" s="1366"/>
      <c r="CH684" s="1366"/>
      <c r="CI684" s="1366"/>
      <c r="CJ684" s="1366"/>
      <c r="CK684" s="1366"/>
      <c r="CL684" s="1366"/>
      <c r="CM684" s="1366"/>
      <c r="CN684" s="1366"/>
      <c r="CO684" s="1366"/>
      <c r="CP684" s="1366"/>
      <c r="CQ684" s="1366"/>
      <c r="CR684" s="1366"/>
      <c r="CS684" s="1366"/>
      <c r="CT684" s="1366"/>
      <c r="CU684" s="1366"/>
      <c r="CV684" s="1366"/>
      <c r="CW684" s="1366"/>
      <c r="CX684" s="1366"/>
      <c r="CY684" s="1366"/>
      <c r="CZ684" s="1366"/>
      <c r="DA684" s="1366"/>
      <c r="DB684" s="1366"/>
      <c r="DC684" s="1366"/>
      <c r="DD684" s="1366"/>
      <c r="DE684" s="1366"/>
      <c r="DF684" s="1366"/>
      <c r="DG684" s="1366"/>
      <c r="DH684" s="1366"/>
      <c r="DI684" s="1366"/>
      <c r="DJ684" s="1366"/>
      <c r="DK684" s="1366"/>
      <c r="DL684" s="1366"/>
      <c r="DM684" s="1366"/>
      <c r="DN684" s="1366"/>
      <c r="DO684" s="1366"/>
      <c r="DP684" s="1366"/>
      <c r="DQ684" s="1366"/>
      <c r="DR684" s="1366"/>
      <c r="DS684" s="1366"/>
      <c r="DT684" s="1366"/>
      <c r="DU684" s="1366"/>
      <c r="DV684" s="1366"/>
    </row>
    <row r="685" spans="1:126" s="1382" customFormat="1" ht="60.75" customHeight="1">
      <c r="A685" s="2535"/>
      <c r="B685" s="1657">
        <v>2006</v>
      </c>
      <c r="C685" s="1638" t="s">
        <v>49</v>
      </c>
      <c r="D685" s="1396" t="s">
        <v>2740</v>
      </c>
      <c r="E685" s="1365" t="s">
        <v>2100</v>
      </c>
      <c r="F685" s="1365" t="s">
        <v>2108</v>
      </c>
      <c r="G685" s="1147" t="s">
        <v>2681</v>
      </c>
      <c r="H685" s="1433">
        <f>(('Equipment Results Matrix'!$N$1212*84)+('Equipment Results Matrix'!$N$1213*0.98)+'Equipment Results Matrix'!$R$1214+'Equipment Results Matrix'!$N$1216+'Equipment Results Matrix'!$T$1219)*2+((28*'Equipment Results Matrix'!$R$1194)+(85*'Equipment Results Matrix'!$R$1195)+(103*'Equipment Results Matrix'!$R$1196)+'Equipment Results Matrix'!$R$1197+'Equipment Results Matrix'!$R$1199+'Equipment Results Matrix'!$R$1201+'Equipment Results Matrix'!$R$1203+'Equipment Results Matrix'!$R$1205+'Equipment Results Matrix'!$R$1207+'Equipment Results Matrix'!$R$1209+'Equipment Results Matrix'!$T$1201)*(1+'Equipment Results Matrix'!$T$1203)*3</f>
        <v>140.01958201970444</v>
      </c>
      <c r="I685" s="1434">
        <f>('Labor Results Matrix'!$E$702+'Labor Results Matrix'!$E$703)+('Labor Results Matrix'!$E$720+'Labor Results Matrix'!$E$722)</f>
        <v>2.3858152712486929</v>
      </c>
      <c r="J685" s="1388">
        <f>'Labor Results Matrix'!$G$723*(1+AVERAGE('Labor Results Matrix'!$K$720,'Labor Results Matrix'!$K$702))</f>
        <v>72.551789358578489</v>
      </c>
      <c r="K685" s="1388">
        <f t="shared" si="252"/>
        <v>173.09516700811497</v>
      </c>
      <c r="L685" s="1388">
        <v>0</v>
      </c>
      <c r="M685" s="1388">
        <f t="shared" si="253"/>
        <v>313.11474902781941</v>
      </c>
      <c r="N685" s="1457">
        <f>M685-M684</f>
        <v>0</v>
      </c>
      <c r="O685" s="1429"/>
      <c r="P685" s="1430"/>
      <c r="Q685" s="1430"/>
      <c r="R685" s="1430"/>
      <c r="S685" s="1430"/>
      <c r="T685" s="1430"/>
      <c r="U685" s="1430"/>
      <c r="V685" s="1679"/>
      <c r="W685" s="1366"/>
      <c r="X685" s="1366"/>
      <c r="Y685" s="1366"/>
      <c r="Z685" s="1366"/>
      <c r="AA685" s="1366"/>
      <c r="AB685" s="1366"/>
      <c r="AC685" s="1366"/>
      <c r="AD685" s="1366"/>
      <c r="AE685" s="1366"/>
      <c r="AF685" s="1366"/>
      <c r="AG685" s="1366"/>
      <c r="AH685" s="1366"/>
      <c r="AI685" s="1366"/>
      <c r="AJ685" s="1366"/>
      <c r="AK685" s="1366"/>
      <c r="AL685" s="1366"/>
      <c r="AM685" s="1366"/>
      <c r="AN685" s="1366"/>
      <c r="AO685" s="1366"/>
      <c r="AP685" s="1366"/>
      <c r="AQ685" s="1366"/>
      <c r="AR685" s="1366"/>
      <c r="AS685" s="1366"/>
      <c r="AT685" s="1366"/>
      <c r="AU685" s="1366"/>
      <c r="AV685" s="1366"/>
      <c r="AW685" s="1366"/>
      <c r="AX685" s="1366"/>
      <c r="AY685" s="1366"/>
      <c r="AZ685" s="1366"/>
      <c r="BA685" s="1366"/>
      <c r="BB685" s="1366"/>
      <c r="BC685" s="1366"/>
      <c r="BD685" s="1366"/>
      <c r="BE685" s="1366"/>
      <c r="BF685" s="1366"/>
      <c r="BG685" s="1366"/>
      <c r="BH685" s="1366"/>
      <c r="BI685" s="1366"/>
      <c r="BJ685" s="1366"/>
      <c r="BK685" s="1366"/>
      <c r="BL685" s="1366"/>
      <c r="BM685" s="1366"/>
      <c r="BN685" s="1366"/>
      <c r="BO685" s="1366"/>
      <c r="BP685" s="1366"/>
      <c r="BQ685" s="1366"/>
      <c r="BR685" s="1366"/>
      <c r="BS685" s="1366"/>
      <c r="BT685" s="1366"/>
      <c r="BU685" s="1366"/>
      <c r="BV685" s="1366"/>
      <c r="BW685" s="1366"/>
      <c r="BX685" s="1366"/>
      <c r="BY685" s="1366"/>
      <c r="BZ685" s="1366"/>
      <c r="CA685" s="1366"/>
      <c r="CB685" s="1366"/>
      <c r="CC685" s="1366"/>
      <c r="CD685" s="1366"/>
      <c r="CE685" s="1366"/>
      <c r="CF685" s="1366"/>
      <c r="CG685" s="1366"/>
      <c r="CH685" s="1366"/>
      <c r="CI685" s="1366"/>
      <c r="CJ685" s="1366"/>
      <c r="CK685" s="1366"/>
      <c r="CL685" s="1366"/>
      <c r="CM685" s="1366"/>
      <c r="CN685" s="1366"/>
      <c r="CO685" s="1366"/>
      <c r="CP685" s="1366"/>
      <c r="CQ685" s="1366"/>
      <c r="CR685" s="1366"/>
      <c r="CS685" s="1366"/>
      <c r="CT685" s="1366"/>
      <c r="CU685" s="1366"/>
      <c r="CV685" s="1366"/>
      <c r="CW685" s="1366"/>
      <c r="CX685" s="1366"/>
      <c r="CY685" s="1366"/>
      <c r="CZ685" s="1366"/>
      <c r="DA685" s="1366"/>
      <c r="DB685" s="1366"/>
      <c r="DC685" s="1366"/>
      <c r="DD685" s="1366"/>
      <c r="DE685" s="1366"/>
      <c r="DF685" s="1366"/>
      <c r="DG685" s="1366"/>
      <c r="DH685" s="1366"/>
      <c r="DI685" s="1366"/>
      <c r="DJ685" s="1366"/>
      <c r="DK685" s="1366"/>
      <c r="DL685" s="1366"/>
      <c r="DM685" s="1366"/>
      <c r="DN685" s="1366"/>
      <c r="DO685" s="1366"/>
      <c r="DP685" s="1366"/>
      <c r="DQ685" s="1366"/>
      <c r="DR685" s="1366"/>
      <c r="DS685" s="1366"/>
      <c r="DT685" s="1366"/>
      <c r="DU685" s="1366"/>
      <c r="DV685" s="1366"/>
    </row>
    <row r="686" spans="1:126" s="1382" customFormat="1" ht="60.75" customHeight="1">
      <c r="A686" s="2535"/>
      <c r="B686" s="1657">
        <v>2007</v>
      </c>
      <c r="C686" s="1638" t="s">
        <v>47</v>
      </c>
      <c r="D686" s="1379" t="s">
        <v>2494</v>
      </c>
      <c r="E686" s="1365" t="s">
        <v>2100</v>
      </c>
      <c r="F686" s="1365" t="s">
        <v>2108</v>
      </c>
      <c r="G686" s="1147" t="s">
        <v>2681</v>
      </c>
      <c r="H686" s="1433">
        <f>(('Equipment Results Matrix'!$N$1212*84)+('Equipment Results Matrix'!$N$1213*0.98)+'Equipment Results Matrix'!$R$1214+'Equipment Results Matrix'!$N$1216+'Equipment Results Matrix'!$T$1219)*2+((28*'Equipment Results Matrix'!$R$1194)+(85*'Equipment Results Matrix'!$R$1195)+(103*'Equipment Results Matrix'!$R$1196)+'Equipment Results Matrix'!$R$1197+'Equipment Results Matrix'!$R$1199+'Equipment Results Matrix'!$R$1201+'Equipment Results Matrix'!$R$1203+'Equipment Results Matrix'!$R$1205+'Equipment Results Matrix'!$R$1207+'Equipment Results Matrix'!$R$1209+'Equipment Results Matrix'!$T$1201)*(1+'Equipment Results Matrix'!$T$1203)*3</f>
        <v>140.01958201970444</v>
      </c>
      <c r="I686" s="1434">
        <f>('Labor Results Matrix'!$E$702+'Labor Results Matrix'!$E$703)+('Labor Results Matrix'!$E$720+'Labor Results Matrix'!$E$722)</f>
        <v>2.3858152712486929</v>
      </c>
      <c r="J686" s="1388">
        <f>'Labor Results Matrix'!$G$723*(1+AVERAGE('Labor Results Matrix'!$K$720,'Labor Results Matrix'!$K$702))</f>
        <v>72.551789358578489</v>
      </c>
      <c r="K686" s="1388">
        <f t="shared" si="252"/>
        <v>173.09516700811497</v>
      </c>
      <c r="L686" s="1388">
        <v>0</v>
      </c>
      <c r="M686" s="1388">
        <f t="shared" si="253"/>
        <v>313.11474902781941</v>
      </c>
      <c r="N686" s="1462" t="s">
        <v>40</v>
      </c>
      <c r="O686" s="1429"/>
      <c r="P686" s="1430"/>
      <c r="Q686" s="1430"/>
      <c r="R686" s="1430"/>
      <c r="S686" s="1430"/>
      <c r="T686" s="1430"/>
      <c r="U686" s="1430"/>
      <c r="V686" s="1679"/>
      <c r="W686" s="1366"/>
      <c r="X686" s="1366"/>
      <c r="Y686" s="1366"/>
      <c r="Z686" s="1366"/>
      <c r="AA686" s="1366"/>
      <c r="AB686" s="1366"/>
      <c r="AC686" s="1366"/>
      <c r="AD686" s="1366"/>
      <c r="AE686" s="1366"/>
      <c r="AF686" s="1366"/>
      <c r="AG686" s="1366"/>
      <c r="AH686" s="1366"/>
      <c r="AI686" s="1366"/>
      <c r="AJ686" s="1366"/>
      <c r="AK686" s="1366"/>
      <c r="AL686" s="1366"/>
      <c r="AM686" s="1366"/>
      <c r="AN686" s="1366"/>
      <c r="AO686" s="1366"/>
      <c r="AP686" s="1366"/>
      <c r="AQ686" s="1366"/>
      <c r="AR686" s="1366"/>
      <c r="AS686" s="1366"/>
      <c r="AT686" s="1366"/>
      <c r="AU686" s="1366"/>
      <c r="AV686" s="1366"/>
      <c r="AW686" s="1366"/>
      <c r="AX686" s="1366"/>
      <c r="AY686" s="1366"/>
      <c r="AZ686" s="1366"/>
      <c r="BA686" s="1366"/>
      <c r="BB686" s="1366"/>
      <c r="BC686" s="1366"/>
      <c r="BD686" s="1366"/>
      <c r="BE686" s="1366"/>
      <c r="BF686" s="1366"/>
      <c r="BG686" s="1366"/>
      <c r="BH686" s="1366"/>
      <c r="BI686" s="1366"/>
      <c r="BJ686" s="1366"/>
      <c r="BK686" s="1366"/>
      <c r="BL686" s="1366"/>
      <c r="BM686" s="1366"/>
      <c r="BN686" s="1366"/>
      <c r="BO686" s="1366"/>
      <c r="BP686" s="1366"/>
      <c r="BQ686" s="1366"/>
      <c r="BR686" s="1366"/>
      <c r="BS686" s="1366"/>
      <c r="BT686" s="1366"/>
      <c r="BU686" s="1366"/>
      <c r="BV686" s="1366"/>
      <c r="BW686" s="1366"/>
      <c r="BX686" s="1366"/>
      <c r="BY686" s="1366"/>
      <c r="BZ686" s="1366"/>
      <c r="CA686" s="1366"/>
      <c r="CB686" s="1366"/>
      <c r="CC686" s="1366"/>
      <c r="CD686" s="1366"/>
      <c r="CE686" s="1366"/>
      <c r="CF686" s="1366"/>
      <c r="CG686" s="1366"/>
      <c r="CH686" s="1366"/>
      <c r="CI686" s="1366"/>
      <c r="CJ686" s="1366"/>
      <c r="CK686" s="1366"/>
      <c r="CL686" s="1366"/>
      <c r="CM686" s="1366"/>
      <c r="CN686" s="1366"/>
      <c r="CO686" s="1366"/>
      <c r="CP686" s="1366"/>
      <c r="CQ686" s="1366"/>
      <c r="CR686" s="1366"/>
      <c r="CS686" s="1366"/>
      <c r="CT686" s="1366"/>
      <c r="CU686" s="1366"/>
      <c r="CV686" s="1366"/>
      <c r="CW686" s="1366"/>
      <c r="CX686" s="1366"/>
      <c r="CY686" s="1366"/>
      <c r="CZ686" s="1366"/>
      <c r="DA686" s="1366"/>
      <c r="DB686" s="1366"/>
      <c r="DC686" s="1366"/>
      <c r="DD686" s="1366"/>
      <c r="DE686" s="1366"/>
      <c r="DF686" s="1366"/>
      <c r="DG686" s="1366"/>
      <c r="DH686" s="1366"/>
      <c r="DI686" s="1366"/>
      <c r="DJ686" s="1366"/>
      <c r="DK686" s="1366"/>
      <c r="DL686" s="1366"/>
      <c r="DM686" s="1366"/>
      <c r="DN686" s="1366"/>
      <c r="DO686" s="1366"/>
      <c r="DP686" s="1366"/>
      <c r="DQ686" s="1366"/>
      <c r="DR686" s="1366"/>
      <c r="DS686" s="1366"/>
      <c r="DT686" s="1366"/>
      <c r="DU686" s="1366"/>
      <c r="DV686" s="1366"/>
    </row>
    <row r="687" spans="1:126" s="1382" customFormat="1" ht="60.75" customHeight="1">
      <c r="A687" s="2535"/>
      <c r="B687" s="1657">
        <v>2007</v>
      </c>
      <c r="C687" s="1638" t="s">
        <v>49</v>
      </c>
      <c r="D687" s="1396" t="s">
        <v>2741</v>
      </c>
      <c r="E687" s="1365" t="s">
        <v>2100</v>
      </c>
      <c r="F687" s="1365" t="s">
        <v>2108</v>
      </c>
      <c r="G687" s="1147" t="s">
        <v>2681</v>
      </c>
      <c r="H687" s="1433">
        <f>(('Equipment Results Matrix'!$N$1212*84)+('Equipment Results Matrix'!$N$1213*0.98)+'Equipment Results Matrix'!$R$1214+'Equipment Results Matrix'!$N$1216+'Equipment Results Matrix'!$T$1219)*2+((28*'Equipment Results Matrix'!$R$1194)+(85*'Equipment Results Matrix'!$R$1195)+(103*'Equipment Results Matrix'!$R$1196)+'Equipment Results Matrix'!$R$1197+'Equipment Results Matrix'!$R$1199+'Equipment Results Matrix'!$R$1201+'Equipment Results Matrix'!$R$1203+'Equipment Results Matrix'!$R$1205+'Equipment Results Matrix'!$R$1207+'Equipment Results Matrix'!$R$1209+'Equipment Results Matrix'!$T$1201)*(1+'Equipment Results Matrix'!$T$1203)*3</f>
        <v>140.01958201970444</v>
      </c>
      <c r="I687" s="1434">
        <f>('Labor Results Matrix'!$E$702+'Labor Results Matrix'!$E$703)+('Labor Results Matrix'!$E$720+'Labor Results Matrix'!$E$722)</f>
        <v>2.3858152712486929</v>
      </c>
      <c r="J687" s="1388">
        <f>'Labor Results Matrix'!$G$723*(1+AVERAGE('Labor Results Matrix'!$K$720,'Labor Results Matrix'!$K$702))</f>
        <v>72.551789358578489</v>
      </c>
      <c r="K687" s="1388">
        <f t="shared" si="252"/>
        <v>173.09516700811497</v>
      </c>
      <c r="L687" s="1388">
        <v>0</v>
      </c>
      <c r="M687" s="1388">
        <f t="shared" si="253"/>
        <v>313.11474902781941</v>
      </c>
      <c r="N687" s="1457">
        <f>M687-M686</f>
        <v>0</v>
      </c>
      <c r="O687" s="1429"/>
      <c r="P687" s="1430"/>
      <c r="Q687" s="1430"/>
      <c r="R687" s="1430"/>
      <c r="S687" s="1430"/>
      <c r="T687" s="1430"/>
      <c r="U687" s="1430"/>
      <c r="V687" s="1679"/>
      <c r="W687" s="1366"/>
      <c r="X687" s="1366"/>
      <c r="Y687" s="1366"/>
      <c r="Z687" s="1366"/>
      <c r="AA687" s="1366"/>
      <c r="AB687" s="1366"/>
      <c r="AC687" s="1366"/>
      <c r="AD687" s="1366"/>
      <c r="AE687" s="1366"/>
      <c r="AF687" s="1366"/>
      <c r="AG687" s="1366"/>
      <c r="AH687" s="1366"/>
      <c r="AI687" s="1366"/>
      <c r="AJ687" s="1366"/>
      <c r="AK687" s="1366"/>
      <c r="AL687" s="1366"/>
      <c r="AM687" s="1366"/>
      <c r="AN687" s="1366"/>
      <c r="AO687" s="1366"/>
      <c r="AP687" s="1366"/>
      <c r="AQ687" s="1366"/>
      <c r="AR687" s="1366"/>
      <c r="AS687" s="1366"/>
      <c r="AT687" s="1366"/>
      <c r="AU687" s="1366"/>
      <c r="AV687" s="1366"/>
      <c r="AW687" s="1366"/>
      <c r="AX687" s="1366"/>
      <c r="AY687" s="1366"/>
      <c r="AZ687" s="1366"/>
      <c r="BA687" s="1366"/>
      <c r="BB687" s="1366"/>
      <c r="BC687" s="1366"/>
      <c r="BD687" s="1366"/>
      <c r="BE687" s="1366"/>
      <c r="BF687" s="1366"/>
      <c r="BG687" s="1366"/>
      <c r="BH687" s="1366"/>
      <c r="BI687" s="1366"/>
      <c r="BJ687" s="1366"/>
      <c r="BK687" s="1366"/>
      <c r="BL687" s="1366"/>
      <c r="BM687" s="1366"/>
      <c r="BN687" s="1366"/>
      <c r="BO687" s="1366"/>
      <c r="BP687" s="1366"/>
      <c r="BQ687" s="1366"/>
      <c r="BR687" s="1366"/>
      <c r="BS687" s="1366"/>
      <c r="BT687" s="1366"/>
      <c r="BU687" s="1366"/>
      <c r="BV687" s="1366"/>
      <c r="BW687" s="1366"/>
      <c r="BX687" s="1366"/>
      <c r="BY687" s="1366"/>
      <c r="BZ687" s="1366"/>
      <c r="CA687" s="1366"/>
      <c r="CB687" s="1366"/>
      <c r="CC687" s="1366"/>
      <c r="CD687" s="1366"/>
      <c r="CE687" s="1366"/>
      <c r="CF687" s="1366"/>
      <c r="CG687" s="1366"/>
      <c r="CH687" s="1366"/>
      <c r="CI687" s="1366"/>
      <c r="CJ687" s="1366"/>
      <c r="CK687" s="1366"/>
      <c r="CL687" s="1366"/>
      <c r="CM687" s="1366"/>
      <c r="CN687" s="1366"/>
      <c r="CO687" s="1366"/>
      <c r="CP687" s="1366"/>
      <c r="CQ687" s="1366"/>
      <c r="CR687" s="1366"/>
      <c r="CS687" s="1366"/>
      <c r="CT687" s="1366"/>
      <c r="CU687" s="1366"/>
      <c r="CV687" s="1366"/>
      <c r="CW687" s="1366"/>
      <c r="CX687" s="1366"/>
      <c r="CY687" s="1366"/>
      <c r="CZ687" s="1366"/>
      <c r="DA687" s="1366"/>
      <c r="DB687" s="1366"/>
      <c r="DC687" s="1366"/>
      <c r="DD687" s="1366"/>
      <c r="DE687" s="1366"/>
      <c r="DF687" s="1366"/>
      <c r="DG687" s="1366"/>
      <c r="DH687" s="1366"/>
      <c r="DI687" s="1366"/>
      <c r="DJ687" s="1366"/>
      <c r="DK687" s="1366"/>
      <c r="DL687" s="1366"/>
      <c r="DM687" s="1366"/>
      <c r="DN687" s="1366"/>
      <c r="DO687" s="1366"/>
      <c r="DP687" s="1366"/>
      <c r="DQ687" s="1366"/>
      <c r="DR687" s="1366"/>
      <c r="DS687" s="1366"/>
      <c r="DT687" s="1366"/>
      <c r="DU687" s="1366"/>
      <c r="DV687" s="1366"/>
    </row>
    <row r="688" spans="1:126" s="1382" customFormat="1" ht="60.75" customHeight="1">
      <c r="A688" s="2535"/>
      <c r="B688" s="1657" t="s">
        <v>2490</v>
      </c>
      <c r="C688" s="1638" t="s">
        <v>47</v>
      </c>
      <c r="D688" s="1379" t="s">
        <v>2495</v>
      </c>
      <c r="E688" s="1365" t="s">
        <v>2100</v>
      </c>
      <c r="F688" s="1365" t="s">
        <v>2108</v>
      </c>
      <c r="G688" s="1147" t="s">
        <v>2681</v>
      </c>
      <c r="H688" s="1433">
        <f>(('Equipment Results Matrix'!$N$1212*54)+('Equipment Results Matrix'!$N$1213*0.98)+'Equipment Results Matrix'!$R$1214+'Equipment Results Matrix'!$N$1216+'Equipment Results Matrix'!$T$1219)*1+((54*'Equipment Results Matrix'!$R$1194)+(85*'Equipment Results Matrix'!$R$1195)+(93*'Equipment Results Matrix'!$R$1196)+'Equipment Results Matrix'!$R$1197+'Equipment Results Matrix'!$R$1199+'Equipment Results Matrix'!$R$1201+'Equipment Results Matrix'!$R$1203+'Equipment Results Matrix'!$R$1205+'Equipment Results Matrix'!$R$1207+'Equipment Results Matrix'!$R$1209+'Equipment Results Matrix'!$T$1201)*(1+'Equipment Results Matrix'!$T$1203)*1</f>
        <v>58.508827339901487</v>
      </c>
      <c r="I688" s="1434">
        <f>('Labor Results Matrix'!$E$702+'Labor Results Matrix'!$E$703)+('Labor Results Matrix'!$E$720+'Labor Results Matrix'!$E$722)</f>
        <v>2.3858152712486929</v>
      </c>
      <c r="J688" s="1388">
        <f>'Labor Results Matrix'!$G$723*(1+AVERAGE('Labor Results Matrix'!$K$720,'Labor Results Matrix'!$K$702))</f>
        <v>72.551789358578489</v>
      </c>
      <c r="K688" s="1388">
        <f t="shared" si="252"/>
        <v>173.09516700811497</v>
      </c>
      <c r="L688" s="1388">
        <v>0</v>
      </c>
      <c r="M688" s="1388">
        <f t="shared" si="253"/>
        <v>231.60399434801644</v>
      </c>
      <c r="N688" s="1462" t="s">
        <v>40</v>
      </c>
      <c r="O688" s="1429"/>
      <c r="P688" s="1430"/>
      <c r="Q688" s="1430"/>
      <c r="R688" s="1430"/>
      <c r="S688" s="1430"/>
      <c r="T688" s="1430"/>
      <c r="U688" s="1430"/>
      <c r="V688" s="1679"/>
      <c r="W688" s="1366"/>
      <c r="X688" s="1366"/>
      <c r="Y688" s="1366"/>
      <c r="Z688" s="1366"/>
      <c r="AA688" s="1366"/>
      <c r="AB688" s="1366"/>
      <c r="AC688" s="1366"/>
      <c r="AD688" s="1366"/>
      <c r="AE688" s="1366"/>
      <c r="AF688" s="1366"/>
      <c r="AG688" s="1366"/>
      <c r="AH688" s="1366"/>
      <c r="AI688" s="1366"/>
      <c r="AJ688" s="1366"/>
      <c r="AK688" s="1366"/>
      <c r="AL688" s="1366"/>
      <c r="AM688" s="1366"/>
      <c r="AN688" s="1366"/>
      <c r="AO688" s="1366"/>
      <c r="AP688" s="1366"/>
      <c r="AQ688" s="1366"/>
      <c r="AR688" s="1366"/>
      <c r="AS688" s="1366"/>
      <c r="AT688" s="1366"/>
      <c r="AU688" s="1366"/>
      <c r="AV688" s="1366"/>
      <c r="AW688" s="1366"/>
      <c r="AX688" s="1366"/>
      <c r="AY688" s="1366"/>
      <c r="AZ688" s="1366"/>
      <c r="BA688" s="1366"/>
      <c r="BB688" s="1366"/>
      <c r="BC688" s="1366"/>
      <c r="BD688" s="1366"/>
      <c r="BE688" s="1366"/>
      <c r="BF688" s="1366"/>
      <c r="BG688" s="1366"/>
      <c r="BH688" s="1366"/>
      <c r="BI688" s="1366"/>
      <c r="BJ688" s="1366"/>
      <c r="BK688" s="1366"/>
      <c r="BL688" s="1366"/>
      <c r="BM688" s="1366"/>
      <c r="BN688" s="1366"/>
      <c r="BO688" s="1366"/>
      <c r="BP688" s="1366"/>
      <c r="BQ688" s="1366"/>
      <c r="BR688" s="1366"/>
      <c r="BS688" s="1366"/>
      <c r="BT688" s="1366"/>
      <c r="BU688" s="1366"/>
      <c r="BV688" s="1366"/>
      <c r="BW688" s="1366"/>
      <c r="BX688" s="1366"/>
      <c r="BY688" s="1366"/>
      <c r="BZ688" s="1366"/>
      <c r="CA688" s="1366"/>
      <c r="CB688" s="1366"/>
      <c r="CC688" s="1366"/>
      <c r="CD688" s="1366"/>
      <c r="CE688" s="1366"/>
      <c r="CF688" s="1366"/>
      <c r="CG688" s="1366"/>
      <c r="CH688" s="1366"/>
      <c r="CI688" s="1366"/>
      <c r="CJ688" s="1366"/>
      <c r="CK688" s="1366"/>
      <c r="CL688" s="1366"/>
      <c r="CM688" s="1366"/>
      <c r="CN688" s="1366"/>
      <c r="CO688" s="1366"/>
      <c r="CP688" s="1366"/>
      <c r="CQ688" s="1366"/>
      <c r="CR688" s="1366"/>
      <c r="CS688" s="1366"/>
      <c r="CT688" s="1366"/>
      <c r="CU688" s="1366"/>
      <c r="CV688" s="1366"/>
      <c r="CW688" s="1366"/>
      <c r="CX688" s="1366"/>
      <c r="CY688" s="1366"/>
      <c r="CZ688" s="1366"/>
      <c r="DA688" s="1366"/>
      <c r="DB688" s="1366"/>
      <c r="DC688" s="1366"/>
      <c r="DD688" s="1366"/>
      <c r="DE688" s="1366"/>
      <c r="DF688" s="1366"/>
      <c r="DG688" s="1366"/>
      <c r="DH688" s="1366"/>
      <c r="DI688" s="1366"/>
      <c r="DJ688" s="1366"/>
      <c r="DK688" s="1366"/>
      <c r="DL688" s="1366"/>
      <c r="DM688" s="1366"/>
      <c r="DN688" s="1366"/>
      <c r="DO688" s="1366"/>
      <c r="DP688" s="1366"/>
      <c r="DQ688" s="1366"/>
      <c r="DR688" s="1366"/>
      <c r="DS688" s="1366"/>
      <c r="DT688" s="1366"/>
      <c r="DU688" s="1366"/>
      <c r="DV688" s="1366"/>
    </row>
    <row r="689" spans="1:126" s="1382" customFormat="1" ht="60.75" customHeight="1" thickBot="1">
      <c r="A689" s="2536"/>
      <c r="B689" s="1657">
        <v>2008</v>
      </c>
      <c r="C689" s="1638" t="s">
        <v>49</v>
      </c>
      <c r="D689" s="1396" t="s">
        <v>2742</v>
      </c>
      <c r="E689" s="1365" t="s">
        <v>2100</v>
      </c>
      <c r="F689" s="1365" t="s">
        <v>2108</v>
      </c>
      <c r="G689" s="1147" t="s">
        <v>2681</v>
      </c>
      <c r="H689" s="1433">
        <f>(('Equipment Results Matrix'!$N$1212*54)+('Equipment Results Matrix'!$N$1213*0.98)+'Equipment Results Matrix'!$R$1214+'Equipment Results Matrix'!$N$1216+'Equipment Results Matrix'!$T$1219)*1+((54*'Equipment Results Matrix'!$R$1194)+(85*'Equipment Results Matrix'!$R$1195)+(93*'Equipment Results Matrix'!$R$1196)+'Equipment Results Matrix'!$R$1197+'Equipment Results Matrix'!$R$1199+'Equipment Results Matrix'!$R$1201+'Equipment Results Matrix'!$R$1203+'Equipment Results Matrix'!$R$1205+'Equipment Results Matrix'!$R$1207+'Equipment Results Matrix'!$R$1209+'Equipment Results Matrix'!$T$1201)*(1+'Equipment Results Matrix'!$T$1203)*1</f>
        <v>58.508827339901487</v>
      </c>
      <c r="I689" s="1434">
        <f>('Labor Results Matrix'!$E$702+'Labor Results Matrix'!$E$703)+('Labor Results Matrix'!$E$720+'Labor Results Matrix'!$E$722)</f>
        <v>2.3858152712486929</v>
      </c>
      <c r="J689" s="1388">
        <f>'Labor Results Matrix'!$G$723*(1+AVERAGE('Labor Results Matrix'!$K$720,'Labor Results Matrix'!$K$702))</f>
        <v>72.551789358578489</v>
      </c>
      <c r="K689" s="1388">
        <f t="shared" si="252"/>
        <v>173.09516700811497</v>
      </c>
      <c r="L689" s="1388">
        <v>0</v>
      </c>
      <c r="M689" s="1388">
        <f t="shared" si="253"/>
        <v>231.60399434801644</v>
      </c>
      <c r="N689" s="1457">
        <f>M689-M688</f>
        <v>0</v>
      </c>
      <c r="O689" s="1429"/>
      <c r="P689" s="1430"/>
      <c r="Q689" s="1430"/>
      <c r="R689" s="1430"/>
      <c r="S689" s="1430"/>
      <c r="T689" s="1430"/>
      <c r="U689" s="1430"/>
      <c r="V689" s="1679"/>
      <c r="W689" s="1366"/>
      <c r="X689" s="1366"/>
      <c r="Y689" s="1366"/>
      <c r="Z689" s="1366"/>
      <c r="AA689" s="1366"/>
      <c r="AB689" s="1366"/>
      <c r="AC689" s="1366"/>
      <c r="AD689" s="1366"/>
      <c r="AE689" s="1366"/>
      <c r="AF689" s="1366"/>
      <c r="AG689" s="1366"/>
      <c r="AH689" s="1366"/>
      <c r="AI689" s="1366"/>
      <c r="AJ689" s="1366"/>
      <c r="AK689" s="1366"/>
      <c r="AL689" s="1366"/>
      <c r="AM689" s="1366"/>
      <c r="AN689" s="1366"/>
      <c r="AO689" s="1366"/>
      <c r="AP689" s="1366"/>
      <c r="AQ689" s="1366"/>
      <c r="AR689" s="1366"/>
      <c r="AS689" s="1366"/>
      <c r="AT689" s="1366"/>
      <c r="AU689" s="1366"/>
      <c r="AV689" s="1366"/>
      <c r="AW689" s="1366"/>
      <c r="AX689" s="1366"/>
      <c r="AY689" s="1366"/>
      <c r="AZ689" s="1366"/>
      <c r="BA689" s="1366"/>
      <c r="BB689" s="1366"/>
      <c r="BC689" s="1366"/>
      <c r="BD689" s="1366"/>
      <c r="BE689" s="1366"/>
      <c r="BF689" s="1366"/>
      <c r="BG689" s="1366"/>
      <c r="BH689" s="1366"/>
      <c r="BI689" s="1366"/>
      <c r="BJ689" s="1366"/>
      <c r="BK689" s="1366"/>
      <c r="BL689" s="1366"/>
      <c r="BM689" s="1366"/>
      <c r="BN689" s="1366"/>
      <c r="BO689" s="1366"/>
      <c r="BP689" s="1366"/>
      <c r="BQ689" s="1366"/>
      <c r="BR689" s="1366"/>
      <c r="BS689" s="1366"/>
      <c r="BT689" s="1366"/>
      <c r="BU689" s="1366"/>
      <c r="BV689" s="1366"/>
      <c r="BW689" s="1366"/>
      <c r="BX689" s="1366"/>
      <c r="BY689" s="1366"/>
      <c r="BZ689" s="1366"/>
      <c r="CA689" s="1366"/>
      <c r="CB689" s="1366"/>
      <c r="CC689" s="1366"/>
      <c r="CD689" s="1366"/>
      <c r="CE689" s="1366"/>
      <c r="CF689" s="1366"/>
      <c r="CG689" s="1366"/>
      <c r="CH689" s="1366"/>
      <c r="CI689" s="1366"/>
      <c r="CJ689" s="1366"/>
      <c r="CK689" s="1366"/>
      <c r="CL689" s="1366"/>
      <c r="CM689" s="1366"/>
      <c r="CN689" s="1366"/>
      <c r="CO689" s="1366"/>
      <c r="CP689" s="1366"/>
      <c r="CQ689" s="1366"/>
      <c r="CR689" s="1366"/>
      <c r="CS689" s="1366"/>
      <c r="CT689" s="1366"/>
      <c r="CU689" s="1366"/>
      <c r="CV689" s="1366"/>
      <c r="CW689" s="1366"/>
      <c r="CX689" s="1366"/>
      <c r="CY689" s="1366"/>
      <c r="CZ689" s="1366"/>
      <c r="DA689" s="1366"/>
      <c r="DB689" s="1366"/>
      <c r="DC689" s="1366"/>
      <c r="DD689" s="1366"/>
      <c r="DE689" s="1366"/>
      <c r="DF689" s="1366"/>
      <c r="DG689" s="1366"/>
      <c r="DH689" s="1366"/>
      <c r="DI689" s="1366"/>
      <c r="DJ689" s="1366"/>
      <c r="DK689" s="1366"/>
      <c r="DL689" s="1366"/>
      <c r="DM689" s="1366"/>
      <c r="DN689" s="1366"/>
      <c r="DO689" s="1366"/>
      <c r="DP689" s="1366"/>
      <c r="DQ689" s="1366"/>
      <c r="DR689" s="1366"/>
      <c r="DS689" s="1366"/>
      <c r="DT689" s="1366"/>
      <c r="DU689" s="1366"/>
      <c r="DV689" s="1366"/>
    </row>
    <row r="690" spans="1:126" s="1382" customFormat="1" ht="60.75" customHeight="1">
      <c r="A690" s="2534" t="s">
        <v>2488</v>
      </c>
      <c r="B690" s="1657">
        <v>2009</v>
      </c>
      <c r="C690" s="1638" t="s">
        <v>47</v>
      </c>
      <c r="D690" s="1379" t="s">
        <v>2496</v>
      </c>
      <c r="E690" s="1365" t="s">
        <v>2100</v>
      </c>
      <c r="F690" s="1365" t="s">
        <v>2108</v>
      </c>
      <c r="G690" s="1147" t="s">
        <v>2681</v>
      </c>
      <c r="H690" s="1433">
        <f>(('Equipment Results Matrix'!$N$1212*54)+('Equipment Results Matrix'!$N$1213*0.98)+'Equipment Results Matrix'!$R$1214+'Equipment Results Matrix'!$N$1216+'Equipment Results Matrix'!$T$1219)*1+((54*'Equipment Results Matrix'!$R$1194)+(85*'Equipment Results Matrix'!$R$1195)+(93*'Equipment Results Matrix'!$R$1196)+'Equipment Results Matrix'!$R$1197+'Equipment Results Matrix'!$R$1199+'Equipment Results Matrix'!$R$1201+'Equipment Results Matrix'!$R$1203+'Equipment Results Matrix'!$R$1205+'Equipment Results Matrix'!$R$1207+'Equipment Results Matrix'!$R$1209+'Equipment Results Matrix'!$T$1201)*(1+'Equipment Results Matrix'!$T$1203)*1</f>
        <v>58.508827339901487</v>
      </c>
      <c r="I690" s="1434">
        <f>('Labor Results Matrix'!$E$702+'Labor Results Matrix'!$E$703)+('Labor Results Matrix'!$E$720+'Labor Results Matrix'!$E$722)</f>
        <v>2.3858152712486929</v>
      </c>
      <c r="J690" s="1388">
        <f>'Labor Results Matrix'!$G$723*(1+AVERAGE('Labor Results Matrix'!$K$720,'Labor Results Matrix'!$K$702))</f>
        <v>72.551789358578489</v>
      </c>
      <c r="K690" s="1388">
        <f t="shared" si="252"/>
        <v>173.09516700811497</v>
      </c>
      <c r="L690" s="1388">
        <v>0</v>
      </c>
      <c r="M690" s="1388">
        <f t="shared" si="253"/>
        <v>231.60399434801644</v>
      </c>
      <c r="N690" s="1462" t="s">
        <v>40</v>
      </c>
      <c r="O690" s="1429"/>
      <c r="P690" s="1430"/>
      <c r="Q690" s="1430"/>
      <c r="R690" s="1430"/>
      <c r="S690" s="1430"/>
      <c r="T690" s="1430"/>
      <c r="U690" s="1430"/>
      <c r="V690" s="1679"/>
      <c r="W690" s="1366"/>
      <c r="X690" s="1366"/>
      <c r="Y690" s="1366"/>
      <c r="Z690" s="1366"/>
      <c r="AA690" s="1366"/>
      <c r="AB690" s="1366"/>
      <c r="AC690" s="1366"/>
      <c r="AD690" s="1366"/>
      <c r="AE690" s="1366"/>
      <c r="AF690" s="1366"/>
      <c r="AG690" s="1366"/>
      <c r="AH690" s="1366"/>
      <c r="AI690" s="1366"/>
      <c r="AJ690" s="1366"/>
      <c r="AK690" s="1366"/>
      <c r="AL690" s="1366"/>
      <c r="AM690" s="1366"/>
      <c r="AN690" s="1366"/>
      <c r="AO690" s="1366"/>
      <c r="AP690" s="1366"/>
      <c r="AQ690" s="1366"/>
      <c r="AR690" s="1366"/>
      <c r="AS690" s="1366"/>
      <c r="AT690" s="1366"/>
      <c r="AU690" s="1366"/>
      <c r="AV690" s="1366"/>
      <c r="AW690" s="1366"/>
      <c r="AX690" s="1366"/>
      <c r="AY690" s="1366"/>
      <c r="AZ690" s="1366"/>
      <c r="BA690" s="1366"/>
      <c r="BB690" s="1366"/>
      <c r="BC690" s="1366"/>
      <c r="BD690" s="1366"/>
      <c r="BE690" s="1366"/>
      <c r="BF690" s="1366"/>
      <c r="BG690" s="1366"/>
      <c r="BH690" s="1366"/>
      <c r="BI690" s="1366"/>
      <c r="BJ690" s="1366"/>
      <c r="BK690" s="1366"/>
      <c r="BL690" s="1366"/>
      <c r="BM690" s="1366"/>
      <c r="BN690" s="1366"/>
      <c r="BO690" s="1366"/>
      <c r="BP690" s="1366"/>
      <c r="BQ690" s="1366"/>
      <c r="BR690" s="1366"/>
      <c r="BS690" s="1366"/>
      <c r="BT690" s="1366"/>
      <c r="BU690" s="1366"/>
      <c r="BV690" s="1366"/>
      <c r="BW690" s="1366"/>
      <c r="BX690" s="1366"/>
      <c r="BY690" s="1366"/>
      <c r="BZ690" s="1366"/>
      <c r="CA690" s="1366"/>
      <c r="CB690" s="1366"/>
      <c r="CC690" s="1366"/>
      <c r="CD690" s="1366"/>
      <c r="CE690" s="1366"/>
      <c r="CF690" s="1366"/>
      <c r="CG690" s="1366"/>
      <c r="CH690" s="1366"/>
      <c r="CI690" s="1366"/>
      <c r="CJ690" s="1366"/>
      <c r="CK690" s="1366"/>
      <c r="CL690" s="1366"/>
      <c r="CM690" s="1366"/>
      <c r="CN690" s="1366"/>
      <c r="CO690" s="1366"/>
      <c r="CP690" s="1366"/>
      <c r="CQ690" s="1366"/>
      <c r="CR690" s="1366"/>
      <c r="CS690" s="1366"/>
      <c r="CT690" s="1366"/>
      <c r="CU690" s="1366"/>
      <c r="CV690" s="1366"/>
      <c r="CW690" s="1366"/>
      <c r="CX690" s="1366"/>
      <c r="CY690" s="1366"/>
      <c r="CZ690" s="1366"/>
      <c r="DA690" s="1366"/>
      <c r="DB690" s="1366"/>
      <c r="DC690" s="1366"/>
      <c r="DD690" s="1366"/>
      <c r="DE690" s="1366"/>
      <c r="DF690" s="1366"/>
      <c r="DG690" s="1366"/>
      <c r="DH690" s="1366"/>
      <c r="DI690" s="1366"/>
      <c r="DJ690" s="1366"/>
      <c r="DK690" s="1366"/>
      <c r="DL690" s="1366"/>
      <c r="DM690" s="1366"/>
      <c r="DN690" s="1366"/>
      <c r="DO690" s="1366"/>
      <c r="DP690" s="1366"/>
      <c r="DQ690" s="1366"/>
      <c r="DR690" s="1366"/>
      <c r="DS690" s="1366"/>
      <c r="DT690" s="1366"/>
      <c r="DU690" s="1366"/>
      <c r="DV690" s="1366"/>
    </row>
    <row r="691" spans="1:126" s="1382" customFormat="1" ht="60.75" customHeight="1">
      <c r="A691" s="2535"/>
      <c r="B691" s="1653">
        <v>2009</v>
      </c>
      <c r="C691" s="1642" t="s">
        <v>49</v>
      </c>
      <c r="D691" s="1396" t="s">
        <v>2743</v>
      </c>
      <c r="E691" s="1364" t="s">
        <v>2100</v>
      </c>
      <c r="F691" s="1364" t="s">
        <v>2108</v>
      </c>
      <c r="G691" s="1147" t="s">
        <v>2681</v>
      </c>
      <c r="H691" s="1433">
        <f>(('Equipment Results Matrix'!$N$1212*54)+('Equipment Results Matrix'!$N$1213*0.98)+'Equipment Results Matrix'!$R$1214+'Equipment Results Matrix'!$N$1216+'Equipment Results Matrix'!$T$1219)*1+((54*'Equipment Results Matrix'!$R$1194)+(85*'Equipment Results Matrix'!$R$1195)+(93*'Equipment Results Matrix'!$R$1196)+'Equipment Results Matrix'!$R$1197+'Equipment Results Matrix'!$R$1199+'Equipment Results Matrix'!$R$1201+'Equipment Results Matrix'!$R$1203+'Equipment Results Matrix'!$R$1205+'Equipment Results Matrix'!$R$1207+'Equipment Results Matrix'!$R$1209+'Equipment Results Matrix'!$T$1201)*(1+'Equipment Results Matrix'!$T$1203)*1</f>
        <v>58.508827339901487</v>
      </c>
      <c r="I691" s="1434">
        <f>('Labor Results Matrix'!$E$702+'Labor Results Matrix'!$E$703)+('Labor Results Matrix'!$E$720+'Labor Results Matrix'!$E$722)</f>
        <v>2.3858152712486929</v>
      </c>
      <c r="J691" s="1388">
        <f>'Labor Results Matrix'!$G$723*(1+AVERAGE('Labor Results Matrix'!$K$720,'Labor Results Matrix'!$K$702))</f>
        <v>72.551789358578489</v>
      </c>
      <c r="K691" s="1388">
        <f t="shared" si="252"/>
        <v>173.09516700811497</v>
      </c>
      <c r="L691" s="1388">
        <v>0</v>
      </c>
      <c r="M691" s="1388">
        <f t="shared" si="253"/>
        <v>231.60399434801644</v>
      </c>
      <c r="N691" s="1457">
        <f>M691-M690</f>
        <v>0</v>
      </c>
      <c r="O691" s="1429"/>
      <c r="P691" s="1430"/>
      <c r="Q691" s="1430"/>
      <c r="R691" s="1430"/>
      <c r="S691" s="1430"/>
      <c r="T691" s="1430"/>
      <c r="U691" s="1430"/>
      <c r="V691" s="1679"/>
      <c r="W691" s="1366"/>
      <c r="X691" s="1366"/>
      <c r="Y691" s="1366"/>
      <c r="Z691" s="1366"/>
      <c r="AA691" s="1366"/>
      <c r="AB691" s="1366"/>
      <c r="AC691" s="1366"/>
      <c r="AD691" s="1366"/>
      <c r="AE691" s="1366"/>
      <c r="AF691" s="1366"/>
      <c r="AG691" s="1366"/>
      <c r="AH691" s="1366"/>
      <c r="AI691" s="1366"/>
      <c r="AJ691" s="1366"/>
      <c r="AK691" s="1366"/>
      <c r="AL691" s="1366"/>
      <c r="AM691" s="1366"/>
      <c r="AN691" s="1366"/>
      <c r="AO691" s="1366"/>
      <c r="AP691" s="1366"/>
      <c r="AQ691" s="1366"/>
      <c r="AR691" s="1366"/>
      <c r="AS691" s="1366"/>
      <c r="AT691" s="1366"/>
      <c r="AU691" s="1366"/>
      <c r="AV691" s="1366"/>
      <c r="AW691" s="1366"/>
      <c r="AX691" s="1366"/>
      <c r="AY691" s="1366"/>
      <c r="AZ691" s="1366"/>
      <c r="BA691" s="1366"/>
      <c r="BB691" s="1366"/>
      <c r="BC691" s="1366"/>
      <c r="BD691" s="1366"/>
      <c r="BE691" s="1366"/>
      <c r="BF691" s="1366"/>
      <c r="BG691" s="1366"/>
      <c r="BH691" s="1366"/>
      <c r="BI691" s="1366"/>
      <c r="BJ691" s="1366"/>
      <c r="BK691" s="1366"/>
      <c r="BL691" s="1366"/>
      <c r="BM691" s="1366"/>
      <c r="BN691" s="1366"/>
      <c r="BO691" s="1366"/>
      <c r="BP691" s="1366"/>
      <c r="BQ691" s="1366"/>
      <c r="BR691" s="1366"/>
      <c r="BS691" s="1366"/>
      <c r="BT691" s="1366"/>
      <c r="BU691" s="1366"/>
      <c r="BV691" s="1366"/>
      <c r="BW691" s="1366"/>
      <c r="BX691" s="1366"/>
      <c r="BY691" s="1366"/>
      <c r="BZ691" s="1366"/>
      <c r="CA691" s="1366"/>
      <c r="CB691" s="1366"/>
      <c r="CC691" s="1366"/>
      <c r="CD691" s="1366"/>
      <c r="CE691" s="1366"/>
      <c r="CF691" s="1366"/>
      <c r="CG691" s="1366"/>
      <c r="CH691" s="1366"/>
      <c r="CI691" s="1366"/>
      <c r="CJ691" s="1366"/>
      <c r="CK691" s="1366"/>
      <c r="CL691" s="1366"/>
      <c r="CM691" s="1366"/>
      <c r="CN691" s="1366"/>
      <c r="CO691" s="1366"/>
      <c r="CP691" s="1366"/>
      <c r="CQ691" s="1366"/>
      <c r="CR691" s="1366"/>
      <c r="CS691" s="1366"/>
      <c r="CT691" s="1366"/>
      <c r="CU691" s="1366"/>
      <c r="CV691" s="1366"/>
      <c r="CW691" s="1366"/>
      <c r="CX691" s="1366"/>
      <c r="CY691" s="1366"/>
      <c r="CZ691" s="1366"/>
      <c r="DA691" s="1366"/>
      <c r="DB691" s="1366"/>
      <c r="DC691" s="1366"/>
      <c r="DD691" s="1366"/>
      <c r="DE691" s="1366"/>
      <c r="DF691" s="1366"/>
      <c r="DG691" s="1366"/>
      <c r="DH691" s="1366"/>
      <c r="DI691" s="1366"/>
      <c r="DJ691" s="1366"/>
      <c r="DK691" s="1366"/>
      <c r="DL691" s="1366"/>
      <c r="DM691" s="1366"/>
      <c r="DN691" s="1366"/>
      <c r="DO691" s="1366"/>
      <c r="DP691" s="1366"/>
      <c r="DQ691" s="1366"/>
      <c r="DR691" s="1366"/>
      <c r="DS691" s="1366"/>
      <c r="DT691" s="1366"/>
      <c r="DU691" s="1366"/>
      <c r="DV691" s="1366"/>
    </row>
    <row r="692" spans="1:126" s="1367" customFormat="1" ht="60.75" customHeight="1">
      <c r="A692" s="2535"/>
      <c r="B692" s="1657">
        <v>2010</v>
      </c>
      <c r="C692" s="1638" t="s">
        <v>47</v>
      </c>
      <c r="D692" s="1379" t="s">
        <v>2497</v>
      </c>
      <c r="E692" s="1365" t="s">
        <v>2100</v>
      </c>
      <c r="F692" s="1365" t="s">
        <v>2108</v>
      </c>
      <c r="G692" s="1147" t="s">
        <v>2681</v>
      </c>
      <c r="H692" s="1433">
        <f>(('Equipment Results Matrix'!$N$1212*108)+('Equipment Results Matrix'!$N$1213*0.98)+'Equipment Results Matrix'!$R$1214+'Equipment Results Matrix'!$N$1216+'Equipment Results Matrix'!$T$1219)*1+((54*'Equipment Results Matrix'!$R$1194)+(85*'Equipment Results Matrix'!$R$1195)+(93*'Equipment Results Matrix'!$R$1196)+'Equipment Results Matrix'!$R$1197+'Equipment Results Matrix'!$R$1199+'Equipment Results Matrix'!$R$1201+'Equipment Results Matrix'!$R$1203+'Equipment Results Matrix'!$R$1205+'Equipment Results Matrix'!$R$1207+'Equipment Results Matrix'!$R$1209+'Equipment Results Matrix'!$T$1201)*(1+'Equipment Results Matrix'!$T$1203)*2</f>
        <v>79.299754679802973</v>
      </c>
      <c r="I692" s="1434">
        <f>('Labor Results Matrix'!$E$702+'Labor Results Matrix'!$E$703)+('Labor Results Matrix'!$E$720+'Labor Results Matrix'!$E$722)</f>
        <v>2.3858152712486929</v>
      </c>
      <c r="J692" s="1388">
        <f>'Labor Results Matrix'!$G$723*(1+AVERAGE('Labor Results Matrix'!$K$720,'Labor Results Matrix'!$K$702))</f>
        <v>72.551789358578489</v>
      </c>
      <c r="K692" s="1388">
        <f t="shared" si="252"/>
        <v>173.09516700811497</v>
      </c>
      <c r="L692" s="1388">
        <v>0</v>
      </c>
      <c r="M692" s="1388">
        <f t="shared" si="253"/>
        <v>252.39492168791793</v>
      </c>
      <c r="N692" s="1462" t="s">
        <v>40</v>
      </c>
      <c r="O692" s="1429"/>
      <c r="P692" s="1430"/>
      <c r="Q692" s="1430"/>
      <c r="R692" s="1430"/>
      <c r="S692" s="1430"/>
      <c r="T692" s="1430"/>
      <c r="U692" s="1430"/>
      <c r="V692" s="1679"/>
      <c r="W692" s="1366"/>
      <c r="X692" s="1366"/>
      <c r="Y692" s="1366"/>
      <c r="Z692" s="1366"/>
      <c r="AA692" s="1366"/>
      <c r="AB692" s="1366"/>
      <c r="AC692" s="1366"/>
      <c r="AD692" s="1366"/>
      <c r="AE692" s="1366"/>
      <c r="AF692" s="1366"/>
      <c r="AG692" s="1366"/>
      <c r="AH692" s="1366"/>
      <c r="AI692" s="1366"/>
      <c r="AJ692" s="1366"/>
      <c r="AK692" s="1366"/>
      <c r="AL692" s="1366"/>
      <c r="AM692" s="1366"/>
      <c r="AN692" s="1366"/>
      <c r="AO692" s="1366"/>
      <c r="AP692" s="1366"/>
      <c r="AQ692" s="1366"/>
      <c r="AR692" s="1366"/>
      <c r="AS692" s="1366"/>
      <c r="AT692" s="1366"/>
      <c r="AU692" s="1366"/>
      <c r="AV692" s="1366"/>
      <c r="AW692" s="1366"/>
      <c r="AX692" s="1366"/>
      <c r="AY692" s="1366"/>
      <c r="AZ692" s="1366"/>
      <c r="BA692" s="1366"/>
      <c r="BB692" s="1366"/>
      <c r="BC692" s="1366"/>
      <c r="BD692" s="1366"/>
      <c r="BE692" s="1366"/>
      <c r="BF692" s="1366"/>
      <c r="BG692" s="1366"/>
      <c r="BH692" s="1366"/>
      <c r="BI692" s="1366"/>
      <c r="BJ692" s="1366"/>
      <c r="BK692" s="1366"/>
      <c r="BL692" s="1366"/>
      <c r="BM692" s="1366"/>
      <c r="BN692" s="1366"/>
      <c r="BO692" s="1366"/>
      <c r="BP692" s="1366"/>
      <c r="BQ692" s="1366"/>
      <c r="BR692" s="1366"/>
      <c r="BS692" s="1366"/>
      <c r="BT692" s="1366"/>
      <c r="BU692" s="1366"/>
      <c r="BV692" s="1366"/>
      <c r="BW692" s="1366"/>
      <c r="BX692" s="1366"/>
      <c r="BY692" s="1366"/>
      <c r="BZ692" s="1366"/>
      <c r="CA692" s="1366"/>
      <c r="CB692" s="1366"/>
      <c r="CC692" s="1366"/>
      <c r="CD692" s="1366"/>
      <c r="CE692" s="1366"/>
      <c r="CF692" s="1366"/>
      <c r="CG692" s="1366"/>
      <c r="CH692" s="1366"/>
      <c r="CI692" s="1366"/>
      <c r="CJ692" s="1366"/>
      <c r="CK692" s="1366"/>
      <c r="CL692" s="1366"/>
      <c r="CM692" s="1366"/>
      <c r="CN692" s="1366"/>
      <c r="CO692" s="1366"/>
      <c r="CP692" s="1366"/>
      <c r="CQ692" s="1366"/>
      <c r="CR692" s="1366"/>
      <c r="CS692" s="1366"/>
      <c r="CT692" s="1366"/>
      <c r="CU692" s="1366"/>
      <c r="CV692" s="1366"/>
      <c r="CW692" s="1366"/>
      <c r="CX692" s="1366"/>
      <c r="CY692" s="1366"/>
      <c r="CZ692" s="1366"/>
      <c r="DA692" s="1366"/>
      <c r="DB692" s="1366"/>
      <c r="DC692" s="1366"/>
      <c r="DD692" s="1366"/>
      <c r="DE692" s="1366"/>
      <c r="DF692" s="1366"/>
      <c r="DG692" s="1366"/>
      <c r="DH692" s="1366"/>
      <c r="DI692" s="1366"/>
      <c r="DJ692" s="1366"/>
      <c r="DK692" s="1366"/>
      <c r="DL692" s="1366"/>
      <c r="DM692" s="1366"/>
      <c r="DN692" s="1366"/>
      <c r="DO692" s="1366"/>
      <c r="DP692" s="1366"/>
      <c r="DQ692" s="1366"/>
      <c r="DR692" s="1366"/>
      <c r="DS692" s="1366"/>
      <c r="DT692" s="1366"/>
      <c r="DU692" s="1366"/>
      <c r="DV692" s="1366"/>
    </row>
    <row r="693" spans="1:126" s="1367" customFormat="1" ht="60.75" customHeight="1">
      <c r="A693" s="2535"/>
      <c r="B693" s="1653">
        <v>2010</v>
      </c>
      <c r="C693" s="1642" t="s">
        <v>49</v>
      </c>
      <c r="D693" s="1396" t="s">
        <v>2744</v>
      </c>
      <c r="E693" s="1364" t="s">
        <v>2100</v>
      </c>
      <c r="F693" s="1364" t="s">
        <v>2108</v>
      </c>
      <c r="G693" s="1147" t="s">
        <v>2681</v>
      </c>
      <c r="H693" s="1433">
        <f>(('Equipment Results Matrix'!$N$1212*108)+('Equipment Results Matrix'!$N$1213*0.98)+'Equipment Results Matrix'!$R$1214+'Equipment Results Matrix'!$N$1216+'Equipment Results Matrix'!$T$1219)*1+((54*'Equipment Results Matrix'!$R$1194)+(85*'Equipment Results Matrix'!$R$1195)+(93*'Equipment Results Matrix'!$R$1196)+'Equipment Results Matrix'!$R$1197+'Equipment Results Matrix'!$R$1199+'Equipment Results Matrix'!$R$1201+'Equipment Results Matrix'!$R$1203+'Equipment Results Matrix'!$R$1205+'Equipment Results Matrix'!$R$1207+'Equipment Results Matrix'!$R$1209+'Equipment Results Matrix'!$T$1201)*(1+'Equipment Results Matrix'!$T$1203)*2</f>
        <v>79.299754679802973</v>
      </c>
      <c r="I693" s="1434">
        <f>('Labor Results Matrix'!$E$702+'Labor Results Matrix'!$E$703)+('Labor Results Matrix'!$E$720+'Labor Results Matrix'!$E$722)</f>
        <v>2.3858152712486929</v>
      </c>
      <c r="J693" s="1388">
        <f>'Labor Results Matrix'!$G$723*(1+AVERAGE('Labor Results Matrix'!$K$720,'Labor Results Matrix'!$K$702))</f>
        <v>72.551789358578489</v>
      </c>
      <c r="K693" s="1388">
        <f t="shared" si="252"/>
        <v>173.09516700811497</v>
      </c>
      <c r="L693" s="1388">
        <v>0</v>
      </c>
      <c r="M693" s="1388">
        <f t="shared" si="253"/>
        <v>252.39492168791793</v>
      </c>
      <c r="N693" s="1457">
        <f>M693-M692</f>
        <v>0</v>
      </c>
      <c r="O693" s="1429"/>
      <c r="P693" s="1430"/>
      <c r="Q693" s="1430"/>
      <c r="R693" s="1430"/>
      <c r="S693" s="1430"/>
      <c r="T693" s="1430"/>
      <c r="U693" s="1430"/>
      <c r="V693" s="1679"/>
      <c r="W693" s="1366"/>
      <c r="X693" s="1366"/>
      <c r="Y693" s="1366"/>
      <c r="Z693" s="1366"/>
      <c r="AA693" s="1366"/>
      <c r="AB693" s="1366"/>
      <c r="AC693" s="1366"/>
      <c r="AD693" s="1366"/>
      <c r="AE693" s="1366"/>
      <c r="AF693" s="1366"/>
      <c r="AG693" s="1366"/>
      <c r="AH693" s="1366"/>
      <c r="AI693" s="1366"/>
      <c r="AJ693" s="1366"/>
      <c r="AK693" s="1366"/>
      <c r="AL693" s="1366"/>
      <c r="AM693" s="1366"/>
      <c r="AN693" s="1366"/>
      <c r="AO693" s="1366"/>
      <c r="AP693" s="1366"/>
      <c r="AQ693" s="1366"/>
      <c r="AR693" s="1366"/>
      <c r="AS693" s="1366"/>
      <c r="AT693" s="1366"/>
      <c r="AU693" s="1366"/>
      <c r="AV693" s="1366"/>
      <c r="AW693" s="1366"/>
      <c r="AX693" s="1366"/>
      <c r="AY693" s="1366"/>
      <c r="AZ693" s="1366"/>
      <c r="BA693" s="1366"/>
      <c r="BB693" s="1366"/>
      <c r="BC693" s="1366"/>
      <c r="BD693" s="1366"/>
      <c r="BE693" s="1366"/>
      <c r="BF693" s="1366"/>
      <c r="BG693" s="1366"/>
      <c r="BH693" s="1366"/>
      <c r="BI693" s="1366"/>
      <c r="BJ693" s="1366"/>
      <c r="BK693" s="1366"/>
      <c r="BL693" s="1366"/>
      <c r="BM693" s="1366"/>
      <c r="BN693" s="1366"/>
      <c r="BO693" s="1366"/>
      <c r="BP693" s="1366"/>
      <c r="BQ693" s="1366"/>
      <c r="BR693" s="1366"/>
      <c r="BS693" s="1366"/>
      <c r="BT693" s="1366"/>
      <c r="BU693" s="1366"/>
      <c r="BV693" s="1366"/>
      <c r="BW693" s="1366"/>
      <c r="BX693" s="1366"/>
      <c r="BY693" s="1366"/>
      <c r="BZ693" s="1366"/>
      <c r="CA693" s="1366"/>
      <c r="CB693" s="1366"/>
      <c r="CC693" s="1366"/>
      <c r="CD693" s="1366"/>
      <c r="CE693" s="1366"/>
      <c r="CF693" s="1366"/>
      <c r="CG693" s="1366"/>
      <c r="CH693" s="1366"/>
      <c r="CI693" s="1366"/>
      <c r="CJ693" s="1366"/>
      <c r="CK693" s="1366"/>
      <c r="CL693" s="1366"/>
      <c r="CM693" s="1366"/>
      <c r="CN693" s="1366"/>
      <c r="CO693" s="1366"/>
      <c r="CP693" s="1366"/>
      <c r="CQ693" s="1366"/>
      <c r="CR693" s="1366"/>
      <c r="CS693" s="1366"/>
      <c r="CT693" s="1366"/>
      <c r="CU693" s="1366"/>
      <c r="CV693" s="1366"/>
      <c r="CW693" s="1366"/>
      <c r="CX693" s="1366"/>
      <c r="CY693" s="1366"/>
      <c r="CZ693" s="1366"/>
      <c r="DA693" s="1366"/>
      <c r="DB693" s="1366"/>
      <c r="DC693" s="1366"/>
      <c r="DD693" s="1366"/>
      <c r="DE693" s="1366"/>
      <c r="DF693" s="1366"/>
      <c r="DG693" s="1366"/>
      <c r="DH693" s="1366"/>
      <c r="DI693" s="1366"/>
      <c r="DJ693" s="1366"/>
      <c r="DK693" s="1366"/>
      <c r="DL693" s="1366"/>
      <c r="DM693" s="1366"/>
      <c r="DN693" s="1366"/>
      <c r="DO693" s="1366"/>
      <c r="DP693" s="1366"/>
      <c r="DQ693" s="1366"/>
      <c r="DR693" s="1366"/>
      <c r="DS693" s="1366"/>
      <c r="DT693" s="1366"/>
      <c r="DU693" s="1366"/>
      <c r="DV693" s="1366"/>
    </row>
    <row r="694" spans="1:126" s="1367" customFormat="1" ht="45">
      <c r="A694" s="2535"/>
      <c r="B694" s="1653">
        <v>2011</v>
      </c>
      <c r="C694" s="1638" t="s">
        <v>47</v>
      </c>
      <c r="D694" s="1375" t="s">
        <v>2505</v>
      </c>
      <c r="E694" s="1364" t="s">
        <v>2102</v>
      </c>
      <c r="F694" s="1364" t="s">
        <v>2108</v>
      </c>
      <c r="G694" s="1147" t="s">
        <v>2681</v>
      </c>
      <c r="H694" s="1361">
        <f>(('Equipment Results Matrix'!$R$1143*365)+('Equipment Results Matrix'!$R$1144*65)+(3650*'Equipment Results Matrix'!$R$1145)+(76.5*'Equipment Results Matrix'!$R$1146)+'Equipment Results Matrix'!$R$1147+'Equipment Results Matrix'!$R$1150+'Equipment Results Matrix'!$R$1153+'Equipment Results Matrix'!$R$1156+'Equipment Results Matrix'!$R$1159+'Equipment Results Matrix'!$T$1150)+((18*'Equipment Results Matrix'!$R$1345)+(365*'Equipment Results Matrix'!$R$1346)+'Equipment Results Matrix'!$R$1347+'Equipment Results Matrix'!$R$1349+'Equipment Results Matrix'!$R$1351+'Equipment Results Matrix'!$R$1353+'Equipment Results Matrix'!$T$1352)</f>
        <v>242.90760012247188</v>
      </c>
      <c r="I694" s="1371">
        <f>'Labor Results Matrix'!$E$823+'Labor Results Matrix'!$E$824</f>
        <v>2.1325159377406813</v>
      </c>
      <c r="J694" s="1372">
        <f>'Labor Results Matrix'!$G$825*(1+'Labor Results Matrix'!$K$823)</f>
        <v>67.26167983080542</v>
      </c>
      <c r="K694" s="1388">
        <f t="shared" ref="K694:K707" si="254">J694*I694</f>
        <v>143.43660423840348</v>
      </c>
      <c r="L694" s="1372">
        <f>('Labor Results Matrix'!$I$826+'Labor Results Matrix'!$I$827)*(1+'Labor Results Matrix'!$K$823)</f>
        <v>43.705339500000008</v>
      </c>
      <c r="M694" s="1388">
        <f>H694+K694+L694</f>
        <v>430.04954386087536</v>
      </c>
      <c r="N694" s="1462" t="s">
        <v>40</v>
      </c>
      <c r="O694" s="1429"/>
      <c r="P694" s="1430"/>
      <c r="Q694" s="1430"/>
      <c r="R694" s="1430"/>
      <c r="S694" s="1430"/>
      <c r="T694" s="1430"/>
      <c r="U694" s="1430"/>
      <c r="V694" s="1679"/>
      <c r="W694" s="1366"/>
      <c r="X694" s="1366"/>
      <c r="Y694" s="1366"/>
      <c r="Z694" s="1366"/>
      <c r="AA694" s="1366"/>
      <c r="AB694" s="1366"/>
      <c r="AC694" s="1366"/>
      <c r="AD694" s="1366"/>
      <c r="AE694" s="1366"/>
      <c r="AF694" s="1366"/>
      <c r="AG694" s="1366"/>
      <c r="AH694" s="1366"/>
      <c r="AI694" s="1366"/>
      <c r="AJ694" s="1366"/>
      <c r="AK694" s="1366"/>
      <c r="AL694" s="1366"/>
      <c r="AM694" s="1366"/>
      <c r="AN694" s="1366"/>
      <c r="AO694" s="1366"/>
      <c r="AP694" s="1366"/>
      <c r="AQ694" s="1366"/>
      <c r="AR694" s="1366"/>
      <c r="AS694" s="1366"/>
      <c r="AT694" s="1366"/>
      <c r="AU694" s="1366"/>
      <c r="AV694" s="1366"/>
      <c r="AW694" s="1366"/>
      <c r="AX694" s="1366"/>
      <c r="AY694" s="1366"/>
      <c r="AZ694" s="1366"/>
      <c r="BA694" s="1366"/>
      <c r="BB694" s="1366"/>
      <c r="BC694" s="1366"/>
      <c r="BD694" s="1366"/>
      <c r="BE694" s="1366"/>
      <c r="BF694" s="1366"/>
      <c r="BG694" s="1366"/>
      <c r="BH694" s="1366"/>
      <c r="BI694" s="1366"/>
      <c r="BJ694" s="1366"/>
      <c r="BK694" s="1366"/>
      <c r="BL694" s="1366"/>
      <c r="BM694" s="1366"/>
      <c r="BN694" s="1366"/>
      <c r="BO694" s="1366"/>
      <c r="BP694" s="1366"/>
      <c r="BQ694" s="1366"/>
      <c r="BR694" s="1366"/>
      <c r="BS694" s="1366"/>
      <c r="BT694" s="1366"/>
      <c r="BU694" s="1366"/>
      <c r="BV694" s="1366"/>
      <c r="BW694" s="1366"/>
      <c r="BX694" s="1366"/>
      <c r="BY694" s="1366"/>
      <c r="BZ694" s="1366"/>
      <c r="CA694" s="1366"/>
      <c r="CB694" s="1366"/>
      <c r="CC694" s="1366"/>
      <c r="CD694" s="1366"/>
      <c r="CE694" s="1366"/>
      <c r="CF694" s="1366"/>
      <c r="CG694" s="1366"/>
      <c r="CH694" s="1366"/>
      <c r="CI694" s="1366"/>
      <c r="CJ694" s="1366"/>
      <c r="CK694" s="1366"/>
      <c r="CL694" s="1366"/>
      <c r="CM694" s="1366"/>
      <c r="CN694" s="1366"/>
      <c r="CO694" s="1366"/>
      <c r="CP694" s="1366"/>
      <c r="CQ694" s="1366"/>
      <c r="CR694" s="1366"/>
      <c r="CS694" s="1366"/>
      <c r="CT694" s="1366"/>
      <c r="CU694" s="1366"/>
      <c r="CV694" s="1366"/>
      <c r="CW694" s="1366"/>
      <c r="CX694" s="1366"/>
      <c r="CY694" s="1366"/>
      <c r="CZ694" s="1366"/>
      <c r="DA694" s="1366"/>
      <c r="DB694" s="1366"/>
      <c r="DC694" s="1366"/>
      <c r="DD694" s="1366"/>
      <c r="DE694" s="1366"/>
      <c r="DF694" s="1366"/>
      <c r="DG694" s="1366"/>
      <c r="DH694" s="1366"/>
      <c r="DI694" s="1366"/>
      <c r="DJ694" s="1366"/>
      <c r="DK694" s="1366"/>
      <c r="DL694" s="1366"/>
      <c r="DM694" s="1366"/>
      <c r="DN694" s="1366"/>
      <c r="DO694" s="1366"/>
      <c r="DP694" s="1366"/>
      <c r="DQ694" s="1366"/>
      <c r="DR694" s="1366"/>
      <c r="DS694" s="1366"/>
      <c r="DT694" s="1366"/>
      <c r="DU694" s="1366"/>
      <c r="DV694" s="1366"/>
    </row>
    <row r="695" spans="1:126" s="1367" customFormat="1" ht="60">
      <c r="A695" s="2535"/>
      <c r="B695" s="1653">
        <v>2011</v>
      </c>
      <c r="C695" s="1642" t="s">
        <v>49</v>
      </c>
      <c r="D695" s="1375" t="s">
        <v>2506</v>
      </c>
      <c r="E695" s="1364" t="s">
        <v>2102</v>
      </c>
      <c r="F695" s="1364" t="s">
        <v>2108</v>
      </c>
      <c r="G695" s="1147" t="s">
        <v>2681</v>
      </c>
      <c r="H695" s="1433">
        <f>(('Equipment Results Matrix'!$N$1212*216)+('Equipment Results Matrix'!$N$1213*0.98)+'Equipment Results Matrix'!$R$1214+'Equipment Results Matrix'!$N$1216+'Equipment Results Matrix'!$T$1219)*1+((54*'Equipment Results Matrix'!$R$1194)+(85*'Equipment Results Matrix'!$R$1195)+(93*'Equipment Results Matrix'!$R$1196)+'Equipment Results Matrix'!$R$1197+'Equipment Results Matrix'!$R$1199+'Equipment Results Matrix'!$R$1201+'Equipment Results Matrix'!$R$1203+'Equipment Results Matrix'!$R$1205+'Equipment Results Matrix'!$R$1207+'Equipment Results Matrix'!$R$1209+'Equipment Results Matrix'!$T$1201)*(1+'Equipment Results Matrix'!$T$1203)*4</f>
        <v>120.88160935960593</v>
      </c>
      <c r="I695" s="1371">
        <f>'Labor Results Matrix'!$E$823+'Labor Results Matrix'!$E$824</f>
        <v>2.1325159377406813</v>
      </c>
      <c r="J695" s="1372">
        <f>'Labor Results Matrix'!$G$825*(1+'Labor Results Matrix'!$K$823)</f>
        <v>67.26167983080542</v>
      </c>
      <c r="K695" s="1388">
        <f t="shared" si="254"/>
        <v>143.43660423840348</v>
      </c>
      <c r="L695" s="1372">
        <f>('Labor Results Matrix'!$I$826+'Labor Results Matrix'!$I$827)*(1+'Labor Results Matrix'!$K$823)</f>
        <v>43.705339500000008</v>
      </c>
      <c r="M695" s="1388">
        <f>H695+K695+L695</f>
        <v>308.02355309800942</v>
      </c>
      <c r="N695" s="1458">
        <f>M695-M694</f>
        <v>-122.02599076286594</v>
      </c>
      <c r="O695" s="1429"/>
      <c r="P695" s="1430"/>
      <c r="Q695" s="1430"/>
      <c r="R695" s="1430"/>
      <c r="S695" s="1430"/>
      <c r="T695" s="1430"/>
      <c r="U695" s="1430"/>
      <c r="V695" s="1679"/>
      <c r="W695" s="1366"/>
      <c r="X695" s="1366"/>
      <c r="Y695" s="1366"/>
      <c r="Z695" s="1366"/>
      <c r="AA695" s="1366"/>
      <c r="AB695" s="1366"/>
      <c r="AC695" s="1366"/>
      <c r="AD695" s="1366"/>
      <c r="AE695" s="1366"/>
      <c r="AF695" s="1366"/>
      <c r="AG695" s="1366"/>
      <c r="AH695" s="1366"/>
      <c r="AI695" s="1366"/>
      <c r="AJ695" s="1366"/>
      <c r="AK695" s="1366"/>
      <c r="AL695" s="1366"/>
      <c r="AM695" s="1366"/>
      <c r="AN695" s="1366"/>
      <c r="AO695" s="1366"/>
      <c r="AP695" s="1366"/>
      <c r="AQ695" s="1366"/>
      <c r="AR695" s="1366"/>
      <c r="AS695" s="1366"/>
      <c r="AT695" s="1366"/>
      <c r="AU695" s="1366"/>
      <c r="AV695" s="1366"/>
      <c r="AW695" s="1366"/>
      <c r="AX695" s="1366"/>
      <c r="AY695" s="1366"/>
      <c r="AZ695" s="1366"/>
      <c r="BA695" s="1366"/>
      <c r="BB695" s="1366"/>
      <c r="BC695" s="1366"/>
      <c r="BD695" s="1366"/>
      <c r="BE695" s="1366"/>
      <c r="BF695" s="1366"/>
      <c r="BG695" s="1366"/>
      <c r="BH695" s="1366"/>
      <c r="BI695" s="1366"/>
      <c r="BJ695" s="1366"/>
      <c r="BK695" s="1366"/>
      <c r="BL695" s="1366"/>
      <c r="BM695" s="1366"/>
      <c r="BN695" s="1366"/>
      <c r="BO695" s="1366"/>
      <c r="BP695" s="1366"/>
      <c r="BQ695" s="1366"/>
      <c r="BR695" s="1366"/>
      <c r="BS695" s="1366"/>
      <c r="BT695" s="1366"/>
      <c r="BU695" s="1366"/>
      <c r="BV695" s="1366"/>
      <c r="BW695" s="1366"/>
      <c r="BX695" s="1366"/>
      <c r="BY695" s="1366"/>
      <c r="BZ695" s="1366"/>
      <c r="CA695" s="1366"/>
      <c r="CB695" s="1366"/>
      <c r="CC695" s="1366"/>
      <c r="CD695" s="1366"/>
      <c r="CE695" s="1366"/>
      <c r="CF695" s="1366"/>
      <c r="CG695" s="1366"/>
      <c r="CH695" s="1366"/>
      <c r="CI695" s="1366"/>
      <c r="CJ695" s="1366"/>
      <c r="CK695" s="1366"/>
      <c r="CL695" s="1366"/>
      <c r="CM695" s="1366"/>
      <c r="CN695" s="1366"/>
      <c r="CO695" s="1366"/>
      <c r="CP695" s="1366"/>
      <c r="CQ695" s="1366"/>
      <c r="CR695" s="1366"/>
      <c r="CS695" s="1366"/>
      <c r="CT695" s="1366"/>
      <c r="CU695" s="1366"/>
      <c r="CV695" s="1366"/>
      <c r="CW695" s="1366"/>
      <c r="CX695" s="1366"/>
      <c r="CY695" s="1366"/>
      <c r="CZ695" s="1366"/>
      <c r="DA695" s="1366"/>
      <c r="DB695" s="1366"/>
      <c r="DC695" s="1366"/>
      <c r="DD695" s="1366"/>
      <c r="DE695" s="1366"/>
      <c r="DF695" s="1366"/>
      <c r="DG695" s="1366"/>
      <c r="DH695" s="1366"/>
      <c r="DI695" s="1366"/>
      <c r="DJ695" s="1366"/>
      <c r="DK695" s="1366"/>
      <c r="DL695" s="1366"/>
      <c r="DM695" s="1366"/>
      <c r="DN695" s="1366"/>
      <c r="DO695" s="1366"/>
      <c r="DP695" s="1366"/>
      <c r="DQ695" s="1366"/>
      <c r="DR695" s="1366"/>
      <c r="DS695" s="1366"/>
      <c r="DT695" s="1366"/>
      <c r="DU695" s="1366"/>
      <c r="DV695" s="1366"/>
    </row>
    <row r="696" spans="1:126" s="1367" customFormat="1" ht="45">
      <c r="A696" s="2535"/>
      <c r="B696" s="1653">
        <v>2012</v>
      </c>
      <c r="C696" s="1638" t="s">
        <v>47</v>
      </c>
      <c r="D696" s="1375" t="s">
        <v>2507</v>
      </c>
      <c r="E696" s="1364" t="s">
        <v>2102</v>
      </c>
      <c r="F696" s="1364" t="s">
        <v>2108</v>
      </c>
      <c r="G696" s="1147" t="s">
        <v>2681</v>
      </c>
      <c r="H696" s="1361">
        <f>(('Equipment Results Matrix'!$R$1143*456)+('Equipment Results Matrix'!$R$1144*65)+(3650*'Equipment Results Matrix'!$R$1145)+(76.5*'Equipment Results Matrix'!$R$1146)+'Equipment Results Matrix'!$R$1147+'Equipment Results Matrix'!$R$1150+'Equipment Results Matrix'!$R$1153+'Equipment Results Matrix'!$R$1156+'Equipment Results Matrix'!$R$1159+'Equipment Results Matrix'!$T$1150)+((18*'Equipment Results Matrix'!$R$1345)+(365*'Equipment Results Matrix'!$R$1346)+'Equipment Results Matrix'!$R$1347+'Equipment Results Matrix'!$R$1349+'Equipment Results Matrix'!$R$1351+'Equipment Results Matrix'!$R$1353+'Equipment Results Matrix'!$T$1352)</f>
        <v>244.62586212247191</v>
      </c>
      <c r="I696" s="1371">
        <f>'Labor Results Matrix'!$E$823+'Labor Results Matrix'!$E$824</f>
        <v>2.1325159377406813</v>
      </c>
      <c r="J696" s="1372">
        <f>'Labor Results Matrix'!$G$825*(1+'Labor Results Matrix'!$K$823)</f>
        <v>67.26167983080542</v>
      </c>
      <c r="K696" s="1388">
        <f t="shared" si="254"/>
        <v>143.43660423840348</v>
      </c>
      <c r="L696" s="1372">
        <f>('Labor Results Matrix'!$I$826+'Labor Results Matrix'!$I$827)*(1+'Labor Results Matrix'!$K$823)</f>
        <v>43.705339500000008</v>
      </c>
      <c r="M696" s="1388">
        <f>H696+K696+L696</f>
        <v>431.76780586087546</v>
      </c>
      <c r="N696" s="1462" t="s">
        <v>40</v>
      </c>
      <c r="O696" s="1429"/>
      <c r="P696" s="1430"/>
      <c r="Q696" s="1430"/>
      <c r="R696" s="1430"/>
      <c r="S696" s="1430"/>
      <c r="T696" s="1430"/>
      <c r="U696" s="1430"/>
      <c r="V696" s="1679"/>
      <c r="W696" s="1366"/>
      <c r="X696" s="1366"/>
      <c r="Y696" s="1366"/>
      <c r="Z696" s="1366"/>
      <c r="AA696" s="1366"/>
      <c r="AB696" s="1366"/>
      <c r="AC696" s="1366"/>
      <c r="AD696" s="1366"/>
      <c r="AE696" s="1366"/>
      <c r="AF696" s="1366"/>
      <c r="AG696" s="1366"/>
      <c r="AH696" s="1366"/>
      <c r="AI696" s="1366"/>
      <c r="AJ696" s="1366"/>
      <c r="AK696" s="1366"/>
      <c r="AL696" s="1366"/>
      <c r="AM696" s="1366"/>
      <c r="AN696" s="1366"/>
      <c r="AO696" s="1366"/>
      <c r="AP696" s="1366"/>
      <c r="AQ696" s="1366"/>
      <c r="AR696" s="1366"/>
      <c r="AS696" s="1366"/>
      <c r="AT696" s="1366"/>
      <c r="AU696" s="1366"/>
      <c r="AV696" s="1366"/>
      <c r="AW696" s="1366"/>
      <c r="AX696" s="1366"/>
      <c r="AY696" s="1366"/>
      <c r="AZ696" s="1366"/>
      <c r="BA696" s="1366"/>
      <c r="BB696" s="1366"/>
      <c r="BC696" s="1366"/>
      <c r="BD696" s="1366"/>
      <c r="BE696" s="1366"/>
      <c r="BF696" s="1366"/>
      <c r="BG696" s="1366"/>
      <c r="BH696" s="1366"/>
      <c r="BI696" s="1366"/>
      <c r="BJ696" s="1366"/>
      <c r="BK696" s="1366"/>
      <c r="BL696" s="1366"/>
      <c r="BM696" s="1366"/>
      <c r="BN696" s="1366"/>
      <c r="BO696" s="1366"/>
      <c r="BP696" s="1366"/>
      <c r="BQ696" s="1366"/>
      <c r="BR696" s="1366"/>
      <c r="BS696" s="1366"/>
      <c r="BT696" s="1366"/>
      <c r="BU696" s="1366"/>
      <c r="BV696" s="1366"/>
      <c r="BW696" s="1366"/>
      <c r="BX696" s="1366"/>
      <c r="BY696" s="1366"/>
      <c r="BZ696" s="1366"/>
      <c r="CA696" s="1366"/>
      <c r="CB696" s="1366"/>
      <c r="CC696" s="1366"/>
      <c r="CD696" s="1366"/>
      <c r="CE696" s="1366"/>
      <c r="CF696" s="1366"/>
      <c r="CG696" s="1366"/>
      <c r="CH696" s="1366"/>
      <c r="CI696" s="1366"/>
      <c r="CJ696" s="1366"/>
      <c r="CK696" s="1366"/>
      <c r="CL696" s="1366"/>
      <c r="CM696" s="1366"/>
      <c r="CN696" s="1366"/>
      <c r="CO696" s="1366"/>
      <c r="CP696" s="1366"/>
      <c r="CQ696" s="1366"/>
      <c r="CR696" s="1366"/>
      <c r="CS696" s="1366"/>
      <c r="CT696" s="1366"/>
      <c r="CU696" s="1366"/>
      <c r="CV696" s="1366"/>
      <c r="CW696" s="1366"/>
      <c r="CX696" s="1366"/>
      <c r="CY696" s="1366"/>
      <c r="CZ696" s="1366"/>
      <c r="DA696" s="1366"/>
      <c r="DB696" s="1366"/>
      <c r="DC696" s="1366"/>
      <c r="DD696" s="1366"/>
      <c r="DE696" s="1366"/>
      <c r="DF696" s="1366"/>
      <c r="DG696" s="1366"/>
      <c r="DH696" s="1366"/>
      <c r="DI696" s="1366"/>
      <c r="DJ696" s="1366"/>
      <c r="DK696" s="1366"/>
      <c r="DL696" s="1366"/>
      <c r="DM696" s="1366"/>
      <c r="DN696" s="1366"/>
      <c r="DO696" s="1366"/>
      <c r="DP696" s="1366"/>
      <c r="DQ696" s="1366"/>
      <c r="DR696" s="1366"/>
      <c r="DS696" s="1366"/>
      <c r="DT696" s="1366"/>
      <c r="DU696" s="1366"/>
      <c r="DV696" s="1366"/>
    </row>
    <row r="697" spans="1:126" s="1367" customFormat="1" ht="60">
      <c r="A697" s="2535"/>
      <c r="B697" s="1653">
        <v>2012</v>
      </c>
      <c r="C697" s="1642" t="s">
        <v>49</v>
      </c>
      <c r="D697" s="1375" t="s">
        <v>2508</v>
      </c>
      <c r="E697" s="1364" t="s">
        <v>2102</v>
      </c>
      <c r="F697" s="1364" t="s">
        <v>2108</v>
      </c>
      <c r="G697" s="1147" t="s">
        <v>2681</v>
      </c>
      <c r="H697" s="1433">
        <f>(('Equipment Results Matrix'!$N$1212*324)+('Equipment Results Matrix'!$N$1213*0.98)+'Equipment Results Matrix'!$R$1214+'Equipment Results Matrix'!$N$1216+'Equipment Results Matrix'!$T$1219)*2+((54*'Equipment Results Matrix'!$R$1194)+(85*'Equipment Results Matrix'!$R$1195)+(93*'Equipment Results Matrix'!$R$1196)+'Equipment Results Matrix'!$R$1197+'Equipment Results Matrix'!$R$1199+'Equipment Results Matrix'!$R$1201+'Equipment Results Matrix'!$R$1203+'Equipment Results Matrix'!$R$1205+'Equipment Results Matrix'!$R$1207+'Equipment Results Matrix'!$R$1209+'Equipment Results Matrix'!$T$1201)*(1+'Equipment Results Matrix'!$T$1203)*6</f>
        <v>252.34536403940888</v>
      </c>
      <c r="I697" s="1371">
        <f>'Labor Results Matrix'!$E$823+'Labor Results Matrix'!$E$824</f>
        <v>2.1325159377406813</v>
      </c>
      <c r="J697" s="1372">
        <f>'Labor Results Matrix'!$G$825*(1+'Labor Results Matrix'!$K$823)</f>
        <v>67.26167983080542</v>
      </c>
      <c r="K697" s="1388">
        <f t="shared" si="254"/>
        <v>143.43660423840348</v>
      </c>
      <c r="L697" s="1372">
        <f>('Labor Results Matrix'!$I$826+'Labor Results Matrix'!$I$827)*(1+'Labor Results Matrix'!$K$823)</f>
        <v>43.705339500000008</v>
      </c>
      <c r="M697" s="1388">
        <f>H697+K697+L697</f>
        <v>439.48730777781236</v>
      </c>
      <c r="N697" s="1458">
        <f>M697-M696</f>
        <v>7.7195019169369061</v>
      </c>
      <c r="O697" s="1429"/>
      <c r="P697" s="1430"/>
      <c r="Q697" s="1430"/>
      <c r="R697" s="1430"/>
      <c r="S697" s="1430"/>
      <c r="T697" s="1430"/>
      <c r="U697" s="1430"/>
      <c r="V697" s="1679"/>
      <c r="W697" s="1366"/>
      <c r="X697" s="1366"/>
      <c r="Y697" s="1366"/>
      <c r="Z697" s="1366"/>
      <c r="AA697" s="1366"/>
      <c r="AB697" s="1366"/>
      <c r="AC697" s="1366"/>
      <c r="AD697" s="1366"/>
      <c r="AE697" s="1366"/>
      <c r="AF697" s="1366"/>
      <c r="AG697" s="1366"/>
      <c r="AH697" s="1366"/>
      <c r="AI697" s="1366"/>
      <c r="AJ697" s="1366"/>
      <c r="AK697" s="1366"/>
      <c r="AL697" s="1366"/>
      <c r="AM697" s="1366"/>
      <c r="AN697" s="1366"/>
      <c r="AO697" s="1366"/>
      <c r="AP697" s="1366"/>
      <c r="AQ697" s="1366"/>
      <c r="AR697" s="1366"/>
      <c r="AS697" s="1366"/>
      <c r="AT697" s="1366"/>
      <c r="AU697" s="1366"/>
      <c r="AV697" s="1366"/>
      <c r="AW697" s="1366"/>
      <c r="AX697" s="1366"/>
      <c r="AY697" s="1366"/>
      <c r="AZ697" s="1366"/>
      <c r="BA697" s="1366"/>
      <c r="BB697" s="1366"/>
      <c r="BC697" s="1366"/>
      <c r="BD697" s="1366"/>
      <c r="BE697" s="1366"/>
      <c r="BF697" s="1366"/>
      <c r="BG697" s="1366"/>
      <c r="BH697" s="1366"/>
      <c r="BI697" s="1366"/>
      <c r="BJ697" s="1366"/>
      <c r="BK697" s="1366"/>
      <c r="BL697" s="1366"/>
      <c r="BM697" s="1366"/>
      <c r="BN697" s="1366"/>
      <c r="BO697" s="1366"/>
      <c r="BP697" s="1366"/>
      <c r="BQ697" s="1366"/>
      <c r="BR697" s="1366"/>
      <c r="BS697" s="1366"/>
      <c r="BT697" s="1366"/>
      <c r="BU697" s="1366"/>
      <c r="BV697" s="1366"/>
      <c r="BW697" s="1366"/>
      <c r="BX697" s="1366"/>
      <c r="BY697" s="1366"/>
      <c r="BZ697" s="1366"/>
      <c r="CA697" s="1366"/>
      <c r="CB697" s="1366"/>
      <c r="CC697" s="1366"/>
      <c r="CD697" s="1366"/>
      <c r="CE697" s="1366"/>
      <c r="CF697" s="1366"/>
      <c r="CG697" s="1366"/>
      <c r="CH697" s="1366"/>
      <c r="CI697" s="1366"/>
      <c r="CJ697" s="1366"/>
      <c r="CK697" s="1366"/>
      <c r="CL697" s="1366"/>
      <c r="CM697" s="1366"/>
      <c r="CN697" s="1366"/>
      <c r="CO697" s="1366"/>
      <c r="CP697" s="1366"/>
      <c r="CQ697" s="1366"/>
      <c r="CR697" s="1366"/>
      <c r="CS697" s="1366"/>
      <c r="CT697" s="1366"/>
      <c r="CU697" s="1366"/>
      <c r="CV697" s="1366"/>
      <c r="CW697" s="1366"/>
      <c r="CX697" s="1366"/>
      <c r="CY697" s="1366"/>
      <c r="CZ697" s="1366"/>
      <c r="DA697" s="1366"/>
      <c r="DB697" s="1366"/>
      <c r="DC697" s="1366"/>
      <c r="DD697" s="1366"/>
      <c r="DE697" s="1366"/>
      <c r="DF697" s="1366"/>
      <c r="DG697" s="1366"/>
      <c r="DH697" s="1366"/>
      <c r="DI697" s="1366"/>
      <c r="DJ697" s="1366"/>
      <c r="DK697" s="1366"/>
      <c r="DL697" s="1366"/>
      <c r="DM697" s="1366"/>
      <c r="DN697" s="1366"/>
      <c r="DO697" s="1366"/>
      <c r="DP697" s="1366"/>
      <c r="DQ697" s="1366"/>
      <c r="DR697" s="1366"/>
      <c r="DS697" s="1366"/>
      <c r="DT697" s="1366"/>
      <c r="DU697" s="1366"/>
      <c r="DV697" s="1366"/>
    </row>
    <row r="698" spans="1:126" s="1367" customFormat="1" ht="60" customHeight="1">
      <c r="A698" s="2535"/>
      <c r="B698" s="1653">
        <v>2013</v>
      </c>
      <c r="C698" s="1638" t="s">
        <v>47</v>
      </c>
      <c r="D698" s="1379" t="s">
        <v>2504</v>
      </c>
      <c r="E698" s="1364" t="s">
        <v>2100</v>
      </c>
      <c r="F698" s="1364" t="s">
        <v>2108</v>
      </c>
      <c r="G698" s="1147" t="s">
        <v>2681</v>
      </c>
      <c r="H698" s="1433">
        <f>(('Equipment Results Matrix'!$N$1212*324)+('Equipment Results Matrix'!$N$1213*0.98)+'Equipment Results Matrix'!$R$1214+'Equipment Results Matrix'!$N$1216+'Equipment Results Matrix'!$T$1219)*2+((54*'Equipment Results Matrix'!$R$1194)+(85*'Equipment Results Matrix'!$R$1195)+(93*'Equipment Results Matrix'!$R$1196)+'Equipment Results Matrix'!$R$1197+'Equipment Results Matrix'!$R$1199+'Equipment Results Matrix'!$R$1201+'Equipment Results Matrix'!$R$1203+'Equipment Results Matrix'!$R$1205+'Equipment Results Matrix'!$R$1207+'Equipment Results Matrix'!$R$1209+'Equipment Results Matrix'!$T$1201)*(1+'Equipment Results Matrix'!$T$1203)*6</f>
        <v>252.34536403940888</v>
      </c>
      <c r="I698" s="1434">
        <f>('Labor Results Matrix'!$E$702+'Labor Results Matrix'!$E$703)+('Labor Results Matrix'!$E$720+'Labor Results Matrix'!$E$722)*2</f>
        <v>3.307708564281973</v>
      </c>
      <c r="J698" s="1388">
        <f>'Labor Results Matrix'!$G$723*(1+AVERAGE('Labor Results Matrix'!$K$720,'Labor Results Matrix'!$K$702))</f>
        <v>72.551789358578489</v>
      </c>
      <c r="K698" s="1388">
        <f t="shared" si="254"/>
        <v>239.98017501535179</v>
      </c>
      <c r="L698" s="1388">
        <v>0</v>
      </c>
      <c r="M698" s="1388">
        <f>H698+K698</f>
        <v>492.32553905476067</v>
      </c>
      <c r="N698" s="1462" t="s">
        <v>40</v>
      </c>
      <c r="O698" s="1429"/>
      <c r="P698" s="1430"/>
      <c r="Q698" s="1430"/>
      <c r="R698" s="1430"/>
      <c r="S698" s="1430"/>
      <c r="T698" s="1430"/>
      <c r="U698" s="1430"/>
      <c r="V698" s="1679"/>
      <c r="W698" s="1366"/>
      <c r="X698" s="1366"/>
      <c r="Y698" s="1366"/>
      <c r="Z698" s="1366"/>
      <c r="AA698" s="1366"/>
      <c r="AB698" s="1366"/>
      <c r="AC698" s="1366"/>
      <c r="AD698" s="1366"/>
      <c r="AE698" s="1366"/>
      <c r="AF698" s="1366"/>
      <c r="AG698" s="1366"/>
      <c r="AH698" s="1366"/>
      <c r="AI698" s="1366"/>
      <c r="AJ698" s="1366"/>
      <c r="AK698" s="1366"/>
      <c r="AL698" s="1366"/>
      <c r="AM698" s="1366"/>
      <c r="AN698" s="1366"/>
      <c r="AO698" s="1366"/>
      <c r="AP698" s="1366"/>
      <c r="AQ698" s="1366"/>
      <c r="AR698" s="1366"/>
      <c r="AS698" s="1366"/>
      <c r="AT698" s="1366"/>
      <c r="AU698" s="1366"/>
      <c r="AV698" s="1366"/>
      <c r="AW698" s="1366"/>
      <c r="AX698" s="1366"/>
      <c r="AY698" s="1366"/>
      <c r="AZ698" s="1366"/>
      <c r="BA698" s="1366"/>
      <c r="BB698" s="1366"/>
      <c r="BC698" s="1366"/>
      <c r="BD698" s="1366"/>
      <c r="BE698" s="1366"/>
      <c r="BF698" s="1366"/>
      <c r="BG698" s="1366"/>
      <c r="BH698" s="1366"/>
      <c r="BI698" s="1366"/>
      <c r="BJ698" s="1366"/>
      <c r="BK698" s="1366"/>
      <c r="BL698" s="1366"/>
      <c r="BM698" s="1366"/>
      <c r="BN698" s="1366"/>
      <c r="BO698" s="1366"/>
      <c r="BP698" s="1366"/>
      <c r="BQ698" s="1366"/>
      <c r="BR698" s="1366"/>
      <c r="BS698" s="1366"/>
      <c r="BT698" s="1366"/>
      <c r="BU698" s="1366"/>
      <c r="BV698" s="1366"/>
      <c r="BW698" s="1366"/>
      <c r="BX698" s="1366"/>
      <c r="BY698" s="1366"/>
      <c r="BZ698" s="1366"/>
      <c r="CA698" s="1366"/>
      <c r="CB698" s="1366"/>
      <c r="CC698" s="1366"/>
      <c r="CD698" s="1366"/>
      <c r="CE698" s="1366"/>
      <c r="CF698" s="1366"/>
      <c r="CG698" s="1366"/>
      <c r="CH698" s="1366"/>
      <c r="CI698" s="1366"/>
      <c r="CJ698" s="1366"/>
      <c r="CK698" s="1366"/>
      <c r="CL698" s="1366"/>
      <c r="CM698" s="1366"/>
      <c r="CN698" s="1366"/>
      <c r="CO698" s="1366"/>
      <c r="CP698" s="1366"/>
      <c r="CQ698" s="1366"/>
      <c r="CR698" s="1366"/>
      <c r="CS698" s="1366"/>
      <c r="CT698" s="1366"/>
      <c r="CU698" s="1366"/>
      <c r="CV698" s="1366"/>
      <c r="CW698" s="1366"/>
      <c r="CX698" s="1366"/>
      <c r="CY698" s="1366"/>
      <c r="CZ698" s="1366"/>
      <c r="DA698" s="1366"/>
      <c r="DB698" s="1366"/>
      <c r="DC698" s="1366"/>
      <c r="DD698" s="1366"/>
      <c r="DE698" s="1366"/>
      <c r="DF698" s="1366"/>
      <c r="DG698" s="1366"/>
      <c r="DH698" s="1366"/>
      <c r="DI698" s="1366"/>
      <c r="DJ698" s="1366"/>
      <c r="DK698" s="1366"/>
      <c r="DL698" s="1366"/>
      <c r="DM698" s="1366"/>
      <c r="DN698" s="1366"/>
      <c r="DO698" s="1366"/>
      <c r="DP698" s="1366"/>
      <c r="DQ698" s="1366"/>
      <c r="DR698" s="1366"/>
      <c r="DS698" s="1366"/>
      <c r="DT698" s="1366"/>
      <c r="DU698" s="1366"/>
      <c r="DV698" s="1366"/>
    </row>
    <row r="699" spans="1:126" s="1367" customFormat="1" ht="60" customHeight="1">
      <c r="A699" s="2535"/>
      <c r="B699" s="1653">
        <v>2013</v>
      </c>
      <c r="C699" s="1642" t="s">
        <v>49</v>
      </c>
      <c r="D699" s="1396" t="s">
        <v>2745</v>
      </c>
      <c r="E699" s="1364" t="s">
        <v>2100</v>
      </c>
      <c r="F699" s="1364" t="s">
        <v>2108</v>
      </c>
      <c r="G699" s="1147" t="s">
        <v>2681</v>
      </c>
      <c r="H699" s="1433">
        <f>(('Equipment Results Matrix'!$N$1212*324)+('Equipment Results Matrix'!$N$1213*0.98)+'Equipment Results Matrix'!$R$1214+'Equipment Results Matrix'!$N$1216+'Equipment Results Matrix'!$T$1219)*2+((54*'Equipment Results Matrix'!$R$1194)+(85*'Equipment Results Matrix'!$R$1195)+(93*'Equipment Results Matrix'!$R$1196)+'Equipment Results Matrix'!$R$1197+'Equipment Results Matrix'!$R$1199+'Equipment Results Matrix'!$R$1201+'Equipment Results Matrix'!$R$1203+'Equipment Results Matrix'!$R$1205+'Equipment Results Matrix'!$R$1207+'Equipment Results Matrix'!$R$1209+'Equipment Results Matrix'!$T$1201)*(1+'Equipment Results Matrix'!$T$1203)*6</f>
        <v>252.34536403940888</v>
      </c>
      <c r="I699" s="1434">
        <f>('Labor Results Matrix'!$E$702+'Labor Results Matrix'!$E$703)+('Labor Results Matrix'!$E$720+'Labor Results Matrix'!$E$722)</f>
        <v>2.3858152712486929</v>
      </c>
      <c r="J699" s="1388">
        <f>'Labor Results Matrix'!$G$723*(1+AVERAGE('Labor Results Matrix'!$K$720,'Labor Results Matrix'!$K$702))</f>
        <v>72.551789358578489</v>
      </c>
      <c r="K699" s="1388">
        <f t="shared" si="254"/>
        <v>173.09516700811497</v>
      </c>
      <c r="L699" s="1388">
        <v>0</v>
      </c>
      <c r="M699" s="1388">
        <f>H699+K699</f>
        <v>425.44053104752385</v>
      </c>
      <c r="N699" s="1458">
        <f>M699-M698</f>
        <v>-66.88500800723682</v>
      </c>
      <c r="O699" s="1429"/>
      <c r="P699" s="1430"/>
      <c r="Q699" s="1430"/>
      <c r="R699" s="1430"/>
      <c r="S699" s="1430"/>
      <c r="T699" s="1430"/>
      <c r="U699" s="1430"/>
      <c r="V699" s="1679"/>
      <c r="W699" s="1366"/>
      <c r="X699" s="1366"/>
      <c r="Y699" s="1366"/>
      <c r="Z699" s="1366"/>
      <c r="AA699" s="1366"/>
      <c r="AB699" s="1366"/>
      <c r="AC699" s="1366"/>
      <c r="AD699" s="1366"/>
      <c r="AE699" s="1366"/>
      <c r="AF699" s="1366"/>
      <c r="AG699" s="1366"/>
      <c r="AH699" s="1366"/>
      <c r="AI699" s="1366"/>
      <c r="AJ699" s="1366"/>
      <c r="AK699" s="1366"/>
      <c r="AL699" s="1366"/>
      <c r="AM699" s="1366"/>
      <c r="AN699" s="1366"/>
      <c r="AO699" s="1366"/>
      <c r="AP699" s="1366"/>
      <c r="AQ699" s="1366"/>
      <c r="AR699" s="1366"/>
      <c r="AS699" s="1366"/>
      <c r="AT699" s="1366"/>
      <c r="AU699" s="1366"/>
      <c r="AV699" s="1366"/>
      <c r="AW699" s="1366"/>
      <c r="AX699" s="1366"/>
      <c r="AY699" s="1366"/>
      <c r="AZ699" s="1366"/>
      <c r="BA699" s="1366"/>
      <c r="BB699" s="1366"/>
      <c r="BC699" s="1366"/>
      <c r="BD699" s="1366"/>
      <c r="BE699" s="1366"/>
      <c r="BF699" s="1366"/>
      <c r="BG699" s="1366"/>
      <c r="BH699" s="1366"/>
      <c r="BI699" s="1366"/>
      <c r="BJ699" s="1366"/>
      <c r="BK699" s="1366"/>
      <c r="BL699" s="1366"/>
      <c r="BM699" s="1366"/>
      <c r="BN699" s="1366"/>
      <c r="BO699" s="1366"/>
      <c r="BP699" s="1366"/>
      <c r="BQ699" s="1366"/>
      <c r="BR699" s="1366"/>
      <c r="BS699" s="1366"/>
      <c r="BT699" s="1366"/>
      <c r="BU699" s="1366"/>
      <c r="BV699" s="1366"/>
      <c r="BW699" s="1366"/>
      <c r="BX699" s="1366"/>
      <c r="BY699" s="1366"/>
      <c r="BZ699" s="1366"/>
      <c r="CA699" s="1366"/>
      <c r="CB699" s="1366"/>
      <c r="CC699" s="1366"/>
      <c r="CD699" s="1366"/>
      <c r="CE699" s="1366"/>
      <c r="CF699" s="1366"/>
      <c r="CG699" s="1366"/>
      <c r="CH699" s="1366"/>
      <c r="CI699" s="1366"/>
      <c r="CJ699" s="1366"/>
      <c r="CK699" s="1366"/>
      <c r="CL699" s="1366"/>
      <c r="CM699" s="1366"/>
      <c r="CN699" s="1366"/>
      <c r="CO699" s="1366"/>
      <c r="CP699" s="1366"/>
      <c r="CQ699" s="1366"/>
      <c r="CR699" s="1366"/>
      <c r="CS699" s="1366"/>
      <c r="CT699" s="1366"/>
      <c r="CU699" s="1366"/>
      <c r="CV699" s="1366"/>
      <c r="CW699" s="1366"/>
      <c r="CX699" s="1366"/>
      <c r="CY699" s="1366"/>
      <c r="CZ699" s="1366"/>
      <c r="DA699" s="1366"/>
      <c r="DB699" s="1366"/>
      <c r="DC699" s="1366"/>
      <c r="DD699" s="1366"/>
      <c r="DE699" s="1366"/>
      <c r="DF699" s="1366"/>
      <c r="DG699" s="1366"/>
      <c r="DH699" s="1366"/>
      <c r="DI699" s="1366"/>
      <c r="DJ699" s="1366"/>
      <c r="DK699" s="1366"/>
      <c r="DL699" s="1366"/>
      <c r="DM699" s="1366"/>
      <c r="DN699" s="1366"/>
      <c r="DO699" s="1366"/>
      <c r="DP699" s="1366"/>
      <c r="DQ699" s="1366"/>
      <c r="DR699" s="1366"/>
      <c r="DS699" s="1366"/>
      <c r="DT699" s="1366"/>
      <c r="DU699" s="1366"/>
      <c r="DV699" s="1366"/>
    </row>
    <row r="700" spans="1:126" s="1367" customFormat="1" ht="60" customHeight="1">
      <c r="A700" s="2535"/>
      <c r="B700" s="1653">
        <v>2014</v>
      </c>
      <c r="C700" s="1638" t="s">
        <v>47</v>
      </c>
      <c r="D700" s="1379" t="s">
        <v>2503</v>
      </c>
      <c r="E700" s="1364" t="s">
        <v>2100</v>
      </c>
      <c r="F700" s="1364" t="s">
        <v>2108</v>
      </c>
      <c r="G700" s="1147" t="s">
        <v>2681</v>
      </c>
      <c r="H700" s="1433">
        <f>(('Equipment Results Matrix'!$N$1212*216)+('Equipment Results Matrix'!$N$1213*0.98)+'Equipment Results Matrix'!$R$1214+'Equipment Results Matrix'!$N$1216+'Equipment Results Matrix'!$T$1219)*1+((54*'Equipment Results Matrix'!$R$1194)+(85*'Equipment Results Matrix'!$R$1195)+(93*'Equipment Results Matrix'!$R$1196)+'Equipment Results Matrix'!$R$1197+'Equipment Results Matrix'!$R$1199+'Equipment Results Matrix'!$R$1201+'Equipment Results Matrix'!$R$1203+'Equipment Results Matrix'!$R$1205+'Equipment Results Matrix'!$R$1207+'Equipment Results Matrix'!$R$1209+'Equipment Results Matrix'!$T$1201)*(1+'Equipment Results Matrix'!$T$1203)*4</f>
        <v>120.88160935960593</v>
      </c>
      <c r="I700" s="1434">
        <f>('Labor Results Matrix'!$E$702+'Labor Results Matrix'!$E$703)+('Labor Results Matrix'!$E$720+'Labor Results Matrix'!$E$722)</f>
        <v>2.3858152712486929</v>
      </c>
      <c r="J700" s="1388">
        <f>'Labor Results Matrix'!$G$723*(1+AVERAGE('Labor Results Matrix'!$K$720,'Labor Results Matrix'!$K$702))</f>
        <v>72.551789358578489</v>
      </c>
      <c r="K700" s="1388">
        <f t="shared" si="254"/>
        <v>173.09516700811497</v>
      </c>
      <c r="L700" s="1388">
        <v>0</v>
      </c>
      <c r="M700" s="1388">
        <f>H700+K700</f>
        <v>293.9767763677209</v>
      </c>
      <c r="N700" s="1462" t="s">
        <v>40</v>
      </c>
      <c r="O700" s="1429"/>
      <c r="P700" s="1430"/>
      <c r="Q700" s="1430"/>
      <c r="R700" s="1430"/>
      <c r="S700" s="1430"/>
      <c r="T700" s="1430"/>
      <c r="U700" s="1430"/>
      <c r="V700" s="1679"/>
      <c r="W700" s="1366"/>
      <c r="X700" s="1366"/>
      <c r="Y700" s="1366"/>
      <c r="Z700" s="1366"/>
      <c r="AA700" s="1366"/>
      <c r="AB700" s="1366"/>
      <c r="AC700" s="1366"/>
      <c r="AD700" s="1366"/>
      <c r="AE700" s="1366"/>
      <c r="AF700" s="1366"/>
      <c r="AG700" s="1366"/>
      <c r="AH700" s="1366"/>
      <c r="AI700" s="1366"/>
      <c r="AJ700" s="1366"/>
      <c r="AK700" s="1366"/>
      <c r="AL700" s="1366"/>
      <c r="AM700" s="1366"/>
      <c r="AN700" s="1366"/>
      <c r="AO700" s="1366"/>
      <c r="AP700" s="1366"/>
      <c r="AQ700" s="1366"/>
      <c r="AR700" s="1366"/>
      <c r="AS700" s="1366"/>
      <c r="AT700" s="1366"/>
      <c r="AU700" s="1366"/>
      <c r="AV700" s="1366"/>
      <c r="AW700" s="1366"/>
      <c r="AX700" s="1366"/>
      <c r="AY700" s="1366"/>
      <c r="AZ700" s="1366"/>
      <c r="BA700" s="1366"/>
      <c r="BB700" s="1366"/>
      <c r="BC700" s="1366"/>
      <c r="BD700" s="1366"/>
      <c r="BE700" s="1366"/>
      <c r="BF700" s="1366"/>
      <c r="BG700" s="1366"/>
      <c r="BH700" s="1366"/>
      <c r="BI700" s="1366"/>
      <c r="BJ700" s="1366"/>
      <c r="BK700" s="1366"/>
      <c r="BL700" s="1366"/>
      <c r="BM700" s="1366"/>
      <c r="BN700" s="1366"/>
      <c r="BO700" s="1366"/>
      <c r="BP700" s="1366"/>
      <c r="BQ700" s="1366"/>
      <c r="BR700" s="1366"/>
      <c r="BS700" s="1366"/>
      <c r="BT700" s="1366"/>
      <c r="BU700" s="1366"/>
      <c r="BV700" s="1366"/>
      <c r="BW700" s="1366"/>
      <c r="BX700" s="1366"/>
      <c r="BY700" s="1366"/>
      <c r="BZ700" s="1366"/>
      <c r="CA700" s="1366"/>
      <c r="CB700" s="1366"/>
      <c r="CC700" s="1366"/>
      <c r="CD700" s="1366"/>
      <c r="CE700" s="1366"/>
      <c r="CF700" s="1366"/>
      <c r="CG700" s="1366"/>
      <c r="CH700" s="1366"/>
      <c r="CI700" s="1366"/>
      <c r="CJ700" s="1366"/>
      <c r="CK700" s="1366"/>
      <c r="CL700" s="1366"/>
      <c r="CM700" s="1366"/>
      <c r="CN700" s="1366"/>
      <c r="CO700" s="1366"/>
      <c r="CP700" s="1366"/>
      <c r="CQ700" s="1366"/>
      <c r="CR700" s="1366"/>
      <c r="CS700" s="1366"/>
      <c r="CT700" s="1366"/>
      <c r="CU700" s="1366"/>
      <c r="CV700" s="1366"/>
      <c r="CW700" s="1366"/>
      <c r="CX700" s="1366"/>
      <c r="CY700" s="1366"/>
      <c r="CZ700" s="1366"/>
      <c r="DA700" s="1366"/>
      <c r="DB700" s="1366"/>
      <c r="DC700" s="1366"/>
      <c r="DD700" s="1366"/>
      <c r="DE700" s="1366"/>
      <c r="DF700" s="1366"/>
      <c r="DG700" s="1366"/>
      <c r="DH700" s="1366"/>
      <c r="DI700" s="1366"/>
      <c r="DJ700" s="1366"/>
      <c r="DK700" s="1366"/>
      <c r="DL700" s="1366"/>
      <c r="DM700" s="1366"/>
      <c r="DN700" s="1366"/>
      <c r="DO700" s="1366"/>
      <c r="DP700" s="1366"/>
      <c r="DQ700" s="1366"/>
      <c r="DR700" s="1366"/>
      <c r="DS700" s="1366"/>
      <c r="DT700" s="1366"/>
      <c r="DU700" s="1366"/>
      <c r="DV700" s="1366"/>
    </row>
    <row r="701" spans="1:126" s="1367" customFormat="1" ht="60" customHeight="1">
      <c r="A701" s="2535"/>
      <c r="B701" s="1653">
        <v>2014</v>
      </c>
      <c r="C701" s="1642" t="s">
        <v>49</v>
      </c>
      <c r="D701" s="1396" t="s">
        <v>2746</v>
      </c>
      <c r="E701" s="1364" t="s">
        <v>2100</v>
      </c>
      <c r="F701" s="1364" t="s">
        <v>2108</v>
      </c>
      <c r="G701" s="1147" t="s">
        <v>2681</v>
      </c>
      <c r="H701" s="1433">
        <f>(('Equipment Results Matrix'!$N$1212*216)+('Equipment Results Matrix'!$N$1213*0.98)+'Equipment Results Matrix'!$R$1214+'Equipment Results Matrix'!$N$1216+'Equipment Results Matrix'!$T$1219)*1+((54*'Equipment Results Matrix'!$R$1194)+(85*'Equipment Results Matrix'!$R$1195)+(93*'Equipment Results Matrix'!$R$1196)+'Equipment Results Matrix'!$R$1197+'Equipment Results Matrix'!$R$1199+'Equipment Results Matrix'!$R$1201+'Equipment Results Matrix'!$R$1203+'Equipment Results Matrix'!$R$1205+'Equipment Results Matrix'!$R$1207+'Equipment Results Matrix'!$R$1209+'Equipment Results Matrix'!$T$1201)*(1+'Equipment Results Matrix'!$T$1203)*4</f>
        <v>120.88160935960593</v>
      </c>
      <c r="I701" s="1434">
        <f>('Labor Results Matrix'!$E$702+'Labor Results Matrix'!$E$703)+('Labor Results Matrix'!$E$720+'Labor Results Matrix'!$E$722)</f>
        <v>2.3858152712486929</v>
      </c>
      <c r="J701" s="1388">
        <f>'Labor Results Matrix'!$G$723*(1+AVERAGE('Labor Results Matrix'!$K$720,'Labor Results Matrix'!$K$702))</f>
        <v>72.551789358578489</v>
      </c>
      <c r="K701" s="1388">
        <f t="shared" si="254"/>
        <v>173.09516700811497</v>
      </c>
      <c r="L701" s="1388">
        <v>0</v>
      </c>
      <c r="M701" s="1388">
        <f>H701+K701</f>
        <v>293.9767763677209</v>
      </c>
      <c r="N701" s="1458">
        <f>M701-M700</f>
        <v>0</v>
      </c>
      <c r="O701" s="1429"/>
      <c r="P701" s="1430"/>
      <c r="Q701" s="1430"/>
      <c r="R701" s="1430"/>
      <c r="S701" s="1430"/>
      <c r="T701" s="1430"/>
      <c r="U701" s="1430"/>
      <c r="V701" s="1679"/>
      <c r="W701" s="1366"/>
      <c r="X701" s="1366"/>
      <c r="Y701" s="1366"/>
      <c r="Z701" s="1366"/>
      <c r="AA701" s="1366"/>
      <c r="AB701" s="1366"/>
      <c r="AC701" s="1366"/>
      <c r="AD701" s="1366"/>
      <c r="AE701" s="1366"/>
      <c r="AF701" s="1366"/>
      <c r="AG701" s="1366"/>
      <c r="AH701" s="1366"/>
      <c r="AI701" s="1366"/>
      <c r="AJ701" s="1366"/>
      <c r="AK701" s="1366"/>
      <c r="AL701" s="1366"/>
      <c r="AM701" s="1366"/>
      <c r="AN701" s="1366"/>
      <c r="AO701" s="1366"/>
      <c r="AP701" s="1366"/>
      <c r="AQ701" s="1366"/>
      <c r="AR701" s="1366"/>
      <c r="AS701" s="1366"/>
      <c r="AT701" s="1366"/>
      <c r="AU701" s="1366"/>
      <c r="AV701" s="1366"/>
      <c r="AW701" s="1366"/>
      <c r="AX701" s="1366"/>
      <c r="AY701" s="1366"/>
      <c r="AZ701" s="1366"/>
      <c r="BA701" s="1366"/>
      <c r="BB701" s="1366"/>
      <c r="BC701" s="1366"/>
      <c r="BD701" s="1366"/>
      <c r="BE701" s="1366"/>
      <c r="BF701" s="1366"/>
      <c r="BG701" s="1366"/>
      <c r="BH701" s="1366"/>
      <c r="BI701" s="1366"/>
      <c r="BJ701" s="1366"/>
      <c r="BK701" s="1366"/>
      <c r="BL701" s="1366"/>
      <c r="BM701" s="1366"/>
      <c r="BN701" s="1366"/>
      <c r="BO701" s="1366"/>
      <c r="BP701" s="1366"/>
      <c r="BQ701" s="1366"/>
      <c r="BR701" s="1366"/>
      <c r="BS701" s="1366"/>
      <c r="BT701" s="1366"/>
      <c r="BU701" s="1366"/>
      <c r="BV701" s="1366"/>
      <c r="BW701" s="1366"/>
      <c r="BX701" s="1366"/>
      <c r="BY701" s="1366"/>
      <c r="BZ701" s="1366"/>
      <c r="CA701" s="1366"/>
      <c r="CB701" s="1366"/>
      <c r="CC701" s="1366"/>
      <c r="CD701" s="1366"/>
      <c r="CE701" s="1366"/>
      <c r="CF701" s="1366"/>
      <c r="CG701" s="1366"/>
      <c r="CH701" s="1366"/>
      <c r="CI701" s="1366"/>
      <c r="CJ701" s="1366"/>
      <c r="CK701" s="1366"/>
      <c r="CL701" s="1366"/>
      <c r="CM701" s="1366"/>
      <c r="CN701" s="1366"/>
      <c r="CO701" s="1366"/>
      <c r="CP701" s="1366"/>
      <c r="CQ701" s="1366"/>
      <c r="CR701" s="1366"/>
      <c r="CS701" s="1366"/>
      <c r="CT701" s="1366"/>
      <c r="CU701" s="1366"/>
      <c r="CV701" s="1366"/>
      <c r="CW701" s="1366"/>
      <c r="CX701" s="1366"/>
      <c r="CY701" s="1366"/>
      <c r="CZ701" s="1366"/>
      <c r="DA701" s="1366"/>
      <c r="DB701" s="1366"/>
      <c r="DC701" s="1366"/>
      <c r="DD701" s="1366"/>
      <c r="DE701" s="1366"/>
      <c r="DF701" s="1366"/>
      <c r="DG701" s="1366"/>
      <c r="DH701" s="1366"/>
      <c r="DI701" s="1366"/>
      <c r="DJ701" s="1366"/>
      <c r="DK701" s="1366"/>
      <c r="DL701" s="1366"/>
      <c r="DM701" s="1366"/>
      <c r="DN701" s="1366"/>
      <c r="DO701" s="1366"/>
      <c r="DP701" s="1366"/>
      <c r="DQ701" s="1366"/>
      <c r="DR701" s="1366"/>
      <c r="DS701" s="1366"/>
      <c r="DT701" s="1366"/>
      <c r="DU701" s="1366"/>
      <c r="DV701" s="1366"/>
    </row>
    <row r="702" spans="1:126" s="1367" customFormat="1" ht="45">
      <c r="A702" s="2535"/>
      <c r="B702" s="1653">
        <v>2015</v>
      </c>
      <c r="C702" s="1638" t="s">
        <v>47</v>
      </c>
      <c r="D702" s="1375" t="s">
        <v>2505</v>
      </c>
      <c r="E702" s="1364" t="s">
        <v>2097</v>
      </c>
      <c r="F702" s="1364" t="s">
        <v>2108</v>
      </c>
      <c r="G702" s="1147" t="s">
        <v>2681</v>
      </c>
      <c r="H702" s="1361">
        <f>(('Equipment Results Matrix'!$R$1143*365)+('Equipment Results Matrix'!$R$1144*65)+(3650*'Equipment Results Matrix'!$R$1145)+(76.5*'Equipment Results Matrix'!$R$1146)+'Equipment Results Matrix'!$R$1147+'Equipment Results Matrix'!$R$1150+'Equipment Results Matrix'!$R$1153+'Equipment Results Matrix'!$R$1156+'Equipment Results Matrix'!$R$1159+'Equipment Results Matrix'!$T$1150)+((18*'Equipment Results Matrix'!$R$1345)+(365*'Equipment Results Matrix'!$R$1346)+'Equipment Results Matrix'!$R$1347+'Equipment Results Matrix'!$R$1349+'Equipment Results Matrix'!$R$1351+'Equipment Results Matrix'!$R$1353+'Equipment Results Matrix'!$T$1352)</f>
        <v>242.90760012247188</v>
      </c>
      <c r="I702" s="1371">
        <f>'Labor Results Matrix'!$E$823+'Labor Results Matrix'!$E$824</f>
        <v>2.1325159377406813</v>
      </c>
      <c r="J702" s="1372">
        <f>'Labor Results Matrix'!$G$825*(1+'Labor Results Matrix'!$K$823)</f>
        <v>67.26167983080542</v>
      </c>
      <c r="K702" s="1388">
        <f t="shared" si="254"/>
        <v>143.43660423840348</v>
      </c>
      <c r="L702" s="1372">
        <f>('Labor Results Matrix'!$I$826+'Labor Results Matrix'!$I$827)*(1+'Labor Results Matrix'!$K$823)</f>
        <v>43.705339500000008</v>
      </c>
      <c r="M702" s="1388">
        <f>H702+K702+L702</f>
        <v>430.04954386087536</v>
      </c>
      <c r="N702" s="1462" t="s">
        <v>40</v>
      </c>
      <c r="O702" s="1429"/>
      <c r="P702" s="1430"/>
      <c r="Q702" s="1430"/>
      <c r="R702" s="1430"/>
      <c r="S702" s="1430"/>
      <c r="T702" s="1430"/>
      <c r="U702" s="1430"/>
      <c r="V702" s="1679"/>
      <c r="W702" s="1366"/>
      <c r="X702" s="1366"/>
      <c r="Y702" s="1366"/>
      <c r="Z702" s="1366"/>
      <c r="AA702" s="1366"/>
      <c r="AB702" s="1366"/>
      <c r="AC702" s="1366"/>
      <c r="AD702" s="1366"/>
      <c r="AE702" s="1366"/>
      <c r="AF702" s="1366"/>
      <c r="AG702" s="1366"/>
      <c r="AH702" s="1366"/>
      <c r="AI702" s="1366"/>
      <c r="AJ702" s="1366"/>
      <c r="AK702" s="1366"/>
      <c r="AL702" s="1366"/>
      <c r="AM702" s="1366"/>
      <c r="AN702" s="1366"/>
      <c r="AO702" s="1366"/>
      <c r="AP702" s="1366"/>
      <c r="AQ702" s="1366"/>
      <c r="AR702" s="1366"/>
      <c r="AS702" s="1366"/>
      <c r="AT702" s="1366"/>
      <c r="AU702" s="1366"/>
      <c r="AV702" s="1366"/>
      <c r="AW702" s="1366"/>
      <c r="AX702" s="1366"/>
      <c r="AY702" s="1366"/>
      <c r="AZ702" s="1366"/>
      <c r="BA702" s="1366"/>
      <c r="BB702" s="1366"/>
      <c r="BC702" s="1366"/>
      <c r="BD702" s="1366"/>
      <c r="BE702" s="1366"/>
      <c r="BF702" s="1366"/>
      <c r="BG702" s="1366"/>
      <c r="BH702" s="1366"/>
      <c r="BI702" s="1366"/>
      <c r="BJ702" s="1366"/>
      <c r="BK702" s="1366"/>
      <c r="BL702" s="1366"/>
      <c r="BM702" s="1366"/>
      <c r="BN702" s="1366"/>
      <c r="BO702" s="1366"/>
      <c r="BP702" s="1366"/>
      <c r="BQ702" s="1366"/>
      <c r="BR702" s="1366"/>
      <c r="BS702" s="1366"/>
      <c r="BT702" s="1366"/>
      <c r="BU702" s="1366"/>
      <c r="BV702" s="1366"/>
      <c r="BW702" s="1366"/>
      <c r="BX702" s="1366"/>
      <c r="BY702" s="1366"/>
      <c r="BZ702" s="1366"/>
      <c r="CA702" s="1366"/>
      <c r="CB702" s="1366"/>
      <c r="CC702" s="1366"/>
      <c r="CD702" s="1366"/>
      <c r="CE702" s="1366"/>
      <c r="CF702" s="1366"/>
      <c r="CG702" s="1366"/>
      <c r="CH702" s="1366"/>
      <c r="CI702" s="1366"/>
      <c r="CJ702" s="1366"/>
      <c r="CK702" s="1366"/>
      <c r="CL702" s="1366"/>
      <c r="CM702" s="1366"/>
      <c r="CN702" s="1366"/>
      <c r="CO702" s="1366"/>
      <c r="CP702" s="1366"/>
      <c r="CQ702" s="1366"/>
      <c r="CR702" s="1366"/>
      <c r="CS702" s="1366"/>
      <c r="CT702" s="1366"/>
      <c r="CU702" s="1366"/>
      <c r="CV702" s="1366"/>
      <c r="CW702" s="1366"/>
      <c r="CX702" s="1366"/>
      <c r="CY702" s="1366"/>
      <c r="CZ702" s="1366"/>
      <c r="DA702" s="1366"/>
      <c r="DB702" s="1366"/>
      <c r="DC702" s="1366"/>
      <c r="DD702" s="1366"/>
      <c r="DE702" s="1366"/>
      <c r="DF702" s="1366"/>
      <c r="DG702" s="1366"/>
      <c r="DH702" s="1366"/>
      <c r="DI702" s="1366"/>
      <c r="DJ702" s="1366"/>
      <c r="DK702" s="1366"/>
      <c r="DL702" s="1366"/>
      <c r="DM702" s="1366"/>
      <c r="DN702" s="1366"/>
      <c r="DO702" s="1366"/>
      <c r="DP702" s="1366"/>
      <c r="DQ702" s="1366"/>
      <c r="DR702" s="1366"/>
      <c r="DS702" s="1366"/>
      <c r="DT702" s="1366"/>
      <c r="DU702" s="1366"/>
      <c r="DV702" s="1366"/>
    </row>
    <row r="703" spans="1:126" s="1367" customFormat="1" ht="60">
      <c r="A703" s="2535"/>
      <c r="B703" s="1653">
        <v>2015</v>
      </c>
      <c r="C703" s="1642" t="s">
        <v>49</v>
      </c>
      <c r="D703" s="1375" t="s">
        <v>2509</v>
      </c>
      <c r="E703" s="1364" t="s">
        <v>2097</v>
      </c>
      <c r="F703" s="1364" t="s">
        <v>2108</v>
      </c>
      <c r="G703" s="1147" t="s">
        <v>2681</v>
      </c>
      <c r="H703" s="1433">
        <f>(('Equipment Results Matrix'!$N$1212*216)+('Equipment Results Matrix'!$N$1213*0.98)+'Equipment Results Matrix'!$R$1214+'Equipment Results Matrix'!$N$1216+'Equipment Results Matrix'!$T$1219)*1+((54*'Equipment Results Matrix'!$R$1194)+(85*'Equipment Results Matrix'!$R$1195)+(93*'Equipment Results Matrix'!$R$1196)+'Equipment Results Matrix'!$R$1197+'Equipment Results Matrix'!$R$1199+'Equipment Results Matrix'!$R$1201+'Equipment Results Matrix'!$R$1203+'Equipment Results Matrix'!$R$1205+'Equipment Results Matrix'!$R$1207+'Equipment Results Matrix'!$R$1209+'Equipment Results Matrix'!$T$1201)*(1+'Equipment Results Matrix'!$T$1203)*4</f>
        <v>120.88160935960593</v>
      </c>
      <c r="I703" s="1371">
        <f>'Labor Results Matrix'!$E$823+'Labor Results Matrix'!$E$824</f>
        <v>2.1325159377406813</v>
      </c>
      <c r="J703" s="1372">
        <f>'Labor Results Matrix'!$G$825*(1+'Labor Results Matrix'!$K$823)</f>
        <v>67.26167983080542</v>
      </c>
      <c r="K703" s="1388">
        <f t="shared" si="254"/>
        <v>143.43660423840348</v>
      </c>
      <c r="L703" s="1372">
        <f>('Labor Results Matrix'!$I$826+'Labor Results Matrix'!$I$827)*(1+'Labor Results Matrix'!$K$823)</f>
        <v>43.705339500000008</v>
      </c>
      <c r="M703" s="1388">
        <f>H703+K703+L703</f>
        <v>308.02355309800942</v>
      </c>
      <c r="N703" s="1458">
        <f>M703-M702</f>
        <v>-122.02599076286594</v>
      </c>
      <c r="O703" s="1429"/>
      <c r="P703" s="1430"/>
      <c r="Q703" s="1430"/>
      <c r="R703" s="1430"/>
      <c r="S703" s="1430"/>
      <c r="T703" s="1430"/>
      <c r="U703" s="1430"/>
      <c r="V703" s="1679"/>
      <c r="W703" s="1366"/>
      <c r="X703" s="1366"/>
      <c r="Y703" s="1366"/>
      <c r="Z703" s="1366"/>
      <c r="AA703" s="1366"/>
      <c r="AB703" s="1366"/>
      <c r="AC703" s="1366"/>
      <c r="AD703" s="1366"/>
      <c r="AE703" s="1366"/>
      <c r="AF703" s="1366"/>
      <c r="AG703" s="1366"/>
      <c r="AH703" s="1366"/>
      <c r="AI703" s="1366"/>
      <c r="AJ703" s="1366"/>
      <c r="AK703" s="1366"/>
      <c r="AL703" s="1366"/>
      <c r="AM703" s="1366"/>
      <c r="AN703" s="1366"/>
      <c r="AO703" s="1366"/>
      <c r="AP703" s="1366"/>
      <c r="AQ703" s="1366"/>
      <c r="AR703" s="1366"/>
      <c r="AS703" s="1366"/>
      <c r="AT703" s="1366"/>
      <c r="AU703" s="1366"/>
      <c r="AV703" s="1366"/>
      <c r="AW703" s="1366"/>
      <c r="AX703" s="1366"/>
      <c r="AY703" s="1366"/>
      <c r="AZ703" s="1366"/>
      <c r="BA703" s="1366"/>
      <c r="BB703" s="1366"/>
      <c r="BC703" s="1366"/>
      <c r="BD703" s="1366"/>
      <c r="BE703" s="1366"/>
      <c r="BF703" s="1366"/>
      <c r="BG703" s="1366"/>
      <c r="BH703" s="1366"/>
      <c r="BI703" s="1366"/>
      <c r="BJ703" s="1366"/>
      <c r="BK703" s="1366"/>
      <c r="BL703" s="1366"/>
      <c r="BM703" s="1366"/>
      <c r="BN703" s="1366"/>
      <c r="BO703" s="1366"/>
      <c r="BP703" s="1366"/>
      <c r="BQ703" s="1366"/>
      <c r="BR703" s="1366"/>
      <c r="BS703" s="1366"/>
      <c r="BT703" s="1366"/>
      <c r="BU703" s="1366"/>
      <c r="BV703" s="1366"/>
      <c r="BW703" s="1366"/>
      <c r="BX703" s="1366"/>
      <c r="BY703" s="1366"/>
      <c r="BZ703" s="1366"/>
      <c r="CA703" s="1366"/>
      <c r="CB703" s="1366"/>
      <c r="CC703" s="1366"/>
      <c r="CD703" s="1366"/>
      <c r="CE703" s="1366"/>
      <c r="CF703" s="1366"/>
      <c r="CG703" s="1366"/>
      <c r="CH703" s="1366"/>
      <c r="CI703" s="1366"/>
      <c r="CJ703" s="1366"/>
      <c r="CK703" s="1366"/>
      <c r="CL703" s="1366"/>
      <c r="CM703" s="1366"/>
      <c r="CN703" s="1366"/>
      <c r="CO703" s="1366"/>
      <c r="CP703" s="1366"/>
      <c r="CQ703" s="1366"/>
      <c r="CR703" s="1366"/>
      <c r="CS703" s="1366"/>
      <c r="CT703" s="1366"/>
      <c r="CU703" s="1366"/>
      <c r="CV703" s="1366"/>
      <c r="CW703" s="1366"/>
      <c r="CX703" s="1366"/>
      <c r="CY703" s="1366"/>
      <c r="CZ703" s="1366"/>
      <c r="DA703" s="1366"/>
      <c r="DB703" s="1366"/>
      <c r="DC703" s="1366"/>
      <c r="DD703" s="1366"/>
      <c r="DE703" s="1366"/>
      <c r="DF703" s="1366"/>
      <c r="DG703" s="1366"/>
      <c r="DH703" s="1366"/>
      <c r="DI703" s="1366"/>
      <c r="DJ703" s="1366"/>
      <c r="DK703" s="1366"/>
      <c r="DL703" s="1366"/>
      <c r="DM703" s="1366"/>
      <c r="DN703" s="1366"/>
      <c r="DO703" s="1366"/>
      <c r="DP703" s="1366"/>
      <c r="DQ703" s="1366"/>
      <c r="DR703" s="1366"/>
      <c r="DS703" s="1366"/>
      <c r="DT703" s="1366"/>
      <c r="DU703" s="1366"/>
      <c r="DV703" s="1366"/>
    </row>
    <row r="704" spans="1:126" s="1367" customFormat="1" ht="60" customHeight="1">
      <c r="A704" s="2535"/>
      <c r="B704" s="1653">
        <v>2016</v>
      </c>
      <c r="C704" s="1638" t="s">
        <v>47</v>
      </c>
      <c r="D704" s="1379" t="s">
        <v>2504</v>
      </c>
      <c r="E704" s="1364" t="s">
        <v>2100</v>
      </c>
      <c r="F704" s="1364" t="s">
        <v>2108</v>
      </c>
      <c r="G704" s="1147" t="s">
        <v>2681</v>
      </c>
      <c r="H704" s="1433">
        <f>(('Equipment Results Matrix'!$N$1212*324)+('Equipment Results Matrix'!$N$1213*0.98)+'Equipment Results Matrix'!$R$1214+'Equipment Results Matrix'!$N$1216+'Equipment Results Matrix'!$T$1219)*2+((54*'Equipment Results Matrix'!$R$1194)+(85*'Equipment Results Matrix'!$R$1195)+(93*'Equipment Results Matrix'!$R$1196)+'Equipment Results Matrix'!$R$1197+'Equipment Results Matrix'!$R$1199+'Equipment Results Matrix'!$R$1201+'Equipment Results Matrix'!$R$1203+'Equipment Results Matrix'!$R$1205+'Equipment Results Matrix'!$R$1207+'Equipment Results Matrix'!$R$1209+'Equipment Results Matrix'!$T$1201)*(1+'Equipment Results Matrix'!$T$1203)*6</f>
        <v>252.34536403940888</v>
      </c>
      <c r="I704" s="1434">
        <f>('Labor Results Matrix'!$E$702+'Labor Results Matrix'!$E$703)+('Labor Results Matrix'!$E$720+'Labor Results Matrix'!$E$722)</f>
        <v>2.3858152712486929</v>
      </c>
      <c r="J704" s="1388">
        <f>'Labor Results Matrix'!$G$723*(1+AVERAGE('Labor Results Matrix'!$K$720,'Labor Results Matrix'!$K$702))</f>
        <v>72.551789358578489</v>
      </c>
      <c r="K704" s="1388">
        <f t="shared" si="254"/>
        <v>173.09516700811497</v>
      </c>
      <c r="L704" s="1388">
        <v>0</v>
      </c>
      <c r="M704" s="1388">
        <f>H704+K704</f>
        <v>425.44053104752385</v>
      </c>
      <c r="N704" s="1462" t="s">
        <v>40</v>
      </c>
      <c r="O704" s="1429"/>
      <c r="P704" s="1430"/>
      <c r="Q704" s="1430"/>
      <c r="R704" s="1430"/>
      <c r="S704" s="1430"/>
      <c r="T704" s="1430"/>
      <c r="U704" s="1430"/>
      <c r="V704" s="1679"/>
      <c r="W704" s="1366"/>
      <c r="X704" s="1366"/>
      <c r="Y704" s="1366"/>
      <c r="Z704" s="1366"/>
      <c r="AA704" s="1366"/>
      <c r="AB704" s="1366"/>
      <c r="AC704" s="1366"/>
      <c r="AD704" s="1366"/>
      <c r="AE704" s="1366"/>
      <c r="AF704" s="1366"/>
      <c r="AG704" s="1366"/>
      <c r="AH704" s="1366"/>
      <c r="AI704" s="1366"/>
      <c r="AJ704" s="1366"/>
      <c r="AK704" s="1366"/>
      <c r="AL704" s="1366"/>
      <c r="AM704" s="1366"/>
      <c r="AN704" s="1366"/>
      <c r="AO704" s="1366"/>
      <c r="AP704" s="1366"/>
      <c r="AQ704" s="1366"/>
      <c r="AR704" s="1366"/>
      <c r="AS704" s="1366"/>
      <c r="AT704" s="1366"/>
      <c r="AU704" s="1366"/>
      <c r="AV704" s="1366"/>
      <c r="AW704" s="1366"/>
      <c r="AX704" s="1366"/>
      <c r="AY704" s="1366"/>
      <c r="AZ704" s="1366"/>
      <c r="BA704" s="1366"/>
      <c r="BB704" s="1366"/>
      <c r="BC704" s="1366"/>
      <c r="BD704" s="1366"/>
      <c r="BE704" s="1366"/>
      <c r="BF704" s="1366"/>
      <c r="BG704" s="1366"/>
      <c r="BH704" s="1366"/>
      <c r="BI704" s="1366"/>
      <c r="BJ704" s="1366"/>
      <c r="BK704" s="1366"/>
      <c r="BL704" s="1366"/>
      <c r="BM704" s="1366"/>
      <c r="BN704" s="1366"/>
      <c r="BO704" s="1366"/>
      <c r="BP704" s="1366"/>
      <c r="BQ704" s="1366"/>
      <c r="BR704" s="1366"/>
      <c r="BS704" s="1366"/>
      <c r="BT704" s="1366"/>
      <c r="BU704" s="1366"/>
      <c r="BV704" s="1366"/>
      <c r="BW704" s="1366"/>
      <c r="BX704" s="1366"/>
      <c r="BY704" s="1366"/>
      <c r="BZ704" s="1366"/>
      <c r="CA704" s="1366"/>
      <c r="CB704" s="1366"/>
      <c r="CC704" s="1366"/>
      <c r="CD704" s="1366"/>
      <c r="CE704" s="1366"/>
      <c r="CF704" s="1366"/>
      <c r="CG704" s="1366"/>
      <c r="CH704" s="1366"/>
      <c r="CI704" s="1366"/>
      <c r="CJ704" s="1366"/>
      <c r="CK704" s="1366"/>
      <c r="CL704" s="1366"/>
      <c r="CM704" s="1366"/>
      <c r="CN704" s="1366"/>
      <c r="CO704" s="1366"/>
      <c r="CP704" s="1366"/>
      <c r="CQ704" s="1366"/>
      <c r="CR704" s="1366"/>
      <c r="CS704" s="1366"/>
      <c r="CT704" s="1366"/>
      <c r="CU704" s="1366"/>
      <c r="CV704" s="1366"/>
      <c r="CW704" s="1366"/>
      <c r="CX704" s="1366"/>
      <c r="CY704" s="1366"/>
      <c r="CZ704" s="1366"/>
      <c r="DA704" s="1366"/>
      <c r="DB704" s="1366"/>
      <c r="DC704" s="1366"/>
      <c r="DD704" s="1366"/>
      <c r="DE704" s="1366"/>
      <c r="DF704" s="1366"/>
      <c r="DG704" s="1366"/>
      <c r="DH704" s="1366"/>
      <c r="DI704" s="1366"/>
      <c r="DJ704" s="1366"/>
      <c r="DK704" s="1366"/>
      <c r="DL704" s="1366"/>
      <c r="DM704" s="1366"/>
      <c r="DN704" s="1366"/>
      <c r="DO704" s="1366"/>
      <c r="DP704" s="1366"/>
      <c r="DQ704" s="1366"/>
      <c r="DR704" s="1366"/>
      <c r="DS704" s="1366"/>
      <c r="DT704" s="1366"/>
      <c r="DU704" s="1366"/>
      <c r="DV704" s="1366"/>
    </row>
    <row r="705" spans="1:126" s="1367" customFormat="1" ht="60" customHeight="1">
      <c r="A705" s="2535"/>
      <c r="B705" s="1653">
        <v>2016</v>
      </c>
      <c r="C705" s="1642" t="s">
        <v>49</v>
      </c>
      <c r="D705" s="1396" t="s">
        <v>2747</v>
      </c>
      <c r="E705" s="1364" t="s">
        <v>2100</v>
      </c>
      <c r="F705" s="1364" t="s">
        <v>2108</v>
      </c>
      <c r="G705" s="1147" t="s">
        <v>2681</v>
      </c>
      <c r="H705" s="1433">
        <f>(('Equipment Results Matrix'!$N$1212*324)+('Equipment Results Matrix'!$N$1213*0.98)+'Equipment Results Matrix'!$R$1214+'Equipment Results Matrix'!$N$1216+'Equipment Results Matrix'!$T$1219)*2+((54*'Equipment Results Matrix'!$R$1194)+(85*'Equipment Results Matrix'!$R$1195)+(93*'Equipment Results Matrix'!$R$1196)+'Equipment Results Matrix'!$R$1197+'Equipment Results Matrix'!$R$1199+'Equipment Results Matrix'!$R$1201+'Equipment Results Matrix'!$R$1203+'Equipment Results Matrix'!$R$1205+'Equipment Results Matrix'!$R$1207+'Equipment Results Matrix'!$R$1209+'Equipment Results Matrix'!$T$1201)*(1+'Equipment Results Matrix'!$T$1203)*6</f>
        <v>252.34536403940888</v>
      </c>
      <c r="I705" s="1434">
        <f>('Labor Results Matrix'!$E$702+'Labor Results Matrix'!$E$703)+('Labor Results Matrix'!$E$720+'Labor Results Matrix'!$E$722)</f>
        <v>2.3858152712486929</v>
      </c>
      <c r="J705" s="1388">
        <f>'Labor Results Matrix'!$G$723*(1+AVERAGE('Labor Results Matrix'!$K$720,'Labor Results Matrix'!$K$702))</f>
        <v>72.551789358578489</v>
      </c>
      <c r="K705" s="1388">
        <f t="shared" si="254"/>
        <v>173.09516700811497</v>
      </c>
      <c r="L705" s="1388">
        <v>0</v>
      </c>
      <c r="M705" s="1388">
        <f>H705+K705</f>
        <v>425.44053104752385</v>
      </c>
      <c r="N705" s="1458">
        <f>M705-M704</f>
        <v>0</v>
      </c>
      <c r="O705" s="1429"/>
      <c r="P705" s="1430"/>
      <c r="Q705" s="1430"/>
      <c r="R705" s="1430"/>
      <c r="S705" s="1430"/>
      <c r="T705" s="1430"/>
      <c r="U705" s="1430"/>
      <c r="V705" s="1679"/>
      <c r="W705" s="1366"/>
      <c r="X705" s="1366"/>
      <c r="Y705" s="1366"/>
      <c r="Z705" s="1366"/>
      <c r="AA705" s="1366"/>
      <c r="AB705" s="1366"/>
      <c r="AC705" s="1366"/>
      <c r="AD705" s="1366"/>
      <c r="AE705" s="1366"/>
      <c r="AF705" s="1366"/>
      <c r="AG705" s="1366"/>
      <c r="AH705" s="1366"/>
      <c r="AI705" s="1366"/>
      <c r="AJ705" s="1366"/>
      <c r="AK705" s="1366"/>
      <c r="AL705" s="1366"/>
      <c r="AM705" s="1366"/>
      <c r="AN705" s="1366"/>
      <c r="AO705" s="1366"/>
      <c r="AP705" s="1366"/>
      <c r="AQ705" s="1366"/>
      <c r="AR705" s="1366"/>
      <c r="AS705" s="1366"/>
      <c r="AT705" s="1366"/>
      <c r="AU705" s="1366"/>
      <c r="AV705" s="1366"/>
      <c r="AW705" s="1366"/>
      <c r="AX705" s="1366"/>
      <c r="AY705" s="1366"/>
      <c r="AZ705" s="1366"/>
      <c r="BA705" s="1366"/>
      <c r="BB705" s="1366"/>
      <c r="BC705" s="1366"/>
      <c r="BD705" s="1366"/>
      <c r="BE705" s="1366"/>
      <c r="BF705" s="1366"/>
      <c r="BG705" s="1366"/>
      <c r="BH705" s="1366"/>
      <c r="BI705" s="1366"/>
      <c r="BJ705" s="1366"/>
      <c r="BK705" s="1366"/>
      <c r="BL705" s="1366"/>
      <c r="BM705" s="1366"/>
      <c r="BN705" s="1366"/>
      <c r="BO705" s="1366"/>
      <c r="BP705" s="1366"/>
      <c r="BQ705" s="1366"/>
      <c r="BR705" s="1366"/>
      <c r="BS705" s="1366"/>
      <c r="BT705" s="1366"/>
      <c r="BU705" s="1366"/>
      <c r="BV705" s="1366"/>
      <c r="BW705" s="1366"/>
      <c r="BX705" s="1366"/>
      <c r="BY705" s="1366"/>
      <c r="BZ705" s="1366"/>
      <c r="CA705" s="1366"/>
      <c r="CB705" s="1366"/>
      <c r="CC705" s="1366"/>
      <c r="CD705" s="1366"/>
      <c r="CE705" s="1366"/>
      <c r="CF705" s="1366"/>
      <c r="CG705" s="1366"/>
      <c r="CH705" s="1366"/>
      <c r="CI705" s="1366"/>
      <c r="CJ705" s="1366"/>
      <c r="CK705" s="1366"/>
      <c r="CL705" s="1366"/>
      <c r="CM705" s="1366"/>
      <c r="CN705" s="1366"/>
      <c r="CO705" s="1366"/>
      <c r="CP705" s="1366"/>
      <c r="CQ705" s="1366"/>
      <c r="CR705" s="1366"/>
      <c r="CS705" s="1366"/>
      <c r="CT705" s="1366"/>
      <c r="CU705" s="1366"/>
      <c r="CV705" s="1366"/>
      <c r="CW705" s="1366"/>
      <c r="CX705" s="1366"/>
      <c r="CY705" s="1366"/>
      <c r="CZ705" s="1366"/>
      <c r="DA705" s="1366"/>
      <c r="DB705" s="1366"/>
      <c r="DC705" s="1366"/>
      <c r="DD705" s="1366"/>
      <c r="DE705" s="1366"/>
      <c r="DF705" s="1366"/>
      <c r="DG705" s="1366"/>
      <c r="DH705" s="1366"/>
      <c r="DI705" s="1366"/>
      <c r="DJ705" s="1366"/>
      <c r="DK705" s="1366"/>
      <c r="DL705" s="1366"/>
      <c r="DM705" s="1366"/>
      <c r="DN705" s="1366"/>
      <c r="DO705" s="1366"/>
      <c r="DP705" s="1366"/>
      <c r="DQ705" s="1366"/>
      <c r="DR705" s="1366"/>
      <c r="DS705" s="1366"/>
      <c r="DT705" s="1366"/>
      <c r="DU705" s="1366"/>
      <c r="DV705" s="1366"/>
    </row>
    <row r="706" spans="1:126" s="1367" customFormat="1" ht="45">
      <c r="A706" s="2535"/>
      <c r="B706" s="1653">
        <v>2017</v>
      </c>
      <c r="C706" s="1638" t="s">
        <v>47</v>
      </c>
      <c r="D706" s="1375" t="s">
        <v>2507</v>
      </c>
      <c r="E706" s="1364" t="s">
        <v>2097</v>
      </c>
      <c r="F706" s="1364" t="s">
        <v>2108</v>
      </c>
      <c r="G706" s="1147" t="s">
        <v>2681</v>
      </c>
      <c r="H706" s="1361">
        <f>(('Equipment Results Matrix'!$R$1143*456)+('Equipment Results Matrix'!$R$1144*65)+(3650*'Equipment Results Matrix'!$R$1145)+(76.5*'Equipment Results Matrix'!$R$1146)+'Equipment Results Matrix'!$R$1147+'Equipment Results Matrix'!$R$1150+'Equipment Results Matrix'!$R$1153+'Equipment Results Matrix'!$R$1156+'Equipment Results Matrix'!$R$1159+'Equipment Results Matrix'!$T$1150)+((18*'Equipment Results Matrix'!$R$1345)+(365*'Equipment Results Matrix'!$R$1346)+'Equipment Results Matrix'!$R$1347+'Equipment Results Matrix'!$R$1349+'Equipment Results Matrix'!$R$1351+'Equipment Results Matrix'!$R$1353+'Equipment Results Matrix'!$T$1352)</f>
        <v>244.62586212247191</v>
      </c>
      <c r="I706" s="1371">
        <f>'Labor Results Matrix'!$E$823+'Labor Results Matrix'!$E$824</f>
        <v>2.1325159377406813</v>
      </c>
      <c r="J706" s="1372">
        <f>'Labor Results Matrix'!$G$825*(1+'Labor Results Matrix'!$K$823)</f>
        <v>67.26167983080542</v>
      </c>
      <c r="K706" s="1388">
        <f t="shared" si="254"/>
        <v>143.43660423840348</v>
      </c>
      <c r="L706" s="1372">
        <f>('Labor Results Matrix'!$I$826+'Labor Results Matrix'!$I$827)*(1+'Labor Results Matrix'!$K$823)</f>
        <v>43.705339500000008</v>
      </c>
      <c r="M706" s="1388">
        <f>H706+K706+L706</f>
        <v>431.76780586087546</v>
      </c>
      <c r="N706" s="1462" t="s">
        <v>40</v>
      </c>
      <c r="O706" s="1429"/>
      <c r="P706" s="1430"/>
      <c r="Q706" s="1430"/>
      <c r="R706" s="1430"/>
      <c r="S706" s="1430"/>
      <c r="T706" s="1430"/>
      <c r="U706" s="1430"/>
      <c r="V706" s="1679"/>
      <c r="W706" s="1366"/>
      <c r="X706" s="1366"/>
      <c r="Y706" s="1366"/>
      <c r="Z706" s="1366"/>
      <c r="AA706" s="1366"/>
      <c r="AB706" s="1366"/>
      <c r="AC706" s="1366"/>
      <c r="AD706" s="1366"/>
      <c r="AE706" s="1366"/>
      <c r="AF706" s="1366"/>
      <c r="AG706" s="1366"/>
      <c r="AH706" s="1366"/>
      <c r="AI706" s="1366"/>
      <c r="AJ706" s="1366"/>
      <c r="AK706" s="1366"/>
      <c r="AL706" s="1366"/>
      <c r="AM706" s="1366"/>
      <c r="AN706" s="1366"/>
      <c r="AO706" s="1366"/>
      <c r="AP706" s="1366"/>
      <c r="AQ706" s="1366"/>
      <c r="AR706" s="1366"/>
      <c r="AS706" s="1366"/>
      <c r="AT706" s="1366"/>
      <c r="AU706" s="1366"/>
      <c r="AV706" s="1366"/>
      <c r="AW706" s="1366"/>
      <c r="AX706" s="1366"/>
      <c r="AY706" s="1366"/>
      <c r="AZ706" s="1366"/>
      <c r="BA706" s="1366"/>
      <c r="BB706" s="1366"/>
      <c r="BC706" s="1366"/>
      <c r="BD706" s="1366"/>
      <c r="BE706" s="1366"/>
      <c r="BF706" s="1366"/>
      <c r="BG706" s="1366"/>
      <c r="BH706" s="1366"/>
      <c r="BI706" s="1366"/>
      <c r="BJ706" s="1366"/>
      <c r="BK706" s="1366"/>
      <c r="BL706" s="1366"/>
      <c r="BM706" s="1366"/>
      <c r="BN706" s="1366"/>
      <c r="BO706" s="1366"/>
      <c r="BP706" s="1366"/>
      <c r="BQ706" s="1366"/>
      <c r="BR706" s="1366"/>
      <c r="BS706" s="1366"/>
      <c r="BT706" s="1366"/>
      <c r="BU706" s="1366"/>
      <c r="BV706" s="1366"/>
      <c r="BW706" s="1366"/>
      <c r="BX706" s="1366"/>
      <c r="BY706" s="1366"/>
      <c r="BZ706" s="1366"/>
      <c r="CA706" s="1366"/>
      <c r="CB706" s="1366"/>
      <c r="CC706" s="1366"/>
      <c r="CD706" s="1366"/>
      <c r="CE706" s="1366"/>
      <c r="CF706" s="1366"/>
      <c r="CG706" s="1366"/>
      <c r="CH706" s="1366"/>
      <c r="CI706" s="1366"/>
      <c r="CJ706" s="1366"/>
      <c r="CK706" s="1366"/>
      <c r="CL706" s="1366"/>
      <c r="CM706" s="1366"/>
      <c r="CN706" s="1366"/>
      <c r="CO706" s="1366"/>
      <c r="CP706" s="1366"/>
      <c r="CQ706" s="1366"/>
      <c r="CR706" s="1366"/>
      <c r="CS706" s="1366"/>
      <c r="CT706" s="1366"/>
      <c r="CU706" s="1366"/>
      <c r="CV706" s="1366"/>
      <c r="CW706" s="1366"/>
      <c r="CX706" s="1366"/>
      <c r="CY706" s="1366"/>
      <c r="CZ706" s="1366"/>
      <c r="DA706" s="1366"/>
      <c r="DB706" s="1366"/>
      <c r="DC706" s="1366"/>
      <c r="DD706" s="1366"/>
      <c r="DE706" s="1366"/>
      <c r="DF706" s="1366"/>
      <c r="DG706" s="1366"/>
      <c r="DH706" s="1366"/>
      <c r="DI706" s="1366"/>
      <c r="DJ706" s="1366"/>
      <c r="DK706" s="1366"/>
      <c r="DL706" s="1366"/>
      <c r="DM706" s="1366"/>
      <c r="DN706" s="1366"/>
      <c r="DO706" s="1366"/>
      <c r="DP706" s="1366"/>
      <c r="DQ706" s="1366"/>
      <c r="DR706" s="1366"/>
      <c r="DS706" s="1366"/>
      <c r="DT706" s="1366"/>
      <c r="DU706" s="1366"/>
      <c r="DV706" s="1366"/>
    </row>
    <row r="707" spans="1:126" s="1367" customFormat="1" ht="60.75" thickBot="1">
      <c r="A707" s="2536"/>
      <c r="B707" s="1653">
        <v>2017</v>
      </c>
      <c r="C707" s="1642" t="s">
        <v>49</v>
      </c>
      <c r="D707" s="1375" t="s">
        <v>2510</v>
      </c>
      <c r="E707" s="1364" t="s">
        <v>2097</v>
      </c>
      <c r="F707" s="1364" t="s">
        <v>2108</v>
      </c>
      <c r="G707" s="1147" t="s">
        <v>2681</v>
      </c>
      <c r="H707" s="1433">
        <f>(('Equipment Results Matrix'!$N$1212*324)+('Equipment Results Matrix'!$N$1213*0.98)+'Equipment Results Matrix'!$R$1214+'Equipment Results Matrix'!$N$1216+'Equipment Results Matrix'!$T$1219)*2+((54*'Equipment Results Matrix'!$R$1194)+(85*'Equipment Results Matrix'!$R$1195)+(93*'Equipment Results Matrix'!$R$1196)+'Equipment Results Matrix'!$R$1197+'Equipment Results Matrix'!$R$1199+'Equipment Results Matrix'!$R$1201+'Equipment Results Matrix'!$R$1203+'Equipment Results Matrix'!$R$1205+'Equipment Results Matrix'!$R$1207+'Equipment Results Matrix'!$R$1209+'Equipment Results Matrix'!$T$1201)*(1+'Equipment Results Matrix'!$T$1203)*6</f>
        <v>252.34536403940888</v>
      </c>
      <c r="I707" s="1371">
        <f>'Labor Results Matrix'!$E$823+'Labor Results Matrix'!$E$824</f>
        <v>2.1325159377406813</v>
      </c>
      <c r="J707" s="1372">
        <f>'Labor Results Matrix'!$G$825*(1+'Labor Results Matrix'!$K$823)</f>
        <v>67.26167983080542</v>
      </c>
      <c r="K707" s="1388">
        <f t="shared" si="254"/>
        <v>143.43660423840348</v>
      </c>
      <c r="L707" s="1372">
        <f>('Labor Results Matrix'!$I$826+'Labor Results Matrix'!$I$827)*(1+'Labor Results Matrix'!$K$823)</f>
        <v>43.705339500000008</v>
      </c>
      <c r="M707" s="1388">
        <f>H707+K707+L707</f>
        <v>439.48730777781236</v>
      </c>
      <c r="N707" s="1458">
        <f>M707-M706</f>
        <v>7.7195019169369061</v>
      </c>
      <c r="O707" s="1429"/>
      <c r="P707" s="1430"/>
      <c r="Q707" s="1430"/>
      <c r="R707" s="1430"/>
      <c r="S707" s="1430"/>
      <c r="T707" s="1430"/>
      <c r="U707" s="1430"/>
      <c r="V707" s="1679"/>
      <c r="W707" s="1366"/>
      <c r="X707" s="1366"/>
      <c r="Y707" s="1366"/>
      <c r="Z707" s="1366"/>
      <c r="AA707" s="1366"/>
      <c r="AB707" s="1366"/>
      <c r="AC707" s="1366"/>
      <c r="AD707" s="1366"/>
      <c r="AE707" s="1366"/>
      <c r="AF707" s="1366"/>
      <c r="AG707" s="1366"/>
      <c r="AH707" s="1366"/>
      <c r="AI707" s="1366"/>
      <c r="AJ707" s="1366"/>
      <c r="AK707" s="1366"/>
      <c r="AL707" s="1366"/>
      <c r="AM707" s="1366"/>
      <c r="AN707" s="1366"/>
      <c r="AO707" s="1366"/>
      <c r="AP707" s="1366"/>
      <c r="AQ707" s="1366"/>
      <c r="AR707" s="1366"/>
      <c r="AS707" s="1366"/>
      <c r="AT707" s="1366"/>
      <c r="AU707" s="1366"/>
      <c r="AV707" s="1366"/>
      <c r="AW707" s="1366"/>
      <c r="AX707" s="1366"/>
      <c r="AY707" s="1366"/>
      <c r="AZ707" s="1366"/>
      <c r="BA707" s="1366"/>
      <c r="BB707" s="1366"/>
      <c r="BC707" s="1366"/>
      <c r="BD707" s="1366"/>
      <c r="BE707" s="1366"/>
      <c r="BF707" s="1366"/>
      <c r="BG707" s="1366"/>
      <c r="BH707" s="1366"/>
      <c r="BI707" s="1366"/>
      <c r="BJ707" s="1366"/>
      <c r="BK707" s="1366"/>
      <c r="BL707" s="1366"/>
      <c r="BM707" s="1366"/>
      <c r="BN707" s="1366"/>
      <c r="BO707" s="1366"/>
      <c r="BP707" s="1366"/>
      <c r="BQ707" s="1366"/>
      <c r="BR707" s="1366"/>
      <c r="BS707" s="1366"/>
      <c r="BT707" s="1366"/>
      <c r="BU707" s="1366"/>
      <c r="BV707" s="1366"/>
      <c r="BW707" s="1366"/>
      <c r="BX707" s="1366"/>
      <c r="BY707" s="1366"/>
      <c r="BZ707" s="1366"/>
      <c r="CA707" s="1366"/>
      <c r="CB707" s="1366"/>
      <c r="CC707" s="1366"/>
      <c r="CD707" s="1366"/>
      <c r="CE707" s="1366"/>
      <c r="CF707" s="1366"/>
      <c r="CG707" s="1366"/>
      <c r="CH707" s="1366"/>
      <c r="CI707" s="1366"/>
      <c r="CJ707" s="1366"/>
      <c r="CK707" s="1366"/>
      <c r="CL707" s="1366"/>
      <c r="CM707" s="1366"/>
      <c r="CN707" s="1366"/>
      <c r="CO707" s="1366"/>
      <c r="CP707" s="1366"/>
      <c r="CQ707" s="1366"/>
      <c r="CR707" s="1366"/>
      <c r="CS707" s="1366"/>
      <c r="CT707" s="1366"/>
      <c r="CU707" s="1366"/>
      <c r="CV707" s="1366"/>
      <c r="CW707" s="1366"/>
      <c r="CX707" s="1366"/>
      <c r="CY707" s="1366"/>
      <c r="CZ707" s="1366"/>
      <c r="DA707" s="1366"/>
      <c r="DB707" s="1366"/>
      <c r="DC707" s="1366"/>
      <c r="DD707" s="1366"/>
      <c r="DE707" s="1366"/>
      <c r="DF707" s="1366"/>
      <c r="DG707" s="1366"/>
      <c r="DH707" s="1366"/>
      <c r="DI707" s="1366"/>
      <c r="DJ707" s="1366"/>
      <c r="DK707" s="1366"/>
      <c r="DL707" s="1366"/>
      <c r="DM707" s="1366"/>
      <c r="DN707" s="1366"/>
      <c r="DO707" s="1366"/>
      <c r="DP707" s="1366"/>
      <c r="DQ707" s="1366"/>
      <c r="DR707" s="1366"/>
      <c r="DS707" s="1366"/>
      <c r="DT707" s="1366"/>
      <c r="DU707" s="1366"/>
      <c r="DV707" s="1366"/>
    </row>
    <row r="708" spans="1:126" s="1479" customFormat="1" ht="19.5" thickBot="1">
      <c r="A708" s="695"/>
      <c r="B708" s="1652"/>
      <c r="C708" s="1652"/>
      <c r="D708" s="1318"/>
      <c r="E708" s="1318"/>
      <c r="F708" s="1318"/>
      <c r="G708" s="1318"/>
      <c r="H708" s="1389"/>
      <c r="I708" s="1446"/>
      <c r="J708" s="1390"/>
      <c r="K708" s="1389"/>
      <c r="L708" s="1532"/>
      <c r="M708" s="1389"/>
      <c r="N708" s="1497"/>
      <c r="O708" s="1413"/>
      <c r="P708" s="1414"/>
      <c r="Q708" s="1414"/>
      <c r="R708" s="1443"/>
      <c r="S708" s="1443"/>
      <c r="T708" s="1488"/>
      <c r="U708" s="1488"/>
      <c r="V708" s="1489"/>
      <c r="W708" s="1490"/>
      <c r="X708" s="1490"/>
      <c r="Y708" s="327"/>
      <c r="Z708" s="327"/>
      <c r="AA708" s="327"/>
      <c r="AB708" s="1490"/>
      <c r="AC708" s="1490"/>
      <c r="AD708" s="1490"/>
      <c r="AE708" s="1490"/>
      <c r="AF708" s="327"/>
      <c r="AG708" s="327"/>
      <c r="AH708" s="327"/>
      <c r="AI708" s="327"/>
      <c r="AJ708" s="327"/>
      <c r="AK708" s="1478"/>
      <c r="AL708" s="1478"/>
      <c r="AM708" s="1478"/>
      <c r="AN708" s="1478"/>
      <c r="AO708" s="1478"/>
      <c r="AP708" s="1478"/>
      <c r="AQ708" s="1478"/>
      <c r="AR708" s="1478"/>
      <c r="AS708" s="1478"/>
      <c r="AT708" s="1478"/>
      <c r="AU708" s="1478"/>
      <c r="AV708" s="1478"/>
      <c r="AW708" s="1478"/>
      <c r="AX708" s="1478"/>
      <c r="AY708" s="1478"/>
      <c r="AZ708" s="1478"/>
      <c r="BA708" s="1478"/>
      <c r="BB708" s="1478"/>
      <c r="BC708" s="1478"/>
      <c r="BD708" s="1478"/>
      <c r="BE708" s="1478"/>
      <c r="BF708" s="1478"/>
      <c r="BG708" s="1478"/>
      <c r="BH708" s="1478"/>
      <c r="BI708" s="1478"/>
      <c r="BJ708" s="1478"/>
      <c r="BK708" s="327"/>
      <c r="BL708" s="327"/>
      <c r="BM708" s="327"/>
      <c r="BN708" s="327"/>
      <c r="BO708" s="327"/>
      <c r="BP708" s="327"/>
      <c r="BQ708" s="327"/>
      <c r="BR708" s="327"/>
      <c r="BS708" s="327"/>
      <c r="BT708" s="327"/>
      <c r="BU708" s="327"/>
      <c r="BV708" s="327"/>
      <c r="BW708" s="327"/>
      <c r="BX708" s="327"/>
      <c r="BY708" s="327"/>
      <c r="BZ708" s="327"/>
      <c r="CA708" s="327"/>
      <c r="CB708" s="327"/>
      <c r="CC708" s="327"/>
      <c r="CD708" s="327"/>
      <c r="CE708" s="327"/>
      <c r="CF708" s="327"/>
      <c r="CG708" s="327"/>
      <c r="CH708" s="327"/>
      <c r="CI708" s="327"/>
      <c r="CJ708" s="327"/>
      <c r="CK708" s="327"/>
      <c r="CL708" s="327"/>
      <c r="CM708" s="327"/>
      <c r="CN708" s="327"/>
      <c r="CO708" s="327"/>
      <c r="CP708" s="327"/>
      <c r="CQ708" s="327"/>
      <c r="CR708" s="327"/>
      <c r="CS708" s="327"/>
      <c r="CT708" s="327"/>
      <c r="CU708" s="327"/>
      <c r="CV708" s="327"/>
      <c r="CW708" s="327"/>
      <c r="CX708" s="327"/>
      <c r="CY708" s="327"/>
      <c r="CZ708" s="327"/>
      <c r="DA708" s="327"/>
      <c r="DB708" s="327"/>
      <c r="DC708" s="327"/>
      <c r="DD708" s="327"/>
      <c r="DE708" s="327"/>
      <c r="DF708" s="327"/>
      <c r="DG708" s="327"/>
      <c r="DH708" s="327"/>
      <c r="DI708" s="327"/>
      <c r="DJ708" s="327"/>
      <c r="DK708" s="327"/>
      <c r="DL708" s="327"/>
      <c r="DM708" s="327"/>
      <c r="DN708" s="327"/>
      <c r="DO708" s="327"/>
      <c r="DP708" s="327"/>
      <c r="DQ708" s="327"/>
      <c r="DR708" s="327"/>
      <c r="DS708" s="327"/>
      <c r="DT708" s="327"/>
      <c r="DU708" s="327"/>
      <c r="DV708" s="327"/>
    </row>
    <row r="709" spans="1:126" s="1367" customFormat="1" ht="45">
      <c r="A709" s="2493" t="s">
        <v>2489</v>
      </c>
      <c r="B709" s="1665" t="s">
        <v>2511</v>
      </c>
      <c r="C709" s="1638" t="s">
        <v>47</v>
      </c>
      <c r="D709" s="1379" t="s">
        <v>2514</v>
      </c>
      <c r="E709" s="1365" t="s">
        <v>2097</v>
      </c>
      <c r="F709" s="1365" t="s">
        <v>2108</v>
      </c>
      <c r="G709" s="506" t="s">
        <v>1915</v>
      </c>
      <c r="H709" s="1433">
        <f>(('Equipment Results Matrix'!$R$1270*32)+(48*'Equipment Results Matrix'!$R$1271)+'Equipment Results Matrix'!$R$1273+'Equipment Results Matrix'!$R$1275+'Equipment Results Matrix'!$R$1277+'Equipment Results Matrix'!$R$1278+'Equipment Results Matrix'!$R$1280+'Equipment Results Matrix'!$R$1282+'Equipment Results Matrix'!$R$1284+'Equipment Results Matrix'!$T$1277)*(1+'Equipment Results Matrix'!$T$1279)+((32*'Equipment Results Matrix'!$R$1161)+(75*'Equipment Results Matrix'!$R$1162)+(15000*'Equipment Results Matrix'!$R$1163)+(91*'Equipment Results Matrix'!$R$1164)+'Equipment Results Matrix'!$R$1165+'Equipment Results Matrix'!$R$1167+'Equipment Results Matrix'!$R$1169+'Equipment Results Matrix'!$T$1168)*(1+'Equipment Results Matrix'!$T$1170)</f>
        <v>146.47729946913756</v>
      </c>
      <c r="I709" s="1434">
        <f>'Labor Results Matrix'!$E$778+'Labor Results Matrix'!$E$779+'Labor Results Matrix'!$E$669</f>
        <v>1.8394300469941043</v>
      </c>
      <c r="J709" s="1388">
        <f>AVERAGE('Labor Results Matrix'!$G$672*(1+'Labor Results Matrix'!$K$669),'Labor Results Matrix'!$G$744*(1+'Labor Results Matrix'!$K$742))</f>
        <v>74.914673663408365</v>
      </c>
      <c r="K709" s="1388">
        <f>J709*I709</f>
        <v>137.80030169723125</v>
      </c>
      <c r="L709" s="1388">
        <f>'Labor Results Matrix'!$I$781*(1+'Labor Results Matrix'!$K$778)</f>
        <v>24.302454400000002</v>
      </c>
      <c r="M709" s="1388">
        <f>H709+K709+L709</f>
        <v>308.5800555663688</v>
      </c>
      <c r="N709" s="1462" t="s">
        <v>40</v>
      </c>
      <c r="O709" s="1429"/>
      <c r="P709" s="1430"/>
      <c r="Q709" s="1430"/>
      <c r="R709" s="1430"/>
      <c r="S709" s="1430"/>
      <c r="T709" s="1430"/>
      <c r="U709" s="1430"/>
      <c r="V709" s="1679"/>
      <c r="W709" s="1366"/>
      <c r="X709" s="1366"/>
      <c r="Y709" s="1366"/>
      <c r="Z709" s="1366"/>
      <c r="AA709" s="1366"/>
      <c r="AB709" s="1366"/>
      <c r="AC709" s="1366"/>
      <c r="AD709" s="1366"/>
      <c r="AE709" s="1366"/>
      <c r="AF709" s="1366"/>
      <c r="AG709" s="1366"/>
      <c r="AH709" s="1366"/>
      <c r="AI709" s="1366"/>
      <c r="AJ709" s="1366"/>
      <c r="AK709" s="1366"/>
      <c r="AL709" s="1366"/>
      <c r="AM709" s="1366"/>
      <c r="AN709" s="1366"/>
      <c r="AO709" s="1366"/>
      <c r="AP709" s="1366"/>
      <c r="AQ709" s="1366"/>
      <c r="AR709" s="1366"/>
      <c r="AS709" s="1366"/>
      <c r="AT709" s="1366"/>
      <c r="AU709" s="1366"/>
      <c r="AV709" s="1366"/>
      <c r="AW709" s="1366"/>
      <c r="AX709" s="1366"/>
      <c r="AY709" s="1366"/>
      <c r="AZ709" s="1366"/>
      <c r="BA709" s="1366"/>
      <c r="BB709" s="1366"/>
      <c r="BC709" s="1366"/>
      <c r="BD709" s="1366"/>
      <c r="BE709" s="1366"/>
      <c r="BF709" s="1366"/>
      <c r="BG709" s="1366"/>
      <c r="BH709" s="1366"/>
      <c r="BI709" s="1366"/>
      <c r="BJ709" s="1366"/>
      <c r="BK709" s="1366"/>
      <c r="BL709" s="1366"/>
      <c r="BM709" s="1366"/>
      <c r="BN709" s="1366"/>
      <c r="BO709" s="1366"/>
      <c r="BP709" s="1366"/>
      <c r="BQ709" s="1366"/>
      <c r="BR709" s="1366"/>
      <c r="BS709" s="1366"/>
      <c r="BT709" s="1366"/>
      <c r="BU709" s="1366"/>
      <c r="BV709" s="1366"/>
      <c r="BW709" s="1366"/>
      <c r="BX709" s="1366"/>
      <c r="BY709" s="1366"/>
      <c r="BZ709" s="1366"/>
      <c r="CA709" s="1366"/>
      <c r="CB709" s="1366"/>
      <c r="CC709" s="1366"/>
      <c r="CD709" s="1366"/>
      <c r="CE709" s="1366"/>
      <c r="CF709" s="1366"/>
      <c r="CG709" s="1366"/>
      <c r="CH709" s="1366"/>
      <c r="CI709" s="1366"/>
      <c r="CJ709" s="1366"/>
      <c r="CK709" s="1366"/>
      <c r="CL709" s="1366"/>
      <c r="CM709" s="1366"/>
      <c r="CN709" s="1366"/>
      <c r="CO709" s="1366"/>
      <c r="CP709" s="1366"/>
      <c r="CQ709" s="1366"/>
      <c r="CR709" s="1366"/>
      <c r="CS709" s="1366"/>
      <c r="CT709" s="1366"/>
      <c r="CU709" s="1366"/>
      <c r="CV709" s="1366"/>
      <c r="CW709" s="1366"/>
      <c r="CX709" s="1366"/>
      <c r="CY709" s="1366"/>
      <c r="CZ709" s="1366"/>
      <c r="DA709" s="1366"/>
      <c r="DB709" s="1366"/>
      <c r="DC709" s="1366"/>
      <c r="DD709" s="1366"/>
      <c r="DE709" s="1366"/>
      <c r="DF709" s="1366"/>
      <c r="DG709" s="1366"/>
      <c r="DH709" s="1366"/>
      <c r="DI709" s="1366"/>
      <c r="DJ709" s="1366"/>
      <c r="DK709" s="1366"/>
      <c r="DL709" s="1366"/>
      <c r="DM709" s="1366"/>
      <c r="DN709" s="1366"/>
      <c r="DO709" s="1366"/>
      <c r="DP709" s="1366"/>
      <c r="DQ709" s="1366"/>
      <c r="DR709" s="1366"/>
      <c r="DS709" s="1366"/>
      <c r="DT709" s="1366"/>
      <c r="DU709" s="1366"/>
      <c r="DV709" s="1366"/>
    </row>
    <row r="710" spans="1:126" s="1367" customFormat="1" ht="45">
      <c r="A710" s="2494"/>
      <c r="B710" s="1657">
        <v>2024</v>
      </c>
      <c r="C710" s="1638" t="s">
        <v>49</v>
      </c>
      <c r="D710" s="1379" t="s">
        <v>2515</v>
      </c>
      <c r="E710" s="1365" t="s">
        <v>2097</v>
      </c>
      <c r="F710" s="1365" t="s">
        <v>2108</v>
      </c>
      <c r="G710" s="506" t="s">
        <v>1915</v>
      </c>
      <c r="H710" s="1433">
        <f>(('Equipment Results Matrix'!$R$1270*32)+(48*'Equipment Results Matrix'!$R$1271)+'Equipment Results Matrix'!$R$1273+'Equipment Results Matrix'!$R$1275+'Equipment Results Matrix'!$R$1277+'Equipment Results Matrix'!$R$1279+'Equipment Results Matrix'!$R$1280+'Equipment Results Matrix'!$R$1282+'Equipment Results Matrix'!$R$1284+'Equipment Results Matrix'!$T$1277)*(1+'Equipment Results Matrix'!$T$1279)+((32*'Equipment Results Matrix'!$R$1161)+(82*'Equipment Results Matrix'!$R$1162)+(20000*'Equipment Results Matrix'!$R$1163)+(99*'Equipment Results Matrix'!$R$1164)+'Equipment Results Matrix'!$R$1165+'Equipment Results Matrix'!$R$1167+'Equipment Results Matrix'!$R$1169+'Equipment Results Matrix'!$T$1168)*(1+'Equipment Results Matrix'!$T$1170)</f>
        <v>79.427299469137552</v>
      </c>
      <c r="I710" s="1434">
        <f>'Labor Results Matrix'!$E$778+'Labor Results Matrix'!$E$779+'Labor Results Matrix'!$E$669</f>
        <v>1.8394300469941043</v>
      </c>
      <c r="J710" s="1388">
        <f>AVERAGE('Labor Results Matrix'!$G$672*(1+'Labor Results Matrix'!$K$669),'Labor Results Matrix'!$G$744*(1+'Labor Results Matrix'!$K$742))</f>
        <v>74.914673663408365</v>
      </c>
      <c r="K710" s="1388">
        <f t="shared" ref="K710:K719" si="255">J710*I710</f>
        <v>137.80030169723125</v>
      </c>
      <c r="L710" s="1388">
        <f>'Labor Results Matrix'!$I$781*(1+'Labor Results Matrix'!$K$778)</f>
        <v>24.302454400000002</v>
      </c>
      <c r="M710" s="1388">
        <f t="shared" ref="M710:M725" si="256">H710+K710+L710</f>
        <v>241.53005556636879</v>
      </c>
      <c r="N710" s="1457">
        <f>M710-$M$709</f>
        <v>-67.050000000000011</v>
      </c>
      <c r="O710" s="1429"/>
      <c r="P710" s="1430"/>
      <c r="Q710" s="1430"/>
      <c r="R710" s="1430"/>
      <c r="S710" s="1430"/>
      <c r="T710" s="1430"/>
      <c r="U710" s="1430"/>
      <c r="V710" s="1679"/>
      <c r="W710" s="1366"/>
      <c r="X710" s="1366"/>
      <c r="Y710" s="1366"/>
      <c r="Z710" s="1366"/>
      <c r="AA710" s="1366"/>
      <c r="AB710" s="1366"/>
      <c r="AC710" s="1366"/>
      <c r="AD710" s="1366"/>
      <c r="AE710" s="1366"/>
      <c r="AF710" s="1366"/>
      <c r="AG710" s="1366"/>
      <c r="AH710" s="1366"/>
      <c r="AI710" s="1366"/>
      <c r="AJ710" s="1366"/>
      <c r="AK710" s="1366"/>
      <c r="AL710" s="1366"/>
      <c r="AM710" s="1366"/>
      <c r="AN710" s="1366"/>
      <c r="AO710" s="1366"/>
      <c r="AP710" s="1366"/>
      <c r="AQ710" s="1366"/>
      <c r="AR710" s="1366"/>
      <c r="AS710" s="1366"/>
      <c r="AT710" s="1366"/>
      <c r="AU710" s="1366"/>
      <c r="AV710" s="1366"/>
      <c r="AW710" s="1366"/>
      <c r="AX710" s="1366"/>
      <c r="AY710" s="1366"/>
      <c r="AZ710" s="1366"/>
      <c r="BA710" s="1366"/>
      <c r="BB710" s="1366"/>
      <c r="BC710" s="1366"/>
      <c r="BD710" s="1366"/>
      <c r="BE710" s="1366"/>
      <c r="BF710" s="1366"/>
      <c r="BG710" s="1366"/>
      <c r="BH710" s="1366"/>
      <c r="BI710" s="1366"/>
      <c r="BJ710" s="1366"/>
      <c r="BK710" s="1366"/>
      <c r="BL710" s="1366"/>
      <c r="BM710" s="1366"/>
      <c r="BN710" s="1366"/>
      <c r="BO710" s="1366"/>
      <c r="BP710" s="1366"/>
      <c r="BQ710" s="1366"/>
      <c r="BR710" s="1366"/>
      <c r="BS710" s="1366"/>
      <c r="BT710" s="1366"/>
      <c r="BU710" s="1366"/>
      <c r="BV710" s="1366"/>
      <c r="BW710" s="1366"/>
      <c r="BX710" s="1366"/>
      <c r="BY710" s="1366"/>
      <c r="BZ710" s="1366"/>
      <c r="CA710" s="1366"/>
      <c r="CB710" s="1366"/>
      <c r="CC710" s="1366"/>
      <c r="CD710" s="1366"/>
      <c r="CE710" s="1366"/>
      <c r="CF710" s="1366"/>
      <c r="CG710" s="1366"/>
      <c r="CH710" s="1366"/>
      <c r="CI710" s="1366"/>
      <c r="CJ710" s="1366"/>
      <c r="CK710" s="1366"/>
      <c r="CL710" s="1366"/>
      <c r="CM710" s="1366"/>
      <c r="CN710" s="1366"/>
      <c r="CO710" s="1366"/>
      <c r="CP710" s="1366"/>
      <c r="CQ710" s="1366"/>
      <c r="CR710" s="1366"/>
      <c r="CS710" s="1366"/>
      <c r="CT710" s="1366"/>
      <c r="CU710" s="1366"/>
      <c r="CV710" s="1366"/>
      <c r="CW710" s="1366"/>
      <c r="CX710" s="1366"/>
      <c r="CY710" s="1366"/>
      <c r="CZ710" s="1366"/>
      <c r="DA710" s="1366"/>
      <c r="DB710" s="1366"/>
      <c r="DC710" s="1366"/>
      <c r="DD710" s="1366"/>
      <c r="DE710" s="1366"/>
      <c r="DF710" s="1366"/>
      <c r="DG710" s="1366"/>
      <c r="DH710" s="1366"/>
      <c r="DI710" s="1366"/>
      <c r="DJ710" s="1366"/>
      <c r="DK710" s="1366"/>
      <c r="DL710" s="1366"/>
      <c r="DM710" s="1366"/>
      <c r="DN710" s="1366"/>
      <c r="DO710" s="1366"/>
      <c r="DP710" s="1366"/>
      <c r="DQ710" s="1366"/>
      <c r="DR710" s="1366"/>
      <c r="DS710" s="1366"/>
      <c r="DT710" s="1366"/>
      <c r="DU710" s="1366"/>
      <c r="DV710" s="1366"/>
    </row>
    <row r="711" spans="1:126" s="1367" customFormat="1" ht="45">
      <c r="A711" s="2494"/>
      <c r="B711" s="1657">
        <v>2026</v>
      </c>
      <c r="C711" s="1638" t="s">
        <v>49</v>
      </c>
      <c r="D711" s="1379" t="s">
        <v>2516</v>
      </c>
      <c r="E711" s="1365" t="s">
        <v>2097</v>
      </c>
      <c r="F711" s="1365" t="s">
        <v>2108</v>
      </c>
      <c r="G711" s="506" t="s">
        <v>1915</v>
      </c>
      <c r="H711" s="1433">
        <f>(('Equipment Results Matrix'!$R$1270*32)+(48*'Equipment Results Matrix'!$R$1271)+'Equipment Results Matrix'!$R$1273+'Equipment Results Matrix'!$R$1275+'Equipment Results Matrix'!$R$1277+'Equipment Results Matrix'!$R$1279+'Equipment Results Matrix'!$R$1280+'Equipment Results Matrix'!$R$1282+'Equipment Results Matrix'!$R$1284+'Equipment Results Matrix'!$T$1277)*(1+'Equipment Results Matrix'!$T$1279)+((32*'Equipment Results Matrix'!$R$1161)+(82*'Equipment Results Matrix'!$R$1162)+(20000*'Equipment Results Matrix'!$R$1163)+(99*'Equipment Results Matrix'!$R$1164)+'Equipment Results Matrix'!$R$1165+'Equipment Results Matrix'!$R$1167+'Equipment Results Matrix'!$R$1169+'Equipment Results Matrix'!$T$1168)*(1+'Equipment Results Matrix'!$T$1170)</f>
        <v>79.427299469137552</v>
      </c>
      <c r="I711" s="1434">
        <f>'Labor Results Matrix'!$E$778+'Labor Results Matrix'!$E$779+'Labor Results Matrix'!$E$669</f>
        <v>1.8394300469941043</v>
      </c>
      <c r="J711" s="1388">
        <f>AVERAGE('Labor Results Matrix'!$G$672*(1+'Labor Results Matrix'!$K$669),'Labor Results Matrix'!$G$744*(1+'Labor Results Matrix'!$K$742))</f>
        <v>74.914673663408365</v>
      </c>
      <c r="K711" s="1388">
        <f t="shared" si="255"/>
        <v>137.80030169723125</v>
      </c>
      <c r="L711" s="1388">
        <f>'Labor Results Matrix'!$I$781*(1+'Labor Results Matrix'!$K$778)</f>
        <v>24.302454400000002</v>
      </c>
      <c r="M711" s="1388">
        <f t="shared" si="256"/>
        <v>241.53005556636879</v>
      </c>
      <c r="N711" s="1457">
        <f t="shared" ref="N711:N714" si="257">M711-$M$709</f>
        <v>-67.050000000000011</v>
      </c>
      <c r="O711" s="1429"/>
      <c r="P711" s="1430"/>
      <c r="Q711" s="1430"/>
      <c r="R711" s="1430"/>
      <c r="S711" s="1430"/>
      <c r="T711" s="1430"/>
      <c r="U711" s="1430"/>
      <c r="V711" s="1679"/>
      <c r="W711" s="1366"/>
      <c r="X711" s="1366"/>
      <c r="Y711" s="1366"/>
      <c r="Z711" s="1366"/>
      <c r="AA711" s="1366"/>
      <c r="AB711" s="1366"/>
      <c r="AC711" s="1366"/>
      <c r="AD711" s="1366"/>
      <c r="AE711" s="1366"/>
      <c r="AF711" s="1366"/>
      <c r="AG711" s="1366"/>
      <c r="AH711" s="1366"/>
      <c r="AI711" s="1366"/>
      <c r="AJ711" s="1366"/>
      <c r="AK711" s="1366"/>
      <c r="AL711" s="1366"/>
      <c r="AM711" s="1366"/>
      <c r="AN711" s="1366"/>
      <c r="AO711" s="1366"/>
      <c r="AP711" s="1366"/>
      <c r="AQ711" s="1366"/>
      <c r="AR711" s="1366"/>
      <c r="AS711" s="1366"/>
      <c r="AT711" s="1366"/>
      <c r="AU711" s="1366"/>
      <c r="AV711" s="1366"/>
      <c r="AW711" s="1366"/>
      <c r="AX711" s="1366"/>
      <c r="AY711" s="1366"/>
      <c r="AZ711" s="1366"/>
      <c r="BA711" s="1366"/>
      <c r="BB711" s="1366"/>
      <c r="BC711" s="1366"/>
      <c r="BD711" s="1366"/>
      <c r="BE711" s="1366"/>
      <c r="BF711" s="1366"/>
      <c r="BG711" s="1366"/>
      <c r="BH711" s="1366"/>
      <c r="BI711" s="1366"/>
      <c r="BJ711" s="1366"/>
      <c r="BK711" s="1366"/>
      <c r="BL711" s="1366"/>
      <c r="BM711" s="1366"/>
      <c r="BN711" s="1366"/>
      <c r="BO711" s="1366"/>
      <c r="BP711" s="1366"/>
      <c r="BQ711" s="1366"/>
      <c r="BR711" s="1366"/>
      <c r="BS711" s="1366"/>
      <c r="BT711" s="1366"/>
      <c r="BU711" s="1366"/>
      <c r="BV711" s="1366"/>
      <c r="BW711" s="1366"/>
      <c r="BX711" s="1366"/>
      <c r="BY711" s="1366"/>
      <c r="BZ711" s="1366"/>
      <c r="CA711" s="1366"/>
      <c r="CB711" s="1366"/>
      <c r="CC711" s="1366"/>
      <c r="CD711" s="1366"/>
      <c r="CE711" s="1366"/>
      <c r="CF711" s="1366"/>
      <c r="CG711" s="1366"/>
      <c r="CH711" s="1366"/>
      <c r="CI711" s="1366"/>
      <c r="CJ711" s="1366"/>
      <c r="CK711" s="1366"/>
      <c r="CL711" s="1366"/>
      <c r="CM711" s="1366"/>
      <c r="CN711" s="1366"/>
      <c r="CO711" s="1366"/>
      <c r="CP711" s="1366"/>
      <c r="CQ711" s="1366"/>
      <c r="CR711" s="1366"/>
      <c r="CS711" s="1366"/>
      <c r="CT711" s="1366"/>
      <c r="CU711" s="1366"/>
      <c r="CV711" s="1366"/>
      <c r="CW711" s="1366"/>
      <c r="CX711" s="1366"/>
      <c r="CY711" s="1366"/>
      <c r="CZ711" s="1366"/>
      <c r="DA711" s="1366"/>
      <c r="DB711" s="1366"/>
      <c r="DC711" s="1366"/>
      <c r="DD711" s="1366"/>
      <c r="DE711" s="1366"/>
      <c r="DF711" s="1366"/>
      <c r="DG711" s="1366"/>
      <c r="DH711" s="1366"/>
      <c r="DI711" s="1366"/>
      <c r="DJ711" s="1366"/>
      <c r="DK711" s="1366"/>
      <c r="DL711" s="1366"/>
      <c r="DM711" s="1366"/>
      <c r="DN711" s="1366"/>
      <c r="DO711" s="1366"/>
      <c r="DP711" s="1366"/>
      <c r="DQ711" s="1366"/>
      <c r="DR711" s="1366"/>
      <c r="DS711" s="1366"/>
      <c r="DT711" s="1366"/>
      <c r="DU711" s="1366"/>
      <c r="DV711" s="1366"/>
    </row>
    <row r="712" spans="1:126" s="1367" customFormat="1" ht="45">
      <c r="A712" s="2494"/>
      <c r="B712" s="1657">
        <v>2028</v>
      </c>
      <c r="C712" s="1638" t="s">
        <v>49</v>
      </c>
      <c r="D712" s="1379" t="s">
        <v>2516</v>
      </c>
      <c r="E712" s="1365" t="s">
        <v>2097</v>
      </c>
      <c r="F712" s="1365" t="s">
        <v>2108</v>
      </c>
      <c r="G712" s="506" t="s">
        <v>1915</v>
      </c>
      <c r="H712" s="1433">
        <f>(('Equipment Results Matrix'!$R$1270*32)+(48*'Equipment Results Matrix'!$R$1271)+'Equipment Results Matrix'!$R$1273+'Equipment Results Matrix'!$R$1275+'Equipment Results Matrix'!$R$1277+'Equipment Results Matrix'!$R$1279+'Equipment Results Matrix'!$R$1280+'Equipment Results Matrix'!$R$1282+'Equipment Results Matrix'!$R$1284+'Equipment Results Matrix'!$T$1277)*(1+'Equipment Results Matrix'!$T$1279)+((32*'Equipment Results Matrix'!$R$1161)+(82*'Equipment Results Matrix'!$R$1162)+(20000*'Equipment Results Matrix'!$R$1163)+(99*'Equipment Results Matrix'!$R$1164)+'Equipment Results Matrix'!$R$1165+'Equipment Results Matrix'!$R$1167+'Equipment Results Matrix'!$R$1169+'Equipment Results Matrix'!$T$1168)*(1+'Equipment Results Matrix'!$T$1170)</f>
        <v>79.427299469137552</v>
      </c>
      <c r="I712" s="1434">
        <f>'Labor Results Matrix'!$E$778+'Labor Results Matrix'!$E$779+'Labor Results Matrix'!$E$669</f>
        <v>1.8394300469941043</v>
      </c>
      <c r="J712" s="1388">
        <f>AVERAGE('Labor Results Matrix'!$G$672*(1+'Labor Results Matrix'!$K$669),'Labor Results Matrix'!$G$744*(1+'Labor Results Matrix'!$K$742))</f>
        <v>74.914673663408365</v>
      </c>
      <c r="K712" s="1388">
        <f t="shared" si="255"/>
        <v>137.80030169723125</v>
      </c>
      <c r="L712" s="1388">
        <f>'Labor Results Matrix'!$I$781*(1+'Labor Results Matrix'!$K$778)</f>
        <v>24.302454400000002</v>
      </c>
      <c r="M712" s="1388">
        <f t="shared" si="256"/>
        <v>241.53005556636879</v>
      </c>
      <c r="N712" s="1457">
        <f t="shared" si="257"/>
        <v>-67.050000000000011</v>
      </c>
      <c r="O712" s="1429"/>
      <c r="P712" s="1430"/>
      <c r="Q712" s="1430"/>
      <c r="R712" s="1430"/>
      <c r="S712" s="1430"/>
      <c r="T712" s="1430"/>
      <c r="U712" s="1430"/>
      <c r="V712" s="1679"/>
      <c r="W712" s="1366"/>
      <c r="X712" s="1366"/>
      <c r="Y712" s="1366"/>
      <c r="Z712" s="1366"/>
      <c r="AA712" s="1366"/>
      <c r="AB712" s="1366"/>
      <c r="AC712" s="1366"/>
      <c r="AD712" s="1366"/>
      <c r="AE712" s="1366"/>
      <c r="AF712" s="1366"/>
      <c r="AG712" s="1366"/>
      <c r="AH712" s="1366"/>
      <c r="AI712" s="1366"/>
      <c r="AJ712" s="1366"/>
      <c r="AK712" s="1366"/>
      <c r="AL712" s="1366"/>
      <c r="AM712" s="1366"/>
      <c r="AN712" s="1366"/>
      <c r="AO712" s="1366"/>
      <c r="AP712" s="1366"/>
      <c r="AQ712" s="1366"/>
      <c r="AR712" s="1366"/>
      <c r="AS712" s="1366"/>
      <c r="AT712" s="1366"/>
      <c r="AU712" s="1366"/>
      <c r="AV712" s="1366"/>
      <c r="AW712" s="1366"/>
      <c r="AX712" s="1366"/>
      <c r="AY712" s="1366"/>
      <c r="AZ712" s="1366"/>
      <c r="BA712" s="1366"/>
      <c r="BB712" s="1366"/>
      <c r="BC712" s="1366"/>
      <c r="BD712" s="1366"/>
      <c r="BE712" s="1366"/>
      <c r="BF712" s="1366"/>
      <c r="BG712" s="1366"/>
      <c r="BH712" s="1366"/>
      <c r="BI712" s="1366"/>
      <c r="BJ712" s="1366"/>
      <c r="BK712" s="1366"/>
      <c r="BL712" s="1366"/>
      <c r="BM712" s="1366"/>
      <c r="BN712" s="1366"/>
      <c r="BO712" s="1366"/>
      <c r="BP712" s="1366"/>
      <c r="BQ712" s="1366"/>
      <c r="BR712" s="1366"/>
      <c r="BS712" s="1366"/>
      <c r="BT712" s="1366"/>
      <c r="BU712" s="1366"/>
      <c r="BV712" s="1366"/>
      <c r="BW712" s="1366"/>
      <c r="BX712" s="1366"/>
      <c r="BY712" s="1366"/>
      <c r="BZ712" s="1366"/>
      <c r="CA712" s="1366"/>
      <c r="CB712" s="1366"/>
      <c r="CC712" s="1366"/>
      <c r="CD712" s="1366"/>
      <c r="CE712" s="1366"/>
      <c r="CF712" s="1366"/>
      <c r="CG712" s="1366"/>
      <c r="CH712" s="1366"/>
      <c r="CI712" s="1366"/>
      <c r="CJ712" s="1366"/>
      <c r="CK712" s="1366"/>
      <c r="CL712" s="1366"/>
      <c r="CM712" s="1366"/>
      <c r="CN712" s="1366"/>
      <c r="CO712" s="1366"/>
      <c r="CP712" s="1366"/>
      <c r="CQ712" s="1366"/>
      <c r="CR712" s="1366"/>
      <c r="CS712" s="1366"/>
      <c r="CT712" s="1366"/>
      <c r="CU712" s="1366"/>
      <c r="CV712" s="1366"/>
      <c r="CW712" s="1366"/>
      <c r="CX712" s="1366"/>
      <c r="CY712" s="1366"/>
      <c r="CZ712" s="1366"/>
      <c r="DA712" s="1366"/>
      <c r="DB712" s="1366"/>
      <c r="DC712" s="1366"/>
      <c r="DD712" s="1366"/>
      <c r="DE712" s="1366"/>
      <c r="DF712" s="1366"/>
      <c r="DG712" s="1366"/>
      <c r="DH712" s="1366"/>
      <c r="DI712" s="1366"/>
      <c r="DJ712" s="1366"/>
      <c r="DK712" s="1366"/>
      <c r="DL712" s="1366"/>
      <c r="DM712" s="1366"/>
      <c r="DN712" s="1366"/>
      <c r="DO712" s="1366"/>
      <c r="DP712" s="1366"/>
      <c r="DQ712" s="1366"/>
      <c r="DR712" s="1366"/>
      <c r="DS712" s="1366"/>
      <c r="DT712" s="1366"/>
      <c r="DU712" s="1366"/>
      <c r="DV712" s="1366"/>
    </row>
    <row r="713" spans="1:126" s="1367" customFormat="1" ht="45">
      <c r="A713" s="2494"/>
      <c r="B713" s="1657">
        <v>2030</v>
      </c>
      <c r="C713" s="1638" t="s">
        <v>49</v>
      </c>
      <c r="D713" s="1379" t="s">
        <v>2515</v>
      </c>
      <c r="E713" s="1365" t="s">
        <v>2097</v>
      </c>
      <c r="F713" s="1365" t="s">
        <v>2108</v>
      </c>
      <c r="G713" s="506" t="s">
        <v>1915</v>
      </c>
      <c r="H713" s="1433">
        <f>(('Equipment Results Matrix'!$R$1270*32)+(48*'Equipment Results Matrix'!$R$1271)+'Equipment Results Matrix'!$R$1273+'Equipment Results Matrix'!$R$1275+'Equipment Results Matrix'!$R$1277+'Equipment Results Matrix'!$R$1279+'Equipment Results Matrix'!$R$1280+'Equipment Results Matrix'!$R$1282+'Equipment Results Matrix'!$R$1284+'Equipment Results Matrix'!$T$1277)*(1+'Equipment Results Matrix'!$T$1279)+((32*'Equipment Results Matrix'!$R$1161)+(82*'Equipment Results Matrix'!$R$1162)+(20000*'Equipment Results Matrix'!$R$1163)+(99*'Equipment Results Matrix'!$R$1164)+'Equipment Results Matrix'!$R$1165+'Equipment Results Matrix'!$R$1167+'Equipment Results Matrix'!$R$1169+'Equipment Results Matrix'!$T$1168)*(1+'Equipment Results Matrix'!$T$1170)</f>
        <v>79.427299469137552</v>
      </c>
      <c r="I713" s="1434">
        <f>'Labor Results Matrix'!$E$778+'Labor Results Matrix'!$E$779+'Labor Results Matrix'!$E$669</f>
        <v>1.8394300469941043</v>
      </c>
      <c r="J713" s="1388">
        <f>AVERAGE('Labor Results Matrix'!$G$672*(1+'Labor Results Matrix'!$K$669),'Labor Results Matrix'!$G$744*(1+'Labor Results Matrix'!$K$742))</f>
        <v>74.914673663408365</v>
      </c>
      <c r="K713" s="1388">
        <f t="shared" si="255"/>
        <v>137.80030169723125</v>
      </c>
      <c r="L713" s="1388">
        <f>'Labor Results Matrix'!$I$781*(1+'Labor Results Matrix'!$K$778)</f>
        <v>24.302454400000002</v>
      </c>
      <c r="M713" s="1388">
        <f t="shared" si="256"/>
        <v>241.53005556636879</v>
      </c>
      <c r="N713" s="1457">
        <f t="shared" si="257"/>
        <v>-67.050000000000011</v>
      </c>
      <c r="O713" s="1429"/>
      <c r="P713" s="1430"/>
      <c r="Q713" s="1430"/>
      <c r="R713" s="1430"/>
      <c r="S713" s="1430"/>
      <c r="T713" s="1430"/>
      <c r="U713" s="1430"/>
      <c r="V713" s="1679"/>
      <c r="W713" s="1366"/>
      <c r="X713" s="1366"/>
      <c r="Y713" s="1366"/>
      <c r="Z713" s="1366"/>
      <c r="AA713" s="1366"/>
      <c r="AB713" s="1366"/>
      <c r="AC713" s="1366"/>
      <c r="AD713" s="1366"/>
      <c r="AE713" s="1366"/>
      <c r="AF713" s="1366"/>
      <c r="AG713" s="1366"/>
      <c r="AH713" s="1366"/>
      <c r="AI713" s="1366"/>
      <c r="AJ713" s="1366"/>
      <c r="AK713" s="1366"/>
      <c r="AL713" s="1366"/>
      <c r="AM713" s="1366"/>
      <c r="AN713" s="1366"/>
      <c r="AO713" s="1366"/>
      <c r="AP713" s="1366"/>
      <c r="AQ713" s="1366"/>
      <c r="AR713" s="1366"/>
      <c r="AS713" s="1366"/>
      <c r="AT713" s="1366"/>
      <c r="AU713" s="1366"/>
      <c r="AV713" s="1366"/>
      <c r="AW713" s="1366"/>
      <c r="AX713" s="1366"/>
      <c r="AY713" s="1366"/>
      <c r="AZ713" s="1366"/>
      <c r="BA713" s="1366"/>
      <c r="BB713" s="1366"/>
      <c r="BC713" s="1366"/>
      <c r="BD713" s="1366"/>
      <c r="BE713" s="1366"/>
      <c r="BF713" s="1366"/>
      <c r="BG713" s="1366"/>
      <c r="BH713" s="1366"/>
      <c r="BI713" s="1366"/>
      <c r="BJ713" s="1366"/>
      <c r="BK713" s="1366"/>
      <c r="BL713" s="1366"/>
      <c r="BM713" s="1366"/>
      <c r="BN713" s="1366"/>
      <c r="BO713" s="1366"/>
      <c r="BP713" s="1366"/>
      <c r="BQ713" s="1366"/>
      <c r="BR713" s="1366"/>
      <c r="BS713" s="1366"/>
      <c r="BT713" s="1366"/>
      <c r="BU713" s="1366"/>
      <c r="BV713" s="1366"/>
      <c r="BW713" s="1366"/>
      <c r="BX713" s="1366"/>
      <c r="BY713" s="1366"/>
      <c r="BZ713" s="1366"/>
      <c r="CA713" s="1366"/>
      <c r="CB713" s="1366"/>
      <c r="CC713" s="1366"/>
      <c r="CD713" s="1366"/>
      <c r="CE713" s="1366"/>
      <c r="CF713" s="1366"/>
      <c r="CG713" s="1366"/>
      <c r="CH713" s="1366"/>
      <c r="CI713" s="1366"/>
      <c r="CJ713" s="1366"/>
      <c r="CK713" s="1366"/>
      <c r="CL713" s="1366"/>
      <c r="CM713" s="1366"/>
      <c r="CN713" s="1366"/>
      <c r="CO713" s="1366"/>
      <c r="CP713" s="1366"/>
      <c r="CQ713" s="1366"/>
      <c r="CR713" s="1366"/>
      <c r="CS713" s="1366"/>
      <c r="CT713" s="1366"/>
      <c r="CU713" s="1366"/>
      <c r="CV713" s="1366"/>
      <c r="CW713" s="1366"/>
      <c r="CX713" s="1366"/>
      <c r="CY713" s="1366"/>
      <c r="CZ713" s="1366"/>
      <c r="DA713" s="1366"/>
      <c r="DB713" s="1366"/>
      <c r="DC713" s="1366"/>
      <c r="DD713" s="1366"/>
      <c r="DE713" s="1366"/>
      <c r="DF713" s="1366"/>
      <c r="DG713" s="1366"/>
      <c r="DH713" s="1366"/>
      <c r="DI713" s="1366"/>
      <c r="DJ713" s="1366"/>
      <c r="DK713" s="1366"/>
      <c r="DL713" s="1366"/>
      <c r="DM713" s="1366"/>
      <c r="DN713" s="1366"/>
      <c r="DO713" s="1366"/>
      <c r="DP713" s="1366"/>
      <c r="DQ713" s="1366"/>
      <c r="DR713" s="1366"/>
      <c r="DS713" s="1366"/>
      <c r="DT713" s="1366"/>
      <c r="DU713" s="1366"/>
      <c r="DV713" s="1366"/>
    </row>
    <row r="714" spans="1:126" s="1367" customFormat="1" ht="45">
      <c r="A714" s="2494"/>
      <c r="B714" s="1657">
        <v>2032</v>
      </c>
      <c r="C714" s="1638" t="s">
        <v>49</v>
      </c>
      <c r="D714" s="1379" t="s">
        <v>2515</v>
      </c>
      <c r="E714" s="1365" t="s">
        <v>2097</v>
      </c>
      <c r="F714" s="1365" t="s">
        <v>2108</v>
      </c>
      <c r="G714" s="506" t="s">
        <v>1915</v>
      </c>
      <c r="H714" s="1433">
        <f>(('Equipment Results Matrix'!$R$1270*32)+(48*'Equipment Results Matrix'!$R$1271)+'Equipment Results Matrix'!$R$1273+'Equipment Results Matrix'!$R$1275+'Equipment Results Matrix'!$R$1277+'Equipment Results Matrix'!$R$1279+'Equipment Results Matrix'!$R$1280+'Equipment Results Matrix'!$R$1282+'Equipment Results Matrix'!$R$1284+'Equipment Results Matrix'!$T$1277)*(1+'Equipment Results Matrix'!$T$1279)+((32*'Equipment Results Matrix'!$R$1161)+(82*'Equipment Results Matrix'!$R$1162)+(20000*'Equipment Results Matrix'!$R$1163)+(99*'Equipment Results Matrix'!$R$1164)+'Equipment Results Matrix'!$R$1165+'Equipment Results Matrix'!$R$1167+'Equipment Results Matrix'!$R$1169+'Equipment Results Matrix'!$T$1168)*(1+'Equipment Results Matrix'!$T$1170)</f>
        <v>79.427299469137552</v>
      </c>
      <c r="I714" s="1434">
        <f>'Labor Results Matrix'!$E$778+'Labor Results Matrix'!$E$779+'Labor Results Matrix'!$E$669</f>
        <v>1.8394300469941043</v>
      </c>
      <c r="J714" s="1388">
        <f>AVERAGE('Labor Results Matrix'!$G$672*(1+'Labor Results Matrix'!$K$669),'Labor Results Matrix'!$G$744*(1+'Labor Results Matrix'!$K$742))</f>
        <v>74.914673663408365</v>
      </c>
      <c r="K714" s="1388">
        <f t="shared" si="255"/>
        <v>137.80030169723125</v>
      </c>
      <c r="L714" s="1388">
        <f>'Labor Results Matrix'!$I$781*(1+'Labor Results Matrix'!$K$778)</f>
        <v>24.302454400000002</v>
      </c>
      <c r="M714" s="1388">
        <f t="shared" si="256"/>
        <v>241.53005556636879</v>
      </c>
      <c r="N714" s="1457">
        <f t="shared" si="257"/>
        <v>-67.050000000000011</v>
      </c>
      <c r="O714" s="1429"/>
      <c r="P714" s="1430"/>
      <c r="Q714" s="1430"/>
      <c r="R714" s="1430"/>
      <c r="S714" s="1430"/>
      <c r="T714" s="1430"/>
      <c r="U714" s="1430"/>
      <c r="V714" s="1679"/>
      <c r="W714" s="1366"/>
      <c r="X714" s="1366"/>
      <c r="Y714" s="1366"/>
      <c r="Z714" s="1366"/>
      <c r="AA714" s="1366"/>
      <c r="AB714" s="1366"/>
      <c r="AC714" s="1366"/>
      <c r="AD714" s="1366"/>
      <c r="AE714" s="1366"/>
      <c r="AF714" s="1366"/>
      <c r="AG714" s="1366"/>
      <c r="AH714" s="1366"/>
      <c r="AI714" s="1366"/>
      <c r="AJ714" s="1366"/>
      <c r="AK714" s="1366"/>
      <c r="AL714" s="1366"/>
      <c r="AM714" s="1366"/>
      <c r="AN714" s="1366"/>
      <c r="AO714" s="1366"/>
      <c r="AP714" s="1366"/>
      <c r="AQ714" s="1366"/>
      <c r="AR714" s="1366"/>
      <c r="AS714" s="1366"/>
      <c r="AT714" s="1366"/>
      <c r="AU714" s="1366"/>
      <c r="AV714" s="1366"/>
      <c r="AW714" s="1366"/>
      <c r="AX714" s="1366"/>
      <c r="AY714" s="1366"/>
      <c r="AZ714" s="1366"/>
      <c r="BA714" s="1366"/>
      <c r="BB714" s="1366"/>
      <c r="BC714" s="1366"/>
      <c r="BD714" s="1366"/>
      <c r="BE714" s="1366"/>
      <c r="BF714" s="1366"/>
      <c r="BG714" s="1366"/>
      <c r="BH714" s="1366"/>
      <c r="BI714" s="1366"/>
      <c r="BJ714" s="1366"/>
      <c r="BK714" s="1366"/>
      <c r="BL714" s="1366"/>
      <c r="BM714" s="1366"/>
      <c r="BN714" s="1366"/>
      <c r="BO714" s="1366"/>
      <c r="BP714" s="1366"/>
      <c r="BQ714" s="1366"/>
      <c r="BR714" s="1366"/>
      <c r="BS714" s="1366"/>
      <c r="BT714" s="1366"/>
      <c r="BU714" s="1366"/>
      <c r="BV714" s="1366"/>
      <c r="BW714" s="1366"/>
      <c r="BX714" s="1366"/>
      <c r="BY714" s="1366"/>
      <c r="BZ714" s="1366"/>
      <c r="CA714" s="1366"/>
      <c r="CB714" s="1366"/>
      <c r="CC714" s="1366"/>
      <c r="CD714" s="1366"/>
      <c r="CE714" s="1366"/>
      <c r="CF714" s="1366"/>
      <c r="CG714" s="1366"/>
      <c r="CH714" s="1366"/>
      <c r="CI714" s="1366"/>
      <c r="CJ714" s="1366"/>
      <c r="CK714" s="1366"/>
      <c r="CL714" s="1366"/>
      <c r="CM714" s="1366"/>
      <c r="CN714" s="1366"/>
      <c r="CO714" s="1366"/>
      <c r="CP714" s="1366"/>
      <c r="CQ714" s="1366"/>
      <c r="CR714" s="1366"/>
      <c r="CS714" s="1366"/>
      <c r="CT714" s="1366"/>
      <c r="CU714" s="1366"/>
      <c r="CV714" s="1366"/>
      <c r="CW714" s="1366"/>
      <c r="CX714" s="1366"/>
      <c r="CY714" s="1366"/>
      <c r="CZ714" s="1366"/>
      <c r="DA714" s="1366"/>
      <c r="DB714" s="1366"/>
      <c r="DC714" s="1366"/>
      <c r="DD714" s="1366"/>
      <c r="DE714" s="1366"/>
      <c r="DF714" s="1366"/>
      <c r="DG714" s="1366"/>
      <c r="DH714" s="1366"/>
      <c r="DI714" s="1366"/>
      <c r="DJ714" s="1366"/>
      <c r="DK714" s="1366"/>
      <c r="DL714" s="1366"/>
      <c r="DM714" s="1366"/>
      <c r="DN714" s="1366"/>
      <c r="DO714" s="1366"/>
      <c r="DP714" s="1366"/>
      <c r="DQ714" s="1366"/>
      <c r="DR714" s="1366"/>
      <c r="DS714" s="1366"/>
      <c r="DT714" s="1366"/>
      <c r="DU714" s="1366"/>
      <c r="DV714" s="1366"/>
    </row>
    <row r="715" spans="1:126" s="1367" customFormat="1" ht="45">
      <c r="A715" s="2494"/>
      <c r="B715" s="1657" t="s">
        <v>2512</v>
      </c>
      <c r="C715" s="1638" t="s">
        <v>47</v>
      </c>
      <c r="D715" s="1379" t="s">
        <v>2517</v>
      </c>
      <c r="E715" s="1365" t="s">
        <v>2097</v>
      </c>
      <c r="F715" s="1365" t="s">
        <v>2108</v>
      </c>
      <c r="G715" s="506" t="s">
        <v>1915</v>
      </c>
      <c r="H715" s="1433">
        <f>(('Equipment Results Matrix'!$R$1270*64)+(48*'Equipment Results Matrix'!$R$1271)+'Equipment Results Matrix'!$R$1273+'Equipment Results Matrix'!$R$1275+'Equipment Results Matrix'!$R$1277+'Equipment Results Matrix'!$R$1278+'Equipment Results Matrix'!$R$1280+'Equipment Results Matrix'!$R$1282+'Equipment Results Matrix'!$R$1284+'Equipment Results Matrix'!$T$1277)*(1+'Equipment Results Matrix'!$T$1279)+((32*'Equipment Results Matrix'!$R$1161)+(75*'Equipment Results Matrix'!$R$1162)+(15000*'Equipment Results Matrix'!$R$1163)+(91*'Equipment Results Matrix'!$R$1164)+'Equipment Results Matrix'!$R$1165+'Equipment Results Matrix'!$R$1167+'Equipment Results Matrix'!$R$1169+'Equipment Results Matrix'!$T$1168)*(1+'Equipment Results Matrix'!$T$1170)*2</f>
        <v>156.60816748666218</v>
      </c>
      <c r="I715" s="1434">
        <f>'Labor Results Matrix'!$E$778+'Labor Results Matrix'!$E$779+'Labor Results Matrix'!$E$669</f>
        <v>1.8394300469941043</v>
      </c>
      <c r="J715" s="1388">
        <f>AVERAGE('Labor Results Matrix'!$G$672*(1+'Labor Results Matrix'!$K$669),'Labor Results Matrix'!$G$744*(1+'Labor Results Matrix'!$K$742))</f>
        <v>74.914673663408365</v>
      </c>
      <c r="K715" s="1388">
        <f t="shared" si="255"/>
        <v>137.80030169723125</v>
      </c>
      <c r="L715" s="1388">
        <f>'Labor Results Matrix'!$I$781*(1+'Labor Results Matrix'!$K$778)</f>
        <v>24.302454400000002</v>
      </c>
      <c r="M715" s="1388">
        <f t="shared" si="256"/>
        <v>318.71092358389342</v>
      </c>
      <c r="N715" s="1462" t="s">
        <v>40</v>
      </c>
      <c r="O715" s="1429"/>
      <c r="P715" s="1430"/>
      <c r="Q715" s="1430"/>
      <c r="R715" s="1430"/>
      <c r="S715" s="1430"/>
      <c r="T715" s="1430"/>
      <c r="U715" s="1430"/>
      <c r="V715" s="1679"/>
      <c r="W715" s="1366"/>
      <c r="X715" s="1366"/>
      <c r="Y715" s="1366"/>
      <c r="Z715" s="1366"/>
      <c r="AA715" s="1366"/>
      <c r="AB715" s="1366"/>
      <c r="AC715" s="1366"/>
      <c r="AD715" s="1366"/>
      <c r="AE715" s="1366"/>
      <c r="AF715" s="1366"/>
      <c r="AG715" s="1366"/>
      <c r="AH715" s="1366"/>
      <c r="AI715" s="1366"/>
      <c r="AJ715" s="1366"/>
      <c r="AK715" s="1366"/>
      <c r="AL715" s="1366"/>
      <c r="AM715" s="1366"/>
      <c r="AN715" s="1366"/>
      <c r="AO715" s="1366"/>
      <c r="AP715" s="1366"/>
      <c r="AQ715" s="1366"/>
      <c r="AR715" s="1366"/>
      <c r="AS715" s="1366"/>
      <c r="AT715" s="1366"/>
      <c r="AU715" s="1366"/>
      <c r="AV715" s="1366"/>
      <c r="AW715" s="1366"/>
      <c r="AX715" s="1366"/>
      <c r="AY715" s="1366"/>
      <c r="AZ715" s="1366"/>
      <c r="BA715" s="1366"/>
      <c r="BB715" s="1366"/>
      <c r="BC715" s="1366"/>
      <c r="BD715" s="1366"/>
      <c r="BE715" s="1366"/>
      <c r="BF715" s="1366"/>
      <c r="BG715" s="1366"/>
      <c r="BH715" s="1366"/>
      <c r="BI715" s="1366"/>
      <c r="BJ715" s="1366"/>
      <c r="BK715" s="1366"/>
      <c r="BL715" s="1366"/>
      <c r="BM715" s="1366"/>
      <c r="BN715" s="1366"/>
      <c r="BO715" s="1366"/>
      <c r="BP715" s="1366"/>
      <c r="BQ715" s="1366"/>
      <c r="BR715" s="1366"/>
      <c r="BS715" s="1366"/>
      <c r="BT715" s="1366"/>
      <c r="BU715" s="1366"/>
      <c r="BV715" s="1366"/>
      <c r="BW715" s="1366"/>
      <c r="BX715" s="1366"/>
      <c r="BY715" s="1366"/>
      <c r="BZ715" s="1366"/>
      <c r="CA715" s="1366"/>
      <c r="CB715" s="1366"/>
      <c r="CC715" s="1366"/>
      <c r="CD715" s="1366"/>
      <c r="CE715" s="1366"/>
      <c r="CF715" s="1366"/>
      <c r="CG715" s="1366"/>
      <c r="CH715" s="1366"/>
      <c r="CI715" s="1366"/>
      <c r="CJ715" s="1366"/>
      <c r="CK715" s="1366"/>
      <c r="CL715" s="1366"/>
      <c r="CM715" s="1366"/>
      <c r="CN715" s="1366"/>
      <c r="CO715" s="1366"/>
      <c r="CP715" s="1366"/>
      <c r="CQ715" s="1366"/>
      <c r="CR715" s="1366"/>
      <c r="CS715" s="1366"/>
      <c r="CT715" s="1366"/>
      <c r="CU715" s="1366"/>
      <c r="CV715" s="1366"/>
      <c r="CW715" s="1366"/>
      <c r="CX715" s="1366"/>
      <c r="CY715" s="1366"/>
      <c r="CZ715" s="1366"/>
      <c r="DA715" s="1366"/>
      <c r="DB715" s="1366"/>
      <c r="DC715" s="1366"/>
      <c r="DD715" s="1366"/>
      <c r="DE715" s="1366"/>
      <c r="DF715" s="1366"/>
      <c r="DG715" s="1366"/>
      <c r="DH715" s="1366"/>
      <c r="DI715" s="1366"/>
      <c r="DJ715" s="1366"/>
      <c r="DK715" s="1366"/>
      <c r="DL715" s="1366"/>
      <c r="DM715" s="1366"/>
      <c r="DN715" s="1366"/>
      <c r="DO715" s="1366"/>
      <c r="DP715" s="1366"/>
      <c r="DQ715" s="1366"/>
      <c r="DR715" s="1366"/>
      <c r="DS715" s="1366"/>
      <c r="DT715" s="1366"/>
      <c r="DU715" s="1366"/>
      <c r="DV715" s="1366"/>
    </row>
    <row r="716" spans="1:126" s="1367" customFormat="1" ht="45">
      <c r="A716" s="2494"/>
      <c r="B716" s="1657">
        <v>2034</v>
      </c>
      <c r="C716" s="1638" t="s">
        <v>49</v>
      </c>
      <c r="D716" s="1379" t="s">
        <v>2518</v>
      </c>
      <c r="E716" s="1365" t="s">
        <v>2097</v>
      </c>
      <c r="F716" s="1365" t="s">
        <v>2108</v>
      </c>
      <c r="G716" s="506" t="s">
        <v>1915</v>
      </c>
      <c r="H716" s="1433">
        <f>(('Equipment Results Matrix'!$R$1270*64)+(48*'Equipment Results Matrix'!$R$1271)+'Equipment Results Matrix'!$R$1273+'Equipment Results Matrix'!$R$1275+'Equipment Results Matrix'!$R$1277+'Equipment Results Matrix'!$R$1278+'Equipment Results Matrix'!$R$1280+'Equipment Results Matrix'!$R$1282+'Equipment Results Matrix'!$R$1284+'Equipment Results Matrix'!$T$1277)*(1+'Equipment Results Matrix'!$T$1279)+((32*'Equipment Results Matrix'!$R$1161)+(70*'Equipment Results Matrix'!$R$1162)+(20000*'Equipment Results Matrix'!$R$1163)+(99*'Equipment Results Matrix'!$R$1164)+'Equipment Results Matrix'!$R$1165+'Equipment Results Matrix'!$R$1167+'Equipment Results Matrix'!$R$1169+'Equipment Results Matrix'!$T$1168)*(1+'Equipment Results Matrix'!$T$1170)*2</f>
        <v>154.23316748666218</v>
      </c>
      <c r="I716" s="1434">
        <f>'Labor Results Matrix'!$E$778+'Labor Results Matrix'!$E$779+'Labor Results Matrix'!$E$669</f>
        <v>1.8394300469941043</v>
      </c>
      <c r="J716" s="1388">
        <f>AVERAGE('Labor Results Matrix'!$G$672*(1+'Labor Results Matrix'!$K$669),'Labor Results Matrix'!$G$744*(1+'Labor Results Matrix'!$K$742))</f>
        <v>74.914673663408365</v>
      </c>
      <c r="K716" s="1388">
        <f t="shared" si="255"/>
        <v>137.80030169723125</v>
      </c>
      <c r="L716" s="1388">
        <f>'Labor Results Matrix'!$I$781*(1+'Labor Results Matrix'!$K$778)</f>
        <v>24.302454400000002</v>
      </c>
      <c r="M716" s="1388">
        <f t="shared" si="256"/>
        <v>316.33592358389342</v>
      </c>
      <c r="N716" s="1457">
        <f>M716-$M$715</f>
        <v>-2.375</v>
      </c>
      <c r="O716" s="1429"/>
      <c r="P716" s="1430"/>
      <c r="Q716" s="1430"/>
      <c r="R716" s="1430"/>
      <c r="S716" s="1430"/>
      <c r="T716" s="1430"/>
      <c r="U716" s="1430"/>
      <c r="V716" s="1679"/>
      <c r="W716" s="1366"/>
      <c r="X716" s="1366"/>
      <c r="Y716" s="1366"/>
      <c r="Z716" s="1366"/>
      <c r="AA716" s="1366"/>
      <c r="AB716" s="1366"/>
      <c r="AC716" s="1366"/>
      <c r="AD716" s="1366"/>
      <c r="AE716" s="1366"/>
      <c r="AF716" s="1366"/>
      <c r="AG716" s="1366"/>
      <c r="AH716" s="1366"/>
      <c r="AI716" s="1366"/>
      <c r="AJ716" s="1366"/>
      <c r="AK716" s="1366"/>
      <c r="AL716" s="1366"/>
      <c r="AM716" s="1366"/>
      <c r="AN716" s="1366"/>
      <c r="AO716" s="1366"/>
      <c r="AP716" s="1366"/>
      <c r="AQ716" s="1366"/>
      <c r="AR716" s="1366"/>
      <c r="AS716" s="1366"/>
      <c r="AT716" s="1366"/>
      <c r="AU716" s="1366"/>
      <c r="AV716" s="1366"/>
      <c r="AW716" s="1366"/>
      <c r="AX716" s="1366"/>
      <c r="AY716" s="1366"/>
      <c r="AZ716" s="1366"/>
      <c r="BA716" s="1366"/>
      <c r="BB716" s="1366"/>
      <c r="BC716" s="1366"/>
      <c r="BD716" s="1366"/>
      <c r="BE716" s="1366"/>
      <c r="BF716" s="1366"/>
      <c r="BG716" s="1366"/>
      <c r="BH716" s="1366"/>
      <c r="BI716" s="1366"/>
      <c r="BJ716" s="1366"/>
      <c r="BK716" s="1366"/>
      <c r="BL716" s="1366"/>
      <c r="BM716" s="1366"/>
      <c r="BN716" s="1366"/>
      <c r="BO716" s="1366"/>
      <c r="BP716" s="1366"/>
      <c r="BQ716" s="1366"/>
      <c r="BR716" s="1366"/>
      <c r="BS716" s="1366"/>
      <c r="BT716" s="1366"/>
      <c r="BU716" s="1366"/>
      <c r="BV716" s="1366"/>
      <c r="BW716" s="1366"/>
      <c r="BX716" s="1366"/>
      <c r="BY716" s="1366"/>
      <c r="BZ716" s="1366"/>
      <c r="CA716" s="1366"/>
      <c r="CB716" s="1366"/>
      <c r="CC716" s="1366"/>
      <c r="CD716" s="1366"/>
      <c r="CE716" s="1366"/>
      <c r="CF716" s="1366"/>
      <c r="CG716" s="1366"/>
      <c r="CH716" s="1366"/>
      <c r="CI716" s="1366"/>
      <c r="CJ716" s="1366"/>
      <c r="CK716" s="1366"/>
      <c r="CL716" s="1366"/>
      <c r="CM716" s="1366"/>
      <c r="CN716" s="1366"/>
      <c r="CO716" s="1366"/>
      <c r="CP716" s="1366"/>
      <c r="CQ716" s="1366"/>
      <c r="CR716" s="1366"/>
      <c r="CS716" s="1366"/>
      <c r="CT716" s="1366"/>
      <c r="CU716" s="1366"/>
      <c r="CV716" s="1366"/>
      <c r="CW716" s="1366"/>
      <c r="CX716" s="1366"/>
      <c r="CY716" s="1366"/>
      <c r="CZ716" s="1366"/>
      <c r="DA716" s="1366"/>
      <c r="DB716" s="1366"/>
      <c r="DC716" s="1366"/>
      <c r="DD716" s="1366"/>
      <c r="DE716" s="1366"/>
      <c r="DF716" s="1366"/>
      <c r="DG716" s="1366"/>
      <c r="DH716" s="1366"/>
      <c r="DI716" s="1366"/>
      <c r="DJ716" s="1366"/>
      <c r="DK716" s="1366"/>
      <c r="DL716" s="1366"/>
      <c r="DM716" s="1366"/>
      <c r="DN716" s="1366"/>
      <c r="DO716" s="1366"/>
      <c r="DP716" s="1366"/>
      <c r="DQ716" s="1366"/>
      <c r="DR716" s="1366"/>
      <c r="DS716" s="1366"/>
      <c r="DT716" s="1366"/>
      <c r="DU716" s="1366"/>
      <c r="DV716" s="1366"/>
    </row>
    <row r="717" spans="1:126" s="1367" customFormat="1" ht="45">
      <c r="A717" s="2494"/>
      <c r="B717" s="1657">
        <v>2036</v>
      </c>
      <c r="C717" s="1638" t="s">
        <v>49</v>
      </c>
      <c r="D717" s="1379" t="s">
        <v>2519</v>
      </c>
      <c r="E717" s="1365" t="s">
        <v>2097</v>
      </c>
      <c r="F717" s="1365" t="s">
        <v>2108</v>
      </c>
      <c r="G717" s="506" t="s">
        <v>1915</v>
      </c>
      <c r="H717" s="1433">
        <f>(('Equipment Results Matrix'!$R$1270*32)+(48*'Equipment Results Matrix'!$R$1271)+'Equipment Results Matrix'!$R$1273+'Equipment Results Matrix'!$R$1275+'Equipment Results Matrix'!$R$1277+'Equipment Results Matrix'!$R$1279+'Equipment Results Matrix'!$R$1280+'Equipment Results Matrix'!$R$1282+'Equipment Results Matrix'!$R$1284+'Equipment Results Matrix'!$T$1277)*(1+'Equipment Results Matrix'!$T$1279)+((32*'Equipment Results Matrix'!$R$1161)+(70*'Equipment Results Matrix'!$R$1162)+(20000*'Equipment Results Matrix'!$R$1163)+(99*'Equipment Results Matrix'!$R$1164)+'Equipment Results Matrix'!$R$1165+'Equipment Results Matrix'!$R$1167+'Equipment Results Matrix'!$R$1169+'Equipment Results Matrix'!$T$1168)*(1+'Equipment Results Matrix'!$T$1170)*1</f>
        <v>77.177299469137552</v>
      </c>
      <c r="I717" s="1434">
        <f>'Labor Results Matrix'!$E$778+'Labor Results Matrix'!$E$779+'Labor Results Matrix'!$E$669</f>
        <v>1.8394300469941043</v>
      </c>
      <c r="J717" s="1388">
        <f>AVERAGE('Labor Results Matrix'!$G$672*(1+'Labor Results Matrix'!$K$669),'Labor Results Matrix'!$G$744*(1+'Labor Results Matrix'!$K$742))</f>
        <v>74.914673663408365</v>
      </c>
      <c r="K717" s="1388">
        <f t="shared" si="255"/>
        <v>137.80030169723125</v>
      </c>
      <c r="L717" s="1388">
        <f>'Labor Results Matrix'!$I$781*(1+'Labor Results Matrix'!$K$778)</f>
        <v>24.302454400000002</v>
      </c>
      <c r="M717" s="1388">
        <f t="shared" si="256"/>
        <v>239.28005556636879</v>
      </c>
      <c r="N717" s="1457">
        <f t="shared" ref="N717:N719" si="258">M717-$M$715</f>
        <v>-79.430868017524631</v>
      </c>
      <c r="O717" s="1429"/>
      <c r="P717" s="1430"/>
      <c r="Q717" s="1430"/>
      <c r="R717" s="1430"/>
      <c r="S717" s="1430"/>
      <c r="T717" s="1430"/>
      <c r="U717" s="1430"/>
      <c r="V717" s="1679"/>
      <c r="W717" s="1366"/>
      <c r="X717" s="1366"/>
      <c r="Y717" s="1366"/>
      <c r="Z717" s="1366"/>
      <c r="AA717" s="1366"/>
      <c r="AB717" s="1366"/>
      <c r="AC717" s="1366"/>
      <c r="AD717" s="1366"/>
      <c r="AE717" s="1366"/>
      <c r="AF717" s="1366"/>
      <c r="AG717" s="1366"/>
      <c r="AH717" s="1366"/>
      <c r="AI717" s="1366"/>
      <c r="AJ717" s="1366"/>
      <c r="AK717" s="1366"/>
      <c r="AL717" s="1366"/>
      <c r="AM717" s="1366"/>
      <c r="AN717" s="1366"/>
      <c r="AO717" s="1366"/>
      <c r="AP717" s="1366"/>
      <c r="AQ717" s="1366"/>
      <c r="AR717" s="1366"/>
      <c r="AS717" s="1366"/>
      <c r="AT717" s="1366"/>
      <c r="AU717" s="1366"/>
      <c r="AV717" s="1366"/>
      <c r="AW717" s="1366"/>
      <c r="AX717" s="1366"/>
      <c r="AY717" s="1366"/>
      <c r="AZ717" s="1366"/>
      <c r="BA717" s="1366"/>
      <c r="BB717" s="1366"/>
      <c r="BC717" s="1366"/>
      <c r="BD717" s="1366"/>
      <c r="BE717" s="1366"/>
      <c r="BF717" s="1366"/>
      <c r="BG717" s="1366"/>
      <c r="BH717" s="1366"/>
      <c r="BI717" s="1366"/>
      <c r="BJ717" s="1366"/>
      <c r="BK717" s="1366"/>
      <c r="BL717" s="1366"/>
      <c r="BM717" s="1366"/>
      <c r="BN717" s="1366"/>
      <c r="BO717" s="1366"/>
      <c r="BP717" s="1366"/>
      <c r="BQ717" s="1366"/>
      <c r="BR717" s="1366"/>
      <c r="BS717" s="1366"/>
      <c r="BT717" s="1366"/>
      <c r="BU717" s="1366"/>
      <c r="BV717" s="1366"/>
      <c r="BW717" s="1366"/>
      <c r="BX717" s="1366"/>
      <c r="BY717" s="1366"/>
      <c r="BZ717" s="1366"/>
      <c r="CA717" s="1366"/>
      <c r="CB717" s="1366"/>
      <c r="CC717" s="1366"/>
      <c r="CD717" s="1366"/>
      <c r="CE717" s="1366"/>
      <c r="CF717" s="1366"/>
      <c r="CG717" s="1366"/>
      <c r="CH717" s="1366"/>
      <c r="CI717" s="1366"/>
      <c r="CJ717" s="1366"/>
      <c r="CK717" s="1366"/>
      <c r="CL717" s="1366"/>
      <c r="CM717" s="1366"/>
      <c r="CN717" s="1366"/>
      <c r="CO717" s="1366"/>
      <c r="CP717" s="1366"/>
      <c r="CQ717" s="1366"/>
      <c r="CR717" s="1366"/>
      <c r="CS717" s="1366"/>
      <c r="CT717" s="1366"/>
      <c r="CU717" s="1366"/>
      <c r="CV717" s="1366"/>
      <c r="CW717" s="1366"/>
      <c r="CX717" s="1366"/>
      <c r="CY717" s="1366"/>
      <c r="CZ717" s="1366"/>
      <c r="DA717" s="1366"/>
      <c r="DB717" s="1366"/>
      <c r="DC717" s="1366"/>
      <c r="DD717" s="1366"/>
      <c r="DE717" s="1366"/>
      <c r="DF717" s="1366"/>
      <c r="DG717" s="1366"/>
      <c r="DH717" s="1366"/>
      <c r="DI717" s="1366"/>
      <c r="DJ717" s="1366"/>
      <c r="DK717" s="1366"/>
      <c r="DL717" s="1366"/>
      <c r="DM717" s="1366"/>
      <c r="DN717" s="1366"/>
      <c r="DO717" s="1366"/>
      <c r="DP717" s="1366"/>
      <c r="DQ717" s="1366"/>
      <c r="DR717" s="1366"/>
      <c r="DS717" s="1366"/>
      <c r="DT717" s="1366"/>
      <c r="DU717" s="1366"/>
      <c r="DV717" s="1366"/>
    </row>
    <row r="718" spans="1:126" s="1367" customFormat="1" ht="45">
      <c r="A718" s="2494"/>
      <c r="B718" s="1657">
        <v>2037</v>
      </c>
      <c r="C718" s="1638" t="s">
        <v>49</v>
      </c>
      <c r="D718" s="1379" t="s">
        <v>2518</v>
      </c>
      <c r="E718" s="1365" t="s">
        <v>2097</v>
      </c>
      <c r="F718" s="1365" t="s">
        <v>2108</v>
      </c>
      <c r="G718" s="506" t="s">
        <v>1915</v>
      </c>
      <c r="H718" s="1433">
        <f>(('Equipment Results Matrix'!$R$1270*64)+(48*'Equipment Results Matrix'!$R$1271)+'Equipment Results Matrix'!$R$1273+'Equipment Results Matrix'!$R$1275+'Equipment Results Matrix'!$R$1277+'Equipment Results Matrix'!$R$1278+'Equipment Results Matrix'!$R$1280+'Equipment Results Matrix'!$R$1282+'Equipment Results Matrix'!$R$1284+'Equipment Results Matrix'!$T$1277)*(1+'Equipment Results Matrix'!$T$1279)+((32*'Equipment Results Matrix'!$R$1161)+(70*'Equipment Results Matrix'!$R$1162)+(20000*'Equipment Results Matrix'!$R$1163)+(99*'Equipment Results Matrix'!$R$1164)+'Equipment Results Matrix'!$R$1165+'Equipment Results Matrix'!$R$1167+'Equipment Results Matrix'!$R$1169+'Equipment Results Matrix'!$T$1168)*(1+'Equipment Results Matrix'!$T$1170)*2</f>
        <v>154.23316748666218</v>
      </c>
      <c r="I718" s="1434">
        <f>'Labor Results Matrix'!$E$778+'Labor Results Matrix'!$E$779+'Labor Results Matrix'!$E$669</f>
        <v>1.8394300469941043</v>
      </c>
      <c r="J718" s="1388">
        <f>AVERAGE('Labor Results Matrix'!$G$672*(1+'Labor Results Matrix'!$K$669),'Labor Results Matrix'!$G$744*(1+'Labor Results Matrix'!$K$742))</f>
        <v>74.914673663408365</v>
      </c>
      <c r="K718" s="1388">
        <f t="shared" si="255"/>
        <v>137.80030169723125</v>
      </c>
      <c r="L718" s="1388">
        <f>'Labor Results Matrix'!$I$781*(1+'Labor Results Matrix'!$K$778)</f>
        <v>24.302454400000002</v>
      </c>
      <c r="M718" s="1388">
        <f t="shared" si="256"/>
        <v>316.33592358389342</v>
      </c>
      <c r="N718" s="1457">
        <f t="shared" si="258"/>
        <v>-2.375</v>
      </c>
      <c r="O718" s="1429"/>
      <c r="P718" s="1430"/>
      <c r="Q718" s="1430"/>
      <c r="R718" s="1430"/>
      <c r="S718" s="1430"/>
      <c r="T718" s="1430"/>
      <c r="U718" s="1430"/>
      <c r="V718" s="1679"/>
      <c r="W718" s="1366"/>
      <c r="X718" s="1366"/>
      <c r="Y718" s="1366"/>
      <c r="Z718" s="1366"/>
      <c r="AA718" s="1366"/>
      <c r="AB718" s="1366"/>
      <c r="AC718" s="1366"/>
      <c r="AD718" s="1366"/>
      <c r="AE718" s="1366"/>
      <c r="AF718" s="1366"/>
      <c r="AG718" s="1366"/>
      <c r="AH718" s="1366"/>
      <c r="AI718" s="1366"/>
      <c r="AJ718" s="1366"/>
      <c r="AK718" s="1366"/>
      <c r="AL718" s="1366"/>
      <c r="AM718" s="1366"/>
      <c r="AN718" s="1366"/>
      <c r="AO718" s="1366"/>
      <c r="AP718" s="1366"/>
      <c r="AQ718" s="1366"/>
      <c r="AR718" s="1366"/>
      <c r="AS718" s="1366"/>
      <c r="AT718" s="1366"/>
      <c r="AU718" s="1366"/>
      <c r="AV718" s="1366"/>
      <c r="AW718" s="1366"/>
      <c r="AX718" s="1366"/>
      <c r="AY718" s="1366"/>
      <c r="AZ718" s="1366"/>
      <c r="BA718" s="1366"/>
      <c r="BB718" s="1366"/>
      <c r="BC718" s="1366"/>
      <c r="BD718" s="1366"/>
      <c r="BE718" s="1366"/>
      <c r="BF718" s="1366"/>
      <c r="BG718" s="1366"/>
      <c r="BH718" s="1366"/>
      <c r="BI718" s="1366"/>
      <c r="BJ718" s="1366"/>
      <c r="BK718" s="1366"/>
      <c r="BL718" s="1366"/>
      <c r="BM718" s="1366"/>
      <c r="BN718" s="1366"/>
      <c r="BO718" s="1366"/>
      <c r="BP718" s="1366"/>
      <c r="BQ718" s="1366"/>
      <c r="BR718" s="1366"/>
      <c r="BS718" s="1366"/>
      <c r="BT718" s="1366"/>
      <c r="BU718" s="1366"/>
      <c r="BV718" s="1366"/>
      <c r="BW718" s="1366"/>
      <c r="BX718" s="1366"/>
      <c r="BY718" s="1366"/>
      <c r="BZ718" s="1366"/>
      <c r="CA718" s="1366"/>
      <c r="CB718" s="1366"/>
      <c r="CC718" s="1366"/>
      <c r="CD718" s="1366"/>
      <c r="CE718" s="1366"/>
      <c r="CF718" s="1366"/>
      <c r="CG718" s="1366"/>
      <c r="CH718" s="1366"/>
      <c r="CI718" s="1366"/>
      <c r="CJ718" s="1366"/>
      <c r="CK718" s="1366"/>
      <c r="CL718" s="1366"/>
      <c r="CM718" s="1366"/>
      <c r="CN718" s="1366"/>
      <c r="CO718" s="1366"/>
      <c r="CP718" s="1366"/>
      <c r="CQ718" s="1366"/>
      <c r="CR718" s="1366"/>
      <c r="CS718" s="1366"/>
      <c r="CT718" s="1366"/>
      <c r="CU718" s="1366"/>
      <c r="CV718" s="1366"/>
      <c r="CW718" s="1366"/>
      <c r="CX718" s="1366"/>
      <c r="CY718" s="1366"/>
      <c r="CZ718" s="1366"/>
      <c r="DA718" s="1366"/>
      <c r="DB718" s="1366"/>
      <c r="DC718" s="1366"/>
      <c r="DD718" s="1366"/>
      <c r="DE718" s="1366"/>
      <c r="DF718" s="1366"/>
      <c r="DG718" s="1366"/>
      <c r="DH718" s="1366"/>
      <c r="DI718" s="1366"/>
      <c r="DJ718" s="1366"/>
      <c r="DK718" s="1366"/>
      <c r="DL718" s="1366"/>
      <c r="DM718" s="1366"/>
      <c r="DN718" s="1366"/>
      <c r="DO718" s="1366"/>
      <c r="DP718" s="1366"/>
      <c r="DQ718" s="1366"/>
      <c r="DR718" s="1366"/>
      <c r="DS718" s="1366"/>
      <c r="DT718" s="1366"/>
      <c r="DU718" s="1366"/>
      <c r="DV718" s="1366"/>
    </row>
    <row r="719" spans="1:126" s="1367" customFormat="1" ht="45">
      <c r="A719" s="2494"/>
      <c r="B719" s="1657">
        <v>2040</v>
      </c>
      <c r="C719" s="1638" t="s">
        <v>49</v>
      </c>
      <c r="D719" s="1379" t="s">
        <v>2518</v>
      </c>
      <c r="E719" s="1365" t="s">
        <v>2097</v>
      </c>
      <c r="F719" s="1365" t="s">
        <v>2108</v>
      </c>
      <c r="G719" s="506" t="s">
        <v>1915</v>
      </c>
      <c r="H719" s="1433">
        <f>(('Equipment Results Matrix'!$R$1270*64)+(48*'Equipment Results Matrix'!$R$1271)+'Equipment Results Matrix'!$R$1273+'Equipment Results Matrix'!$R$1275+'Equipment Results Matrix'!$R$1277+'Equipment Results Matrix'!$R$1278+'Equipment Results Matrix'!$R$1280+'Equipment Results Matrix'!$R$1282+'Equipment Results Matrix'!$R$1284+'Equipment Results Matrix'!$T$1277)*(1+'Equipment Results Matrix'!$T$1279)+((32*'Equipment Results Matrix'!$R$1161)+(70*'Equipment Results Matrix'!$R$1162)+(20000*'Equipment Results Matrix'!$R$1163)+(99*'Equipment Results Matrix'!$R$1164)+'Equipment Results Matrix'!$R$1165+'Equipment Results Matrix'!$R$1167+'Equipment Results Matrix'!$R$1169+'Equipment Results Matrix'!$T$1168)*(1+'Equipment Results Matrix'!$T$1170)*2</f>
        <v>154.23316748666218</v>
      </c>
      <c r="I719" s="1434">
        <f>'Labor Results Matrix'!$E$778+'Labor Results Matrix'!$E$779+'Labor Results Matrix'!$E$669</f>
        <v>1.8394300469941043</v>
      </c>
      <c r="J719" s="1388">
        <f>AVERAGE('Labor Results Matrix'!$G$672*(1+'Labor Results Matrix'!$K$669),'Labor Results Matrix'!$G$744*(1+'Labor Results Matrix'!$K$742))</f>
        <v>74.914673663408365</v>
      </c>
      <c r="K719" s="1388">
        <f t="shared" si="255"/>
        <v>137.80030169723125</v>
      </c>
      <c r="L719" s="1388">
        <f>'Labor Results Matrix'!$I$781*(1+'Labor Results Matrix'!$K$778)</f>
        <v>24.302454400000002</v>
      </c>
      <c r="M719" s="1388">
        <f t="shared" si="256"/>
        <v>316.33592358389342</v>
      </c>
      <c r="N719" s="1457">
        <f t="shared" si="258"/>
        <v>-2.375</v>
      </c>
      <c r="O719" s="1429"/>
      <c r="P719" s="1430"/>
      <c r="Q719" s="1430"/>
      <c r="R719" s="1430"/>
      <c r="S719" s="1430"/>
      <c r="T719" s="1430"/>
      <c r="U719" s="1430"/>
      <c r="V719" s="1679"/>
      <c r="W719" s="1366"/>
      <c r="X719" s="1366"/>
      <c r="Y719" s="1366"/>
      <c r="Z719" s="1366"/>
      <c r="AA719" s="1366"/>
      <c r="AB719" s="1366"/>
      <c r="AC719" s="1366"/>
      <c r="AD719" s="1366"/>
      <c r="AE719" s="1366"/>
      <c r="AF719" s="1366"/>
      <c r="AG719" s="1366"/>
      <c r="AH719" s="1366"/>
      <c r="AI719" s="1366"/>
      <c r="AJ719" s="1366"/>
      <c r="AK719" s="1366"/>
      <c r="AL719" s="1366"/>
      <c r="AM719" s="1366"/>
      <c r="AN719" s="1366"/>
      <c r="AO719" s="1366"/>
      <c r="AP719" s="1366"/>
      <c r="AQ719" s="1366"/>
      <c r="AR719" s="1366"/>
      <c r="AS719" s="1366"/>
      <c r="AT719" s="1366"/>
      <c r="AU719" s="1366"/>
      <c r="AV719" s="1366"/>
      <c r="AW719" s="1366"/>
      <c r="AX719" s="1366"/>
      <c r="AY719" s="1366"/>
      <c r="AZ719" s="1366"/>
      <c r="BA719" s="1366"/>
      <c r="BB719" s="1366"/>
      <c r="BC719" s="1366"/>
      <c r="BD719" s="1366"/>
      <c r="BE719" s="1366"/>
      <c r="BF719" s="1366"/>
      <c r="BG719" s="1366"/>
      <c r="BH719" s="1366"/>
      <c r="BI719" s="1366"/>
      <c r="BJ719" s="1366"/>
      <c r="BK719" s="1366"/>
      <c r="BL719" s="1366"/>
      <c r="BM719" s="1366"/>
      <c r="BN719" s="1366"/>
      <c r="BO719" s="1366"/>
      <c r="BP719" s="1366"/>
      <c r="BQ719" s="1366"/>
      <c r="BR719" s="1366"/>
      <c r="BS719" s="1366"/>
      <c r="BT719" s="1366"/>
      <c r="BU719" s="1366"/>
      <c r="BV719" s="1366"/>
      <c r="BW719" s="1366"/>
      <c r="BX719" s="1366"/>
      <c r="BY719" s="1366"/>
      <c r="BZ719" s="1366"/>
      <c r="CA719" s="1366"/>
      <c r="CB719" s="1366"/>
      <c r="CC719" s="1366"/>
      <c r="CD719" s="1366"/>
      <c r="CE719" s="1366"/>
      <c r="CF719" s="1366"/>
      <c r="CG719" s="1366"/>
      <c r="CH719" s="1366"/>
      <c r="CI719" s="1366"/>
      <c r="CJ719" s="1366"/>
      <c r="CK719" s="1366"/>
      <c r="CL719" s="1366"/>
      <c r="CM719" s="1366"/>
      <c r="CN719" s="1366"/>
      <c r="CO719" s="1366"/>
      <c r="CP719" s="1366"/>
      <c r="CQ719" s="1366"/>
      <c r="CR719" s="1366"/>
      <c r="CS719" s="1366"/>
      <c r="CT719" s="1366"/>
      <c r="CU719" s="1366"/>
      <c r="CV719" s="1366"/>
      <c r="CW719" s="1366"/>
      <c r="CX719" s="1366"/>
      <c r="CY719" s="1366"/>
      <c r="CZ719" s="1366"/>
      <c r="DA719" s="1366"/>
      <c r="DB719" s="1366"/>
      <c r="DC719" s="1366"/>
      <c r="DD719" s="1366"/>
      <c r="DE719" s="1366"/>
      <c r="DF719" s="1366"/>
      <c r="DG719" s="1366"/>
      <c r="DH719" s="1366"/>
      <c r="DI719" s="1366"/>
      <c r="DJ719" s="1366"/>
      <c r="DK719" s="1366"/>
      <c r="DL719" s="1366"/>
      <c r="DM719" s="1366"/>
      <c r="DN719" s="1366"/>
      <c r="DO719" s="1366"/>
      <c r="DP719" s="1366"/>
      <c r="DQ719" s="1366"/>
      <c r="DR719" s="1366"/>
      <c r="DS719" s="1366"/>
      <c r="DT719" s="1366"/>
      <c r="DU719" s="1366"/>
      <c r="DV719" s="1366"/>
    </row>
    <row r="720" spans="1:126" s="1367" customFormat="1" ht="45">
      <c r="A720" s="1614"/>
      <c r="B720" s="2539" t="s">
        <v>2698</v>
      </c>
      <c r="C720" s="1638" t="s">
        <v>47</v>
      </c>
      <c r="D720" s="1684" t="s">
        <v>2707</v>
      </c>
      <c r="E720" s="1365" t="s">
        <v>2097</v>
      </c>
      <c r="F720" s="1365" t="s">
        <v>2108</v>
      </c>
      <c r="G720" s="506" t="s">
        <v>1915</v>
      </c>
      <c r="H720" s="1433">
        <f>((('Equipment Results Matrix'!$R$1234*36)+(50*'Equipment Results Matrix'!$R$1235)+'Equipment Results Matrix'!$R$1237+'Equipment Results Matrix'!$R$1238+'Equipment Results Matrix'!$R$1241+'Equipment Results Matrix'!$R$1243+'Equipment Results Matrix'!$R$1244+'Equipment Results Matrix'!$R$1246+'Equipment Results Matrix'!$R$1248+'Equipment Results Matrix'!$T$1241)*(1+'Equipment Results Matrix'!$T$1243))+((('Equipment Results Matrix'!$R$1172*25)+('Equipment Results Matrix'!$R$1173*85)+('Equipment Results Matrix'!$R$1174*87)+'Equipment Results Matrix'!$R$1175+'Equipment Results Matrix'!$R$1177+'Equipment Results Matrix'!$T$1179)*2*(1+'Equipment Results Matrix'!$T$1181))</f>
        <v>294.37991722284823</v>
      </c>
      <c r="I720" s="1434">
        <f>'Labor Results Matrix'!$E$742+'Labor Results Matrix'!$E$743+'Labor Results Matrix'!$E$680</f>
        <v>1.9461650587989381</v>
      </c>
      <c r="J720" s="1388">
        <f>AVERAGE('Labor Results Matrix'!$G$672*(1+'Labor Results Matrix'!$K$669),'Labor Results Matrix'!$G$744*(1+'Labor Results Matrix'!$K$742))</f>
        <v>74.914673663408365</v>
      </c>
      <c r="K720" s="1388">
        <f>I720*J720</f>
        <v>145.79632027505039</v>
      </c>
      <c r="L720" s="1388">
        <f>'Labor Results Matrix'!$I$745*(1+'Labor Results Matrix'!$K$742)</f>
        <v>16.017399666666666</v>
      </c>
      <c r="M720" s="1388">
        <f t="shared" si="256"/>
        <v>456.1936371645653</v>
      </c>
      <c r="N720" s="1457" t="s">
        <v>40</v>
      </c>
      <c r="O720" s="1429"/>
      <c r="P720" s="1430"/>
      <c r="Q720" s="1430"/>
      <c r="R720" s="1430"/>
      <c r="S720" s="1430"/>
      <c r="T720" s="1430"/>
      <c r="U720" s="1430"/>
      <c r="V720" s="1679"/>
      <c r="W720" s="1366"/>
      <c r="X720" s="1366"/>
      <c r="Y720" s="1366"/>
      <c r="Z720" s="1366"/>
      <c r="AA720" s="1366"/>
      <c r="AB720" s="1366"/>
      <c r="AC720" s="1366"/>
      <c r="AD720" s="1366"/>
      <c r="AE720" s="1366"/>
      <c r="AF720" s="1366"/>
      <c r="AG720" s="1366"/>
      <c r="AH720" s="1366"/>
      <c r="AI720" s="1366"/>
      <c r="AJ720" s="1366"/>
      <c r="AK720" s="1366"/>
      <c r="AL720" s="1366"/>
      <c r="AM720" s="1366"/>
      <c r="AN720" s="1366"/>
      <c r="AO720" s="1366"/>
      <c r="AP720" s="1366"/>
      <c r="AQ720" s="1366"/>
      <c r="AR720" s="1366"/>
      <c r="AS720" s="1366"/>
      <c r="AT720" s="1366"/>
      <c r="AU720" s="1366"/>
      <c r="AV720" s="1366"/>
      <c r="AW720" s="1366"/>
      <c r="AX720" s="1366"/>
      <c r="AY720" s="1366"/>
      <c r="AZ720" s="1366"/>
      <c r="BA720" s="1366"/>
      <c r="BB720" s="1366"/>
      <c r="BC720" s="1366"/>
      <c r="BD720" s="1366"/>
      <c r="BE720" s="1366"/>
      <c r="BF720" s="1366"/>
      <c r="BG720" s="1366"/>
      <c r="BH720" s="1366"/>
      <c r="BI720" s="1366"/>
      <c r="BJ720" s="1366"/>
      <c r="BK720" s="1366"/>
      <c r="BL720" s="1366"/>
      <c r="BM720" s="1366"/>
      <c r="BN720" s="1366"/>
      <c r="BO720" s="1366"/>
      <c r="BP720" s="1366"/>
      <c r="BQ720" s="1366"/>
      <c r="BR720" s="1366"/>
      <c r="BS720" s="1366"/>
      <c r="BT720" s="1366"/>
      <c r="BU720" s="1366"/>
      <c r="BV720" s="1366"/>
      <c r="BW720" s="1366"/>
      <c r="BX720" s="1366"/>
      <c r="BY720" s="1366"/>
      <c r="BZ720" s="1366"/>
      <c r="CA720" s="1366"/>
      <c r="CB720" s="1366"/>
      <c r="CC720" s="1366"/>
      <c r="CD720" s="1366"/>
      <c r="CE720" s="1366"/>
      <c r="CF720" s="1366"/>
      <c r="CG720" s="1366"/>
      <c r="CH720" s="1366"/>
      <c r="CI720" s="1366"/>
      <c r="CJ720" s="1366"/>
      <c r="CK720" s="1366"/>
      <c r="CL720" s="1366"/>
      <c r="CM720" s="1366"/>
      <c r="CN720" s="1366"/>
      <c r="CO720" s="1366"/>
      <c r="CP720" s="1366"/>
      <c r="CQ720" s="1366"/>
      <c r="CR720" s="1366"/>
      <c r="CS720" s="1366"/>
      <c r="CT720" s="1366"/>
      <c r="CU720" s="1366"/>
      <c r="CV720" s="1366"/>
      <c r="CW720" s="1366"/>
      <c r="CX720" s="1366"/>
      <c r="CY720" s="1366"/>
      <c r="CZ720" s="1366"/>
      <c r="DA720" s="1366"/>
      <c r="DB720" s="1366"/>
      <c r="DC720" s="1366"/>
      <c r="DD720" s="1366"/>
      <c r="DE720" s="1366"/>
      <c r="DF720" s="1366"/>
      <c r="DG720" s="1366"/>
      <c r="DH720" s="1366"/>
      <c r="DI720" s="1366"/>
      <c r="DJ720" s="1366"/>
      <c r="DK720" s="1366"/>
      <c r="DL720" s="1366"/>
      <c r="DM720" s="1366"/>
      <c r="DN720" s="1366"/>
      <c r="DO720" s="1366"/>
      <c r="DP720" s="1366"/>
      <c r="DQ720" s="1366"/>
      <c r="DR720" s="1366"/>
      <c r="DS720" s="1366"/>
      <c r="DT720" s="1366"/>
      <c r="DU720" s="1366"/>
      <c r="DV720" s="1366"/>
    </row>
    <row r="721" spans="1:126" s="1367" customFormat="1" ht="30">
      <c r="A721" s="1614"/>
      <c r="B721" s="2540"/>
      <c r="C721" s="1638" t="s">
        <v>49</v>
      </c>
      <c r="D721" s="1625" t="s">
        <v>2708</v>
      </c>
      <c r="E721" s="1365" t="s">
        <v>2097</v>
      </c>
      <c r="F721" s="1365" t="s">
        <v>2108</v>
      </c>
      <c r="G721" s="506" t="s">
        <v>1915</v>
      </c>
      <c r="H721" s="1433">
        <f>((('Equipment Results Matrix'!$R$1234*36)+(42*'Equipment Results Matrix'!$R$1235)+'Equipment Results Matrix'!$R$1237+'Equipment Results Matrix'!$R$1238+'Equipment Results Matrix'!$R$1241+'Equipment Results Matrix'!$R$1243+'Equipment Results Matrix'!$R$1244+'Equipment Results Matrix'!$R$1246+'Equipment Results Matrix'!$R$1248+'Equipment Results Matrix'!$T$1241)*(1+'Equipment Results Matrix'!$T$1243))+((('Equipment Results Matrix'!$R$1172*21)+('Equipment Results Matrix'!$R$1173*85)+('Equipment Results Matrix'!$R$1174*100)+'Equipment Results Matrix'!$R$1175+'Equipment Results Matrix'!$R$1177+'Equipment Results Matrix'!$T$1179)*2*(1+'Equipment Results Matrix'!$T$1181))</f>
        <v>301.53491722284821</v>
      </c>
      <c r="I721" s="1434">
        <f>'Labor Results Matrix'!$E$742+'Labor Results Matrix'!$E$743+'Labor Results Matrix'!$E$680</f>
        <v>1.9461650587989381</v>
      </c>
      <c r="J721" s="1388">
        <f>AVERAGE('Labor Results Matrix'!$G$672*(1+'Labor Results Matrix'!$K$669),'Labor Results Matrix'!$G$744*(1+'Labor Results Matrix'!$K$742))</f>
        <v>74.914673663408365</v>
      </c>
      <c r="K721" s="1388">
        <f t="shared" ref="K721:K725" si="259">I721*J721</f>
        <v>145.79632027505039</v>
      </c>
      <c r="L721" s="1388">
        <f>'Labor Results Matrix'!$I$745*(1+'Labor Results Matrix'!$K$742)</f>
        <v>16.017399666666666</v>
      </c>
      <c r="M721" s="1388">
        <f t="shared" si="256"/>
        <v>463.34863716456528</v>
      </c>
      <c r="N721" s="1457">
        <f>M721-M720</f>
        <v>7.1549999999999727</v>
      </c>
      <c r="O721" s="1429"/>
      <c r="P721" s="1430"/>
      <c r="Q721" s="1430"/>
      <c r="R721" s="1430"/>
      <c r="S721" s="1430"/>
      <c r="T721" s="1430"/>
      <c r="U721" s="1430"/>
      <c r="V721" s="1679"/>
      <c r="W721" s="1366"/>
      <c r="X721" s="1366"/>
      <c r="Y721" s="1366"/>
      <c r="Z721" s="1366"/>
      <c r="AA721" s="1366"/>
      <c r="AB721" s="1366"/>
      <c r="AC721" s="1366"/>
      <c r="AD721" s="1366"/>
      <c r="AE721" s="1366"/>
      <c r="AF721" s="1366"/>
      <c r="AG721" s="1366"/>
      <c r="AH721" s="1366"/>
      <c r="AI721" s="1366"/>
      <c r="AJ721" s="1366"/>
      <c r="AK721" s="1366"/>
      <c r="AL721" s="1366"/>
      <c r="AM721" s="1366"/>
      <c r="AN721" s="1366"/>
      <c r="AO721" s="1366"/>
      <c r="AP721" s="1366"/>
      <c r="AQ721" s="1366"/>
      <c r="AR721" s="1366"/>
      <c r="AS721" s="1366"/>
      <c r="AT721" s="1366"/>
      <c r="AU721" s="1366"/>
      <c r="AV721" s="1366"/>
      <c r="AW721" s="1366"/>
      <c r="AX721" s="1366"/>
      <c r="AY721" s="1366"/>
      <c r="AZ721" s="1366"/>
      <c r="BA721" s="1366"/>
      <c r="BB721" s="1366"/>
      <c r="BC721" s="1366"/>
      <c r="BD721" s="1366"/>
      <c r="BE721" s="1366"/>
      <c r="BF721" s="1366"/>
      <c r="BG721" s="1366"/>
      <c r="BH721" s="1366"/>
      <c r="BI721" s="1366"/>
      <c r="BJ721" s="1366"/>
      <c r="BK721" s="1366"/>
      <c r="BL721" s="1366"/>
      <c r="BM721" s="1366"/>
      <c r="BN721" s="1366"/>
      <c r="BO721" s="1366"/>
      <c r="BP721" s="1366"/>
      <c r="BQ721" s="1366"/>
      <c r="BR721" s="1366"/>
      <c r="BS721" s="1366"/>
      <c r="BT721" s="1366"/>
      <c r="BU721" s="1366"/>
      <c r="BV721" s="1366"/>
      <c r="BW721" s="1366"/>
      <c r="BX721" s="1366"/>
      <c r="BY721" s="1366"/>
      <c r="BZ721" s="1366"/>
      <c r="CA721" s="1366"/>
      <c r="CB721" s="1366"/>
      <c r="CC721" s="1366"/>
      <c r="CD721" s="1366"/>
      <c r="CE721" s="1366"/>
      <c r="CF721" s="1366"/>
      <c r="CG721" s="1366"/>
      <c r="CH721" s="1366"/>
      <c r="CI721" s="1366"/>
      <c r="CJ721" s="1366"/>
      <c r="CK721" s="1366"/>
      <c r="CL721" s="1366"/>
      <c r="CM721" s="1366"/>
      <c r="CN721" s="1366"/>
      <c r="CO721" s="1366"/>
      <c r="CP721" s="1366"/>
      <c r="CQ721" s="1366"/>
      <c r="CR721" s="1366"/>
      <c r="CS721" s="1366"/>
      <c r="CT721" s="1366"/>
      <c r="CU721" s="1366"/>
      <c r="CV721" s="1366"/>
      <c r="CW721" s="1366"/>
      <c r="CX721" s="1366"/>
      <c r="CY721" s="1366"/>
      <c r="CZ721" s="1366"/>
      <c r="DA721" s="1366"/>
      <c r="DB721" s="1366"/>
      <c r="DC721" s="1366"/>
      <c r="DD721" s="1366"/>
      <c r="DE721" s="1366"/>
      <c r="DF721" s="1366"/>
      <c r="DG721" s="1366"/>
      <c r="DH721" s="1366"/>
      <c r="DI721" s="1366"/>
      <c r="DJ721" s="1366"/>
      <c r="DK721" s="1366"/>
      <c r="DL721" s="1366"/>
      <c r="DM721" s="1366"/>
      <c r="DN721" s="1366"/>
      <c r="DO721" s="1366"/>
      <c r="DP721" s="1366"/>
      <c r="DQ721" s="1366"/>
      <c r="DR721" s="1366"/>
      <c r="DS721" s="1366"/>
      <c r="DT721" s="1366"/>
      <c r="DU721" s="1366"/>
      <c r="DV721" s="1366"/>
    </row>
    <row r="722" spans="1:126" s="1367" customFormat="1" ht="45">
      <c r="A722" s="1614"/>
      <c r="B722" s="2540"/>
      <c r="C722" s="1638" t="s">
        <v>47</v>
      </c>
      <c r="D722" s="1632" t="s">
        <v>2709</v>
      </c>
      <c r="E722" s="1365" t="s">
        <v>2097</v>
      </c>
      <c r="F722" s="1365" t="s">
        <v>2108</v>
      </c>
      <c r="G722" s="506" t="s">
        <v>1915</v>
      </c>
      <c r="H722" s="1433">
        <f>((('Equipment Results Matrix'!$R$1252*118)+'Equipment Results Matrix'!$R$1255+'Equipment Results Matrix'!$R$1258+'Equipment Results Matrix'!$R$1260+'Equipment Results Matrix'!$R$1261+'Equipment Results Matrix'!$R$1263+'Equipment Results Matrix'!$R$1265+'Equipment Results Matrix'!$R$1267+'Equipment Results Matrix'!$T$1259)*(1+'Equipment Results Matrix'!$T$1261))+((('Equipment Results Matrix'!$R$1183*59)+('Equipment Results Matrix'!$R$1184*85)+('Equipment Results Matrix'!$R$1185*36000)+('Equipment Results Matrix'!$R$1186*95)+'Equipment Results Matrix'!$R$1187+'Equipment Results Matrix'!$T$1190)*2*(1+'Equipment Results Matrix'!$T$1192))</f>
        <v>443.40858174615869</v>
      </c>
      <c r="I722" s="1434">
        <f>'Labor Results Matrix'!$E$742+'Labor Results Matrix'!$E$743+'Labor Results Matrix'!$E$691</f>
        <v>1.9461650587989381</v>
      </c>
      <c r="J722" s="1388">
        <f>AVERAGE('Labor Results Matrix'!$G$672*(1+'Labor Results Matrix'!$K$669),'Labor Results Matrix'!$G$744*(1+'Labor Results Matrix'!$K$742))</f>
        <v>74.914673663408365</v>
      </c>
      <c r="K722" s="1388">
        <f t="shared" si="259"/>
        <v>145.79632027505039</v>
      </c>
      <c r="L722" s="1388">
        <f>'Labor Results Matrix'!$I$763*(1+'Labor Results Matrix'!$K$760)</f>
        <v>16.017399666666666</v>
      </c>
      <c r="M722" s="1388">
        <f t="shared" si="256"/>
        <v>605.22230168787576</v>
      </c>
      <c r="N722" s="1457" t="s">
        <v>40</v>
      </c>
      <c r="O722" s="1429"/>
      <c r="P722" s="1430"/>
      <c r="Q722" s="1430"/>
      <c r="R722" s="1430"/>
      <c r="S722" s="1430"/>
      <c r="T722" s="1430"/>
      <c r="U722" s="1430"/>
      <c r="V722" s="1679"/>
      <c r="W722" s="1366"/>
      <c r="X722" s="1366"/>
      <c r="Y722" s="1366"/>
      <c r="Z722" s="1366"/>
      <c r="AA722" s="1366"/>
      <c r="AB722" s="1366"/>
      <c r="AC722" s="1366"/>
      <c r="AD722" s="1366"/>
      <c r="AE722" s="1366"/>
      <c r="AF722" s="1366"/>
      <c r="AG722" s="1366"/>
      <c r="AH722" s="1366"/>
      <c r="AI722" s="1366"/>
      <c r="AJ722" s="1366"/>
      <c r="AK722" s="1366"/>
      <c r="AL722" s="1366"/>
      <c r="AM722" s="1366"/>
      <c r="AN722" s="1366"/>
      <c r="AO722" s="1366"/>
      <c r="AP722" s="1366"/>
      <c r="AQ722" s="1366"/>
      <c r="AR722" s="1366"/>
      <c r="AS722" s="1366"/>
      <c r="AT722" s="1366"/>
      <c r="AU722" s="1366"/>
      <c r="AV722" s="1366"/>
      <c r="AW722" s="1366"/>
      <c r="AX722" s="1366"/>
      <c r="AY722" s="1366"/>
      <c r="AZ722" s="1366"/>
      <c r="BA722" s="1366"/>
      <c r="BB722" s="1366"/>
      <c r="BC722" s="1366"/>
      <c r="BD722" s="1366"/>
      <c r="BE722" s="1366"/>
      <c r="BF722" s="1366"/>
      <c r="BG722" s="1366"/>
      <c r="BH722" s="1366"/>
      <c r="BI722" s="1366"/>
      <c r="BJ722" s="1366"/>
      <c r="BK722" s="1366"/>
      <c r="BL722" s="1366"/>
      <c r="BM722" s="1366"/>
      <c r="BN722" s="1366"/>
      <c r="BO722" s="1366"/>
      <c r="BP722" s="1366"/>
      <c r="BQ722" s="1366"/>
      <c r="BR722" s="1366"/>
      <c r="BS722" s="1366"/>
      <c r="BT722" s="1366"/>
      <c r="BU722" s="1366"/>
      <c r="BV722" s="1366"/>
      <c r="BW722" s="1366"/>
      <c r="BX722" s="1366"/>
      <c r="BY722" s="1366"/>
      <c r="BZ722" s="1366"/>
      <c r="CA722" s="1366"/>
      <c r="CB722" s="1366"/>
      <c r="CC722" s="1366"/>
      <c r="CD722" s="1366"/>
      <c r="CE722" s="1366"/>
      <c r="CF722" s="1366"/>
      <c r="CG722" s="1366"/>
      <c r="CH722" s="1366"/>
      <c r="CI722" s="1366"/>
      <c r="CJ722" s="1366"/>
      <c r="CK722" s="1366"/>
      <c r="CL722" s="1366"/>
      <c r="CM722" s="1366"/>
      <c r="CN722" s="1366"/>
      <c r="CO722" s="1366"/>
      <c r="CP722" s="1366"/>
      <c r="CQ722" s="1366"/>
      <c r="CR722" s="1366"/>
      <c r="CS722" s="1366"/>
      <c r="CT722" s="1366"/>
      <c r="CU722" s="1366"/>
      <c r="CV722" s="1366"/>
      <c r="CW722" s="1366"/>
      <c r="CX722" s="1366"/>
      <c r="CY722" s="1366"/>
      <c r="CZ722" s="1366"/>
      <c r="DA722" s="1366"/>
      <c r="DB722" s="1366"/>
      <c r="DC722" s="1366"/>
      <c r="DD722" s="1366"/>
      <c r="DE722" s="1366"/>
      <c r="DF722" s="1366"/>
      <c r="DG722" s="1366"/>
      <c r="DH722" s="1366"/>
      <c r="DI722" s="1366"/>
      <c r="DJ722" s="1366"/>
      <c r="DK722" s="1366"/>
      <c r="DL722" s="1366"/>
      <c r="DM722" s="1366"/>
      <c r="DN722" s="1366"/>
      <c r="DO722" s="1366"/>
      <c r="DP722" s="1366"/>
      <c r="DQ722" s="1366"/>
      <c r="DR722" s="1366"/>
      <c r="DS722" s="1366"/>
      <c r="DT722" s="1366"/>
      <c r="DU722" s="1366"/>
      <c r="DV722" s="1366"/>
    </row>
    <row r="723" spans="1:126" s="1367" customFormat="1" ht="45">
      <c r="A723" s="1614"/>
      <c r="B723" s="2540"/>
      <c r="C723" s="1638" t="s">
        <v>49</v>
      </c>
      <c r="D723" s="1632" t="s">
        <v>2710</v>
      </c>
      <c r="E723" s="1365" t="s">
        <v>2097</v>
      </c>
      <c r="F723" s="1365" t="s">
        <v>2108</v>
      </c>
      <c r="G723" s="506" t="s">
        <v>1915</v>
      </c>
      <c r="H723" s="1433">
        <f>((('Equipment Results Matrix'!$R$1252*110)+'Equipment Results Matrix'!$R$1255+'Equipment Results Matrix'!$R$1258+'Equipment Results Matrix'!$R$1260+'Equipment Results Matrix'!$R$1261+'Equipment Results Matrix'!$R$1263+'Equipment Results Matrix'!$R$1265+'Equipment Results Matrix'!$R$1267+'Equipment Results Matrix'!$T$1259)*(1+'Equipment Results Matrix'!$T$1261))+((('Equipment Results Matrix'!$R$1183*55)+('Equipment Results Matrix'!$R$1184*85)+('Equipment Results Matrix'!$R$1185*36000)+('Equipment Results Matrix'!$R$1186*103)+'Equipment Results Matrix'!$R$1187+'Equipment Results Matrix'!$T$1190)*2*(1+'Equipment Results Matrix'!$T$1192))</f>
        <v>480.96858174615875</v>
      </c>
      <c r="I723" s="1434">
        <f>'Labor Results Matrix'!$E$742+'Labor Results Matrix'!$E$743+'Labor Results Matrix'!$E$691</f>
        <v>1.9461650587989381</v>
      </c>
      <c r="J723" s="1388">
        <f>AVERAGE('Labor Results Matrix'!$G$672*(1+'Labor Results Matrix'!$K$669),'Labor Results Matrix'!$G$744*(1+'Labor Results Matrix'!$K$742))</f>
        <v>74.914673663408365</v>
      </c>
      <c r="K723" s="1388">
        <f t="shared" si="259"/>
        <v>145.79632027505039</v>
      </c>
      <c r="L723" s="1388">
        <f>'Labor Results Matrix'!$I$763*(1+'Labor Results Matrix'!$K$760)</f>
        <v>16.017399666666666</v>
      </c>
      <c r="M723" s="1388">
        <f t="shared" si="256"/>
        <v>642.7823016878757</v>
      </c>
      <c r="N723" s="1457">
        <f>M723-M722</f>
        <v>37.559999999999945</v>
      </c>
      <c r="O723" s="1429"/>
      <c r="P723" s="1430"/>
      <c r="Q723" s="1430"/>
      <c r="R723" s="1430"/>
      <c r="S723" s="1430"/>
      <c r="T723" s="1430"/>
      <c r="U723" s="1430"/>
      <c r="V723" s="1679"/>
      <c r="W723" s="1366"/>
      <c r="X723" s="1366"/>
      <c r="Y723" s="1366"/>
      <c r="Z723" s="1366"/>
      <c r="AA723" s="1366"/>
      <c r="AB723" s="1366"/>
      <c r="AC723" s="1366"/>
      <c r="AD723" s="1366"/>
      <c r="AE723" s="1366"/>
      <c r="AF723" s="1366"/>
      <c r="AG723" s="1366"/>
      <c r="AH723" s="1366"/>
      <c r="AI723" s="1366"/>
      <c r="AJ723" s="1366"/>
      <c r="AK723" s="1366"/>
      <c r="AL723" s="1366"/>
      <c r="AM723" s="1366"/>
      <c r="AN723" s="1366"/>
      <c r="AO723" s="1366"/>
      <c r="AP723" s="1366"/>
      <c r="AQ723" s="1366"/>
      <c r="AR723" s="1366"/>
      <c r="AS723" s="1366"/>
      <c r="AT723" s="1366"/>
      <c r="AU723" s="1366"/>
      <c r="AV723" s="1366"/>
      <c r="AW723" s="1366"/>
      <c r="AX723" s="1366"/>
      <c r="AY723" s="1366"/>
      <c r="AZ723" s="1366"/>
      <c r="BA723" s="1366"/>
      <c r="BB723" s="1366"/>
      <c r="BC723" s="1366"/>
      <c r="BD723" s="1366"/>
      <c r="BE723" s="1366"/>
      <c r="BF723" s="1366"/>
      <c r="BG723" s="1366"/>
      <c r="BH723" s="1366"/>
      <c r="BI723" s="1366"/>
      <c r="BJ723" s="1366"/>
      <c r="BK723" s="1366"/>
      <c r="BL723" s="1366"/>
      <c r="BM723" s="1366"/>
      <c r="BN723" s="1366"/>
      <c r="BO723" s="1366"/>
      <c r="BP723" s="1366"/>
      <c r="BQ723" s="1366"/>
      <c r="BR723" s="1366"/>
      <c r="BS723" s="1366"/>
      <c r="BT723" s="1366"/>
      <c r="BU723" s="1366"/>
      <c r="BV723" s="1366"/>
      <c r="BW723" s="1366"/>
      <c r="BX723" s="1366"/>
      <c r="BY723" s="1366"/>
      <c r="BZ723" s="1366"/>
      <c r="CA723" s="1366"/>
      <c r="CB723" s="1366"/>
      <c r="CC723" s="1366"/>
      <c r="CD723" s="1366"/>
      <c r="CE723" s="1366"/>
      <c r="CF723" s="1366"/>
      <c r="CG723" s="1366"/>
      <c r="CH723" s="1366"/>
      <c r="CI723" s="1366"/>
      <c r="CJ723" s="1366"/>
      <c r="CK723" s="1366"/>
      <c r="CL723" s="1366"/>
      <c r="CM723" s="1366"/>
      <c r="CN723" s="1366"/>
      <c r="CO723" s="1366"/>
      <c r="CP723" s="1366"/>
      <c r="CQ723" s="1366"/>
      <c r="CR723" s="1366"/>
      <c r="CS723" s="1366"/>
      <c r="CT723" s="1366"/>
      <c r="CU723" s="1366"/>
      <c r="CV723" s="1366"/>
      <c r="CW723" s="1366"/>
      <c r="CX723" s="1366"/>
      <c r="CY723" s="1366"/>
      <c r="CZ723" s="1366"/>
      <c r="DA723" s="1366"/>
      <c r="DB723" s="1366"/>
      <c r="DC723" s="1366"/>
      <c r="DD723" s="1366"/>
      <c r="DE723" s="1366"/>
      <c r="DF723" s="1366"/>
      <c r="DG723" s="1366"/>
      <c r="DH723" s="1366"/>
      <c r="DI723" s="1366"/>
      <c r="DJ723" s="1366"/>
      <c r="DK723" s="1366"/>
      <c r="DL723" s="1366"/>
      <c r="DM723" s="1366"/>
      <c r="DN723" s="1366"/>
      <c r="DO723" s="1366"/>
      <c r="DP723" s="1366"/>
      <c r="DQ723" s="1366"/>
      <c r="DR723" s="1366"/>
      <c r="DS723" s="1366"/>
      <c r="DT723" s="1366"/>
      <c r="DU723" s="1366"/>
      <c r="DV723" s="1366"/>
    </row>
    <row r="724" spans="1:126" s="1367" customFormat="1" ht="45">
      <c r="A724" s="1614"/>
      <c r="B724" s="2540"/>
      <c r="C724" s="1638" t="s">
        <v>47</v>
      </c>
      <c r="D724" s="1633" t="s">
        <v>2711</v>
      </c>
      <c r="E724" s="1365" t="s">
        <v>2097</v>
      </c>
      <c r="F724" s="1365" t="s">
        <v>2108</v>
      </c>
      <c r="G724" s="506" t="s">
        <v>1915</v>
      </c>
      <c r="H724" s="1433">
        <f>((('Equipment Results Matrix'!$R$1290*64)+('Equipment Results Matrix'!$R$1291*48)+('Equipment Results Matrix'!$R$1294)+('Equipment Results Matrix'!$R$1296)+'Equipment Results Matrix'!$R$1301+'Equipment Results Matrix'!$R$1302+'Equipment Results Matrix'!$R$1304+'Equipment Results Matrix'!$R$1306+'Equipment Results Matrix'!$R$1308+'Equipment Results Matrix'!$R$1310+'Equipment Results Matrix'!$R$1312+'Equipment Results Matrix'!$T$1297)*(1+'Equipment Results Matrix'!$T$1299))+((('Equipment Results Matrix'!$R$1161*32)+('Equipment Results Matrix'!$R$1162*85)+('Equipment Results Matrix'!$R$1163*24000)+('Equipment Results Matrix'!$R$1164*89)+'Equipment Results Matrix'!$R$1165+'Equipment Results Matrix'!$R$1167+'Equipment Results Matrix'!$R$1169+'Equipment Results Matrix'!$T$1168)*2*(1+'Equipment Results Matrix'!$T$1170))</f>
        <v>354.02035345929164</v>
      </c>
      <c r="I724" s="1434">
        <f>'Labor Results Matrix'!$E$778+'Labor Results Matrix'!$E$779+'Labor Results Matrix'!$E$669</f>
        <v>1.8394300469941043</v>
      </c>
      <c r="J724" s="1388">
        <f>AVERAGE('Labor Results Matrix'!$G$672*(1+'Labor Results Matrix'!$K$669),'Labor Results Matrix'!$G$744*(1+'Labor Results Matrix'!$K$742))</f>
        <v>74.914673663408365</v>
      </c>
      <c r="K724" s="1388">
        <f t="shared" si="259"/>
        <v>137.80030169723125</v>
      </c>
      <c r="L724" s="1388">
        <f>'Labor Results Matrix'!$I$781*(1+'Labor Results Matrix'!$K$778)</f>
        <v>24.302454400000002</v>
      </c>
      <c r="M724" s="1388">
        <f t="shared" si="256"/>
        <v>516.12310955652288</v>
      </c>
      <c r="N724" s="1457" t="s">
        <v>40</v>
      </c>
      <c r="O724" s="1429"/>
      <c r="P724" s="1430"/>
      <c r="Q724" s="1430"/>
      <c r="R724" s="1430"/>
      <c r="S724" s="1430"/>
      <c r="T724" s="1430"/>
      <c r="U724" s="1430"/>
      <c r="V724" s="1679"/>
      <c r="W724" s="1366"/>
      <c r="X724" s="1366"/>
      <c r="Y724" s="1366"/>
      <c r="Z724" s="1366"/>
      <c r="AA724" s="1366"/>
      <c r="AB724" s="1366"/>
      <c r="AC724" s="1366"/>
      <c r="AD724" s="1366"/>
      <c r="AE724" s="1366"/>
      <c r="AF724" s="1366"/>
      <c r="AG724" s="1366"/>
      <c r="AH724" s="1366"/>
      <c r="AI724" s="1366"/>
      <c r="AJ724" s="1366"/>
      <c r="AK724" s="1366"/>
      <c r="AL724" s="1366"/>
      <c r="AM724" s="1366"/>
      <c r="AN724" s="1366"/>
      <c r="AO724" s="1366"/>
      <c r="AP724" s="1366"/>
      <c r="AQ724" s="1366"/>
      <c r="AR724" s="1366"/>
      <c r="AS724" s="1366"/>
      <c r="AT724" s="1366"/>
      <c r="AU724" s="1366"/>
      <c r="AV724" s="1366"/>
      <c r="AW724" s="1366"/>
      <c r="AX724" s="1366"/>
      <c r="AY724" s="1366"/>
      <c r="AZ724" s="1366"/>
      <c r="BA724" s="1366"/>
      <c r="BB724" s="1366"/>
      <c r="BC724" s="1366"/>
      <c r="BD724" s="1366"/>
      <c r="BE724" s="1366"/>
      <c r="BF724" s="1366"/>
      <c r="BG724" s="1366"/>
      <c r="BH724" s="1366"/>
      <c r="BI724" s="1366"/>
      <c r="BJ724" s="1366"/>
      <c r="BK724" s="1366"/>
      <c r="BL724" s="1366"/>
      <c r="BM724" s="1366"/>
      <c r="BN724" s="1366"/>
      <c r="BO724" s="1366"/>
      <c r="BP724" s="1366"/>
      <c r="BQ724" s="1366"/>
      <c r="BR724" s="1366"/>
      <c r="BS724" s="1366"/>
      <c r="BT724" s="1366"/>
      <c r="BU724" s="1366"/>
      <c r="BV724" s="1366"/>
      <c r="BW724" s="1366"/>
      <c r="BX724" s="1366"/>
      <c r="BY724" s="1366"/>
      <c r="BZ724" s="1366"/>
      <c r="CA724" s="1366"/>
      <c r="CB724" s="1366"/>
      <c r="CC724" s="1366"/>
      <c r="CD724" s="1366"/>
      <c r="CE724" s="1366"/>
      <c r="CF724" s="1366"/>
      <c r="CG724" s="1366"/>
      <c r="CH724" s="1366"/>
      <c r="CI724" s="1366"/>
      <c r="CJ724" s="1366"/>
      <c r="CK724" s="1366"/>
      <c r="CL724" s="1366"/>
      <c r="CM724" s="1366"/>
      <c r="CN724" s="1366"/>
      <c r="CO724" s="1366"/>
      <c r="CP724" s="1366"/>
      <c r="CQ724" s="1366"/>
      <c r="CR724" s="1366"/>
      <c r="CS724" s="1366"/>
      <c r="CT724" s="1366"/>
      <c r="CU724" s="1366"/>
      <c r="CV724" s="1366"/>
      <c r="CW724" s="1366"/>
      <c r="CX724" s="1366"/>
      <c r="CY724" s="1366"/>
      <c r="CZ724" s="1366"/>
      <c r="DA724" s="1366"/>
      <c r="DB724" s="1366"/>
      <c r="DC724" s="1366"/>
      <c r="DD724" s="1366"/>
      <c r="DE724" s="1366"/>
      <c r="DF724" s="1366"/>
      <c r="DG724" s="1366"/>
      <c r="DH724" s="1366"/>
      <c r="DI724" s="1366"/>
      <c r="DJ724" s="1366"/>
      <c r="DK724" s="1366"/>
      <c r="DL724" s="1366"/>
      <c r="DM724" s="1366"/>
      <c r="DN724" s="1366"/>
      <c r="DO724" s="1366"/>
      <c r="DP724" s="1366"/>
      <c r="DQ724" s="1366"/>
      <c r="DR724" s="1366"/>
      <c r="DS724" s="1366"/>
      <c r="DT724" s="1366"/>
      <c r="DU724" s="1366"/>
      <c r="DV724" s="1366"/>
    </row>
    <row r="725" spans="1:126" s="1367" customFormat="1" ht="45.75" thickBot="1">
      <c r="A725" s="1614"/>
      <c r="B725" s="2540"/>
      <c r="C725" s="1639" t="s">
        <v>49</v>
      </c>
      <c r="D725" s="1632" t="s">
        <v>2712</v>
      </c>
      <c r="E725" s="1365" t="s">
        <v>2097</v>
      </c>
      <c r="F725" s="1365" t="s">
        <v>2108</v>
      </c>
      <c r="G725" s="506" t="s">
        <v>1915</v>
      </c>
      <c r="H725" s="1634">
        <f>((('Equipment Results Matrix'!$R$1290*56)+('Equipment Results Matrix'!$R$1291*48)+('Equipment Results Matrix'!$R$1294)+('Equipment Results Matrix'!$R$1296)+'Equipment Results Matrix'!$R$1301+'Equipment Results Matrix'!$R$1302+'Equipment Results Matrix'!$R$1304+'Equipment Results Matrix'!$R$1306+'Equipment Results Matrix'!$R$1308+'Equipment Results Matrix'!$R$1310+'Equipment Results Matrix'!$R$1312+'Equipment Results Matrix'!$T$1297)*(1+'Equipment Results Matrix'!$T$1299))+((('Equipment Results Matrix'!$R$1194*28)+('Equipment Results Matrix'!$R$1195*85)+('Equipment Results Matrix'!$R$1196*103)+'Equipment Results Matrix'!$R$1197+'Equipment Results Matrix'!$R$1199+'Equipment Results Matrix'!$R$1201+'Equipment Results Matrix'!$R$1203+'Equipment Results Matrix'!$R$1205+'Equipment Results Matrix'!$R$1207+'Equipment Results Matrix'!$R$1209+'Equipment Results Matrix'!$T$1201)*2*(1+'Equipment Results Matrix'!$T$1203))</f>
        <v>361.59247210404533</v>
      </c>
      <c r="I725" s="1635">
        <f>'Labor Results Matrix'!$E$778+'Labor Results Matrix'!$E$779+'Labor Results Matrix'!$E$669</f>
        <v>1.8394300469941043</v>
      </c>
      <c r="J725" s="1388">
        <f>AVERAGE('Labor Results Matrix'!$G$672*(1+'Labor Results Matrix'!$K$669),'Labor Results Matrix'!$G$744*(1+'Labor Results Matrix'!$K$742))</f>
        <v>74.914673663408365</v>
      </c>
      <c r="K725" s="1636">
        <f t="shared" si="259"/>
        <v>137.80030169723125</v>
      </c>
      <c r="L725" s="1636">
        <f>'Labor Results Matrix'!$I$781*(1+'Labor Results Matrix'!$K$778)</f>
        <v>24.302454400000002</v>
      </c>
      <c r="M725" s="1388">
        <f t="shared" si="256"/>
        <v>523.69522820127656</v>
      </c>
      <c r="N725" s="1637">
        <f>M725-M724</f>
        <v>7.5721186447536866</v>
      </c>
      <c r="O725" s="1429"/>
      <c r="P725" s="1430"/>
      <c r="Q725" s="1430"/>
      <c r="R725" s="1430"/>
      <c r="S725" s="1430"/>
      <c r="T725" s="1430"/>
      <c r="U725" s="1430"/>
      <c r="V725" s="1679"/>
      <c r="W725" s="1366"/>
      <c r="X725" s="1366"/>
      <c r="Y725" s="1366"/>
      <c r="Z725" s="1366"/>
      <c r="AA725" s="1366"/>
      <c r="AB725" s="1366"/>
      <c r="AC725" s="1366"/>
      <c r="AD725" s="1366"/>
      <c r="AE725" s="1366"/>
      <c r="AF725" s="1366"/>
      <c r="AG725" s="1366"/>
      <c r="AH725" s="1366"/>
      <c r="AI725" s="1366"/>
      <c r="AJ725" s="1366"/>
      <c r="AK725" s="1366"/>
      <c r="AL725" s="1366"/>
      <c r="AM725" s="1366"/>
      <c r="AN725" s="1366"/>
      <c r="AO725" s="1366"/>
      <c r="AP725" s="1366"/>
      <c r="AQ725" s="1366"/>
      <c r="AR725" s="1366"/>
      <c r="AS725" s="1366"/>
      <c r="AT725" s="1366"/>
      <c r="AU725" s="1366"/>
      <c r="AV725" s="1366"/>
      <c r="AW725" s="1366"/>
      <c r="AX725" s="1366"/>
      <c r="AY725" s="1366"/>
      <c r="AZ725" s="1366"/>
      <c r="BA725" s="1366"/>
      <c r="BB725" s="1366"/>
      <c r="BC725" s="1366"/>
      <c r="BD725" s="1366"/>
      <c r="BE725" s="1366"/>
      <c r="BF725" s="1366"/>
      <c r="BG725" s="1366"/>
      <c r="BH725" s="1366"/>
      <c r="BI725" s="1366"/>
      <c r="BJ725" s="1366"/>
      <c r="BK725" s="1366"/>
      <c r="BL725" s="1366"/>
      <c r="BM725" s="1366"/>
      <c r="BN725" s="1366"/>
      <c r="BO725" s="1366"/>
      <c r="BP725" s="1366"/>
      <c r="BQ725" s="1366"/>
      <c r="BR725" s="1366"/>
      <c r="BS725" s="1366"/>
      <c r="BT725" s="1366"/>
      <c r="BU725" s="1366"/>
      <c r="BV725" s="1366"/>
      <c r="BW725" s="1366"/>
      <c r="BX725" s="1366"/>
      <c r="BY725" s="1366"/>
      <c r="BZ725" s="1366"/>
      <c r="CA725" s="1366"/>
      <c r="CB725" s="1366"/>
      <c r="CC725" s="1366"/>
      <c r="CD725" s="1366"/>
      <c r="CE725" s="1366"/>
      <c r="CF725" s="1366"/>
      <c r="CG725" s="1366"/>
      <c r="CH725" s="1366"/>
      <c r="CI725" s="1366"/>
      <c r="CJ725" s="1366"/>
      <c r="CK725" s="1366"/>
      <c r="CL725" s="1366"/>
      <c r="CM725" s="1366"/>
      <c r="CN725" s="1366"/>
      <c r="CO725" s="1366"/>
      <c r="CP725" s="1366"/>
      <c r="CQ725" s="1366"/>
      <c r="CR725" s="1366"/>
      <c r="CS725" s="1366"/>
      <c r="CT725" s="1366"/>
      <c r="CU725" s="1366"/>
      <c r="CV725" s="1366"/>
      <c r="CW725" s="1366"/>
      <c r="CX725" s="1366"/>
      <c r="CY725" s="1366"/>
      <c r="CZ725" s="1366"/>
      <c r="DA725" s="1366"/>
      <c r="DB725" s="1366"/>
      <c r="DC725" s="1366"/>
      <c r="DD725" s="1366"/>
      <c r="DE725" s="1366"/>
      <c r="DF725" s="1366"/>
      <c r="DG725" s="1366"/>
      <c r="DH725" s="1366"/>
      <c r="DI725" s="1366"/>
      <c r="DJ725" s="1366"/>
      <c r="DK725" s="1366"/>
      <c r="DL725" s="1366"/>
      <c r="DM725" s="1366"/>
      <c r="DN725" s="1366"/>
      <c r="DO725" s="1366"/>
      <c r="DP725" s="1366"/>
      <c r="DQ725" s="1366"/>
      <c r="DR725" s="1366"/>
      <c r="DS725" s="1366"/>
      <c r="DT725" s="1366"/>
      <c r="DU725" s="1366"/>
      <c r="DV725" s="1366"/>
    </row>
    <row r="726" spans="1:126" s="1367" customFormat="1" ht="24" hidden="1" thickBot="1">
      <c r="A726" s="721" t="s">
        <v>2513</v>
      </c>
      <c r="B726" s="1320"/>
      <c r="C726" s="1320"/>
      <c r="D726" s="1320"/>
      <c r="E726" s="1320"/>
      <c r="F726" s="1320"/>
      <c r="G726" s="1320"/>
      <c r="H726" s="1440"/>
      <c r="I726" s="1451"/>
      <c r="J726" s="1440"/>
      <c r="K726" s="1440"/>
      <c r="L726" s="1535"/>
      <c r="M726" s="1440"/>
      <c r="N726" s="1466"/>
      <c r="O726" s="1415"/>
      <c r="P726" s="1415"/>
      <c r="Q726" s="1415"/>
      <c r="R726" s="1415"/>
      <c r="S726" s="1415"/>
      <c r="T726" s="1415"/>
      <c r="U726" s="1415"/>
      <c r="V726" s="1454"/>
      <c r="W726" s="1366"/>
      <c r="X726" s="1366"/>
      <c r="Y726" s="1366"/>
      <c r="Z726" s="1366"/>
      <c r="AA726" s="1366"/>
      <c r="AB726" s="1366"/>
      <c r="AC726" s="1366"/>
      <c r="AD726" s="1366"/>
      <c r="AE726" s="1366"/>
      <c r="AF726" s="1366"/>
      <c r="AG726" s="1366"/>
      <c r="AH726" s="1366"/>
      <c r="AI726" s="1366"/>
      <c r="AJ726" s="1366"/>
      <c r="AK726" s="1366"/>
      <c r="AL726" s="1366"/>
      <c r="AM726" s="1366"/>
      <c r="AN726" s="1366"/>
      <c r="AO726" s="1366"/>
      <c r="AP726" s="1366"/>
      <c r="AQ726" s="1366"/>
      <c r="AR726" s="1366"/>
      <c r="AS726" s="1366"/>
      <c r="AT726" s="1366"/>
      <c r="AU726" s="1366"/>
      <c r="AV726" s="1366"/>
      <c r="AW726" s="1366"/>
      <c r="AX726" s="1366"/>
      <c r="AY726" s="1366"/>
      <c r="AZ726" s="1366"/>
      <c r="BA726" s="1366"/>
      <c r="BB726" s="1366"/>
      <c r="BC726" s="1366"/>
      <c r="BD726" s="1366"/>
      <c r="BE726" s="1366"/>
      <c r="BF726" s="1366"/>
      <c r="BG726" s="1366"/>
      <c r="BH726" s="1366"/>
      <c r="BI726" s="1366"/>
      <c r="BJ726" s="1366"/>
      <c r="BK726" s="1366"/>
      <c r="BL726" s="1366"/>
      <c r="BM726" s="1366"/>
      <c r="BN726" s="1366"/>
      <c r="BO726" s="1366"/>
      <c r="BP726" s="1366"/>
      <c r="BQ726" s="1366"/>
      <c r="BR726" s="1366"/>
      <c r="BS726" s="1366"/>
      <c r="BT726" s="1366"/>
      <c r="BU726" s="1366"/>
      <c r="BV726" s="1366"/>
      <c r="BW726" s="1366"/>
      <c r="BX726" s="1366"/>
      <c r="BY726" s="1366"/>
      <c r="BZ726" s="1366"/>
      <c r="CA726" s="1366"/>
      <c r="CB726" s="1366"/>
      <c r="CC726" s="1366"/>
      <c r="CD726" s="1366"/>
      <c r="CE726" s="1366"/>
      <c r="CF726" s="1366"/>
      <c r="CG726" s="1366"/>
      <c r="CH726" s="1366"/>
      <c r="CI726" s="1366"/>
      <c r="CJ726" s="1366"/>
      <c r="CK726" s="1366"/>
      <c r="CL726" s="1366"/>
      <c r="CM726" s="1366"/>
      <c r="CN726" s="1366"/>
      <c r="CO726" s="1366"/>
      <c r="CP726" s="1366"/>
      <c r="CQ726" s="1366"/>
      <c r="CR726" s="1366"/>
      <c r="CS726" s="1366"/>
      <c r="CT726" s="1366"/>
      <c r="CU726" s="1366"/>
      <c r="CV726" s="1366"/>
      <c r="CW726" s="1366"/>
      <c r="CX726" s="1366"/>
      <c r="CY726" s="1366"/>
      <c r="CZ726" s="1366"/>
      <c r="DA726" s="1366"/>
      <c r="DB726" s="1366"/>
      <c r="DC726" s="1366"/>
      <c r="DD726" s="1366"/>
      <c r="DE726" s="1366"/>
      <c r="DF726" s="1366"/>
      <c r="DG726" s="1366"/>
      <c r="DH726" s="1366"/>
      <c r="DI726" s="1366"/>
      <c r="DJ726" s="1366"/>
      <c r="DK726" s="1366"/>
      <c r="DL726" s="1366"/>
      <c r="DM726" s="1366"/>
      <c r="DN726" s="1366"/>
      <c r="DO726" s="1366"/>
      <c r="DP726" s="1366"/>
      <c r="DQ726" s="1366"/>
      <c r="DR726" s="1366"/>
      <c r="DS726" s="1366"/>
      <c r="DT726" s="1366"/>
      <c r="DU726" s="1366"/>
      <c r="DV726" s="1366"/>
    </row>
    <row r="727" spans="1:126" s="1367" customFormat="1" hidden="1">
      <c r="A727" s="2493" t="s">
        <v>1376</v>
      </c>
      <c r="B727" s="1643"/>
      <c r="C727" s="1674"/>
      <c r="D727" s="1480"/>
      <c r="E727" s="1480"/>
      <c r="F727" s="1480"/>
      <c r="G727" s="1480"/>
      <c r="H727" s="1481"/>
      <c r="I727" s="1482"/>
      <c r="J727" s="1483"/>
      <c r="K727" s="1483"/>
      <c r="L727" s="1528"/>
      <c r="M727" s="1483"/>
      <c r="N727" s="1484"/>
      <c r="O727" s="1481"/>
      <c r="P727" s="1485"/>
      <c r="Q727" s="1485"/>
      <c r="R727" s="1485"/>
      <c r="S727" s="1485"/>
      <c r="T727" s="1485"/>
      <c r="U727" s="1485"/>
      <c r="V727" s="1484"/>
      <c r="W727" s="1366"/>
      <c r="X727" s="1366"/>
      <c r="Y727" s="1366"/>
      <c r="Z727" s="1366"/>
      <c r="AA727" s="1366"/>
      <c r="AB727" s="1366"/>
      <c r="AC727" s="1366"/>
      <c r="AD727" s="1366"/>
      <c r="AE727" s="1366"/>
      <c r="AF727" s="1366"/>
      <c r="AG727" s="1366"/>
      <c r="AH727" s="1366"/>
      <c r="AI727" s="1366"/>
      <c r="AJ727" s="1366"/>
      <c r="AK727" s="1366"/>
      <c r="AL727" s="1366"/>
      <c r="AM727" s="1366"/>
      <c r="AN727" s="1366"/>
      <c r="AO727" s="1366"/>
      <c r="AP727" s="1366"/>
      <c r="AQ727" s="1366"/>
      <c r="AR727" s="1366"/>
      <c r="AS727" s="1366"/>
      <c r="AT727" s="1366"/>
      <c r="AU727" s="1366"/>
      <c r="AV727" s="1366"/>
      <c r="AW727" s="1366"/>
      <c r="AX727" s="1366"/>
      <c r="AY727" s="1366"/>
      <c r="AZ727" s="1366"/>
      <c r="BA727" s="1366"/>
      <c r="BB727" s="1366"/>
      <c r="BC727" s="1366"/>
      <c r="BD727" s="1366"/>
      <c r="BE727" s="1366"/>
      <c r="BF727" s="1366"/>
      <c r="BG727" s="1366"/>
      <c r="BH727" s="1366"/>
      <c r="BI727" s="1366"/>
      <c r="BJ727" s="1366"/>
      <c r="BK727" s="1366"/>
      <c r="BL727" s="1366"/>
      <c r="BM727" s="1366"/>
      <c r="BN727" s="1366"/>
      <c r="BO727" s="1366"/>
      <c r="BP727" s="1366"/>
      <c r="BQ727" s="1366"/>
      <c r="BR727" s="1366"/>
      <c r="BS727" s="1366"/>
      <c r="BT727" s="1366"/>
      <c r="BU727" s="1366"/>
      <c r="BV727" s="1366"/>
      <c r="BW727" s="1366"/>
      <c r="BX727" s="1366"/>
      <c r="BY727" s="1366"/>
      <c r="BZ727" s="1366"/>
      <c r="CA727" s="1366"/>
      <c r="CB727" s="1366"/>
      <c r="CC727" s="1366"/>
      <c r="CD727" s="1366"/>
      <c r="CE727" s="1366"/>
      <c r="CF727" s="1366"/>
      <c r="CG727" s="1366"/>
      <c r="CH727" s="1366"/>
      <c r="CI727" s="1366"/>
      <c r="CJ727" s="1366"/>
      <c r="CK727" s="1366"/>
      <c r="CL727" s="1366"/>
      <c r="CM727" s="1366"/>
      <c r="CN727" s="1366"/>
      <c r="CO727" s="1366"/>
      <c r="CP727" s="1366"/>
      <c r="CQ727" s="1366"/>
      <c r="CR727" s="1366"/>
      <c r="CS727" s="1366"/>
      <c r="CT727" s="1366"/>
      <c r="CU727" s="1366"/>
      <c r="CV727" s="1366"/>
      <c r="CW727" s="1366"/>
      <c r="CX727" s="1366"/>
      <c r="CY727" s="1366"/>
      <c r="CZ727" s="1366"/>
      <c r="DA727" s="1366"/>
      <c r="DB727" s="1366"/>
      <c r="DC727" s="1366"/>
      <c r="DD727" s="1366"/>
      <c r="DE727" s="1366"/>
      <c r="DF727" s="1366"/>
      <c r="DG727" s="1366"/>
      <c r="DH727" s="1366"/>
      <c r="DI727" s="1366"/>
      <c r="DJ727" s="1366"/>
      <c r="DK727" s="1366"/>
      <c r="DL727" s="1366"/>
      <c r="DM727" s="1366"/>
      <c r="DN727" s="1366"/>
      <c r="DO727" s="1366"/>
      <c r="DP727" s="1366"/>
      <c r="DQ727" s="1366"/>
      <c r="DR727" s="1366"/>
      <c r="DS727" s="1366"/>
      <c r="DT727" s="1366"/>
      <c r="DU727" s="1366"/>
      <c r="DV727" s="1366"/>
    </row>
    <row r="728" spans="1:126" s="1367" customFormat="1" hidden="1">
      <c r="A728" s="2494"/>
      <c r="B728" s="1643"/>
      <c r="C728" s="1674"/>
      <c r="D728" s="1480"/>
      <c r="E728" s="1480"/>
      <c r="F728" s="1480"/>
      <c r="G728" s="1480"/>
      <c r="H728" s="1481"/>
      <c r="I728" s="1482"/>
      <c r="J728" s="1483"/>
      <c r="K728" s="1483"/>
      <c r="L728" s="1528"/>
      <c r="M728" s="1483"/>
      <c r="N728" s="1484"/>
      <c r="O728" s="1481"/>
      <c r="P728" s="1485"/>
      <c r="Q728" s="1485"/>
      <c r="R728" s="1485"/>
      <c r="S728" s="1485"/>
      <c r="T728" s="1485"/>
      <c r="U728" s="1485"/>
      <c r="V728" s="1484"/>
      <c r="W728" s="1366"/>
      <c r="X728" s="1366"/>
      <c r="Y728" s="1366"/>
      <c r="Z728" s="1366"/>
      <c r="AA728" s="1366"/>
      <c r="AB728" s="1366"/>
      <c r="AC728" s="1366"/>
      <c r="AD728" s="1366"/>
      <c r="AE728" s="1366"/>
      <c r="AF728" s="1366"/>
      <c r="AG728" s="1366"/>
      <c r="AH728" s="1366"/>
      <c r="AI728" s="1366"/>
      <c r="AJ728" s="1366"/>
      <c r="AK728" s="1366"/>
      <c r="AL728" s="1366"/>
      <c r="AM728" s="1366"/>
      <c r="AN728" s="1366"/>
      <c r="AO728" s="1366"/>
      <c r="AP728" s="1366"/>
      <c r="AQ728" s="1366"/>
      <c r="AR728" s="1366"/>
      <c r="AS728" s="1366"/>
      <c r="AT728" s="1366"/>
      <c r="AU728" s="1366"/>
      <c r="AV728" s="1366"/>
      <c r="AW728" s="1366"/>
      <c r="AX728" s="1366"/>
      <c r="AY728" s="1366"/>
      <c r="AZ728" s="1366"/>
      <c r="BA728" s="1366"/>
      <c r="BB728" s="1366"/>
      <c r="BC728" s="1366"/>
      <c r="BD728" s="1366"/>
      <c r="BE728" s="1366"/>
      <c r="BF728" s="1366"/>
      <c r="BG728" s="1366"/>
      <c r="BH728" s="1366"/>
      <c r="BI728" s="1366"/>
      <c r="BJ728" s="1366"/>
      <c r="BK728" s="1366"/>
      <c r="BL728" s="1366"/>
      <c r="BM728" s="1366"/>
      <c r="BN728" s="1366"/>
      <c r="BO728" s="1366"/>
      <c r="BP728" s="1366"/>
      <c r="BQ728" s="1366"/>
      <c r="BR728" s="1366"/>
      <c r="BS728" s="1366"/>
      <c r="BT728" s="1366"/>
      <c r="BU728" s="1366"/>
      <c r="BV728" s="1366"/>
      <c r="BW728" s="1366"/>
      <c r="BX728" s="1366"/>
      <c r="BY728" s="1366"/>
      <c r="BZ728" s="1366"/>
      <c r="CA728" s="1366"/>
      <c r="CB728" s="1366"/>
      <c r="CC728" s="1366"/>
      <c r="CD728" s="1366"/>
      <c r="CE728" s="1366"/>
      <c r="CF728" s="1366"/>
      <c r="CG728" s="1366"/>
      <c r="CH728" s="1366"/>
      <c r="CI728" s="1366"/>
      <c r="CJ728" s="1366"/>
      <c r="CK728" s="1366"/>
      <c r="CL728" s="1366"/>
      <c r="CM728" s="1366"/>
      <c r="CN728" s="1366"/>
      <c r="CO728" s="1366"/>
      <c r="CP728" s="1366"/>
      <c r="CQ728" s="1366"/>
      <c r="CR728" s="1366"/>
      <c r="CS728" s="1366"/>
      <c r="CT728" s="1366"/>
      <c r="CU728" s="1366"/>
      <c r="CV728" s="1366"/>
      <c r="CW728" s="1366"/>
      <c r="CX728" s="1366"/>
      <c r="CY728" s="1366"/>
      <c r="CZ728" s="1366"/>
      <c r="DA728" s="1366"/>
      <c r="DB728" s="1366"/>
      <c r="DC728" s="1366"/>
      <c r="DD728" s="1366"/>
      <c r="DE728" s="1366"/>
      <c r="DF728" s="1366"/>
      <c r="DG728" s="1366"/>
      <c r="DH728" s="1366"/>
      <c r="DI728" s="1366"/>
      <c r="DJ728" s="1366"/>
      <c r="DK728" s="1366"/>
      <c r="DL728" s="1366"/>
      <c r="DM728" s="1366"/>
      <c r="DN728" s="1366"/>
      <c r="DO728" s="1366"/>
      <c r="DP728" s="1366"/>
      <c r="DQ728" s="1366"/>
      <c r="DR728" s="1366"/>
      <c r="DS728" s="1366"/>
      <c r="DT728" s="1366"/>
      <c r="DU728" s="1366"/>
      <c r="DV728" s="1366"/>
    </row>
    <row r="729" spans="1:126" s="1367" customFormat="1" hidden="1">
      <c r="A729" s="2494"/>
      <c r="B729" s="1643"/>
      <c r="C729" s="1674"/>
      <c r="D729" s="1480"/>
      <c r="E729" s="1480"/>
      <c r="F729" s="1480"/>
      <c r="G729" s="1480"/>
      <c r="H729" s="1481"/>
      <c r="I729" s="1482"/>
      <c r="J729" s="1483"/>
      <c r="K729" s="1483"/>
      <c r="L729" s="1528"/>
      <c r="M729" s="1483"/>
      <c r="N729" s="1484"/>
      <c r="O729" s="1481"/>
      <c r="P729" s="1485"/>
      <c r="Q729" s="1485"/>
      <c r="R729" s="1485"/>
      <c r="S729" s="1485"/>
      <c r="T729" s="1485"/>
      <c r="U729" s="1485"/>
      <c r="V729" s="1484"/>
      <c r="W729" s="1366"/>
      <c r="X729" s="1366"/>
      <c r="Y729" s="1366"/>
      <c r="Z729" s="1366"/>
      <c r="AA729" s="1366"/>
      <c r="AB729" s="1366"/>
      <c r="AC729" s="1366"/>
      <c r="AD729" s="1366"/>
      <c r="AE729" s="1366"/>
      <c r="AF729" s="1366"/>
      <c r="AG729" s="1366"/>
      <c r="AH729" s="1366"/>
      <c r="AI729" s="1366"/>
      <c r="AJ729" s="1366"/>
      <c r="AK729" s="1366"/>
      <c r="AL729" s="1366"/>
      <c r="AM729" s="1366"/>
      <c r="AN729" s="1366"/>
      <c r="AO729" s="1366"/>
      <c r="AP729" s="1366"/>
      <c r="AQ729" s="1366"/>
      <c r="AR729" s="1366"/>
      <c r="AS729" s="1366"/>
      <c r="AT729" s="1366"/>
      <c r="AU729" s="1366"/>
      <c r="AV729" s="1366"/>
      <c r="AW729" s="1366"/>
      <c r="AX729" s="1366"/>
      <c r="AY729" s="1366"/>
      <c r="AZ729" s="1366"/>
      <c r="BA729" s="1366"/>
      <c r="BB729" s="1366"/>
      <c r="BC729" s="1366"/>
      <c r="BD729" s="1366"/>
      <c r="BE729" s="1366"/>
      <c r="BF729" s="1366"/>
      <c r="BG729" s="1366"/>
      <c r="BH729" s="1366"/>
      <c r="BI729" s="1366"/>
      <c r="BJ729" s="1366"/>
      <c r="BK729" s="1366"/>
      <c r="BL729" s="1366"/>
      <c r="BM729" s="1366"/>
      <c r="BN729" s="1366"/>
      <c r="BO729" s="1366"/>
      <c r="BP729" s="1366"/>
      <c r="BQ729" s="1366"/>
      <c r="BR729" s="1366"/>
      <c r="BS729" s="1366"/>
      <c r="BT729" s="1366"/>
      <c r="BU729" s="1366"/>
      <c r="BV729" s="1366"/>
      <c r="BW729" s="1366"/>
      <c r="BX729" s="1366"/>
      <c r="BY729" s="1366"/>
      <c r="BZ729" s="1366"/>
      <c r="CA729" s="1366"/>
      <c r="CB729" s="1366"/>
      <c r="CC729" s="1366"/>
      <c r="CD729" s="1366"/>
      <c r="CE729" s="1366"/>
      <c r="CF729" s="1366"/>
      <c r="CG729" s="1366"/>
      <c r="CH729" s="1366"/>
      <c r="CI729" s="1366"/>
      <c r="CJ729" s="1366"/>
      <c r="CK729" s="1366"/>
      <c r="CL729" s="1366"/>
      <c r="CM729" s="1366"/>
      <c r="CN729" s="1366"/>
      <c r="CO729" s="1366"/>
      <c r="CP729" s="1366"/>
      <c r="CQ729" s="1366"/>
      <c r="CR729" s="1366"/>
      <c r="CS729" s="1366"/>
      <c r="CT729" s="1366"/>
      <c r="CU729" s="1366"/>
      <c r="CV729" s="1366"/>
      <c r="CW729" s="1366"/>
      <c r="CX729" s="1366"/>
      <c r="CY729" s="1366"/>
      <c r="CZ729" s="1366"/>
      <c r="DA729" s="1366"/>
      <c r="DB729" s="1366"/>
      <c r="DC729" s="1366"/>
      <c r="DD729" s="1366"/>
      <c r="DE729" s="1366"/>
      <c r="DF729" s="1366"/>
      <c r="DG729" s="1366"/>
      <c r="DH729" s="1366"/>
      <c r="DI729" s="1366"/>
      <c r="DJ729" s="1366"/>
      <c r="DK729" s="1366"/>
      <c r="DL729" s="1366"/>
      <c r="DM729" s="1366"/>
      <c r="DN729" s="1366"/>
      <c r="DO729" s="1366"/>
      <c r="DP729" s="1366"/>
      <c r="DQ729" s="1366"/>
      <c r="DR729" s="1366"/>
      <c r="DS729" s="1366"/>
      <c r="DT729" s="1366"/>
      <c r="DU729" s="1366"/>
      <c r="DV729" s="1366"/>
    </row>
    <row r="730" spans="1:126" s="1367" customFormat="1" hidden="1">
      <c r="A730" s="2494"/>
      <c r="B730" s="1643"/>
      <c r="C730" s="1674"/>
      <c r="D730" s="1480"/>
      <c r="E730" s="1480"/>
      <c r="F730" s="1480"/>
      <c r="G730" s="1480"/>
      <c r="H730" s="1481"/>
      <c r="I730" s="1482"/>
      <c r="J730" s="1483"/>
      <c r="K730" s="1483"/>
      <c r="L730" s="1528"/>
      <c r="M730" s="1483"/>
      <c r="N730" s="1484"/>
      <c r="O730" s="1481"/>
      <c r="P730" s="1485"/>
      <c r="Q730" s="1485"/>
      <c r="R730" s="1485"/>
      <c r="S730" s="1485"/>
      <c r="T730" s="1485"/>
      <c r="U730" s="1485"/>
      <c r="V730" s="1484"/>
      <c r="W730" s="1366"/>
      <c r="X730" s="1366"/>
      <c r="Y730" s="1366"/>
      <c r="Z730" s="1366"/>
      <c r="AA730" s="1366"/>
      <c r="AB730" s="1366"/>
      <c r="AC730" s="1366"/>
      <c r="AD730" s="1366"/>
      <c r="AE730" s="1366"/>
      <c r="AF730" s="1366"/>
      <c r="AG730" s="1366"/>
      <c r="AH730" s="1366"/>
      <c r="AI730" s="1366"/>
      <c r="AJ730" s="1366"/>
      <c r="AK730" s="1366"/>
      <c r="AL730" s="1366"/>
      <c r="AM730" s="1366"/>
      <c r="AN730" s="1366"/>
      <c r="AO730" s="1366"/>
      <c r="AP730" s="1366"/>
      <c r="AQ730" s="1366"/>
      <c r="AR730" s="1366"/>
      <c r="AS730" s="1366"/>
      <c r="AT730" s="1366"/>
      <c r="AU730" s="1366"/>
      <c r="AV730" s="1366"/>
      <c r="AW730" s="1366"/>
      <c r="AX730" s="1366"/>
      <c r="AY730" s="1366"/>
      <c r="AZ730" s="1366"/>
      <c r="BA730" s="1366"/>
      <c r="BB730" s="1366"/>
      <c r="BC730" s="1366"/>
      <c r="BD730" s="1366"/>
      <c r="BE730" s="1366"/>
      <c r="BF730" s="1366"/>
      <c r="BG730" s="1366"/>
      <c r="BH730" s="1366"/>
      <c r="BI730" s="1366"/>
      <c r="BJ730" s="1366"/>
      <c r="BK730" s="1366"/>
      <c r="BL730" s="1366"/>
      <c r="BM730" s="1366"/>
      <c r="BN730" s="1366"/>
      <c r="BO730" s="1366"/>
      <c r="BP730" s="1366"/>
      <c r="BQ730" s="1366"/>
      <c r="BR730" s="1366"/>
      <c r="BS730" s="1366"/>
      <c r="BT730" s="1366"/>
      <c r="BU730" s="1366"/>
      <c r="BV730" s="1366"/>
      <c r="BW730" s="1366"/>
      <c r="BX730" s="1366"/>
      <c r="BY730" s="1366"/>
      <c r="BZ730" s="1366"/>
      <c r="CA730" s="1366"/>
      <c r="CB730" s="1366"/>
      <c r="CC730" s="1366"/>
      <c r="CD730" s="1366"/>
      <c r="CE730" s="1366"/>
      <c r="CF730" s="1366"/>
      <c r="CG730" s="1366"/>
      <c r="CH730" s="1366"/>
      <c r="CI730" s="1366"/>
      <c r="CJ730" s="1366"/>
      <c r="CK730" s="1366"/>
      <c r="CL730" s="1366"/>
      <c r="CM730" s="1366"/>
      <c r="CN730" s="1366"/>
      <c r="CO730" s="1366"/>
      <c r="CP730" s="1366"/>
      <c r="CQ730" s="1366"/>
      <c r="CR730" s="1366"/>
      <c r="CS730" s="1366"/>
      <c r="CT730" s="1366"/>
      <c r="CU730" s="1366"/>
      <c r="CV730" s="1366"/>
      <c r="CW730" s="1366"/>
      <c r="CX730" s="1366"/>
      <c r="CY730" s="1366"/>
      <c r="CZ730" s="1366"/>
      <c r="DA730" s="1366"/>
      <c r="DB730" s="1366"/>
      <c r="DC730" s="1366"/>
      <c r="DD730" s="1366"/>
      <c r="DE730" s="1366"/>
      <c r="DF730" s="1366"/>
      <c r="DG730" s="1366"/>
      <c r="DH730" s="1366"/>
      <c r="DI730" s="1366"/>
      <c r="DJ730" s="1366"/>
      <c r="DK730" s="1366"/>
      <c r="DL730" s="1366"/>
      <c r="DM730" s="1366"/>
      <c r="DN730" s="1366"/>
      <c r="DO730" s="1366"/>
      <c r="DP730" s="1366"/>
      <c r="DQ730" s="1366"/>
      <c r="DR730" s="1366"/>
      <c r="DS730" s="1366"/>
      <c r="DT730" s="1366"/>
      <c r="DU730" s="1366"/>
      <c r="DV730" s="1366"/>
    </row>
    <row r="731" spans="1:126" s="1367" customFormat="1" hidden="1">
      <c r="A731" s="2494"/>
      <c r="B731" s="1643"/>
      <c r="C731" s="1674"/>
      <c r="D731" s="1480"/>
      <c r="E731" s="1480"/>
      <c r="F731" s="1480"/>
      <c r="G731" s="1480"/>
      <c r="H731" s="1481"/>
      <c r="I731" s="1482"/>
      <c r="J731" s="1483"/>
      <c r="K731" s="1483"/>
      <c r="L731" s="1528"/>
      <c r="M731" s="1483"/>
      <c r="N731" s="1484"/>
      <c r="O731" s="1481"/>
      <c r="P731" s="1485"/>
      <c r="Q731" s="1485"/>
      <c r="R731" s="1485"/>
      <c r="S731" s="1485"/>
      <c r="T731" s="1485"/>
      <c r="U731" s="1485"/>
      <c r="V731" s="1484"/>
      <c r="W731" s="1366"/>
      <c r="X731" s="1366"/>
      <c r="Y731" s="1366"/>
      <c r="Z731" s="1366"/>
      <c r="AA731" s="1366"/>
      <c r="AB731" s="1366"/>
      <c r="AC731" s="1366"/>
      <c r="AD731" s="1366"/>
      <c r="AE731" s="1366"/>
      <c r="AF731" s="1366"/>
      <c r="AG731" s="1366"/>
      <c r="AH731" s="1366"/>
      <c r="AI731" s="1366"/>
      <c r="AJ731" s="1366"/>
      <c r="AK731" s="1366"/>
      <c r="AL731" s="1366"/>
      <c r="AM731" s="1366"/>
      <c r="AN731" s="1366"/>
      <c r="AO731" s="1366"/>
      <c r="AP731" s="1366"/>
      <c r="AQ731" s="1366"/>
      <c r="AR731" s="1366"/>
      <c r="AS731" s="1366"/>
      <c r="AT731" s="1366"/>
      <c r="AU731" s="1366"/>
      <c r="AV731" s="1366"/>
      <c r="AW731" s="1366"/>
      <c r="AX731" s="1366"/>
      <c r="AY731" s="1366"/>
      <c r="AZ731" s="1366"/>
      <c r="BA731" s="1366"/>
      <c r="BB731" s="1366"/>
      <c r="BC731" s="1366"/>
      <c r="BD731" s="1366"/>
      <c r="BE731" s="1366"/>
      <c r="BF731" s="1366"/>
      <c r="BG731" s="1366"/>
      <c r="BH731" s="1366"/>
      <c r="BI731" s="1366"/>
      <c r="BJ731" s="1366"/>
      <c r="BK731" s="1366"/>
      <c r="BL731" s="1366"/>
      <c r="BM731" s="1366"/>
      <c r="BN731" s="1366"/>
      <c r="BO731" s="1366"/>
      <c r="BP731" s="1366"/>
      <c r="BQ731" s="1366"/>
      <c r="BR731" s="1366"/>
      <c r="BS731" s="1366"/>
      <c r="BT731" s="1366"/>
      <c r="BU731" s="1366"/>
      <c r="BV731" s="1366"/>
      <c r="BW731" s="1366"/>
      <c r="BX731" s="1366"/>
      <c r="BY731" s="1366"/>
      <c r="BZ731" s="1366"/>
      <c r="CA731" s="1366"/>
      <c r="CB731" s="1366"/>
      <c r="CC731" s="1366"/>
      <c r="CD731" s="1366"/>
      <c r="CE731" s="1366"/>
      <c r="CF731" s="1366"/>
      <c r="CG731" s="1366"/>
      <c r="CH731" s="1366"/>
      <c r="CI731" s="1366"/>
      <c r="CJ731" s="1366"/>
      <c r="CK731" s="1366"/>
      <c r="CL731" s="1366"/>
      <c r="CM731" s="1366"/>
      <c r="CN731" s="1366"/>
      <c r="CO731" s="1366"/>
      <c r="CP731" s="1366"/>
      <c r="CQ731" s="1366"/>
      <c r="CR731" s="1366"/>
      <c r="CS731" s="1366"/>
      <c r="CT731" s="1366"/>
      <c r="CU731" s="1366"/>
      <c r="CV731" s="1366"/>
      <c r="CW731" s="1366"/>
      <c r="CX731" s="1366"/>
      <c r="CY731" s="1366"/>
      <c r="CZ731" s="1366"/>
      <c r="DA731" s="1366"/>
      <c r="DB731" s="1366"/>
      <c r="DC731" s="1366"/>
      <c r="DD731" s="1366"/>
      <c r="DE731" s="1366"/>
      <c r="DF731" s="1366"/>
      <c r="DG731" s="1366"/>
      <c r="DH731" s="1366"/>
      <c r="DI731" s="1366"/>
      <c r="DJ731" s="1366"/>
      <c r="DK731" s="1366"/>
      <c r="DL731" s="1366"/>
      <c r="DM731" s="1366"/>
      <c r="DN731" s="1366"/>
      <c r="DO731" s="1366"/>
      <c r="DP731" s="1366"/>
      <c r="DQ731" s="1366"/>
      <c r="DR731" s="1366"/>
      <c r="DS731" s="1366"/>
      <c r="DT731" s="1366"/>
      <c r="DU731" s="1366"/>
      <c r="DV731" s="1366"/>
    </row>
    <row r="732" spans="1:126" s="1367" customFormat="1" hidden="1">
      <c r="A732" s="2494"/>
      <c r="B732" s="1643"/>
      <c r="C732" s="1674"/>
      <c r="D732" s="1480"/>
      <c r="E732" s="1480"/>
      <c r="F732" s="1480"/>
      <c r="G732" s="1480"/>
      <c r="H732" s="1481"/>
      <c r="I732" s="1482"/>
      <c r="J732" s="1483"/>
      <c r="K732" s="1483"/>
      <c r="L732" s="1528"/>
      <c r="M732" s="1483"/>
      <c r="N732" s="1484"/>
      <c r="O732" s="1481"/>
      <c r="P732" s="1485"/>
      <c r="Q732" s="1485"/>
      <c r="R732" s="1485"/>
      <c r="S732" s="1485"/>
      <c r="T732" s="1485"/>
      <c r="U732" s="1485"/>
      <c r="V732" s="1484"/>
      <c r="W732" s="1366"/>
      <c r="X732" s="1366"/>
      <c r="Y732" s="1366"/>
      <c r="Z732" s="1366"/>
      <c r="AA732" s="1366"/>
      <c r="AB732" s="1366"/>
      <c r="AC732" s="1366"/>
      <c r="AD732" s="1366"/>
      <c r="AE732" s="1366"/>
      <c r="AF732" s="1366"/>
      <c r="AG732" s="1366"/>
      <c r="AH732" s="1366"/>
      <c r="AI732" s="1366"/>
      <c r="AJ732" s="1366"/>
      <c r="AK732" s="1366"/>
      <c r="AL732" s="1366"/>
      <c r="AM732" s="1366"/>
      <c r="AN732" s="1366"/>
      <c r="AO732" s="1366"/>
      <c r="AP732" s="1366"/>
      <c r="AQ732" s="1366"/>
      <c r="AR732" s="1366"/>
      <c r="AS732" s="1366"/>
      <c r="AT732" s="1366"/>
      <c r="AU732" s="1366"/>
      <c r="AV732" s="1366"/>
      <c r="AW732" s="1366"/>
      <c r="AX732" s="1366"/>
      <c r="AY732" s="1366"/>
      <c r="AZ732" s="1366"/>
      <c r="BA732" s="1366"/>
      <c r="BB732" s="1366"/>
      <c r="BC732" s="1366"/>
      <c r="BD732" s="1366"/>
      <c r="BE732" s="1366"/>
      <c r="BF732" s="1366"/>
      <c r="BG732" s="1366"/>
      <c r="BH732" s="1366"/>
      <c r="BI732" s="1366"/>
      <c r="BJ732" s="1366"/>
      <c r="BK732" s="1366"/>
      <c r="BL732" s="1366"/>
      <c r="BM732" s="1366"/>
      <c r="BN732" s="1366"/>
      <c r="BO732" s="1366"/>
      <c r="BP732" s="1366"/>
      <c r="BQ732" s="1366"/>
      <c r="BR732" s="1366"/>
      <c r="BS732" s="1366"/>
      <c r="BT732" s="1366"/>
      <c r="BU732" s="1366"/>
      <c r="BV732" s="1366"/>
      <c r="BW732" s="1366"/>
      <c r="BX732" s="1366"/>
      <c r="BY732" s="1366"/>
      <c r="BZ732" s="1366"/>
      <c r="CA732" s="1366"/>
      <c r="CB732" s="1366"/>
      <c r="CC732" s="1366"/>
      <c r="CD732" s="1366"/>
      <c r="CE732" s="1366"/>
      <c r="CF732" s="1366"/>
      <c r="CG732" s="1366"/>
      <c r="CH732" s="1366"/>
      <c r="CI732" s="1366"/>
      <c r="CJ732" s="1366"/>
      <c r="CK732" s="1366"/>
      <c r="CL732" s="1366"/>
      <c r="CM732" s="1366"/>
      <c r="CN732" s="1366"/>
      <c r="CO732" s="1366"/>
      <c r="CP732" s="1366"/>
      <c r="CQ732" s="1366"/>
      <c r="CR732" s="1366"/>
      <c r="CS732" s="1366"/>
      <c r="CT732" s="1366"/>
      <c r="CU732" s="1366"/>
      <c r="CV732" s="1366"/>
      <c r="CW732" s="1366"/>
      <c r="CX732" s="1366"/>
      <c r="CY732" s="1366"/>
      <c r="CZ732" s="1366"/>
      <c r="DA732" s="1366"/>
      <c r="DB732" s="1366"/>
      <c r="DC732" s="1366"/>
      <c r="DD732" s="1366"/>
      <c r="DE732" s="1366"/>
      <c r="DF732" s="1366"/>
      <c r="DG732" s="1366"/>
      <c r="DH732" s="1366"/>
      <c r="DI732" s="1366"/>
      <c r="DJ732" s="1366"/>
      <c r="DK732" s="1366"/>
      <c r="DL732" s="1366"/>
      <c r="DM732" s="1366"/>
      <c r="DN732" s="1366"/>
      <c r="DO732" s="1366"/>
      <c r="DP732" s="1366"/>
      <c r="DQ732" s="1366"/>
      <c r="DR732" s="1366"/>
      <c r="DS732" s="1366"/>
      <c r="DT732" s="1366"/>
      <c r="DU732" s="1366"/>
      <c r="DV732" s="1366"/>
    </row>
    <row r="733" spans="1:126" s="1367" customFormat="1" hidden="1">
      <c r="A733" s="2494"/>
      <c r="B733" s="1643"/>
      <c r="C733" s="1674"/>
      <c r="D733" s="1480"/>
      <c r="E733" s="1480"/>
      <c r="F733" s="1480"/>
      <c r="G733" s="1480"/>
      <c r="H733" s="1481"/>
      <c r="I733" s="1482"/>
      <c r="J733" s="1483"/>
      <c r="K733" s="1483"/>
      <c r="L733" s="1528"/>
      <c r="M733" s="1483"/>
      <c r="N733" s="1484"/>
      <c r="O733" s="1481"/>
      <c r="P733" s="1485"/>
      <c r="Q733" s="1485"/>
      <c r="R733" s="1485"/>
      <c r="S733" s="1485"/>
      <c r="T733" s="1485"/>
      <c r="U733" s="1485"/>
      <c r="V733" s="1484"/>
      <c r="W733" s="1366"/>
      <c r="X733" s="1366"/>
      <c r="Y733" s="1366"/>
      <c r="Z733" s="1366"/>
      <c r="AA733" s="1366"/>
      <c r="AB733" s="1366"/>
      <c r="AC733" s="1366"/>
      <c r="AD733" s="1366"/>
      <c r="AE733" s="1366"/>
      <c r="AF733" s="1366"/>
      <c r="AG733" s="1366"/>
      <c r="AH733" s="1366"/>
      <c r="AI733" s="1366"/>
      <c r="AJ733" s="1366"/>
      <c r="AK733" s="1366"/>
      <c r="AL733" s="1366"/>
      <c r="AM733" s="1366"/>
      <c r="AN733" s="1366"/>
      <c r="AO733" s="1366"/>
      <c r="AP733" s="1366"/>
      <c r="AQ733" s="1366"/>
      <c r="AR733" s="1366"/>
      <c r="AS733" s="1366"/>
      <c r="AT733" s="1366"/>
      <c r="AU733" s="1366"/>
      <c r="AV733" s="1366"/>
      <c r="AW733" s="1366"/>
      <c r="AX733" s="1366"/>
      <c r="AY733" s="1366"/>
      <c r="AZ733" s="1366"/>
      <c r="BA733" s="1366"/>
      <c r="BB733" s="1366"/>
      <c r="BC733" s="1366"/>
      <c r="BD733" s="1366"/>
      <c r="BE733" s="1366"/>
      <c r="BF733" s="1366"/>
      <c r="BG733" s="1366"/>
      <c r="BH733" s="1366"/>
      <c r="BI733" s="1366"/>
      <c r="BJ733" s="1366"/>
      <c r="BK733" s="1366"/>
      <c r="BL733" s="1366"/>
      <c r="BM733" s="1366"/>
      <c r="BN733" s="1366"/>
      <c r="BO733" s="1366"/>
      <c r="BP733" s="1366"/>
      <c r="BQ733" s="1366"/>
      <c r="BR733" s="1366"/>
      <c r="BS733" s="1366"/>
      <c r="BT733" s="1366"/>
      <c r="BU733" s="1366"/>
      <c r="BV733" s="1366"/>
      <c r="BW733" s="1366"/>
      <c r="BX733" s="1366"/>
      <c r="BY733" s="1366"/>
      <c r="BZ733" s="1366"/>
      <c r="CA733" s="1366"/>
      <c r="CB733" s="1366"/>
      <c r="CC733" s="1366"/>
      <c r="CD733" s="1366"/>
      <c r="CE733" s="1366"/>
      <c r="CF733" s="1366"/>
      <c r="CG733" s="1366"/>
      <c r="CH733" s="1366"/>
      <c r="CI733" s="1366"/>
      <c r="CJ733" s="1366"/>
      <c r="CK733" s="1366"/>
      <c r="CL733" s="1366"/>
      <c r="CM733" s="1366"/>
      <c r="CN733" s="1366"/>
      <c r="CO733" s="1366"/>
      <c r="CP733" s="1366"/>
      <c r="CQ733" s="1366"/>
      <c r="CR733" s="1366"/>
      <c r="CS733" s="1366"/>
      <c r="CT733" s="1366"/>
      <c r="CU733" s="1366"/>
      <c r="CV733" s="1366"/>
      <c r="CW733" s="1366"/>
      <c r="CX733" s="1366"/>
      <c r="CY733" s="1366"/>
      <c r="CZ733" s="1366"/>
      <c r="DA733" s="1366"/>
      <c r="DB733" s="1366"/>
      <c r="DC733" s="1366"/>
      <c r="DD733" s="1366"/>
      <c r="DE733" s="1366"/>
      <c r="DF733" s="1366"/>
      <c r="DG733" s="1366"/>
      <c r="DH733" s="1366"/>
      <c r="DI733" s="1366"/>
      <c r="DJ733" s="1366"/>
      <c r="DK733" s="1366"/>
      <c r="DL733" s="1366"/>
      <c r="DM733" s="1366"/>
      <c r="DN733" s="1366"/>
      <c r="DO733" s="1366"/>
      <c r="DP733" s="1366"/>
      <c r="DQ733" s="1366"/>
      <c r="DR733" s="1366"/>
      <c r="DS733" s="1366"/>
      <c r="DT733" s="1366"/>
      <c r="DU733" s="1366"/>
      <c r="DV733" s="1366"/>
    </row>
    <row r="734" spans="1:126" s="1367" customFormat="1" hidden="1">
      <c r="A734" s="2494"/>
      <c r="B734" s="1643"/>
      <c r="C734" s="1674"/>
      <c r="D734" s="1480"/>
      <c r="E734" s="1480"/>
      <c r="F734" s="1480"/>
      <c r="G734" s="1480"/>
      <c r="H734" s="1481"/>
      <c r="I734" s="1482"/>
      <c r="J734" s="1483"/>
      <c r="K734" s="1483"/>
      <c r="L734" s="1528"/>
      <c r="M734" s="1483"/>
      <c r="N734" s="1484"/>
      <c r="O734" s="1481"/>
      <c r="P734" s="1485"/>
      <c r="Q734" s="1485"/>
      <c r="R734" s="1485"/>
      <c r="S734" s="1485"/>
      <c r="T734" s="1485"/>
      <c r="U734" s="1485"/>
      <c r="V734" s="1484"/>
      <c r="W734" s="1366"/>
      <c r="X734" s="1366"/>
      <c r="Y734" s="1366"/>
      <c r="Z734" s="1366"/>
      <c r="AA734" s="1366"/>
      <c r="AB734" s="1366"/>
      <c r="AC734" s="1366"/>
      <c r="AD734" s="1366"/>
      <c r="AE734" s="1366"/>
      <c r="AF734" s="1366"/>
      <c r="AG734" s="1366"/>
      <c r="AH734" s="1366"/>
      <c r="AI734" s="1366"/>
      <c r="AJ734" s="1366"/>
      <c r="AK734" s="1366"/>
      <c r="AL734" s="1366"/>
      <c r="AM734" s="1366"/>
      <c r="AN734" s="1366"/>
      <c r="AO734" s="1366"/>
      <c r="AP734" s="1366"/>
      <c r="AQ734" s="1366"/>
      <c r="AR734" s="1366"/>
      <c r="AS734" s="1366"/>
      <c r="AT734" s="1366"/>
      <c r="AU734" s="1366"/>
      <c r="AV734" s="1366"/>
      <c r="AW734" s="1366"/>
      <c r="AX734" s="1366"/>
      <c r="AY734" s="1366"/>
      <c r="AZ734" s="1366"/>
      <c r="BA734" s="1366"/>
      <c r="BB734" s="1366"/>
      <c r="BC734" s="1366"/>
      <c r="BD734" s="1366"/>
      <c r="BE734" s="1366"/>
      <c r="BF734" s="1366"/>
      <c r="BG734" s="1366"/>
      <c r="BH734" s="1366"/>
      <c r="BI734" s="1366"/>
      <c r="BJ734" s="1366"/>
      <c r="BK734" s="1366"/>
      <c r="BL734" s="1366"/>
      <c r="BM734" s="1366"/>
      <c r="BN734" s="1366"/>
      <c r="BO734" s="1366"/>
      <c r="BP734" s="1366"/>
      <c r="BQ734" s="1366"/>
      <c r="BR734" s="1366"/>
      <c r="BS734" s="1366"/>
      <c r="BT734" s="1366"/>
      <c r="BU734" s="1366"/>
      <c r="BV734" s="1366"/>
      <c r="BW734" s="1366"/>
      <c r="BX734" s="1366"/>
      <c r="BY734" s="1366"/>
      <c r="BZ734" s="1366"/>
      <c r="CA734" s="1366"/>
      <c r="CB734" s="1366"/>
      <c r="CC734" s="1366"/>
      <c r="CD734" s="1366"/>
      <c r="CE734" s="1366"/>
      <c r="CF734" s="1366"/>
      <c r="CG734" s="1366"/>
      <c r="CH734" s="1366"/>
      <c r="CI734" s="1366"/>
      <c r="CJ734" s="1366"/>
      <c r="CK734" s="1366"/>
      <c r="CL734" s="1366"/>
      <c r="CM734" s="1366"/>
      <c r="CN734" s="1366"/>
      <c r="CO734" s="1366"/>
      <c r="CP734" s="1366"/>
      <c r="CQ734" s="1366"/>
      <c r="CR734" s="1366"/>
      <c r="CS734" s="1366"/>
      <c r="CT734" s="1366"/>
      <c r="CU734" s="1366"/>
      <c r="CV734" s="1366"/>
      <c r="CW734" s="1366"/>
      <c r="CX734" s="1366"/>
      <c r="CY734" s="1366"/>
      <c r="CZ734" s="1366"/>
      <c r="DA734" s="1366"/>
      <c r="DB734" s="1366"/>
      <c r="DC734" s="1366"/>
      <c r="DD734" s="1366"/>
      <c r="DE734" s="1366"/>
      <c r="DF734" s="1366"/>
      <c r="DG734" s="1366"/>
      <c r="DH734" s="1366"/>
      <c r="DI734" s="1366"/>
      <c r="DJ734" s="1366"/>
      <c r="DK734" s="1366"/>
      <c r="DL734" s="1366"/>
      <c r="DM734" s="1366"/>
      <c r="DN734" s="1366"/>
      <c r="DO734" s="1366"/>
      <c r="DP734" s="1366"/>
      <c r="DQ734" s="1366"/>
      <c r="DR734" s="1366"/>
      <c r="DS734" s="1366"/>
      <c r="DT734" s="1366"/>
      <c r="DU734" s="1366"/>
      <c r="DV734" s="1366"/>
    </row>
    <row r="735" spans="1:126" s="1367" customFormat="1" hidden="1">
      <c r="A735" s="2494"/>
      <c r="B735" s="1643"/>
      <c r="C735" s="1674"/>
      <c r="D735" s="1480"/>
      <c r="E735" s="1480"/>
      <c r="F735" s="1480"/>
      <c r="G735" s="1480"/>
      <c r="H735" s="1481"/>
      <c r="I735" s="1482"/>
      <c r="J735" s="1483"/>
      <c r="K735" s="1483"/>
      <c r="L735" s="1528"/>
      <c r="M735" s="1483"/>
      <c r="N735" s="1484"/>
      <c r="O735" s="1481"/>
      <c r="P735" s="1485"/>
      <c r="Q735" s="1485"/>
      <c r="R735" s="1485"/>
      <c r="S735" s="1485"/>
      <c r="T735" s="1485"/>
      <c r="U735" s="1485"/>
      <c r="V735" s="1484"/>
      <c r="W735" s="1366"/>
      <c r="X735" s="1366"/>
      <c r="Y735" s="1366"/>
      <c r="Z735" s="1366"/>
      <c r="AA735" s="1366"/>
      <c r="AB735" s="1366"/>
      <c r="AC735" s="1366"/>
      <c r="AD735" s="1366"/>
      <c r="AE735" s="1366"/>
      <c r="AF735" s="1366"/>
      <c r="AG735" s="1366"/>
      <c r="AH735" s="1366"/>
      <c r="AI735" s="1366"/>
      <c r="AJ735" s="1366"/>
      <c r="AK735" s="1366"/>
      <c r="AL735" s="1366"/>
      <c r="AM735" s="1366"/>
      <c r="AN735" s="1366"/>
      <c r="AO735" s="1366"/>
      <c r="AP735" s="1366"/>
      <c r="AQ735" s="1366"/>
      <c r="AR735" s="1366"/>
      <c r="AS735" s="1366"/>
      <c r="AT735" s="1366"/>
      <c r="AU735" s="1366"/>
      <c r="AV735" s="1366"/>
      <c r="AW735" s="1366"/>
      <c r="AX735" s="1366"/>
      <c r="AY735" s="1366"/>
      <c r="AZ735" s="1366"/>
      <c r="BA735" s="1366"/>
      <c r="BB735" s="1366"/>
      <c r="BC735" s="1366"/>
      <c r="BD735" s="1366"/>
      <c r="BE735" s="1366"/>
      <c r="BF735" s="1366"/>
      <c r="BG735" s="1366"/>
      <c r="BH735" s="1366"/>
      <c r="BI735" s="1366"/>
      <c r="BJ735" s="1366"/>
      <c r="BK735" s="1366"/>
      <c r="BL735" s="1366"/>
      <c r="BM735" s="1366"/>
      <c r="BN735" s="1366"/>
      <c r="BO735" s="1366"/>
      <c r="BP735" s="1366"/>
      <c r="BQ735" s="1366"/>
      <c r="BR735" s="1366"/>
      <c r="BS735" s="1366"/>
      <c r="BT735" s="1366"/>
      <c r="BU735" s="1366"/>
      <c r="BV735" s="1366"/>
      <c r="BW735" s="1366"/>
      <c r="BX735" s="1366"/>
      <c r="BY735" s="1366"/>
      <c r="BZ735" s="1366"/>
      <c r="CA735" s="1366"/>
      <c r="CB735" s="1366"/>
      <c r="CC735" s="1366"/>
      <c r="CD735" s="1366"/>
      <c r="CE735" s="1366"/>
      <c r="CF735" s="1366"/>
      <c r="CG735" s="1366"/>
      <c r="CH735" s="1366"/>
      <c r="CI735" s="1366"/>
      <c r="CJ735" s="1366"/>
      <c r="CK735" s="1366"/>
      <c r="CL735" s="1366"/>
      <c r="CM735" s="1366"/>
      <c r="CN735" s="1366"/>
      <c r="CO735" s="1366"/>
      <c r="CP735" s="1366"/>
      <c r="CQ735" s="1366"/>
      <c r="CR735" s="1366"/>
      <c r="CS735" s="1366"/>
      <c r="CT735" s="1366"/>
      <c r="CU735" s="1366"/>
      <c r="CV735" s="1366"/>
      <c r="CW735" s="1366"/>
      <c r="CX735" s="1366"/>
      <c r="CY735" s="1366"/>
      <c r="CZ735" s="1366"/>
      <c r="DA735" s="1366"/>
      <c r="DB735" s="1366"/>
      <c r="DC735" s="1366"/>
      <c r="DD735" s="1366"/>
      <c r="DE735" s="1366"/>
      <c r="DF735" s="1366"/>
      <c r="DG735" s="1366"/>
      <c r="DH735" s="1366"/>
      <c r="DI735" s="1366"/>
      <c r="DJ735" s="1366"/>
      <c r="DK735" s="1366"/>
      <c r="DL735" s="1366"/>
      <c r="DM735" s="1366"/>
      <c r="DN735" s="1366"/>
      <c r="DO735" s="1366"/>
      <c r="DP735" s="1366"/>
      <c r="DQ735" s="1366"/>
      <c r="DR735" s="1366"/>
      <c r="DS735" s="1366"/>
      <c r="DT735" s="1366"/>
      <c r="DU735" s="1366"/>
      <c r="DV735" s="1366"/>
    </row>
    <row r="736" spans="1:126" s="1367" customFormat="1" hidden="1">
      <c r="A736" s="2494"/>
      <c r="B736" s="1643"/>
      <c r="C736" s="1674"/>
      <c r="D736" s="1480"/>
      <c r="E736" s="1480"/>
      <c r="F736" s="1480"/>
      <c r="G736" s="1480"/>
      <c r="H736" s="1481"/>
      <c r="I736" s="1482"/>
      <c r="J736" s="1483"/>
      <c r="K736" s="1483"/>
      <c r="L736" s="1528"/>
      <c r="M736" s="1483"/>
      <c r="N736" s="1484"/>
      <c r="O736" s="1481"/>
      <c r="P736" s="1485"/>
      <c r="Q736" s="1485"/>
      <c r="R736" s="1485"/>
      <c r="S736" s="1485"/>
      <c r="T736" s="1485"/>
      <c r="U736" s="1485"/>
      <c r="V736" s="1484"/>
      <c r="W736" s="1366"/>
      <c r="X736" s="1366"/>
      <c r="Y736" s="1366"/>
      <c r="Z736" s="1366"/>
      <c r="AA736" s="1366"/>
      <c r="AB736" s="1366"/>
      <c r="AC736" s="1366"/>
      <c r="AD736" s="1366"/>
      <c r="AE736" s="1366"/>
      <c r="AF736" s="1366"/>
      <c r="AG736" s="1366"/>
      <c r="AH736" s="1366"/>
      <c r="AI736" s="1366"/>
      <c r="AJ736" s="1366"/>
      <c r="AK736" s="1366"/>
      <c r="AL736" s="1366"/>
      <c r="AM736" s="1366"/>
      <c r="AN736" s="1366"/>
      <c r="AO736" s="1366"/>
      <c r="AP736" s="1366"/>
      <c r="AQ736" s="1366"/>
      <c r="AR736" s="1366"/>
      <c r="AS736" s="1366"/>
      <c r="AT736" s="1366"/>
      <c r="AU736" s="1366"/>
      <c r="AV736" s="1366"/>
      <c r="AW736" s="1366"/>
      <c r="AX736" s="1366"/>
      <c r="AY736" s="1366"/>
      <c r="AZ736" s="1366"/>
      <c r="BA736" s="1366"/>
      <c r="BB736" s="1366"/>
      <c r="BC736" s="1366"/>
      <c r="BD736" s="1366"/>
      <c r="BE736" s="1366"/>
      <c r="BF736" s="1366"/>
      <c r="BG736" s="1366"/>
      <c r="BH736" s="1366"/>
      <c r="BI736" s="1366"/>
      <c r="BJ736" s="1366"/>
      <c r="BK736" s="1366"/>
      <c r="BL736" s="1366"/>
      <c r="BM736" s="1366"/>
      <c r="BN736" s="1366"/>
      <c r="BO736" s="1366"/>
      <c r="BP736" s="1366"/>
      <c r="BQ736" s="1366"/>
      <c r="BR736" s="1366"/>
      <c r="BS736" s="1366"/>
      <c r="BT736" s="1366"/>
      <c r="BU736" s="1366"/>
      <c r="BV736" s="1366"/>
      <c r="BW736" s="1366"/>
      <c r="BX736" s="1366"/>
      <c r="BY736" s="1366"/>
      <c r="BZ736" s="1366"/>
      <c r="CA736" s="1366"/>
      <c r="CB736" s="1366"/>
      <c r="CC736" s="1366"/>
      <c r="CD736" s="1366"/>
      <c r="CE736" s="1366"/>
      <c r="CF736" s="1366"/>
      <c r="CG736" s="1366"/>
      <c r="CH736" s="1366"/>
      <c r="CI736" s="1366"/>
      <c r="CJ736" s="1366"/>
      <c r="CK736" s="1366"/>
      <c r="CL736" s="1366"/>
      <c r="CM736" s="1366"/>
      <c r="CN736" s="1366"/>
      <c r="CO736" s="1366"/>
      <c r="CP736" s="1366"/>
      <c r="CQ736" s="1366"/>
      <c r="CR736" s="1366"/>
      <c r="CS736" s="1366"/>
      <c r="CT736" s="1366"/>
      <c r="CU736" s="1366"/>
      <c r="CV736" s="1366"/>
      <c r="CW736" s="1366"/>
      <c r="CX736" s="1366"/>
      <c r="CY736" s="1366"/>
      <c r="CZ736" s="1366"/>
      <c r="DA736" s="1366"/>
      <c r="DB736" s="1366"/>
      <c r="DC736" s="1366"/>
      <c r="DD736" s="1366"/>
      <c r="DE736" s="1366"/>
      <c r="DF736" s="1366"/>
      <c r="DG736" s="1366"/>
      <c r="DH736" s="1366"/>
      <c r="DI736" s="1366"/>
      <c r="DJ736" s="1366"/>
      <c r="DK736" s="1366"/>
      <c r="DL736" s="1366"/>
      <c r="DM736" s="1366"/>
      <c r="DN736" s="1366"/>
      <c r="DO736" s="1366"/>
      <c r="DP736" s="1366"/>
      <c r="DQ736" s="1366"/>
      <c r="DR736" s="1366"/>
      <c r="DS736" s="1366"/>
      <c r="DT736" s="1366"/>
      <c r="DU736" s="1366"/>
      <c r="DV736" s="1366"/>
    </row>
    <row r="737" spans="1:126" s="1367" customFormat="1" hidden="1">
      <c r="A737" s="2494"/>
      <c r="B737" s="1643"/>
      <c r="C737" s="1674"/>
      <c r="D737" s="1480"/>
      <c r="E737" s="1480"/>
      <c r="F737" s="1480"/>
      <c r="G737" s="1480"/>
      <c r="H737" s="1481"/>
      <c r="I737" s="1482"/>
      <c r="J737" s="1483"/>
      <c r="K737" s="1483"/>
      <c r="L737" s="1528"/>
      <c r="M737" s="1483"/>
      <c r="N737" s="1484"/>
      <c r="O737" s="1481"/>
      <c r="P737" s="1485"/>
      <c r="Q737" s="1485"/>
      <c r="R737" s="1485"/>
      <c r="S737" s="1485"/>
      <c r="T737" s="1485"/>
      <c r="U737" s="1485"/>
      <c r="V737" s="1484"/>
      <c r="W737" s="1366"/>
      <c r="X737" s="1366"/>
      <c r="Y737" s="1366"/>
      <c r="Z737" s="1366"/>
      <c r="AA737" s="1366"/>
      <c r="AB737" s="1366"/>
      <c r="AC737" s="1366"/>
      <c r="AD737" s="1366"/>
      <c r="AE737" s="1366"/>
      <c r="AF737" s="1366"/>
      <c r="AG737" s="1366"/>
      <c r="AH737" s="1366"/>
      <c r="AI737" s="1366"/>
      <c r="AJ737" s="1366"/>
      <c r="AK737" s="1366"/>
      <c r="AL737" s="1366"/>
      <c r="AM737" s="1366"/>
      <c r="AN737" s="1366"/>
      <c r="AO737" s="1366"/>
      <c r="AP737" s="1366"/>
      <c r="AQ737" s="1366"/>
      <c r="AR737" s="1366"/>
      <c r="AS737" s="1366"/>
      <c r="AT737" s="1366"/>
      <c r="AU737" s="1366"/>
      <c r="AV737" s="1366"/>
      <c r="AW737" s="1366"/>
      <c r="AX737" s="1366"/>
      <c r="AY737" s="1366"/>
      <c r="AZ737" s="1366"/>
      <c r="BA737" s="1366"/>
      <c r="BB737" s="1366"/>
      <c r="BC737" s="1366"/>
      <c r="BD737" s="1366"/>
      <c r="BE737" s="1366"/>
      <c r="BF737" s="1366"/>
      <c r="BG737" s="1366"/>
      <c r="BH737" s="1366"/>
      <c r="BI737" s="1366"/>
      <c r="BJ737" s="1366"/>
      <c r="BK737" s="1366"/>
      <c r="BL737" s="1366"/>
      <c r="BM737" s="1366"/>
      <c r="BN737" s="1366"/>
      <c r="BO737" s="1366"/>
      <c r="BP737" s="1366"/>
      <c r="BQ737" s="1366"/>
      <c r="BR737" s="1366"/>
      <c r="BS737" s="1366"/>
      <c r="BT737" s="1366"/>
      <c r="BU737" s="1366"/>
      <c r="BV737" s="1366"/>
      <c r="BW737" s="1366"/>
      <c r="BX737" s="1366"/>
      <c r="BY737" s="1366"/>
      <c r="BZ737" s="1366"/>
      <c r="CA737" s="1366"/>
      <c r="CB737" s="1366"/>
      <c r="CC737" s="1366"/>
      <c r="CD737" s="1366"/>
      <c r="CE737" s="1366"/>
      <c r="CF737" s="1366"/>
      <c r="CG737" s="1366"/>
      <c r="CH737" s="1366"/>
      <c r="CI737" s="1366"/>
      <c r="CJ737" s="1366"/>
      <c r="CK737" s="1366"/>
      <c r="CL737" s="1366"/>
      <c r="CM737" s="1366"/>
      <c r="CN737" s="1366"/>
      <c r="CO737" s="1366"/>
      <c r="CP737" s="1366"/>
      <c r="CQ737" s="1366"/>
      <c r="CR737" s="1366"/>
      <c r="CS737" s="1366"/>
      <c r="CT737" s="1366"/>
      <c r="CU737" s="1366"/>
      <c r="CV737" s="1366"/>
      <c r="CW737" s="1366"/>
      <c r="CX737" s="1366"/>
      <c r="CY737" s="1366"/>
      <c r="CZ737" s="1366"/>
      <c r="DA737" s="1366"/>
      <c r="DB737" s="1366"/>
      <c r="DC737" s="1366"/>
      <c r="DD737" s="1366"/>
      <c r="DE737" s="1366"/>
      <c r="DF737" s="1366"/>
      <c r="DG737" s="1366"/>
      <c r="DH737" s="1366"/>
      <c r="DI737" s="1366"/>
      <c r="DJ737" s="1366"/>
      <c r="DK737" s="1366"/>
      <c r="DL737" s="1366"/>
      <c r="DM737" s="1366"/>
      <c r="DN737" s="1366"/>
      <c r="DO737" s="1366"/>
      <c r="DP737" s="1366"/>
      <c r="DQ737" s="1366"/>
      <c r="DR737" s="1366"/>
      <c r="DS737" s="1366"/>
      <c r="DT737" s="1366"/>
      <c r="DU737" s="1366"/>
      <c r="DV737" s="1366"/>
    </row>
    <row r="738" spans="1:126" s="1367" customFormat="1" hidden="1">
      <c r="A738" s="2494"/>
      <c r="B738" s="1643"/>
      <c r="C738" s="1674"/>
      <c r="D738" s="1480"/>
      <c r="E738" s="1480"/>
      <c r="F738" s="1480"/>
      <c r="G738" s="1480"/>
      <c r="H738" s="1481"/>
      <c r="I738" s="1482"/>
      <c r="J738" s="1483"/>
      <c r="K738" s="1483"/>
      <c r="L738" s="1528"/>
      <c r="M738" s="1483"/>
      <c r="N738" s="1484"/>
      <c r="O738" s="1481"/>
      <c r="P738" s="1485"/>
      <c r="Q738" s="1485"/>
      <c r="R738" s="1485"/>
      <c r="S738" s="1485"/>
      <c r="T738" s="1485"/>
      <c r="U738" s="1485"/>
      <c r="V738" s="1484"/>
      <c r="W738" s="1366"/>
      <c r="X738" s="1366"/>
      <c r="Y738" s="1366"/>
      <c r="Z738" s="1366"/>
      <c r="AA738" s="1366"/>
      <c r="AB738" s="1366"/>
      <c r="AC738" s="1366"/>
      <c r="AD738" s="1366"/>
      <c r="AE738" s="1366"/>
      <c r="AF738" s="1366"/>
      <c r="AG738" s="1366"/>
      <c r="AH738" s="1366"/>
      <c r="AI738" s="1366"/>
      <c r="AJ738" s="1366"/>
      <c r="AK738" s="1366"/>
      <c r="AL738" s="1366"/>
      <c r="AM738" s="1366"/>
      <c r="AN738" s="1366"/>
      <c r="AO738" s="1366"/>
      <c r="AP738" s="1366"/>
      <c r="AQ738" s="1366"/>
      <c r="AR738" s="1366"/>
      <c r="AS738" s="1366"/>
      <c r="AT738" s="1366"/>
      <c r="AU738" s="1366"/>
      <c r="AV738" s="1366"/>
      <c r="AW738" s="1366"/>
      <c r="AX738" s="1366"/>
      <c r="AY738" s="1366"/>
      <c r="AZ738" s="1366"/>
      <c r="BA738" s="1366"/>
      <c r="BB738" s="1366"/>
      <c r="BC738" s="1366"/>
      <c r="BD738" s="1366"/>
      <c r="BE738" s="1366"/>
      <c r="BF738" s="1366"/>
      <c r="BG738" s="1366"/>
      <c r="BH738" s="1366"/>
      <c r="BI738" s="1366"/>
      <c r="BJ738" s="1366"/>
      <c r="BK738" s="1366"/>
      <c r="BL738" s="1366"/>
      <c r="BM738" s="1366"/>
      <c r="BN738" s="1366"/>
      <c r="BO738" s="1366"/>
      <c r="BP738" s="1366"/>
      <c r="BQ738" s="1366"/>
      <c r="BR738" s="1366"/>
      <c r="BS738" s="1366"/>
      <c r="BT738" s="1366"/>
      <c r="BU738" s="1366"/>
      <c r="BV738" s="1366"/>
      <c r="BW738" s="1366"/>
      <c r="BX738" s="1366"/>
      <c r="BY738" s="1366"/>
      <c r="BZ738" s="1366"/>
      <c r="CA738" s="1366"/>
      <c r="CB738" s="1366"/>
      <c r="CC738" s="1366"/>
      <c r="CD738" s="1366"/>
      <c r="CE738" s="1366"/>
      <c r="CF738" s="1366"/>
      <c r="CG738" s="1366"/>
      <c r="CH738" s="1366"/>
      <c r="CI738" s="1366"/>
      <c r="CJ738" s="1366"/>
      <c r="CK738" s="1366"/>
      <c r="CL738" s="1366"/>
      <c r="CM738" s="1366"/>
      <c r="CN738" s="1366"/>
      <c r="CO738" s="1366"/>
      <c r="CP738" s="1366"/>
      <c r="CQ738" s="1366"/>
      <c r="CR738" s="1366"/>
      <c r="CS738" s="1366"/>
      <c r="CT738" s="1366"/>
      <c r="CU738" s="1366"/>
      <c r="CV738" s="1366"/>
      <c r="CW738" s="1366"/>
      <c r="CX738" s="1366"/>
      <c r="CY738" s="1366"/>
      <c r="CZ738" s="1366"/>
      <c r="DA738" s="1366"/>
      <c r="DB738" s="1366"/>
      <c r="DC738" s="1366"/>
      <c r="DD738" s="1366"/>
      <c r="DE738" s="1366"/>
      <c r="DF738" s="1366"/>
      <c r="DG738" s="1366"/>
      <c r="DH738" s="1366"/>
      <c r="DI738" s="1366"/>
      <c r="DJ738" s="1366"/>
      <c r="DK738" s="1366"/>
      <c r="DL738" s="1366"/>
      <c r="DM738" s="1366"/>
      <c r="DN738" s="1366"/>
      <c r="DO738" s="1366"/>
      <c r="DP738" s="1366"/>
      <c r="DQ738" s="1366"/>
      <c r="DR738" s="1366"/>
      <c r="DS738" s="1366"/>
      <c r="DT738" s="1366"/>
      <c r="DU738" s="1366"/>
      <c r="DV738" s="1366"/>
    </row>
    <row r="739" spans="1:126" s="1367" customFormat="1" hidden="1">
      <c r="A739" s="2494"/>
      <c r="B739" s="1643"/>
      <c r="C739" s="1674"/>
      <c r="D739" s="1480"/>
      <c r="E739" s="1480"/>
      <c r="F739" s="1480"/>
      <c r="G739" s="1480"/>
      <c r="H739" s="1481"/>
      <c r="I739" s="1482"/>
      <c r="J739" s="1483"/>
      <c r="K739" s="1483"/>
      <c r="L739" s="1528"/>
      <c r="M739" s="1483"/>
      <c r="N739" s="1484"/>
      <c r="O739" s="1481"/>
      <c r="P739" s="1485"/>
      <c r="Q739" s="1485"/>
      <c r="R739" s="1485"/>
      <c r="S739" s="1485"/>
      <c r="T739" s="1485"/>
      <c r="U739" s="1485"/>
      <c r="V739" s="1484"/>
      <c r="W739" s="1366"/>
      <c r="X739" s="1366"/>
      <c r="Y739" s="1366"/>
      <c r="Z739" s="1366"/>
      <c r="AA739" s="1366"/>
      <c r="AB739" s="1366"/>
      <c r="AC739" s="1366"/>
      <c r="AD739" s="1366"/>
      <c r="AE739" s="1366"/>
      <c r="AF739" s="1366"/>
      <c r="AG739" s="1366"/>
      <c r="AH739" s="1366"/>
      <c r="AI739" s="1366"/>
      <c r="AJ739" s="1366"/>
      <c r="AK739" s="1366"/>
      <c r="AL739" s="1366"/>
      <c r="AM739" s="1366"/>
      <c r="AN739" s="1366"/>
      <c r="AO739" s="1366"/>
      <c r="AP739" s="1366"/>
      <c r="AQ739" s="1366"/>
      <c r="AR739" s="1366"/>
      <c r="AS739" s="1366"/>
      <c r="AT739" s="1366"/>
      <c r="AU739" s="1366"/>
      <c r="AV739" s="1366"/>
      <c r="AW739" s="1366"/>
      <c r="AX739" s="1366"/>
      <c r="AY739" s="1366"/>
      <c r="AZ739" s="1366"/>
      <c r="BA739" s="1366"/>
      <c r="BB739" s="1366"/>
      <c r="BC739" s="1366"/>
      <c r="BD739" s="1366"/>
      <c r="BE739" s="1366"/>
      <c r="BF739" s="1366"/>
      <c r="BG739" s="1366"/>
      <c r="BH739" s="1366"/>
      <c r="BI739" s="1366"/>
      <c r="BJ739" s="1366"/>
      <c r="BK739" s="1366"/>
      <c r="BL739" s="1366"/>
      <c r="BM739" s="1366"/>
      <c r="BN739" s="1366"/>
      <c r="BO739" s="1366"/>
      <c r="BP739" s="1366"/>
      <c r="BQ739" s="1366"/>
      <c r="BR739" s="1366"/>
      <c r="BS739" s="1366"/>
      <c r="BT739" s="1366"/>
      <c r="BU739" s="1366"/>
      <c r="BV739" s="1366"/>
      <c r="BW739" s="1366"/>
      <c r="BX739" s="1366"/>
      <c r="BY739" s="1366"/>
      <c r="BZ739" s="1366"/>
      <c r="CA739" s="1366"/>
      <c r="CB739" s="1366"/>
      <c r="CC739" s="1366"/>
      <c r="CD739" s="1366"/>
      <c r="CE739" s="1366"/>
      <c r="CF739" s="1366"/>
      <c r="CG739" s="1366"/>
      <c r="CH739" s="1366"/>
      <c r="CI739" s="1366"/>
      <c r="CJ739" s="1366"/>
      <c r="CK739" s="1366"/>
      <c r="CL739" s="1366"/>
      <c r="CM739" s="1366"/>
      <c r="CN739" s="1366"/>
      <c r="CO739" s="1366"/>
      <c r="CP739" s="1366"/>
      <c r="CQ739" s="1366"/>
      <c r="CR739" s="1366"/>
      <c r="CS739" s="1366"/>
      <c r="CT739" s="1366"/>
      <c r="CU739" s="1366"/>
      <c r="CV739" s="1366"/>
      <c r="CW739" s="1366"/>
      <c r="CX739" s="1366"/>
      <c r="CY739" s="1366"/>
      <c r="CZ739" s="1366"/>
      <c r="DA739" s="1366"/>
      <c r="DB739" s="1366"/>
      <c r="DC739" s="1366"/>
      <c r="DD739" s="1366"/>
      <c r="DE739" s="1366"/>
      <c r="DF739" s="1366"/>
      <c r="DG739" s="1366"/>
      <c r="DH739" s="1366"/>
      <c r="DI739" s="1366"/>
      <c r="DJ739" s="1366"/>
      <c r="DK739" s="1366"/>
      <c r="DL739" s="1366"/>
      <c r="DM739" s="1366"/>
      <c r="DN739" s="1366"/>
      <c r="DO739" s="1366"/>
      <c r="DP739" s="1366"/>
      <c r="DQ739" s="1366"/>
      <c r="DR739" s="1366"/>
      <c r="DS739" s="1366"/>
      <c r="DT739" s="1366"/>
      <c r="DU739" s="1366"/>
      <c r="DV739" s="1366"/>
    </row>
    <row r="740" spans="1:126" s="1367" customFormat="1" hidden="1">
      <c r="A740" s="2494"/>
      <c r="B740" s="1643"/>
      <c r="C740" s="1674"/>
      <c r="D740" s="1480"/>
      <c r="E740" s="1480"/>
      <c r="F740" s="1480"/>
      <c r="G740" s="1480"/>
      <c r="H740" s="1481"/>
      <c r="I740" s="1482"/>
      <c r="J740" s="1483"/>
      <c r="K740" s="1483"/>
      <c r="L740" s="1528"/>
      <c r="M740" s="1483"/>
      <c r="N740" s="1484"/>
      <c r="O740" s="1481"/>
      <c r="P740" s="1485"/>
      <c r="Q740" s="1485"/>
      <c r="R740" s="1485"/>
      <c r="S740" s="1485"/>
      <c r="T740" s="1485"/>
      <c r="U740" s="1485"/>
      <c r="V740" s="1484"/>
      <c r="W740" s="1366"/>
      <c r="X740" s="1366"/>
      <c r="Y740" s="1366"/>
      <c r="Z740" s="1366"/>
      <c r="AA740" s="1366"/>
      <c r="AB740" s="1366"/>
      <c r="AC740" s="1366"/>
      <c r="AD740" s="1366"/>
      <c r="AE740" s="1366"/>
      <c r="AF740" s="1366"/>
      <c r="AG740" s="1366"/>
      <c r="AH740" s="1366"/>
      <c r="AI740" s="1366"/>
      <c r="AJ740" s="1366"/>
      <c r="AK740" s="1366"/>
      <c r="AL740" s="1366"/>
      <c r="AM740" s="1366"/>
      <c r="AN740" s="1366"/>
      <c r="AO740" s="1366"/>
      <c r="AP740" s="1366"/>
      <c r="AQ740" s="1366"/>
      <c r="AR740" s="1366"/>
      <c r="AS740" s="1366"/>
      <c r="AT740" s="1366"/>
      <c r="AU740" s="1366"/>
      <c r="AV740" s="1366"/>
      <c r="AW740" s="1366"/>
      <c r="AX740" s="1366"/>
      <c r="AY740" s="1366"/>
      <c r="AZ740" s="1366"/>
      <c r="BA740" s="1366"/>
      <c r="BB740" s="1366"/>
      <c r="BC740" s="1366"/>
      <c r="BD740" s="1366"/>
      <c r="BE740" s="1366"/>
      <c r="BF740" s="1366"/>
      <c r="BG740" s="1366"/>
      <c r="BH740" s="1366"/>
      <c r="BI740" s="1366"/>
      <c r="BJ740" s="1366"/>
      <c r="BK740" s="1366"/>
      <c r="BL740" s="1366"/>
      <c r="BM740" s="1366"/>
      <c r="BN740" s="1366"/>
      <c r="BO740" s="1366"/>
      <c r="BP740" s="1366"/>
      <c r="BQ740" s="1366"/>
      <c r="BR740" s="1366"/>
      <c r="BS740" s="1366"/>
      <c r="BT740" s="1366"/>
      <c r="BU740" s="1366"/>
      <c r="BV740" s="1366"/>
      <c r="BW740" s="1366"/>
      <c r="BX740" s="1366"/>
      <c r="BY740" s="1366"/>
      <c r="BZ740" s="1366"/>
      <c r="CA740" s="1366"/>
      <c r="CB740" s="1366"/>
      <c r="CC740" s="1366"/>
      <c r="CD740" s="1366"/>
      <c r="CE740" s="1366"/>
      <c r="CF740" s="1366"/>
      <c r="CG740" s="1366"/>
      <c r="CH740" s="1366"/>
      <c r="CI740" s="1366"/>
      <c r="CJ740" s="1366"/>
      <c r="CK740" s="1366"/>
      <c r="CL740" s="1366"/>
      <c r="CM740" s="1366"/>
      <c r="CN740" s="1366"/>
      <c r="CO740" s="1366"/>
      <c r="CP740" s="1366"/>
      <c r="CQ740" s="1366"/>
      <c r="CR740" s="1366"/>
      <c r="CS740" s="1366"/>
      <c r="CT740" s="1366"/>
      <c r="CU740" s="1366"/>
      <c r="CV740" s="1366"/>
      <c r="CW740" s="1366"/>
      <c r="CX740" s="1366"/>
      <c r="CY740" s="1366"/>
      <c r="CZ740" s="1366"/>
      <c r="DA740" s="1366"/>
      <c r="DB740" s="1366"/>
      <c r="DC740" s="1366"/>
      <c r="DD740" s="1366"/>
      <c r="DE740" s="1366"/>
      <c r="DF740" s="1366"/>
      <c r="DG740" s="1366"/>
      <c r="DH740" s="1366"/>
      <c r="DI740" s="1366"/>
      <c r="DJ740" s="1366"/>
      <c r="DK740" s="1366"/>
      <c r="DL740" s="1366"/>
      <c r="DM740" s="1366"/>
      <c r="DN740" s="1366"/>
      <c r="DO740" s="1366"/>
      <c r="DP740" s="1366"/>
      <c r="DQ740" s="1366"/>
      <c r="DR740" s="1366"/>
      <c r="DS740" s="1366"/>
      <c r="DT740" s="1366"/>
      <c r="DU740" s="1366"/>
      <c r="DV740" s="1366"/>
    </row>
    <row r="741" spans="1:126" s="1367" customFormat="1" hidden="1">
      <c r="A741" s="2494"/>
      <c r="B741" s="1643"/>
      <c r="C741" s="1674"/>
      <c r="D741" s="1480"/>
      <c r="E741" s="1480"/>
      <c r="F741" s="1480"/>
      <c r="G741" s="1480"/>
      <c r="H741" s="1481"/>
      <c r="I741" s="1482"/>
      <c r="J741" s="1483"/>
      <c r="K741" s="1483"/>
      <c r="L741" s="1528"/>
      <c r="M741" s="1483"/>
      <c r="N741" s="1484"/>
      <c r="O741" s="1481"/>
      <c r="P741" s="1485"/>
      <c r="Q741" s="1485"/>
      <c r="R741" s="1485"/>
      <c r="S741" s="1485"/>
      <c r="T741" s="1485"/>
      <c r="U741" s="1485"/>
      <c r="V741" s="1484"/>
      <c r="W741" s="1366"/>
      <c r="X741" s="1366"/>
      <c r="Y741" s="1366"/>
      <c r="Z741" s="1366"/>
      <c r="AA741" s="1366"/>
      <c r="AB741" s="1366"/>
      <c r="AC741" s="1366"/>
      <c r="AD741" s="1366"/>
      <c r="AE741" s="1366"/>
      <c r="AF741" s="1366"/>
      <c r="AG741" s="1366"/>
      <c r="AH741" s="1366"/>
      <c r="AI741" s="1366"/>
      <c r="AJ741" s="1366"/>
      <c r="AK741" s="1366"/>
      <c r="AL741" s="1366"/>
      <c r="AM741" s="1366"/>
      <c r="AN741" s="1366"/>
      <c r="AO741" s="1366"/>
      <c r="AP741" s="1366"/>
      <c r="AQ741" s="1366"/>
      <c r="AR741" s="1366"/>
      <c r="AS741" s="1366"/>
      <c r="AT741" s="1366"/>
      <c r="AU741" s="1366"/>
      <c r="AV741" s="1366"/>
      <c r="AW741" s="1366"/>
      <c r="AX741" s="1366"/>
      <c r="AY741" s="1366"/>
      <c r="AZ741" s="1366"/>
      <c r="BA741" s="1366"/>
      <c r="BB741" s="1366"/>
      <c r="BC741" s="1366"/>
      <c r="BD741" s="1366"/>
      <c r="BE741" s="1366"/>
      <c r="BF741" s="1366"/>
      <c r="BG741" s="1366"/>
      <c r="BH741" s="1366"/>
      <c r="BI741" s="1366"/>
      <c r="BJ741" s="1366"/>
      <c r="BK741" s="1366"/>
      <c r="BL741" s="1366"/>
      <c r="BM741" s="1366"/>
      <c r="BN741" s="1366"/>
      <c r="BO741" s="1366"/>
      <c r="BP741" s="1366"/>
      <c r="BQ741" s="1366"/>
      <c r="BR741" s="1366"/>
      <c r="BS741" s="1366"/>
      <c r="BT741" s="1366"/>
      <c r="BU741" s="1366"/>
      <c r="BV741" s="1366"/>
      <c r="BW741" s="1366"/>
      <c r="BX741" s="1366"/>
      <c r="BY741" s="1366"/>
      <c r="BZ741" s="1366"/>
      <c r="CA741" s="1366"/>
      <c r="CB741" s="1366"/>
      <c r="CC741" s="1366"/>
      <c r="CD741" s="1366"/>
      <c r="CE741" s="1366"/>
      <c r="CF741" s="1366"/>
      <c r="CG741" s="1366"/>
      <c r="CH741" s="1366"/>
      <c r="CI741" s="1366"/>
      <c r="CJ741" s="1366"/>
      <c r="CK741" s="1366"/>
      <c r="CL741" s="1366"/>
      <c r="CM741" s="1366"/>
      <c r="CN741" s="1366"/>
      <c r="CO741" s="1366"/>
      <c r="CP741" s="1366"/>
      <c r="CQ741" s="1366"/>
      <c r="CR741" s="1366"/>
      <c r="CS741" s="1366"/>
      <c r="CT741" s="1366"/>
      <c r="CU741" s="1366"/>
      <c r="CV741" s="1366"/>
      <c r="CW741" s="1366"/>
      <c r="CX741" s="1366"/>
      <c r="CY741" s="1366"/>
      <c r="CZ741" s="1366"/>
      <c r="DA741" s="1366"/>
      <c r="DB741" s="1366"/>
      <c r="DC741" s="1366"/>
      <c r="DD741" s="1366"/>
      <c r="DE741" s="1366"/>
      <c r="DF741" s="1366"/>
      <c r="DG741" s="1366"/>
      <c r="DH741" s="1366"/>
      <c r="DI741" s="1366"/>
      <c r="DJ741" s="1366"/>
      <c r="DK741" s="1366"/>
      <c r="DL741" s="1366"/>
      <c r="DM741" s="1366"/>
      <c r="DN741" s="1366"/>
      <c r="DO741" s="1366"/>
      <c r="DP741" s="1366"/>
      <c r="DQ741" s="1366"/>
      <c r="DR741" s="1366"/>
      <c r="DS741" s="1366"/>
      <c r="DT741" s="1366"/>
      <c r="DU741" s="1366"/>
      <c r="DV741" s="1366"/>
    </row>
    <row r="742" spans="1:126" s="1367" customFormat="1" hidden="1">
      <c r="A742" s="2494"/>
      <c r="B742" s="1643"/>
      <c r="C742" s="1674"/>
      <c r="D742" s="1480"/>
      <c r="E742" s="1480"/>
      <c r="F742" s="1480"/>
      <c r="G742" s="1480"/>
      <c r="H742" s="1481"/>
      <c r="I742" s="1482"/>
      <c r="J742" s="1483"/>
      <c r="K742" s="1483"/>
      <c r="L742" s="1528"/>
      <c r="M742" s="1483"/>
      <c r="N742" s="1484"/>
      <c r="O742" s="1481"/>
      <c r="P742" s="1485"/>
      <c r="Q742" s="1485"/>
      <c r="R742" s="1485"/>
      <c r="S742" s="1485"/>
      <c r="T742" s="1485"/>
      <c r="U742" s="1485"/>
      <c r="V742" s="1484"/>
      <c r="W742" s="1366"/>
      <c r="X742" s="1366"/>
      <c r="Y742" s="1366"/>
      <c r="Z742" s="1366"/>
      <c r="AA742" s="1366"/>
      <c r="AB742" s="1366"/>
      <c r="AC742" s="1366"/>
      <c r="AD742" s="1366"/>
      <c r="AE742" s="1366"/>
      <c r="AF742" s="1366"/>
      <c r="AG742" s="1366"/>
      <c r="AH742" s="1366"/>
      <c r="AI742" s="1366"/>
      <c r="AJ742" s="1366"/>
      <c r="AK742" s="1366"/>
      <c r="AL742" s="1366"/>
      <c r="AM742" s="1366"/>
      <c r="AN742" s="1366"/>
      <c r="AO742" s="1366"/>
      <c r="AP742" s="1366"/>
      <c r="AQ742" s="1366"/>
      <c r="AR742" s="1366"/>
      <c r="AS742" s="1366"/>
      <c r="AT742" s="1366"/>
      <c r="AU742" s="1366"/>
      <c r="AV742" s="1366"/>
      <c r="AW742" s="1366"/>
      <c r="AX742" s="1366"/>
      <c r="AY742" s="1366"/>
      <c r="AZ742" s="1366"/>
      <c r="BA742" s="1366"/>
      <c r="BB742" s="1366"/>
      <c r="BC742" s="1366"/>
      <c r="BD742" s="1366"/>
      <c r="BE742" s="1366"/>
      <c r="BF742" s="1366"/>
      <c r="BG742" s="1366"/>
      <c r="BH742" s="1366"/>
      <c r="BI742" s="1366"/>
      <c r="BJ742" s="1366"/>
      <c r="BK742" s="1366"/>
      <c r="BL742" s="1366"/>
      <c r="BM742" s="1366"/>
      <c r="BN742" s="1366"/>
      <c r="BO742" s="1366"/>
      <c r="BP742" s="1366"/>
      <c r="BQ742" s="1366"/>
      <c r="BR742" s="1366"/>
      <c r="BS742" s="1366"/>
      <c r="BT742" s="1366"/>
      <c r="BU742" s="1366"/>
      <c r="BV742" s="1366"/>
      <c r="BW742" s="1366"/>
      <c r="BX742" s="1366"/>
      <c r="BY742" s="1366"/>
      <c r="BZ742" s="1366"/>
      <c r="CA742" s="1366"/>
      <c r="CB742" s="1366"/>
      <c r="CC742" s="1366"/>
      <c r="CD742" s="1366"/>
      <c r="CE742" s="1366"/>
      <c r="CF742" s="1366"/>
      <c r="CG742" s="1366"/>
      <c r="CH742" s="1366"/>
      <c r="CI742" s="1366"/>
      <c r="CJ742" s="1366"/>
      <c r="CK742" s="1366"/>
      <c r="CL742" s="1366"/>
      <c r="CM742" s="1366"/>
      <c r="CN742" s="1366"/>
      <c r="CO742" s="1366"/>
      <c r="CP742" s="1366"/>
      <c r="CQ742" s="1366"/>
      <c r="CR742" s="1366"/>
      <c r="CS742" s="1366"/>
      <c r="CT742" s="1366"/>
      <c r="CU742" s="1366"/>
      <c r="CV742" s="1366"/>
      <c r="CW742" s="1366"/>
      <c r="CX742" s="1366"/>
      <c r="CY742" s="1366"/>
      <c r="CZ742" s="1366"/>
      <c r="DA742" s="1366"/>
      <c r="DB742" s="1366"/>
      <c r="DC742" s="1366"/>
      <c r="DD742" s="1366"/>
      <c r="DE742" s="1366"/>
      <c r="DF742" s="1366"/>
      <c r="DG742" s="1366"/>
      <c r="DH742" s="1366"/>
      <c r="DI742" s="1366"/>
      <c r="DJ742" s="1366"/>
      <c r="DK742" s="1366"/>
      <c r="DL742" s="1366"/>
      <c r="DM742" s="1366"/>
      <c r="DN742" s="1366"/>
      <c r="DO742" s="1366"/>
      <c r="DP742" s="1366"/>
      <c r="DQ742" s="1366"/>
      <c r="DR742" s="1366"/>
      <c r="DS742" s="1366"/>
      <c r="DT742" s="1366"/>
      <c r="DU742" s="1366"/>
      <c r="DV742" s="1366"/>
    </row>
    <row r="743" spans="1:126" s="1367" customFormat="1" ht="15.75" hidden="1" thickBot="1">
      <c r="A743" s="2495"/>
      <c r="B743" s="1643"/>
      <c r="C743" s="1674"/>
      <c r="D743" s="1480"/>
      <c r="E743" s="1480"/>
      <c r="F743" s="1480"/>
      <c r="G743" s="1480"/>
      <c r="H743" s="1481"/>
      <c r="I743" s="1482"/>
      <c r="J743" s="1483"/>
      <c r="K743" s="1483"/>
      <c r="L743" s="1528"/>
      <c r="M743" s="1483"/>
      <c r="N743" s="1484"/>
      <c r="O743" s="1481"/>
      <c r="P743" s="1485"/>
      <c r="Q743" s="1485"/>
      <c r="R743" s="1485"/>
      <c r="S743" s="1485"/>
      <c r="T743" s="1485"/>
      <c r="U743" s="1485"/>
      <c r="V743" s="1484"/>
      <c r="W743" s="1366"/>
      <c r="X743" s="1366"/>
      <c r="Y743" s="1366"/>
      <c r="Z743" s="1366"/>
      <c r="AA743" s="1366"/>
      <c r="AB743" s="1366"/>
      <c r="AC743" s="1366"/>
      <c r="AD743" s="1366"/>
      <c r="AE743" s="1366"/>
      <c r="AF743" s="1366"/>
      <c r="AG743" s="1366"/>
      <c r="AH743" s="1366"/>
      <c r="AI743" s="1366"/>
      <c r="AJ743" s="1366"/>
      <c r="AK743" s="1366"/>
      <c r="AL743" s="1366"/>
      <c r="AM743" s="1366"/>
      <c r="AN743" s="1366"/>
      <c r="AO743" s="1366"/>
      <c r="AP743" s="1366"/>
      <c r="AQ743" s="1366"/>
      <c r="AR743" s="1366"/>
      <c r="AS743" s="1366"/>
      <c r="AT743" s="1366"/>
      <c r="AU743" s="1366"/>
      <c r="AV743" s="1366"/>
      <c r="AW743" s="1366"/>
      <c r="AX743" s="1366"/>
      <c r="AY743" s="1366"/>
      <c r="AZ743" s="1366"/>
      <c r="BA743" s="1366"/>
      <c r="BB743" s="1366"/>
      <c r="BC743" s="1366"/>
      <c r="BD743" s="1366"/>
      <c r="BE743" s="1366"/>
      <c r="BF743" s="1366"/>
      <c r="BG743" s="1366"/>
      <c r="BH743" s="1366"/>
      <c r="BI743" s="1366"/>
      <c r="BJ743" s="1366"/>
      <c r="BK743" s="1366"/>
      <c r="BL743" s="1366"/>
      <c r="BM743" s="1366"/>
      <c r="BN743" s="1366"/>
      <c r="BO743" s="1366"/>
      <c r="BP743" s="1366"/>
      <c r="BQ743" s="1366"/>
      <c r="BR743" s="1366"/>
      <c r="BS743" s="1366"/>
      <c r="BT743" s="1366"/>
      <c r="BU743" s="1366"/>
      <c r="BV743" s="1366"/>
      <c r="BW743" s="1366"/>
      <c r="BX743" s="1366"/>
      <c r="BY743" s="1366"/>
      <c r="BZ743" s="1366"/>
      <c r="CA743" s="1366"/>
      <c r="CB743" s="1366"/>
      <c r="CC743" s="1366"/>
      <c r="CD743" s="1366"/>
      <c r="CE743" s="1366"/>
      <c r="CF743" s="1366"/>
      <c r="CG743" s="1366"/>
      <c r="CH743" s="1366"/>
      <c r="CI743" s="1366"/>
      <c r="CJ743" s="1366"/>
      <c r="CK743" s="1366"/>
      <c r="CL743" s="1366"/>
      <c r="CM743" s="1366"/>
      <c r="CN743" s="1366"/>
      <c r="CO743" s="1366"/>
      <c r="CP743" s="1366"/>
      <c r="CQ743" s="1366"/>
      <c r="CR743" s="1366"/>
      <c r="CS743" s="1366"/>
      <c r="CT743" s="1366"/>
      <c r="CU743" s="1366"/>
      <c r="CV743" s="1366"/>
      <c r="CW743" s="1366"/>
      <c r="CX743" s="1366"/>
      <c r="CY743" s="1366"/>
      <c r="CZ743" s="1366"/>
      <c r="DA743" s="1366"/>
      <c r="DB743" s="1366"/>
      <c r="DC743" s="1366"/>
      <c r="DD743" s="1366"/>
      <c r="DE743" s="1366"/>
      <c r="DF743" s="1366"/>
      <c r="DG743" s="1366"/>
      <c r="DH743" s="1366"/>
      <c r="DI743" s="1366"/>
      <c r="DJ743" s="1366"/>
      <c r="DK743" s="1366"/>
      <c r="DL743" s="1366"/>
      <c r="DM743" s="1366"/>
      <c r="DN743" s="1366"/>
      <c r="DO743" s="1366"/>
      <c r="DP743" s="1366"/>
      <c r="DQ743" s="1366"/>
      <c r="DR743" s="1366"/>
      <c r="DS743" s="1366"/>
      <c r="DT743" s="1366"/>
      <c r="DU743" s="1366"/>
      <c r="DV743" s="1366"/>
    </row>
    <row r="744" spans="1:126" s="1479" customFormat="1" ht="19.5" hidden="1" thickBot="1">
      <c r="A744" s="695"/>
      <c r="B744" s="1655"/>
      <c r="C744" s="1655"/>
      <c r="D744" s="683"/>
      <c r="E744" s="683"/>
      <c r="F744" s="683"/>
      <c r="G744" s="683"/>
      <c r="H744" s="1413"/>
      <c r="I744" s="1443"/>
      <c r="J744" s="1414"/>
      <c r="K744" s="1413"/>
      <c r="L744" s="1529"/>
      <c r="M744" s="1413"/>
      <c r="N744" s="1489"/>
      <c r="O744" s="1413"/>
      <c r="P744" s="1414"/>
      <c r="Q744" s="1414"/>
      <c r="R744" s="1443"/>
      <c r="S744" s="1443"/>
      <c r="T744" s="1488"/>
      <c r="U744" s="1488"/>
      <c r="V744" s="1489"/>
      <c r="W744" s="1490"/>
      <c r="X744" s="1490"/>
      <c r="Y744" s="327"/>
      <c r="Z744" s="327"/>
      <c r="AA744" s="327"/>
      <c r="AB744" s="1490"/>
      <c r="AC744" s="1490"/>
      <c r="AD744" s="1490"/>
      <c r="AE744" s="1490"/>
      <c r="AF744" s="327"/>
      <c r="AG744" s="327"/>
      <c r="AH744" s="327"/>
      <c r="AI744" s="327"/>
      <c r="AJ744" s="327"/>
      <c r="AK744" s="1478"/>
      <c r="AL744" s="1478"/>
      <c r="AM744" s="1478"/>
      <c r="AN744" s="1478"/>
      <c r="AO744" s="1478"/>
      <c r="AP744" s="1478"/>
      <c r="AQ744" s="1478"/>
      <c r="AR744" s="1478"/>
      <c r="AS744" s="1478"/>
      <c r="AT744" s="1478"/>
      <c r="AU744" s="1478"/>
      <c r="AV744" s="1478"/>
      <c r="AW744" s="1478"/>
      <c r="AX744" s="1478"/>
      <c r="AY744" s="1478"/>
      <c r="AZ744" s="1478"/>
      <c r="BA744" s="1478"/>
      <c r="BB744" s="1478"/>
      <c r="BC744" s="1478"/>
      <c r="BD744" s="1478"/>
      <c r="BE744" s="1478"/>
      <c r="BF744" s="1478"/>
      <c r="BG744" s="1478"/>
      <c r="BH744" s="1478"/>
      <c r="BI744" s="1478"/>
      <c r="BJ744" s="1478"/>
      <c r="BK744" s="327"/>
      <c r="BL744" s="327"/>
      <c r="BM744" s="327"/>
      <c r="BN744" s="327"/>
      <c r="BO744" s="327"/>
      <c r="BP744" s="327"/>
      <c r="BQ744" s="327"/>
      <c r="BR744" s="327"/>
      <c r="BS744" s="327"/>
      <c r="BT744" s="327"/>
      <c r="BU744" s="327"/>
      <c r="BV744" s="327"/>
      <c r="BW744" s="327"/>
      <c r="BX744" s="327"/>
      <c r="BY744" s="327"/>
      <c r="BZ744" s="327"/>
      <c r="CA744" s="327"/>
      <c r="CB744" s="327"/>
      <c r="CC744" s="327"/>
      <c r="CD744" s="327"/>
      <c r="CE744" s="327"/>
      <c r="CF744" s="327"/>
      <c r="CG744" s="327"/>
      <c r="CH744" s="327"/>
      <c r="CI744" s="327"/>
      <c r="CJ744" s="327"/>
      <c r="CK744" s="327"/>
      <c r="CL744" s="327"/>
      <c r="CM744" s="327"/>
      <c r="CN744" s="327"/>
      <c r="CO744" s="327"/>
      <c r="CP744" s="327"/>
      <c r="CQ744" s="327"/>
      <c r="CR744" s="327"/>
      <c r="CS744" s="327"/>
      <c r="CT744" s="327"/>
      <c r="CU744" s="327"/>
      <c r="CV744" s="327"/>
      <c r="CW744" s="327"/>
      <c r="CX744" s="327"/>
      <c r="CY744" s="327"/>
      <c r="CZ744" s="327"/>
      <c r="DA744" s="327"/>
      <c r="DB744" s="327"/>
      <c r="DC744" s="327"/>
      <c r="DD744" s="327"/>
      <c r="DE744" s="327"/>
      <c r="DF744" s="327"/>
      <c r="DG744" s="327"/>
      <c r="DH744" s="327"/>
      <c r="DI744" s="327"/>
      <c r="DJ744" s="327"/>
      <c r="DK744" s="327"/>
      <c r="DL744" s="327"/>
      <c r="DM744" s="327"/>
      <c r="DN744" s="327"/>
      <c r="DO744" s="327"/>
      <c r="DP744" s="327"/>
      <c r="DQ744" s="327"/>
      <c r="DR744" s="327"/>
      <c r="DS744" s="327"/>
      <c r="DT744" s="327"/>
      <c r="DU744" s="327"/>
      <c r="DV744" s="327"/>
    </row>
    <row r="745" spans="1:126" s="1367" customFormat="1" hidden="1">
      <c r="A745" s="2493" t="s">
        <v>1370</v>
      </c>
      <c r="B745" s="1643"/>
      <c r="C745" s="1674"/>
      <c r="D745" s="1480"/>
      <c r="E745" s="1480"/>
      <c r="F745" s="1480"/>
      <c r="G745" s="1480"/>
      <c r="H745" s="1481"/>
      <c r="I745" s="1482"/>
      <c r="J745" s="1483"/>
      <c r="K745" s="1483"/>
      <c r="L745" s="1528"/>
      <c r="M745" s="1483"/>
      <c r="N745" s="1484"/>
      <c r="O745" s="1481"/>
      <c r="P745" s="1485"/>
      <c r="Q745" s="1485"/>
      <c r="R745" s="1485"/>
      <c r="S745" s="1485"/>
      <c r="T745" s="1485"/>
      <c r="U745" s="1485"/>
      <c r="V745" s="1484"/>
      <c r="W745" s="1366"/>
      <c r="X745" s="1366"/>
      <c r="Y745" s="1366"/>
      <c r="Z745" s="1366"/>
      <c r="AA745" s="1366"/>
      <c r="AB745" s="1366"/>
      <c r="AC745" s="1366"/>
      <c r="AD745" s="1366"/>
      <c r="AE745" s="1366"/>
      <c r="AF745" s="1366"/>
      <c r="AG745" s="1366"/>
      <c r="AH745" s="1366"/>
      <c r="AI745" s="1366"/>
      <c r="AJ745" s="1366"/>
      <c r="AK745" s="1366"/>
      <c r="AL745" s="1366"/>
      <c r="AM745" s="1366"/>
      <c r="AN745" s="1366"/>
      <c r="AO745" s="1366"/>
      <c r="AP745" s="1366"/>
      <c r="AQ745" s="1366"/>
      <c r="AR745" s="1366"/>
      <c r="AS745" s="1366"/>
      <c r="AT745" s="1366"/>
      <c r="AU745" s="1366"/>
      <c r="AV745" s="1366"/>
      <c r="AW745" s="1366"/>
      <c r="AX745" s="1366"/>
      <c r="AY745" s="1366"/>
      <c r="AZ745" s="1366"/>
      <c r="BA745" s="1366"/>
      <c r="BB745" s="1366"/>
      <c r="BC745" s="1366"/>
      <c r="BD745" s="1366"/>
      <c r="BE745" s="1366"/>
      <c r="BF745" s="1366"/>
      <c r="BG745" s="1366"/>
      <c r="BH745" s="1366"/>
      <c r="BI745" s="1366"/>
      <c r="BJ745" s="1366"/>
      <c r="BK745" s="1366"/>
      <c r="BL745" s="1366"/>
      <c r="BM745" s="1366"/>
      <c r="BN745" s="1366"/>
      <c r="BO745" s="1366"/>
      <c r="BP745" s="1366"/>
      <c r="BQ745" s="1366"/>
      <c r="BR745" s="1366"/>
      <c r="BS745" s="1366"/>
      <c r="BT745" s="1366"/>
      <c r="BU745" s="1366"/>
      <c r="BV745" s="1366"/>
      <c r="BW745" s="1366"/>
      <c r="BX745" s="1366"/>
      <c r="BY745" s="1366"/>
      <c r="BZ745" s="1366"/>
      <c r="CA745" s="1366"/>
      <c r="CB745" s="1366"/>
      <c r="CC745" s="1366"/>
      <c r="CD745" s="1366"/>
      <c r="CE745" s="1366"/>
      <c r="CF745" s="1366"/>
      <c r="CG745" s="1366"/>
      <c r="CH745" s="1366"/>
      <c r="CI745" s="1366"/>
      <c r="CJ745" s="1366"/>
      <c r="CK745" s="1366"/>
      <c r="CL745" s="1366"/>
      <c r="CM745" s="1366"/>
      <c r="CN745" s="1366"/>
      <c r="CO745" s="1366"/>
      <c r="CP745" s="1366"/>
      <c r="CQ745" s="1366"/>
      <c r="CR745" s="1366"/>
      <c r="CS745" s="1366"/>
      <c r="CT745" s="1366"/>
      <c r="CU745" s="1366"/>
      <c r="CV745" s="1366"/>
      <c r="CW745" s="1366"/>
      <c r="CX745" s="1366"/>
      <c r="CY745" s="1366"/>
      <c r="CZ745" s="1366"/>
      <c r="DA745" s="1366"/>
      <c r="DB745" s="1366"/>
      <c r="DC745" s="1366"/>
      <c r="DD745" s="1366"/>
      <c r="DE745" s="1366"/>
      <c r="DF745" s="1366"/>
      <c r="DG745" s="1366"/>
      <c r="DH745" s="1366"/>
      <c r="DI745" s="1366"/>
      <c r="DJ745" s="1366"/>
      <c r="DK745" s="1366"/>
      <c r="DL745" s="1366"/>
      <c r="DM745" s="1366"/>
      <c r="DN745" s="1366"/>
      <c r="DO745" s="1366"/>
      <c r="DP745" s="1366"/>
      <c r="DQ745" s="1366"/>
      <c r="DR745" s="1366"/>
      <c r="DS745" s="1366"/>
      <c r="DT745" s="1366"/>
      <c r="DU745" s="1366"/>
      <c r="DV745" s="1366"/>
    </row>
    <row r="746" spans="1:126" s="1367" customFormat="1" hidden="1">
      <c r="A746" s="2494"/>
      <c r="B746" s="1643"/>
      <c r="C746" s="1674"/>
      <c r="D746" s="1480"/>
      <c r="E746" s="1480"/>
      <c r="F746" s="1480"/>
      <c r="G746" s="1480"/>
      <c r="H746" s="1481"/>
      <c r="I746" s="1482"/>
      <c r="J746" s="1483"/>
      <c r="K746" s="1483"/>
      <c r="L746" s="1528"/>
      <c r="M746" s="1483"/>
      <c r="N746" s="1484"/>
      <c r="O746" s="1481"/>
      <c r="P746" s="1485"/>
      <c r="Q746" s="1485"/>
      <c r="R746" s="1485"/>
      <c r="S746" s="1485"/>
      <c r="T746" s="1485"/>
      <c r="U746" s="1485"/>
      <c r="V746" s="1484"/>
      <c r="W746" s="1366"/>
      <c r="X746" s="1366"/>
      <c r="Y746" s="1366"/>
      <c r="Z746" s="1366"/>
      <c r="AA746" s="1366"/>
      <c r="AB746" s="1366"/>
      <c r="AC746" s="1366"/>
      <c r="AD746" s="1366"/>
      <c r="AE746" s="1366"/>
      <c r="AF746" s="1366"/>
      <c r="AG746" s="1366"/>
      <c r="AH746" s="1366"/>
      <c r="AI746" s="1366"/>
      <c r="AJ746" s="1366"/>
      <c r="AK746" s="1366"/>
      <c r="AL746" s="1366"/>
      <c r="AM746" s="1366"/>
      <c r="AN746" s="1366"/>
      <c r="AO746" s="1366"/>
      <c r="AP746" s="1366"/>
      <c r="AQ746" s="1366"/>
      <c r="AR746" s="1366"/>
      <c r="AS746" s="1366"/>
      <c r="AT746" s="1366"/>
      <c r="AU746" s="1366"/>
      <c r="AV746" s="1366"/>
      <c r="AW746" s="1366"/>
      <c r="AX746" s="1366"/>
      <c r="AY746" s="1366"/>
      <c r="AZ746" s="1366"/>
      <c r="BA746" s="1366"/>
      <c r="BB746" s="1366"/>
      <c r="BC746" s="1366"/>
      <c r="BD746" s="1366"/>
      <c r="BE746" s="1366"/>
      <c r="BF746" s="1366"/>
      <c r="BG746" s="1366"/>
      <c r="BH746" s="1366"/>
      <c r="BI746" s="1366"/>
      <c r="BJ746" s="1366"/>
      <c r="BK746" s="1366"/>
      <c r="BL746" s="1366"/>
      <c r="BM746" s="1366"/>
      <c r="BN746" s="1366"/>
      <c r="BO746" s="1366"/>
      <c r="BP746" s="1366"/>
      <c r="BQ746" s="1366"/>
      <c r="BR746" s="1366"/>
      <c r="BS746" s="1366"/>
      <c r="BT746" s="1366"/>
      <c r="BU746" s="1366"/>
      <c r="BV746" s="1366"/>
      <c r="BW746" s="1366"/>
      <c r="BX746" s="1366"/>
      <c r="BY746" s="1366"/>
      <c r="BZ746" s="1366"/>
      <c r="CA746" s="1366"/>
      <c r="CB746" s="1366"/>
      <c r="CC746" s="1366"/>
      <c r="CD746" s="1366"/>
      <c r="CE746" s="1366"/>
      <c r="CF746" s="1366"/>
      <c r="CG746" s="1366"/>
      <c r="CH746" s="1366"/>
      <c r="CI746" s="1366"/>
      <c r="CJ746" s="1366"/>
      <c r="CK746" s="1366"/>
      <c r="CL746" s="1366"/>
      <c r="CM746" s="1366"/>
      <c r="CN746" s="1366"/>
      <c r="CO746" s="1366"/>
      <c r="CP746" s="1366"/>
      <c r="CQ746" s="1366"/>
      <c r="CR746" s="1366"/>
      <c r="CS746" s="1366"/>
      <c r="CT746" s="1366"/>
      <c r="CU746" s="1366"/>
      <c r="CV746" s="1366"/>
      <c r="CW746" s="1366"/>
      <c r="CX746" s="1366"/>
      <c r="CY746" s="1366"/>
      <c r="CZ746" s="1366"/>
      <c r="DA746" s="1366"/>
      <c r="DB746" s="1366"/>
      <c r="DC746" s="1366"/>
      <c r="DD746" s="1366"/>
      <c r="DE746" s="1366"/>
      <c r="DF746" s="1366"/>
      <c r="DG746" s="1366"/>
      <c r="DH746" s="1366"/>
      <c r="DI746" s="1366"/>
      <c r="DJ746" s="1366"/>
      <c r="DK746" s="1366"/>
      <c r="DL746" s="1366"/>
      <c r="DM746" s="1366"/>
      <c r="DN746" s="1366"/>
      <c r="DO746" s="1366"/>
      <c r="DP746" s="1366"/>
      <c r="DQ746" s="1366"/>
      <c r="DR746" s="1366"/>
      <c r="DS746" s="1366"/>
      <c r="DT746" s="1366"/>
      <c r="DU746" s="1366"/>
      <c r="DV746" s="1366"/>
    </row>
    <row r="747" spans="1:126" s="1367" customFormat="1" hidden="1">
      <c r="A747" s="2494"/>
      <c r="B747" s="1643"/>
      <c r="C747" s="1674"/>
      <c r="D747" s="1480"/>
      <c r="E747" s="1480"/>
      <c r="F747" s="1480"/>
      <c r="G747" s="1480"/>
      <c r="H747" s="1481"/>
      <c r="I747" s="1482"/>
      <c r="J747" s="1483"/>
      <c r="K747" s="1483"/>
      <c r="L747" s="1528"/>
      <c r="M747" s="1483"/>
      <c r="N747" s="1484"/>
      <c r="O747" s="1481"/>
      <c r="P747" s="1485"/>
      <c r="Q747" s="1485"/>
      <c r="R747" s="1485"/>
      <c r="S747" s="1485"/>
      <c r="T747" s="1485"/>
      <c r="U747" s="1485"/>
      <c r="V747" s="1484"/>
      <c r="W747" s="1366"/>
      <c r="X747" s="1366"/>
      <c r="Y747" s="1366"/>
      <c r="Z747" s="1366"/>
      <c r="AA747" s="1366"/>
      <c r="AB747" s="1366"/>
      <c r="AC747" s="1366"/>
      <c r="AD747" s="1366"/>
      <c r="AE747" s="1366"/>
      <c r="AF747" s="1366"/>
      <c r="AG747" s="1366"/>
      <c r="AH747" s="1366"/>
      <c r="AI747" s="1366"/>
      <c r="AJ747" s="1366"/>
      <c r="AK747" s="1366"/>
      <c r="AL747" s="1366"/>
      <c r="AM747" s="1366"/>
      <c r="AN747" s="1366"/>
      <c r="AO747" s="1366"/>
      <c r="AP747" s="1366"/>
      <c r="AQ747" s="1366"/>
      <c r="AR747" s="1366"/>
      <c r="AS747" s="1366"/>
      <c r="AT747" s="1366"/>
      <c r="AU747" s="1366"/>
      <c r="AV747" s="1366"/>
      <c r="AW747" s="1366"/>
      <c r="AX747" s="1366"/>
      <c r="AY747" s="1366"/>
      <c r="AZ747" s="1366"/>
      <c r="BA747" s="1366"/>
      <c r="BB747" s="1366"/>
      <c r="BC747" s="1366"/>
      <c r="BD747" s="1366"/>
      <c r="BE747" s="1366"/>
      <c r="BF747" s="1366"/>
      <c r="BG747" s="1366"/>
      <c r="BH747" s="1366"/>
      <c r="BI747" s="1366"/>
      <c r="BJ747" s="1366"/>
      <c r="BK747" s="1366"/>
      <c r="BL747" s="1366"/>
      <c r="BM747" s="1366"/>
      <c r="BN747" s="1366"/>
      <c r="BO747" s="1366"/>
      <c r="BP747" s="1366"/>
      <c r="BQ747" s="1366"/>
      <c r="BR747" s="1366"/>
      <c r="BS747" s="1366"/>
      <c r="BT747" s="1366"/>
      <c r="BU747" s="1366"/>
      <c r="BV747" s="1366"/>
      <c r="BW747" s="1366"/>
      <c r="BX747" s="1366"/>
      <c r="BY747" s="1366"/>
      <c r="BZ747" s="1366"/>
      <c r="CA747" s="1366"/>
      <c r="CB747" s="1366"/>
      <c r="CC747" s="1366"/>
      <c r="CD747" s="1366"/>
      <c r="CE747" s="1366"/>
      <c r="CF747" s="1366"/>
      <c r="CG747" s="1366"/>
      <c r="CH747" s="1366"/>
      <c r="CI747" s="1366"/>
      <c r="CJ747" s="1366"/>
      <c r="CK747" s="1366"/>
      <c r="CL747" s="1366"/>
      <c r="CM747" s="1366"/>
      <c r="CN747" s="1366"/>
      <c r="CO747" s="1366"/>
      <c r="CP747" s="1366"/>
      <c r="CQ747" s="1366"/>
      <c r="CR747" s="1366"/>
      <c r="CS747" s="1366"/>
      <c r="CT747" s="1366"/>
      <c r="CU747" s="1366"/>
      <c r="CV747" s="1366"/>
      <c r="CW747" s="1366"/>
      <c r="CX747" s="1366"/>
      <c r="CY747" s="1366"/>
      <c r="CZ747" s="1366"/>
      <c r="DA747" s="1366"/>
      <c r="DB747" s="1366"/>
      <c r="DC747" s="1366"/>
      <c r="DD747" s="1366"/>
      <c r="DE747" s="1366"/>
      <c r="DF747" s="1366"/>
      <c r="DG747" s="1366"/>
      <c r="DH747" s="1366"/>
      <c r="DI747" s="1366"/>
      <c r="DJ747" s="1366"/>
      <c r="DK747" s="1366"/>
      <c r="DL747" s="1366"/>
      <c r="DM747" s="1366"/>
      <c r="DN747" s="1366"/>
      <c r="DO747" s="1366"/>
      <c r="DP747" s="1366"/>
      <c r="DQ747" s="1366"/>
      <c r="DR747" s="1366"/>
      <c r="DS747" s="1366"/>
      <c r="DT747" s="1366"/>
      <c r="DU747" s="1366"/>
      <c r="DV747" s="1366"/>
    </row>
    <row r="748" spans="1:126" s="1367" customFormat="1" hidden="1">
      <c r="A748" s="2494"/>
      <c r="B748" s="1643"/>
      <c r="C748" s="1674"/>
      <c r="D748" s="1480"/>
      <c r="E748" s="1480"/>
      <c r="F748" s="1480"/>
      <c r="G748" s="1480"/>
      <c r="H748" s="1481"/>
      <c r="I748" s="1482"/>
      <c r="J748" s="1483"/>
      <c r="K748" s="1483"/>
      <c r="L748" s="1528"/>
      <c r="M748" s="1483"/>
      <c r="N748" s="1484"/>
      <c r="O748" s="1481"/>
      <c r="P748" s="1485"/>
      <c r="Q748" s="1485"/>
      <c r="R748" s="1485"/>
      <c r="S748" s="1485"/>
      <c r="T748" s="1485"/>
      <c r="U748" s="1485"/>
      <c r="V748" s="1484"/>
      <c r="W748" s="1366"/>
      <c r="X748" s="1366"/>
      <c r="Y748" s="1366"/>
      <c r="Z748" s="1366"/>
      <c r="AA748" s="1366"/>
      <c r="AB748" s="1366"/>
      <c r="AC748" s="1366"/>
      <c r="AD748" s="1366"/>
      <c r="AE748" s="1366"/>
      <c r="AF748" s="1366"/>
      <c r="AG748" s="1366"/>
      <c r="AH748" s="1366"/>
      <c r="AI748" s="1366"/>
      <c r="AJ748" s="1366"/>
      <c r="AK748" s="1366"/>
      <c r="AL748" s="1366"/>
      <c r="AM748" s="1366"/>
      <c r="AN748" s="1366"/>
      <c r="AO748" s="1366"/>
      <c r="AP748" s="1366"/>
      <c r="AQ748" s="1366"/>
      <c r="AR748" s="1366"/>
      <c r="AS748" s="1366"/>
      <c r="AT748" s="1366"/>
      <c r="AU748" s="1366"/>
      <c r="AV748" s="1366"/>
      <c r="AW748" s="1366"/>
      <c r="AX748" s="1366"/>
      <c r="AY748" s="1366"/>
      <c r="AZ748" s="1366"/>
      <c r="BA748" s="1366"/>
      <c r="BB748" s="1366"/>
      <c r="BC748" s="1366"/>
      <c r="BD748" s="1366"/>
      <c r="BE748" s="1366"/>
      <c r="BF748" s="1366"/>
      <c r="BG748" s="1366"/>
      <c r="BH748" s="1366"/>
      <c r="BI748" s="1366"/>
      <c r="BJ748" s="1366"/>
      <c r="BK748" s="1366"/>
      <c r="BL748" s="1366"/>
      <c r="BM748" s="1366"/>
      <c r="BN748" s="1366"/>
      <c r="BO748" s="1366"/>
      <c r="BP748" s="1366"/>
      <c r="BQ748" s="1366"/>
      <c r="BR748" s="1366"/>
      <c r="BS748" s="1366"/>
      <c r="BT748" s="1366"/>
      <c r="BU748" s="1366"/>
      <c r="BV748" s="1366"/>
      <c r="BW748" s="1366"/>
      <c r="BX748" s="1366"/>
      <c r="BY748" s="1366"/>
      <c r="BZ748" s="1366"/>
      <c r="CA748" s="1366"/>
      <c r="CB748" s="1366"/>
      <c r="CC748" s="1366"/>
      <c r="CD748" s="1366"/>
      <c r="CE748" s="1366"/>
      <c r="CF748" s="1366"/>
      <c r="CG748" s="1366"/>
      <c r="CH748" s="1366"/>
      <c r="CI748" s="1366"/>
      <c r="CJ748" s="1366"/>
      <c r="CK748" s="1366"/>
      <c r="CL748" s="1366"/>
      <c r="CM748" s="1366"/>
      <c r="CN748" s="1366"/>
      <c r="CO748" s="1366"/>
      <c r="CP748" s="1366"/>
      <c r="CQ748" s="1366"/>
      <c r="CR748" s="1366"/>
      <c r="CS748" s="1366"/>
      <c r="CT748" s="1366"/>
      <c r="CU748" s="1366"/>
      <c r="CV748" s="1366"/>
      <c r="CW748" s="1366"/>
      <c r="CX748" s="1366"/>
      <c r="CY748" s="1366"/>
      <c r="CZ748" s="1366"/>
      <c r="DA748" s="1366"/>
      <c r="DB748" s="1366"/>
      <c r="DC748" s="1366"/>
      <c r="DD748" s="1366"/>
      <c r="DE748" s="1366"/>
      <c r="DF748" s="1366"/>
      <c r="DG748" s="1366"/>
      <c r="DH748" s="1366"/>
      <c r="DI748" s="1366"/>
      <c r="DJ748" s="1366"/>
      <c r="DK748" s="1366"/>
      <c r="DL748" s="1366"/>
      <c r="DM748" s="1366"/>
      <c r="DN748" s="1366"/>
      <c r="DO748" s="1366"/>
      <c r="DP748" s="1366"/>
      <c r="DQ748" s="1366"/>
      <c r="DR748" s="1366"/>
      <c r="DS748" s="1366"/>
      <c r="DT748" s="1366"/>
      <c r="DU748" s="1366"/>
      <c r="DV748" s="1366"/>
    </row>
    <row r="749" spans="1:126" s="1367" customFormat="1" hidden="1">
      <c r="A749" s="2494"/>
      <c r="B749" s="1643"/>
      <c r="C749" s="1674"/>
      <c r="D749" s="1480"/>
      <c r="E749" s="1480"/>
      <c r="F749" s="1480"/>
      <c r="G749" s="1480"/>
      <c r="H749" s="1481"/>
      <c r="I749" s="1482"/>
      <c r="J749" s="1483"/>
      <c r="K749" s="1483"/>
      <c r="L749" s="1528"/>
      <c r="M749" s="1483"/>
      <c r="N749" s="1484"/>
      <c r="O749" s="1481"/>
      <c r="P749" s="1485"/>
      <c r="Q749" s="1485"/>
      <c r="R749" s="1485"/>
      <c r="S749" s="1485"/>
      <c r="T749" s="1485"/>
      <c r="U749" s="1485"/>
      <c r="V749" s="1484"/>
      <c r="W749" s="1366"/>
      <c r="X749" s="1366"/>
      <c r="Y749" s="1366"/>
      <c r="Z749" s="1366"/>
      <c r="AA749" s="1366"/>
      <c r="AB749" s="1366"/>
      <c r="AC749" s="1366"/>
      <c r="AD749" s="1366"/>
      <c r="AE749" s="1366"/>
      <c r="AF749" s="1366"/>
      <c r="AG749" s="1366"/>
      <c r="AH749" s="1366"/>
      <c r="AI749" s="1366"/>
      <c r="AJ749" s="1366"/>
      <c r="AK749" s="1366"/>
      <c r="AL749" s="1366"/>
      <c r="AM749" s="1366"/>
      <c r="AN749" s="1366"/>
      <c r="AO749" s="1366"/>
      <c r="AP749" s="1366"/>
      <c r="AQ749" s="1366"/>
      <c r="AR749" s="1366"/>
      <c r="AS749" s="1366"/>
      <c r="AT749" s="1366"/>
      <c r="AU749" s="1366"/>
      <c r="AV749" s="1366"/>
      <c r="AW749" s="1366"/>
      <c r="AX749" s="1366"/>
      <c r="AY749" s="1366"/>
      <c r="AZ749" s="1366"/>
      <c r="BA749" s="1366"/>
      <c r="BB749" s="1366"/>
      <c r="BC749" s="1366"/>
      <c r="BD749" s="1366"/>
      <c r="BE749" s="1366"/>
      <c r="BF749" s="1366"/>
      <c r="BG749" s="1366"/>
      <c r="BH749" s="1366"/>
      <c r="BI749" s="1366"/>
      <c r="BJ749" s="1366"/>
      <c r="BK749" s="1366"/>
      <c r="BL749" s="1366"/>
      <c r="BM749" s="1366"/>
      <c r="BN749" s="1366"/>
      <c r="BO749" s="1366"/>
      <c r="BP749" s="1366"/>
      <c r="BQ749" s="1366"/>
      <c r="BR749" s="1366"/>
      <c r="BS749" s="1366"/>
      <c r="BT749" s="1366"/>
      <c r="BU749" s="1366"/>
      <c r="BV749" s="1366"/>
      <c r="BW749" s="1366"/>
      <c r="BX749" s="1366"/>
      <c r="BY749" s="1366"/>
      <c r="BZ749" s="1366"/>
      <c r="CA749" s="1366"/>
      <c r="CB749" s="1366"/>
      <c r="CC749" s="1366"/>
      <c r="CD749" s="1366"/>
      <c r="CE749" s="1366"/>
      <c r="CF749" s="1366"/>
      <c r="CG749" s="1366"/>
      <c r="CH749" s="1366"/>
      <c r="CI749" s="1366"/>
      <c r="CJ749" s="1366"/>
      <c r="CK749" s="1366"/>
      <c r="CL749" s="1366"/>
      <c r="CM749" s="1366"/>
      <c r="CN749" s="1366"/>
      <c r="CO749" s="1366"/>
      <c r="CP749" s="1366"/>
      <c r="CQ749" s="1366"/>
      <c r="CR749" s="1366"/>
      <c r="CS749" s="1366"/>
      <c r="CT749" s="1366"/>
      <c r="CU749" s="1366"/>
      <c r="CV749" s="1366"/>
      <c r="CW749" s="1366"/>
      <c r="CX749" s="1366"/>
      <c r="CY749" s="1366"/>
      <c r="CZ749" s="1366"/>
      <c r="DA749" s="1366"/>
      <c r="DB749" s="1366"/>
      <c r="DC749" s="1366"/>
      <c r="DD749" s="1366"/>
      <c r="DE749" s="1366"/>
      <c r="DF749" s="1366"/>
      <c r="DG749" s="1366"/>
      <c r="DH749" s="1366"/>
      <c r="DI749" s="1366"/>
      <c r="DJ749" s="1366"/>
      <c r="DK749" s="1366"/>
      <c r="DL749" s="1366"/>
      <c r="DM749" s="1366"/>
      <c r="DN749" s="1366"/>
      <c r="DO749" s="1366"/>
      <c r="DP749" s="1366"/>
      <c r="DQ749" s="1366"/>
      <c r="DR749" s="1366"/>
      <c r="DS749" s="1366"/>
      <c r="DT749" s="1366"/>
      <c r="DU749" s="1366"/>
      <c r="DV749" s="1366"/>
    </row>
    <row r="750" spans="1:126" s="1367" customFormat="1" hidden="1">
      <c r="A750" s="2494"/>
      <c r="B750" s="1643"/>
      <c r="C750" s="1674"/>
      <c r="D750" s="1480"/>
      <c r="E750" s="1480"/>
      <c r="F750" s="1480"/>
      <c r="G750" s="1480"/>
      <c r="H750" s="1481"/>
      <c r="I750" s="1482"/>
      <c r="J750" s="1483"/>
      <c r="K750" s="1483"/>
      <c r="L750" s="1528"/>
      <c r="M750" s="1483"/>
      <c r="N750" s="1484"/>
      <c r="O750" s="1481"/>
      <c r="P750" s="1485"/>
      <c r="Q750" s="1485"/>
      <c r="R750" s="1485"/>
      <c r="S750" s="1485"/>
      <c r="T750" s="1485"/>
      <c r="U750" s="1485"/>
      <c r="V750" s="1484"/>
      <c r="W750" s="1366"/>
      <c r="X750" s="1366"/>
      <c r="Y750" s="1366"/>
      <c r="Z750" s="1366"/>
      <c r="AA750" s="1366"/>
      <c r="AB750" s="1366"/>
      <c r="AC750" s="1366"/>
      <c r="AD750" s="1366"/>
      <c r="AE750" s="1366"/>
      <c r="AF750" s="1366"/>
      <c r="AG750" s="1366"/>
      <c r="AH750" s="1366"/>
      <c r="AI750" s="1366"/>
      <c r="AJ750" s="1366"/>
      <c r="AK750" s="1366"/>
      <c r="AL750" s="1366"/>
      <c r="AM750" s="1366"/>
      <c r="AN750" s="1366"/>
      <c r="AO750" s="1366"/>
      <c r="AP750" s="1366"/>
      <c r="AQ750" s="1366"/>
      <c r="AR750" s="1366"/>
      <c r="AS750" s="1366"/>
      <c r="AT750" s="1366"/>
      <c r="AU750" s="1366"/>
      <c r="AV750" s="1366"/>
      <c r="AW750" s="1366"/>
      <c r="AX750" s="1366"/>
      <c r="AY750" s="1366"/>
      <c r="AZ750" s="1366"/>
      <c r="BA750" s="1366"/>
      <c r="BB750" s="1366"/>
      <c r="BC750" s="1366"/>
      <c r="BD750" s="1366"/>
      <c r="BE750" s="1366"/>
      <c r="BF750" s="1366"/>
      <c r="BG750" s="1366"/>
      <c r="BH750" s="1366"/>
      <c r="BI750" s="1366"/>
      <c r="BJ750" s="1366"/>
      <c r="BK750" s="1366"/>
      <c r="BL750" s="1366"/>
      <c r="BM750" s="1366"/>
      <c r="BN750" s="1366"/>
      <c r="BO750" s="1366"/>
      <c r="BP750" s="1366"/>
      <c r="BQ750" s="1366"/>
      <c r="BR750" s="1366"/>
      <c r="BS750" s="1366"/>
      <c r="BT750" s="1366"/>
      <c r="BU750" s="1366"/>
      <c r="BV750" s="1366"/>
      <c r="BW750" s="1366"/>
      <c r="BX750" s="1366"/>
      <c r="BY750" s="1366"/>
      <c r="BZ750" s="1366"/>
      <c r="CA750" s="1366"/>
      <c r="CB750" s="1366"/>
      <c r="CC750" s="1366"/>
      <c r="CD750" s="1366"/>
      <c r="CE750" s="1366"/>
      <c r="CF750" s="1366"/>
      <c r="CG750" s="1366"/>
      <c r="CH750" s="1366"/>
      <c r="CI750" s="1366"/>
      <c r="CJ750" s="1366"/>
      <c r="CK750" s="1366"/>
      <c r="CL750" s="1366"/>
      <c r="CM750" s="1366"/>
      <c r="CN750" s="1366"/>
      <c r="CO750" s="1366"/>
      <c r="CP750" s="1366"/>
      <c r="CQ750" s="1366"/>
      <c r="CR750" s="1366"/>
      <c r="CS750" s="1366"/>
      <c r="CT750" s="1366"/>
      <c r="CU750" s="1366"/>
      <c r="CV750" s="1366"/>
      <c r="CW750" s="1366"/>
      <c r="CX750" s="1366"/>
      <c r="CY750" s="1366"/>
      <c r="CZ750" s="1366"/>
      <c r="DA750" s="1366"/>
      <c r="DB750" s="1366"/>
      <c r="DC750" s="1366"/>
      <c r="DD750" s="1366"/>
      <c r="DE750" s="1366"/>
      <c r="DF750" s="1366"/>
      <c r="DG750" s="1366"/>
      <c r="DH750" s="1366"/>
      <c r="DI750" s="1366"/>
      <c r="DJ750" s="1366"/>
      <c r="DK750" s="1366"/>
      <c r="DL750" s="1366"/>
      <c r="DM750" s="1366"/>
      <c r="DN750" s="1366"/>
      <c r="DO750" s="1366"/>
      <c r="DP750" s="1366"/>
      <c r="DQ750" s="1366"/>
      <c r="DR750" s="1366"/>
      <c r="DS750" s="1366"/>
      <c r="DT750" s="1366"/>
      <c r="DU750" s="1366"/>
      <c r="DV750" s="1366"/>
    </row>
    <row r="751" spans="1:126" s="1367" customFormat="1" hidden="1">
      <c r="A751" s="2494"/>
      <c r="B751" s="1643"/>
      <c r="C751" s="1674"/>
      <c r="D751" s="1480"/>
      <c r="E751" s="1480"/>
      <c r="F751" s="1480"/>
      <c r="G751" s="1480"/>
      <c r="H751" s="1481"/>
      <c r="I751" s="1482"/>
      <c r="J751" s="1483"/>
      <c r="K751" s="1483"/>
      <c r="L751" s="1528"/>
      <c r="M751" s="1483"/>
      <c r="N751" s="1484"/>
      <c r="O751" s="1481"/>
      <c r="P751" s="1485"/>
      <c r="Q751" s="1485"/>
      <c r="R751" s="1485"/>
      <c r="S751" s="1485"/>
      <c r="T751" s="1485"/>
      <c r="U751" s="1485"/>
      <c r="V751" s="1484"/>
      <c r="W751" s="1366"/>
      <c r="X751" s="1366"/>
      <c r="Y751" s="1366"/>
      <c r="Z751" s="1366"/>
      <c r="AA751" s="1366"/>
      <c r="AB751" s="1366"/>
      <c r="AC751" s="1366"/>
      <c r="AD751" s="1366"/>
      <c r="AE751" s="1366"/>
      <c r="AF751" s="1366"/>
      <c r="AG751" s="1366"/>
      <c r="AH751" s="1366"/>
      <c r="AI751" s="1366"/>
      <c r="AJ751" s="1366"/>
      <c r="AK751" s="1366"/>
      <c r="AL751" s="1366"/>
      <c r="AM751" s="1366"/>
      <c r="AN751" s="1366"/>
      <c r="AO751" s="1366"/>
      <c r="AP751" s="1366"/>
      <c r="AQ751" s="1366"/>
      <c r="AR751" s="1366"/>
      <c r="AS751" s="1366"/>
      <c r="AT751" s="1366"/>
      <c r="AU751" s="1366"/>
      <c r="AV751" s="1366"/>
      <c r="AW751" s="1366"/>
      <c r="AX751" s="1366"/>
      <c r="AY751" s="1366"/>
      <c r="AZ751" s="1366"/>
      <c r="BA751" s="1366"/>
      <c r="BB751" s="1366"/>
      <c r="BC751" s="1366"/>
      <c r="BD751" s="1366"/>
      <c r="BE751" s="1366"/>
      <c r="BF751" s="1366"/>
      <c r="BG751" s="1366"/>
      <c r="BH751" s="1366"/>
      <c r="BI751" s="1366"/>
      <c r="BJ751" s="1366"/>
      <c r="BK751" s="1366"/>
      <c r="BL751" s="1366"/>
      <c r="BM751" s="1366"/>
      <c r="BN751" s="1366"/>
      <c r="BO751" s="1366"/>
      <c r="BP751" s="1366"/>
      <c r="BQ751" s="1366"/>
      <c r="BR751" s="1366"/>
      <c r="BS751" s="1366"/>
      <c r="BT751" s="1366"/>
      <c r="BU751" s="1366"/>
      <c r="BV751" s="1366"/>
      <c r="BW751" s="1366"/>
      <c r="BX751" s="1366"/>
      <c r="BY751" s="1366"/>
      <c r="BZ751" s="1366"/>
      <c r="CA751" s="1366"/>
      <c r="CB751" s="1366"/>
      <c r="CC751" s="1366"/>
      <c r="CD751" s="1366"/>
      <c r="CE751" s="1366"/>
      <c r="CF751" s="1366"/>
      <c r="CG751" s="1366"/>
      <c r="CH751" s="1366"/>
      <c r="CI751" s="1366"/>
      <c r="CJ751" s="1366"/>
      <c r="CK751" s="1366"/>
      <c r="CL751" s="1366"/>
      <c r="CM751" s="1366"/>
      <c r="CN751" s="1366"/>
      <c r="CO751" s="1366"/>
      <c r="CP751" s="1366"/>
      <c r="CQ751" s="1366"/>
      <c r="CR751" s="1366"/>
      <c r="CS751" s="1366"/>
      <c r="CT751" s="1366"/>
      <c r="CU751" s="1366"/>
      <c r="CV751" s="1366"/>
      <c r="CW751" s="1366"/>
      <c r="CX751" s="1366"/>
      <c r="CY751" s="1366"/>
      <c r="CZ751" s="1366"/>
      <c r="DA751" s="1366"/>
      <c r="DB751" s="1366"/>
      <c r="DC751" s="1366"/>
      <c r="DD751" s="1366"/>
      <c r="DE751" s="1366"/>
      <c r="DF751" s="1366"/>
      <c r="DG751" s="1366"/>
      <c r="DH751" s="1366"/>
      <c r="DI751" s="1366"/>
      <c r="DJ751" s="1366"/>
      <c r="DK751" s="1366"/>
      <c r="DL751" s="1366"/>
      <c r="DM751" s="1366"/>
      <c r="DN751" s="1366"/>
      <c r="DO751" s="1366"/>
      <c r="DP751" s="1366"/>
      <c r="DQ751" s="1366"/>
      <c r="DR751" s="1366"/>
      <c r="DS751" s="1366"/>
      <c r="DT751" s="1366"/>
      <c r="DU751" s="1366"/>
      <c r="DV751" s="1366"/>
    </row>
    <row r="752" spans="1:126" s="1367" customFormat="1" hidden="1">
      <c r="A752" s="2494"/>
      <c r="B752" s="1643"/>
      <c r="C752" s="1674"/>
      <c r="D752" s="1480"/>
      <c r="E752" s="1480"/>
      <c r="F752" s="1480"/>
      <c r="G752" s="1480"/>
      <c r="H752" s="1481"/>
      <c r="I752" s="1482"/>
      <c r="J752" s="1483"/>
      <c r="K752" s="1483"/>
      <c r="L752" s="1528"/>
      <c r="M752" s="1483"/>
      <c r="N752" s="1484"/>
      <c r="O752" s="1481"/>
      <c r="P752" s="1485"/>
      <c r="Q752" s="1485"/>
      <c r="R752" s="1485"/>
      <c r="S752" s="1485"/>
      <c r="T752" s="1485"/>
      <c r="U752" s="1485"/>
      <c r="V752" s="1484"/>
      <c r="W752" s="1366"/>
      <c r="X752" s="1366"/>
      <c r="Y752" s="1366"/>
      <c r="Z752" s="1366"/>
      <c r="AA752" s="1366"/>
      <c r="AB752" s="1366"/>
      <c r="AC752" s="1366"/>
      <c r="AD752" s="1366"/>
      <c r="AE752" s="1366"/>
      <c r="AF752" s="1366"/>
      <c r="AG752" s="1366"/>
      <c r="AH752" s="1366"/>
      <c r="AI752" s="1366"/>
      <c r="AJ752" s="1366"/>
      <c r="AK752" s="1366"/>
      <c r="AL752" s="1366"/>
      <c r="AM752" s="1366"/>
      <c r="AN752" s="1366"/>
      <c r="AO752" s="1366"/>
      <c r="AP752" s="1366"/>
      <c r="AQ752" s="1366"/>
      <c r="AR752" s="1366"/>
      <c r="AS752" s="1366"/>
      <c r="AT752" s="1366"/>
      <c r="AU752" s="1366"/>
      <c r="AV752" s="1366"/>
      <c r="AW752" s="1366"/>
      <c r="AX752" s="1366"/>
      <c r="AY752" s="1366"/>
      <c r="AZ752" s="1366"/>
      <c r="BA752" s="1366"/>
      <c r="BB752" s="1366"/>
      <c r="BC752" s="1366"/>
      <c r="BD752" s="1366"/>
      <c r="BE752" s="1366"/>
      <c r="BF752" s="1366"/>
      <c r="BG752" s="1366"/>
      <c r="BH752" s="1366"/>
      <c r="BI752" s="1366"/>
      <c r="BJ752" s="1366"/>
      <c r="BK752" s="1366"/>
      <c r="BL752" s="1366"/>
      <c r="BM752" s="1366"/>
      <c r="BN752" s="1366"/>
      <c r="BO752" s="1366"/>
      <c r="BP752" s="1366"/>
      <c r="BQ752" s="1366"/>
      <c r="BR752" s="1366"/>
      <c r="BS752" s="1366"/>
      <c r="BT752" s="1366"/>
      <c r="BU752" s="1366"/>
      <c r="BV752" s="1366"/>
      <c r="BW752" s="1366"/>
      <c r="BX752" s="1366"/>
      <c r="BY752" s="1366"/>
      <c r="BZ752" s="1366"/>
      <c r="CA752" s="1366"/>
      <c r="CB752" s="1366"/>
      <c r="CC752" s="1366"/>
      <c r="CD752" s="1366"/>
      <c r="CE752" s="1366"/>
      <c r="CF752" s="1366"/>
      <c r="CG752" s="1366"/>
      <c r="CH752" s="1366"/>
      <c r="CI752" s="1366"/>
      <c r="CJ752" s="1366"/>
      <c r="CK752" s="1366"/>
      <c r="CL752" s="1366"/>
      <c r="CM752" s="1366"/>
      <c r="CN752" s="1366"/>
      <c r="CO752" s="1366"/>
      <c r="CP752" s="1366"/>
      <c r="CQ752" s="1366"/>
      <c r="CR752" s="1366"/>
      <c r="CS752" s="1366"/>
      <c r="CT752" s="1366"/>
      <c r="CU752" s="1366"/>
      <c r="CV752" s="1366"/>
      <c r="CW752" s="1366"/>
      <c r="CX752" s="1366"/>
      <c r="CY752" s="1366"/>
      <c r="CZ752" s="1366"/>
      <c r="DA752" s="1366"/>
      <c r="DB752" s="1366"/>
      <c r="DC752" s="1366"/>
      <c r="DD752" s="1366"/>
      <c r="DE752" s="1366"/>
      <c r="DF752" s="1366"/>
      <c r="DG752" s="1366"/>
      <c r="DH752" s="1366"/>
      <c r="DI752" s="1366"/>
      <c r="DJ752" s="1366"/>
      <c r="DK752" s="1366"/>
      <c r="DL752" s="1366"/>
      <c r="DM752" s="1366"/>
      <c r="DN752" s="1366"/>
      <c r="DO752" s="1366"/>
      <c r="DP752" s="1366"/>
      <c r="DQ752" s="1366"/>
      <c r="DR752" s="1366"/>
      <c r="DS752" s="1366"/>
      <c r="DT752" s="1366"/>
      <c r="DU752" s="1366"/>
      <c r="DV752" s="1366"/>
    </row>
    <row r="753" spans="1:126" s="1367" customFormat="1" hidden="1">
      <c r="A753" s="2494"/>
      <c r="B753" s="1643"/>
      <c r="C753" s="1674"/>
      <c r="D753" s="1480"/>
      <c r="E753" s="1480"/>
      <c r="F753" s="1480"/>
      <c r="G753" s="1480"/>
      <c r="H753" s="1481"/>
      <c r="I753" s="1482"/>
      <c r="J753" s="1483"/>
      <c r="K753" s="1483"/>
      <c r="L753" s="1528"/>
      <c r="M753" s="1483"/>
      <c r="N753" s="1484"/>
      <c r="O753" s="1481"/>
      <c r="P753" s="1485"/>
      <c r="Q753" s="1485"/>
      <c r="R753" s="1485"/>
      <c r="S753" s="1485"/>
      <c r="T753" s="1485"/>
      <c r="U753" s="1485"/>
      <c r="V753" s="1484"/>
      <c r="W753" s="1366"/>
      <c r="X753" s="1366"/>
      <c r="Y753" s="1366"/>
      <c r="Z753" s="1366"/>
      <c r="AA753" s="1366"/>
      <c r="AB753" s="1366"/>
      <c r="AC753" s="1366"/>
      <c r="AD753" s="1366"/>
      <c r="AE753" s="1366"/>
      <c r="AF753" s="1366"/>
      <c r="AG753" s="1366"/>
      <c r="AH753" s="1366"/>
      <c r="AI753" s="1366"/>
      <c r="AJ753" s="1366"/>
      <c r="AK753" s="1366"/>
      <c r="AL753" s="1366"/>
      <c r="AM753" s="1366"/>
      <c r="AN753" s="1366"/>
      <c r="AO753" s="1366"/>
      <c r="AP753" s="1366"/>
      <c r="AQ753" s="1366"/>
      <c r="AR753" s="1366"/>
      <c r="AS753" s="1366"/>
      <c r="AT753" s="1366"/>
      <c r="AU753" s="1366"/>
      <c r="AV753" s="1366"/>
      <c r="AW753" s="1366"/>
      <c r="AX753" s="1366"/>
      <c r="AY753" s="1366"/>
      <c r="AZ753" s="1366"/>
      <c r="BA753" s="1366"/>
      <c r="BB753" s="1366"/>
      <c r="BC753" s="1366"/>
      <c r="BD753" s="1366"/>
      <c r="BE753" s="1366"/>
      <c r="BF753" s="1366"/>
      <c r="BG753" s="1366"/>
      <c r="BH753" s="1366"/>
      <c r="BI753" s="1366"/>
      <c r="BJ753" s="1366"/>
      <c r="BK753" s="1366"/>
      <c r="BL753" s="1366"/>
      <c r="BM753" s="1366"/>
      <c r="BN753" s="1366"/>
      <c r="BO753" s="1366"/>
      <c r="BP753" s="1366"/>
      <c r="BQ753" s="1366"/>
      <c r="BR753" s="1366"/>
      <c r="BS753" s="1366"/>
      <c r="BT753" s="1366"/>
      <c r="BU753" s="1366"/>
      <c r="BV753" s="1366"/>
      <c r="BW753" s="1366"/>
      <c r="BX753" s="1366"/>
      <c r="BY753" s="1366"/>
      <c r="BZ753" s="1366"/>
      <c r="CA753" s="1366"/>
      <c r="CB753" s="1366"/>
      <c r="CC753" s="1366"/>
      <c r="CD753" s="1366"/>
      <c r="CE753" s="1366"/>
      <c r="CF753" s="1366"/>
      <c r="CG753" s="1366"/>
      <c r="CH753" s="1366"/>
      <c r="CI753" s="1366"/>
      <c r="CJ753" s="1366"/>
      <c r="CK753" s="1366"/>
      <c r="CL753" s="1366"/>
      <c r="CM753" s="1366"/>
      <c r="CN753" s="1366"/>
      <c r="CO753" s="1366"/>
      <c r="CP753" s="1366"/>
      <c r="CQ753" s="1366"/>
      <c r="CR753" s="1366"/>
      <c r="CS753" s="1366"/>
      <c r="CT753" s="1366"/>
      <c r="CU753" s="1366"/>
      <c r="CV753" s="1366"/>
      <c r="CW753" s="1366"/>
      <c r="CX753" s="1366"/>
      <c r="CY753" s="1366"/>
      <c r="CZ753" s="1366"/>
      <c r="DA753" s="1366"/>
      <c r="DB753" s="1366"/>
      <c r="DC753" s="1366"/>
      <c r="DD753" s="1366"/>
      <c r="DE753" s="1366"/>
      <c r="DF753" s="1366"/>
      <c r="DG753" s="1366"/>
      <c r="DH753" s="1366"/>
      <c r="DI753" s="1366"/>
      <c r="DJ753" s="1366"/>
      <c r="DK753" s="1366"/>
      <c r="DL753" s="1366"/>
      <c r="DM753" s="1366"/>
      <c r="DN753" s="1366"/>
      <c r="DO753" s="1366"/>
      <c r="DP753" s="1366"/>
      <c r="DQ753" s="1366"/>
      <c r="DR753" s="1366"/>
      <c r="DS753" s="1366"/>
      <c r="DT753" s="1366"/>
      <c r="DU753" s="1366"/>
      <c r="DV753" s="1366"/>
    </row>
    <row r="754" spans="1:126" s="1367" customFormat="1" hidden="1">
      <c r="A754" s="2494"/>
      <c r="B754" s="1643"/>
      <c r="C754" s="1674"/>
      <c r="D754" s="1480"/>
      <c r="E754" s="1480"/>
      <c r="F754" s="1480"/>
      <c r="G754" s="1480"/>
      <c r="H754" s="1481"/>
      <c r="I754" s="1482"/>
      <c r="J754" s="1483"/>
      <c r="K754" s="1483"/>
      <c r="L754" s="1528"/>
      <c r="M754" s="1483"/>
      <c r="N754" s="1484"/>
      <c r="O754" s="1481"/>
      <c r="P754" s="1485"/>
      <c r="Q754" s="1485"/>
      <c r="R754" s="1485"/>
      <c r="S754" s="1485"/>
      <c r="T754" s="1485"/>
      <c r="U754" s="1485"/>
      <c r="V754" s="1484"/>
      <c r="W754" s="1366"/>
      <c r="X754" s="1366"/>
      <c r="Y754" s="1366"/>
      <c r="Z754" s="1366"/>
      <c r="AA754" s="1366"/>
      <c r="AB754" s="1366"/>
      <c r="AC754" s="1366"/>
      <c r="AD754" s="1366"/>
      <c r="AE754" s="1366"/>
      <c r="AF754" s="1366"/>
      <c r="AG754" s="1366"/>
      <c r="AH754" s="1366"/>
      <c r="AI754" s="1366"/>
      <c r="AJ754" s="1366"/>
      <c r="AK754" s="1366"/>
      <c r="AL754" s="1366"/>
      <c r="AM754" s="1366"/>
      <c r="AN754" s="1366"/>
      <c r="AO754" s="1366"/>
      <c r="AP754" s="1366"/>
      <c r="AQ754" s="1366"/>
      <c r="AR754" s="1366"/>
      <c r="AS754" s="1366"/>
      <c r="AT754" s="1366"/>
      <c r="AU754" s="1366"/>
      <c r="AV754" s="1366"/>
      <c r="AW754" s="1366"/>
      <c r="AX754" s="1366"/>
      <c r="AY754" s="1366"/>
      <c r="AZ754" s="1366"/>
      <c r="BA754" s="1366"/>
      <c r="BB754" s="1366"/>
      <c r="BC754" s="1366"/>
      <c r="BD754" s="1366"/>
      <c r="BE754" s="1366"/>
      <c r="BF754" s="1366"/>
      <c r="BG754" s="1366"/>
      <c r="BH754" s="1366"/>
      <c r="BI754" s="1366"/>
      <c r="BJ754" s="1366"/>
      <c r="BK754" s="1366"/>
      <c r="BL754" s="1366"/>
      <c r="BM754" s="1366"/>
      <c r="BN754" s="1366"/>
      <c r="BO754" s="1366"/>
      <c r="BP754" s="1366"/>
      <c r="BQ754" s="1366"/>
      <c r="BR754" s="1366"/>
      <c r="BS754" s="1366"/>
      <c r="BT754" s="1366"/>
      <c r="BU754" s="1366"/>
      <c r="BV754" s="1366"/>
      <c r="BW754" s="1366"/>
      <c r="BX754" s="1366"/>
      <c r="BY754" s="1366"/>
      <c r="BZ754" s="1366"/>
      <c r="CA754" s="1366"/>
      <c r="CB754" s="1366"/>
      <c r="CC754" s="1366"/>
      <c r="CD754" s="1366"/>
      <c r="CE754" s="1366"/>
      <c r="CF754" s="1366"/>
      <c r="CG754" s="1366"/>
      <c r="CH754" s="1366"/>
      <c r="CI754" s="1366"/>
      <c r="CJ754" s="1366"/>
      <c r="CK754" s="1366"/>
      <c r="CL754" s="1366"/>
      <c r="CM754" s="1366"/>
      <c r="CN754" s="1366"/>
      <c r="CO754" s="1366"/>
      <c r="CP754" s="1366"/>
      <c r="CQ754" s="1366"/>
      <c r="CR754" s="1366"/>
      <c r="CS754" s="1366"/>
      <c r="CT754" s="1366"/>
      <c r="CU754" s="1366"/>
      <c r="CV754" s="1366"/>
      <c r="CW754" s="1366"/>
      <c r="CX754" s="1366"/>
      <c r="CY754" s="1366"/>
      <c r="CZ754" s="1366"/>
      <c r="DA754" s="1366"/>
      <c r="DB754" s="1366"/>
      <c r="DC754" s="1366"/>
      <c r="DD754" s="1366"/>
      <c r="DE754" s="1366"/>
      <c r="DF754" s="1366"/>
      <c r="DG754" s="1366"/>
      <c r="DH754" s="1366"/>
      <c r="DI754" s="1366"/>
      <c r="DJ754" s="1366"/>
      <c r="DK754" s="1366"/>
      <c r="DL754" s="1366"/>
      <c r="DM754" s="1366"/>
      <c r="DN754" s="1366"/>
      <c r="DO754" s="1366"/>
      <c r="DP754" s="1366"/>
      <c r="DQ754" s="1366"/>
      <c r="DR754" s="1366"/>
      <c r="DS754" s="1366"/>
      <c r="DT754" s="1366"/>
      <c r="DU754" s="1366"/>
      <c r="DV754" s="1366"/>
    </row>
    <row r="755" spans="1:126" s="1367" customFormat="1" hidden="1">
      <c r="A755" s="2494"/>
      <c r="B755" s="1643"/>
      <c r="C755" s="1674"/>
      <c r="D755" s="1480"/>
      <c r="E755" s="1480"/>
      <c r="F755" s="1480"/>
      <c r="G755" s="1480"/>
      <c r="H755" s="1481"/>
      <c r="I755" s="1482"/>
      <c r="J755" s="1483"/>
      <c r="K755" s="1483"/>
      <c r="L755" s="1528"/>
      <c r="M755" s="1483"/>
      <c r="N755" s="1484"/>
      <c r="O755" s="1481"/>
      <c r="P755" s="1485"/>
      <c r="Q755" s="1485"/>
      <c r="R755" s="1485"/>
      <c r="S755" s="1485"/>
      <c r="T755" s="1485"/>
      <c r="U755" s="1485"/>
      <c r="V755" s="1484"/>
      <c r="W755" s="1366"/>
      <c r="X755" s="1366"/>
      <c r="Y755" s="1366"/>
      <c r="Z755" s="1366"/>
      <c r="AA755" s="1366"/>
      <c r="AB755" s="1366"/>
      <c r="AC755" s="1366"/>
      <c r="AD755" s="1366"/>
      <c r="AE755" s="1366"/>
      <c r="AF755" s="1366"/>
      <c r="AG755" s="1366"/>
      <c r="AH755" s="1366"/>
      <c r="AI755" s="1366"/>
      <c r="AJ755" s="1366"/>
      <c r="AK755" s="1366"/>
      <c r="AL755" s="1366"/>
      <c r="AM755" s="1366"/>
      <c r="AN755" s="1366"/>
      <c r="AO755" s="1366"/>
      <c r="AP755" s="1366"/>
      <c r="AQ755" s="1366"/>
      <c r="AR755" s="1366"/>
      <c r="AS755" s="1366"/>
      <c r="AT755" s="1366"/>
      <c r="AU755" s="1366"/>
      <c r="AV755" s="1366"/>
      <c r="AW755" s="1366"/>
      <c r="AX755" s="1366"/>
      <c r="AY755" s="1366"/>
      <c r="AZ755" s="1366"/>
      <c r="BA755" s="1366"/>
      <c r="BB755" s="1366"/>
      <c r="BC755" s="1366"/>
      <c r="BD755" s="1366"/>
      <c r="BE755" s="1366"/>
      <c r="BF755" s="1366"/>
      <c r="BG755" s="1366"/>
      <c r="BH755" s="1366"/>
      <c r="BI755" s="1366"/>
      <c r="BJ755" s="1366"/>
      <c r="BK755" s="1366"/>
      <c r="BL755" s="1366"/>
      <c r="BM755" s="1366"/>
      <c r="BN755" s="1366"/>
      <c r="BO755" s="1366"/>
      <c r="BP755" s="1366"/>
      <c r="BQ755" s="1366"/>
      <c r="BR755" s="1366"/>
      <c r="BS755" s="1366"/>
      <c r="BT755" s="1366"/>
      <c r="BU755" s="1366"/>
      <c r="BV755" s="1366"/>
      <c r="BW755" s="1366"/>
      <c r="BX755" s="1366"/>
      <c r="BY755" s="1366"/>
      <c r="BZ755" s="1366"/>
      <c r="CA755" s="1366"/>
      <c r="CB755" s="1366"/>
      <c r="CC755" s="1366"/>
      <c r="CD755" s="1366"/>
      <c r="CE755" s="1366"/>
      <c r="CF755" s="1366"/>
      <c r="CG755" s="1366"/>
      <c r="CH755" s="1366"/>
      <c r="CI755" s="1366"/>
      <c r="CJ755" s="1366"/>
      <c r="CK755" s="1366"/>
      <c r="CL755" s="1366"/>
      <c r="CM755" s="1366"/>
      <c r="CN755" s="1366"/>
      <c r="CO755" s="1366"/>
      <c r="CP755" s="1366"/>
      <c r="CQ755" s="1366"/>
      <c r="CR755" s="1366"/>
      <c r="CS755" s="1366"/>
      <c r="CT755" s="1366"/>
      <c r="CU755" s="1366"/>
      <c r="CV755" s="1366"/>
      <c r="CW755" s="1366"/>
      <c r="CX755" s="1366"/>
      <c r="CY755" s="1366"/>
      <c r="CZ755" s="1366"/>
      <c r="DA755" s="1366"/>
      <c r="DB755" s="1366"/>
      <c r="DC755" s="1366"/>
      <c r="DD755" s="1366"/>
      <c r="DE755" s="1366"/>
      <c r="DF755" s="1366"/>
      <c r="DG755" s="1366"/>
      <c r="DH755" s="1366"/>
      <c r="DI755" s="1366"/>
      <c r="DJ755" s="1366"/>
      <c r="DK755" s="1366"/>
      <c r="DL755" s="1366"/>
      <c r="DM755" s="1366"/>
      <c r="DN755" s="1366"/>
      <c r="DO755" s="1366"/>
      <c r="DP755" s="1366"/>
      <c r="DQ755" s="1366"/>
      <c r="DR755" s="1366"/>
      <c r="DS755" s="1366"/>
      <c r="DT755" s="1366"/>
      <c r="DU755" s="1366"/>
      <c r="DV755" s="1366"/>
    </row>
    <row r="756" spans="1:126" s="1367" customFormat="1" hidden="1">
      <c r="A756" s="2494"/>
      <c r="B756" s="1643"/>
      <c r="C756" s="1674"/>
      <c r="D756" s="1480"/>
      <c r="E756" s="1480"/>
      <c r="F756" s="1480"/>
      <c r="G756" s="1480"/>
      <c r="H756" s="1481"/>
      <c r="I756" s="1482"/>
      <c r="J756" s="1483"/>
      <c r="K756" s="1483"/>
      <c r="L756" s="1528"/>
      <c r="M756" s="1483"/>
      <c r="N756" s="1484"/>
      <c r="O756" s="1481"/>
      <c r="P756" s="1485"/>
      <c r="Q756" s="1485"/>
      <c r="R756" s="1485"/>
      <c r="S756" s="1485"/>
      <c r="T756" s="1485"/>
      <c r="U756" s="1485"/>
      <c r="V756" s="1484"/>
      <c r="W756" s="1366"/>
      <c r="X756" s="1366"/>
      <c r="Y756" s="1366"/>
      <c r="Z756" s="1366"/>
      <c r="AA756" s="1366"/>
      <c r="AB756" s="1366"/>
      <c r="AC756" s="1366"/>
      <c r="AD756" s="1366"/>
      <c r="AE756" s="1366"/>
      <c r="AF756" s="1366"/>
      <c r="AG756" s="1366"/>
      <c r="AH756" s="1366"/>
      <c r="AI756" s="1366"/>
      <c r="AJ756" s="1366"/>
      <c r="AK756" s="1366"/>
      <c r="AL756" s="1366"/>
      <c r="AM756" s="1366"/>
      <c r="AN756" s="1366"/>
      <c r="AO756" s="1366"/>
      <c r="AP756" s="1366"/>
      <c r="AQ756" s="1366"/>
      <c r="AR756" s="1366"/>
      <c r="AS756" s="1366"/>
      <c r="AT756" s="1366"/>
      <c r="AU756" s="1366"/>
      <c r="AV756" s="1366"/>
      <c r="AW756" s="1366"/>
      <c r="AX756" s="1366"/>
      <c r="AY756" s="1366"/>
      <c r="AZ756" s="1366"/>
      <c r="BA756" s="1366"/>
      <c r="BB756" s="1366"/>
      <c r="BC756" s="1366"/>
      <c r="BD756" s="1366"/>
      <c r="BE756" s="1366"/>
      <c r="BF756" s="1366"/>
      <c r="BG756" s="1366"/>
      <c r="BH756" s="1366"/>
      <c r="BI756" s="1366"/>
      <c r="BJ756" s="1366"/>
      <c r="BK756" s="1366"/>
      <c r="BL756" s="1366"/>
      <c r="BM756" s="1366"/>
      <c r="BN756" s="1366"/>
      <c r="BO756" s="1366"/>
      <c r="BP756" s="1366"/>
      <c r="BQ756" s="1366"/>
      <c r="BR756" s="1366"/>
      <c r="BS756" s="1366"/>
      <c r="BT756" s="1366"/>
      <c r="BU756" s="1366"/>
      <c r="BV756" s="1366"/>
      <c r="BW756" s="1366"/>
      <c r="BX756" s="1366"/>
      <c r="BY756" s="1366"/>
      <c r="BZ756" s="1366"/>
      <c r="CA756" s="1366"/>
      <c r="CB756" s="1366"/>
      <c r="CC756" s="1366"/>
      <c r="CD756" s="1366"/>
      <c r="CE756" s="1366"/>
      <c r="CF756" s="1366"/>
      <c r="CG756" s="1366"/>
      <c r="CH756" s="1366"/>
      <c r="CI756" s="1366"/>
      <c r="CJ756" s="1366"/>
      <c r="CK756" s="1366"/>
      <c r="CL756" s="1366"/>
      <c r="CM756" s="1366"/>
      <c r="CN756" s="1366"/>
      <c r="CO756" s="1366"/>
      <c r="CP756" s="1366"/>
      <c r="CQ756" s="1366"/>
      <c r="CR756" s="1366"/>
      <c r="CS756" s="1366"/>
      <c r="CT756" s="1366"/>
      <c r="CU756" s="1366"/>
      <c r="CV756" s="1366"/>
      <c r="CW756" s="1366"/>
      <c r="CX756" s="1366"/>
      <c r="CY756" s="1366"/>
      <c r="CZ756" s="1366"/>
      <c r="DA756" s="1366"/>
      <c r="DB756" s="1366"/>
      <c r="DC756" s="1366"/>
      <c r="DD756" s="1366"/>
      <c r="DE756" s="1366"/>
      <c r="DF756" s="1366"/>
      <c r="DG756" s="1366"/>
      <c r="DH756" s="1366"/>
      <c r="DI756" s="1366"/>
      <c r="DJ756" s="1366"/>
      <c r="DK756" s="1366"/>
      <c r="DL756" s="1366"/>
      <c r="DM756" s="1366"/>
      <c r="DN756" s="1366"/>
      <c r="DO756" s="1366"/>
      <c r="DP756" s="1366"/>
      <c r="DQ756" s="1366"/>
      <c r="DR756" s="1366"/>
      <c r="DS756" s="1366"/>
      <c r="DT756" s="1366"/>
      <c r="DU756" s="1366"/>
      <c r="DV756" s="1366"/>
    </row>
    <row r="757" spans="1:126" s="1367" customFormat="1" hidden="1">
      <c r="A757" s="2494"/>
      <c r="B757" s="1643"/>
      <c r="C757" s="1674"/>
      <c r="D757" s="1480"/>
      <c r="E757" s="1480"/>
      <c r="F757" s="1480"/>
      <c r="G757" s="1480"/>
      <c r="H757" s="1481"/>
      <c r="I757" s="1482"/>
      <c r="J757" s="1483"/>
      <c r="K757" s="1483"/>
      <c r="L757" s="1528"/>
      <c r="M757" s="1483"/>
      <c r="N757" s="1484"/>
      <c r="O757" s="1481"/>
      <c r="P757" s="1485"/>
      <c r="Q757" s="1485"/>
      <c r="R757" s="1485"/>
      <c r="S757" s="1485"/>
      <c r="T757" s="1485"/>
      <c r="U757" s="1485"/>
      <c r="V757" s="1484"/>
      <c r="W757" s="1366"/>
      <c r="X757" s="1366"/>
      <c r="Y757" s="1366"/>
      <c r="Z757" s="1366"/>
      <c r="AA757" s="1366"/>
      <c r="AB757" s="1366"/>
      <c r="AC757" s="1366"/>
      <c r="AD757" s="1366"/>
      <c r="AE757" s="1366"/>
      <c r="AF757" s="1366"/>
      <c r="AG757" s="1366"/>
      <c r="AH757" s="1366"/>
      <c r="AI757" s="1366"/>
      <c r="AJ757" s="1366"/>
      <c r="AK757" s="1366"/>
      <c r="AL757" s="1366"/>
      <c r="AM757" s="1366"/>
      <c r="AN757" s="1366"/>
      <c r="AO757" s="1366"/>
      <c r="AP757" s="1366"/>
      <c r="AQ757" s="1366"/>
      <c r="AR757" s="1366"/>
      <c r="AS757" s="1366"/>
      <c r="AT757" s="1366"/>
      <c r="AU757" s="1366"/>
      <c r="AV757" s="1366"/>
      <c r="AW757" s="1366"/>
      <c r="AX757" s="1366"/>
      <c r="AY757" s="1366"/>
      <c r="AZ757" s="1366"/>
      <c r="BA757" s="1366"/>
      <c r="BB757" s="1366"/>
      <c r="BC757" s="1366"/>
      <c r="BD757" s="1366"/>
      <c r="BE757" s="1366"/>
      <c r="BF757" s="1366"/>
      <c r="BG757" s="1366"/>
      <c r="BH757" s="1366"/>
      <c r="BI757" s="1366"/>
      <c r="BJ757" s="1366"/>
      <c r="BK757" s="1366"/>
      <c r="BL757" s="1366"/>
      <c r="BM757" s="1366"/>
      <c r="BN757" s="1366"/>
      <c r="BO757" s="1366"/>
      <c r="BP757" s="1366"/>
      <c r="BQ757" s="1366"/>
      <c r="BR757" s="1366"/>
      <c r="BS757" s="1366"/>
      <c r="BT757" s="1366"/>
      <c r="BU757" s="1366"/>
      <c r="BV757" s="1366"/>
      <c r="BW757" s="1366"/>
      <c r="BX757" s="1366"/>
      <c r="BY757" s="1366"/>
      <c r="BZ757" s="1366"/>
      <c r="CA757" s="1366"/>
      <c r="CB757" s="1366"/>
      <c r="CC757" s="1366"/>
      <c r="CD757" s="1366"/>
      <c r="CE757" s="1366"/>
      <c r="CF757" s="1366"/>
      <c r="CG757" s="1366"/>
      <c r="CH757" s="1366"/>
      <c r="CI757" s="1366"/>
      <c r="CJ757" s="1366"/>
      <c r="CK757" s="1366"/>
      <c r="CL757" s="1366"/>
      <c r="CM757" s="1366"/>
      <c r="CN757" s="1366"/>
      <c r="CO757" s="1366"/>
      <c r="CP757" s="1366"/>
      <c r="CQ757" s="1366"/>
      <c r="CR757" s="1366"/>
      <c r="CS757" s="1366"/>
      <c r="CT757" s="1366"/>
      <c r="CU757" s="1366"/>
      <c r="CV757" s="1366"/>
      <c r="CW757" s="1366"/>
      <c r="CX757" s="1366"/>
      <c r="CY757" s="1366"/>
      <c r="CZ757" s="1366"/>
      <c r="DA757" s="1366"/>
      <c r="DB757" s="1366"/>
      <c r="DC757" s="1366"/>
      <c r="DD757" s="1366"/>
      <c r="DE757" s="1366"/>
      <c r="DF757" s="1366"/>
      <c r="DG757" s="1366"/>
      <c r="DH757" s="1366"/>
      <c r="DI757" s="1366"/>
      <c r="DJ757" s="1366"/>
      <c r="DK757" s="1366"/>
      <c r="DL757" s="1366"/>
      <c r="DM757" s="1366"/>
      <c r="DN757" s="1366"/>
      <c r="DO757" s="1366"/>
      <c r="DP757" s="1366"/>
      <c r="DQ757" s="1366"/>
      <c r="DR757" s="1366"/>
      <c r="DS757" s="1366"/>
      <c r="DT757" s="1366"/>
      <c r="DU757" s="1366"/>
      <c r="DV757" s="1366"/>
    </row>
    <row r="758" spans="1:126" s="1367" customFormat="1" hidden="1">
      <c r="A758" s="2494"/>
      <c r="B758" s="1643"/>
      <c r="C758" s="1674"/>
      <c r="D758" s="1480"/>
      <c r="E758" s="1480"/>
      <c r="F758" s="1480"/>
      <c r="G758" s="1480"/>
      <c r="H758" s="1481"/>
      <c r="I758" s="1482"/>
      <c r="J758" s="1483"/>
      <c r="K758" s="1483"/>
      <c r="L758" s="1528"/>
      <c r="M758" s="1483"/>
      <c r="N758" s="1484"/>
      <c r="O758" s="1481"/>
      <c r="P758" s="1485"/>
      <c r="Q758" s="1485"/>
      <c r="R758" s="1485"/>
      <c r="S758" s="1485"/>
      <c r="T758" s="1485"/>
      <c r="U758" s="1485"/>
      <c r="V758" s="1484"/>
      <c r="W758" s="1366"/>
      <c r="X758" s="1366"/>
      <c r="Y758" s="1366"/>
      <c r="Z758" s="1366"/>
      <c r="AA758" s="1366"/>
      <c r="AB758" s="1366"/>
      <c r="AC758" s="1366"/>
      <c r="AD758" s="1366"/>
      <c r="AE758" s="1366"/>
      <c r="AF758" s="1366"/>
      <c r="AG758" s="1366"/>
      <c r="AH758" s="1366"/>
      <c r="AI758" s="1366"/>
      <c r="AJ758" s="1366"/>
      <c r="AK758" s="1366"/>
      <c r="AL758" s="1366"/>
      <c r="AM758" s="1366"/>
      <c r="AN758" s="1366"/>
      <c r="AO758" s="1366"/>
      <c r="AP758" s="1366"/>
      <c r="AQ758" s="1366"/>
      <c r="AR758" s="1366"/>
      <c r="AS758" s="1366"/>
      <c r="AT758" s="1366"/>
      <c r="AU758" s="1366"/>
      <c r="AV758" s="1366"/>
      <c r="AW758" s="1366"/>
      <c r="AX758" s="1366"/>
      <c r="AY758" s="1366"/>
      <c r="AZ758" s="1366"/>
      <c r="BA758" s="1366"/>
      <c r="BB758" s="1366"/>
      <c r="BC758" s="1366"/>
      <c r="BD758" s="1366"/>
      <c r="BE758" s="1366"/>
      <c r="BF758" s="1366"/>
      <c r="BG758" s="1366"/>
      <c r="BH758" s="1366"/>
      <c r="BI758" s="1366"/>
      <c r="BJ758" s="1366"/>
      <c r="BK758" s="1366"/>
      <c r="BL758" s="1366"/>
      <c r="BM758" s="1366"/>
      <c r="BN758" s="1366"/>
      <c r="BO758" s="1366"/>
      <c r="BP758" s="1366"/>
      <c r="BQ758" s="1366"/>
      <c r="BR758" s="1366"/>
      <c r="BS758" s="1366"/>
      <c r="BT758" s="1366"/>
      <c r="BU758" s="1366"/>
      <c r="BV758" s="1366"/>
      <c r="BW758" s="1366"/>
      <c r="BX758" s="1366"/>
      <c r="BY758" s="1366"/>
      <c r="BZ758" s="1366"/>
      <c r="CA758" s="1366"/>
      <c r="CB758" s="1366"/>
      <c r="CC758" s="1366"/>
      <c r="CD758" s="1366"/>
      <c r="CE758" s="1366"/>
      <c r="CF758" s="1366"/>
      <c r="CG758" s="1366"/>
      <c r="CH758" s="1366"/>
      <c r="CI758" s="1366"/>
      <c r="CJ758" s="1366"/>
      <c r="CK758" s="1366"/>
      <c r="CL758" s="1366"/>
      <c r="CM758" s="1366"/>
      <c r="CN758" s="1366"/>
      <c r="CO758" s="1366"/>
      <c r="CP758" s="1366"/>
      <c r="CQ758" s="1366"/>
      <c r="CR758" s="1366"/>
      <c r="CS758" s="1366"/>
      <c r="CT758" s="1366"/>
      <c r="CU758" s="1366"/>
      <c r="CV758" s="1366"/>
      <c r="CW758" s="1366"/>
      <c r="CX758" s="1366"/>
      <c r="CY758" s="1366"/>
      <c r="CZ758" s="1366"/>
      <c r="DA758" s="1366"/>
      <c r="DB758" s="1366"/>
      <c r="DC758" s="1366"/>
      <c r="DD758" s="1366"/>
      <c r="DE758" s="1366"/>
      <c r="DF758" s="1366"/>
      <c r="DG758" s="1366"/>
      <c r="DH758" s="1366"/>
      <c r="DI758" s="1366"/>
      <c r="DJ758" s="1366"/>
      <c r="DK758" s="1366"/>
      <c r="DL758" s="1366"/>
      <c r="DM758" s="1366"/>
      <c r="DN758" s="1366"/>
      <c r="DO758" s="1366"/>
      <c r="DP758" s="1366"/>
      <c r="DQ758" s="1366"/>
      <c r="DR758" s="1366"/>
      <c r="DS758" s="1366"/>
      <c r="DT758" s="1366"/>
      <c r="DU758" s="1366"/>
      <c r="DV758" s="1366"/>
    </row>
    <row r="759" spans="1:126" s="1367" customFormat="1" hidden="1">
      <c r="A759" s="2494"/>
      <c r="B759" s="1643"/>
      <c r="C759" s="1674"/>
      <c r="D759" s="1480"/>
      <c r="E759" s="1480"/>
      <c r="F759" s="1480"/>
      <c r="G759" s="1480"/>
      <c r="H759" s="1481"/>
      <c r="I759" s="1482"/>
      <c r="J759" s="1483"/>
      <c r="K759" s="1483"/>
      <c r="L759" s="1528"/>
      <c r="M759" s="1483"/>
      <c r="N759" s="1484"/>
      <c r="O759" s="1481"/>
      <c r="P759" s="1485"/>
      <c r="Q759" s="1485"/>
      <c r="R759" s="1485"/>
      <c r="S759" s="1485"/>
      <c r="T759" s="1485"/>
      <c r="U759" s="1485"/>
      <c r="V759" s="1484"/>
      <c r="W759" s="1366"/>
      <c r="X759" s="1366"/>
      <c r="Y759" s="1366"/>
      <c r="Z759" s="1366"/>
      <c r="AA759" s="1366"/>
      <c r="AB759" s="1366"/>
      <c r="AC759" s="1366"/>
      <c r="AD759" s="1366"/>
      <c r="AE759" s="1366"/>
      <c r="AF759" s="1366"/>
      <c r="AG759" s="1366"/>
      <c r="AH759" s="1366"/>
      <c r="AI759" s="1366"/>
      <c r="AJ759" s="1366"/>
      <c r="AK759" s="1366"/>
      <c r="AL759" s="1366"/>
      <c r="AM759" s="1366"/>
      <c r="AN759" s="1366"/>
      <c r="AO759" s="1366"/>
      <c r="AP759" s="1366"/>
      <c r="AQ759" s="1366"/>
      <c r="AR759" s="1366"/>
      <c r="AS759" s="1366"/>
      <c r="AT759" s="1366"/>
      <c r="AU759" s="1366"/>
      <c r="AV759" s="1366"/>
      <c r="AW759" s="1366"/>
      <c r="AX759" s="1366"/>
      <c r="AY759" s="1366"/>
      <c r="AZ759" s="1366"/>
      <c r="BA759" s="1366"/>
      <c r="BB759" s="1366"/>
      <c r="BC759" s="1366"/>
      <c r="BD759" s="1366"/>
      <c r="BE759" s="1366"/>
      <c r="BF759" s="1366"/>
      <c r="BG759" s="1366"/>
      <c r="BH759" s="1366"/>
      <c r="BI759" s="1366"/>
      <c r="BJ759" s="1366"/>
      <c r="BK759" s="1366"/>
      <c r="BL759" s="1366"/>
      <c r="BM759" s="1366"/>
      <c r="BN759" s="1366"/>
      <c r="BO759" s="1366"/>
      <c r="BP759" s="1366"/>
      <c r="BQ759" s="1366"/>
      <c r="BR759" s="1366"/>
      <c r="BS759" s="1366"/>
      <c r="BT759" s="1366"/>
      <c r="BU759" s="1366"/>
      <c r="BV759" s="1366"/>
      <c r="BW759" s="1366"/>
      <c r="BX759" s="1366"/>
      <c r="BY759" s="1366"/>
      <c r="BZ759" s="1366"/>
      <c r="CA759" s="1366"/>
      <c r="CB759" s="1366"/>
      <c r="CC759" s="1366"/>
      <c r="CD759" s="1366"/>
      <c r="CE759" s="1366"/>
      <c r="CF759" s="1366"/>
      <c r="CG759" s="1366"/>
      <c r="CH759" s="1366"/>
      <c r="CI759" s="1366"/>
      <c r="CJ759" s="1366"/>
      <c r="CK759" s="1366"/>
      <c r="CL759" s="1366"/>
      <c r="CM759" s="1366"/>
      <c r="CN759" s="1366"/>
      <c r="CO759" s="1366"/>
      <c r="CP759" s="1366"/>
      <c r="CQ759" s="1366"/>
      <c r="CR759" s="1366"/>
      <c r="CS759" s="1366"/>
      <c r="CT759" s="1366"/>
      <c r="CU759" s="1366"/>
      <c r="CV759" s="1366"/>
      <c r="CW759" s="1366"/>
      <c r="CX759" s="1366"/>
      <c r="CY759" s="1366"/>
      <c r="CZ759" s="1366"/>
      <c r="DA759" s="1366"/>
      <c r="DB759" s="1366"/>
      <c r="DC759" s="1366"/>
      <c r="DD759" s="1366"/>
      <c r="DE759" s="1366"/>
      <c r="DF759" s="1366"/>
      <c r="DG759" s="1366"/>
      <c r="DH759" s="1366"/>
      <c r="DI759" s="1366"/>
      <c r="DJ759" s="1366"/>
      <c r="DK759" s="1366"/>
      <c r="DL759" s="1366"/>
      <c r="DM759" s="1366"/>
      <c r="DN759" s="1366"/>
      <c r="DO759" s="1366"/>
      <c r="DP759" s="1366"/>
      <c r="DQ759" s="1366"/>
      <c r="DR759" s="1366"/>
      <c r="DS759" s="1366"/>
      <c r="DT759" s="1366"/>
      <c r="DU759" s="1366"/>
      <c r="DV759" s="1366"/>
    </row>
    <row r="760" spans="1:126" s="1367" customFormat="1" hidden="1">
      <c r="A760" s="2494"/>
      <c r="B760" s="1643"/>
      <c r="C760" s="1674"/>
      <c r="D760" s="1480"/>
      <c r="E760" s="1480"/>
      <c r="F760" s="1480"/>
      <c r="G760" s="1480"/>
      <c r="H760" s="1481"/>
      <c r="I760" s="1482"/>
      <c r="J760" s="1483"/>
      <c r="K760" s="1483"/>
      <c r="L760" s="1528"/>
      <c r="M760" s="1483"/>
      <c r="N760" s="1484"/>
      <c r="O760" s="1481"/>
      <c r="P760" s="1485"/>
      <c r="Q760" s="1485"/>
      <c r="R760" s="1485"/>
      <c r="S760" s="1485"/>
      <c r="T760" s="1485"/>
      <c r="U760" s="1485"/>
      <c r="V760" s="1484"/>
      <c r="W760" s="1366"/>
      <c r="X760" s="1366"/>
      <c r="Y760" s="1366"/>
      <c r="Z760" s="1366"/>
      <c r="AA760" s="1366"/>
      <c r="AB760" s="1366"/>
      <c r="AC760" s="1366"/>
      <c r="AD760" s="1366"/>
      <c r="AE760" s="1366"/>
      <c r="AF760" s="1366"/>
      <c r="AG760" s="1366"/>
      <c r="AH760" s="1366"/>
      <c r="AI760" s="1366"/>
      <c r="AJ760" s="1366"/>
      <c r="AK760" s="1366"/>
      <c r="AL760" s="1366"/>
      <c r="AM760" s="1366"/>
      <c r="AN760" s="1366"/>
      <c r="AO760" s="1366"/>
      <c r="AP760" s="1366"/>
      <c r="AQ760" s="1366"/>
      <c r="AR760" s="1366"/>
      <c r="AS760" s="1366"/>
      <c r="AT760" s="1366"/>
      <c r="AU760" s="1366"/>
      <c r="AV760" s="1366"/>
      <c r="AW760" s="1366"/>
      <c r="AX760" s="1366"/>
      <c r="AY760" s="1366"/>
      <c r="AZ760" s="1366"/>
      <c r="BA760" s="1366"/>
      <c r="BB760" s="1366"/>
      <c r="BC760" s="1366"/>
      <c r="BD760" s="1366"/>
      <c r="BE760" s="1366"/>
      <c r="BF760" s="1366"/>
      <c r="BG760" s="1366"/>
      <c r="BH760" s="1366"/>
      <c r="BI760" s="1366"/>
      <c r="BJ760" s="1366"/>
      <c r="BK760" s="1366"/>
      <c r="BL760" s="1366"/>
      <c r="BM760" s="1366"/>
      <c r="BN760" s="1366"/>
      <c r="BO760" s="1366"/>
      <c r="BP760" s="1366"/>
      <c r="BQ760" s="1366"/>
      <c r="BR760" s="1366"/>
      <c r="BS760" s="1366"/>
      <c r="BT760" s="1366"/>
      <c r="BU760" s="1366"/>
      <c r="BV760" s="1366"/>
      <c r="BW760" s="1366"/>
      <c r="BX760" s="1366"/>
      <c r="BY760" s="1366"/>
      <c r="BZ760" s="1366"/>
      <c r="CA760" s="1366"/>
      <c r="CB760" s="1366"/>
      <c r="CC760" s="1366"/>
      <c r="CD760" s="1366"/>
      <c r="CE760" s="1366"/>
      <c r="CF760" s="1366"/>
      <c r="CG760" s="1366"/>
      <c r="CH760" s="1366"/>
      <c r="CI760" s="1366"/>
      <c r="CJ760" s="1366"/>
      <c r="CK760" s="1366"/>
      <c r="CL760" s="1366"/>
      <c r="CM760" s="1366"/>
      <c r="CN760" s="1366"/>
      <c r="CO760" s="1366"/>
      <c r="CP760" s="1366"/>
      <c r="CQ760" s="1366"/>
      <c r="CR760" s="1366"/>
      <c r="CS760" s="1366"/>
      <c r="CT760" s="1366"/>
      <c r="CU760" s="1366"/>
      <c r="CV760" s="1366"/>
      <c r="CW760" s="1366"/>
      <c r="CX760" s="1366"/>
      <c r="CY760" s="1366"/>
      <c r="CZ760" s="1366"/>
      <c r="DA760" s="1366"/>
      <c r="DB760" s="1366"/>
      <c r="DC760" s="1366"/>
      <c r="DD760" s="1366"/>
      <c r="DE760" s="1366"/>
      <c r="DF760" s="1366"/>
      <c r="DG760" s="1366"/>
      <c r="DH760" s="1366"/>
      <c r="DI760" s="1366"/>
      <c r="DJ760" s="1366"/>
      <c r="DK760" s="1366"/>
      <c r="DL760" s="1366"/>
      <c r="DM760" s="1366"/>
      <c r="DN760" s="1366"/>
      <c r="DO760" s="1366"/>
      <c r="DP760" s="1366"/>
      <c r="DQ760" s="1366"/>
      <c r="DR760" s="1366"/>
      <c r="DS760" s="1366"/>
      <c r="DT760" s="1366"/>
      <c r="DU760" s="1366"/>
      <c r="DV760" s="1366"/>
    </row>
    <row r="761" spans="1:126" s="1367" customFormat="1" ht="15.75" hidden="1" thickBot="1">
      <c r="A761" s="2494"/>
      <c r="B761" s="1643"/>
      <c r="C761" s="1674"/>
      <c r="D761" s="1480"/>
      <c r="E761" s="1480"/>
      <c r="F761" s="1480"/>
      <c r="G761" s="1480"/>
      <c r="H761" s="1481"/>
      <c r="I761" s="1482"/>
      <c r="J761" s="1483"/>
      <c r="K761" s="1483"/>
      <c r="L761" s="1528"/>
      <c r="M761" s="1483"/>
      <c r="N761" s="1484"/>
      <c r="O761" s="1481"/>
      <c r="P761" s="1485"/>
      <c r="Q761" s="1485"/>
      <c r="R761" s="1485"/>
      <c r="S761" s="1485"/>
      <c r="T761" s="1485"/>
      <c r="U761" s="1485"/>
      <c r="V761" s="1484"/>
      <c r="W761" s="1366"/>
      <c r="X761" s="1366"/>
      <c r="Y761" s="1366"/>
      <c r="Z761" s="1366"/>
      <c r="AA761" s="1366"/>
      <c r="AB761" s="1366"/>
      <c r="AC761" s="1366"/>
      <c r="AD761" s="1366"/>
      <c r="AE761" s="1366"/>
      <c r="AF761" s="1366"/>
      <c r="AG761" s="1366"/>
      <c r="AH761" s="1366"/>
      <c r="AI761" s="1366"/>
      <c r="AJ761" s="1366"/>
      <c r="AK761" s="1366"/>
      <c r="AL761" s="1366"/>
      <c r="AM761" s="1366"/>
      <c r="AN761" s="1366"/>
      <c r="AO761" s="1366"/>
      <c r="AP761" s="1366"/>
      <c r="AQ761" s="1366"/>
      <c r="AR761" s="1366"/>
      <c r="AS761" s="1366"/>
      <c r="AT761" s="1366"/>
      <c r="AU761" s="1366"/>
      <c r="AV761" s="1366"/>
      <c r="AW761" s="1366"/>
      <c r="AX761" s="1366"/>
      <c r="AY761" s="1366"/>
      <c r="AZ761" s="1366"/>
      <c r="BA761" s="1366"/>
      <c r="BB761" s="1366"/>
      <c r="BC761" s="1366"/>
      <c r="BD761" s="1366"/>
      <c r="BE761" s="1366"/>
      <c r="BF761" s="1366"/>
      <c r="BG761" s="1366"/>
      <c r="BH761" s="1366"/>
      <c r="BI761" s="1366"/>
      <c r="BJ761" s="1366"/>
      <c r="BK761" s="1366"/>
      <c r="BL761" s="1366"/>
      <c r="BM761" s="1366"/>
      <c r="BN761" s="1366"/>
      <c r="BO761" s="1366"/>
      <c r="BP761" s="1366"/>
      <c r="BQ761" s="1366"/>
      <c r="BR761" s="1366"/>
      <c r="BS761" s="1366"/>
      <c r="BT761" s="1366"/>
      <c r="BU761" s="1366"/>
      <c r="BV761" s="1366"/>
      <c r="BW761" s="1366"/>
      <c r="BX761" s="1366"/>
      <c r="BY761" s="1366"/>
      <c r="BZ761" s="1366"/>
      <c r="CA761" s="1366"/>
      <c r="CB761" s="1366"/>
      <c r="CC761" s="1366"/>
      <c r="CD761" s="1366"/>
      <c r="CE761" s="1366"/>
      <c r="CF761" s="1366"/>
      <c r="CG761" s="1366"/>
      <c r="CH761" s="1366"/>
      <c r="CI761" s="1366"/>
      <c r="CJ761" s="1366"/>
      <c r="CK761" s="1366"/>
      <c r="CL761" s="1366"/>
      <c r="CM761" s="1366"/>
      <c r="CN761" s="1366"/>
      <c r="CO761" s="1366"/>
      <c r="CP761" s="1366"/>
      <c r="CQ761" s="1366"/>
      <c r="CR761" s="1366"/>
      <c r="CS761" s="1366"/>
      <c r="CT761" s="1366"/>
      <c r="CU761" s="1366"/>
      <c r="CV761" s="1366"/>
      <c r="CW761" s="1366"/>
      <c r="CX761" s="1366"/>
      <c r="CY761" s="1366"/>
      <c r="CZ761" s="1366"/>
      <c r="DA761" s="1366"/>
      <c r="DB761" s="1366"/>
      <c r="DC761" s="1366"/>
      <c r="DD761" s="1366"/>
      <c r="DE761" s="1366"/>
      <c r="DF761" s="1366"/>
      <c r="DG761" s="1366"/>
      <c r="DH761" s="1366"/>
      <c r="DI761" s="1366"/>
      <c r="DJ761" s="1366"/>
      <c r="DK761" s="1366"/>
      <c r="DL761" s="1366"/>
      <c r="DM761" s="1366"/>
      <c r="DN761" s="1366"/>
      <c r="DO761" s="1366"/>
      <c r="DP761" s="1366"/>
      <c r="DQ761" s="1366"/>
      <c r="DR761" s="1366"/>
      <c r="DS761" s="1366"/>
      <c r="DT761" s="1366"/>
      <c r="DU761" s="1366"/>
      <c r="DV761" s="1366"/>
    </row>
    <row r="762" spans="1:126" s="1479" customFormat="1" ht="19.5" hidden="1" thickBot="1">
      <c r="A762" s="695"/>
      <c r="B762" s="1655"/>
      <c r="C762" s="1655"/>
      <c r="D762" s="683"/>
      <c r="E762" s="683"/>
      <c r="F762" s="683"/>
      <c r="G762" s="683"/>
      <c r="H762" s="1413"/>
      <c r="I762" s="1443"/>
      <c r="J762" s="1414"/>
      <c r="K762" s="1413"/>
      <c r="L762" s="1529"/>
      <c r="M762" s="1413"/>
      <c r="N762" s="1489"/>
      <c r="O762" s="1413"/>
      <c r="P762" s="1414"/>
      <c r="Q762" s="1414"/>
      <c r="R762" s="1443"/>
      <c r="S762" s="1443"/>
      <c r="T762" s="1488"/>
      <c r="U762" s="1488"/>
      <c r="V762" s="1489"/>
      <c r="W762" s="1490"/>
      <c r="X762" s="1490"/>
      <c r="Y762" s="327"/>
      <c r="Z762" s="327"/>
      <c r="AA762" s="327"/>
      <c r="AB762" s="1490"/>
      <c r="AC762" s="1490"/>
      <c r="AD762" s="1490"/>
      <c r="AE762" s="1490"/>
      <c r="AF762" s="327"/>
      <c r="AG762" s="327"/>
      <c r="AH762" s="327"/>
      <c r="AI762" s="327"/>
      <c r="AJ762" s="327"/>
      <c r="AK762" s="1478"/>
      <c r="AL762" s="1478"/>
      <c r="AM762" s="1478"/>
      <c r="AN762" s="1478"/>
      <c r="AO762" s="1478"/>
      <c r="AP762" s="1478"/>
      <c r="AQ762" s="1478"/>
      <c r="AR762" s="1478"/>
      <c r="AS762" s="1478"/>
      <c r="AT762" s="1478"/>
      <c r="AU762" s="1478"/>
      <c r="AV762" s="1478"/>
      <c r="AW762" s="1478"/>
      <c r="AX762" s="1478"/>
      <c r="AY762" s="1478"/>
      <c r="AZ762" s="1478"/>
      <c r="BA762" s="1478"/>
      <c r="BB762" s="1478"/>
      <c r="BC762" s="1478"/>
      <c r="BD762" s="1478"/>
      <c r="BE762" s="1478"/>
      <c r="BF762" s="1478"/>
      <c r="BG762" s="1478"/>
      <c r="BH762" s="1478"/>
      <c r="BI762" s="1478"/>
      <c r="BJ762" s="1478"/>
      <c r="BK762" s="327"/>
      <c r="BL762" s="327"/>
      <c r="BM762" s="327"/>
      <c r="BN762" s="327"/>
      <c r="BO762" s="327"/>
      <c r="BP762" s="327"/>
      <c r="BQ762" s="327"/>
      <c r="BR762" s="327"/>
      <c r="BS762" s="327"/>
      <c r="BT762" s="327"/>
      <c r="BU762" s="327"/>
      <c r="BV762" s="327"/>
      <c r="BW762" s="327"/>
      <c r="BX762" s="327"/>
      <c r="BY762" s="327"/>
      <c r="BZ762" s="327"/>
      <c r="CA762" s="327"/>
      <c r="CB762" s="327"/>
      <c r="CC762" s="327"/>
      <c r="CD762" s="327"/>
      <c r="CE762" s="327"/>
      <c r="CF762" s="327"/>
      <c r="CG762" s="327"/>
      <c r="CH762" s="327"/>
      <c r="CI762" s="327"/>
      <c r="CJ762" s="327"/>
      <c r="CK762" s="327"/>
      <c r="CL762" s="327"/>
      <c r="CM762" s="327"/>
      <c r="CN762" s="327"/>
      <c r="CO762" s="327"/>
      <c r="CP762" s="327"/>
      <c r="CQ762" s="327"/>
      <c r="CR762" s="327"/>
      <c r="CS762" s="327"/>
      <c r="CT762" s="327"/>
      <c r="CU762" s="327"/>
      <c r="CV762" s="327"/>
      <c r="CW762" s="327"/>
      <c r="CX762" s="327"/>
      <c r="CY762" s="327"/>
      <c r="CZ762" s="327"/>
      <c r="DA762" s="327"/>
      <c r="DB762" s="327"/>
      <c r="DC762" s="327"/>
      <c r="DD762" s="327"/>
      <c r="DE762" s="327"/>
      <c r="DF762" s="327"/>
      <c r="DG762" s="327"/>
      <c r="DH762" s="327"/>
      <c r="DI762" s="327"/>
      <c r="DJ762" s="327"/>
      <c r="DK762" s="327"/>
      <c r="DL762" s="327"/>
      <c r="DM762" s="327"/>
      <c r="DN762" s="327"/>
      <c r="DO762" s="327"/>
      <c r="DP762" s="327"/>
      <c r="DQ762" s="327"/>
      <c r="DR762" s="327"/>
      <c r="DS762" s="327"/>
      <c r="DT762" s="327"/>
      <c r="DU762" s="327"/>
      <c r="DV762" s="327"/>
    </row>
    <row r="763" spans="1:126" s="1367" customFormat="1" hidden="1">
      <c r="A763" s="2493" t="s">
        <v>1369</v>
      </c>
      <c r="B763" s="1643"/>
      <c r="C763" s="1674"/>
      <c r="D763" s="1480"/>
      <c r="E763" s="1480"/>
      <c r="F763" s="1480"/>
      <c r="G763" s="1480"/>
      <c r="H763" s="1481"/>
      <c r="I763" s="1482"/>
      <c r="J763" s="1483"/>
      <c r="K763" s="1483"/>
      <c r="L763" s="1528"/>
      <c r="M763" s="1483"/>
      <c r="N763" s="1484"/>
      <c r="O763" s="1481"/>
      <c r="P763" s="1485"/>
      <c r="Q763" s="1485"/>
      <c r="R763" s="1485"/>
      <c r="S763" s="1485"/>
      <c r="T763" s="1485"/>
      <c r="U763" s="1485"/>
      <c r="V763" s="1484"/>
      <c r="W763" s="1366"/>
      <c r="X763" s="1366"/>
      <c r="Y763" s="1366"/>
      <c r="Z763" s="1366"/>
      <c r="AA763" s="1366"/>
      <c r="AB763" s="1366"/>
      <c r="AC763" s="1366"/>
      <c r="AD763" s="1366"/>
      <c r="AE763" s="1366"/>
      <c r="AF763" s="1366"/>
      <c r="AG763" s="1366"/>
      <c r="AH763" s="1366"/>
      <c r="AI763" s="1366"/>
      <c r="AJ763" s="1366"/>
      <c r="AK763" s="1366"/>
      <c r="AL763" s="1366"/>
      <c r="AM763" s="1366"/>
      <c r="AN763" s="1366"/>
      <c r="AO763" s="1366"/>
      <c r="AP763" s="1366"/>
      <c r="AQ763" s="1366"/>
      <c r="AR763" s="1366"/>
      <c r="AS763" s="1366"/>
      <c r="AT763" s="1366"/>
      <c r="AU763" s="1366"/>
      <c r="AV763" s="1366"/>
      <c r="AW763" s="1366"/>
      <c r="AX763" s="1366"/>
      <c r="AY763" s="1366"/>
      <c r="AZ763" s="1366"/>
      <c r="BA763" s="1366"/>
      <c r="BB763" s="1366"/>
      <c r="BC763" s="1366"/>
      <c r="BD763" s="1366"/>
      <c r="BE763" s="1366"/>
      <c r="BF763" s="1366"/>
      <c r="BG763" s="1366"/>
      <c r="BH763" s="1366"/>
      <c r="BI763" s="1366"/>
      <c r="BJ763" s="1366"/>
      <c r="BK763" s="1366"/>
      <c r="BL763" s="1366"/>
      <c r="BM763" s="1366"/>
      <c r="BN763" s="1366"/>
      <c r="BO763" s="1366"/>
      <c r="BP763" s="1366"/>
      <c r="BQ763" s="1366"/>
      <c r="BR763" s="1366"/>
      <c r="BS763" s="1366"/>
      <c r="BT763" s="1366"/>
      <c r="BU763" s="1366"/>
      <c r="BV763" s="1366"/>
      <c r="BW763" s="1366"/>
      <c r="BX763" s="1366"/>
      <c r="BY763" s="1366"/>
      <c r="BZ763" s="1366"/>
      <c r="CA763" s="1366"/>
      <c r="CB763" s="1366"/>
      <c r="CC763" s="1366"/>
      <c r="CD763" s="1366"/>
      <c r="CE763" s="1366"/>
      <c r="CF763" s="1366"/>
      <c r="CG763" s="1366"/>
      <c r="CH763" s="1366"/>
      <c r="CI763" s="1366"/>
      <c r="CJ763" s="1366"/>
      <c r="CK763" s="1366"/>
      <c r="CL763" s="1366"/>
      <c r="CM763" s="1366"/>
      <c r="CN763" s="1366"/>
      <c r="CO763" s="1366"/>
      <c r="CP763" s="1366"/>
      <c r="CQ763" s="1366"/>
      <c r="CR763" s="1366"/>
      <c r="CS763" s="1366"/>
      <c r="CT763" s="1366"/>
      <c r="CU763" s="1366"/>
      <c r="CV763" s="1366"/>
      <c r="CW763" s="1366"/>
      <c r="CX763" s="1366"/>
      <c r="CY763" s="1366"/>
      <c r="CZ763" s="1366"/>
      <c r="DA763" s="1366"/>
      <c r="DB763" s="1366"/>
      <c r="DC763" s="1366"/>
      <c r="DD763" s="1366"/>
      <c r="DE763" s="1366"/>
      <c r="DF763" s="1366"/>
      <c r="DG763" s="1366"/>
      <c r="DH763" s="1366"/>
      <c r="DI763" s="1366"/>
      <c r="DJ763" s="1366"/>
      <c r="DK763" s="1366"/>
      <c r="DL763" s="1366"/>
      <c r="DM763" s="1366"/>
      <c r="DN763" s="1366"/>
      <c r="DO763" s="1366"/>
      <c r="DP763" s="1366"/>
      <c r="DQ763" s="1366"/>
      <c r="DR763" s="1366"/>
      <c r="DS763" s="1366"/>
      <c r="DT763" s="1366"/>
      <c r="DU763" s="1366"/>
      <c r="DV763" s="1366"/>
    </row>
    <row r="764" spans="1:126" s="1367" customFormat="1" hidden="1">
      <c r="A764" s="2494"/>
      <c r="B764" s="1643"/>
      <c r="C764" s="1674"/>
      <c r="D764" s="1480"/>
      <c r="E764" s="1480"/>
      <c r="F764" s="1480"/>
      <c r="G764" s="1480"/>
      <c r="H764" s="1481"/>
      <c r="I764" s="1482"/>
      <c r="J764" s="1483"/>
      <c r="K764" s="1483"/>
      <c r="L764" s="1528"/>
      <c r="M764" s="1483"/>
      <c r="N764" s="1484"/>
      <c r="O764" s="1481"/>
      <c r="P764" s="1485"/>
      <c r="Q764" s="1485"/>
      <c r="R764" s="1485"/>
      <c r="S764" s="1485"/>
      <c r="T764" s="1485"/>
      <c r="U764" s="1485"/>
      <c r="V764" s="1484"/>
      <c r="W764" s="1366"/>
      <c r="X764" s="1366"/>
      <c r="Y764" s="1366"/>
      <c r="Z764" s="1366"/>
      <c r="AA764" s="1366"/>
      <c r="AB764" s="1366"/>
      <c r="AC764" s="1366"/>
      <c r="AD764" s="1366"/>
      <c r="AE764" s="1366"/>
      <c r="AF764" s="1366"/>
      <c r="AG764" s="1366"/>
      <c r="AH764" s="1366"/>
      <c r="AI764" s="1366"/>
      <c r="AJ764" s="1366"/>
      <c r="AK764" s="1366"/>
      <c r="AL764" s="1366"/>
      <c r="AM764" s="1366"/>
      <c r="AN764" s="1366"/>
      <c r="AO764" s="1366"/>
      <c r="AP764" s="1366"/>
      <c r="AQ764" s="1366"/>
      <c r="AR764" s="1366"/>
      <c r="AS764" s="1366"/>
      <c r="AT764" s="1366"/>
      <c r="AU764" s="1366"/>
      <c r="AV764" s="1366"/>
      <c r="AW764" s="1366"/>
      <c r="AX764" s="1366"/>
      <c r="AY764" s="1366"/>
      <c r="AZ764" s="1366"/>
      <c r="BA764" s="1366"/>
      <c r="BB764" s="1366"/>
      <c r="BC764" s="1366"/>
      <c r="BD764" s="1366"/>
      <c r="BE764" s="1366"/>
      <c r="BF764" s="1366"/>
      <c r="BG764" s="1366"/>
      <c r="BH764" s="1366"/>
      <c r="BI764" s="1366"/>
      <c r="BJ764" s="1366"/>
      <c r="BK764" s="1366"/>
      <c r="BL764" s="1366"/>
      <c r="BM764" s="1366"/>
      <c r="BN764" s="1366"/>
      <c r="BO764" s="1366"/>
      <c r="BP764" s="1366"/>
      <c r="BQ764" s="1366"/>
      <c r="BR764" s="1366"/>
      <c r="BS764" s="1366"/>
      <c r="BT764" s="1366"/>
      <c r="BU764" s="1366"/>
      <c r="BV764" s="1366"/>
      <c r="BW764" s="1366"/>
      <c r="BX764" s="1366"/>
      <c r="BY764" s="1366"/>
      <c r="BZ764" s="1366"/>
      <c r="CA764" s="1366"/>
      <c r="CB764" s="1366"/>
      <c r="CC764" s="1366"/>
      <c r="CD764" s="1366"/>
      <c r="CE764" s="1366"/>
      <c r="CF764" s="1366"/>
      <c r="CG764" s="1366"/>
      <c r="CH764" s="1366"/>
      <c r="CI764" s="1366"/>
      <c r="CJ764" s="1366"/>
      <c r="CK764" s="1366"/>
      <c r="CL764" s="1366"/>
      <c r="CM764" s="1366"/>
      <c r="CN764" s="1366"/>
      <c r="CO764" s="1366"/>
      <c r="CP764" s="1366"/>
      <c r="CQ764" s="1366"/>
      <c r="CR764" s="1366"/>
      <c r="CS764" s="1366"/>
      <c r="CT764" s="1366"/>
      <c r="CU764" s="1366"/>
      <c r="CV764" s="1366"/>
      <c r="CW764" s="1366"/>
      <c r="CX764" s="1366"/>
      <c r="CY764" s="1366"/>
      <c r="CZ764" s="1366"/>
      <c r="DA764" s="1366"/>
      <c r="DB764" s="1366"/>
      <c r="DC764" s="1366"/>
      <c r="DD764" s="1366"/>
      <c r="DE764" s="1366"/>
      <c r="DF764" s="1366"/>
      <c r="DG764" s="1366"/>
      <c r="DH764" s="1366"/>
      <c r="DI764" s="1366"/>
      <c r="DJ764" s="1366"/>
      <c r="DK764" s="1366"/>
      <c r="DL764" s="1366"/>
      <c r="DM764" s="1366"/>
      <c r="DN764" s="1366"/>
      <c r="DO764" s="1366"/>
      <c r="DP764" s="1366"/>
      <c r="DQ764" s="1366"/>
      <c r="DR764" s="1366"/>
      <c r="DS764" s="1366"/>
      <c r="DT764" s="1366"/>
      <c r="DU764" s="1366"/>
      <c r="DV764" s="1366"/>
    </row>
    <row r="765" spans="1:126" s="1367" customFormat="1" hidden="1">
      <c r="A765" s="2494"/>
      <c r="B765" s="1643"/>
      <c r="C765" s="1674"/>
      <c r="D765" s="1480"/>
      <c r="E765" s="1480"/>
      <c r="F765" s="1480"/>
      <c r="G765" s="1480"/>
      <c r="H765" s="1481"/>
      <c r="I765" s="1482"/>
      <c r="J765" s="1483"/>
      <c r="K765" s="1483"/>
      <c r="L765" s="1528"/>
      <c r="M765" s="1483"/>
      <c r="N765" s="1484"/>
      <c r="O765" s="1481"/>
      <c r="P765" s="1485"/>
      <c r="Q765" s="1485"/>
      <c r="R765" s="1485"/>
      <c r="S765" s="1485"/>
      <c r="T765" s="1485"/>
      <c r="U765" s="1485"/>
      <c r="V765" s="1484"/>
      <c r="W765" s="1366"/>
      <c r="X765" s="1366"/>
      <c r="Y765" s="1366"/>
      <c r="Z765" s="1366"/>
      <c r="AA765" s="1366"/>
      <c r="AB765" s="1366"/>
      <c r="AC765" s="1366"/>
      <c r="AD765" s="1366"/>
      <c r="AE765" s="1366"/>
      <c r="AF765" s="1366"/>
      <c r="AG765" s="1366"/>
      <c r="AH765" s="1366"/>
      <c r="AI765" s="1366"/>
      <c r="AJ765" s="1366"/>
      <c r="AK765" s="1366"/>
      <c r="AL765" s="1366"/>
      <c r="AM765" s="1366"/>
      <c r="AN765" s="1366"/>
      <c r="AO765" s="1366"/>
      <c r="AP765" s="1366"/>
      <c r="AQ765" s="1366"/>
      <c r="AR765" s="1366"/>
      <c r="AS765" s="1366"/>
      <c r="AT765" s="1366"/>
      <c r="AU765" s="1366"/>
      <c r="AV765" s="1366"/>
      <c r="AW765" s="1366"/>
      <c r="AX765" s="1366"/>
      <c r="AY765" s="1366"/>
      <c r="AZ765" s="1366"/>
      <c r="BA765" s="1366"/>
      <c r="BB765" s="1366"/>
      <c r="BC765" s="1366"/>
      <c r="BD765" s="1366"/>
      <c r="BE765" s="1366"/>
      <c r="BF765" s="1366"/>
      <c r="BG765" s="1366"/>
      <c r="BH765" s="1366"/>
      <c r="BI765" s="1366"/>
      <c r="BJ765" s="1366"/>
      <c r="BK765" s="1366"/>
      <c r="BL765" s="1366"/>
      <c r="BM765" s="1366"/>
      <c r="BN765" s="1366"/>
      <c r="BO765" s="1366"/>
      <c r="BP765" s="1366"/>
      <c r="BQ765" s="1366"/>
      <c r="BR765" s="1366"/>
      <c r="BS765" s="1366"/>
      <c r="BT765" s="1366"/>
      <c r="BU765" s="1366"/>
      <c r="BV765" s="1366"/>
      <c r="BW765" s="1366"/>
      <c r="BX765" s="1366"/>
      <c r="BY765" s="1366"/>
      <c r="BZ765" s="1366"/>
      <c r="CA765" s="1366"/>
      <c r="CB765" s="1366"/>
      <c r="CC765" s="1366"/>
      <c r="CD765" s="1366"/>
      <c r="CE765" s="1366"/>
      <c r="CF765" s="1366"/>
      <c r="CG765" s="1366"/>
      <c r="CH765" s="1366"/>
      <c r="CI765" s="1366"/>
      <c r="CJ765" s="1366"/>
      <c r="CK765" s="1366"/>
      <c r="CL765" s="1366"/>
      <c r="CM765" s="1366"/>
      <c r="CN765" s="1366"/>
      <c r="CO765" s="1366"/>
      <c r="CP765" s="1366"/>
      <c r="CQ765" s="1366"/>
      <c r="CR765" s="1366"/>
      <c r="CS765" s="1366"/>
      <c r="CT765" s="1366"/>
      <c r="CU765" s="1366"/>
      <c r="CV765" s="1366"/>
      <c r="CW765" s="1366"/>
      <c r="CX765" s="1366"/>
      <c r="CY765" s="1366"/>
      <c r="CZ765" s="1366"/>
      <c r="DA765" s="1366"/>
      <c r="DB765" s="1366"/>
      <c r="DC765" s="1366"/>
      <c r="DD765" s="1366"/>
      <c r="DE765" s="1366"/>
      <c r="DF765" s="1366"/>
      <c r="DG765" s="1366"/>
      <c r="DH765" s="1366"/>
      <c r="DI765" s="1366"/>
      <c r="DJ765" s="1366"/>
      <c r="DK765" s="1366"/>
      <c r="DL765" s="1366"/>
      <c r="DM765" s="1366"/>
      <c r="DN765" s="1366"/>
      <c r="DO765" s="1366"/>
      <c r="DP765" s="1366"/>
      <c r="DQ765" s="1366"/>
      <c r="DR765" s="1366"/>
      <c r="DS765" s="1366"/>
      <c r="DT765" s="1366"/>
      <c r="DU765" s="1366"/>
      <c r="DV765" s="1366"/>
    </row>
    <row r="766" spans="1:126" s="1367" customFormat="1" hidden="1">
      <c r="A766" s="2494"/>
      <c r="B766" s="1643"/>
      <c r="C766" s="1674"/>
      <c r="D766" s="1480"/>
      <c r="E766" s="1480"/>
      <c r="F766" s="1480"/>
      <c r="G766" s="1480"/>
      <c r="H766" s="1481"/>
      <c r="I766" s="1482"/>
      <c r="J766" s="1483"/>
      <c r="K766" s="1483"/>
      <c r="L766" s="1528"/>
      <c r="M766" s="1483"/>
      <c r="N766" s="1484"/>
      <c r="O766" s="1481"/>
      <c r="P766" s="1485"/>
      <c r="Q766" s="1485"/>
      <c r="R766" s="1485"/>
      <c r="S766" s="1485"/>
      <c r="T766" s="1485"/>
      <c r="U766" s="1485"/>
      <c r="V766" s="1484"/>
      <c r="W766" s="1366"/>
      <c r="X766" s="1366"/>
      <c r="Y766" s="1366"/>
      <c r="Z766" s="1366"/>
      <c r="AA766" s="1366"/>
      <c r="AB766" s="1366"/>
      <c r="AC766" s="1366"/>
      <c r="AD766" s="1366"/>
      <c r="AE766" s="1366"/>
      <c r="AF766" s="1366"/>
      <c r="AG766" s="1366"/>
      <c r="AH766" s="1366"/>
      <c r="AI766" s="1366"/>
      <c r="AJ766" s="1366"/>
      <c r="AK766" s="1366"/>
      <c r="AL766" s="1366"/>
      <c r="AM766" s="1366"/>
      <c r="AN766" s="1366"/>
      <c r="AO766" s="1366"/>
      <c r="AP766" s="1366"/>
      <c r="AQ766" s="1366"/>
      <c r="AR766" s="1366"/>
      <c r="AS766" s="1366"/>
      <c r="AT766" s="1366"/>
      <c r="AU766" s="1366"/>
      <c r="AV766" s="1366"/>
      <c r="AW766" s="1366"/>
      <c r="AX766" s="1366"/>
      <c r="AY766" s="1366"/>
      <c r="AZ766" s="1366"/>
      <c r="BA766" s="1366"/>
      <c r="BB766" s="1366"/>
      <c r="BC766" s="1366"/>
      <c r="BD766" s="1366"/>
      <c r="BE766" s="1366"/>
      <c r="BF766" s="1366"/>
      <c r="BG766" s="1366"/>
      <c r="BH766" s="1366"/>
      <c r="BI766" s="1366"/>
      <c r="BJ766" s="1366"/>
      <c r="BK766" s="1366"/>
      <c r="BL766" s="1366"/>
      <c r="BM766" s="1366"/>
      <c r="BN766" s="1366"/>
      <c r="BO766" s="1366"/>
      <c r="BP766" s="1366"/>
      <c r="BQ766" s="1366"/>
      <c r="BR766" s="1366"/>
      <c r="BS766" s="1366"/>
      <c r="BT766" s="1366"/>
      <c r="BU766" s="1366"/>
      <c r="BV766" s="1366"/>
      <c r="BW766" s="1366"/>
      <c r="BX766" s="1366"/>
      <c r="BY766" s="1366"/>
      <c r="BZ766" s="1366"/>
      <c r="CA766" s="1366"/>
      <c r="CB766" s="1366"/>
      <c r="CC766" s="1366"/>
      <c r="CD766" s="1366"/>
      <c r="CE766" s="1366"/>
      <c r="CF766" s="1366"/>
      <c r="CG766" s="1366"/>
      <c r="CH766" s="1366"/>
      <c r="CI766" s="1366"/>
      <c r="CJ766" s="1366"/>
      <c r="CK766" s="1366"/>
      <c r="CL766" s="1366"/>
      <c r="CM766" s="1366"/>
      <c r="CN766" s="1366"/>
      <c r="CO766" s="1366"/>
      <c r="CP766" s="1366"/>
      <c r="CQ766" s="1366"/>
      <c r="CR766" s="1366"/>
      <c r="CS766" s="1366"/>
      <c r="CT766" s="1366"/>
      <c r="CU766" s="1366"/>
      <c r="CV766" s="1366"/>
      <c r="CW766" s="1366"/>
      <c r="CX766" s="1366"/>
      <c r="CY766" s="1366"/>
      <c r="CZ766" s="1366"/>
      <c r="DA766" s="1366"/>
      <c r="DB766" s="1366"/>
      <c r="DC766" s="1366"/>
      <c r="DD766" s="1366"/>
      <c r="DE766" s="1366"/>
      <c r="DF766" s="1366"/>
      <c r="DG766" s="1366"/>
      <c r="DH766" s="1366"/>
      <c r="DI766" s="1366"/>
      <c r="DJ766" s="1366"/>
      <c r="DK766" s="1366"/>
      <c r="DL766" s="1366"/>
      <c r="DM766" s="1366"/>
      <c r="DN766" s="1366"/>
      <c r="DO766" s="1366"/>
      <c r="DP766" s="1366"/>
      <c r="DQ766" s="1366"/>
      <c r="DR766" s="1366"/>
      <c r="DS766" s="1366"/>
      <c r="DT766" s="1366"/>
      <c r="DU766" s="1366"/>
      <c r="DV766" s="1366"/>
    </row>
    <row r="767" spans="1:126" s="1367" customFormat="1" hidden="1">
      <c r="A767" s="2494"/>
      <c r="B767" s="1643"/>
      <c r="C767" s="1674"/>
      <c r="D767" s="1480"/>
      <c r="E767" s="1480"/>
      <c r="F767" s="1480"/>
      <c r="G767" s="1480"/>
      <c r="H767" s="1481"/>
      <c r="I767" s="1482"/>
      <c r="J767" s="1483"/>
      <c r="K767" s="1483"/>
      <c r="L767" s="1528"/>
      <c r="M767" s="1483"/>
      <c r="N767" s="1484"/>
      <c r="O767" s="1481"/>
      <c r="P767" s="1485"/>
      <c r="Q767" s="1485"/>
      <c r="R767" s="1485"/>
      <c r="S767" s="1485"/>
      <c r="T767" s="1485"/>
      <c r="U767" s="1485"/>
      <c r="V767" s="1484"/>
      <c r="W767" s="1366"/>
      <c r="X767" s="1366"/>
      <c r="Y767" s="1366"/>
      <c r="Z767" s="1366"/>
      <c r="AA767" s="1366"/>
      <c r="AB767" s="1366"/>
      <c r="AC767" s="1366"/>
      <c r="AD767" s="1366"/>
      <c r="AE767" s="1366"/>
      <c r="AF767" s="1366"/>
      <c r="AG767" s="1366"/>
      <c r="AH767" s="1366"/>
      <c r="AI767" s="1366"/>
      <c r="AJ767" s="1366"/>
      <c r="AK767" s="1366"/>
      <c r="AL767" s="1366"/>
      <c r="AM767" s="1366"/>
      <c r="AN767" s="1366"/>
      <c r="AO767" s="1366"/>
      <c r="AP767" s="1366"/>
      <c r="AQ767" s="1366"/>
      <c r="AR767" s="1366"/>
      <c r="AS767" s="1366"/>
      <c r="AT767" s="1366"/>
      <c r="AU767" s="1366"/>
      <c r="AV767" s="1366"/>
      <c r="AW767" s="1366"/>
      <c r="AX767" s="1366"/>
      <c r="AY767" s="1366"/>
      <c r="AZ767" s="1366"/>
      <c r="BA767" s="1366"/>
      <c r="BB767" s="1366"/>
      <c r="BC767" s="1366"/>
      <c r="BD767" s="1366"/>
      <c r="BE767" s="1366"/>
      <c r="BF767" s="1366"/>
      <c r="BG767" s="1366"/>
      <c r="BH767" s="1366"/>
      <c r="BI767" s="1366"/>
      <c r="BJ767" s="1366"/>
      <c r="BK767" s="1366"/>
      <c r="BL767" s="1366"/>
      <c r="BM767" s="1366"/>
      <c r="BN767" s="1366"/>
      <c r="BO767" s="1366"/>
      <c r="BP767" s="1366"/>
      <c r="BQ767" s="1366"/>
      <c r="BR767" s="1366"/>
      <c r="BS767" s="1366"/>
      <c r="BT767" s="1366"/>
      <c r="BU767" s="1366"/>
      <c r="BV767" s="1366"/>
      <c r="BW767" s="1366"/>
      <c r="BX767" s="1366"/>
      <c r="BY767" s="1366"/>
      <c r="BZ767" s="1366"/>
      <c r="CA767" s="1366"/>
      <c r="CB767" s="1366"/>
      <c r="CC767" s="1366"/>
      <c r="CD767" s="1366"/>
      <c r="CE767" s="1366"/>
      <c r="CF767" s="1366"/>
      <c r="CG767" s="1366"/>
      <c r="CH767" s="1366"/>
      <c r="CI767" s="1366"/>
      <c r="CJ767" s="1366"/>
      <c r="CK767" s="1366"/>
      <c r="CL767" s="1366"/>
      <c r="CM767" s="1366"/>
      <c r="CN767" s="1366"/>
      <c r="CO767" s="1366"/>
      <c r="CP767" s="1366"/>
      <c r="CQ767" s="1366"/>
      <c r="CR767" s="1366"/>
      <c r="CS767" s="1366"/>
      <c r="CT767" s="1366"/>
      <c r="CU767" s="1366"/>
      <c r="CV767" s="1366"/>
      <c r="CW767" s="1366"/>
      <c r="CX767" s="1366"/>
      <c r="CY767" s="1366"/>
      <c r="CZ767" s="1366"/>
      <c r="DA767" s="1366"/>
      <c r="DB767" s="1366"/>
      <c r="DC767" s="1366"/>
      <c r="DD767" s="1366"/>
      <c r="DE767" s="1366"/>
      <c r="DF767" s="1366"/>
      <c r="DG767" s="1366"/>
      <c r="DH767" s="1366"/>
      <c r="DI767" s="1366"/>
      <c r="DJ767" s="1366"/>
      <c r="DK767" s="1366"/>
      <c r="DL767" s="1366"/>
      <c r="DM767" s="1366"/>
      <c r="DN767" s="1366"/>
      <c r="DO767" s="1366"/>
      <c r="DP767" s="1366"/>
      <c r="DQ767" s="1366"/>
      <c r="DR767" s="1366"/>
      <c r="DS767" s="1366"/>
      <c r="DT767" s="1366"/>
      <c r="DU767" s="1366"/>
      <c r="DV767" s="1366"/>
    </row>
    <row r="768" spans="1:126" s="1367" customFormat="1" hidden="1">
      <c r="A768" s="2494"/>
      <c r="B768" s="1643"/>
      <c r="C768" s="1674"/>
      <c r="D768" s="1480"/>
      <c r="E768" s="1480"/>
      <c r="F768" s="1480"/>
      <c r="G768" s="1480"/>
      <c r="H768" s="1481"/>
      <c r="I768" s="1482"/>
      <c r="J768" s="1483"/>
      <c r="K768" s="1483"/>
      <c r="L768" s="1528"/>
      <c r="M768" s="1483"/>
      <c r="N768" s="1484"/>
      <c r="O768" s="1481"/>
      <c r="P768" s="1485"/>
      <c r="Q768" s="1485"/>
      <c r="R768" s="1485"/>
      <c r="S768" s="1485"/>
      <c r="T768" s="1485"/>
      <c r="U768" s="1485"/>
      <c r="V768" s="1484"/>
      <c r="W768" s="1366"/>
      <c r="X768" s="1366"/>
      <c r="Y768" s="1366"/>
      <c r="Z768" s="1366"/>
      <c r="AA768" s="1366"/>
      <c r="AB768" s="1366"/>
      <c r="AC768" s="1366"/>
      <c r="AD768" s="1366"/>
      <c r="AE768" s="1366"/>
      <c r="AF768" s="1366"/>
      <c r="AG768" s="1366"/>
      <c r="AH768" s="1366"/>
      <c r="AI768" s="1366"/>
      <c r="AJ768" s="1366"/>
      <c r="AK768" s="1366"/>
      <c r="AL768" s="1366"/>
      <c r="AM768" s="1366"/>
      <c r="AN768" s="1366"/>
      <c r="AO768" s="1366"/>
      <c r="AP768" s="1366"/>
      <c r="AQ768" s="1366"/>
      <c r="AR768" s="1366"/>
      <c r="AS768" s="1366"/>
      <c r="AT768" s="1366"/>
      <c r="AU768" s="1366"/>
      <c r="AV768" s="1366"/>
      <c r="AW768" s="1366"/>
      <c r="AX768" s="1366"/>
      <c r="AY768" s="1366"/>
      <c r="AZ768" s="1366"/>
      <c r="BA768" s="1366"/>
      <c r="BB768" s="1366"/>
      <c r="BC768" s="1366"/>
      <c r="BD768" s="1366"/>
      <c r="BE768" s="1366"/>
      <c r="BF768" s="1366"/>
      <c r="BG768" s="1366"/>
      <c r="BH768" s="1366"/>
      <c r="BI768" s="1366"/>
      <c r="BJ768" s="1366"/>
      <c r="BK768" s="1366"/>
      <c r="BL768" s="1366"/>
      <c r="BM768" s="1366"/>
      <c r="BN768" s="1366"/>
      <c r="BO768" s="1366"/>
      <c r="BP768" s="1366"/>
      <c r="BQ768" s="1366"/>
      <c r="BR768" s="1366"/>
      <c r="BS768" s="1366"/>
      <c r="BT768" s="1366"/>
      <c r="BU768" s="1366"/>
      <c r="BV768" s="1366"/>
      <c r="BW768" s="1366"/>
      <c r="BX768" s="1366"/>
      <c r="BY768" s="1366"/>
      <c r="BZ768" s="1366"/>
      <c r="CA768" s="1366"/>
      <c r="CB768" s="1366"/>
      <c r="CC768" s="1366"/>
      <c r="CD768" s="1366"/>
      <c r="CE768" s="1366"/>
      <c r="CF768" s="1366"/>
      <c r="CG768" s="1366"/>
      <c r="CH768" s="1366"/>
      <c r="CI768" s="1366"/>
      <c r="CJ768" s="1366"/>
      <c r="CK768" s="1366"/>
      <c r="CL768" s="1366"/>
      <c r="CM768" s="1366"/>
      <c r="CN768" s="1366"/>
      <c r="CO768" s="1366"/>
      <c r="CP768" s="1366"/>
      <c r="CQ768" s="1366"/>
      <c r="CR768" s="1366"/>
      <c r="CS768" s="1366"/>
      <c r="CT768" s="1366"/>
      <c r="CU768" s="1366"/>
      <c r="CV768" s="1366"/>
      <c r="CW768" s="1366"/>
      <c r="CX768" s="1366"/>
      <c r="CY768" s="1366"/>
      <c r="CZ768" s="1366"/>
      <c r="DA768" s="1366"/>
      <c r="DB768" s="1366"/>
      <c r="DC768" s="1366"/>
      <c r="DD768" s="1366"/>
      <c r="DE768" s="1366"/>
      <c r="DF768" s="1366"/>
      <c r="DG768" s="1366"/>
      <c r="DH768" s="1366"/>
      <c r="DI768" s="1366"/>
      <c r="DJ768" s="1366"/>
      <c r="DK768" s="1366"/>
      <c r="DL768" s="1366"/>
      <c r="DM768" s="1366"/>
      <c r="DN768" s="1366"/>
      <c r="DO768" s="1366"/>
      <c r="DP768" s="1366"/>
      <c r="DQ768" s="1366"/>
      <c r="DR768" s="1366"/>
      <c r="DS768" s="1366"/>
      <c r="DT768" s="1366"/>
      <c r="DU768" s="1366"/>
      <c r="DV768" s="1366"/>
    </row>
    <row r="769" spans="1:126" s="1367" customFormat="1" hidden="1">
      <c r="A769" s="2494"/>
      <c r="B769" s="1643"/>
      <c r="C769" s="1674"/>
      <c r="D769" s="1480"/>
      <c r="E769" s="1480"/>
      <c r="F769" s="1480"/>
      <c r="G769" s="1480"/>
      <c r="H769" s="1481"/>
      <c r="I769" s="1482"/>
      <c r="J769" s="1483"/>
      <c r="K769" s="1483"/>
      <c r="L769" s="1528"/>
      <c r="M769" s="1483"/>
      <c r="N769" s="1484"/>
      <c r="O769" s="1481"/>
      <c r="P769" s="1485"/>
      <c r="Q769" s="1485"/>
      <c r="R769" s="1485"/>
      <c r="S769" s="1485"/>
      <c r="T769" s="1485"/>
      <c r="U769" s="1485"/>
      <c r="V769" s="1484"/>
      <c r="W769" s="1366"/>
      <c r="X769" s="1366"/>
      <c r="Y769" s="1366"/>
      <c r="Z769" s="1366"/>
      <c r="AA769" s="1366"/>
      <c r="AB769" s="1366"/>
      <c r="AC769" s="1366"/>
      <c r="AD769" s="1366"/>
      <c r="AE769" s="1366"/>
      <c r="AF769" s="1366"/>
      <c r="AG769" s="1366"/>
      <c r="AH769" s="1366"/>
      <c r="AI769" s="1366"/>
      <c r="AJ769" s="1366"/>
      <c r="AK769" s="1366"/>
      <c r="AL769" s="1366"/>
      <c r="AM769" s="1366"/>
      <c r="AN769" s="1366"/>
      <c r="AO769" s="1366"/>
      <c r="AP769" s="1366"/>
      <c r="AQ769" s="1366"/>
      <c r="AR769" s="1366"/>
      <c r="AS769" s="1366"/>
      <c r="AT769" s="1366"/>
      <c r="AU769" s="1366"/>
      <c r="AV769" s="1366"/>
      <c r="AW769" s="1366"/>
      <c r="AX769" s="1366"/>
      <c r="AY769" s="1366"/>
      <c r="AZ769" s="1366"/>
      <c r="BA769" s="1366"/>
      <c r="BB769" s="1366"/>
      <c r="BC769" s="1366"/>
      <c r="BD769" s="1366"/>
      <c r="BE769" s="1366"/>
      <c r="BF769" s="1366"/>
      <c r="BG769" s="1366"/>
      <c r="BH769" s="1366"/>
      <c r="BI769" s="1366"/>
      <c r="BJ769" s="1366"/>
      <c r="BK769" s="1366"/>
      <c r="BL769" s="1366"/>
      <c r="BM769" s="1366"/>
      <c r="BN769" s="1366"/>
      <c r="BO769" s="1366"/>
      <c r="BP769" s="1366"/>
      <c r="BQ769" s="1366"/>
      <c r="BR769" s="1366"/>
      <c r="BS769" s="1366"/>
      <c r="BT769" s="1366"/>
      <c r="BU769" s="1366"/>
      <c r="BV769" s="1366"/>
      <c r="BW769" s="1366"/>
      <c r="BX769" s="1366"/>
      <c r="BY769" s="1366"/>
      <c r="BZ769" s="1366"/>
      <c r="CA769" s="1366"/>
      <c r="CB769" s="1366"/>
      <c r="CC769" s="1366"/>
      <c r="CD769" s="1366"/>
      <c r="CE769" s="1366"/>
      <c r="CF769" s="1366"/>
      <c r="CG769" s="1366"/>
      <c r="CH769" s="1366"/>
      <c r="CI769" s="1366"/>
      <c r="CJ769" s="1366"/>
      <c r="CK769" s="1366"/>
      <c r="CL769" s="1366"/>
      <c r="CM769" s="1366"/>
      <c r="CN769" s="1366"/>
      <c r="CO769" s="1366"/>
      <c r="CP769" s="1366"/>
      <c r="CQ769" s="1366"/>
      <c r="CR769" s="1366"/>
      <c r="CS769" s="1366"/>
      <c r="CT769" s="1366"/>
      <c r="CU769" s="1366"/>
      <c r="CV769" s="1366"/>
      <c r="CW769" s="1366"/>
      <c r="CX769" s="1366"/>
      <c r="CY769" s="1366"/>
      <c r="CZ769" s="1366"/>
      <c r="DA769" s="1366"/>
      <c r="DB769" s="1366"/>
      <c r="DC769" s="1366"/>
      <c r="DD769" s="1366"/>
      <c r="DE769" s="1366"/>
      <c r="DF769" s="1366"/>
      <c r="DG769" s="1366"/>
      <c r="DH769" s="1366"/>
      <c r="DI769" s="1366"/>
      <c r="DJ769" s="1366"/>
      <c r="DK769" s="1366"/>
      <c r="DL769" s="1366"/>
      <c r="DM769" s="1366"/>
      <c r="DN769" s="1366"/>
      <c r="DO769" s="1366"/>
      <c r="DP769" s="1366"/>
      <c r="DQ769" s="1366"/>
      <c r="DR769" s="1366"/>
      <c r="DS769" s="1366"/>
      <c r="DT769" s="1366"/>
      <c r="DU769" s="1366"/>
      <c r="DV769" s="1366"/>
    </row>
    <row r="770" spans="1:126" s="1367" customFormat="1" hidden="1">
      <c r="A770" s="2494"/>
      <c r="B770" s="1643"/>
      <c r="C770" s="1674"/>
      <c r="D770" s="1480"/>
      <c r="E770" s="1480"/>
      <c r="F770" s="1480"/>
      <c r="G770" s="1480"/>
      <c r="H770" s="1481"/>
      <c r="I770" s="1482"/>
      <c r="J770" s="1483"/>
      <c r="K770" s="1483"/>
      <c r="L770" s="1528"/>
      <c r="M770" s="1483"/>
      <c r="N770" s="1484"/>
      <c r="O770" s="1481"/>
      <c r="P770" s="1485"/>
      <c r="Q770" s="1485"/>
      <c r="R770" s="1485"/>
      <c r="S770" s="1485"/>
      <c r="T770" s="1485"/>
      <c r="U770" s="1485"/>
      <c r="V770" s="1484"/>
      <c r="W770" s="1366"/>
      <c r="X770" s="1366"/>
      <c r="Y770" s="1366"/>
      <c r="Z770" s="1366"/>
      <c r="AA770" s="1366"/>
      <c r="AB770" s="1366"/>
      <c r="AC770" s="1366"/>
      <c r="AD770" s="1366"/>
      <c r="AE770" s="1366"/>
      <c r="AF770" s="1366"/>
      <c r="AG770" s="1366"/>
      <c r="AH770" s="1366"/>
      <c r="AI770" s="1366"/>
      <c r="AJ770" s="1366"/>
      <c r="AK770" s="1366"/>
      <c r="AL770" s="1366"/>
      <c r="AM770" s="1366"/>
      <c r="AN770" s="1366"/>
      <c r="AO770" s="1366"/>
      <c r="AP770" s="1366"/>
      <c r="AQ770" s="1366"/>
      <c r="AR770" s="1366"/>
      <c r="AS770" s="1366"/>
      <c r="AT770" s="1366"/>
      <c r="AU770" s="1366"/>
      <c r="AV770" s="1366"/>
      <c r="AW770" s="1366"/>
      <c r="AX770" s="1366"/>
      <c r="AY770" s="1366"/>
      <c r="AZ770" s="1366"/>
      <c r="BA770" s="1366"/>
      <c r="BB770" s="1366"/>
      <c r="BC770" s="1366"/>
      <c r="BD770" s="1366"/>
      <c r="BE770" s="1366"/>
      <c r="BF770" s="1366"/>
      <c r="BG770" s="1366"/>
      <c r="BH770" s="1366"/>
      <c r="BI770" s="1366"/>
      <c r="BJ770" s="1366"/>
      <c r="BK770" s="1366"/>
      <c r="BL770" s="1366"/>
      <c r="BM770" s="1366"/>
      <c r="BN770" s="1366"/>
      <c r="BO770" s="1366"/>
      <c r="BP770" s="1366"/>
      <c r="BQ770" s="1366"/>
      <c r="BR770" s="1366"/>
      <c r="BS770" s="1366"/>
      <c r="BT770" s="1366"/>
      <c r="BU770" s="1366"/>
      <c r="BV770" s="1366"/>
      <c r="BW770" s="1366"/>
      <c r="BX770" s="1366"/>
      <c r="BY770" s="1366"/>
      <c r="BZ770" s="1366"/>
      <c r="CA770" s="1366"/>
      <c r="CB770" s="1366"/>
      <c r="CC770" s="1366"/>
      <c r="CD770" s="1366"/>
      <c r="CE770" s="1366"/>
      <c r="CF770" s="1366"/>
      <c r="CG770" s="1366"/>
      <c r="CH770" s="1366"/>
      <c r="CI770" s="1366"/>
      <c r="CJ770" s="1366"/>
      <c r="CK770" s="1366"/>
      <c r="CL770" s="1366"/>
      <c r="CM770" s="1366"/>
      <c r="CN770" s="1366"/>
      <c r="CO770" s="1366"/>
      <c r="CP770" s="1366"/>
      <c r="CQ770" s="1366"/>
      <c r="CR770" s="1366"/>
      <c r="CS770" s="1366"/>
      <c r="CT770" s="1366"/>
      <c r="CU770" s="1366"/>
      <c r="CV770" s="1366"/>
      <c r="CW770" s="1366"/>
      <c r="CX770" s="1366"/>
      <c r="CY770" s="1366"/>
      <c r="CZ770" s="1366"/>
      <c r="DA770" s="1366"/>
      <c r="DB770" s="1366"/>
      <c r="DC770" s="1366"/>
      <c r="DD770" s="1366"/>
      <c r="DE770" s="1366"/>
      <c r="DF770" s="1366"/>
      <c r="DG770" s="1366"/>
      <c r="DH770" s="1366"/>
      <c r="DI770" s="1366"/>
      <c r="DJ770" s="1366"/>
      <c r="DK770" s="1366"/>
      <c r="DL770" s="1366"/>
      <c r="DM770" s="1366"/>
      <c r="DN770" s="1366"/>
      <c r="DO770" s="1366"/>
      <c r="DP770" s="1366"/>
      <c r="DQ770" s="1366"/>
      <c r="DR770" s="1366"/>
      <c r="DS770" s="1366"/>
      <c r="DT770" s="1366"/>
      <c r="DU770" s="1366"/>
      <c r="DV770" s="1366"/>
    </row>
    <row r="771" spans="1:126" s="1367" customFormat="1" hidden="1">
      <c r="A771" s="2494"/>
      <c r="B771" s="1643"/>
      <c r="C771" s="1674"/>
      <c r="D771" s="1480"/>
      <c r="E771" s="1480"/>
      <c r="F771" s="1480"/>
      <c r="G771" s="1480"/>
      <c r="H771" s="1481"/>
      <c r="I771" s="1482"/>
      <c r="J771" s="1483"/>
      <c r="K771" s="1483"/>
      <c r="L771" s="1528"/>
      <c r="M771" s="1483"/>
      <c r="N771" s="1484"/>
      <c r="O771" s="1481"/>
      <c r="P771" s="1485"/>
      <c r="Q771" s="1485"/>
      <c r="R771" s="1485"/>
      <c r="S771" s="1485"/>
      <c r="T771" s="1485"/>
      <c r="U771" s="1485"/>
      <c r="V771" s="1484"/>
      <c r="W771" s="1366"/>
      <c r="X771" s="1366"/>
      <c r="Y771" s="1366"/>
      <c r="Z771" s="1366"/>
      <c r="AA771" s="1366"/>
      <c r="AB771" s="1366"/>
      <c r="AC771" s="1366"/>
      <c r="AD771" s="1366"/>
      <c r="AE771" s="1366"/>
      <c r="AF771" s="1366"/>
      <c r="AG771" s="1366"/>
      <c r="AH771" s="1366"/>
      <c r="AI771" s="1366"/>
      <c r="AJ771" s="1366"/>
      <c r="AK771" s="1366"/>
      <c r="AL771" s="1366"/>
      <c r="AM771" s="1366"/>
      <c r="AN771" s="1366"/>
      <c r="AO771" s="1366"/>
      <c r="AP771" s="1366"/>
      <c r="AQ771" s="1366"/>
      <c r="AR771" s="1366"/>
      <c r="AS771" s="1366"/>
      <c r="AT771" s="1366"/>
      <c r="AU771" s="1366"/>
      <c r="AV771" s="1366"/>
      <c r="AW771" s="1366"/>
      <c r="AX771" s="1366"/>
      <c r="AY771" s="1366"/>
      <c r="AZ771" s="1366"/>
      <c r="BA771" s="1366"/>
      <c r="BB771" s="1366"/>
      <c r="BC771" s="1366"/>
      <c r="BD771" s="1366"/>
      <c r="BE771" s="1366"/>
      <c r="BF771" s="1366"/>
      <c r="BG771" s="1366"/>
      <c r="BH771" s="1366"/>
      <c r="BI771" s="1366"/>
      <c r="BJ771" s="1366"/>
      <c r="BK771" s="1366"/>
      <c r="BL771" s="1366"/>
      <c r="BM771" s="1366"/>
      <c r="BN771" s="1366"/>
      <c r="BO771" s="1366"/>
      <c r="BP771" s="1366"/>
      <c r="BQ771" s="1366"/>
      <c r="BR771" s="1366"/>
      <c r="BS771" s="1366"/>
      <c r="BT771" s="1366"/>
      <c r="BU771" s="1366"/>
      <c r="BV771" s="1366"/>
      <c r="BW771" s="1366"/>
      <c r="BX771" s="1366"/>
      <c r="BY771" s="1366"/>
      <c r="BZ771" s="1366"/>
      <c r="CA771" s="1366"/>
      <c r="CB771" s="1366"/>
      <c r="CC771" s="1366"/>
      <c r="CD771" s="1366"/>
      <c r="CE771" s="1366"/>
      <c r="CF771" s="1366"/>
      <c r="CG771" s="1366"/>
      <c r="CH771" s="1366"/>
      <c r="CI771" s="1366"/>
      <c r="CJ771" s="1366"/>
      <c r="CK771" s="1366"/>
      <c r="CL771" s="1366"/>
      <c r="CM771" s="1366"/>
      <c r="CN771" s="1366"/>
      <c r="CO771" s="1366"/>
      <c r="CP771" s="1366"/>
      <c r="CQ771" s="1366"/>
      <c r="CR771" s="1366"/>
      <c r="CS771" s="1366"/>
      <c r="CT771" s="1366"/>
      <c r="CU771" s="1366"/>
      <c r="CV771" s="1366"/>
      <c r="CW771" s="1366"/>
      <c r="CX771" s="1366"/>
      <c r="CY771" s="1366"/>
      <c r="CZ771" s="1366"/>
      <c r="DA771" s="1366"/>
      <c r="DB771" s="1366"/>
      <c r="DC771" s="1366"/>
      <c r="DD771" s="1366"/>
      <c r="DE771" s="1366"/>
      <c r="DF771" s="1366"/>
      <c r="DG771" s="1366"/>
      <c r="DH771" s="1366"/>
      <c r="DI771" s="1366"/>
      <c r="DJ771" s="1366"/>
      <c r="DK771" s="1366"/>
      <c r="DL771" s="1366"/>
      <c r="DM771" s="1366"/>
      <c r="DN771" s="1366"/>
      <c r="DO771" s="1366"/>
      <c r="DP771" s="1366"/>
      <c r="DQ771" s="1366"/>
      <c r="DR771" s="1366"/>
      <c r="DS771" s="1366"/>
      <c r="DT771" s="1366"/>
      <c r="DU771" s="1366"/>
      <c r="DV771" s="1366"/>
    </row>
    <row r="772" spans="1:126" s="1367" customFormat="1" hidden="1">
      <c r="A772" s="2494"/>
      <c r="B772" s="1643"/>
      <c r="C772" s="1674"/>
      <c r="D772" s="1480"/>
      <c r="E772" s="1480"/>
      <c r="F772" s="1480"/>
      <c r="G772" s="1480"/>
      <c r="H772" s="1481"/>
      <c r="I772" s="1482"/>
      <c r="J772" s="1483"/>
      <c r="K772" s="1483"/>
      <c r="L772" s="1528"/>
      <c r="M772" s="1483"/>
      <c r="N772" s="1484"/>
      <c r="O772" s="1481"/>
      <c r="P772" s="1485"/>
      <c r="Q772" s="1485"/>
      <c r="R772" s="1485"/>
      <c r="S772" s="1485"/>
      <c r="T772" s="1485"/>
      <c r="U772" s="1485"/>
      <c r="V772" s="1484"/>
      <c r="W772" s="1366"/>
      <c r="X772" s="1366"/>
      <c r="Y772" s="1366"/>
      <c r="Z772" s="1366"/>
      <c r="AA772" s="1366"/>
      <c r="AB772" s="1366"/>
      <c r="AC772" s="1366"/>
      <c r="AD772" s="1366"/>
      <c r="AE772" s="1366"/>
      <c r="AF772" s="1366"/>
      <c r="AG772" s="1366"/>
      <c r="AH772" s="1366"/>
      <c r="AI772" s="1366"/>
      <c r="AJ772" s="1366"/>
      <c r="AK772" s="1366"/>
      <c r="AL772" s="1366"/>
      <c r="AM772" s="1366"/>
      <c r="AN772" s="1366"/>
      <c r="AO772" s="1366"/>
      <c r="AP772" s="1366"/>
      <c r="AQ772" s="1366"/>
      <c r="AR772" s="1366"/>
      <c r="AS772" s="1366"/>
      <c r="AT772" s="1366"/>
      <c r="AU772" s="1366"/>
      <c r="AV772" s="1366"/>
      <c r="AW772" s="1366"/>
      <c r="AX772" s="1366"/>
      <c r="AY772" s="1366"/>
      <c r="AZ772" s="1366"/>
      <c r="BA772" s="1366"/>
      <c r="BB772" s="1366"/>
      <c r="BC772" s="1366"/>
      <c r="BD772" s="1366"/>
      <c r="BE772" s="1366"/>
      <c r="BF772" s="1366"/>
      <c r="BG772" s="1366"/>
      <c r="BH772" s="1366"/>
      <c r="BI772" s="1366"/>
      <c r="BJ772" s="1366"/>
      <c r="BK772" s="1366"/>
      <c r="BL772" s="1366"/>
      <c r="BM772" s="1366"/>
      <c r="BN772" s="1366"/>
      <c r="BO772" s="1366"/>
      <c r="BP772" s="1366"/>
      <c r="BQ772" s="1366"/>
      <c r="BR772" s="1366"/>
      <c r="BS772" s="1366"/>
      <c r="BT772" s="1366"/>
      <c r="BU772" s="1366"/>
      <c r="BV772" s="1366"/>
      <c r="BW772" s="1366"/>
      <c r="BX772" s="1366"/>
      <c r="BY772" s="1366"/>
      <c r="BZ772" s="1366"/>
      <c r="CA772" s="1366"/>
      <c r="CB772" s="1366"/>
      <c r="CC772" s="1366"/>
      <c r="CD772" s="1366"/>
      <c r="CE772" s="1366"/>
      <c r="CF772" s="1366"/>
      <c r="CG772" s="1366"/>
      <c r="CH772" s="1366"/>
      <c r="CI772" s="1366"/>
      <c r="CJ772" s="1366"/>
      <c r="CK772" s="1366"/>
      <c r="CL772" s="1366"/>
      <c r="CM772" s="1366"/>
      <c r="CN772" s="1366"/>
      <c r="CO772" s="1366"/>
      <c r="CP772" s="1366"/>
      <c r="CQ772" s="1366"/>
      <c r="CR772" s="1366"/>
      <c r="CS772" s="1366"/>
      <c r="CT772" s="1366"/>
      <c r="CU772" s="1366"/>
      <c r="CV772" s="1366"/>
      <c r="CW772" s="1366"/>
      <c r="CX772" s="1366"/>
      <c r="CY772" s="1366"/>
      <c r="CZ772" s="1366"/>
      <c r="DA772" s="1366"/>
      <c r="DB772" s="1366"/>
      <c r="DC772" s="1366"/>
      <c r="DD772" s="1366"/>
      <c r="DE772" s="1366"/>
      <c r="DF772" s="1366"/>
      <c r="DG772" s="1366"/>
      <c r="DH772" s="1366"/>
      <c r="DI772" s="1366"/>
      <c r="DJ772" s="1366"/>
      <c r="DK772" s="1366"/>
      <c r="DL772" s="1366"/>
      <c r="DM772" s="1366"/>
      <c r="DN772" s="1366"/>
      <c r="DO772" s="1366"/>
      <c r="DP772" s="1366"/>
      <c r="DQ772" s="1366"/>
      <c r="DR772" s="1366"/>
      <c r="DS772" s="1366"/>
      <c r="DT772" s="1366"/>
      <c r="DU772" s="1366"/>
      <c r="DV772" s="1366"/>
    </row>
    <row r="773" spans="1:126" s="1367" customFormat="1" hidden="1">
      <c r="A773" s="2494"/>
      <c r="B773" s="1643"/>
      <c r="C773" s="1674"/>
      <c r="D773" s="1480"/>
      <c r="E773" s="1480"/>
      <c r="F773" s="1480"/>
      <c r="G773" s="1480"/>
      <c r="H773" s="1481"/>
      <c r="I773" s="1482"/>
      <c r="J773" s="1483"/>
      <c r="K773" s="1483"/>
      <c r="L773" s="1528"/>
      <c r="M773" s="1483"/>
      <c r="N773" s="1484"/>
      <c r="O773" s="1481"/>
      <c r="P773" s="1485"/>
      <c r="Q773" s="1485"/>
      <c r="R773" s="1485"/>
      <c r="S773" s="1485"/>
      <c r="T773" s="1485"/>
      <c r="U773" s="1485"/>
      <c r="V773" s="1484"/>
      <c r="W773" s="1366"/>
      <c r="X773" s="1366"/>
      <c r="Y773" s="1366"/>
      <c r="Z773" s="1366"/>
      <c r="AA773" s="1366"/>
      <c r="AB773" s="1366"/>
      <c r="AC773" s="1366"/>
      <c r="AD773" s="1366"/>
      <c r="AE773" s="1366"/>
      <c r="AF773" s="1366"/>
      <c r="AG773" s="1366"/>
      <c r="AH773" s="1366"/>
      <c r="AI773" s="1366"/>
      <c r="AJ773" s="1366"/>
      <c r="AK773" s="1366"/>
      <c r="AL773" s="1366"/>
      <c r="AM773" s="1366"/>
      <c r="AN773" s="1366"/>
      <c r="AO773" s="1366"/>
      <c r="AP773" s="1366"/>
      <c r="AQ773" s="1366"/>
      <c r="AR773" s="1366"/>
      <c r="AS773" s="1366"/>
      <c r="AT773" s="1366"/>
      <c r="AU773" s="1366"/>
      <c r="AV773" s="1366"/>
      <c r="AW773" s="1366"/>
      <c r="AX773" s="1366"/>
      <c r="AY773" s="1366"/>
      <c r="AZ773" s="1366"/>
      <c r="BA773" s="1366"/>
      <c r="BB773" s="1366"/>
      <c r="BC773" s="1366"/>
      <c r="BD773" s="1366"/>
      <c r="BE773" s="1366"/>
      <c r="BF773" s="1366"/>
      <c r="BG773" s="1366"/>
      <c r="BH773" s="1366"/>
      <c r="BI773" s="1366"/>
      <c r="BJ773" s="1366"/>
      <c r="BK773" s="1366"/>
      <c r="BL773" s="1366"/>
      <c r="BM773" s="1366"/>
      <c r="BN773" s="1366"/>
      <c r="BO773" s="1366"/>
      <c r="BP773" s="1366"/>
      <c r="BQ773" s="1366"/>
      <c r="BR773" s="1366"/>
      <c r="BS773" s="1366"/>
      <c r="BT773" s="1366"/>
      <c r="BU773" s="1366"/>
      <c r="BV773" s="1366"/>
      <c r="BW773" s="1366"/>
      <c r="BX773" s="1366"/>
      <c r="BY773" s="1366"/>
      <c r="BZ773" s="1366"/>
      <c r="CA773" s="1366"/>
      <c r="CB773" s="1366"/>
      <c r="CC773" s="1366"/>
      <c r="CD773" s="1366"/>
      <c r="CE773" s="1366"/>
      <c r="CF773" s="1366"/>
      <c r="CG773" s="1366"/>
      <c r="CH773" s="1366"/>
      <c r="CI773" s="1366"/>
      <c r="CJ773" s="1366"/>
      <c r="CK773" s="1366"/>
      <c r="CL773" s="1366"/>
      <c r="CM773" s="1366"/>
      <c r="CN773" s="1366"/>
      <c r="CO773" s="1366"/>
      <c r="CP773" s="1366"/>
      <c r="CQ773" s="1366"/>
      <c r="CR773" s="1366"/>
      <c r="CS773" s="1366"/>
      <c r="CT773" s="1366"/>
      <c r="CU773" s="1366"/>
      <c r="CV773" s="1366"/>
      <c r="CW773" s="1366"/>
      <c r="CX773" s="1366"/>
      <c r="CY773" s="1366"/>
      <c r="CZ773" s="1366"/>
      <c r="DA773" s="1366"/>
      <c r="DB773" s="1366"/>
      <c r="DC773" s="1366"/>
      <c r="DD773" s="1366"/>
      <c r="DE773" s="1366"/>
      <c r="DF773" s="1366"/>
      <c r="DG773" s="1366"/>
      <c r="DH773" s="1366"/>
      <c r="DI773" s="1366"/>
      <c r="DJ773" s="1366"/>
      <c r="DK773" s="1366"/>
      <c r="DL773" s="1366"/>
      <c r="DM773" s="1366"/>
      <c r="DN773" s="1366"/>
      <c r="DO773" s="1366"/>
      <c r="DP773" s="1366"/>
      <c r="DQ773" s="1366"/>
      <c r="DR773" s="1366"/>
      <c r="DS773" s="1366"/>
      <c r="DT773" s="1366"/>
      <c r="DU773" s="1366"/>
      <c r="DV773" s="1366"/>
    </row>
    <row r="774" spans="1:126" s="1367" customFormat="1" hidden="1">
      <c r="A774" s="2494"/>
      <c r="B774" s="1643"/>
      <c r="C774" s="1674"/>
      <c r="D774" s="1480"/>
      <c r="E774" s="1480"/>
      <c r="F774" s="1480"/>
      <c r="G774" s="1480"/>
      <c r="H774" s="1481"/>
      <c r="I774" s="1482"/>
      <c r="J774" s="1483"/>
      <c r="K774" s="1483"/>
      <c r="L774" s="1528"/>
      <c r="M774" s="1483"/>
      <c r="N774" s="1484"/>
      <c r="O774" s="1481"/>
      <c r="P774" s="1485"/>
      <c r="Q774" s="1485"/>
      <c r="R774" s="1485"/>
      <c r="S774" s="1485"/>
      <c r="T774" s="1485"/>
      <c r="U774" s="1485"/>
      <c r="V774" s="1484"/>
      <c r="W774" s="1366"/>
      <c r="X774" s="1366"/>
      <c r="Y774" s="1366"/>
      <c r="Z774" s="1366"/>
      <c r="AA774" s="1366"/>
      <c r="AB774" s="1366"/>
      <c r="AC774" s="1366"/>
      <c r="AD774" s="1366"/>
      <c r="AE774" s="1366"/>
      <c r="AF774" s="1366"/>
      <c r="AG774" s="1366"/>
      <c r="AH774" s="1366"/>
      <c r="AI774" s="1366"/>
      <c r="AJ774" s="1366"/>
      <c r="AK774" s="1366"/>
      <c r="AL774" s="1366"/>
      <c r="AM774" s="1366"/>
      <c r="AN774" s="1366"/>
      <c r="AO774" s="1366"/>
      <c r="AP774" s="1366"/>
      <c r="AQ774" s="1366"/>
      <c r="AR774" s="1366"/>
      <c r="AS774" s="1366"/>
      <c r="AT774" s="1366"/>
      <c r="AU774" s="1366"/>
      <c r="AV774" s="1366"/>
      <c r="AW774" s="1366"/>
      <c r="AX774" s="1366"/>
      <c r="AY774" s="1366"/>
      <c r="AZ774" s="1366"/>
      <c r="BA774" s="1366"/>
      <c r="BB774" s="1366"/>
      <c r="BC774" s="1366"/>
      <c r="BD774" s="1366"/>
      <c r="BE774" s="1366"/>
      <c r="BF774" s="1366"/>
      <c r="BG774" s="1366"/>
      <c r="BH774" s="1366"/>
      <c r="BI774" s="1366"/>
      <c r="BJ774" s="1366"/>
      <c r="BK774" s="1366"/>
      <c r="BL774" s="1366"/>
      <c r="BM774" s="1366"/>
      <c r="BN774" s="1366"/>
      <c r="BO774" s="1366"/>
      <c r="BP774" s="1366"/>
      <c r="BQ774" s="1366"/>
      <c r="BR774" s="1366"/>
      <c r="BS774" s="1366"/>
      <c r="BT774" s="1366"/>
      <c r="BU774" s="1366"/>
      <c r="BV774" s="1366"/>
      <c r="BW774" s="1366"/>
      <c r="BX774" s="1366"/>
      <c r="BY774" s="1366"/>
      <c r="BZ774" s="1366"/>
      <c r="CA774" s="1366"/>
      <c r="CB774" s="1366"/>
      <c r="CC774" s="1366"/>
      <c r="CD774" s="1366"/>
      <c r="CE774" s="1366"/>
      <c r="CF774" s="1366"/>
      <c r="CG774" s="1366"/>
      <c r="CH774" s="1366"/>
      <c r="CI774" s="1366"/>
      <c r="CJ774" s="1366"/>
      <c r="CK774" s="1366"/>
      <c r="CL774" s="1366"/>
      <c r="CM774" s="1366"/>
      <c r="CN774" s="1366"/>
      <c r="CO774" s="1366"/>
      <c r="CP774" s="1366"/>
      <c r="CQ774" s="1366"/>
      <c r="CR774" s="1366"/>
      <c r="CS774" s="1366"/>
      <c r="CT774" s="1366"/>
      <c r="CU774" s="1366"/>
      <c r="CV774" s="1366"/>
      <c r="CW774" s="1366"/>
      <c r="CX774" s="1366"/>
      <c r="CY774" s="1366"/>
      <c r="CZ774" s="1366"/>
      <c r="DA774" s="1366"/>
      <c r="DB774" s="1366"/>
      <c r="DC774" s="1366"/>
      <c r="DD774" s="1366"/>
      <c r="DE774" s="1366"/>
      <c r="DF774" s="1366"/>
      <c r="DG774" s="1366"/>
      <c r="DH774" s="1366"/>
      <c r="DI774" s="1366"/>
      <c r="DJ774" s="1366"/>
      <c r="DK774" s="1366"/>
      <c r="DL774" s="1366"/>
      <c r="DM774" s="1366"/>
      <c r="DN774" s="1366"/>
      <c r="DO774" s="1366"/>
      <c r="DP774" s="1366"/>
      <c r="DQ774" s="1366"/>
      <c r="DR774" s="1366"/>
      <c r="DS774" s="1366"/>
      <c r="DT774" s="1366"/>
      <c r="DU774" s="1366"/>
      <c r="DV774" s="1366"/>
    </row>
    <row r="775" spans="1:126" s="1367" customFormat="1" hidden="1">
      <c r="A775" s="2494"/>
      <c r="B775" s="1643"/>
      <c r="C775" s="1674"/>
      <c r="D775" s="1480"/>
      <c r="E775" s="1480"/>
      <c r="F775" s="1480"/>
      <c r="G775" s="1480"/>
      <c r="H775" s="1481"/>
      <c r="I775" s="1482"/>
      <c r="J775" s="1483"/>
      <c r="K775" s="1483"/>
      <c r="L775" s="1528"/>
      <c r="M775" s="1483"/>
      <c r="N775" s="1484"/>
      <c r="O775" s="1481"/>
      <c r="P775" s="1485"/>
      <c r="Q775" s="1485"/>
      <c r="R775" s="1485"/>
      <c r="S775" s="1485"/>
      <c r="T775" s="1485"/>
      <c r="U775" s="1485"/>
      <c r="V775" s="1484"/>
      <c r="W775" s="1366"/>
      <c r="X775" s="1366"/>
      <c r="Y775" s="1366"/>
      <c r="Z775" s="1366"/>
      <c r="AA775" s="1366"/>
      <c r="AB775" s="1366"/>
      <c r="AC775" s="1366"/>
      <c r="AD775" s="1366"/>
      <c r="AE775" s="1366"/>
      <c r="AF775" s="1366"/>
      <c r="AG775" s="1366"/>
      <c r="AH775" s="1366"/>
      <c r="AI775" s="1366"/>
      <c r="AJ775" s="1366"/>
      <c r="AK775" s="1366"/>
      <c r="AL775" s="1366"/>
      <c r="AM775" s="1366"/>
      <c r="AN775" s="1366"/>
      <c r="AO775" s="1366"/>
      <c r="AP775" s="1366"/>
      <c r="AQ775" s="1366"/>
      <c r="AR775" s="1366"/>
      <c r="AS775" s="1366"/>
      <c r="AT775" s="1366"/>
      <c r="AU775" s="1366"/>
      <c r="AV775" s="1366"/>
      <c r="AW775" s="1366"/>
      <c r="AX775" s="1366"/>
      <c r="AY775" s="1366"/>
      <c r="AZ775" s="1366"/>
      <c r="BA775" s="1366"/>
      <c r="BB775" s="1366"/>
      <c r="BC775" s="1366"/>
      <c r="BD775" s="1366"/>
      <c r="BE775" s="1366"/>
      <c r="BF775" s="1366"/>
      <c r="BG775" s="1366"/>
      <c r="BH775" s="1366"/>
      <c r="BI775" s="1366"/>
      <c r="BJ775" s="1366"/>
      <c r="BK775" s="1366"/>
      <c r="BL775" s="1366"/>
      <c r="BM775" s="1366"/>
      <c r="BN775" s="1366"/>
      <c r="BO775" s="1366"/>
      <c r="BP775" s="1366"/>
      <c r="BQ775" s="1366"/>
      <c r="BR775" s="1366"/>
      <c r="BS775" s="1366"/>
      <c r="BT775" s="1366"/>
      <c r="BU775" s="1366"/>
      <c r="BV775" s="1366"/>
      <c r="BW775" s="1366"/>
      <c r="BX775" s="1366"/>
      <c r="BY775" s="1366"/>
      <c r="BZ775" s="1366"/>
      <c r="CA775" s="1366"/>
      <c r="CB775" s="1366"/>
      <c r="CC775" s="1366"/>
      <c r="CD775" s="1366"/>
      <c r="CE775" s="1366"/>
      <c r="CF775" s="1366"/>
      <c r="CG775" s="1366"/>
      <c r="CH775" s="1366"/>
      <c r="CI775" s="1366"/>
      <c r="CJ775" s="1366"/>
      <c r="CK775" s="1366"/>
      <c r="CL775" s="1366"/>
      <c r="CM775" s="1366"/>
      <c r="CN775" s="1366"/>
      <c r="CO775" s="1366"/>
      <c r="CP775" s="1366"/>
      <c r="CQ775" s="1366"/>
      <c r="CR775" s="1366"/>
      <c r="CS775" s="1366"/>
      <c r="CT775" s="1366"/>
      <c r="CU775" s="1366"/>
      <c r="CV775" s="1366"/>
      <c r="CW775" s="1366"/>
      <c r="CX775" s="1366"/>
      <c r="CY775" s="1366"/>
      <c r="CZ775" s="1366"/>
      <c r="DA775" s="1366"/>
      <c r="DB775" s="1366"/>
      <c r="DC775" s="1366"/>
      <c r="DD775" s="1366"/>
      <c r="DE775" s="1366"/>
      <c r="DF775" s="1366"/>
      <c r="DG775" s="1366"/>
      <c r="DH775" s="1366"/>
      <c r="DI775" s="1366"/>
      <c r="DJ775" s="1366"/>
      <c r="DK775" s="1366"/>
      <c r="DL775" s="1366"/>
      <c r="DM775" s="1366"/>
      <c r="DN775" s="1366"/>
      <c r="DO775" s="1366"/>
      <c r="DP775" s="1366"/>
      <c r="DQ775" s="1366"/>
      <c r="DR775" s="1366"/>
      <c r="DS775" s="1366"/>
      <c r="DT775" s="1366"/>
      <c r="DU775" s="1366"/>
      <c r="DV775" s="1366"/>
    </row>
    <row r="776" spans="1:126" s="1367" customFormat="1" hidden="1">
      <c r="A776" s="2494"/>
      <c r="B776" s="1643"/>
      <c r="C776" s="1674"/>
      <c r="D776" s="1480"/>
      <c r="E776" s="1480"/>
      <c r="F776" s="1480"/>
      <c r="G776" s="1480"/>
      <c r="H776" s="1481"/>
      <c r="I776" s="1482"/>
      <c r="J776" s="1483"/>
      <c r="K776" s="1483"/>
      <c r="L776" s="1528"/>
      <c r="M776" s="1483"/>
      <c r="N776" s="1484"/>
      <c r="O776" s="1481"/>
      <c r="P776" s="1485"/>
      <c r="Q776" s="1485"/>
      <c r="R776" s="1485"/>
      <c r="S776" s="1485"/>
      <c r="T776" s="1485"/>
      <c r="U776" s="1485"/>
      <c r="V776" s="1484"/>
      <c r="W776" s="1366"/>
      <c r="X776" s="1366"/>
      <c r="Y776" s="1366"/>
      <c r="Z776" s="1366"/>
      <c r="AA776" s="1366"/>
      <c r="AB776" s="1366"/>
      <c r="AC776" s="1366"/>
      <c r="AD776" s="1366"/>
      <c r="AE776" s="1366"/>
      <c r="AF776" s="1366"/>
      <c r="AG776" s="1366"/>
      <c r="AH776" s="1366"/>
      <c r="AI776" s="1366"/>
      <c r="AJ776" s="1366"/>
      <c r="AK776" s="1366"/>
      <c r="AL776" s="1366"/>
      <c r="AM776" s="1366"/>
      <c r="AN776" s="1366"/>
      <c r="AO776" s="1366"/>
      <c r="AP776" s="1366"/>
      <c r="AQ776" s="1366"/>
      <c r="AR776" s="1366"/>
      <c r="AS776" s="1366"/>
      <c r="AT776" s="1366"/>
      <c r="AU776" s="1366"/>
      <c r="AV776" s="1366"/>
      <c r="AW776" s="1366"/>
      <c r="AX776" s="1366"/>
      <c r="AY776" s="1366"/>
      <c r="AZ776" s="1366"/>
      <c r="BA776" s="1366"/>
      <c r="BB776" s="1366"/>
      <c r="BC776" s="1366"/>
      <c r="BD776" s="1366"/>
      <c r="BE776" s="1366"/>
      <c r="BF776" s="1366"/>
      <c r="BG776" s="1366"/>
      <c r="BH776" s="1366"/>
      <c r="BI776" s="1366"/>
      <c r="BJ776" s="1366"/>
      <c r="BK776" s="1366"/>
      <c r="BL776" s="1366"/>
      <c r="BM776" s="1366"/>
      <c r="BN776" s="1366"/>
      <c r="BO776" s="1366"/>
      <c r="BP776" s="1366"/>
      <c r="BQ776" s="1366"/>
      <c r="BR776" s="1366"/>
      <c r="BS776" s="1366"/>
      <c r="BT776" s="1366"/>
      <c r="BU776" s="1366"/>
      <c r="BV776" s="1366"/>
      <c r="BW776" s="1366"/>
      <c r="BX776" s="1366"/>
      <c r="BY776" s="1366"/>
      <c r="BZ776" s="1366"/>
      <c r="CA776" s="1366"/>
      <c r="CB776" s="1366"/>
      <c r="CC776" s="1366"/>
      <c r="CD776" s="1366"/>
      <c r="CE776" s="1366"/>
      <c r="CF776" s="1366"/>
      <c r="CG776" s="1366"/>
      <c r="CH776" s="1366"/>
      <c r="CI776" s="1366"/>
      <c r="CJ776" s="1366"/>
      <c r="CK776" s="1366"/>
      <c r="CL776" s="1366"/>
      <c r="CM776" s="1366"/>
      <c r="CN776" s="1366"/>
      <c r="CO776" s="1366"/>
      <c r="CP776" s="1366"/>
      <c r="CQ776" s="1366"/>
      <c r="CR776" s="1366"/>
      <c r="CS776" s="1366"/>
      <c r="CT776" s="1366"/>
      <c r="CU776" s="1366"/>
      <c r="CV776" s="1366"/>
      <c r="CW776" s="1366"/>
      <c r="CX776" s="1366"/>
      <c r="CY776" s="1366"/>
      <c r="CZ776" s="1366"/>
      <c r="DA776" s="1366"/>
      <c r="DB776" s="1366"/>
      <c r="DC776" s="1366"/>
      <c r="DD776" s="1366"/>
      <c r="DE776" s="1366"/>
      <c r="DF776" s="1366"/>
      <c r="DG776" s="1366"/>
      <c r="DH776" s="1366"/>
      <c r="DI776" s="1366"/>
      <c r="DJ776" s="1366"/>
      <c r="DK776" s="1366"/>
      <c r="DL776" s="1366"/>
      <c r="DM776" s="1366"/>
      <c r="DN776" s="1366"/>
      <c r="DO776" s="1366"/>
      <c r="DP776" s="1366"/>
      <c r="DQ776" s="1366"/>
      <c r="DR776" s="1366"/>
      <c r="DS776" s="1366"/>
      <c r="DT776" s="1366"/>
      <c r="DU776" s="1366"/>
      <c r="DV776" s="1366"/>
    </row>
    <row r="777" spans="1:126" s="1367" customFormat="1" hidden="1">
      <c r="A777" s="2494"/>
      <c r="B777" s="1643"/>
      <c r="C777" s="1674"/>
      <c r="D777" s="1480"/>
      <c r="E777" s="1480"/>
      <c r="F777" s="1480"/>
      <c r="G777" s="1480"/>
      <c r="H777" s="1481"/>
      <c r="I777" s="1482"/>
      <c r="J777" s="1483"/>
      <c r="K777" s="1483"/>
      <c r="L777" s="1528"/>
      <c r="M777" s="1483"/>
      <c r="N777" s="1484"/>
      <c r="O777" s="1481"/>
      <c r="P777" s="1485"/>
      <c r="Q777" s="1485"/>
      <c r="R777" s="1485"/>
      <c r="S777" s="1485"/>
      <c r="T777" s="1485"/>
      <c r="U777" s="1485"/>
      <c r="V777" s="1484"/>
      <c r="W777" s="1366"/>
      <c r="X777" s="1366"/>
      <c r="Y777" s="1366"/>
      <c r="Z777" s="1366"/>
      <c r="AA777" s="1366"/>
      <c r="AB777" s="1366"/>
      <c r="AC777" s="1366"/>
      <c r="AD777" s="1366"/>
      <c r="AE777" s="1366"/>
      <c r="AF777" s="1366"/>
      <c r="AG777" s="1366"/>
      <c r="AH777" s="1366"/>
      <c r="AI777" s="1366"/>
      <c r="AJ777" s="1366"/>
      <c r="AK777" s="1366"/>
      <c r="AL777" s="1366"/>
      <c r="AM777" s="1366"/>
      <c r="AN777" s="1366"/>
      <c r="AO777" s="1366"/>
      <c r="AP777" s="1366"/>
      <c r="AQ777" s="1366"/>
      <c r="AR777" s="1366"/>
      <c r="AS777" s="1366"/>
      <c r="AT777" s="1366"/>
      <c r="AU777" s="1366"/>
      <c r="AV777" s="1366"/>
      <c r="AW777" s="1366"/>
      <c r="AX777" s="1366"/>
      <c r="AY777" s="1366"/>
      <c r="AZ777" s="1366"/>
      <c r="BA777" s="1366"/>
      <c r="BB777" s="1366"/>
      <c r="BC777" s="1366"/>
      <c r="BD777" s="1366"/>
      <c r="BE777" s="1366"/>
      <c r="BF777" s="1366"/>
      <c r="BG777" s="1366"/>
      <c r="BH777" s="1366"/>
      <c r="BI777" s="1366"/>
      <c r="BJ777" s="1366"/>
      <c r="BK777" s="1366"/>
      <c r="BL777" s="1366"/>
      <c r="BM777" s="1366"/>
      <c r="BN777" s="1366"/>
      <c r="BO777" s="1366"/>
      <c r="BP777" s="1366"/>
      <c r="BQ777" s="1366"/>
      <c r="BR777" s="1366"/>
      <c r="BS777" s="1366"/>
      <c r="BT777" s="1366"/>
      <c r="BU777" s="1366"/>
      <c r="BV777" s="1366"/>
      <c r="BW777" s="1366"/>
      <c r="BX777" s="1366"/>
      <c r="BY777" s="1366"/>
      <c r="BZ777" s="1366"/>
      <c r="CA777" s="1366"/>
      <c r="CB777" s="1366"/>
      <c r="CC777" s="1366"/>
      <c r="CD777" s="1366"/>
      <c r="CE777" s="1366"/>
      <c r="CF777" s="1366"/>
      <c r="CG777" s="1366"/>
      <c r="CH777" s="1366"/>
      <c r="CI777" s="1366"/>
      <c r="CJ777" s="1366"/>
      <c r="CK777" s="1366"/>
      <c r="CL777" s="1366"/>
      <c r="CM777" s="1366"/>
      <c r="CN777" s="1366"/>
      <c r="CO777" s="1366"/>
      <c r="CP777" s="1366"/>
      <c r="CQ777" s="1366"/>
      <c r="CR777" s="1366"/>
      <c r="CS777" s="1366"/>
      <c r="CT777" s="1366"/>
      <c r="CU777" s="1366"/>
      <c r="CV777" s="1366"/>
      <c r="CW777" s="1366"/>
      <c r="CX777" s="1366"/>
      <c r="CY777" s="1366"/>
      <c r="CZ777" s="1366"/>
      <c r="DA777" s="1366"/>
      <c r="DB777" s="1366"/>
      <c r="DC777" s="1366"/>
      <c r="DD777" s="1366"/>
      <c r="DE777" s="1366"/>
      <c r="DF777" s="1366"/>
      <c r="DG777" s="1366"/>
      <c r="DH777" s="1366"/>
      <c r="DI777" s="1366"/>
      <c r="DJ777" s="1366"/>
      <c r="DK777" s="1366"/>
      <c r="DL777" s="1366"/>
      <c r="DM777" s="1366"/>
      <c r="DN777" s="1366"/>
      <c r="DO777" s="1366"/>
      <c r="DP777" s="1366"/>
      <c r="DQ777" s="1366"/>
      <c r="DR777" s="1366"/>
      <c r="DS777" s="1366"/>
      <c r="DT777" s="1366"/>
      <c r="DU777" s="1366"/>
      <c r="DV777" s="1366"/>
    </row>
    <row r="778" spans="1:126" s="1367" customFormat="1" hidden="1">
      <c r="A778" s="2494"/>
      <c r="B778" s="1643"/>
      <c r="C778" s="1674"/>
      <c r="D778" s="1480"/>
      <c r="E778" s="1480"/>
      <c r="F778" s="1480"/>
      <c r="G778" s="1480"/>
      <c r="H778" s="1481"/>
      <c r="I778" s="1482"/>
      <c r="J778" s="1483"/>
      <c r="K778" s="1483"/>
      <c r="L778" s="1528"/>
      <c r="M778" s="1483"/>
      <c r="N778" s="1484"/>
      <c r="O778" s="1481"/>
      <c r="P778" s="1485"/>
      <c r="Q778" s="1485"/>
      <c r="R778" s="1485"/>
      <c r="S778" s="1485"/>
      <c r="T778" s="1485"/>
      <c r="U778" s="1485"/>
      <c r="V778" s="1484"/>
      <c r="W778" s="1366"/>
      <c r="X778" s="1366"/>
      <c r="Y778" s="1366"/>
      <c r="Z778" s="1366"/>
      <c r="AA778" s="1366"/>
      <c r="AB778" s="1366"/>
      <c r="AC778" s="1366"/>
      <c r="AD778" s="1366"/>
      <c r="AE778" s="1366"/>
      <c r="AF778" s="1366"/>
      <c r="AG778" s="1366"/>
      <c r="AH778" s="1366"/>
      <c r="AI778" s="1366"/>
      <c r="AJ778" s="1366"/>
      <c r="AK778" s="1366"/>
      <c r="AL778" s="1366"/>
      <c r="AM778" s="1366"/>
      <c r="AN778" s="1366"/>
      <c r="AO778" s="1366"/>
      <c r="AP778" s="1366"/>
      <c r="AQ778" s="1366"/>
      <c r="AR778" s="1366"/>
      <c r="AS778" s="1366"/>
      <c r="AT778" s="1366"/>
      <c r="AU778" s="1366"/>
      <c r="AV778" s="1366"/>
      <c r="AW778" s="1366"/>
      <c r="AX778" s="1366"/>
      <c r="AY778" s="1366"/>
      <c r="AZ778" s="1366"/>
      <c r="BA778" s="1366"/>
      <c r="BB778" s="1366"/>
      <c r="BC778" s="1366"/>
      <c r="BD778" s="1366"/>
      <c r="BE778" s="1366"/>
      <c r="BF778" s="1366"/>
      <c r="BG778" s="1366"/>
      <c r="BH778" s="1366"/>
      <c r="BI778" s="1366"/>
      <c r="BJ778" s="1366"/>
      <c r="BK778" s="1366"/>
      <c r="BL778" s="1366"/>
      <c r="BM778" s="1366"/>
      <c r="BN778" s="1366"/>
      <c r="BO778" s="1366"/>
      <c r="BP778" s="1366"/>
      <c r="BQ778" s="1366"/>
      <c r="BR778" s="1366"/>
      <c r="BS778" s="1366"/>
      <c r="BT778" s="1366"/>
      <c r="BU778" s="1366"/>
      <c r="BV778" s="1366"/>
      <c r="BW778" s="1366"/>
      <c r="BX778" s="1366"/>
      <c r="BY778" s="1366"/>
      <c r="BZ778" s="1366"/>
      <c r="CA778" s="1366"/>
      <c r="CB778" s="1366"/>
      <c r="CC778" s="1366"/>
      <c r="CD778" s="1366"/>
      <c r="CE778" s="1366"/>
      <c r="CF778" s="1366"/>
      <c r="CG778" s="1366"/>
      <c r="CH778" s="1366"/>
      <c r="CI778" s="1366"/>
      <c r="CJ778" s="1366"/>
      <c r="CK778" s="1366"/>
      <c r="CL778" s="1366"/>
      <c r="CM778" s="1366"/>
      <c r="CN778" s="1366"/>
      <c r="CO778" s="1366"/>
      <c r="CP778" s="1366"/>
      <c r="CQ778" s="1366"/>
      <c r="CR778" s="1366"/>
      <c r="CS778" s="1366"/>
      <c r="CT778" s="1366"/>
      <c r="CU778" s="1366"/>
      <c r="CV778" s="1366"/>
      <c r="CW778" s="1366"/>
      <c r="CX778" s="1366"/>
      <c r="CY778" s="1366"/>
      <c r="CZ778" s="1366"/>
      <c r="DA778" s="1366"/>
      <c r="DB778" s="1366"/>
      <c r="DC778" s="1366"/>
      <c r="DD778" s="1366"/>
      <c r="DE778" s="1366"/>
      <c r="DF778" s="1366"/>
      <c r="DG778" s="1366"/>
      <c r="DH778" s="1366"/>
      <c r="DI778" s="1366"/>
      <c r="DJ778" s="1366"/>
      <c r="DK778" s="1366"/>
      <c r="DL778" s="1366"/>
      <c r="DM778" s="1366"/>
      <c r="DN778" s="1366"/>
      <c r="DO778" s="1366"/>
      <c r="DP778" s="1366"/>
      <c r="DQ778" s="1366"/>
      <c r="DR778" s="1366"/>
      <c r="DS778" s="1366"/>
      <c r="DT778" s="1366"/>
      <c r="DU778" s="1366"/>
      <c r="DV778" s="1366"/>
    </row>
    <row r="779" spans="1:126" s="1367" customFormat="1" hidden="1">
      <c r="A779" s="2494"/>
      <c r="B779" s="1643"/>
      <c r="C779" s="1674"/>
      <c r="D779" s="1480"/>
      <c r="E779" s="1480"/>
      <c r="F779" s="1480"/>
      <c r="G779" s="1480"/>
      <c r="H779" s="1481"/>
      <c r="I779" s="1482"/>
      <c r="J779" s="1483"/>
      <c r="K779" s="1483"/>
      <c r="L779" s="1528"/>
      <c r="M779" s="1483"/>
      <c r="N779" s="1484"/>
      <c r="O779" s="1481"/>
      <c r="P779" s="1485"/>
      <c r="Q779" s="1485"/>
      <c r="R779" s="1485"/>
      <c r="S779" s="1485"/>
      <c r="T779" s="1485"/>
      <c r="U779" s="1485"/>
      <c r="V779" s="1484"/>
      <c r="W779" s="1366"/>
      <c r="X779" s="1366"/>
      <c r="Y779" s="1366"/>
      <c r="Z779" s="1366"/>
      <c r="AA779" s="1366"/>
      <c r="AB779" s="1366"/>
      <c r="AC779" s="1366"/>
      <c r="AD779" s="1366"/>
      <c r="AE779" s="1366"/>
      <c r="AF779" s="1366"/>
      <c r="AG779" s="1366"/>
      <c r="AH779" s="1366"/>
      <c r="AI779" s="1366"/>
      <c r="AJ779" s="1366"/>
      <c r="AK779" s="1366"/>
      <c r="AL779" s="1366"/>
      <c r="AM779" s="1366"/>
      <c r="AN779" s="1366"/>
      <c r="AO779" s="1366"/>
      <c r="AP779" s="1366"/>
      <c r="AQ779" s="1366"/>
      <c r="AR779" s="1366"/>
      <c r="AS779" s="1366"/>
      <c r="AT779" s="1366"/>
      <c r="AU779" s="1366"/>
      <c r="AV779" s="1366"/>
      <c r="AW779" s="1366"/>
      <c r="AX779" s="1366"/>
      <c r="AY779" s="1366"/>
      <c r="AZ779" s="1366"/>
      <c r="BA779" s="1366"/>
      <c r="BB779" s="1366"/>
      <c r="BC779" s="1366"/>
      <c r="BD779" s="1366"/>
      <c r="BE779" s="1366"/>
      <c r="BF779" s="1366"/>
      <c r="BG779" s="1366"/>
      <c r="BH779" s="1366"/>
      <c r="BI779" s="1366"/>
      <c r="BJ779" s="1366"/>
      <c r="BK779" s="1366"/>
      <c r="BL779" s="1366"/>
      <c r="BM779" s="1366"/>
      <c r="BN779" s="1366"/>
      <c r="BO779" s="1366"/>
      <c r="BP779" s="1366"/>
      <c r="BQ779" s="1366"/>
      <c r="BR779" s="1366"/>
      <c r="BS779" s="1366"/>
      <c r="BT779" s="1366"/>
      <c r="BU779" s="1366"/>
      <c r="BV779" s="1366"/>
      <c r="BW779" s="1366"/>
      <c r="BX779" s="1366"/>
      <c r="BY779" s="1366"/>
      <c r="BZ779" s="1366"/>
      <c r="CA779" s="1366"/>
      <c r="CB779" s="1366"/>
      <c r="CC779" s="1366"/>
      <c r="CD779" s="1366"/>
      <c r="CE779" s="1366"/>
      <c r="CF779" s="1366"/>
      <c r="CG779" s="1366"/>
      <c r="CH779" s="1366"/>
      <c r="CI779" s="1366"/>
      <c r="CJ779" s="1366"/>
      <c r="CK779" s="1366"/>
      <c r="CL779" s="1366"/>
      <c r="CM779" s="1366"/>
      <c r="CN779" s="1366"/>
      <c r="CO779" s="1366"/>
      <c r="CP779" s="1366"/>
      <c r="CQ779" s="1366"/>
      <c r="CR779" s="1366"/>
      <c r="CS779" s="1366"/>
      <c r="CT779" s="1366"/>
      <c r="CU779" s="1366"/>
      <c r="CV779" s="1366"/>
      <c r="CW779" s="1366"/>
      <c r="CX779" s="1366"/>
      <c r="CY779" s="1366"/>
      <c r="CZ779" s="1366"/>
      <c r="DA779" s="1366"/>
      <c r="DB779" s="1366"/>
      <c r="DC779" s="1366"/>
      <c r="DD779" s="1366"/>
      <c r="DE779" s="1366"/>
      <c r="DF779" s="1366"/>
      <c r="DG779" s="1366"/>
      <c r="DH779" s="1366"/>
      <c r="DI779" s="1366"/>
      <c r="DJ779" s="1366"/>
      <c r="DK779" s="1366"/>
      <c r="DL779" s="1366"/>
      <c r="DM779" s="1366"/>
      <c r="DN779" s="1366"/>
      <c r="DO779" s="1366"/>
      <c r="DP779" s="1366"/>
      <c r="DQ779" s="1366"/>
      <c r="DR779" s="1366"/>
      <c r="DS779" s="1366"/>
      <c r="DT779" s="1366"/>
      <c r="DU779" s="1366"/>
      <c r="DV779" s="1366"/>
    </row>
    <row r="780" spans="1:126" s="1367" customFormat="1" hidden="1">
      <c r="A780" s="2494"/>
      <c r="B780" s="1643"/>
      <c r="C780" s="1674"/>
      <c r="D780" s="1480"/>
      <c r="E780" s="1480"/>
      <c r="F780" s="1480"/>
      <c r="G780" s="1480"/>
      <c r="H780" s="1481"/>
      <c r="I780" s="1482"/>
      <c r="J780" s="1483"/>
      <c r="K780" s="1483"/>
      <c r="L780" s="1528"/>
      <c r="M780" s="1483"/>
      <c r="N780" s="1484"/>
      <c r="O780" s="1481"/>
      <c r="P780" s="1485"/>
      <c r="Q780" s="1485"/>
      <c r="R780" s="1485"/>
      <c r="S780" s="1485"/>
      <c r="T780" s="1485"/>
      <c r="U780" s="1485"/>
      <c r="V780" s="1484"/>
      <c r="W780" s="1366"/>
      <c r="X780" s="1366"/>
      <c r="Y780" s="1366"/>
      <c r="Z780" s="1366"/>
      <c r="AA780" s="1366"/>
      <c r="AB780" s="1366"/>
      <c r="AC780" s="1366"/>
      <c r="AD780" s="1366"/>
      <c r="AE780" s="1366"/>
      <c r="AF780" s="1366"/>
      <c r="AG780" s="1366"/>
      <c r="AH780" s="1366"/>
      <c r="AI780" s="1366"/>
      <c r="AJ780" s="1366"/>
      <c r="AK780" s="1366"/>
      <c r="AL780" s="1366"/>
      <c r="AM780" s="1366"/>
      <c r="AN780" s="1366"/>
      <c r="AO780" s="1366"/>
      <c r="AP780" s="1366"/>
      <c r="AQ780" s="1366"/>
      <c r="AR780" s="1366"/>
      <c r="AS780" s="1366"/>
      <c r="AT780" s="1366"/>
      <c r="AU780" s="1366"/>
      <c r="AV780" s="1366"/>
      <c r="AW780" s="1366"/>
      <c r="AX780" s="1366"/>
      <c r="AY780" s="1366"/>
      <c r="AZ780" s="1366"/>
      <c r="BA780" s="1366"/>
      <c r="BB780" s="1366"/>
      <c r="BC780" s="1366"/>
      <c r="BD780" s="1366"/>
      <c r="BE780" s="1366"/>
      <c r="BF780" s="1366"/>
      <c r="BG780" s="1366"/>
      <c r="BH780" s="1366"/>
      <c r="BI780" s="1366"/>
      <c r="BJ780" s="1366"/>
      <c r="BK780" s="1366"/>
      <c r="BL780" s="1366"/>
      <c r="BM780" s="1366"/>
      <c r="BN780" s="1366"/>
      <c r="BO780" s="1366"/>
      <c r="BP780" s="1366"/>
      <c r="BQ780" s="1366"/>
      <c r="BR780" s="1366"/>
      <c r="BS780" s="1366"/>
      <c r="BT780" s="1366"/>
      <c r="BU780" s="1366"/>
      <c r="BV780" s="1366"/>
      <c r="BW780" s="1366"/>
      <c r="BX780" s="1366"/>
      <c r="BY780" s="1366"/>
      <c r="BZ780" s="1366"/>
      <c r="CA780" s="1366"/>
      <c r="CB780" s="1366"/>
      <c r="CC780" s="1366"/>
      <c r="CD780" s="1366"/>
      <c r="CE780" s="1366"/>
      <c r="CF780" s="1366"/>
      <c r="CG780" s="1366"/>
      <c r="CH780" s="1366"/>
      <c r="CI780" s="1366"/>
      <c r="CJ780" s="1366"/>
      <c r="CK780" s="1366"/>
      <c r="CL780" s="1366"/>
      <c r="CM780" s="1366"/>
      <c r="CN780" s="1366"/>
      <c r="CO780" s="1366"/>
      <c r="CP780" s="1366"/>
      <c r="CQ780" s="1366"/>
      <c r="CR780" s="1366"/>
      <c r="CS780" s="1366"/>
      <c r="CT780" s="1366"/>
      <c r="CU780" s="1366"/>
      <c r="CV780" s="1366"/>
      <c r="CW780" s="1366"/>
      <c r="CX780" s="1366"/>
      <c r="CY780" s="1366"/>
      <c r="CZ780" s="1366"/>
      <c r="DA780" s="1366"/>
      <c r="DB780" s="1366"/>
      <c r="DC780" s="1366"/>
      <c r="DD780" s="1366"/>
      <c r="DE780" s="1366"/>
      <c r="DF780" s="1366"/>
      <c r="DG780" s="1366"/>
      <c r="DH780" s="1366"/>
      <c r="DI780" s="1366"/>
      <c r="DJ780" s="1366"/>
      <c r="DK780" s="1366"/>
      <c r="DL780" s="1366"/>
      <c r="DM780" s="1366"/>
      <c r="DN780" s="1366"/>
      <c r="DO780" s="1366"/>
      <c r="DP780" s="1366"/>
      <c r="DQ780" s="1366"/>
      <c r="DR780" s="1366"/>
      <c r="DS780" s="1366"/>
      <c r="DT780" s="1366"/>
      <c r="DU780" s="1366"/>
      <c r="DV780" s="1366"/>
    </row>
    <row r="781" spans="1:126" s="1367" customFormat="1" ht="15.75" hidden="1" thickBot="1">
      <c r="A781" s="2495"/>
      <c r="B781" s="1643"/>
      <c r="C781" s="1674"/>
      <c r="D781" s="1480"/>
      <c r="E781" s="1480"/>
      <c r="F781" s="1480"/>
      <c r="G781" s="1480"/>
      <c r="H781" s="1481"/>
      <c r="I781" s="1482"/>
      <c r="J781" s="1483"/>
      <c r="K781" s="1483"/>
      <c r="L781" s="1528"/>
      <c r="M781" s="1483"/>
      <c r="N781" s="1484"/>
      <c r="O781" s="1481"/>
      <c r="P781" s="1485"/>
      <c r="Q781" s="1485"/>
      <c r="R781" s="1485"/>
      <c r="S781" s="1485"/>
      <c r="T781" s="1485"/>
      <c r="U781" s="1485"/>
      <c r="V781" s="1484"/>
      <c r="W781" s="1366"/>
      <c r="X781" s="1366"/>
      <c r="Y781" s="1366"/>
      <c r="Z781" s="1366"/>
      <c r="AA781" s="1366"/>
      <c r="AB781" s="1366"/>
      <c r="AC781" s="1366"/>
      <c r="AD781" s="1366"/>
      <c r="AE781" s="1366"/>
      <c r="AF781" s="1366"/>
      <c r="AG781" s="1366"/>
      <c r="AH781" s="1366"/>
      <c r="AI781" s="1366"/>
      <c r="AJ781" s="1366"/>
      <c r="AK781" s="1366"/>
      <c r="AL781" s="1366"/>
      <c r="AM781" s="1366"/>
      <c r="AN781" s="1366"/>
      <c r="AO781" s="1366"/>
      <c r="AP781" s="1366"/>
      <c r="AQ781" s="1366"/>
      <c r="AR781" s="1366"/>
      <c r="AS781" s="1366"/>
      <c r="AT781" s="1366"/>
      <c r="AU781" s="1366"/>
      <c r="AV781" s="1366"/>
      <c r="AW781" s="1366"/>
      <c r="AX781" s="1366"/>
      <c r="AY781" s="1366"/>
      <c r="AZ781" s="1366"/>
      <c r="BA781" s="1366"/>
      <c r="BB781" s="1366"/>
      <c r="BC781" s="1366"/>
      <c r="BD781" s="1366"/>
      <c r="BE781" s="1366"/>
      <c r="BF781" s="1366"/>
      <c r="BG781" s="1366"/>
      <c r="BH781" s="1366"/>
      <c r="BI781" s="1366"/>
      <c r="BJ781" s="1366"/>
      <c r="BK781" s="1366"/>
      <c r="BL781" s="1366"/>
      <c r="BM781" s="1366"/>
      <c r="BN781" s="1366"/>
      <c r="BO781" s="1366"/>
      <c r="BP781" s="1366"/>
      <c r="BQ781" s="1366"/>
      <c r="BR781" s="1366"/>
      <c r="BS781" s="1366"/>
      <c r="BT781" s="1366"/>
      <c r="BU781" s="1366"/>
      <c r="BV781" s="1366"/>
      <c r="BW781" s="1366"/>
      <c r="BX781" s="1366"/>
      <c r="BY781" s="1366"/>
      <c r="BZ781" s="1366"/>
      <c r="CA781" s="1366"/>
      <c r="CB781" s="1366"/>
      <c r="CC781" s="1366"/>
      <c r="CD781" s="1366"/>
      <c r="CE781" s="1366"/>
      <c r="CF781" s="1366"/>
      <c r="CG781" s="1366"/>
      <c r="CH781" s="1366"/>
      <c r="CI781" s="1366"/>
      <c r="CJ781" s="1366"/>
      <c r="CK781" s="1366"/>
      <c r="CL781" s="1366"/>
      <c r="CM781" s="1366"/>
      <c r="CN781" s="1366"/>
      <c r="CO781" s="1366"/>
      <c r="CP781" s="1366"/>
      <c r="CQ781" s="1366"/>
      <c r="CR781" s="1366"/>
      <c r="CS781" s="1366"/>
      <c r="CT781" s="1366"/>
      <c r="CU781" s="1366"/>
      <c r="CV781" s="1366"/>
      <c r="CW781" s="1366"/>
      <c r="CX781" s="1366"/>
      <c r="CY781" s="1366"/>
      <c r="CZ781" s="1366"/>
      <c r="DA781" s="1366"/>
      <c r="DB781" s="1366"/>
      <c r="DC781" s="1366"/>
      <c r="DD781" s="1366"/>
      <c r="DE781" s="1366"/>
      <c r="DF781" s="1366"/>
      <c r="DG781" s="1366"/>
      <c r="DH781" s="1366"/>
      <c r="DI781" s="1366"/>
      <c r="DJ781" s="1366"/>
      <c r="DK781" s="1366"/>
      <c r="DL781" s="1366"/>
      <c r="DM781" s="1366"/>
      <c r="DN781" s="1366"/>
      <c r="DO781" s="1366"/>
      <c r="DP781" s="1366"/>
      <c r="DQ781" s="1366"/>
      <c r="DR781" s="1366"/>
      <c r="DS781" s="1366"/>
      <c r="DT781" s="1366"/>
      <c r="DU781" s="1366"/>
      <c r="DV781" s="1366"/>
    </row>
    <row r="782" spans="1:126" s="1479" customFormat="1" ht="19.5" hidden="1" thickBot="1">
      <c r="A782" s="695"/>
      <c r="B782" s="1655"/>
      <c r="C782" s="1655"/>
      <c r="D782" s="683"/>
      <c r="E782" s="683"/>
      <c r="F782" s="683"/>
      <c r="G782" s="683"/>
      <c r="H782" s="1413"/>
      <c r="I782" s="1443"/>
      <c r="J782" s="1414"/>
      <c r="K782" s="1413"/>
      <c r="L782" s="1529"/>
      <c r="M782" s="1413"/>
      <c r="N782" s="1489"/>
      <c r="O782" s="1413"/>
      <c r="P782" s="1414"/>
      <c r="Q782" s="1414"/>
      <c r="R782" s="1443"/>
      <c r="S782" s="1443"/>
      <c r="T782" s="1488"/>
      <c r="U782" s="1488"/>
      <c r="V782" s="1489"/>
      <c r="W782" s="1490"/>
      <c r="X782" s="1490"/>
      <c r="Y782" s="327"/>
      <c r="Z782" s="327"/>
      <c r="AA782" s="327"/>
      <c r="AB782" s="1490"/>
      <c r="AC782" s="1490"/>
      <c r="AD782" s="1490"/>
      <c r="AE782" s="1490"/>
      <c r="AF782" s="327"/>
      <c r="AG782" s="327"/>
      <c r="AH782" s="327"/>
      <c r="AI782" s="327"/>
      <c r="AJ782" s="327"/>
      <c r="AK782" s="1478"/>
      <c r="AL782" s="1478"/>
      <c r="AM782" s="1478"/>
      <c r="AN782" s="1478"/>
      <c r="AO782" s="1478"/>
      <c r="AP782" s="1478"/>
      <c r="AQ782" s="1478"/>
      <c r="AR782" s="1478"/>
      <c r="AS782" s="1478"/>
      <c r="AT782" s="1478"/>
      <c r="AU782" s="1478"/>
      <c r="AV782" s="1478"/>
      <c r="AW782" s="1478"/>
      <c r="AX782" s="1478"/>
      <c r="AY782" s="1478"/>
      <c r="AZ782" s="1478"/>
      <c r="BA782" s="1478"/>
      <c r="BB782" s="1478"/>
      <c r="BC782" s="1478"/>
      <c r="BD782" s="1478"/>
      <c r="BE782" s="1478"/>
      <c r="BF782" s="1478"/>
      <c r="BG782" s="1478"/>
      <c r="BH782" s="1478"/>
      <c r="BI782" s="1478"/>
      <c r="BJ782" s="1478"/>
      <c r="BK782" s="327"/>
      <c r="BL782" s="327"/>
      <c r="BM782" s="327"/>
      <c r="BN782" s="327"/>
      <c r="BO782" s="327"/>
      <c r="BP782" s="327"/>
      <c r="BQ782" s="327"/>
      <c r="BR782" s="327"/>
      <c r="BS782" s="327"/>
      <c r="BT782" s="327"/>
      <c r="BU782" s="327"/>
      <c r="BV782" s="327"/>
      <c r="BW782" s="327"/>
      <c r="BX782" s="327"/>
      <c r="BY782" s="327"/>
      <c r="BZ782" s="327"/>
      <c r="CA782" s="327"/>
      <c r="CB782" s="327"/>
      <c r="CC782" s="327"/>
      <c r="CD782" s="327"/>
      <c r="CE782" s="327"/>
      <c r="CF782" s="327"/>
      <c r="CG782" s="327"/>
      <c r="CH782" s="327"/>
      <c r="CI782" s="327"/>
      <c r="CJ782" s="327"/>
      <c r="CK782" s="327"/>
      <c r="CL782" s="327"/>
      <c r="CM782" s="327"/>
      <c r="CN782" s="327"/>
      <c r="CO782" s="327"/>
      <c r="CP782" s="327"/>
      <c r="CQ782" s="327"/>
      <c r="CR782" s="327"/>
      <c r="CS782" s="327"/>
      <c r="CT782" s="327"/>
      <c r="CU782" s="327"/>
      <c r="CV782" s="327"/>
      <c r="CW782" s="327"/>
      <c r="CX782" s="327"/>
      <c r="CY782" s="327"/>
      <c r="CZ782" s="327"/>
      <c r="DA782" s="327"/>
      <c r="DB782" s="327"/>
      <c r="DC782" s="327"/>
      <c r="DD782" s="327"/>
      <c r="DE782" s="327"/>
      <c r="DF782" s="327"/>
      <c r="DG782" s="327"/>
      <c r="DH782" s="327"/>
      <c r="DI782" s="327"/>
      <c r="DJ782" s="327"/>
      <c r="DK782" s="327"/>
      <c r="DL782" s="327"/>
      <c r="DM782" s="327"/>
      <c r="DN782" s="327"/>
      <c r="DO782" s="327"/>
      <c r="DP782" s="327"/>
      <c r="DQ782" s="327"/>
      <c r="DR782" s="327"/>
      <c r="DS782" s="327"/>
      <c r="DT782" s="327"/>
      <c r="DU782" s="327"/>
      <c r="DV782" s="327"/>
    </row>
    <row r="783" spans="1:126" s="1367" customFormat="1" hidden="1">
      <c r="A783" s="2493" t="s">
        <v>1368</v>
      </c>
      <c r="B783" s="1643"/>
      <c r="C783" s="1674"/>
      <c r="D783" s="1480"/>
      <c r="E783" s="1480"/>
      <c r="F783" s="1480"/>
      <c r="G783" s="1480"/>
      <c r="H783" s="1481"/>
      <c r="I783" s="1482"/>
      <c r="J783" s="1483"/>
      <c r="K783" s="1483"/>
      <c r="L783" s="1528"/>
      <c r="M783" s="1483"/>
      <c r="N783" s="1484"/>
      <c r="O783" s="1481"/>
      <c r="P783" s="1485"/>
      <c r="Q783" s="1485"/>
      <c r="R783" s="1485"/>
      <c r="S783" s="1485"/>
      <c r="T783" s="1485"/>
      <c r="U783" s="1485"/>
      <c r="V783" s="1484"/>
      <c r="W783" s="1366"/>
      <c r="X783" s="1366"/>
      <c r="Y783" s="1366"/>
      <c r="Z783" s="1366"/>
      <c r="AA783" s="1366"/>
      <c r="AB783" s="1366"/>
      <c r="AC783" s="1366"/>
      <c r="AD783" s="1366"/>
      <c r="AE783" s="1366"/>
      <c r="AF783" s="1366"/>
      <c r="AG783" s="1366"/>
      <c r="AH783" s="1366"/>
      <c r="AI783" s="1366"/>
      <c r="AJ783" s="1366"/>
      <c r="AK783" s="1366"/>
      <c r="AL783" s="1366"/>
      <c r="AM783" s="1366"/>
      <c r="AN783" s="1366"/>
      <c r="AO783" s="1366"/>
      <c r="AP783" s="1366"/>
      <c r="AQ783" s="1366"/>
      <c r="AR783" s="1366"/>
      <c r="AS783" s="1366"/>
      <c r="AT783" s="1366"/>
      <c r="AU783" s="1366"/>
      <c r="AV783" s="1366"/>
      <c r="AW783" s="1366"/>
      <c r="AX783" s="1366"/>
      <c r="AY783" s="1366"/>
      <c r="AZ783" s="1366"/>
      <c r="BA783" s="1366"/>
      <c r="BB783" s="1366"/>
      <c r="BC783" s="1366"/>
      <c r="BD783" s="1366"/>
      <c r="BE783" s="1366"/>
      <c r="BF783" s="1366"/>
      <c r="BG783" s="1366"/>
      <c r="BH783" s="1366"/>
      <c r="BI783" s="1366"/>
      <c r="BJ783" s="1366"/>
      <c r="BK783" s="1366"/>
      <c r="BL783" s="1366"/>
      <c r="BM783" s="1366"/>
      <c r="BN783" s="1366"/>
      <c r="BO783" s="1366"/>
      <c r="BP783" s="1366"/>
      <c r="BQ783" s="1366"/>
      <c r="BR783" s="1366"/>
      <c r="BS783" s="1366"/>
      <c r="BT783" s="1366"/>
      <c r="BU783" s="1366"/>
      <c r="BV783" s="1366"/>
      <c r="BW783" s="1366"/>
      <c r="BX783" s="1366"/>
      <c r="BY783" s="1366"/>
      <c r="BZ783" s="1366"/>
      <c r="CA783" s="1366"/>
      <c r="CB783" s="1366"/>
      <c r="CC783" s="1366"/>
      <c r="CD783" s="1366"/>
      <c r="CE783" s="1366"/>
      <c r="CF783" s="1366"/>
      <c r="CG783" s="1366"/>
      <c r="CH783" s="1366"/>
      <c r="CI783" s="1366"/>
      <c r="CJ783" s="1366"/>
      <c r="CK783" s="1366"/>
      <c r="CL783" s="1366"/>
      <c r="CM783" s="1366"/>
      <c r="CN783" s="1366"/>
      <c r="CO783" s="1366"/>
      <c r="CP783" s="1366"/>
      <c r="CQ783" s="1366"/>
      <c r="CR783" s="1366"/>
      <c r="CS783" s="1366"/>
      <c r="CT783" s="1366"/>
      <c r="CU783" s="1366"/>
      <c r="CV783" s="1366"/>
      <c r="CW783" s="1366"/>
      <c r="CX783" s="1366"/>
      <c r="CY783" s="1366"/>
      <c r="CZ783" s="1366"/>
      <c r="DA783" s="1366"/>
      <c r="DB783" s="1366"/>
      <c r="DC783" s="1366"/>
      <c r="DD783" s="1366"/>
      <c r="DE783" s="1366"/>
      <c r="DF783" s="1366"/>
      <c r="DG783" s="1366"/>
      <c r="DH783" s="1366"/>
      <c r="DI783" s="1366"/>
      <c r="DJ783" s="1366"/>
      <c r="DK783" s="1366"/>
      <c r="DL783" s="1366"/>
      <c r="DM783" s="1366"/>
      <c r="DN783" s="1366"/>
      <c r="DO783" s="1366"/>
      <c r="DP783" s="1366"/>
      <c r="DQ783" s="1366"/>
      <c r="DR783" s="1366"/>
      <c r="DS783" s="1366"/>
      <c r="DT783" s="1366"/>
      <c r="DU783" s="1366"/>
      <c r="DV783" s="1366"/>
    </row>
    <row r="784" spans="1:126" s="1367" customFormat="1" hidden="1">
      <c r="A784" s="2503"/>
      <c r="B784" s="1643"/>
      <c r="C784" s="1674"/>
      <c r="D784" s="1480"/>
      <c r="E784" s="1480"/>
      <c r="F784" s="1480"/>
      <c r="G784" s="1480"/>
      <c r="H784" s="1481"/>
      <c r="I784" s="1482"/>
      <c r="J784" s="1483"/>
      <c r="K784" s="1483"/>
      <c r="L784" s="1528"/>
      <c r="M784" s="1483"/>
      <c r="N784" s="1484"/>
      <c r="O784" s="1481"/>
      <c r="P784" s="1485"/>
      <c r="Q784" s="1485"/>
      <c r="R784" s="1485"/>
      <c r="S784" s="1485"/>
      <c r="T784" s="1485"/>
      <c r="U784" s="1485"/>
      <c r="V784" s="1484"/>
      <c r="W784" s="1366"/>
      <c r="X784" s="1366"/>
      <c r="Y784" s="1366"/>
      <c r="Z784" s="1366"/>
      <c r="AA784" s="1366"/>
      <c r="AB784" s="1366"/>
      <c r="AC784" s="1366"/>
      <c r="AD784" s="1366"/>
      <c r="AE784" s="1366"/>
      <c r="AF784" s="1366"/>
      <c r="AG784" s="1366"/>
      <c r="AH784" s="1366"/>
      <c r="AI784" s="1366"/>
      <c r="AJ784" s="1366"/>
      <c r="AK784" s="1366"/>
      <c r="AL784" s="1366"/>
      <c r="AM784" s="1366"/>
      <c r="AN784" s="1366"/>
      <c r="AO784" s="1366"/>
      <c r="AP784" s="1366"/>
      <c r="AQ784" s="1366"/>
      <c r="AR784" s="1366"/>
      <c r="AS784" s="1366"/>
      <c r="AT784" s="1366"/>
      <c r="AU784" s="1366"/>
      <c r="AV784" s="1366"/>
      <c r="AW784" s="1366"/>
      <c r="AX784" s="1366"/>
      <c r="AY784" s="1366"/>
      <c r="AZ784" s="1366"/>
      <c r="BA784" s="1366"/>
      <c r="BB784" s="1366"/>
      <c r="BC784" s="1366"/>
      <c r="BD784" s="1366"/>
      <c r="BE784" s="1366"/>
      <c r="BF784" s="1366"/>
      <c r="BG784" s="1366"/>
      <c r="BH784" s="1366"/>
      <c r="BI784" s="1366"/>
      <c r="BJ784" s="1366"/>
      <c r="BK784" s="1366"/>
      <c r="BL784" s="1366"/>
      <c r="BM784" s="1366"/>
      <c r="BN784" s="1366"/>
      <c r="BO784" s="1366"/>
      <c r="BP784" s="1366"/>
      <c r="BQ784" s="1366"/>
      <c r="BR784" s="1366"/>
      <c r="BS784" s="1366"/>
      <c r="BT784" s="1366"/>
      <c r="BU784" s="1366"/>
      <c r="BV784" s="1366"/>
      <c r="BW784" s="1366"/>
      <c r="BX784" s="1366"/>
      <c r="BY784" s="1366"/>
      <c r="BZ784" s="1366"/>
      <c r="CA784" s="1366"/>
      <c r="CB784" s="1366"/>
      <c r="CC784" s="1366"/>
      <c r="CD784" s="1366"/>
      <c r="CE784" s="1366"/>
      <c r="CF784" s="1366"/>
      <c r="CG784" s="1366"/>
      <c r="CH784" s="1366"/>
      <c r="CI784" s="1366"/>
      <c r="CJ784" s="1366"/>
      <c r="CK784" s="1366"/>
      <c r="CL784" s="1366"/>
      <c r="CM784" s="1366"/>
      <c r="CN784" s="1366"/>
      <c r="CO784" s="1366"/>
      <c r="CP784" s="1366"/>
      <c r="CQ784" s="1366"/>
      <c r="CR784" s="1366"/>
      <c r="CS784" s="1366"/>
      <c r="CT784" s="1366"/>
      <c r="CU784" s="1366"/>
      <c r="CV784" s="1366"/>
      <c r="CW784" s="1366"/>
      <c r="CX784" s="1366"/>
      <c r="CY784" s="1366"/>
      <c r="CZ784" s="1366"/>
      <c r="DA784" s="1366"/>
      <c r="DB784" s="1366"/>
      <c r="DC784" s="1366"/>
      <c r="DD784" s="1366"/>
      <c r="DE784" s="1366"/>
      <c r="DF784" s="1366"/>
      <c r="DG784" s="1366"/>
      <c r="DH784" s="1366"/>
      <c r="DI784" s="1366"/>
      <c r="DJ784" s="1366"/>
      <c r="DK784" s="1366"/>
      <c r="DL784" s="1366"/>
      <c r="DM784" s="1366"/>
      <c r="DN784" s="1366"/>
      <c r="DO784" s="1366"/>
      <c r="DP784" s="1366"/>
      <c r="DQ784" s="1366"/>
      <c r="DR784" s="1366"/>
      <c r="DS784" s="1366"/>
      <c r="DT784" s="1366"/>
      <c r="DU784" s="1366"/>
      <c r="DV784" s="1366"/>
    </row>
    <row r="785" spans="1:23" s="1367" customFormat="1" hidden="1">
      <c r="A785" s="2503"/>
      <c r="B785" s="1643"/>
      <c r="C785" s="1674"/>
      <c r="D785" s="1480"/>
      <c r="E785" s="1480"/>
      <c r="F785" s="1480"/>
      <c r="G785" s="1480"/>
      <c r="H785" s="1481"/>
      <c r="I785" s="1482"/>
      <c r="J785" s="1483"/>
      <c r="K785" s="1483"/>
      <c r="L785" s="1528"/>
      <c r="M785" s="1483"/>
      <c r="N785" s="1484"/>
      <c r="O785" s="1481"/>
      <c r="P785" s="1485"/>
      <c r="Q785" s="1485"/>
      <c r="R785" s="1485"/>
      <c r="S785" s="1485"/>
      <c r="T785" s="1485"/>
      <c r="U785" s="1485"/>
      <c r="V785" s="1484"/>
      <c r="W785" s="1480"/>
    </row>
    <row r="786" spans="1:23" s="1367" customFormat="1" hidden="1">
      <c r="A786" s="2503"/>
      <c r="B786" s="1643"/>
      <c r="C786" s="1674"/>
      <c r="D786" s="1480"/>
      <c r="E786" s="1480"/>
      <c r="F786" s="1480"/>
      <c r="G786" s="1480"/>
      <c r="H786" s="1481"/>
      <c r="I786" s="1482"/>
      <c r="J786" s="1483"/>
      <c r="K786" s="1483"/>
      <c r="L786" s="1528"/>
      <c r="M786" s="1483"/>
      <c r="N786" s="1484"/>
      <c r="O786" s="1481"/>
      <c r="P786" s="1485"/>
      <c r="Q786" s="1485"/>
      <c r="R786" s="1485"/>
      <c r="S786" s="1485"/>
      <c r="T786" s="1485"/>
      <c r="U786" s="1485"/>
      <c r="V786" s="1484"/>
      <c r="W786" s="1480"/>
    </row>
    <row r="787" spans="1:23" s="1367" customFormat="1" hidden="1">
      <c r="A787" s="2503"/>
      <c r="B787" s="1643"/>
      <c r="C787" s="1674"/>
      <c r="D787" s="1480"/>
      <c r="E787" s="1480"/>
      <c r="F787" s="1480"/>
      <c r="G787" s="1480"/>
      <c r="H787" s="1481"/>
      <c r="I787" s="1482"/>
      <c r="J787" s="1483"/>
      <c r="K787" s="1483"/>
      <c r="L787" s="1528"/>
      <c r="M787" s="1483"/>
      <c r="N787" s="1484"/>
      <c r="O787" s="1481"/>
      <c r="P787" s="1485"/>
      <c r="Q787" s="1485"/>
      <c r="R787" s="1485"/>
      <c r="S787" s="1485"/>
      <c r="T787" s="1485"/>
      <c r="U787" s="1485"/>
      <c r="V787" s="1484"/>
      <c r="W787" s="1480"/>
    </row>
    <row r="788" spans="1:23" s="1367" customFormat="1" hidden="1">
      <c r="A788" s="2503"/>
      <c r="B788" s="1643"/>
      <c r="C788" s="1674"/>
      <c r="D788" s="1480"/>
      <c r="E788" s="1480"/>
      <c r="F788" s="1480"/>
      <c r="G788" s="1480"/>
      <c r="H788" s="1481"/>
      <c r="I788" s="1482"/>
      <c r="J788" s="1483"/>
      <c r="K788" s="1483"/>
      <c r="L788" s="1528"/>
      <c r="M788" s="1483"/>
      <c r="N788" s="1484"/>
      <c r="O788" s="1481"/>
      <c r="P788" s="1485"/>
      <c r="Q788" s="1485"/>
      <c r="R788" s="1485"/>
      <c r="S788" s="1485"/>
      <c r="T788" s="1485"/>
      <c r="U788" s="1485"/>
      <c r="V788" s="1484"/>
      <c r="W788" s="1480"/>
    </row>
    <row r="789" spans="1:23" s="1367" customFormat="1" hidden="1">
      <c r="A789" s="2503"/>
      <c r="B789" s="1643"/>
      <c r="C789" s="1674"/>
      <c r="D789" s="1480"/>
      <c r="E789" s="1480"/>
      <c r="F789" s="1480"/>
      <c r="G789" s="1480"/>
      <c r="H789" s="1481"/>
      <c r="I789" s="1482"/>
      <c r="J789" s="1483"/>
      <c r="K789" s="1483"/>
      <c r="L789" s="1528"/>
      <c r="M789" s="1483"/>
      <c r="N789" s="1484"/>
      <c r="O789" s="1481"/>
      <c r="P789" s="1485"/>
      <c r="Q789" s="1485"/>
      <c r="R789" s="1485"/>
      <c r="S789" s="1485"/>
      <c r="T789" s="1485"/>
      <c r="U789" s="1485"/>
      <c r="V789" s="1484"/>
      <c r="W789" s="1480"/>
    </row>
    <row r="790" spans="1:23" s="1367" customFormat="1" hidden="1">
      <c r="A790" s="2503"/>
      <c r="B790" s="1643"/>
      <c r="C790" s="1674"/>
      <c r="D790" s="1480"/>
      <c r="E790" s="1480"/>
      <c r="F790" s="1480"/>
      <c r="G790" s="1480"/>
      <c r="H790" s="1481"/>
      <c r="I790" s="1482"/>
      <c r="J790" s="1483"/>
      <c r="K790" s="1483"/>
      <c r="L790" s="1528"/>
      <c r="M790" s="1483"/>
      <c r="N790" s="1484"/>
      <c r="O790" s="1481"/>
      <c r="P790" s="1485"/>
      <c r="Q790" s="1485"/>
      <c r="R790" s="1485"/>
      <c r="S790" s="1485"/>
      <c r="T790" s="1485"/>
      <c r="U790" s="1485"/>
      <c r="V790" s="1484"/>
      <c r="W790" s="1480"/>
    </row>
    <row r="791" spans="1:23" s="1367" customFormat="1" hidden="1">
      <c r="A791" s="2503"/>
      <c r="B791" s="1643"/>
      <c r="C791" s="1674"/>
      <c r="D791" s="1480"/>
      <c r="E791" s="1480"/>
      <c r="F791" s="1480"/>
      <c r="G791" s="1480"/>
      <c r="H791" s="1481"/>
      <c r="I791" s="1482"/>
      <c r="J791" s="1483"/>
      <c r="K791" s="1483"/>
      <c r="L791" s="1528"/>
      <c r="M791" s="1483"/>
      <c r="N791" s="1484"/>
      <c r="O791" s="1481"/>
      <c r="P791" s="1485"/>
      <c r="Q791" s="1485"/>
      <c r="R791" s="1485"/>
      <c r="S791" s="1485"/>
      <c r="T791" s="1485"/>
      <c r="U791" s="1485"/>
      <c r="V791" s="1484"/>
      <c r="W791" s="1480"/>
    </row>
    <row r="792" spans="1:23" s="1367" customFormat="1" hidden="1">
      <c r="A792" s="2503"/>
      <c r="B792" s="1643"/>
      <c r="C792" s="1674"/>
      <c r="D792" s="1480"/>
      <c r="E792" s="1480"/>
      <c r="F792" s="1480"/>
      <c r="G792" s="1480"/>
      <c r="H792" s="1481"/>
      <c r="I792" s="1482"/>
      <c r="J792" s="1483"/>
      <c r="K792" s="1483"/>
      <c r="L792" s="1528"/>
      <c r="M792" s="1483"/>
      <c r="N792" s="1484"/>
      <c r="O792" s="1481"/>
      <c r="P792" s="1485"/>
      <c r="Q792" s="1485"/>
      <c r="R792" s="1485"/>
      <c r="S792" s="1485"/>
      <c r="T792" s="1485"/>
      <c r="U792" s="1485"/>
      <c r="V792" s="1484"/>
      <c r="W792" s="1480"/>
    </row>
    <row r="793" spans="1:23" s="1367" customFormat="1" hidden="1">
      <c r="A793" s="2503"/>
      <c r="B793" s="1643"/>
      <c r="C793" s="1674"/>
      <c r="D793" s="1480"/>
      <c r="E793" s="1480"/>
      <c r="F793" s="1480"/>
      <c r="G793" s="1480"/>
      <c r="H793" s="1481"/>
      <c r="I793" s="1482"/>
      <c r="J793" s="1483"/>
      <c r="K793" s="1483"/>
      <c r="L793" s="1528"/>
      <c r="M793" s="1483"/>
      <c r="N793" s="1484"/>
      <c r="O793" s="1481"/>
      <c r="P793" s="1485"/>
      <c r="Q793" s="1485"/>
      <c r="R793" s="1485"/>
      <c r="S793" s="1485"/>
      <c r="T793" s="1485"/>
      <c r="U793" s="1485"/>
      <c r="V793" s="1484"/>
      <c r="W793" s="1480"/>
    </row>
    <row r="794" spans="1:23" s="1367" customFormat="1" hidden="1">
      <c r="A794" s="2503"/>
      <c r="B794" s="1643"/>
      <c r="C794" s="1674"/>
      <c r="D794" s="1480"/>
      <c r="E794" s="1480"/>
      <c r="F794" s="1480"/>
      <c r="G794" s="1480"/>
      <c r="H794" s="1481"/>
      <c r="I794" s="1482"/>
      <c r="J794" s="1483"/>
      <c r="K794" s="1483"/>
      <c r="L794" s="1528"/>
      <c r="M794" s="1483"/>
      <c r="N794" s="1484"/>
      <c r="O794" s="1481"/>
      <c r="P794" s="1485"/>
      <c r="Q794" s="1485"/>
      <c r="R794" s="1485"/>
      <c r="S794" s="1485"/>
      <c r="T794" s="1485"/>
      <c r="U794" s="1485"/>
      <c r="V794" s="1484"/>
      <c r="W794" s="1480"/>
    </row>
    <row r="795" spans="1:23" s="1367" customFormat="1" hidden="1">
      <c r="A795" s="2503"/>
      <c r="B795" s="1643"/>
      <c r="C795" s="1674"/>
      <c r="D795" s="1480"/>
      <c r="E795" s="1480"/>
      <c r="F795" s="1480"/>
      <c r="G795" s="1480"/>
      <c r="H795" s="1481"/>
      <c r="I795" s="1482"/>
      <c r="J795" s="1483"/>
      <c r="K795" s="1483"/>
      <c r="L795" s="1528"/>
      <c r="M795" s="1483"/>
      <c r="N795" s="1484"/>
      <c r="O795" s="1481"/>
      <c r="P795" s="1485"/>
      <c r="Q795" s="1485"/>
      <c r="R795" s="1485"/>
      <c r="S795" s="1485"/>
      <c r="T795" s="1485"/>
      <c r="U795" s="1485"/>
      <c r="V795" s="1484"/>
      <c r="W795" s="1480"/>
    </row>
    <row r="796" spans="1:23" s="1367" customFormat="1" hidden="1">
      <c r="A796" s="2503"/>
      <c r="B796" s="1643"/>
      <c r="C796" s="1674"/>
      <c r="D796" s="1480"/>
      <c r="E796" s="1480"/>
      <c r="F796" s="1480"/>
      <c r="G796" s="1480"/>
      <c r="H796" s="1481"/>
      <c r="I796" s="1482"/>
      <c r="J796" s="1483"/>
      <c r="K796" s="1483"/>
      <c r="L796" s="1528"/>
      <c r="M796" s="1483"/>
      <c r="N796" s="1484"/>
      <c r="O796" s="1481"/>
      <c r="P796" s="1485"/>
      <c r="Q796" s="1485"/>
      <c r="R796" s="1485"/>
      <c r="S796" s="1485"/>
      <c r="T796" s="1485"/>
      <c r="U796" s="1485"/>
      <c r="V796" s="1484"/>
      <c r="W796" s="1480"/>
    </row>
    <row r="797" spans="1:23" s="1367" customFormat="1" hidden="1">
      <c r="A797" s="2503"/>
      <c r="B797" s="1643"/>
      <c r="C797" s="1674"/>
      <c r="D797" s="1480"/>
      <c r="E797" s="1480"/>
      <c r="F797" s="1480"/>
      <c r="G797" s="1480"/>
      <c r="H797" s="1481"/>
      <c r="I797" s="1482"/>
      <c r="J797" s="1483"/>
      <c r="K797" s="1483"/>
      <c r="L797" s="1528"/>
      <c r="M797" s="1483"/>
      <c r="N797" s="1484"/>
      <c r="O797" s="1481"/>
      <c r="P797" s="1485"/>
      <c r="Q797" s="1485"/>
      <c r="R797" s="1485"/>
      <c r="S797" s="1485"/>
      <c r="T797" s="1485"/>
      <c r="U797" s="1485"/>
      <c r="V797" s="1484"/>
      <c r="W797" s="1480"/>
    </row>
    <row r="798" spans="1:23" s="1367" customFormat="1" hidden="1">
      <c r="A798" s="2503"/>
      <c r="B798" s="1643"/>
      <c r="C798" s="1674"/>
      <c r="D798" s="1480"/>
      <c r="E798" s="1480"/>
      <c r="F798" s="1480"/>
      <c r="G798" s="1480"/>
      <c r="H798" s="1481"/>
      <c r="I798" s="1482"/>
      <c r="J798" s="1483"/>
      <c r="K798" s="1483"/>
      <c r="L798" s="1528"/>
      <c r="M798" s="1483"/>
      <c r="N798" s="1484"/>
      <c r="O798" s="1481"/>
      <c r="P798" s="1485"/>
      <c r="Q798" s="1485"/>
      <c r="R798" s="1485"/>
      <c r="S798" s="1485"/>
      <c r="T798" s="1485"/>
      <c r="U798" s="1485"/>
      <c r="V798" s="1484"/>
      <c r="W798" s="1480"/>
    </row>
    <row r="799" spans="1:23" s="1367" customFormat="1" hidden="1">
      <c r="A799" s="2503"/>
      <c r="B799" s="1643"/>
      <c r="C799" s="1674"/>
      <c r="D799" s="1480"/>
      <c r="E799" s="1480"/>
      <c r="F799" s="1480"/>
      <c r="G799" s="1480"/>
      <c r="H799" s="1481"/>
      <c r="I799" s="1482"/>
      <c r="J799" s="1483"/>
      <c r="K799" s="1483"/>
      <c r="L799" s="1528"/>
      <c r="M799" s="1483"/>
      <c r="N799" s="1484"/>
      <c r="O799" s="1481"/>
      <c r="P799" s="1485"/>
      <c r="Q799" s="1485"/>
      <c r="R799" s="1485"/>
      <c r="S799" s="1485"/>
      <c r="T799" s="1485"/>
      <c r="U799" s="1485"/>
      <c r="V799" s="1484"/>
      <c r="W799" s="1480"/>
    </row>
    <row r="800" spans="1:23" s="1367" customFormat="1" hidden="1">
      <c r="A800" s="2503"/>
      <c r="B800" s="1643"/>
      <c r="C800" s="1674"/>
      <c r="D800" s="1480"/>
      <c r="E800" s="1480"/>
      <c r="F800" s="1480"/>
      <c r="G800" s="1480"/>
      <c r="H800" s="1481"/>
      <c r="I800" s="1482"/>
      <c r="J800" s="1483"/>
      <c r="K800" s="1483"/>
      <c r="L800" s="1528"/>
      <c r="M800" s="1483"/>
      <c r="N800" s="1484"/>
      <c r="O800" s="1481"/>
      <c r="P800" s="1485"/>
      <c r="Q800" s="1485"/>
      <c r="R800" s="1485"/>
      <c r="S800" s="1485"/>
      <c r="T800" s="1485"/>
      <c r="U800" s="1485"/>
      <c r="V800" s="1484"/>
      <c r="W800" s="1480"/>
    </row>
    <row r="801" spans="1:126" s="1367" customFormat="1" hidden="1">
      <c r="A801" s="2503"/>
      <c r="B801" s="1643"/>
      <c r="C801" s="1674"/>
      <c r="D801" s="1480"/>
      <c r="E801" s="1480"/>
      <c r="F801" s="1480"/>
      <c r="G801" s="1480"/>
      <c r="H801" s="1481"/>
      <c r="I801" s="1482"/>
      <c r="J801" s="1483"/>
      <c r="K801" s="1483"/>
      <c r="L801" s="1528"/>
      <c r="M801" s="1483"/>
      <c r="N801" s="1484"/>
      <c r="O801" s="1481"/>
      <c r="P801" s="1485"/>
      <c r="Q801" s="1485"/>
      <c r="R801" s="1485"/>
      <c r="S801" s="1485"/>
      <c r="T801" s="1485"/>
      <c r="U801" s="1485"/>
      <c r="V801" s="1484"/>
      <c r="W801" s="1366"/>
      <c r="X801" s="1366"/>
      <c r="Y801" s="1366"/>
      <c r="Z801" s="1366"/>
      <c r="AA801" s="1366"/>
      <c r="AB801" s="1366"/>
      <c r="AC801" s="1366"/>
      <c r="AD801" s="1366"/>
      <c r="AE801" s="1366"/>
      <c r="AF801" s="1366"/>
      <c r="AG801" s="1366"/>
      <c r="AH801" s="1366"/>
      <c r="AI801" s="1366"/>
      <c r="AJ801" s="1366"/>
      <c r="AK801" s="1366"/>
      <c r="AL801" s="1366"/>
      <c r="AM801" s="1366"/>
      <c r="AN801" s="1366"/>
      <c r="AO801" s="1366"/>
      <c r="AP801" s="1366"/>
      <c r="AQ801" s="1366"/>
      <c r="AR801" s="1366"/>
      <c r="AS801" s="1366"/>
      <c r="AT801" s="1366"/>
      <c r="AU801" s="1366"/>
      <c r="AV801" s="1366"/>
      <c r="AW801" s="1366"/>
      <c r="AX801" s="1366"/>
      <c r="AY801" s="1366"/>
      <c r="AZ801" s="1366"/>
      <c r="BA801" s="1366"/>
      <c r="BB801" s="1366"/>
      <c r="BC801" s="1366"/>
      <c r="BD801" s="1366"/>
      <c r="BE801" s="1366"/>
      <c r="BF801" s="1366"/>
      <c r="BG801" s="1366"/>
      <c r="BH801" s="1366"/>
      <c r="BI801" s="1366"/>
      <c r="BJ801" s="1366"/>
      <c r="BK801" s="1366"/>
      <c r="BL801" s="1366"/>
      <c r="BM801" s="1366"/>
      <c r="BN801" s="1366"/>
      <c r="BO801" s="1366"/>
      <c r="BP801" s="1366"/>
      <c r="BQ801" s="1366"/>
      <c r="BR801" s="1366"/>
      <c r="BS801" s="1366"/>
      <c r="BT801" s="1366"/>
      <c r="BU801" s="1366"/>
      <c r="BV801" s="1366"/>
      <c r="BW801" s="1366"/>
      <c r="BX801" s="1366"/>
      <c r="BY801" s="1366"/>
      <c r="BZ801" s="1366"/>
      <c r="CA801" s="1366"/>
      <c r="CB801" s="1366"/>
      <c r="CC801" s="1366"/>
      <c r="CD801" s="1366"/>
      <c r="CE801" s="1366"/>
      <c r="CF801" s="1366"/>
      <c r="CG801" s="1366"/>
      <c r="CH801" s="1366"/>
      <c r="CI801" s="1366"/>
      <c r="CJ801" s="1366"/>
      <c r="CK801" s="1366"/>
      <c r="CL801" s="1366"/>
      <c r="CM801" s="1366"/>
      <c r="CN801" s="1366"/>
      <c r="CO801" s="1366"/>
      <c r="CP801" s="1366"/>
      <c r="CQ801" s="1366"/>
      <c r="CR801" s="1366"/>
      <c r="CS801" s="1366"/>
      <c r="CT801" s="1366"/>
      <c r="CU801" s="1366"/>
      <c r="CV801" s="1366"/>
      <c r="CW801" s="1366"/>
      <c r="CX801" s="1366"/>
      <c r="CY801" s="1366"/>
      <c r="CZ801" s="1366"/>
      <c r="DA801" s="1366"/>
      <c r="DB801" s="1366"/>
      <c r="DC801" s="1366"/>
      <c r="DD801" s="1366"/>
      <c r="DE801" s="1366"/>
      <c r="DF801" s="1366"/>
      <c r="DG801" s="1366"/>
      <c r="DH801" s="1366"/>
      <c r="DI801" s="1366"/>
      <c r="DJ801" s="1366"/>
      <c r="DK801" s="1366"/>
      <c r="DL801" s="1366"/>
      <c r="DM801" s="1366"/>
      <c r="DN801" s="1366"/>
      <c r="DO801" s="1366"/>
      <c r="DP801" s="1366"/>
      <c r="DQ801" s="1366"/>
      <c r="DR801" s="1366"/>
      <c r="DS801" s="1366"/>
      <c r="DT801" s="1366"/>
      <c r="DU801" s="1366"/>
      <c r="DV801" s="1366"/>
    </row>
    <row r="802" spans="1:126" s="1367" customFormat="1" hidden="1">
      <c r="A802" s="2503"/>
      <c r="B802" s="1643"/>
      <c r="C802" s="1674"/>
      <c r="D802" s="1480"/>
      <c r="E802" s="1480"/>
      <c r="F802" s="1480"/>
      <c r="G802" s="1480"/>
      <c r="H802" s="1481"/>
      <c r="I802" s="1482"/>
      <c r="J802" s="1483"/>
      <c r="K802" s="1483"/>
      <c r="L802" s="1528"/>
      <c r="M802" s="1483"/>
      <c r="N802" s="1484"/>
      <c r="O802" s="1481"/>
      <c r="P802" s="1485"/>
      <c r="Q802" s="1485"/>
      <c r="R802" s="1485"/>
      <c r="S802" s="1485"/>
      <c r="T802" s="1485"/>
      <c r="U802" s="1485"/>
      <c r="V802" s="1484"/>
      <c r="W802" s="1366"/>
      <c r="X802" s="1366"/>
      <c r="Y802" s="1366"/>
      <c r="Z802" s="1366"/>
      <c r="AA802" s="1366"/>
      <c r="AB802" s="1366"/>
      <c r="AC802" s="1366"/>
      <c r="AD802" s="1366"/>
      <c r="AE802" s="1366"/>
      <c r="AF802" s="1366"/>
      <c r="AG802" s="1366"/>
      <c r="AH802" s="1366"/>
      <c r="AI802" s="1366"/>
      <c r="AJ802" s="1366"/>
      <c r="AK802" s="1366"/>
      <c r="AL802" s="1366"/>
      <c r="AM802" s="1366"/>
      <c r="AN802" s="1366"/>
      <c r="AO802" s="1366"/>
      <c r="AP802" s="1366"/>
      <c r="AQ802" s="1366"/>
      <c r="AR802" s="1366"/>
      <c r="AS802" s="1366"/>
      <c r="AT802" s="1366"/>
      <c r="AU802" s="1366"/>
      <c r="AV802" s="1366"/>
      <c r="AW802" s="1366"/>
      <c r="AX802" s="1366"/>
      <c r="AY802" s="1366"/>
      <c r="AZ802" s="1366"/>
      <c r="BA802" s="1366"/>
      <c r="BB802" s="1366"/>
      <c r="BC802" s="1366"/>
      <c r="BD802" s="1366"/>
      <c r="BE802" s="1366"/>
      <c r="BF802" s="1366"/>
      <c r="BG802" s="1366"/>
      <c r="BH802" s="1366"/>
      <c r="BI802" s="1366"/>
      <c r="BJ802" s="1366"/>
      <c r="BK802" s="1366"/>
      <c r="BL802" s="1366"/>
      <c r="BM802" s="1366"/>
      <c r="BN802" s="1366"/>
      <c r="BO802" s="1366"/>
      <c r="BP802" s="1366"/>
      <c r="BQ802" s="1366"/>
      <c r="BR802" s="1366"/>
      <c r="BS802" s="1366"/>
      <c r="BT802" s="1366"/>
      <c r="BU802" s="1366"/>
      <c r="BV802" s="1366"/>
      <c r="BW802" s="1366"/>
      <c r="BX802" s="1366"/>
      <c r="BY802" s="1366"/>
      <c r="BZ802" s="1366"/>
      <c r="CA802" s="1366"/>
      <c r="CB802" s="1366"/>
      <c r="CC802" s="1366"/>
      <c r="CD802" s="1366"/>
      <c r="CE802" s="1366"/>
      <c r="CF802" s="1366"/>
      <c r="CG802" s="1366"/>
      <c r="CH802" s="1366"/>
      <c r="CI802" s="1366"/>
      <c r="CJ802" s="1366"/>
      <c r="CK802" s="1366"/>
      <c r="CL802" s="1366"/>
      <c r="CM802" s="1366"/>
      <c r="CN802" s="1366"/>
      <c r="CO802" s="1366"/>
      <c r="CP802" s="1366"/>
      <c r="CQ802" s="1366"/>
      <c r="CR802" s="1366"/>
      <c r="CS802" s="1366"/>
      <c r="CT802" s="1366"/>
      <c r="CU802" s="1366"/>
      <c r="CV802" s="1366"/>
      <c r="CW802" s="1366"/>
      <c r="CX802" s="1366"/>
      <c r="CY802" s="1366"/>
      <c r="CZ802" s="1366"/>
      <c r="DA802" s="1366"/>
      <c r="DB802" s="1366"/>
      <c r="DC802" s="1366"/>
      <c r="DD802" s="1366"/>
      <c r="DE802" s="1366"/>
      <c r="DF802" s="1366"/>
      <c r="DG802" s="1366"/>
      <c r="DH802" s="1366"/>
      <c r="DI802" s="1366"/>
      <c r="DJ802" s="1366"/>
      <c r="DK802" s="1366"/>
      <c r="DL802" s="1366"/>
      <c r="DM802" s="1366"/>
      <c r="DN802" s="1366"/>
      <c r="DO802" s="1366"/>
      <c r="DP802" s="1366"/>
      <c r="DQ802" s="1366"/>
      <c r="DR802" s="1366"/>
      <c r="DS802" s="1366"/>
      <c r="DT802" s="1366"/>
      <c r="DU802" s="1366"/>
      <c r="DV802" s="1366"/>
    </row>
    <row r="803" spans="1:126" s="1367" customFormat="1" hidden="1">
      <c r="A803" s="2503"/>
      <c r="B803" s="1643"/>
      <c r="C803" s="1674"/>
      <c r="D803" s="1480"/>
      <c r="E803" s="1480"/>
      <c r="F803" s="1480"/>
      <c r="G803" s="1480"/>
      <c r="H803" s="1481"/>
      <c r="I803" s="1482"/>
      <c r="J803" s="1483"/>
      <c r="K803" s="1483"/>
      <c r="L803" s="1528"/>
      <c r="M803" s="1483"/>
      <c r="N803" s="1484"/>
      <c r="O803" s="1481"/>
      <c r="P803" s="1485"/>
      <c r="Q803" s="1485"/>
      <c r="R803" s="1485"/>
      <c r="S803" s="1485"/>
      <c r="T803" s="1485"/>
      <c r="U803" s="1485"/>
      <c r="V803" s="1484"/>
      <c r="W803" s="1366"/>
      <c r="X803" s="1366"/>
      <c r="Y803" s="1366"/>
      <c r="Z803" s="1366"/>
      <c r="AA803" s="1366"/>
      <c r="AB803" s="1366"/>
      <c r="AC803" s="1366"/>
      <c r="AD803" s="1366"/>
      <c r="AE803" s="1366"/>
      <c r="AF803" s="1366"/>
      <c r="AG803" s="1366"/>
      <c r="AH803" s="1366"/>
      <c r="AI803" s="1366"/>
      <c r="AJ803" s="1366"/>
      <c r="AK803" s="1366"/>
      <c r="AL803" s="1366"/>
      <c r="AM803" s="1366"/>
      <c r="AN803" s="1366"/>
      <c r="AO803" s="1366"/>
      <c r="AP803" s="1366"/>
      <c r="AQ803" s="1366"/>
      <c r="AR803" s="1366"/>
      <c r="AS803" s="1366"/>
      <c r="AT803" s="1366"/>
      <c r="AU803" s="1366"/>
      <c r="AV803" s="1366"/>
      <c r="AW803" s="1366"/>
      <c r="AX803" s="1366"/>
      <c r="AY803" s="1366"/>
      <c r="AZ803" s="1366"/>
      <c r="BA803" s="1366"/>
      <c r="BB803" s="1366"/>
      <c r="BC803" s="1366"/>
      <c r="BD803" s="1366"/>
      <c r="BE803" s="1366"/>
      <c r="BF803" s="1366"/>
      <c r="BG803" s="1366"/>
      <c r="BH803" s="1366"/>
      <c r="BI803" s="1366"/>
      <c r="BJ803" s="1366"/>
      <c r="BK803" s="1366"/>
      <c r="BL803" s="1366"/>
      <c r="BM803" s="1366"/>
      <c r="BN803" s="1366"/>
      <c r="BO803" s="1366"/>
      <c r="BP803" s="1366"/>
      <c r="BQ803" s="1366"/>
      <c r="BR803" s="1366"/>
      <c r="BS803" s="1366"/>
      <c r="BT803" s="1366"/>
      <c r="BU803" s="1366"/>
      <c r="BV803" s="1366"/>
      <c r="BW803" s="1366"/>
      <c r="BX803" s="1366"/>
      <c r="BY803" s="1366"/>
      <c r="BZ803" s="1366"/>
      <c r="CA803" s="1366"/>
      <c r="CB803" s="1366"/>
      <c r="CC803" s="1366"/>
      <c r="CD803" s="1366"/>
      <c r="CE803" s="1366"/>
      <c r="CF803" s="1366"/>
      <c r="CG803" s="1366"/>
      <c r="CH803" s="1366"/>
      <c r="CI803" s="1366"/>
      <c r="CJ803" s="1366"/>
      <c r="CK803" s="1366"/>
      <c r="CL803" s="1366"/>
      <c r="CM803" s="1366"/>
      <c r="CN803" s="1366"/>
      <c r="CO803" s="1366"/>
      <c r="CP803" s="1366"/>
      <c r="CQ803" s="1366"/>
      <c r="CR803" s="1366"/>
      <c r="CS803" s="1366"/>
      <c r="CT803" s="1366"/>
      <c r="CU803" s="1366"/>
      <c r="CV803" s="1366"/>
      <c r="CW803" s="1366"/>
      <c r="CX803" s="1366"/>
      <c r="CY803" s="1366"/>
      <c r="CZ803" s="1366"/>
      <c r="DA803" s="1366"/>
      <c r="DB803" s="1366"/>
      <c r="DC803" s="1366"/>
      <c r="DD803" s="1366"/>
      <c r="DE803" s="1366"/>
      <c r="DF803" s="1366"/>
      <c r="DG803" s="1366"/>
      <c r="DH803" s="1366"/>
      <c r="DI803" s="1366"/>
      <c r="DJ803" s="1366"/>
      <c r="DK803" s="1366"/>
      <c r="DL803" s="1366"/>
      <c r="DM803" s="1366"/>
      <c r="DN803" s="1366"/>
      <c r="DO803" s="1366"/>
      <c r="DP803" s="1366"/>
      <c r="DQ803" s="1366"/>
      <c r="DR803" s="1366"/>
      <c r="DS803" s="1366"/>
      <c r="DT803" s="1366"/>
      <c r="DU803" s="1366"/>
      <c r="DV803" s="1366"/>
    </row>
    <row r="804" spans="1:126" s="1367" customFormat="1" hidden="1">
      <c r="A804" s="2503"/>
      <c r="B804" s="1643"/>
      <c r="C804" s="1674"/>
      <c r="D804" s="1480"/>
      <c r="E804" s="1480"/>
      <c r="F804" s="1480"/>
      <c r="G804" s="1480"/>
      <c r="H804" s="1481"/>
      <c r="I804" s="1482"/>
      <c r="J804" s="1483"/>
      <c r="K804" s="1483"/>
      <c r="L804" s="1528"/>
      <c r="M804" s="1483"/>
      <c r="N804" s="1484"/>
      <c r="O804" s="1481"/>
      <c r="P804" s="1485"/>
      <c r="Q804" s="1485"/>
      <c r="R804" s="1485"/>
      <c r="S804" s="1485"/>
      <c r="T804" s="1485"/>
      <c r="U804" s="1485"/>
      <c r="V804" s="1484"/>
      <c r="W804" s="1366"/>
      <c r="X804" s="1366"/>
      <c r="Y804" s="1366"/>
      <c r="Z804" s="1366"/>
      <c r="AA804" s="1366"/>
      <c r="AB804" s="1366"/>
      <c r="AC804" s="1366"/>
      <c r="AD804" s="1366"/>
      <c r="AE804" s="1366"/>
      <c r="AF804" s="1366"/>
      <c r="AG804" s="1366"/>
      <c r="AH804" s="1366"/>
      <c r="AI804" s="1366"/>
      <c r="AJ804" s="1366"/>
      <c r="AK804" s="1366"/>
      <c r="AL804" s="1366"/>
      <c r="AM804" s="1366"/>
      <c r="AN804" s="1366"/>
      <c r="AO804" s="1366"/>
      <c r="AP804" s="1366"/>
      <c r="AQ804" s="1366"/>
      <c r="AR804" s="1366"/>
      <c r="AS804" s="1366"/>
      <c r="AT804" s="1366"/>
      <c r="AU804" s="1366"/>
      <c r="AV804" s="1366"/>
      <c r="AW804" s="1366"/>
      <c r="AX804" s="1366"/>
      <c r="AY804" s="1366"/>
      <c r="AZ804" s="1366"/>
      <c r="BA804" s="1366"/>
      <c r="BB804" s="1366"/>
      <c r="BC804" s="1366"/>
      <c r="BD804" s="1366"/>
      <c r="BE804" s="1366"/>
      <c r="BF804" s="1366"/>
      <c r="BG804" s="1366"/>
      <c r="BH804" s="1366"/>
      <c r="BI804" s="1366"/>
      <c r="BJ804" s="1366"/>
      <c r="BK804" s="1366"/>
      <c r="BL804" s="1366"/>
      <c r="BM804" s="1366"/>
      <c r="BN804" s="1366"/>
      <c r="BO804" s="1366"/>
      <c r="BP804" s="1366"/>
      <c r="BQ804" s="1366"/>
      <c r="BR804" s="1366"/>
      <c r="BS804" s="1366"/>
      <c r="BT804" s="1366"/>
      <c r="BU804" s="1366"/>
      <c r="BV804" s="1366"/>
      <c r="BW804" s="1366"/>
      <c r="BX804" s="1366"/>
      <c r="BY804" s="1366"/>
      <c r="BZ804" s="1366"/>
      <c r="CA804" s="1366"/>
      <c r="CB804" s="1366"/>
      <c r="CC804" s="1366"/>
      <c r="CD804" s="1366"/>
      <c r="CE804" s="1366"/>
      <c r="CF804" s="1366"/>
      <c r="CG804" s="1366"/>
      <c r="CH804" s="1366"/>
      <c r="CI804" s="1366"/>
      <c r="CJ804" s="1366"/>
      <c r="CK804" s="1366"/>
      <c r="CL804" s="1366"/>
      <c r="CM804" s="1366"/>
      <c r="CN804" s="1366"/>
      <c r="CO804" s="1366"/>
      <c r="CP804" s="1366"/>
      <c r="CQ804" s="1366"/>
      <c r="CR804" s="1366"/>
      <c r="CS804" s="1366"/>
      <c r="CT804" s="1366"/>
      <c r="CU804" s="1366"/>
      <c r="CV804" s="1366"/>
      <c r="CW804" s="1366"/>
      <c r="CX804" s="1366"/>
      <c r="CY804" s="1366"/>
      <c r="CZ804" s="1366"/>
      <c r="DA804" s="1366"/>
      <c r="DB804" s="1366"/>
      <c r="DC804" s="1366"/>
      <c r="DD804" s="1366"/>
      <c r="DE804" s="1366"/>
      <c r="DF804" s="1366"/>
      <c r="DG804" s="1366"/>
      <c r="DH804" s="1366"/>
      <c r="DI804" s="1366"/>
      <c r="DJ804" s="1366"/>
      <c r="DK804" s="1366"/>
      <c r="DL804" s="1366"/>
      <c r="DM804" s="1366"/>
      <c r="DN804" s="1366"/>
      <c r="DO804" s="1366"/>
      <c r="DP804" s="1366"/>
      <c r="DQ804" s="1366"/>
      <c r="DR804" s="1366"/>
      <c r="DS804" s="1366"/>
      <c r="DT804" s="1366"/>
      <c r="DU804" s="1366"/>
      <c r="DV804" s="1366"/>
    </row>
    <row r="805" spans="1:126" s="1367" customFormat="1" hidden="1">
      <c r="A805" s="2503"/>
      <c r="B805" s="1643"/>
      <c r="C805" s="1674"/>
      <c r="D805" s="1480"/>
      <c r="E805" s="1480"/>
      <c r="F805" s="1480"/>
      <c r="G805" s="1480"/>
      <c r="H805" s="1481"/>
      <c r="I805" s="1482"/>
      <c r="J805" s="1483"/>
      <c r="K805" s="1483"/>
      <c r="L805" s="1528"/>
      <c r="M805" s="1483"/>
      <c r="N805" s="1484"/>
      <c r="O805" s="1481"/>
      <c r="P805" s="1485"/>
      <c r="Q805" s="1485"/>
      <c r="R805" s="1485"/>
      <c r="S805" s="1485"/>
      <c r="T805" s="1485"/>
      <c r="U805" s="1485"/>
      <c r="V805" s="1484"/>
      <c r="W805" s="1366"/>
      <c r="X805" s="1366"/>
      <c r="Y805" s="1366"/>
      <c r="Z805" s="1366"/>
      <c r="AA805" s="1366"/>
      <c r="AB805" s="1366"/>
      <c r="AC805" s="1366"/>
      <c r="AD805" s="1366"/>
      <c r="AE805" s="1366"/>
      <c r="AF805" s="1366"/>
      <c r="AG805" s="1366"/>
      <c r="AH805" s="1366"/>
      <c r="AI805" s="1366"/>
      <c r="AJ805" s="1366"/>
      <c r="AK805" s="1366"/>
      <c r="AL805" s="1366"/>
      <c r="AM805" s="1366"/>
      <c r="AN805" s="1366"/>
      <c r="AO805" s="1366"/>
      <c r="AP805" s="1366"/>
      <c r="AQ805" s="1366"/>
      <c r="AR805" s="1366"/>
      <c r="AS805" s="1366"/>
      <c r="AT805" s="1366"/>
      <c r="AU805" s="1366"/>
      <c r="AV805" s="1366"/>
      <c r="AW805" s="1366"/>
      <c r="AX805" s="1366"/>
      <c r="AY805" s="1366"/>
      <c r="AZ805" s="1366"/>
      <c r="BA805" s="1366"/>
      <c r="BB805" s="1366"/>
      <c r="BC805" s="1366"/>
      <c r="BD805" s="1366"/>
      <c r="BE805" s="1366"/>
      <c r="BF805" s="1366"/>
      <c r="BG805" s="1366"/>
      <c r="BH805" s="1366"/>
      <c r="BI805" s="1366"/>
      <c r="BJ805" s="1366"/>
      <c r="BK805" s="1366"/>
      <c r="BL805" s="1366"/>
      <c r="BM805" s="1366"/>
      <c r="BN805" s="1366"/>
      <c r="BO805" s="1366"/>
      <c r="BP805" s="1366"/>
      <c r="BQ805" s="1366"/>
      <c r="BR805" s="1366"/>
      <c r="BS805" s="1366"/>
      <c r="BT805" s="1366"/>
      <c r="BU805" s="1366"/>
      <c r="BV805" s="1366"/>
      <c r="BW805" s="1366"/>
      <c r="BX805" s="1366"/>
      <c r="BY805" s="1366"/>
      <c r="BZ805" s="1366"/>
      <c r="CA805" s="1366"/>
      <c r="CB805" s="1366"/>
      <c r="CC805" s="1366"/>
      <c r="CD805" s="1366"/>
      <c r="CE805" s="1366"/>
      <c r="CF805" s="1366"/>
      <c r="CG805" s="1366"/>
      <c r="CH805" s="1366"/>
      <c r="CI805" s="1366"/>
      <c r="CJ805" s="1366"/>
      <c r="CK805" s="1366"/>
      <c r="CL805" s="1366"/>
      <c r="CM805" s="1366"/>
      <c r="CN805" s="1366"/>
      <c r="CO805" s="1366"/>
      <c r="CP805" s="1366"/>
      <c r="CQ805" s="1366"/>
      <c r="CR805" s="1366"/>
      <c r="CS805" s="1366"/>
      <c r="CT805" s="1366"/>
      <c r="CU805" s="1366"/>
      <c r="CV805" s="1366"/>
      <c r="CW805" s="1366"/>
      <c r="CX805" s="1366"/>
      <c r="CY805" s="1366"/>
      <c r="CZ805" s="1366"/>
      <c r="DA805" s="1366"/>
      <c r="DB805" s="1366"/>
      <c r="DC805" s="1366"/>
      <c r="DD805" s="1366"/>
      <c r="DE805" s="1366"/>
      <c r="DF805" s="1366"/>
      <c r="DG805" s="1366"/>
      <c r="DH805" s="1366"/>
      <c r="DI805" s="1366"/>
      <c r="DJ805" s="1366"/>
      <c r="DK805" s="1366"/>
      <c r="DL805" s="1366"/>
      <c r="DM805" s="1366"/>
      <c r="DN805" s="1366"/>
      <c r="DO805" s="1366"/>
      <c r="DP805" s="1366"/>
      <c r="DQ805" s="1366"/>
      <c r="DR805" s="1366"/>
      <c r="DS805" s="1366"/>
      <c r="DT805" s="1366"/>
      <c r="DU805" s="1366"/>
      <c r="DV805" s="1366"/>
    </row>
    <row r="806" spans="1:126" s="1367" customFormat="1" ht="15.75" hidden="1" thickBot="1">
      <c r="A806" s="2503"/>
      <c r="B806" s="1643"/>
      <c r="C806" s="1674"/>
      <c r="D806" s="1480"/>
      <c r="E806" s="1480"/>
      <c r="F806" s="1480"/>
      <c r="G806" s="1480"/>
      <c r="H806" s="1481"/>
      <c r="I806" s="1482"/>
      <c r="J806" s="1483"/>
      <c r="K806" s="1483"/>
      <c r="L806" s="1528"/>
      <c r="M806" s="1483"/>
      <c r="N806" s="1484"/>
      <c r="O806" s="1481"/>
      <c r="P806" s="1485"/>
      <c r="Q806" s="1485"/>
      <c r="R806" s="1485"/>
      <c r="S806" s="1485"/>
      <c r="T806" s="1485"/>
      <c r="U806" s="1485"/>
      <c r="V806" s="1484"/>
      <c r="W806" s="1366"/>
      <c r="X806" s="1366"/>
      <c r="Y806" s="1366"/>
      <c r="Z806" s="1366"/>
      <c r="AA806" s="1366"/>
      <c r="AB806" s="1366"/>
      <c r="AC806" s="1366"/>
      <c r="AD806" s="1366"/>
      <c r="AE806" s="1366"/>
      <c r="AF806" s="1366"/>
      <c r="AG806" s="1366"/>
      <c r="AH806" s="1366"/>
      <c r="AI806" s="1366"/>
      <c r="AJ806" s="1366"/>
      <c r="AK806" s="1366"/>
      <c r="AL806" s="1366"/>
      <c r="AM806" s="1366"/>
      <c r="AN806" s="1366"/>
      <c r="AO806" s="1366"/>
      <c r="AP806" s="1366"/>
      <c r="AQ806" s="1366"/>
      <c r="AR806" s="1366"/>
      <c r="AS806" s="1366"/>
      <c r="AT806" s="1366"/>
      <c r="AU806" s="1366"/>
      <c r="AV806" s="1366"/>
      <c r="AW806" s="1366"/>
      <c r="AX806" s="1366"/>
      <c r="AY806" s="1366"/>
      <c r="AZ806" s="1366"/>
      <c r="BA806" s="1366"/>
      <c r="BB806" s="1366"/>
      <c r="BC806" s="1366"/>
      <c r="BD806" s="1366"/>
      <c r="BE806" s="1366"/>
      <c r="BF806" s="1366"/>
      <c r="BG806" s="1366"/>
      <c r="BH806" s="1366"/>
      <c r="BI806" s="1366"/>
      <c r="BJ806" s="1366"/>
      <c r="BK806" s="1366"/>
      <c r="BL806" s="1366"/>
      <c r="BM806" s="1366"/>
      <c r="BN806" s="1366"/>
      <c r="BO806" s="1366"/>
      <c r="BP806" s="1366"/>
      <c r="BQ806" s="1366"/>
      <c r="BR806" s="1366"/>
      <c r="BS806" s="1366"/>
      <c r="BT806" s="1366"/>
      <c r="BU806" s="1366"/>
      <c r="BV806" s="1366"/>
      <c r="BW806" s="1366"/>
      <c r="BX806" s="1366"/>
      <c r="BY806" s="1366"/>
      <c r="BZ806" s="1366"/>
      <c r="CA806" s="1366"/>
      <c r="CB806" s="1366"/>
      <c r="CC806" s="1366"/>
      <c r="CD806" s="1366"/>
      <c r="CE806" s="1366"/>
      <c r="CF806" s="1366"/>
      <c r="CG806" s="1366"/>
      <c r="CH806" s="1366"/>
      <c r="CI806" s="1366"/>
      <c r="CJ806" s="1366"/>
      <c r="CK806" s="1366"/>
      <c r="CL806" s="1366"/>
      <c r="CM806" s="1366"/>
      <c r="CN806" s="1366"/>
      <c r="CO806" s="1366"/>
      <c r="CP806" s="1366"/>
      <c r="CQ806" s="1366"/>
      <c r="CR806" s="1366"/>
      <c r="CS806" s="1366"/>
      <c r="CT806" s="1366"/>
      <c r="CU806" s="1366"/>
      <c r="CV806" s="1366"/>
      <c r="CW806" s="1366"/>
      <c r="CX806" s="1366"/>
      <c r="CY806" s="1366"/>
      <c r="CZ806" s="1366"/>
      <c r="DA806" s="1366"/>
      <c r="DB806" s="1366"/>
      <c r="DC806" s="1366"/>
      <c r="DD806" s="1366"/>
      <c r="DE806" s="1366"/>
      <c r="DF806" s="1366"/>
      <c r="DG806" s="1366"/>
      <c r="DH806" s="1366"/>
      <c r="DI806" s="1366"/>
      <c r="DJ806" s="1366"/>
      <c r="DK806" s="1366"/>
      <c r="DL806" s="1366"/>
      <c r="DM806" s="1366"/>
      <c r="DN806" s="1366"/>
      <c r="DO806" s="1366"/>
      <c r="DP806" s="1366"/>
      <c r="DQ806" s="1366"/>
      <c r="DR806" s="1366"/>
      <c r="DS806" s="1366"/>
      <c r="DT806" s="1366"/>
      <c r="DU806" s="1366"/>
      <c r="DV806" s="1366"/>
    </row>
    <row r="807" spans="1:126" s="1479" customFormat="1" ht="19.5" thickBot="1">
      <c r="A807" s="695"/>
      <c r="B807" s="1655"/>
      <c r="C807" s="1655"/>
      <c r="D807" s="683"/>
      <c r="E807" s="683"/>
      <c r="F807" s="683"/>
      <c r="G807" s="683"/>
      <c r="H807" s="1413"/>
      <c r="I807" s="1443"/>
      <c r="J807" s="1414"/>
      <c r="K807" s="1413"/>
      <c r="L807" s="1529"/>
      <c r="M807" s="1413"/>
      <c r="N807" s="1489"/>
      <c r="O807" s="1413"/>
      <c r="P807" s="1414"/>
      <c r="Q807" s="1414"/>
      <c r="R807" s="1443"/>
      <c r="S807" s="1443"/>
      <c r="T807" s="1488"/>
      <c r="U807" s="1488"/>
      <c r="V807" s="1489"/>
      <c r="W807" s="1490"/>
      <c r="X807" s="1490"/>
      <c r="Y807" s="327"/>
      <c r="Z807" s="327"/>
      <c r="AA807" s="327"/>
      <c r="AB807" s="1490"/>
      <c r="AC807" s="1490"/>
      <c r="AD807" s="1490"/>
      <c r="AE807" s="1490"/>
      <c r="AF807" s="327"/>
      <c r="AG807" s="327"/>
      <c r="AH807" s="327"/>
      <c r="AI807" s="327"/>
      <c r="AJ807" s="327"/>
      <c r="AK807" s="1478"/>
      <c r="AL807" s="1478"/>
      <c r="AM807" s="1478"/>
      <c r="AN807" s="1478"/>
      <c r="AO807" s="1478"/>
      <c r="AP807" s="1478"/>
      <c r="AQ807" s="1478"/>
      <c r="AR807" s="1478"/>
      <c r="AS807" s="1478"/>
      <c r="AT807" s="1478"/>
      <c r="AU807" s="1478"/>
      <c r="AV807" s="1478"/>
      <c r="AW807" s="1478"/>
      <c r="AX807" s="1478"/>
      <c r="AY807" s="1478"/>
      <c r="AZ807" s="1478"/>
      <c r="BA807" s="1478"/>
      <c r="BB807" s="1478"/>
      <c r="BC807" s="1478"/>
      <c r="BD807" s="1478"/>
      <c r="BE807" s="1478"/>
      <c r="BF807" s="1478"/>
      <c r="BG807" s="1478"/>
      <c r="BH807" s="1478"/>
      <c r="BI807" s="1478"/>
      <c r="BJ807" s="1478"/>
      <c r="BK807" s="327"/>
      <c r="BL807" s="327"/>
      <c r="BM807" s="327"/>
      <c r="BN807" s="327"/>
      <c r="BO807" s="327"/>
      <c r="BP807" s="327"/>
      <c r="BQ807" s="327"/>
      <c r="BR807" s="327"/>
      <c r="BS807" s="327"/>
      <c r="BT807" s="327"/>
      <c r="BU807" s="327"/>
      <c r="BV807" s="327"/>
      <c r="BW807" s="327"/>
      <c r="BX807" s="327"/>
      <c r="BY807" s="327"/>
      <c r="BZ807" s="327"/>
      <c r="CA807" s="327"/>
      <c r="CB807" s="327"/>
      <c r="CC807" s="327"/>
      <c r="CD807" s="327"/>
      <c r="CE807" s="327"/>
      <c r="CF807" s="327"/>
      <c r="CG807" s="327"/>
      <c r="CH807" s="327"/>
      <c r="CI807" s="327"/>
      <c r="CJ807" s="327"/>
      <c r="CK807" s="327"/>
      <c r="CL807" s="327"/>
      <c r="CM807" s="327"/>
      <c r="CN807" s="327"/>
      <c r="CO807" s="327"/>
      <c r="CP807" s="327"/>
      <c r="CQ807" s="327"/>
      <c r="CR807" s="327"/>
      <c r="CS807" s="327"/>
      <c r="CT807" s="327"/>
      <c r="CU807" s="327"/>
      <c r="CV807" s="327"/>
      <c r="CW807" s="327"/>
      <c r="CX807" s="327"/>
      <c r="CY807" s="327"/>
      <c r="CZ807" s="327"/>
      <c r="DA807" s="327"/>
      <c r="DB807" s="327"/>
      <c r="DC807" s="327"/>
      <c r="DD807" s="327"/>
      <c r="DE807" s="327"/>
      <c r="DF807" s="327"/>
      <c r="DG807" s="327"/>
      <c r="DH807" s="327"/>
      <c r="DI807" s="327"/>
      <c r="DJ807" s="327"/>
      <c r="DK807" s="327"/>
      <c r="DL807" s="327"/>
      <c r="DM807" s="327"/>
      <c r="DN807" s="327"/>
      <c r="DO807" s="327"/>
      <c r="DP807" s="327"/>
      <c r="DQ807" s="327"/>
      <c r="DR807" s="327"/>
      <c r="DS807" s="327"/>
      <c r="DT807" s="327"/>
      <c r="DU807" s="327"/>
      <c r="DV807" s="327"/>
    </row>
    <row r="808" spans="1:126" s="1367" customFormat="1" ht="45">
      <c r="A808" s="2493" t="s">
        <v>1365</v>
      </c>
      <c r="B808" s="2537" t="s">
        <v>2698</v>
      </c>
      <c r="C808" s="623" t="s">
        <v>1220</v>
      </c>
      <c r="D808" s="1379" t="s">
        <v>2590</v>
      </c>
      <c r="E808" s="1379" t="s">
        <v>2100</v>
      </c>
      <c r="F808" s="1379" t="s">
        <v>2108</v>
      </c>
      <c r="G808" s="1626" t="s">
        <v>2584</v>
      </c>
      <c r="H808" s="1629">
        <f>(('Equipment Results Matrix'!$R$1345*18)+(400*'Equipment Results Matrix'!$R$1346)+'Equipment Results Matrix'!$R$1347+'Equipment Results Matrix'!$R$1349+'Equipment Results Matrix'!$R$1351+'Equipment Results Matrix'!$R$1353+'Equipment Results Matrix'!$T$1352)+((400*'Equipment Results Matrix'!$R$1143)+(120*'Equipment Results Matrix'!$R$1144)+(3500*'Equipment Results Matrix'!$R$1145)+(90*'Equipment Results Matrix'!$R$1146)+'Equipment Results Matrix'!$R$1147+'Equipment Results Matrix'!$R$1150+'Equipment Results Matrix'!$R$1153+'Equipment Results Matrix'!$R$1156+'Equipment Results Matrix'!$R$1159+'Equipment Results Matrix'!$T$1150)</f>
        <v>266.90955182247194</v>
      </c>
      <c r="I808" s="1630">
        <f>'Labor Results Matrix'!$E$823+'Labor Results Matrix'!$E$824</f>
        <v>2.1325159377406813</v>
      </c>
      <c r="J808" s="1631">
        <f>'Labor Results Matrix'!$G$825*(1+'Labor Results Matrix'!$K$823)</f>
        <v>67.26167983080542</v>
      </c>
      <c r="K808" s="1631">
        <f t="shared" ref="K808:K811" si="260">I808*J808</f>
        <v>143.43660423840348</v>
      </c>
      <c r="L808" s="1631">
        <f>('Labor Results Matrix'!$I$826+'Labor Results Matrix'!$I$827)*(1+'Labor Results Matrix'!$K$823)</f>
        <v>43.705339500000008</v>
      </c>
      <c r="M808" s="1631">
        <f t="shared" ref="M808:M811" si="261">H808+K808+L808</f>
        <v>454.05149556087542</v>
      </c>
      <c r="N808" s="1592" t="s">
        <v>40</v>
      </c>
      <c r="O808" s="1429"/>
      <c r="P808" s="1430"/>
      <c r="Q808" s="1430"/>
      <c r="R808" s="1430"/>
      <c r="S808" s="1430"/>
      <c r="T808" s="1430"/>
      <c r="U808" s="1430"/>
      <c r="V808" s="1679"/>
      <c r="W808" s="1366"/>
      <c r="X808" s="1366"/>
      <c r="Y808" s="1366"/>
      <c r="Z808" s="1366"/>
      <c r="AA808" s="1366"/>
      <c r="AB808" s="1366"/>
      <c r="AC808" s="1366"/>
      <c r="AD808" s="1366"/>
      <c r="AE808" s="1366"/>
      <c r="AF808" s="1366"/>
      <c r="AG808" s="1366"/>
      <c r="AH808" s="1366"/>
      <c r="AI808" s="1366"/>
      <c r="AJ808" s="1366"/>
      <c r="AK808" s="1366"/>
      <c r="AL808" s="1366"/>
      <c r="AM808" s="1366"/>
      <c r="AN808" s="1366"/>
      <c r="AO808" s="1366"/>
      <c r="AP808" s="1366"/>
      <c r="AQ808" s="1366"/>
      <c r="AR808" s="1366"/>
      <c r="AS808" s="1366"/>
      <c r="AT808" s="1366"/>
      <c r="AU808" s="1366"/>
      <c r="AV808" s="1366"/>
      <c r="AW808" s="1366"/>
      <c r="AX808" s="1366"/>
      <c r="AY808" s="1366"/>
      <c r="AZ808" s="1366"/>
      <c r="BA808" s="1366"/>
      <c r="BB808" s="1366"/>
      <c r="BC808" s="1366"/>
      <c r="BD808" s="1366"/>
      <c r="BE808" s="1366"/>
      <c r="BF808" s="1366"/>
      <c r="BG808" s="1366"/>
      <c r="BH808" s="1366"/>
      <c r="BI808" s="1366"/>
      <c r="BJ808" s="1366"/>
      <c r="BK808" s="1366"/>
      <c r="BL808" s="1366"/>
      <c r="BM808" s="1366"/>
      <c r="BN808" s="1366"/>
      <c r="BO808" s="1366"/>
      <c r="BP808" s="1366"/>
      <c r="BQ808" s="1366"/>
      <c r="BR808" s="1366"/>
      <c r="BS808" s="1366"/>
      <c r="BT808" s="1366"/>
      <c r="BU808" s="1366"/>
      <c r="BV808" s="1366"/>
      <c r="BW808" s="1366"/>
      <c r="BX808" s="1366"/>
      <c r="BY808" s="1366"/>
      <c r="BZ808" s="1366"/>
      <c r="CA808" s="1366"/>
      <c r="CB808" s="1366"/>
      <c r="CC808" s="1366"/>
      <c r="CD808" s="1366"/>
      <c r="CE808" s="1366"/>
      <c r="CF808" s="1366"/>
      <c r="CG808" s="1366"/>
      <c r="CH808" s="1366"/>
      <c r="CI808" s="1366"/>
      <c r="CJ808" s="1366"/>
      <c r="CK808" s="1366"/>
      <c r="CL808" s="1366"/>
      <c r="CM808" s="1366"/>
      <c r="CN808" s="1366"/>
      <c r="CO808" s="1366"/>
      <c r="CP808" s="1366"/>
      <c r="CQ808" s="1366"/>
      <c r="CR808" s="1366"/>
      <c r="CS808" s="1366"/>
      <c r="CT808" s="1366"/>
      <c r="CU808" s="1366"/>
      <c r="CV808" s="1366"/>
      <c r="CW808" s="1366"/>
      <c r="CX808" s="1366"/>
      <c r="CY808" s="1366"/>
      <c r="CZ808" s="1366"/>
      <c r="DA808" s="1366"/>
      <c r="DB808" s="1366"/>
      <c r="DC808" s="1366"/>
      <c r="DD808" s="1366"/>
      <c r="DE808" s="1366"/>
      <c r="DF808" s="1366"/>
      <c r="DG808" s="1366"/>
      <c r="DH808" s="1366"/>
      <c r="DI808" s="1366"/>
      <c r="DJ808" s="1366"/>
      <c r="DK808" s="1366"/>
      <c r="DL808" s="1366"/>
      <c r="DM808" s="1366"/>
      <c r="DN808" s="1366"/>
      <c r="DO808" s="1366"/>
      <c r="DP808" s="1366"/>
      <c r="DQ808" s="1366"/>
      <c r="DR808" s="1366"/>
      <c r="DS808" s="1366"/>
      <c r="DT808" s="1366"/>
      <c r="DU808" s="1366"/>
      <c r="DV808" s="1366"/>
    </row>
    <row r="809" spans="1:126" s="1367" customFormat="1" ht="30">
      <c r="A809" s="2494"/>
      <c r="B809" s="2538"/>
      <c r="C809" s="336" t="s">
        <v>49</v>
      </c>
      <c r="D809" s="1625" t="s">
        <v>2705</v>
      </c>
      <c r="E809" s="1379" t="s">
        <v>2100</v>
      </c>
      <c r="F809" s="1379" t="s">
        <v>2108</v>
      </c>
      <c r="G809" s="1626" t="s">
        <v>2584</v>
      </c>
      <c r="H809" s="1361">
        <f>((('Equipment Results Matrix'!$R$1315*48)+('Equipment Results Matrix'!$R$1316*6)+('Equipment Results Matrix'!$R$1317*54)+'Equipment Results Matrix'!$R$1319+'Equipment Results Matrix'!$R$1321+'Equipment Results Matrix'!$R$1322+'Equipment Results Matrix'!$R$1324+'Equipment Results Matrix'!$T$1322)*(1+'Equipment Results Matrix'!$T$1324))+(((54*'Equipment Results Matrix'!$R$1194)+(85*'Equipment Results Matrix'!$R$1195)+(93*'Equipment Results Matrix'!$R$1196)+'Equipment Results Matrix'!$R$1197+'Equipment Results Matrix'!$R$1199+'Equipment Results Matrix'!$R$1201+'Equipment Results Matrix'!$R$1203+'Equipment Results Matrix'!$R$1205+'Equipment Results Matrix'!$R$1207+'Equipment Results Matrix'!$R$1209+'Equipment Results Matrix'!$T$1201)*6*(1+'Equipment Results Matrix'!$T$1203))</f>
        <v>323.92964096248573</v>
      </c>
      <c r="I809" s="1627">
        <f>'Labor Results Matrix'!$E$823+'Labor Results Matrix'!$E$824</f>
        <v>2.1325159377406813</v>
      </c>
      <c r="J809" s="1628">
        <f>'Labor Results Matrix'!$G$825*(1+'Labor Results Matrix'!$K$823)</f>
        <v>67.26167983080542</v>
      </c>
      <c r="K809" s="1628">
        <f t="shared" si="260"/>
        <v>143.43660423840348</v>
      </c>
      <c r="L809" s="1628">
        <f>('Labor Results Matrix'!$I$826+'Labor Results Matrix'!$I$827)*(1+'Labor Results Matrix'!$K$823)</f>
        <v>43.705339500000008</v>
      </c>
      <c r="M809" s="1628">
        <f t="shared" si="261"/>
        <v>511.07158470088928</v>
      </c>
      <c r="N809" s="1458">
        <f>M809-M808</f>
        <v>57.020089140013852</v>
      </c>
      <c r="O809" s="1429"/>
      <c r="P809" s="1430"/>
      <c r="Q809" s="1430"/>
      <c r="R809" s="1430"/>
      <c r="S809" s="1430"/>
      <c r="T809" s="1430"/>
      <c r="U809" s="1430"/>
      <c r="V809" s="1679"/>
      <c r="W809" s="1366"/>
      <c r="X809" s="1366"/>
      <c r="Y809" s="1366"/>
      <c r="Z809" s="1366"/>
      <c r="AA809" s="1366"/>
      <c r="AB809" s="1366"/>
      <c r="AC809" s="1366"/>
      <c r="AD809" s="1366"/>
      <c r="AE809" s="1366"/>
      <c r="AF809" s="1366"/>
      <c r="AG809" s="1366"/>
      <c r="AH809" s="1366"/>
      <c r="AI809" s="1366"/>
      <c r="AJ809" s="1366"/>
      <c r="AK809" s="1366"/>
      <c r="AL809" s="1366"/>
      <c r="AM809" s="1366"/>
      <c r="AN809" s="1366"/>
      <c r="AO809" s="1366"/>
      <c r="AP809" s="1366"/>
      <c r="AQ809" s="1366"/>
      <c r="AR809" s="1366"/>
      <c r="AS809" s="1366"/>
      <c r="AT809" s="1366"/>
      <c r="AU809" s="1366"/>
      <c r="AV809" s="1366"/>
      <c r="AW809" s="1366"/>
      <c r="AX809" s="1366"/>
      <c r="AY809" s="1366"/>
      <c r="AZ809" s="1366"/>
      <c r="BA809" s="1366"/>
      <c r="BB809" s="1366"/>
      <c r="BC809" s="1366"/>
      <c r="BD809" s="1366"/>
      <c r="BE809" s="1366"/>
      <c r="BF809" s="1366"/>
      <c r="BG809" s="1366"/>
      <c r="BH809" s="1366"/>
      <c r="BI809" s="1366"/>
      <c r="BJ809" s="1366"/>
      <c r="BK809" s="1366"/>
      <c r="BL809" s="1366"/>
      <c r="BM809" s="1366"/>
      <c r="BN809" s="1366"/>
      <c r="BO809" s="1366"/>
      <c r="BP809" s="1366"/>
      <c r="BQ809" s="1366"/>
      <c r="BR809" s="1366"/>
      <c r="BS809" s="1366"/>
      <c r="BT809" s="1366"/>
      <c r="BU809" s="1366"/>
      <c r="BV809" s="1366"/>
      <c r="BW809" s="1366"/>
      <c r="BX809" s="1366"/>
      <c r="BY809" s="1366"/>
      <c r="BZ809" s="1366"/>
      <c r="CA809" s="1366"/>
      <c r="CB809" s="1366"/>
      <c r="CC809" s="1366"/>
      <c r="CD809" s="1366"/>
      <c r="CE809" s="1366"/>
      <c r="CF809" s="1366"/>
      <c r="CG809" s="1366"/>
      <c r="CH809" s="1366"/>
      <c r="CI809" s="1366"/>
      <c r="CJ809" s="1366"/>
      <c r="CK809" s="1366"/>
      <c r="CL809" s="1366"/>
      <c r="CM809" s="1366"/>
      <c r="CN809" s="1366"/>
      <c r="CO809" s="1366"/>
      <c r="CP809" s="1366"/>
      <c r="CQ809" s="1366"/>
      <c r="CR809" s="1366"/>
      <c r="CS809" s="1366"/>
      <c r="CT809" s="1366"/>
      <c r="CU809" s="1366"/>
      <c r="CV809" s="1366"/>
      <c r="CW809" s="1366"/>
      <c r="CX809" s="1366"/>
      <c r="CY809" s="1366"/>
      <c r="CZ809" s="1366"/>
      <c r="DA809" s="1366"/>
      <c r="DB809" s="1366"/>
      <c r="DC809" s="1366"/>
      <c r="DD809" s="1366"/>
      <c r="DE809" s="1366"/>
      <c r="DF809" s="1366"/>
      <c r="DG809" s="1366"/>
      <c r="DH809" s="1366"/>
      <c r="DI809" s="1366"/>
      <c r="DJ809" s="1366"/>
      <c r="DK809" s="1366"/>
      <c r="DL809" s="1366"/>
      <c r="DM809" s="1366"/>
      <c r="DN809" s="1366"/>
      <c r="DO809" s="1366"/>
      <c r="DP809" s="1366"/>
      <c r="DQ809" s="1366"/>
      <c r="DR809" s="1366"/>
      <c r="DS809" s="1366"/>
      <c r="DT809" s="1366"/>
      <c r="DU809" s="1366"/>
      <c r="DV809" s="1366"/>
    </row>
    <row r="810" spans="1:126" s="1367" customFormat="1" ht="30">
      <c r="A810" s="2494"/>
      <c r="B810" s="2538"/>
      <c r="C810" s="336" t="s">
        <v>1220</v>
      </c>
      <c r="D810" s="1625" t="s">
        <v>2706</v>
      </c>
      <c r="E810" s="1379" t="s">
        <v>2100</v>
      </c>
      <c r="F810" s="1379" t="s">
        <v>2108</v>
      </c>
      <c r="G810" s="1626" t="s">
        <v>2584</v>
      </c>
      <c r="H810" s="1361">
        <f>((('Equipment Results Matrix'!$R$1315*96)+('Equipment Results Matrix'!$R$1316*4)+('Equipment Results Matrix'!$R$1317*59)+'Equipment Results Matrix'!$R$1319+'Equipment Results Matrix'!$R$1321+'Equipment Results Matrix'!$R$1323+'Equipment Results Matrix'!$R$1324+'Equipment Results Matrix'!$T$1322)*(1+'Equipment Results Matrix'!$T$1324))+((('Equipment Results Matrix'!$R$1183*59)+('Equipment Results Matrix'!$R$1184*85)+('Equipment Results Matrix'!$R$1185*36000)+(97*'Equipment Results Matrix'!$R$1186)+'Equipment Results Matrix'!$R$1187+'Equipment Results Matrix'!$T$1190)*4*(1+'Equipment Results Matrix'!$T$1192))</f>
        <v>469.51964382448517</v>
      </c>
      <c r="I810" s="1627">
        <f>'Labor Results Matrix'!$E$823+'Labor Results Matrix'!$E$824</f>
        <v>2.1325159377406813</v>
      </c>
      <c r="J810" s="1628">
        <f>'Labor Results Matrix'!$G$825*(1+'Labor Results Matrix'!$K$823)</f>
        <v>67.26167983080542</v>
      </c>
      <c r="K810" s="1628">
        <f t="shared" si="260"/>
        <v>143.43660423840348</v>
      </c>
      <c r="L810" s="1628">
        <f>('Labor Results Matrix'!$I$826+'Labor Results Matrix'!$I$827)*(1+'Labor Results Matrix'!$K$823)</f>
        <v>43.705339500000008</v>
      </c>
      <c r="M810" s="1628">
        <f t="shared" si="261"/>
        <v>656.66158756288871</v>
      </c>
      <c r="N810" s="1455" t="s">
        <v>40</v>
      </c>
      <c r="O810" s="1429"/>
      <c r="P810" s="1430"/>
      <c r="Q810" s="1430"/>
      <c r="R810" s="1430"/>
      <c r="S810" s="1430"/>
      <c r="T810" s="1430"/>
      <c r="U810" s="1430"/>
      <c r="V810" s="1679"/>
      <c r="W810" s="1366"/>
      <c r="X810" s="1366"/>
      <c r="Y810" s="1366"/>
      <c r="Z810" s="1366"/>
      <c r="AA810" s="1366"/>
      <c r="AB810" s="1366"/>
      <c r="AC810" s="1366"/>
      <c r="AD810" s="1366"/>
      <c r="AE810" s="1366"/>
      <c r="AF810" s="1366"/>
      <c r="AG810" s="1366"/>
      <c r="AH810" s="1366"/>
      <c r="AI810" s="1366"/>
      <c r="AJ810" s="1366"/>
      <c r="AK810" s="1366"/>
      <c r="AL810" s="1366"/>
      <c r="AM810" s="1366"/>
      <c r="AN810" s="1366"/>
      <c r="AO810" s="1366"/>
      <c r="AP810" s="1366"/>
      <c r="AQ810" s="1366"/>
      <c r="AR810" s="1366"/>
      <c r="AS810" s="1366"/>
      <c r="AT810" s="1366"/>
      <c r="AU810" s="1366"/>
      <c r="AV810" s="1366"/>
      <c r="AW810" s="1366"/>
      <c r="AX810" s="1366"/>
      <c r="AY810" s="1366"/>
      <c r="AZ810" s="1366"/>
      <c r="BA810" s="1366"/>
      <c r="BB810" s="1366"/>
      <c r="BC810" s="1366"/>
      <c r="BD810" s="1366"/>
      <c r="BE810" s="1366"/>
      <c r="BF810" s="1366"/>
      <c r="BG810" s="1366"/>
      <c r="BH810" s="1366"/>
      <c r="BI810" s="1366"/>
      <c r="BJ810" s="1366"/>
      <c r="BK810" s="1366"/>
      <c r="BL810" s="1366"/>
      <c r="BM810" s="1366"/>
      <c r="BN810" s="1366"/>
      <c r="BO810" s="1366"/>
      <c r="BP810" s="1366"/>
      <c r="BQ810" s="1366"/>
      <c r="BR810" s="1366"/>
      <c r="BS810" s="1366"/>
      <c r="BT810" s="1366"/>
      <c r="BU810" s="1366"/>
      <c r="BV810" s="1366"/>
      <c r="BW810" s="1366"/>
      <c r="BX810" s="1366"/>
      <c r="BY810" s="1366"/>
      <c r="BZ810" s="1366"/>
      <c r="CA810" s="1366"/>
      <c r="CB810" s="1366"/>
      <c r="CC810" s="1366"/>
      <c r="CD810" s="1366"/>
      <c r="CE810" s="1366"/>
      <c r="CF810" s="1366"/>
      <c r="CG810" s="1366"/>
      <c r="CH810" s="1366"/>
      <c r="CI810" s="1366"/>
      <c r="CJ810" s="1366"/>
      <c r="CK810" s="1366"/>
      <c r="CL810" s="1366"/>
      <c r="CM810" s="1366"/>
      <c r="CN810" s="1366"/>
      <c r="CO810" s="1366"/>
      <c r="CP810" s="1366"/>
      <c r="CQ810" s="1366"/>
      <c r="CR810" s="1366"/>
      <c r="CS810" s="1366"/>
      <c r="CT810" s="1366"/>
      <c r="CU810" s="1366"/>
      <c r="CV810" s="1366"/>
      <c r="CW810" s="1366"/>
      <c r="CX810" s="1366"/>
      <c r="CY810" s="1366"/>
      <c r="CZ810" s="1366"/>
      <c r="DA810" s="1366"/>
      <c r="DB810" s="1366"/>
      <c r="DC810" s="1366"/>
      <c r="DD810" s="1366"/>
      <c r="DE810" s="1366"/>
      <c r="DF810" s="1366"/>
      <c r="DG810" s="1366"/>
      <c r="DH810" s="1366"/>
      <c r="DI810" s="1366"/>
      <c r="DJ810" s="1366"/>
      <c r="DK810" s="1366"/>
      <c r="DL810" s="1366"/>
      <c r="DM810" s="1366"/>
      <c r="DN810" s="1366"/>
      <c r="DO810" s="1366"/>
      <c r="DP810" s="1366"/>
      <c r="DQ810" s="1366"/>
      <c r="DR810" s="1366"/>
      <c r="DS810" s="1366"/>
      <c r="DT810" s="1366"/>
      <c r="DU810" s="1366"/>
      <c r="DV810" s="1366"/>
    </row>
    <row r="811" spans="1:126" s="1367" customFormat="1" ht="30.75" thickBot="1">
      <c r="A811" s="2495"/>
      <c r="B811" s="2528"/>
      <c r="C811" s="336" t="s">
        <v>49</v>
      </c>
      <c r="D811" s="1625" t="s">
        <v>2704</v>
      </c>
      <c r="E811" s="1379" t="s">
        <v>2100</v>
      </c>
      <c r="F811" s="1379" t="s">
        <v>2108</v>
      </c>
      <c r="G811" s="1626" t="s">
        <v>2584</v>
      </c>
      <c r="H811" s="1552">
        <f>((('Equipment Results Matrix'!$R$1315*48)+('Equipment Results Matrix'!$R$1316*6)+('Equipment Results Matrix'!$R$1317*54)+'Equipment Results Matrix'!$R$1319+'Equipment Results Matrix'!$R$1321+'Equipment Results Matrix'!$R$1322+'Equipment Results Matrix'!$R$1324+'Equipment Results Matrix'!$T$1322)*(1+'Equipment Results Matrix'!$T$1324))+(((54*'Equipment Results Matrix'!$R$1194)+(85*'Equipment Results Matrix'!$R$1195)+(93*'Equipment Results Matrix'!$R$1196)+'Equipment Results Matrix'!$R$1197+'Equipment Results Matrix'!$R$1199+'Equipment Results Matrix'!$R$1201+'Equipment Results Matrix'!$R$1203+'Equipment Results Matrix'!$R$1205+'Equipment Results Matrix'!$R$1207+'Equipment Results Matrix'!$R$1209+'Equipment Results Matrix'!$T$1201)*6*(1+'Equipment Results Matrix'!$T$1203))</f>
        <v>323.92964096248573</v>
      </c>
      <c r="I811" s="1627">
        <f>'Labor Results Matrix'!$E$823+'Labor Results Matrix'!$E$824</f>
        <v>2.1325159377406813</v>
      </c>
      <c r="J811" s="1628">
        <f>'Labor Results Matrix'!$G$825*(1+'Labor Results Matrix'!$K$823)</f>
        <v>67.26167983080542</v>
      </c>
      <c r="K811" s="1628">
        <f t="shared" si="260"/>
        <v>143.43660423840348</v>
      </c>
      <c r="L811" s="1628">
        <f>('Labor Results Matrix'!$I$826+'Labor Results Matrix'!$I$827)*(1+'Labor Results Matrix'!$K$823)</f>
        <v>43.705339500000008</v>
      </c>
      <c r="M811" s="1628">
        <f t="shared" si="261"/>
        <v>511.07158470088928</v>
      </c>
      <c r="N811" s="1559">
        <f>M811-M810</f>
        <v>-145.59000286199944</v>
      </c>
      <c r="O811" s="1429"/>
      <c r="P811" s="1430"/>
      <c r="Q811" s="1430"/>
      <c r="R811" s="1430"/>
      <c r="S811" s="1430"/>
      <c r="T811" s="1430"/>
      <c r="U811" s="1430"/>
      <c r="V811" s="1679"/>
      <c r="W811" s="1366"/>
      <c r="X811" s="1366"/>
      <c r="Y811" s="1366"/>
      <c r="Z811" s="1366"/>
      <c r="AA811" s="1366"/>
      <c r="AB811" s="1366"/>
      <c r="AC811" s="1366"/>
      <c r="AD811" s="1366"/>
      <c r="AE811" s="1366"/>
      <c r="AF811" s="1366"/>
      <c r="AG811" s="1366"/>
      <c r="AH811" s="1366"/>
      <c r="AI811" s="1366"/>
      <c r="AJ811" s="1366"/>
      <c r="AK811" s="1366"/>
      <c r="AL811" s="1366"/>
      <c r="AM811" s="1366"/>
      <c r="AN811" s="1366"/>
      <c r="AO811" s="1366"/>
      <c r="AP811" s="1366"/>
      <c r="AQ811" s="1366"/>
      <c r="AR811" s="1366"/>
      <c r="AS811" s="1366"/>
      <c r="AT811" s="1366"/>
      <c r="AU811" s="1366"/>
      <c r="AV811" s="1366"/>
      <c r="AW811" s="1366"/>
      <c r="AX811" s="1366"/>
      <c r="AY811" s="1366"/>
      <c r="AZ811" s="1366"/>
      <c r="BA811" s="1366"/>
      <c r="BB811" s="1366"/>
      <c r="BC811" s="1366"/>
      <c r="BD811" s="1366"/>
      <c r="BE811" s="1366"/>
      <c r="BF811" s="1366"/>
      <c r="BG811" s="1366"/>
      <c r="BH811" s="1366"/>
      <c r="BI811" s="1366"/>
      <c r="BJ811" s="1366"/>
      <c r="BK811" s="1366"/>
      <c r="BL811" s="1366"/>
      <c r="BM811" s="1366"/>
      <c r="BN811" s="1366"/>
      <c r="BO811" s="1366"/>
      <c r="BP811" s="1366"/>
      <c r="BQ811" s="1366"/>
      <c r="BR811" s="1366"/>
      <c r="BS811" s="1366"/>
      <c r="BT811" s="1366"/>
      <c r="BU811" s="1366"/>
      <c r="BV811" s="1366"/>
      <c r="BW811" s="1366"/>
      <c r="BX811" s="1366"/>
      <c r="BY811" s="1366"/>
      <c r="BZ811" s="1366"/>
      <c r="CA811" s="1366"/>
      <c r="CB811" s="1366"/>
      <c r="CC811" s="1366"/>
      <c r="CD811" s="1366"/>
      <c r="CE811" s="1366"/>
      <c r="CF811" s="1366"/>
      <c r="CG811" s="1366"/>
      <c r="CH811" s="1366"/>
      <c r="CI811" s="1366"/>
      <c r="CJ811" s="1366"/>
      <c r="CK811" s="1366"/>
      <c r="CL811" s="1366"/>
      <c r="CM811" s="1366"/>
      <c r="CN811" s="1366"/>
      <c r="CO811" s="1366"/>
      <c r="CP811" s="1366"/>
      <c r="CQ811" s="1366"/>
      <c r="CR811" s="1366"/>
      <c r="CS811" s="1366"/>
      <c r="CT811" s="1366"/>
      <c r="CU811" s="1366"/>
      <c r="CV811" s="1366"/>
      <c r="CW811" s="1366"/>
      <c r="CX811" s="1366"/>
      <c r="CY811" s="1366"/>
      <c r="CZ811" s="1366"/>
      <c r="DA811" s="1366"/>
      <c r="DB811" s="1366"/>
      <c r="DC811" s="1366"/>
      <c r="DD811" s="1366"/>
      <c r="DE811" s="1366"/>
      <c r="DF811" s="1366"/>
      <c r="DG811" s="1366"/>
      <c r="DH811" s="1366"/>
      <c r="DI811" s="1366"/>
      <c r="DJ811" s="1366"/>
      <c r="DK811" s="1366"/>
      <c r="DL811" s="1366"/>
      <c r="DM811" s="1366"/>
      <c r="DN811" s="1366"/>
      <c r="DO811" s="1366"/>
      <c r="DP811" s="1366"/>
      <c r="DQ811" s="1366"/>
      <c r="DR811" s="1366"/>
      <c r="DS811" s="1366"/>
      <c r="DT811" s="1366"/>
      <c r="DU811" s="1366"/>
      <c r="DV811" s="1366"/>
    </row>
    <row r="812" spans="1:126" s="1479" customFormat="1" ht="19.5" thickBot="1">
      <c r="A812" s="695"/>
      <c r="B812" s="1655"/>
      <c r="C812" s="1655"/>
      <c r="D812" s="683"/>
      <c r="E812" s="683"/>
      <c r="F812" s="683"/>
      <c r="G812" s="683"/>
      <c r="H812" s="1413"/>
      <c r="I812" s="1443"/>
      <c r="J812" s="1414"/>
      <c r="K812" s="1413"/>
      <c r="L812" s="1529"/>
      <c r="M812" s="1413"/>
      <c r="N812" s="1489"/>
      <c r="O812" s="1413"/>
      <c r="P812" s="1414"/>
      <c r="Q812" s="1414"/>
      <c r="R812" s="1443"/>
      <c r="S812" s="1443"/>
      <c r="T812" s="1488"/>
      <c r="U812" s="1488"/>
      <c r="V812" s="1489"/>
      <c r="W812" s="1490"/>
      <c r="X812" s="1490"/>
      <c r="Y812" s="327"/>
      <c r="Z812" s="327"/>
      <c r="AA812" s="327"/>
      <c r="AB812" s="1490"/>
      <c r="AC812" s="1490"/>
      <c r="AD812" s="1490"/>
      <c r="AE812" s="1490"/>
      <c r="AF812" s="327"/>
      <c r="AG812" s="327"/>
      <c r="AH812" s="327"/>
      <c r="AI812" s="327"/>
      <c r="AJ812" s="327"/>
      <c r="AK812" s="1478"/>
      <c r="AL812" s="1478"/>
      <c r="AM812" s="1478"/>
      <c r="AN812" s="1478"/>
      <c r="AO812" s="1478"/>
      <c r="AP812" s="1478"/>
      <c r="AQ812" s="1478"/>
      <c r="AR812" s="1478"/>
      <c r="AS812" s="1478"/>
      <c r="AT812" s="1478"/>
      <c r="AU812" s="1478"/>
      <c r="AV812" s="1478"/>
      <c r="AW812" s="1478"/>
      <c r="AX812" s="1478"/>
      <c r="AY812" s="1478"/>
      <c r="AZ812" s="1478"/>
      <c r="BA812" s="1478"/>
      <c r="BB812" s="1478"/>
      <c r="BC812" s="1478"/>
      <c r="BD812" s="1478"/>
      <c r="BE812" s="1478"/>
      <c r="BF812" s="1478"/>
      <c r="BG812" s="1478"/>
      <c r="BH812" s="1478"/>
      <c r="BI812" s="1478"/>
      <c r="BJ812" s="1478"/>
      <c r="BK812" s="327"/>
      <c r="BL812" s="327"/>
      <c r="BM812" s="327"/>
      <c r="BN812" s="327"/>
      <c r="BO812" s="327"/>
      <c r="BP812" s="327"/>
      <c r="BQ812" s="327"/>
      <c r="BR812" s="327"/>
      <c r="BS812" s="327"/>
      <c r="BT812" s="327"/>
      <c r="BU812" s="327"/>
      <c r="BV812" s="327"/>
      <c r="BW812" s="327"/>
      <c r="BX812" s="327"/>
      <c r="BY812" s="327"/>
      <c r="BZ812" s="327"/>
      <c r="CA812" s="327"/>
      <c r="CB812" s="327"/>
      <c r="CC812" s="327"/>
      <c r="CD812" s="327"/>
      <c r="CE812" s="327"/>
      <c r="CF812" s="327"/>
      <c r="CG812" s="327"/>
      <c r="CH812" s="327"/>
      <c r="CI812" s="327"/>
      <c r="CJ812" s="327"/>
      <c r="CK812" s="327"/>
      <c r="CL812" s="327"/>
      <c r="CM812" s="327"/>
      <c r="CN812" s="327"/>
      <c r="CO812" s="327"/>
      <c r="CP812" s="327"/>
      <c r="CQ812" s="327"/>
      <c r="CR812" s="327"/>
      <c r="CS812" s="327"/>
      <c r="CT812" s="327"/>
      <c r="CU812" s="327"/>
      <c r="CV812" s="327"/>
      <c r="CW812" s="327"/>
      <c r="CX812" s="327"/>
      <c r="CY812" s="327"/>
      <c r="CZ812" s="327"/>
      <c r="DA812" s="327"/>
      <c r="DB812" s="327"/>
      <c r="DC812" s="327"/>
      <c r="DD812" s="327"/>
      <c r="DE812" s="327"/>
      <c r="DF812" s="327"/>
      <c r="DG812" s="327"/>
      <c r="DH812" s="327"/>
      <c r="DI812" s="327"/>
      <c r="DJ812" s="327"/>
      <c r="DK812" s="327"/>
      <c r="DL812" s="327"/>
      <c r="DM812" s="327"/>
      <c r="DN812" s="327"/>
      <c r="DO812" s="327"/>
      <c r="DP812" s="327"/>
      <c r="DQ812" s="327"/>
      <c r="DR812" s="327"/>
      <c r="DS812" s="327"/>
      <c r="DT812" s="327"/>
      <c r="DU812" s="327"/>
      <c r="DV812" s="327"/>
    </row>
    <row r="813" spans="1:126" s="1367" customFormat="1" ht="30" customHeight="1">
      <c r="A813" s="2493" t="s">
        <v>1367</v>
      </c>
      <c r="B813" s="2525" t="s">
        <v>863</v>
      </c>
      <c r="C813" s="623" t="str">
        <f>'Equipment Results Matrix'!W1334</f>
        <v>Baseline</v>
      </c>
      <c r="D813" s="1560" t="str">
        <f>'Equipment Results Matrix'!X1334</f>
        <v>T8, 48 inch, 2-lamp, 32 watt, instant start ballast, surface mounted wrap (lamps not included)</v>
      </c>
      <c r="E813" s="383" t="s">
        <v>2702</v>
      </c>
      <c r="F813" s="383" t="s">
        <v>2108</v>
      </c>
      <c r="G813" s="1540" t="s">
        <v>2584</v>
      </c>
      <c r="H813" s="1589">
        <f>'Equipment Results Matrix'!Y1334</f>
        <v>56.872</v>
      </c>
      <c r="I813" s="1564">
        <f>'Labor Results Matrix'!$E$778+'Labor Results Matrix'!E779</f>
        <v>1.2628388119382172</v>
      </c>
      <c r="J813" s="1566">
        <f>'Labor Results Matrix'!$G$780*(1+'Labor Results Matrix'!$K$778)</f>
        <v>75.451540829730007</v>
      </c>
      <c r="K813" s="1566">
        <f>I813*J813</f>
        <v>95.283134180324126</v>
      </c>
      <c r="L813" s="1566">
        <f>'Labor Results Matrix'!$I$781*(1+'Labor Results Matrix'!$K$778)</f>
        <v>24.302454400000002</v>
      </c>
      <c r="M813" s="1591">
        <f>H813+K813+L813</f>
        <v>176.45758858032411</v>
      </c>
      <c r="N813" s="1592" t="s">
        <v>40</v>
      </c>
      <c r="O813" s="1429"/>
      <c r="P813" s="1430"/>
      <c r="Q813" s="1430"/>
      <c r="R813" s="1430"/>
      <c r="S813" s="1430"/>
      <c r="T813" s="1430"/>
      <c r="U813" s="1430"/>
      <c r="V813" s="1679"/>
      <c r="W813" s="1366"/>
      <c r="X813" s="1366"/>
      <c r="Y813" s="1366"/>
      <c r="Z813" s="1366"/>
      <c r="AA813" s="1366"/>
      <c r="AB813" s="1366"/>
      <c r="AC813" s="1366"/>
      <c r="AD813" s="1366"/>
      <c r="AE813" s="1366"/>
      <c r="AF813" s="1366"/>
      <c r="AG813" s="1366"/>
      <c r="AH813" s="1366"/>
      <c r="AI813" s="1366"/>
      <c r="AJ813" s="1366"/>
      <c r="AK813" s="1366"/>
      <c r="AL813" s="1366"/>
      <c r="AM813" s="1366"/>
      <c r="AN813" s="1366"/>
      <c r="AO813" s="1366"/>
      <c r="AP813" s="1366"/>
      <c r="AQ813" s="1366"/>
      <c r="AR813" s="1366"/>
      <c r="AS813" s="1366"/>
      <c r="AT813" s="1366"/>
      <c r="AU813" s="1366"/>
      <c r="AV813" s="1366"/>
      <c r="AW813" s="1366"/>
      <c r="AX813" s="1366"/>
      <c r="AY813" s="1366"/>
      <c r="AZ813" s="1366"/>
      <c r="BA813" s="1366"/>
      <c r="BB813" s="1366"/>
      <c r="BC813" s="1366"/>
      <c r="BD813" s="1366"/>
      <c r="BE813" s="1366"/>
      <c r="BF813" s="1366"/>
      <c r="BG813" s="1366"/>
      <c r="BH813" s="1366"/>
      <c r="BI813" s="1366"/>
      <c r="BJ813" s="1366"/>
      <c r="BK813" s="1366"/>
      <c r="BL813" s="1366"/>
      <c r="BM813" s="1366"/>
      <c r="BN813" s="1366"/>
      <c r="BO813" s="1366"/>
      <c r="BP813" s="1366"/>
      <c r="BQ813" s="1366"/>
      <c r="BR813" s="1366"/>
      <c r="BS813" s="1366"/>
      <c r="BT813" s="1366"/>
      <c r="BU813" s="1366"/>
      <c r="BV813" s="1366"/>
      <c r="BW813" s="1366"/>
      <c r="BX813" s="1366"/>
      <c r="BY813" s="1366"/>
      <c r="BZ813" s="1366"/>
      <c r="CA813" s="1366"/>
      <c r="CB813" s="1366"/>
      <c r="CC813" s="1366"/>
      <c r="CD813" s="1366"/>
      <c r="CE813" s="1366"/>
      <c r="CF813" s="1366"/>
      <c r="CG813" s="1366"/>
      <c r="CH813" s="1366"/>
      <c r="CI813" s="1366"/>
      <c r="CJ813" s="1366"/>
      <c r="CK813" s="1366"/>
      <c r="CL813" s="1366"/>
      <c r="CM813" s="1366"/>
      <c r="CN813" s="1366"/>
      <c r="CO813" s="1366"/>
      <c r="CP813" s="1366"/>
      <c r="CQ813" s="1366"/>
      <c r="CR813" s="1366"/>
      <c r="CS813" s="1366"/>
      <c r="CT813" s="1366"/>
      <c r="CU813" s="1366"/>
      <c r="CV813" s="1366"/>
      <c r="CW813" s="1366"/>
      <c r="CX813" s="1366"/>
      <c r="CY813" s="1366"/>
      <c r="CZ813" s="1366"/>
      <c r="DA813" s="1366"/>
      <c r="DB813" s="1366"/>
      <c r="DC813" s="1366"/>
      <c r="DD813" s="1366"/>
      <c r="DE813" s="1366"/>
      <c r="DF813" s="1366"/>
      <c r="DG813" s="1366"/>
      <c r="DH813" s="1366"/>
      <c r="DI813" s="1366"/>
      <c r="DJ813" s="1366"/>
      <c r="DK813" s="1366"/>
      <c r="DL813" s="1366"/>
      <c r="DM813" s="1366"/>
      <c r="DN813" s="1366"/>
      <c r="DO813" s="1366"/>
      <c r="DP813" s="1366"/>
      <c r="DQ813" s="1366"/>
      <c r="DR813" s="1366"/>
      <c r="DS813" s="1366"/>
      <c r="DT813" s="1366"/>
      <c r="DU813" s="1366"/>
      <c r="DV813" s="1366"/>
    </row>
    <row r="814" spans="1:126" s="1367" customFormat="1" ht="30">
      <c r="A814" s="2494"/>
      <c r="B814" s="2526"/>
      <c r="C814" s="1642" t="str">
        <f>'Equipment Results Matrix'!W1335</f>
        <v>Measure</v>
      </c>
      <c r="D814" s="1375" t="str">
        <f>'Equipment Results Matrix'!X1335</f>
        <v>Two lamp 4 foot 64 watt linear fluorescent fixture with integrated occupancy sensor - no dimming or emergency ballast</v>
      </c>
      <c r="E814" s="1364" t="s">
        <v>2702</v>
      </c>
      <c r="F814" s="1364" t="s">
        <v>2108</v>
      </c>
      <c r="G814" s="1543" t="s">
        <v>2584</v>
      </c>
      <c r="H814" s="1619">
        <f>'Equipment Results Matrix'!Y1335</f>
        <v>273.64195208869563</v>
      </c>
      <c r="I814" s="1371">
        <f>'Labor Results Matrix'!$E$842+'Labor Results Matrix'!$E$843</f>
        <v>1.3187913496526629</v>
      </c>
      <c r="J814" s="1372">
        <f>'Labor Results Matrix'!$G$842*(1+'Labor Results Matrix'!$K$842)</f>
        <v>75.462406969940886</v>
      </c>
      <c r="K814" s="1372">
        <f t="shared" ref="K814:K816" si="262">I814*J814</f>
        <v>99.519169535926849</v>
      </c>
      <c r="L814" s="1372">
        <f>'Labor Results Matrix'!$I$842*(1+'Labor Results Matrix'!$K$842)</f>
        <v>28.187596799999998</v>
      </c>
      <c r="M814" s="1620">
        <f t="shared" ref="M814:M816" si="263">H814+K814+L814</f>
        <v>401.34871842462246</v>
      </c>
      <c r="N814" s="1621">
        <f>M814-$M$813</f>
        <v>224.89112984429835</v>
      </c>
      <c r="O814" s="1429"/>
      <c r="P814" s="1430"/>
      <c r="Q814" s="1430"/>
      <c r="R814" s="1430"/>
      <c r="S814" s="1430"/>
      <c r="T814" s="1430"/>
      <c r="U814" s="1430"/>
      <c r="V814" s="1679"/>
      <c r="W814" s="1366"/>
      <c r="X814" s="1366"/>
      <c r="Y814" s="1366"/>
      <c r="Z814" s="1366"/>
      <c r="AA814" s="1366"/>
      <c r="AB814" s="1366"/>
      <c r="AC814" s="1366"/>
      <c r="AD814" s="1366"/>
      <c r="AE814" s="1366"/>
      <c r="AF814" s="1366"/>
      <c r="AG814" s="1366"/>
      <c r="AH814" s="1366"/>
      <c r="AI814" s="1366"/>
      <c r="AJ814" s="1366"/>
      <c r="AK814" s="1366"/>
      <c r="AL814" s="1366"/>
      <c r="AM814" s="1366"/>
      <c r="AN814" s="1366"/>
      <c r="AO814" s="1366"/>
      <c r="AP814" s="1366"/>
      <c r="AQ814" s="1366"/>
      <c r="AR814" s="1366"/>
      <c r="AS814" s="1366"/>
      <c r="AT814" s="1366"/>
      <c r="AU814" s="1366"/>
      <c r="AV814" s="1366"/>
      <c r="AW814" s="1366"/>
      <c r="AX814" s="1366"/>
      <c r="AY814" s="1366"/>
      <c r="AZ814" s="1366"/>
      <c r="BA814" s="1366"/>
      <c r="BB814" s="1366"/>
      <c r="BC814" s="1366"/>
      <c r="BD814" s="1366"/>
      <c r="BE814" s="1366"/>
      <c r="BF814" s="1366"/>
      <c r="BG814" s="1366"/>
      <c r="BH814" s="1366"/>
      <c r="BI814" s="1366"/>
      <c r="BJ814" s="1366"/>
      <c r="BK814" s="1366"/>
      <c r="BL814" s="1366"/>
      <c r="BM814" s="1366"/>
      <c r="BN814" s="1366"/>
      <c r="BO814" s="1366"/>
      <c r="BP814" s="1366"/>
      <c r="BQ814" s="1366"/>
      <c r="BR814" s="1366"/>
      <c r="BS814" s="1366"/>
      <c r="BT814" s="1366"/>
      <c r="BU814" s="1366"/>
      <c r="BV814" s="1366"/>
      <c r="BW814" s="1366"/>
      <c r="BX814" s="1366"/>
      <c r="BY814" s="1366"/>
      <c r="BZ814" s="1366"/>
      <c r="CA814" s="1366"/>
      <c r="CB814" s="1366"/>
      <c r="CC814" s="1366"/>
      <c r="CD814" s="1366"/>
      <c r="CE814" s="1366"/>
      <c r="CF814" s="1366"/>
      <c r="CG814" s="1366"/>
      <c r="CH814" s="1366"/>
      <c r="CI814" s="1366"/>
      <c r="CJ814" s="1366"/>
      <c r="CK814" s="1366"/>
      <c r="CL814" s="1366"/>
      <c r="CM814" s="1366"/>
      <c r="CN814" s="1366"/>
      <c r="CO814" s="1366"/>
      <c r="CP814" s="1366"/>
      <c r="CQ814" s="1366"/>
      <c r="CR814" s="1366"/>
      <c r="CS814" s="1366"/>
      <c r="CT814" s="1366"/>
      <c r="CU814" s="1366"/>
      <c r="CV814" s="1366"/>
      <c r="CW814" s="1366"/>
      <c r="CX814" s="1366"/>
      <c r="CY814" s="1366"/>
      <c r="CZ814" s="1366"/>
      <c r="DA814" s="1366"/>
      <c r="DB814" s="1366"/>
      <c r="DC814" s="1366"/>
      <c r="DD814" s="1366"/>
      <c r="DE814" s="1366"/>
      <c r="DF814" s="1366"/>
      <c r="DG814" s="1366"/>
      <c r="DH814" s="1366"/>
      <c r="DI814" s="1366"/>
      <c r="DJ814" s="1366"/>
      <c r="DK814" s="1366"/>
      <c r="DL814" s="1366"/>
      <c r="DM814" s="1366"/>
      <c r="DN814" s="1366"/>
      <c r="DO814" s="1366"/>
      <c r="DP814" s="1366"/>
      <c r="DQ814" s="1366"/>
      <c r="DR814" s="1366"/>
      <c r="DS814" s="1366"/>
      <c r="DT814" s="1366"/>
      <c r="DU814" s="1366"/>
      <c r="DV814" s="1366"/>
    </row>
    <row r="815" spans="1:126" s="1367" customFormat="1" ht="30">
      <c r="A815" s="2494"/>
      <c r="B815" s="2527" t="s">
        <v>2701</v>
      </c>
      <c r="C815" s="1642" t="str">
        <f>'Equipment Results Matrix'!W1336</f>
        <v>Measure</v>
      </c>
      <c r="D815" s="1375" t="str">
        <f>'Equipment Results Matrix'!X1336</f>
        <v>Two lamp 4 foot 64 watt linear fluorescent fixture with integrated occupancy sensor - no dimming w/ emergency ballast</v>
      </c>
      <c r="E815" s="1364" t="s">
        <v>2702</v>
      </c>
      <c r="F815" s="1364" t="s">
        <v>2108</v>
      </c>
      <c r="G815" s="1543" t="s">
        <v>2584</v>
      </c>
      <c r="H815" s="1619">
        <f>'Equipment Results Matrix'!Y1336</f>
        <v>414.16991840869565</v>
      </c>
      <c r="I815" s="1371">
        <f>'Labor Results Matrix'!$E$842+'Labor Results Matrix'!$E$843</f>
        <v>1.3187913496526629</v>
      </c>
      <c r="J815" s="1372">
        <f>'Labor Results Matrix'!$G$842*(1+'Labor Results Matrix'!$K$842)</f>
        <v>75.462406969940886</v>
      </c>
      <c r="K815" s="1372">
        <f t="shared" si="262"/>
        <v>99.519169535926849</v>
      </c>
      <c r="L815" s="1372">
        <f>'Labor Results Matrix'!$I$842*(1+'Labor Results Matrix'!$K$842)</f>
        <v>28.187596799999998</v>
      </c>
      <c r="M815" s="1620">
        <f t="shared" si="263"/>
        <v>541.87668474462259</v>
      </c>
      <c r="N815" s="1621">
        <f t="shared" ref="N815:N816" si="264">M815-$M$813</f>
        <v>365.41909616429848</v>
      </c>
      <c r="O815" s="1429"/>
      <c r="P815" s="1430"/>
      <c r="Q815" s="1430"/>
      <c r="R815" s="1430"/>
      <c r="S815" s="1430"/>
      <c r="T815" s="1430"/>
      <c r="U815" s="1430"/>
      <c r="V815" s="1679"/>
      <c r="W815" s="1366"/>
      <c r="X815" s="1366"/>
      <c r="Y815" s="1366"/>
      <c r="Z815" s="1366"/>
      <c r="AA815" s="1366"/>
      <c r="AB815" s="1366"/>
      <c r="AC815" s="1366"/>
      <c r="AD815" s="1366"/>
      <c r="AE815" s="1366"/>
      <c r="AF815" s="1366"/>
      <c r="AG815" s="1366"/>
      <c r="AH815" s="1366"/>
      <c r="AI815" s="1366"/>
      <c r="AJ815" s="1366"/>
      <c r="AK815" s="1366"/>
      <c r="AL815" s="1366"/>
      <c r="AM815" s="1366"/>
      <c r="AN815" s="1366"/>
      <c r="AO815" s="1366"/>
      <c r="AP815" s="1366"/>
      <c r="AQ815" s="1366"/>
      <c r="AR815" s="1366"/>
      <c r="AS815" s="1366"/>
      <c r="AT815" s="1366"/>
      <c r="AU815" s="1366"/>
      <c r="AV815" s="1366"/>
      <c r="AW815" s="1366"/>
      <c r="AX815" s="1366"/>
      <c r="AY815" s="1366"/>
      <c r="AZ815" s="1366"/>
      <c r="BA815" s="1366"/>
      <c r="BB815" s="1366"/>
      <c r="BC815" s="1366"/>
      <c r="BD815" s="1366"/>
      <c r="BE815" s="1366"/>
      <c r="BF815" s="1366"/>
      <c r="BG815" s="1366"/>
      <c r="BH815" s="1366"/>
      <c r="BI815" s="1366"/>
      <c r="BJ815" s="1366"/>
      <c r="BK815" s="1366"/>
      <c r="BL815" s="1366"/>
      <c r="BM815" s="1366"/>
      <c r="BN815" s="1366"/>
      <c r="BO815" s="1366"/>
      <c r="BP815" s="1366"/>
      <c r="BQ815" s="1366"/>
      <c r="BR815" s="1366"/>
      <c r="BS815" s="1366"/>
      <c r="BT815" s="1366"/>
      <c r="BU815" s="1366"/>
      <c r="BV815" s="1366"/>
      <c r="BW815" s="1366"/>
      <c r="BX815" s="1366"/>
      <c r="BY815" s="1366"/>
      <c r="BZ815" s="1366"/>
      <c r="CA815" s="1366"/>
      <c r="CB815" s="1366"/>
      <c r="CC815" s="1366"/>
      <c r="CD815" s="1366"/>
      <c r="CE815" s="1366"/>
      <c r="CF815" s="1366"/>
      <c r="CG815" s="1366"/>
      <c r="CH815" s="1366"/>
      <c r="CI815" s="1366"/>
      <c r="CJ815" s="1366"/>
      <c r="CK815" s="1366"/>
      <c r="CL815" s="1366"/>
      <c r="CM815" s="1366"/>
      <c r="CN815" s="1366"/>
      <c r="CO815" s="1366"/>
      <c r="CP815" s="1366"/>
      <c r="CQ815" s="1366"/>
      <c r="CR815" s="1366"/>
      <c r="CS815" s="1366"/>
      <c r="CT815" s="1366"/>
      <c r="CU815" s="1366"/>
      <c r="CV815" s="1366"/>
      <c r="CW815" s="1366"/>
      <c r="CX815" s="1366"/>
      <c r="CY815" s="1366"/>
      <c r="CZ815" s="1366"/>
      <c r="DA815" s="1366"/>
      <c r="DB815" s="1366"/>
      <c r="DC815" s="1366"/>
      <c r="DD815" s="1366"/>
      <c r="DE815" s="1366"/>
      <c r="DF815" s="1366"/>
      <c r="DG815" s="1366"/>
      <c r="DH815" s="1366"/>
      <c r="DI815" s="1366"/>
      <c r="DJ815" s="1366"/>
      <c r="DK815" s="1366"/>
      <c r="DL815" s="1366"/>
      <c r="DM815" s="1366"/>
      <c r="DN815" s="1366"/>
      <c r="DO815" s="1366"/>
      <c r="DP815" s="1366"/>
      <c r="DQ815" s="1366"/>
      <c r="DR815" s="1366"/>
      <c r="DS815" s="1366"/>
      <c r="DT815" s="1366"/>
      <c r="DU815" s="1366"/>
      <c r="DV815" s="1366"/>
    </row>
    <row r="816" spans="1:126" s="1367" customFormat="1" ht="30.75" thickBot="1">
      <c r="A816" s="2495"/>
      <c r="B816" s="2528"/>
      <c r="C816" s="1577" t="str">
        <f>'Equipment Results Matrix'!W1337</f>
        <v>Measure</v>
      </c>
      <c r="D816" s="1578" t="str">
        <f>'Equipment Results Matrix'!X1337</f>
        <v>Two lamp 4 foot 64 watt linear fluorescent fixture with integrated occupancy sensor - w/ dimming w/ emergency ballast</v>
      </c>
      <c r="E816" s="1546" t="s">
        <v>2702</v>
      </c>
      <c r="F816" s="1546" t="s">
        <v>2108</v>
      </c>
      <c r="G816" s="1547" t="s">
        <v>2584</v>
      </c>
      <c r="H816" s="1622">
        <f>'Equipment Results Matrix'!Y1337</f>
        <v>468.97480352869565</v>
      </c>
      <c r="I816" s="1571">
        <f>'Labor Results Matrix'!$E$842+'Labor Results Matrix'!$E$843</f>
        <v>1.3187913496526629</v>
      </c>
      <c r="J816" s="1575">
        <f>'Labor Results Matrix'!$G$842*(1+'Labor Results Matrix'!$K$842)</f>
        <v>75.462406969940886</v>
      </c>
      <c r="K816" s="1575">
        <f t="shared" si="262"/>
        <v>99.519169535926849</v>
      </c>
      <c r="L816" s="1575">
        <f>'Labor Results Matrix'!$I$842*(1+'Labor Results Matrix'!$K$842)</f>
        <v>28.187596799999998</v>
      </c>
      <c r="M816" s="1623">
        <f t="shared" si="263"/>
        <v>596.68156986462259</v>
      </c>
      <c r="N816" s="1624">
        <f t="shared" si="264"/>
        <v>420.22398128429847</v>
      </c>
      <c r="O816" s="1429"/>
      <c r="P816" s="1430"/>
      <c r="Q816" s="1430"/>
      <c r="R816" s="1430"/>
      <c r="S816" s="1430"/>
      <c r="T816" s="1430"/>
      <c r="U816" s="1430"/>
      <c r="V816" s="1679"/>
      <c r="W816" s="1366"/>
      <c r="X816" s="1366"/>
      <c r="Y816" s="1366"/>
      <c r="Z816" s="1366"/>
      <c r="AA816" s="1366"/>
      <c r="AB816" s="1366"/>
      <c r="AC816" s="1366"/>
      <c r="AD816" s="1366"/>
      <c r="AE816" s="1366"/>
      <c r="AF816" s="1366"/>
      <c r="AG816" s="1366"/>
      <c r="AH816" s="1366"/>
      <c r="AI816" s="1366"/>
      <c r="AJ816" s="1366"/>
      <c r="AK816" s="1366"/>
      <c r="AL816" s="1366"/>
      <c r="AM816" s="1366"/>
      <c r="AN816" s="1366"/>
      <c r="AO816" s="1366"/>
      <c r="AP816" s="1366"/>
      <c r="AQ816" s="1366"/>
      <c r="AR816" s="1366"/>
      <c r="AS816" s="1366"/>
      <c r="AT816" s="1366"/>
      <c r="AU816" s="1366"/>
      <c r="AV816" s="1366"/>
      <c r="AW816" s="1366"/>
      <c r="AX816" s="1366"/>
      <c r="AY816" s="1366"/>
      <c r="AZ816" s="1366"/>
      <c r="BA816" s="1366"/>
      <c r="BB816" s="1366"/>
      <c r="BC816" s="1366"/>
      <c r="BD816" s="1366"/>
      <c r="BE816" s="1366"/>
      <c r="BF816" s="1366"/>
      <c r="BG816" s="1366"/>
      <c r="BH816" s="1366"/>
      <c r="BI816" s="1366"/>
      <c r="BJ816" s="1366"/>
      <c r="BK816" s="1366"/>
      <c r="BL816" s="1366"/>
      <c r="BM816" s="1366"/>
      <c r="BN816" s="1366"/>
      <c r="BO816" s="1366"/>
      <c r="BP816" s="1366"/>
      <c r="BQ816" s="1366"/>
      <c r="BR816" s="1366"/>
      <c r="BS816" s="1366"/>
      <c r="BT816" s="1366"/>
      <c r="BU816" s="1366"/>
      <c r="BV816" s="1366"/>
      <c r="BW816" s="1366"/>
      <c r="BX816" s="1366"/>
      <c r="BY816" s="1366"/>
      <c r="BZ816" s="1366"/>
      <c r="CA816" s="1366"/>
      <c r="CB816" s="1366"/>
      <c r="CC816" s="1366"/>
      <c r="CD816" s="1366"/>
      <c r="CE816" s="1366"/>
      <c r="CF816" s="1366"/>
      <c r="CG816" s="1366"/>
      <c r="CH816" s="1366"/>
      <c r="CI816" s="1366"/>
      <c r="CJ816" s="1366"/>
      <c r="CK816" s="1366"/>
      <c r="CL816" s="1366"/>
      <c r="CM816" s="1366"/>
      <c r="CN816" s="1366"/>
      <c r="CO816" s="1366"/>
      <c r="CP816" s="1366"/>
      <c r="CQ816" s="1366"/>
      <c r="CR816" s="1366"/>
      <c r="CS816" s="1366"/>
      <c r="CT816" s="1366"/>
      <c r="CU816" s="1366"/>
      <c r="CV816" s="1366"/>
      <c r="CW816" s="1366"/>
      <c r="CX816" s="1366"/>
      <c r="CY816" s="1366"/>
      <c r="CZ816" s="1366"/>
      <c r="DA816" s="1366"/>
      <c r="DB816" s="1366"/>
      <c r="DC816" s="1366"/>
      <c r="DD816" s="1366"/>
      <c r="DE816" s="1366"/>
      <c r="DF816" s="1366"/>
      <c r="DG816" s="1366"/>
      <c r="DH816" s="1366"/>
      <c r="DI816" s="1366"/>
      <c r="DJ816" s="1366"/>
      <c r="DK816" s="1366"/>
      <c r="DL816" s="1366"/>
      <c r="DM816" s="1366"/>
      <c r="DN816" s="1366"/>
      <c r="DO816" s="1366"/>
      <c r="DP816" s="1366"/>
      <c r="DQ816" s="1366"/>
      <c r="DR816" s="1366"/>
      <c r="DS816" s="1366"/>
      <c r="DT816" s="1366"/>
      <c r="DU816" s="1366"/>
      <c r="DV816" s="1366"/>
    </row>
    <row r="817" spans="1:126" s="1479" customFormat="1" ht="19.5" hidden="1" thickBot="1">
      <c r="A817" s="695"/>
      <c r="B817" s="1655"/>
      <c r="C817" s="1655"/>
      <c r="D817" s="683"/>
      <c r="E817" s="683"/>
      <c r="F817" s="683"/>
      <c r="G817" s="683"/>
      <c r="H817" s="1413"/>
      <c r="I817" s="1443"/>
      <c r="J817" s="1414"/>
      <c r="K817" s="1413"/>
      <c r="L817" s="1529"/>
      <c r="M817" s="1413"/>
      <c r="N817" s="1489"/>
      <c r="O817" s="1413"/>
      <c r="P817" s="1414"/>
      <c r="Q817" s="1414"/>
      <c r="R817" s="1443"/>
      <c r="S817" s="1443"/>
      <c r="T817" s="1488"/>
      <c r="U817" s="1488"/>
      <c r="V817" s="1489"/>
      <c r="W817" s="1490"/>
      <c r="X817" s="1490"/>
      <c r="Y817" s="327"/>
      <c r="Z817" s="327"/>
      <c r="AA817" s="327"/>
      <c r="AB817" s="1490"/>
      <c r="AC817" s="1490"/>
      <c r="AD817" s="1490"/>
      <c r="AE817" s="1490"/>
      <c r="AF817" s="327"/>
      <c r="AG817" s="327"/>
      <c r="AH817" s="327"/>
      <c r="AI817" s="327"/>
      <c r="AJ817" s="327"/>
      <c r="AK817" s="1478"/>
      <c r="AL817" s="1478"/>
      <c r="AM817" s="1478"/>
      <c r="AN817" s="1478"/>
      <c r="AO817" s="1478"/>
      <c r="AP817" s="1478"/>
      <c r="AQ817" s="1478"/>
      <c r="AR817" s="1478"/>
      <c r="AS817" s="1478"/>
      <c r="AT817" s="1478"/>
      <c r="AU817" s="1478"/>
      <c r="AV817" s="1478"/>
      <c r="AW817" s="1478"/>
      <c r="AX817" s="1478"/>
      <c r="AY817" s="1478"/>
      <c r="AZ817" s="1478"/>
      <c r="BA817" s="1478"/>
      <c r="BB817" s="1478"/>
      <c r="BC817" s="1478"/>
      <c r="BD817" s="1478"/>
      <c r="BE817" s="1478"/>
      <c r="BF817" s="1478"/>
      <c r="BG817" s="1478"/>
      <c r="BH817" s="1478"/>
      <c r="BI817" s="1478"/>
      <c r="BJ817" s="1478"/>
      <c r="BK817" s="327"/>
      <c r="BL817" s="327"/>
      <c r="BM817" s="327"/>
      <c r="BN817" s="327"/>
      <c r="BO817" s="327"/>
      <c r="BP817" s="327"/>
      <c r="BQ817" s="327"/>
      <c r="BR817" s="327"/>
      <c r="BS817" s="327"/>
      <c r="BT817" s="327"/>
      <c r="BU817" s="327"/>
      <c r="BV817" s="327"/>
      <c r="BW817" s="327"/>
      <c r="BX817" s="327"/>
      <c r="BY817" s="327"/>
      <c r="BZ817" s="327"/>
      <c r="CA817" s="327"/>
      <c r="CB817" s="327"/>
      <c r="CC817" s="327"/>
      <c r="CD817" s="327"/>
      <c r="CE817" s="327"/>
      <c r="CF817" s="327"/>
      <c r="CG817" s="327"/>
      <c r="CH817" s="327"/>
      <c r="CI817" s="327"/>
      <c r="CJ817" s="327"/>
      <c r="CK817" s="327"/>
      <c r="CL817" s="327"/>
      <c r="CM817" s="327"/>
      <c r="CN817" s="327"/>
      <c r="CO817" s="327"/>
      <c r="CP817" s="327"/>
      <c r="CQ817" s="327"/>
      <c r="CR817" s="327"/>
      <c r="CS817" s="327"/>
      <c r="CT817" s="327"/>
      <c r="CU817" s="327"/>
      <c r="CV817" s="327"/>
      <c r="CW817" s="327"/>
      <c r="CX817" s="327"/>
      <c r="CY817" s="327"/>
      <c r="CZ817" s="327"/>
      <c r="DA817" s="327"/>
      <c r="DB817" s="327"/>
      <c r="DC817" s="327"/>
      <c r="DD817" s="327"/>
      <c r="DE817" s="327"/>
      <c r="DF817" s="327"/>
      <c r="DG817" s="327"/>
      <c r="DH817" s="327"/>
      <c r="DI817" s="327"/>
      <c r="DJ817" s="327"/>
      <c r="DK817" s="327"/>
      <c r="DL817" s="327"/>
      <c r="DM817" s="327"/>
      <c r="DN817" s="327"/>
      <c r="DO817" s="327"/>
      <c r="DP817" s="327"/>
      <c r="DQ817" s="327"/>
      <c r="DR817" s="327"/>
      <c r="DS817" s="327"/>
      <c r="DT817" s="327"/>
      <c r="DU817" s="327"/>
      <c r="DV817" s="327"/>
    </row>
    <row r="818" spans="1:126" s="1367" customFormat="1" hidden="1">
      <c r="A818" s="2493" t="s">
        <v>1366</v>
      </c>
      <c r="B818" s="1643"/>
      <c r="C818" s="1674"/>
      <c r="D818" s="1480"/>
      <c r="E818" s="1480"/>
      <c r="F818" s="1480"/>
      <c r="G818" s="1480"/>
      <c r="H818" s="1481"/>
      <c r="I818" s="1482"/>
      <c r="J818" s="1483"/>
      <c r="K818" s="1483"/>
      <c r="L818" s="1528"/>
      <c r="M818" s="1483"/>
      <c r="N818" s="1484"/>
      <c r="O818" s="1481"/>
      <c r="P818" s="1485"/>
      <c r="Q818" s="1485"/>
      <c r="R818" s="1485"/>
      <c r="S818" s="1485"/>
      <c r="T818" s="1485"/>
      <c r="U818" s="1485"/>
      <c r="V818" s="1484"/>
      <c r="W818" s="1366"/>
      <c r="X818" s="1366"/>
      <c r="Y818" s="1366"/>
      <c r="Z818" s="1366"/>
      <c r="AA818" s="1366"/>
      <c r="AB818" s="1366"/>
      <c r="AC818" s="1366"/>
      <c r="AD818" s="1366"/>
      <c r="AE818" s="1366"/>
      <c r="AF818" s="1366"/>
      <c r="AG818" s="1366"/>
      <c r="AH818" s="1366"/>
      <c r="AI818" s="1366"/>
      <c r="AJ818" s="1366"/>
      <c r="AK818" s="1366"/>
      <c r="AL818" s="1366"/>
      <c r="AM818" s="1366"/>
      <c r="AN818" s="1366"/>
      <c r="AO818" s="1366"/>
      <c r="AP818" s="1366"/>
      <c r="AQ818" s="1366"/>
      <c r="AR818" s="1366"/>
      <c r="AS818" s="1366"/>
      <c r="AT818" s="1366"/>
      <c r="AU818" s="1366"/>
      <c r="AV818" s="1366"/>
      <c r="AW818" s="1366"/>
      <c r="AX818" s="1366"/>
      <c r="AY818" s="1366"/>
      <c r="AZ818" s="1366"/>
      <c r="BA818" s="1366"/>
      <c r="BB818" s="1366"/>
      <c r="BC818" s="1366"/>
      <c r="BD818" s="1366"/>
      <c r="BE818" s="1366"/>
      <c r="BF818" s="1366"/>
      <c r="BG818" s="1366"/>
      <c r="BH818" s="1366"/>
      <c r="BI818" s="1366"/>
      <c r="BJ818" s="1366"/>
      <c r="BK818" s="1366"/>
      <c r="BL818" s="1366"/>
      <c r="BM818" s="1366"/>
      <c r="BN818" s="1366"/>
      <c r="BO818" s="1366"/>
      <c r="BP818" s="1366"/>
      <c r="BQ818" s="1366"/>
      <c r="BR818" s="1366"/>
      <c r="BS818" s="1366"/>
      <c r="BT818" s="1366"/>
      <c r="BU818" s="1366"/>
      <c r="BV818" s="1366"/>
      <c r="BW818" s="1366"/>
      <c r="BX818" s="1366"/>
      <c r="BY818" s="1366"/>
      <c r="BZ818" s="1366"/>
      <c r="CA818" s="1366"/>
      <c r="CB818" s="1366"/>
      <c r="CC818" s="1366"/>
      <c r="CD818" s="1366"/>
      <c r="CE818" s="1366"/>
      <c r="CF818" s="1366"/>
      <c r="CG818" s="1366"/>
      <c r="CH818" s="1366"/>
      <c r="CI818" s="1366"/>
      <c r="CJ818" s="1366"/>
      <c r="CK818" s="1366"/>
      <c r="CL818" s="1366"/>
      <c r="CM818" s="1366"/>
      <c r="CN818" s="1366"/>
      <c r="CO818" s="1366"/>
      <c r="CP818" s="1366"/>
      <c r="CQ818" s="1366"/>
      <c r="CR818" s="1366"/>
      <c r="CS818" s="1366"/>
      <c r="CT818" s="1366"/>
      <c r="CU818" s="1366"/>
      <c r="CV818" s="1366"/>
      <c r="CW818" s="1366"/>
      <c r="CX818" s="1366"/>
      <c r="CY818" s="1366"/>
      <c r="CZ818" s="1366"/>
      <c r="DA818" s="1366"/>
      <c r="DB818" s="1366"/>
      <c r="DC818" s="1366"/>
      <c r="DD818" s="1366"/>
      <c r="DE818" s="1366"/>
      <c r="DF818" s="1366"/>
      <c r="DG818" s="1366"/>
      <c r="DH818" s="1366"/>
      <c r="DI818" s="1366"/>
      <c r="DJ818" s="1366"/>
      <c r="DK818" s="1366"/>
      <c r="DL818" s="1366"/>
      <c r="DM818" s="1366"/>
      <c r="DN818" s="1366"/>
      <c r="DO818" s="1366"/>
      <c r="DP818" s="1366"/>
      <c r="DQ818" s="1366"/>
      <c r="DR818" s="1366"/>
      <c r="DS818" s="1366"/>
      <c r="DT818" s="1366"/>
      <c r="DU818" s="1366"/>
      <c r="DV818" s="1366"/>
    </row>
    <row r="819" spans="1:126" s="1367" customFormat="1" hidden="1">
      <c r="A819" s="2494"/>
      <c r="B819" s="1643"/>
      <c r="C819" s="1674"/>
      <c r="D819" s="1480"/>
      <c r="E819" s="1480"/>
      <c r="F819" s="1480"/>
      <c r="G819" s="1480"/>
      <c r="H819" s="1481"/>
      <c r="I819" s="1482"/>
      <c r="J819" s="1483"/>
      <c r="K819" s="1483"/>
      <c r="L819" s="1528"/>
      <c r="M819" s="1483"/>
      <c r="N819" s="1484"/>
      <c r="O819" s="1481"/>
      <c r="P819" s="1485"/>
      <c r="Q819" s="1485"/>
      <c r="R819" s="1485"/>
      <c r="S819" s="1485"/>
      <c r="T819" s="1485"/>
      <c r="U819" s="1485"/>
      <c r="V819" s="1484"/>
      <c r="W819" s="1366"/>
      <c r="X819" s="1366"/>
      <c r="Y819" s="1366"/>
      <c r="Z819" s="1366"/>
      <c r="AA819" s="1366"/>
      <c r="AB819" s="1366"/>
      <c r="AC819" s="1366"/>
      <c r="AD819" s="1366"/>
      <c r="AE819" s="1366"/>
      <c r="AF819" s="1366"/>
      <c r="AG819" s="1366"/>
      <c r="AH819" s="1366"/>
      <c r="AI819" s="1366"/>
      <c r="AJ819" s="1366"/>
      <c r="AK819" s="1366"/>
      <c r="AL819" s="1366"/>
      <c r="AM819" s="1366"/>
      <c r="AN819" s="1366"/>
      <c r="AO819" s="1366"/>
      <c r="AP819" s="1366"/>
      <c r="AQ819" s="1366"/>
      <c r="AR819" s="1366"/>
      <c r="AS819" s="1366"/>
      <c r="AT819" s="1366"/>
      <c r="AU819" s="1366"/>
      <c r="AV819" s="1366"/>
      <c r="AW819" s="1366"/>
      <c r="AX819" s="1366"/>
      <c r="AY819" s="1366"/>
      <c r="AZ819" s="1366"/>
      <c r="BA819" s="1366"/>
      <c r="BB819" s="1366"/>
      <c r="BC819" s="1366"/>
      <c r="BD819" s="1366"/>
      <c r="BE819" s="1366"/>
      <c r="BF819" s="1366"/>
      <c r="BG819" s="1366"/>
      <c r="BH819" s="1366"/>
      <c r="BI819" s="1366"/>
      <c r="BJ819" s="1366"/>
      <c r="BK819" s="1366"/>
      <c r="BL819" s="1366"/>
      <c r="BM819" s="1366"/>
      <c r="BN819" s="1366"/>
      <c r="BO819" s="1366"/>
      <c r="BP819" s="1366"/>
      <c r="BQ819" s="1366"/>
      <c r="BR819" s="1366"/>
      <c r="BS819" s="1366"/>
      <c r="BT819" s="1366"/>
      <c r="BU819" s="1366"/>
      <c r="BV819" s="1366"/>
      <c r="BW819" s="1366"/>
      <c r="BX819" s="1366"/>
      <c r="BY819" s="1366"/>
      <c r="BZ819" s="1366"/>
      <c r="CA819" s="1366"/>
      <c r="CB819" s="1366"/>
      <c r="CC819" s="1366"/>
      <c r="CD819" s="1366"/>
      <c r="CE819" s="1366"/>
      <c r="CF819" s="1366"/>
      <c r="CG819" s="1366"/>
      <c r="CH819" s="1366"/>
      <c r="CI819" s="1366"/>
      <c r="CJ819" s="1366"/>
      <c r="CK819" s="1366"/>
      <c r="CL819" s="1366"/>
      <c r="CM819" s="1366"/>
      <c r="CN819" s="1366"/>
      <c r="CO819" s="1366"/>
      <c r="CP819" s="1366"/>
      <c r="CQ819" s="1366"/>
      <c r="CR819" s="1366"/>
      <c r="CS819" s="1366"/>
      <c r="CT819" s="1366"/>
      <c r="CU819" s="1366"/>
      <c r="CV819" s="1366"/>
      <c r="CW819" s="1366"/>
      <c r="CX819" s="1366"/>
      <c r="CY819" s="1366"/>
      <c r="CZ819" s="1366"/>
      <c r="DA819" s="1366"/>
      <c r="DB819" s="1366"/>
      <c r="DC819" s="1366"/>
      <c r="DD819" s="1366"/>
      <c r="DE819" s="1366"/>
      <c r="DF819" s="1366"/>
      <c r="DG819" s="1366"/>
      <c r="DH819" s="1366"/>
      <c r="DI819" s="1366"/>
      <c r="DJ819" s="1366"/>
      <c r="DK819" s="1366"/>
      <c r="DL819" s="1366"/>
      <c r="DM819" s="1366"/>
      <c r="DN819" s="1366"/>
      <c r="DO819" s="1366"/>
      <c r="DP819" s="1366"/>
      <c r="DQ819" s="1366"/>
      <c r="DR819" s="1366"/>
      <c r="DS819" s="1366"/>
      <c r="DT819" s="1366"/>
      <c r="DU819" s="1366"/>
      <c r="DV819" s="1366"/>
    </row>
    <row r="820" spans="1:126" s="1367" customFormat="1" hidden="1">
      <c r="A820" s="2494"/>
      <c r="B820" s="1643"/>
      <c r="C820" s="1674"/>
      <c r="D820" s="1480"/>
      <c r="E820" s="1480"/>
      <c r="F820" s="1480"/>
      <c r="G820" s="1480"/>
      <c r="H820" s="1481"/>
      <c r="I820" s="1482"/>
      <c r="J820" s="1483"/>
      <c r="K820" s="1483"/>
      <c r="L820" s="1528"/>
      <c r="M820" s="1483"/>
      <c r="N820" s="1484"/>
      <c r="O820" s="1481"/>
      <c r="P820" s="1485"/>
      <c r="Q820" s="1485"/>
      <c r="R820" s="1485"/>
      <c r="S820" s="1485"/>
      <c r="T820" s="1485"/>
      <c r="U820" s="1485"/>
      <c r="V820" s="1484"/>
      <c r="W820" s="1366"/>
      <c r="X820" s="1366"/>
      <c r="Y820" s="1366"/>
      <c r="Z820" s="1366"/>
      <c r="AA820" s="1366"/>
      <c r="AB820" s="1366"/>
      <c r="AC820" s="1366"/>
      <c r="AD820" s="1366"/>
      <c r="AE820" s="1366"/>
      <c r="AF820" s="1366"/>
      <c r="AG820" s="1366"/>
      <c r="AH820" s="1366"/>
      <c r="AI820" s="1366"/>
      <c r="AJ820" s="1366"/>
      <c r="AK820" s="1366"/>
      <c r="AL820" s="1366"/>
      <c r="AM820" s="1366"/>
      <c r="AN820" s="1366"/>
      <c r="AO820" s="1366"/>
      <c r="AP820" s="1366"/>
      <c r="AQ820" s="1366"/>
      <c r="AR820" s="1366"/>
      <c r="AS820" s="1366"/>
      <c r="AT820" s="1366"/>
      <c r="AU820" s="1366"/>
      <c r="AV820" s="1366"/>
      <c r="AW820" s="1366"/>
      <c r="AX820" s="1366"/>
      <c r="AY820" s="1366"/>
      <c r="AZ820" s="1366"/>
      <c r="BA820" s="1366"/>
      <c r="BB820" s="1366"/>
      <c r="BC820" s="1366"/>
      <c r="BD820" s="1366"/>
      <c r="BE820" s="1366"/>
      <c r="BF820" s="1366"/>
      <c r="BG820" s="1366"/>
      <c r="BH820" s="1366"/>
      <c r="BI820" s="1366"/>
      <c r="BJ820" s="1366"/>
      <c r="BK820" s="1366"/>
      <c r="BL820" s="1366"/>
      <c r="BM820" s="1366"/>
      <c r="BN820" s="1366"/>
      <c r="BO820" s="1366"/>
      <c r="BP820" s="1366"/>
      <c r="BQ820" s="1366"/>
      <c r="BR820" s="1366"/>
      <c r="BS820" s="1366"/>
      <c r="BT820" s="1366"/>
      <c r="BU820" s="1366"/>
      <c r="BV820" s="1366"/>
      <c r="BW820" s="1366"/>
      <c r="BX820" s="1366"/>
      <c r="BY820" s="1366"/>
      <c r="BZ820" s="1366"/>
      <c r="CA820" s="1366"/>
      <c r="CB820" s="1366"/>
      <c r="CC820" s="1366"/>
      <c r="CD820" s="1366"/>
      <c r="CE820" s="1366"/>
      <c r="CF820" s="1366"/>
      <c r="CG820" s="1366"/>
      <c r="CH820" s="1366"/>
      <c r="CI820" s="1366"/>
      <c r="CJ820" s="1366"/>
      <c r="CK820" s="1366"/>
      <c r="CL820" s="1366"/>
      <c r="CM820" s="1366"/>
      <c r="CN820" s="1366"/>
      <c r="CO820" s="1366"/>
      <c r="CP820" s="1366"/>
      <c r="CQ820" s="1366"/>
      <c r="CR820" s="1366"/>
      <c r="CS820" s="1366"/>
      <c r="CT820" s="1366"/>
      <c r="CU820" s="1366"/>
      <c r="CV820" s="1366"/>
      <c r="CW820" s="1366"/>
      <c r="CX820" s="1366"/>
      <c r="CY820" s="1366"/>
      <c r="CZ820" s="1366"/>
      <c r="DA820" s="1366"/>
      <c r="DB820" s="1366"/>
      <c r="DC820" s="1366"/>
      <c r="DD820" s="1366"/>
      <c r="DE820" s="1366"/>
      <c r="DF820" s="1366"/>
      <c r="DG820" s="1366"/>
      <c r="DH820" s="1366"/>
      <c r="DI820" s="1366"/>
      <c r="DJ820" s="1366"/>
      <c r="DK820" s="1366"/>
      <c r="DL820" s="1366"/>
      <c r="DM820" s="1366"/>
      <c r="DN820" s="1366"/>
      <c r="DO820" s="1366"/>
      <c r="DP820" s="1366"/>
      <c r="DQ820" s="1366"/>
      <c r="DR820" s="1366"/>
      <c r="DS820" s="1366"/>
      <c r="DT820" s="1366"/>
      <c r="DU820" s="1366"/>
      <c r="DV820" s="1366"/>
    </row>
    <row r="821" spans="1:126" s="1367" customFormat="1" hidden="1">
      <c r="A821" s="2494"/>
      <c r="B821" s="1643"/>
      <c r="C821" s="1674"/>
      <c r="D821" s="1480"/>
      <c r="E821" s="1480"/>
      <c r="F821" s="1480"/>
      <c r="G821" s="1480"/>
      <c r="H821" s="1481"/>
      <c r="I821" s="1482"/>
      <c r="J821" s="1483"/>
      <c r="K821" s="1483"/>
      <c r="L821" s="1528"/>
      <c r="M821" s="1483"/>
      <c r="N821" s="1484"/>
      <c r="O821" s="1481"/>
      <c r="P821" s="1485"/>
      <c r="Q821" s="1485"/>
      <c r="R821" s="1485"/>
      <c r="S821" s="1485"/>
      <c r="T821" s="1485"/>
      <c r="U821" s="1485"/>
      <c r="V821" s="1484"/>
      <c r="W821" s="1366"/>
      <c r="X821" s="1366"/>
      <c r="Y821" s="1366"/>
      <c r="Z821" s="1366"/>
      <c r="AA821" s="1366"/>
      <c r="AB821" s="1366"/>
      <c r="AC821" s="1366"/>
      <c r="AD821" s="1366"/>
      <c r="AE821" s="1366"/>
      <c r="AF821" s="1366"/>
      <c r="AG821" s="1366"/>
      <c r="AH821" s="1366"/>
      <c r="AI821" s="1366"/>
      <c r="AJ821" s="1366"/>
      <c r="AK821" s="1366"/>
      <c r="AL821" s="1366"/>
      <c r="AM821" s="1366"/>
      <c r="AN821" s="1366"/>
      <c r="AO821" s="1366"/>
      <c r="AP821" s="1366"/>
      <c r="AQ821" s="1366"/>
      <c r="AR821" s="1366"/>
      <c r="AS821" s="1366"/>
      <c r="AT821" s="1366"/>
      <c r="AU821" s="1366"/>
      <c r="AV821" s="1366"/>
      <c r="AW821" s="1366"/>
      <c r="AX821" s="1366"/>
      <c r="AY821" s="1366"/>
      <c r="AZ821" s="1366"/>
      <c r="BA821" s="1366"/>
      <c r="BB821" s="1366"/>
      <c r="BC821" s="1366"/>
      <c r="BD821" s="1366"/>
      <c r="BE821" s="1366"/>
      <c r="BF821" s="1366"/>
      <c r="BG821" s="1366"/>
      <c r="BH821" s="1366"/>
      <c r="BI821" s="1366"/>
      <c r="BJ821" s="1366"/>
      <c r="BK821" s="1366"/>
      <c r="BL821" s="1366"/>
      <c r="BM821" s="1366"/>
      <c r="BN821" s="1366"/>
      <c r="BO821" s="1366"/>
      <c r="BP821" s="1366"/>
      <c r="BQ821" s="1366"/>
      <c r="BR821" s="1366"/>
      <c r="BS821" s="1366"/>
      <c r="BT821" s="1366"/>
      <c r="BU821" s="1366"/>
      <c r="BV821" s="1366"/>
      <c r="BW821" s="1366"/>
      <c r="BX821" s="1366"/>
      <c r="BY821" s="1366"/>
      <c r="BZ821" s="1366"/>
      <c r="CA821" s="1366"/>
      <c r="CB821" s="1366"/>
      <c r="CC821" s="1366"/>
      <c r="CD821" s="1366"/>
      <c r="CE821" s="1366"/>
      <c r="CF821" s="1366"/>
      <c r="CG821" s="1366"/>
      <c r="CH821" s="1366"/>
      <c r="CI821" s="1366"/>
      <c r="CJ821" s="1366"/>
      <c r="CK821" s="1366"/>
      <c r="CL821" s="1366"/>
      <c r="CM821" s="1366"/>
      <c r="CN821" s="1366"/>
      <c r="CO821" s="1366"/>
      <c r="CP821" s="1366"/>
      <c r="CQ821" s="1366"/>
      <c r="CR821" s="1366"/>
      <c r="CS821" s="1366"/>
      <c r="CT821" s="1366"/>
      <c r="CU821" s="1366"/>
      <c r="CV821" s="1366"/>
      <c r="CW821" s="1366"/>
      <c r="CX821" s="1366"/>
      <c r="CY821" s="1366"/>
      <c r="CZ821" s="1366"/>
      <c r="DA821" s="1366"/>
      <c r="DB821" s="1366"/>
      <c r="DC821" s="1366"/>
      <c r="DD821" s="1366"/>
      <c r="DE821" s="1366"/>
      <c r="DF821" s="1366"/>
      <c r="DG821" s="1366"/>
      <c r="DH821" s="1366"/>
      <c r="DI821" s="1366"/>
      <c r="DJ821" s="1366"/>
      <c r="DK821" s="1366"/>
      <c r="DL821" s="1366"/>
      <c r="DM821" s="1366"/>
      <c r="DN821" s="1366"/>
      <c r="DO821" s="1366"/>
      <c r="DP821" s="1366"/>
      <c r="DQ821" s="1366"/>
      <c r="DR821" s="1366"/>
      <c r="DS821" s="1366"/>
      <c r="DT821" s="1366"/>
      <c r="DU821" s="1366"/>
      <c r="DV821" s="1366"/>
    </row>
    <row r="822" spans="1:126" s="1367" customFormat="1" hidden="1">
      <c r="A822" s="2494"/>
      <c r="B822" s="1643"/>
      <c r="C822" s="1674"/>
      <c r="D822" s="1480"/>
      <c r="E822" s="1480"/>
      <c r="F822" s="1480"/>
      <c r="G822" s="1480"/>
      <c r="H822" s="1481"/>
      <c r="I822" s="1482"/>
      <c r="J822" s="1483"/>
      <c r="K822" s="1483"/>
      <c r="L822" s="1528"/>
      <c r="M822" s="1483"/>
      <c r="N822" s="1484"/>
      <c r="O822" s="1481"/>
      <c r="P822" s="1485"/>
      <c r="Q822" s="1485"/>
      <c r="R822" s="1485"/>
      <c r="S822" s="1485"/>
      <c r="T822" s="1485"/>
      <c r="U822" s="1485"/>
      <c r="V822" s="1484"/>
      <c r="W822" s="1366"/>
      <c r="X822" s="1366"/>
      <c r="Y822" s="1366"/>
      <c r="Z822" s="1366"/>
      <c r="AA822" s="1366"/>
      <c r="AB822" s="1366"/>
      <c r="AC822" s="1366"/>
      <c r="AD822" s="1366"/>
      <c r="AE822" s="1366"/>
      <c r="AF822" s="1366"/>
      <c r="AG822" s="1366"/>
      <c r="AH822" s="1366"/>
      <c r="AI822" s="1366"/>
      <c r="AJ822" s="1366"/>
      <c r="AK822" s="1366"/>
      <c r="AL822" s="1366"/>
      <c r="AM822" s="1366"/>
      <c r="AN822" s="1366"/>
      <c r="AO822" s="1366"/>
      <c r="AP822" s="1366"/>
      <c r="AQ822" s="1366"/>
      <c r="AR822" s="1366"/>
      <c r="AS822" s="1366"/>
      <c r="AT822" s="1366"/>
      <c r="AU822" s="1366"/>
      <c r="AV822" s="1366"/>
      <c r="AW822" s="1366"/>
      <c r="AX822" s="1366"/>
      <c r="AY822" s="1366"/>
      <c r="AZ822" s="1366"/>
      <c r="BA822" s="1366"/>
      <c r="BB822" s="1366"/>
      <c r="BC822" s="1366"/>
      <c r="BD822" s="1366"/>
      <c r="BE822" s="1366"/>
      <c r="BF822" s="1366"/>
      <c r="BG822" s="1366"/>
      <c r="BH822" s="1366"/>
      <c r="BI822" s="1366"/>
      <c r="BJ822" s="1366"/>
      <c r="BK822" s="1366"/>
      <c r="BL822" s="1366"/>
      <c r="BM822" s="1366"/>
      <c r="BN822" s="1366"/>
      <c r="BO822" s="1366"/>
      <c r="BP822" s="1366"/>
      <c r="BQ822" s="1366"/>
      <c r="BR822" s="1366"/>
      <c r="BS822" s="1366"/>
      <c r="BT822" s="1366"/>
      <c r="BU822" s="1366"/>
      <c r="BV822" s="1366"/>
      <c r="BW822" s="1366"/>
      <c r="BX822" s="1366"/>
      <c r="BY822" s="1366"/>
      <c r="BZ822" s="1366"/>
      <c r="CA822" s="1366"/>
      <c r="CB822" s="1366"/>
      <c r="CC822" s="1366"/>
      <c r="CD822" s="1366"/>
      <c r="CE822" s="1366"/>
      <c r="CF822" s="1366"/>
      <c r="CG822" s="1366"/>
      <c r="CH822" s="1366"/>
      <c r="CI822" s="1366"/>
      <c r="CJ822" s="1366"/>
      <c r="CK822" s="1366"/>
      <c r="CL822" s="1366"/>
      <c r="CM822" s="1366"/>
      <c r="CN822" s="1366"/>
      <c r="CO822" s="1366"/>
      <c r="CP822" s="1366"/>
      <c r="CQ822" s="1366"/>
      <c r="CR822" s="1366"/>
      <c r="CS822" s="1366"/>
      <c r="CT822" s="1366"/>
      <c r="CU822" s="1366"/>
      <c r="CV822" s="1366"/>
      <c r="CW822" s="1366"/>
      <c r="CX822" s="1366"/>
      <c r="CY822" s="1366"/>
      <c r="CZ822" s="1366"/>
      <c r="DA822" s="1366"/>
      <c r="DB822" s="1366"/>
      <c r="DC822" s="1366"/>
      <c r="DD822" s="1366"/>
      <c r="DE822" s="1366"/>
      <c r="DF822" s="1366"/>
      <c r="DG822" s="1366"/>
      <c r="DH822" s="1366"/>
      <c r="DI822" s="1366"/>
      <c r="DJ822" s="1366"/>
      <c r="DK822" s="1366"/>
      <c r="DL822" s="1366"/>
      <c r="DM822" s="1366"/>
      <c r="DN822" s="1366"/>
      <c r="DO822" s="1366"/>
      <c r="DP822" s="1366"/>
      <c r="DQ822" s="1366"/>
      <c r="DR822" s="1366"/>
      <c r="DS822" s="1366"/>
      <c r="DT822" s="1366"/>
      <c r="DU822" s="1366"/>
      <c r="DV822" s="1366"/>
    </row>
    <row r="823" spans="1:126" s="1367" customFormat="1" hidden="1">
      <c r="A823" s="2494"/>
      <c r="B823" s="1643"/>
      <c r="C823" s="1674"/>
      <c r="D823" s="1480"/>
      <c r="E823" s="1480"/>
      <c r="F823" s="1480"/>
      <c r="G823" s="1480"/>
      <c r="H823" s="1481"/>
      <c r="I823" s="1482"/>
      <c r="J823" s="1483"/>
      <c r="K823" s="1483"/>
      <c r="L823" s="1528"/>
      <c r="M823" s="1483"/>
      <c r="N823" s="1484"/>
      <c r="O823" s="1481"/>
      <c r="P823" s="1485"/>
      <c r="Q823" s="1485"/>
      <c r="R823" s="1485"/>
      <c r="S823" s="1485"/>
      <c r="T823" s="1485"/>
      <c r="U823" s="1485"/>
      <c r="V823" s="1484"/>
      <c r="W823" s="1366"/>
      <c r="X823" s="1366"/>
      <c r="Y823" s="1366"/>
      <c r="Z823" s="1366"/>
      <c r="AA823" s="1366"/>
      <c r="AB823" s="1366"/>
      <c r="AC823" s="1366"/>
      <c r="AD823" s="1366"/>
      <c r="AE823" s="1366"/>
      <c r="AF823" s="1366"/>
      <c r="AG823" s="1366"/>
      <c r="AH823" s="1366"/>
      <c r="AI823" s="1366"/>
      <c r="AJ823" s="1366"/>
      <c r="AK823" s="1366"/>
      <c r="AL823" s="1366"/>
      <c r="AM823" s="1366"/>
      <c r="AN823" s="1366"/>
      <c r="AO823" s="1366"/>
      <c r="AP823" s="1366"/>
      <c r="AQ823" s="1366"/>
      <c r="AR823" s="1366"/>
      <c r="AS823" s="1366"/>
      <c r="AT823" s="1366"/>
      <c r="AU823" s="1366"/>
      <c r="AV823" s="1366"/>
      <c r="AW823" s="1366"/>
      <c r="AX823" s="1366"/>
      <c r="AY823" s="1366"/>
      <c r="AZ823" s="1366"/>
      <c r="BA823" s="1366"/>
      <c r="BB823" s="1366"/>
      <c r="BC823" s="1366"/>
      <c r="BD823" s="1366"/>
      <c r="BE823" s="1366"/>
      <c r="BF823" s="1366"/>
      <c r="BG823" s="1366"/>
      <c r="BH823" s="1366"/>
      <c r="BI823" s="1366"/>
      <c r="BJ823" s="1366"/>
      <c r="BK823" s="1366"/>
      <c r="BL823" s="1366"/>
      <c r="BM823" s="1366"/>
      <c r="BN823" s="1366"/>
      <c r="BO823" s="1366"/>
      <c r="BP823" s="1366"/>
      <c r="BQ823" s="1366"/>
      <c r="BR823" s="1366"/>
      <c r="BS823" s="1366"/>
      <c r="BT823" s="1366"/>
      <c r="BU823" s="1366"/>
      <c r="BV823" s="1366"/>
      <c r="BW823" s="1366"/>
      <c r="BX823" s="1366"/>
      <c r="BY823" s="1366"/>
      <c r="BZ823" s="1366"/>
      <c r="CA823" s="1366"/>
      <c r="CB823" s="1366"/>
      <c r="CC823" s="1366"/>
      <c r="CD823" s="1366"/>
      <c r="CE823" s="1366"/>
      <c r="CF823" s="1366"/>
      <c r="CG823" s="1366"/>
      <c r="CH823" s="1366"/>
      <c r="CI823" s="1366"/>
      <c r="CJ823" s="1366"/>
      <c r="CK823" s="1366"/>
      <c r="CL823" s="1366"/>
      <c r="CM823" s="1366"/>
      <c r="CN823" s="1366"/>
      <c r="CO823" s="1366"/>
      <c r="CP823" s="1366"/>
      <c r="CQ823" s="1366"/>
      <c r="CR823" s="1366"/>
      <c r="CS823" s="1366"/>
      <c r="CT823" s="1366"/>
      <c r="CU823" s="1366"/>
      <c r="CV823" s="1366"/>
      <c r="CW823" s="1366"/>
      <c r="CX823" s="1366"/>
      <c r="CY823" s="1366"/>
      <c r="CZ823" s="1366"/>
      <c r="DA823" s="1366"/>
      <c r="DB823" s="1366"/>
      <c r="DC823" s="1366"/>
      <c r="DD823" s="1366"/>
      <c r="DE823" s="1366"/>
      <c r="DF823" s="1366"/>
      <c r="DG823" s="1366"/>
      <c r="DH823" s="1366"/>
      <c r="DI823" s="1366"/>
      <c r="DJ823" s="1366"/>
      <c r="DK823" s="1366"/>
      <c r="DL823" s="1366"/>
      <c r="DM823" s="1366"/>
      <c r="DN823" s="1366"/>
      <c r="DO823" s="1366"/>
      <c r="DP823" s="1366"/>
      <c r="DQ823" s="1366"/>
      <c r="DR823" s="1366"/>
      <c r="DS823" s="1366"/>
      <c r="DT823" s="1366"/>
      <c r="DU823" s="1366"/>
      <c r="DV823" s="1366"/>
    </row>
    <row r="824" spans="1:126" s="1367" customFormat="1" hidden="1">
      <c r="A824" s="2494"/>
      <c r="B824" s="1643"/>
      <c r="C824" s="1674"/>
      <c r="D824" s="1480"/>
      <c r="E824" s="1480"/>
      <c r="F824" s="1480"/>
      <c r="G824" s="1480"/>
      <c r="H824" s="1481"/>
      <c r="I824" s="1482"/>
      <c r="J824" s="1483"/>
      <c r="K824" s="1483"/>
      <c r="L824" s="1528"/>
      <c r="M824" s="1483"/>
      <c r="N824" s="1484"/>
      <c r="O824" s="1481"/>
      <c r="P824" s="1485"/>
      <c r="Q824" s="1485"/>
      <c r="R824" s="1485"/>
      <c r="S824" s="1485"/>
      <c r="T824" s="1485"/>
      <c r="U824" s="1485"/>
      <c r="V824" s="1484"/>
      <c r="W824" s="1366"/>
      <c r="X824" s="1366"/>
      <c r="Y824" s="1366"/>
      <c r="Z824" s="1366"/>
      <c r="AA824" s="1366"/>
      <c r="AB824" s="1366"/>
      <c r="AC824" s="1366"/>
      <c r="AD824" s="1366"/>
      <c r="AE824" s="1366"/>
      <c r="AF824" s="1366"/>
      <c r="AG824" s="1366"/>
      <c r="AH824" s="1366"/>
      <c r="AI824" s="1366"/>
      <c r="AJ824" s="1366"/>
      <c r="AK824" s="1366"/>
      <c r="AL824" s="1366"/>
      <c r="AM824" s="1366"/>
      <c r="AN824" s="1366"/>
      <c r="AO824" s="1366"/>
      <c r="AP824" s="1366"/>
      <c r="AQ824" s="1366"/>
      <c r="AR824" s="1366"/>
      <c r="AS824" s="1366"/>
      <c r="AT824" s="1366"/>
      <c r="AU824" s="1366"/>
      <c r="AV824" s="1366"/>
      <c r="AW824" s="1366"/>
      <c r="AX824" s="1366"/>
      <c r="AY824" s="1366"/>
      <c r="AZ824" s="1366"/>
      <c r="BA824" s="1366"/>
      <c r="BB824" s="1366"/>
      <c r="BC824" s="1366"/>
      <c r="BD824" s="1366"/>
      <c r="BE824" s="1366"/>
      <c r="BF824" s="1366"/>
      <c r="BG824" s="1366"/>
      <c r="BH824" s="1366"/>
      <c r="BI824" s="1366"/>
      <c r="BJ824" s="1366"/>
      <c r="BK824" s="1366"/>
      <c r="BL824" s="1366"/>
      <c r="BM824" s="1366"/>
      <c r="BN824" s="1366"/>
      <c r="BO824" s="1366"/>
      <c r="BP824" s="1366"/>
      <c r="BQ824" s="1366"/>
      <c r="BR824" s="1366"/>
      <c r="BS824" s="1366"/>
      <c r="BT824" s="1366"/>
      <c r="BU824" s="1366"/>
      <c r="BV824" s="1366"/>
      <c r="BW824" s="1366"/>
      <c r="BX824" s="1366"/>
      <c r="BY824" s="1366"/>
      <c r="BZ824" s="1366"/>
      <c r="CA824" s="1366"/>
      <c r="CB824" s="1366"/>
      <c r="CC824" s="1366"/>
      <c r="CD824" s="1366"/>
      <c r="CE824" s="1366"/>
      <c r="CF824" s="1366"/>
      <c r="CG824" s="1366"/>
      <c r="CH824" s="1366"/>
      <c r="CI824" s="1366"/>
      <c r="CJ824" s="1366"/>
      <c r="CK824" s="1366"/>
      <c r="CL824" s="1366"/>
      <c r="CM824" s="1366"/>
      <c r="CN824" s="1366"/>
      <c r="CO824" s="1366"/>
      <c r="CP824" s="1366"/>
      <c r="CQ824" s="1366"/>
      <c r="CR824" s="1366"/>
      <c r="CS824" s="1366"/>
      <c r="CT824" s="1366"/>
      <c r="CU824" s="1366"/>
      <c r="CV824" s="1366"/>
      <c r="CW824" s="1366"/>
      <c r="CX824" s="1366"/>
      <c r="CY824" s="1366"/>
      <c r="CZ824" s="1366"/>
      <c r="DA824" s="1366"/>
      <c r="DB824" s="1366"/>
      <c r="DC824" s="1366"/>
      <c r="DD824" s="1366"/>
      <c r="DE824" s="1366"/>
      <c r="DF824" s="1366"/>
      <c r="DG824" s="1366"/>
      <c r="DH824" s="1366"/>
      <c r="DI824" s="1366"/>
      <c r="DJ824" s="1366"/>
      <c r="DK824" s="1366"/>
      <c r="DL824" s="1366"/>
      <c r="DM824" s="1366"/>
      <c r="DN824" s="1366"/>
      <c r="DO824" s="1366"/>
      <c r="DP824" s="1366"/>
      <c r="DQ824" s="1366"/>
      <c r="DR824" s="1366"/>
      <c r="DS824" s="1366"/>
      <c r="DT824" s="1366"/>
      <c r="DU824" s="1366"/>
      <c r="DV824" s="1366"/>
    </row>
    <row r="825" spans="1:126" s="1367" customFormat="1" hidden="1">
      <c r="A825" s="2494"/>
      <c r="B825" s="1643"/>
      <c r="C825" s="1674"/>
      <c r="D825" s="1480"/>
      <c r="E825" s="1480"/>
      <c r="F825" s="1480"/>
      <c r="G825" s="1480"/>
      <c r="H825" s="1481"/>
      <c r="I825" s="1482"/>
      <c r="J825" s="1483"/>
      <c r="K825" s="1483"/>
      <c r="L825" s="1528"/>
      <c r="M825" s="1483"/>
      <c r="N825" s="1484"/>
      <c r="O825" s="1481"/>
      <c r="P825" s="1485"/>
      <c r="Q825" s="1485"/>
      <c r="R825" s="1485"/>
      <c r="S825" s="1485"/>
      <c r="T825" s="1485"/>
      <c r="U825" s="1485"/>
      <c r="V825" s="1484"/>
      <c r="W825" s="1366"/>
      <c r="X825" s="1366"/>
      <c r="Y825" s="1366"/>
      <c r="Z825" s="1366"/>
      <c r="AA825" s="1366"/>
      <c r="AB825" s="1366"/>
      <c r="AC825" s="1366"/>
      <c r="AD825" s="1366"/>
      <c r="AE825" s="1366"/>
      <c r="AF825" s="1366"/>
      <c r="AG825" s="1366"/>
      <c r="AH825" s="1366"/>
      <c r="AI825" s="1366"/>
      <c r="AJ825" s="1366"/>
      <c r="AK825" s="1366"/>
      <c r="AL825" s="1366"/>
      <c r="AM825" s="1366"/>
      <c r="AN825" s="1366"/>
      <c r="AO825" s="1366"/>
      <c r="AP825" s="1366"/>
      <c r="AQ825" s="1366"/>
      <c r="AR825" s="1366"/>
      <c r="AS825" s="1366"/>
      <c r="AT825" s="1366"/>
      <c r="AU825" s="1366"/>
      <c r="AV825" s="1366"/>
      <c r="AW825" s="1366"/>
      <c r="AX825" s="1366"/>
      <c r="AY825" s="1366"/>
      <c r="AZ825" s="1366"/>
      <c r="BA825" s="1366"/>
      <c r="BB825" s="1366"/>
      <c r="BC825" s="1366"/>
      <c r="BD825" s="1366"/>
      <c r="BE825" s="1366"/>
      <c r="BF825" s="1366"/>
      <c r="BG825" s="1366"/>
      <c r="BH825" s="1366"/>
      <c r="BI825" s="1366"/>
      <c r="BJ825" s="1366"/>
      <c r="BK825" s="1366"/>
      <c r="BL825" s="1366"/>
      <c r="BM825" s="1366"/>
      <c r="BN825" s="1366"/>
      <c r="BO825" s="1366"/>
      <c r="BP825" s="1366"/>
      <c r="BQ825" s="1366"/>
      <c r="BR825" s="1366"/>
      <c r="BS825" s="1366"/>
      <c r="BT825" s="1366"/>
      <c r="BU825" s="1366"/>
      <c r="BV825" s="1366"/>
      <c r="BW825" s="1366"/>
      <c r="BX825" s="1366"/>
      <c r="BY825" s="1366"/>
      <c r="BZ825" s="1366"/>
      <c r="CA825" s="1366"/>
      <c r="CB825" s="1366"/>
      <c r="CC825" s="1366"/>
      <c r="CD825" s="1366"/>
      <c r="CE825" s="1366"/>
      <c r="CF825" s="1366"/>
      <c r="CG825" s="1366"/>
      <c r="CH825" s="1366"/>
      <c r="CI825" s="1366"/>
      <c r="CJ825" s="1366"/>
      <c r="CK825" s="1366"/>
      <c r="CL825" s="1366"/>
      <c r="CM825" s="1366"/>
      <c r="CN825" s="1366"/>
      <c r="CO825" s="1366"/>
      <c r="CP825" s="1366"/>
      <c r="CQ825" s="1366"/>
      <c r="CR825" s="1366"/>
      <c r="CS825" s="1366"/>
      <c r="CT825" s="1366"/>
      <c r="CU825" s="1366"/>
      <c r="CV825" s="1366"/>
      <c r="CW825" s="1366"/>
      <c r="CX825" s="1366"/>
      <c r="CY825" s="1366"/>
      <c r="CZ825" s="1366"/>
      <c r="DA825" s="1366"/>
      <c r="DB825" s="1366"/>
      <c r="DC825" s="1366"/>
      <c r="DD825" s="1366"/>
      <c r="DE825" s="1366"/>
      <c r="DF825" s="1366"/>
      <c r="DG825" s="1366"/>
      <c r="DH825" s="1366"/>
      <c r="DI825" s="1366"/>
      <c r="DJ825" s="1366"/>
      <c r="DK825" s="1366"/>
      <c r="DL825" s="1366"/>
      <c r="DM825" s="1366"/>
      <c r="DN825" s="1366"/>
      <c r="DO825" s="1366"/>
      <c r="DP825" s="1366"/>
      <c r="DQ825" s="1366"/>
      <c r="DR825" s="1366"/>
      <c r="DS825" s="1366"/>
      <c r="DT825" s="1366"/>
      <c r="DU825" s="1366"/>
      <c r="DV825" s="1366"/>
    </row>
    <row r="826" spans="1:126" s="1367" customFormat="1" hidden="1">
      <c r="A826" s="2494"/>
      <c r="B826" s="1643"/>
      <c r="C826" s="1674"/>
      <c r="D826" s="1480"/>
      <c r="E826" s="1480"/>
      <c r="F826" s="1480"/>
      <c r="G826" s="1480"/>
      <c r="H826" s="1481"/>
      <c r="I826" s="1482"/>
      <c r="J826" s="1483"/>
      <c r="K826" s="1483"/>
      <c r="L826" s="1528"/>
      <c r="M826" s="1483"/>
      <c r="N826" s="1484"/>
      <c r="O826" s="1481"/>
      <c r="P826" s="1485"/>
      <c r="Q826" s="1485"/>
      <c r="R826" s="1485"/>
      <c r="S826" s="1485"/>
      <c r="T826" s="1485"/>
      <c r="U826" s="1485"/>
      <c r="V826" s="1484"/>
      <c r="W826" s="1366"/>
      <c r="X826" s="1366"/>
      <c r="Y826" s="1366"/>
      <c r="Z826" s="1366"/>
      <c r="AA826" s="1366"/>
      <c r="AB826" s="1366"/>
      <c r="AC826" s="1366"/>
      <c r="AD826" s="1366"/>
      <c r="AE826" s="1366"/>
      <c r="AF826" s="1366"/>
      <c r="AG826" s="1366"/>
      <c r="AH826" s="1366"/>
      <c r="AI826" s="1366"/>
      <c r="AJ826" s="1366"/>
      <c r="AK826" s="1366"/>
      <c r="AL826" s="1366"/>
      <c r="AM826" s="1366"/>
      <c r="AN826" s="1366"/>
      <c r="AO826" s="1366"/>
      <c r="AP826" s="1366"/>
      <c r="AQ826" s="1366"/>
      <c r="AR826" s="1366"/>
      <c r="AS826" s="1366"/>
      <c r="AT826" s="1366"/>
      <c r="AU826" s="1366"/>
      <c r="AV826" s="1366"/>
      <c r="AW826" s="1366"/>
      <c r="AX826" s="1366"/>
      <c r="AY826" s="1366"/>
      <c r="AZ826" s="1366"/>
      <c r="BA826" s="1366"/>
      <c r="BB826" s="1366"/>
      <c r="BC826" s="1366"/>
      <c r="BD826" s="1366"/>
      <c r="BE826" s="1366"/>
      <c r="BF826" s="1366"/>
      <c r="BG826" s="1366"/>
      <c r="BH826" s="1366"/>
      <c r="BI826" s="1366"/>
      <c r="BJ826" s="1366"/>
      <c r="BK826" s="1366"/>
      <c r="BL826" s="1366"/>
      <c r="BM826" s="1366"/>
      <c r="BN826" s="1366"/>
      <c r="BO826" s="1366"/>
      <c r="BP826" s="1366"/>
      <c r="BQ826" s="1366"/>
      <c r="BR826" s="1366"/>
      <c r="BS826" s="1366"/>
      <c r="BT826" s="1366"/>
      <c r="BU826" s="1366"/>
      <c r="BV826" s="1366"/>
      <c r="BW826" s="1366"/>
      <c r="BX826" s="1366"/>
      <c r="BY826" s="1366"/>
      <c r="BZ826" s="1366"/>
      <c r="CA826" s="1366"/>
      <c r="CB826" s="1366"/>
      <c r="CC826" s="1366"/>
      <c r="CD826" s="1366"/>
      <c r="CE826" s="1366"/>
      <c r="CF826" s="1366"/>
      <c r="CG826" s="1366"/>
      <c r="CH826" s="1366"/>
      <c r="CI826" s="1366"/>
      <c r="CJ826" s="1366"/>
      <c r="CK826" s="1366"/>
      <c r="CL826" s="1366"/>
      <c r="CM826" s="1366"/>
      <c r="CN826" s="1366"/>
      <c r="CO826" s="1366"/>
      <c r="CP826" s="1366"/>
      <c r="CQ826" s="1366"/>
      <c r="CR826" s="1366"/>
      <c r="CS826" s="1366"/>
      <c r="CT826" s="1366"/>
      <c r="CU826" s="1366"/>
      <c r="CV826" s="1366"/>
      <c r="CW826" s="1366"/>
      <c r="CX826" s="1366"/>
      <c r="CY826" s="1366"/>
      <c r="CZ826" s="1366"/>
      <c r="DA826" s="1366"/>
      <c r="DB826" s="1366"/>
      <c r="DC826" s="1366"/>
      <c r="DD826" s="1366"/>
      <c r="DE826" s="1366"/>
      <c r="DF826" s="1366"/>
      <c r="DG826" s="1366"/>
      <c r="DH826" s="1366"/>
      <c r="DI826" s="1366"/>
      <c r="DJ826" s="1366"/>
      <c r="DK826" s="1366"/>
      <c r="DL826" s="1366"/>
      <c r="DM826" s="1366"/>
      <c r="DN826" s="1366"/>
      <c r="DO826" s="1366"/>
      <c r="DP826" s="1366"/>
      <c r="DQ826" s="1366"/>
      <c r="DR826" s="1366"/>
      <c r="DS826" s="1366"/>
      <c r="DT826" s="1366"/>
      <c r="DU826" s="1366"/>
      <c r="DV826" s="1366"/>
    </row>
    <row r="827" spans="1:126" s="1367" customFormat="1" hidden="1">
      <c r="A827" s="2494"/>
      <c r="B827" s="1643"/>
      <c r="C827" s="1674"/>
      <c r="D827" s="1480"/>
      <c r="E827" s="1480"/>
      <c r="F827" s="1480"/>
      <c r="G827" s="1480"/>
      <c r="H827" s="1481"/>
      <c r="I827" s="1482"/>
      <c r="J827" s="1483"/>
      <c r="K827" s="1483"/>
      <c r="L827" s="1528"/>
      <c r="M827" s="1483"/>
      <c r="N827" s="1484"/>
      <c r="O827" s="1481"/>
      <c r="P827" s="1485"/>
      <c r="Q827" s="1485"/>
      <c r="R827" s="1485"/>
      <c r="S827" s="1485"/>
      <c r="T827" s="1485"/>
      <c r="U827" s="1485"/>
      <c r="V827" s="1484"/>
      <c r="W827" s="1366"/>
      <c r="X827" s="1366"/>
      <c r="Y827" s="1366"/>
      <c r="Z827" s="1366"/>
      <c r="AA827" s="1366"/>
      <c r="AB827" s="1366"/>
      <c r="AC827" s="1366"/>
      <c r="AD827" s="1366"/>
      <c r="AE827" s="1366"/>
      <c r="AF827" s="1366"/>
      <c r="AG827" s="1366"/>
      <c r="AH827" s="1366"/>
      <c r="AI827" s="1366"/>
      <c r="AJ827" s="1366"/>
      <c r="AK827" s="1366"/>
      <c r="AL827" s="1366"/>
      <c r="AM827" s="1366"/>
      <c r="AN827" s="1366"/>
      <c r="AO827" s="1366"/>
      <c r="AP827" s="1366"/>
      <c r="AQ827" s="1366"/>
      <c r="AR827" s="1366"/>
      <c r="AS827" s="1366"/>
      <c r="AT827" s="1366"/>
      <c r="AU827" s="1366"/>
      <c r="AV827" s="1366"/>
      <c r="AW827" s="1366"/>
      <c r="AX827" s="1366"/>
      <c r="AY827" s="1366"/>
      <c r="AZ827" s="1366"/>
      <c r="BA827" s="1366"/>
      <c r="BB827" s="1366"/>
      <c r="BC827" s="1366"/>
      <c r="BD827" s="1366"/>
      <c r="BE827" s="1366"/>
      <c r="BF827" s="1366"/>
      <c r="BG827" s="1366"/>
      <c r="BH827" s="1366"/>
      <c r="BI827" s="1366"/>
      <c r="BJ827" s="1366"/>
      <c r="BK827" s="1366"/>
      <c r="BL827" s="1366"/>
      <c r="BM827" s="1366"/>
      <c r="BN827" s="1366"/>
      <c r="BO827" s="1366"/>
      <c r="BP827" s="1366"/>
      <c r="BQ827" s="1366"/>
      <c r="BR827" s="1366"/>
      <c r="BS827" s="1366"/>
      <c r="BT827" s="1366"/>
      <c r="BU827" s="1366"/>
      <c r="BV827" s="1366"/>
      <c r="BW827" s="1366"/>
      <c r="BX827" s="1366"/>
      <c r="BY827" s="1366"/>
      <c r="BZ827" s="1366"/>
      <c r="CA827" s="1366"/>
      <c r="CB827" s="1366"/>
      <c r="CC827" s="1366"/>
      <c r="CD827" s="1366"/>
      <c r="CE827" s="1366"/>
      <c r="CF827" s="1366"/>
      <c r="CG827" s="1366"/>
      <c r="CH827" s="1366"/>
      <c r="CI827" s="1366"/>
      <c r="CJ827" s="1366"/>
      <c r="CK827" s="1366"/>
      <c r="CL827" s="1366"/>
      <c r="CM827" s="1366"/>
      <c r="CN827" s="1366"/>
      <c r="CO827" s="1366"/>
      <c r="CP827" s="1366"/>
      <c r="CQ827" s="1366"/>
      <c r="CR827" s="1366"/>
      <c r="CS827" s="1366"/>
      <c r="CT827" s="1366"/>
      <c r="CU827" s="1366"/>
      <c r="CV827" s="1366"/>
      <c r="CW827" s="1366"/>
      <c r="CX827" s="1366"/>
      <c r="CY827" s="1366"/>
      <c r="CZ827" s="1366"/>
      <c r="DA827" s="1366"/>
      <c r="DB827" s="1366"/>
      <c r="DC827" s="1366"/>
      <c r="DD827" s="1366"/>
      <c r="DE827" s="1366"/>
      <c r="DF827" s="1366"/>
      <c r="DG827" s="1366"/>
      <c r="DH827" s="1366"/>
      <c r="DI827" s="1366"/>
      <c r="DJ827" s="1366"/>
      <c r="DK827" s="1366"/>
      <c r="DL827" s="1366"/>
      <c r="DM827" s="1366"/>
      <c r="DN827" s="1366"/>
      <c r="DO827" s="1366"/>
      <c r="DP827" s="1366"/>
      <c r="DQ827" s="1366"/>
      <c r="DR827" s="1366"/>
      <c r="DS827" s="1366"/>
      <c r="DT827" s="1366"/>
      <c r="DU827" s="1366"/>
      <c r="DV827" s="1366"/>
    </row>
    <row r="828" spans="1:126" s="1367" customFormat="1" ht="18.75" hidden="1">
      <c r="A828" s="1469"/>
      <c r="B828" s="1643"/>
      <c r="C828" s="1674"/>
      <c r="D828" s="1480"/>
      <c r="E828" s="1480"/>
      <c r="F828" s="1480"/>
      <c r="G828" s="1480"/>
      <c r="H828" s="1481"/>
      <c r="I828" s="1482"/>
      <c r="J828" s="1483"/>
      <c r="K828" s="1483"/>
      <c r="L828" s="1528"/>
      <c r="M828" s="1483"/>
      <c r="N828" s="1484"/>
      <c r="O828" s="1481"/>
      <c r="P828" s="1485"/>
      <c r="Q828" s="1485"/>
      <c r="R828" s="1485"/>
      <c r="S828" s="1485"/>
      <c r="T828" s="1485"/>
      <c r="U828" s="1485"/>
      <c r="V828" s="1484"/>
      <c r="W828" s="1366"/>
      <c r="X828" s="1366"/>
      <c r="Y828" s="1366"/>
      <c r="Z828" s="1366"/>
      <c r="AA828" s="1366"/>
      <c r="AB828" s="1366"/>
      <c r="AC828" s="1366"/>
      <c r="AD828" s="1366"/>
      <c r="AE828" s="1366"/>
      <c r="AF828" s="1366"/>
      <c r="AG828" s="1366"/>
      <c r="AH828" s="1366"/>
      <c r="AI828" s="1366"/>
      <c r="AJ828" s="1366"/>
      <c r="AK828" s="1366"/>
      <c r="AL828" s="1366"/>
      <c r="AM828" s="1366"/>
      <c r="AN828" s="1366"/>
      <c r="AO828" s="1366"/>
      <c r="AP828" s="1366"/>
      <c r="AQ828" s="1366"/>
      <c r="AR828" s="1366"/>
      <c r="AS828" s="1366"/>
      <c r="AT828" s="1366"/>
      <c r="AU828" s="1366"/>
      <c r="AV828" s="1366"/>
      <c r="AW828" s="1366"/>
      <c r="AX828" s="1366"/>
      <c r="AY828" s="1366"/>
      <c r="AZ828" s="1366"/>
      <c r="BA828" s="1366"/>
      <c r="BB828" s="1366"/>
      <c r="BC828" s="1366"/>
      <c r="BD828" s="1366"/>
      <c r="BE828" s="1366"/>
      <c r="BF828" s="1366"/>
      <c r="BG828" s="1366"/>
      <c r="BH828" s="1366"/>
      <c r="BI828" s="1366"/>
      <c r="BJ828" s="1366"/>
      <c r="BK828" s="1366"/>
      <c r="BL828" s="1366"/>
      <c r="BM828" s="1366"/>
      <c r="BN828" s="1366"/>
      <c r="BO828" s="1366"/>
      <c r="BP828" s="1366"/>
      <c r="BQ828" s="1366"/>
      <c r="BR828" s="1366"/>
      <c r="BS828" s="1366"/>
      <c r="BT828" s="1366"/>
      <c r="BU828" s="1366"/>
      <c r="BV828" s="1366"/>
      <c r="BW828" s="1366"/>
      <c r="BX828" s="1366"/>
      <c r="BY828" s="1366"/>
      <c r="BZ828" s="1366"/>
      <c r="CA828" s="1366"/>
      <c r="CB828" s="1366"/>
      <c r="CC828" s="1366"/>
      <c r="CD828" s="1366"/>
      <c r="CE828" s="1366"/>
      <c r="CF828" s="1366"/>
      <c r="CG828" s="1366"/>
      <c r="CH828" s="1366"/>
      <c r="CI828" s="1366"/>
      <c r="CJ828" s="1366"/>
      <c r="CK828" s="1366"/>
      <c r="CL828" s="1366"/>
      <c r="CM828" s="1366"/>
      <c r="CN828" s="1366"/>
      <c r="CO828" s="1366"/>
      <c r="CP828" s="1366"/>
      <c r="CQ828" s="1366"/>
      <c r="CR828" s="1366"/>
      <c r="CS828" s="1366"/>
      <c r="CT828" s="1366"/>
      <c r="CU828" s="1366"/>
      <c r="CV828" s="1366"/>
      <c r="CW828" s="1366"/>
      <c r="CX828" s="1366"/>
      <c r="CY828" s="1366"/>
      <c r="CZ828" s="1366"/>
      <c r="DA828" s="1366"/>
      <c r="DB828" s="1366"/>
      <c r="DC828" s="1366"/>
      <c r="DD828" s="1366"/>
      <c r="DE828" s="1366"/>
      <c r="DF828" s="1366"/>
      <c r="DG828" s="1366"/>
      <c r="DH828" s="1366"/>
      <c r="DI828" s="1366"/>
      <c r="DJ828" s="1366"/>
      <c r="DK828" s="1366"/>
      <c r="DL828" s="1366"/>
      <c r="DM828" s="1366"/>
      <c r="DN828" s="1366"/>
      <c r="DO828" s="1366"/>
      <c r="DP828" s="1366"/>
      <c r="DQ828" s="1366"/>
      <c r="DR828" s="1366"/>
      <c r="DS828" s="1366"/>
      <c r="DT828" s="1366"/>
      <c r="DU828" s="1366"/>
      <c r="DV828" s="1366"/>
    </row>
    <row r="829" spans="1:126" s="1367" customFormat="1" ht="18.75" hidden="1">
      <c r="A829" s="1469"/>
      <c r="B829" s="1643"/>
      <c r="C829" s="1674"/>
      <c r="D829" s="1480"/>
      <c r="E829" s="1480"/>
      <c r="F829" s="1480"/>
      <c r="G829" s="1480"/>
      <c r="H829" s="1481"/>
      <c r="I829" s="1482"/>
      <c r="J829" s="1483"/>
      <c r="K829" s="1483"/>
      <c r="L829" s="1528"/>
      <c r="M829" s="1483"/>
      <c r="N829" s="1484"/>
      <c r="O829" s="1481"/>
      <c r="P829" s="1485"/>
      <c r="Q829" s="1485"/>
      <c r="R829" s="1485"/>
      <c r="S829" s="1485"/>
      <c r="T829" s="1485"/>
      <c r="U829" s="1485"/>
      <c r="V829" s="1484"/>
      <c r="W829" s="1366"/>
      <c r="X829" s="1366"/>
      <c r="Y829" s="1366"/>
      <c r="Z829" s="1366"/>
      <c r="AA829" s="1366"/>
      <c r="AB829" s="1366"/>
      <c r="AC829" s="1366"/>
      <c r="AD829" s="1366"/>
      <c r="AE829" s="1366"/>
      <c r="AF829" s="1366"/>
      <c r="AG829" s="1366"/>
      <c r="AH829" s="1366"/>
      <c r="AI829" s="1366"/>
      <c r="AJ829" s="1366"/>
      <c r="AK829" s="1366"/>
      <c r="AL829" s="1366"/>
      <c r="AM829" s="1366"/>
      <c r="AN829" s="1366"/>
      <c r="AO829" s="1366"/>
      <c r="AP829" s="1366"/>
      <c r="AQ829" s="1366"/>
      <c r="AR829" s="1366"/>
      <c r="AS829" s="1366"/>
      <c r="AT829" s="1366"/>
      <c r="AU829" s="1366"/>
      <c r="AV829" s="1366"/>
      <c r="AW829" s="1366"/>
      <c r="AX829" s="1366"/>
      <c r="AY829" s="1366"/>
      <c r="AZ829" s="1366"/>
      <c r="BA829" s="1366"/>
      <c r="BB829" s="1366"/>
      <c r="BC829" s="1366"/>
      <c r="BD829" s="1366"/>
      <c r="BE829" s="1366"/>
      <c r="BF829" s="1366"/>
      <c r="BG829" s="1366"/>
      <c r="BH829" s="1366"/>
      <c r="BI829" s="1366"/>
      <c r="BJ829" s="1366"/>
      <c r="BK829" s="1366"/>
      <c r="BL829" s="1366"/>
      <c r="BM829" s="1366"/>
      <c r="BN829" s="1366"/>
      <c r="BO829" s="1366"/>
      <c r="BP829" s="1366"/>
      <c r="BQ829" s="1366"/>
      <c r="BR829" s="1366"/>
      <c r="BS829" s="1366"/>
      <c r="BT829" s="1366"/>
      <c r="BU829" s="1366"/>
      <c r="BV829" s="1366"/>
      <c r="BW829" s="1366"/>
      <c r="BX829" s="1366"/>
      <c r="BY829" s="1366"/>
      <c r="BZ829" s="1366"/>
      <c r="CA829" s="1366"/>
      <c r="CB829" s="1366"/>
      <c r="CC829" s="1366"/>
      <c r="CD829" s="1366"/>
      <c r="CE829" s="1366"/>
      <c r="CF829" s="1366"/>
      <c r="CG829" s="1366"/>
      <c r="CH829" s="1366"/>
      <c r="CI829" s="1366"/>
      <c r="CJ829" s="1366"/>
      <c r="CK829" s="1366"/>
      <c r="CL829" s="1366"/>
      <c r="CM829" s="1366"/>
      <c r="CN829" s="1366"/>
      <c r="CO829" s="1366"/>
      <c r="CP829" s="1366"/>
      <c r="CQ829" s="1366"/>
      <c r="CR829" s="1366"/>
      <c r="CS829" s="1366"/>
      <c r="CT829" s="1366"/>
      <c r="CU829" s="1366"/>
      <c r="CV829" s="1366"/>
      <c r="CW829" s="1366"/>
      <c r="CX829" s="1366"/>
      <c r="CY829" s="1366"/>
      <c r="CZ829" s="1366"/>
      <c r="DA829" s="1366"/>
      <c r="DB829" s="1366"/>
      <c r="DC829" s="1366"/>
      <c r="DD829" s="1366"/>
      <c r="DE829" s="1366"/>
      <c r="DF829" s="1366"/>
      <c r="DG829" s="1366"/>
      <c r="DH829" s="1366"/>
      <c r="DI829" s="1366"/>
      <c r="DJ829" s="1366"/>
      <c r="DK829" s="1366"/>
      <c r="DL829" s="1366"/>
      <c r="DM829" s="1366"/>
      <c r="DN829" s="1366"/>
      <c r="DO829" s="1366"/>
      <c r="DP829" s="1366"/>
      <c r="DQ829" s="1366"/>
      <c r="DR829" s="1366"/>
      <c r="DS829" s="1366"/>
      <c r="DT829" s="1366"/>
      <c r="DU829" s="1366"/>
      <c r="DV829" s="1366"/>
    </row>
    <row r="830" spans="1:126" s="1367" customFormat="1" ht="18.75" hidden="1">
      <c r="A830" s="1469"/>
      <c r="B830" s="1643"/>
      <c r="C830" s="1674"/>
      <c r="D830" s="1480"/>
      <c r="E830" s="1480"/>
      <c r="F830" s="1480"/>
      <c r="G830" s="1480"/>
      <c r="H830" s="1481"/>
      <c r="I830" s="1482"/>
      <c r="J830" s="1483"/>
      <c r="K830" s="1483"/>
      <c r="L830" s="1528"/>
      <c r="M830" s="1483"/>
      <c r="N830" s="1484"/>
      <c r="O830" s="1481"/>
      <c r="P830" s="1485"/>
      <c r="Q830" s="1485"/>
      <c r="R830" s="1485"/>
      <c r="S830" s="1485"/>
      <c r="T830" s="1485"/>
      <c r="U830" s="1485"/>
      <c r="V830" s="1484"/>
      <c r="W830" s="1366"/>
      <c r="X830" s="1366"/>
      <c r="Y830" s="1366"/>
      <c r="Z830" s="1366"/>
      <c r="AA830" s="1366"/>
      <c r="AB830" s="1366"/>
      <c r="AC830" s="1366"/>
      <c r="AD830" s="1366"/>
      <c r="AE830" s="1366"/>
      <c r="AF830" s="1366"/>
      <c r="AG830" s="1366"/>
      <c r="AH830" s="1366"/>
      <c r="AI830" s="1366"/>
      <c r="AJ830" s="1366"/>
      <c r="AK830" s="1366"/>
      <c r="AL830" s="1366"/>
      <c r="AM830" s="1366"/>
      <c r="AN830" s="1366"/>
      <c r="AO830" s="1366"/>
      <c r="AP830" s="1366"/>
      <c r="AQ830" s="1366"/>
      <c r="AR830" s="1366"/>
      <c r="AS830" s="1366"/>
      <c r="AT830" s="1366"/>
      <c r="AU830" s="1366"/>
      <c r="AV830" s="1366"/>
      <c r="AW830" s="1366"/>
      <c r="AX830" s="1366"/>
      <c r="AY830" s="1366"/>
      <c r="AZ830" s="1366"/>
      <c r="BA830" s="1366"/>
      <c r="BB830" s="1366"/>
      <c r="BC830" s="1366"/>
      <c r="BD830" s="1366"/>
      <c r="BE830" s="1366"/>
      <c r="BF830" s="1366"/>
      <c r="BG830" s="1366"/>
      <c r="BH830" s="1366"/>
      <c r="BI830" s="1366"/>
      <c r="BJ830" s="1366"/>
      <c r="BK830" s="1366"/>
      <c r="BL830" s="1366"/>
      <c r="BM830" s="1366"/>
      <c r="BN830" s="1366"/>
      <c r="BO830" s="1366"/>
      <c r="BP830" s="1366"/>
      <c r="BQ830" s="1366"/>
      <c r="BR830" s="1366"/>
      <c r="BS830" s="1366"/>
      <c r="BT830" s="1366"/>
      <c r="BU830" s="1366"/>
      <c r="BV830" s="1366"/>
      <c r="BW830" s="1366"/>
      <c r="BX830" s="1366"/>
      <c r="BY830" s="1366"/>
      <c r="BZ830" s="1366"/>
      <c r="CA830" s="1366"/>
      <c r="CB830" s="1366"/>
      <c r="CC830" s="1366"/>
      <c r="CD830" s="1366"/>
      <c r="CE830" s="1366"/>
      <c r="CF830" s="1366"/>
      <c r="CG830" s="1366"/>
      <c r="CH830" s="1366"/>
      <c r="CI830" s="1366"/>
      <c r="CJ830" s="1366"/>
      <c r="CK830" s="1366"/>
      <c r="CL830" s="1366"/>
      <c r="CM830" s="1366"/>
      <c r="CN830" s="1366"/>
      <c r="CO830" s="1366"/>
      <c r="CP830" s="1366"/>
      <c r="CQ830" s="1366"/>
      <c r="CR830" s="1366"/>
      <c r="CS830" s="1366"/>
      <c r="CT830" s="1366"/>
      <c r="CU830" s="1366"/>
      <c r="CV830" s="1366"/>
      <c r="CW830" s="1366"/>
      <c r="CX830" s="1366"/>
      <c r="CY830" s="1366"/>
      <c r="CZ830" s="1366"/>
      <c r="DA830" s="1366"/>
      <c r="DB830" s="1366"/>
      <c r="DC830" s="1366"/>
      <c r="DD830" s="1366"/>
      <c r="DE830" s="1366"/>
      <c r="DF830" s="1366"/>
      <c r="DG830" s="1366"/>
      <c r="DH830" s="1366"/>
      <c r="DI830" s="1366"/>
      <c r="DJ830" s="1366"/>
      <c r="DK830" s="1366"/>
      <c r="DL830" s="1366"/>
      <c r="DM830" s="1366"/>
      <c r="DN830" s="1366"/>
      <c r="DO830" s="1366"/>
      <c r="DP830" s="1366"/>
      <c r="DQ830" s="1366"/>
      <c r="DR830" s="1366"/>
      <c r="DS830" s="1366"/>
      <c r="DT830" s="1366"/>
      <c r="DU830" s="1366"/>
      <c r="DV830" s="1366"/>
    </row>
    <row r="831" spans="1:126" s="1367" customFormat="1" ht="18.75" hidden="1">
      <c r="A831" s="1469"/>
      <c r="B831" s="1643"/>
      <c r="C831" s="1674"/>
      <c r="D831" s="1480"/>
      <c r="E831" s="1480"/>
      <c r="F831" s="1480"/>
      <c r="G831" s="1480"/>
      <c r="H831" s="1481"/>
      <c r="I831" s="1482"/>
      <c r="J831" s="1483"/>
      <c r="K831" s="1483"/>
      <c r="L831" s="1528"/>
      <c r="M831" s="1483"/>
      <c r="N831" s="1484"/>
      <c r="O831" s="1481"/>
      <c r="P831" s="1485"/>
      <c r="Q831" s="1485"/>
      <c r="R831" s="1485"/>
      <c r="S831" s="1485"/>
      <c r="T831" s="1485"/>
      <c r="U831" s="1485"/>
      <c r="V831" s="1484"/>
      <c r="W831" s="1366"/>
      <c r="X831" s="1366"/>
      <c r="Y831" s="1366"/>
      <c r="Z831" s="1366"/>
      <c r="AA831" s="1366"/>
      <c r="AB831" s="1366"/>
      <c r="AC831" s="1366"/>
      <c r="AD831" s="1366"/>
      <c r="AE831" s="1366"/>
      <c r="AF831" s="1366"/>
      <c r="AG831" s="1366"/>
      <c r="AH831" s="1366"/>
      <c r="AI831" s="1366"/>
      <c r="AJ831" s="1366"/>
      <c r="AK831" s="1366"/>
      <c r="AL831" s="1366"/>
      <c r="AM831" s="1366"/>
      <c r="AN831" s="1366"/>
      <c r="AO831" s="1366"/>
      <c r="AP831" s="1366"/>
      <c r="AQ831" s="1366"/>
      <c r="AR831" s="1366"/>
      <c r="AS831" s="1366"/>
      <c r="AT831" s="1366"/>
      <c r="AU831" s="1366"/>
      <c r="AV831" s="1366"/>
      <c r="AW831" s="1366"/>
      <c r="AX831" s="1366"/>
      <c r="AY831" s="1366"/>
      <c r="AZ831" s="1366"/>
      <c r="BA831" s="1366"/>
      <c r="BB831" s="1366"/>
      <c r="BC831" s="1366"/>
      <c r="BD831" s="1366"/>
      <c r="BE831" s="1366"/>
      <c r="BF831" s="1366"/>
      <c r="BG831" s="1366"/>
      <c r="BH831" s="1366"/>
      <c r="BI831" s="1366"/>
      <c r="BJ831" s="1366"/>
      <c r="BK831" s="1366"/>
      <c r="BL831" s="1366"/>
      <c r="BM831" s="1366"/>
      <c r="BN831" s="1366"/>
      <c r="BO831" s="1366"/>
      <c r="BP831" s="1366"/>
      <c r="BQ831" s="1366"/>
      <c r="BR831" s="1366"/>
      <c r="BS831" s="1366"/>
      <c r="BT831" s="1366"/>
      <c r="BU831" s="1366"/>
      <c r="BV831" s="1366"/>
      <c r="BW831" s="1366"/>
      <c r="BX831" s="1366"/>
      <c r="BY831" s="1366"/>
      <c r="BZ831" s="1366"/>
      <c r="CA831" s="1366"/>
      <c r="CB831" s="1366"/>
      <c r="CC831" s="1366"/>
      <c r="CD831" s="1366"/>
      <c r="CE831" s="1366"/>
      <c r="CF831" s="1366"/>
      <c r="CG831" s="1366"/>
      <c r="CH831" s="1366"/>
      <c r="CI831" s="1366"/>
      <c r="CJ831" s="1366"/>
      <c r="CK831" s="1366"/>
      <c r="CL831" s="1366"/>
      <c r="CM831" s="1366"/>
      <c r="CN831" s="1366"/>
      <c r="CO831" s="1366"/>
      <c r="CP831" s="1366"/>
      <c r="CQ831" s="1366"/>
      <c r="CR831" s="1366"/>
      <c r="CS831" s="1366"/>
      <c r="CT831" s="1366"/>
      <c r="CU831" s="1366"/>
      <c r="CV831" s="1366"/>
      <c r="CW831" s="1366"/>
      <c r="CX831" s="1366"/>
      <c r="CY831" s="1366"/>
      <c r="CZ831" s="1366"/>
      <c r="DA831" s="1366"/>
      <c r="DB831" s="1366"/>
      <c r="DC831" s="1366"/>
      <c r="DD831" s="1366"/>
      <c r="DE831" s="1366"/>
      <c r="DF831" s="1366"/>
      <c r="DG831" s="1366"/>
      <c r="DH831" s="1366"/>
      <c r="DI831" s="1366"/>
      <c r="DJ831" s="1366"/>
      <c r="DK831" s="1366"/>
      <c r="DL831" s="1366"/>
      <c r="DM831" s="1366"/>
      <c r="DN831" s="1366"/>
      <c r="DO831" s="1366"/>
      <c r="DP831" s="1366"/>
      <c r="DQ831" s="1366"/>
      <c r="DR831" s="1366"/>
      <c r="DS831" s="1366"/>
      <c r="DT831" s="1366"/>
      <c r="DU831" s="1366"/>
      <c r="DV831" s="1366"/>
    </row>
    <row r="832" spans="1:126" s="1367" customFormat="1" ht="18.75" hidden="1">
      <c r="A832" s="1469"/>
      <c r="B832" s="1643"/>
      <c r="C832" s="1674"/>
      <c r="D832" s="1480"/>
      <c r="E832" s="1480"/>
      <c r="F832" s="1480"/>
      <c r="G832" s="1480"/>
      <c r="H832" s="1481"/>
      <c r="I832" s="1482"/>
      <c r="J832" s="1483"/>
      <c r="K832" s="1483"/>
      <c r="L832" s="1528"/>
      <c r="M832" s="1483"/>
      <c r="N832" s="1484"/>
      <c r="O832" s="1481"/>
      <c r="P832" s="1485"/>
      <c r="Q832" s="1485"/>
      <c r="R832" s="1485"/>
      <c r="S832" s="1485"/>
      <c r="T832" s="1485"/>
      <c r="U832" s="1485"/>
      <c r="V832" s="1484"/>
      <c r="W832" s="1366"/>
      <c r="X832" s="1366"/>
      <c r="Y832" s="1366"/>
      <c r="Z832" s="1366"/>
      <c r="AA832" s="1366"/>
      <c r="AB832" s="1366"/>
      <c r="AC832" s="1366"/>
      <c r="AD832" s="1366"/>
      <c r="AE832" s="1366"/>
      <c r="AF832" s="1366"/>
      <c r="AG832" s="1366"/>
      <c r="AH832" s="1366"/>
      <c r="AI832" s="1366"/>
      <c r="AJ832" s="1366"/>
      <c r="AK832" s="1366"/>
      <c r="AL832" s="1366"/>
      <c r="AM832" s="1366"/>
      <c r="AN832" s="1366"/>
      <c r="AO832" s="1366"/>
      <c r="AP832" s="1366"/>
      <c r="AQ832" s="1366"/>
      <c r="AR832" s="1366"/>
      <c r="AS832" s="1366"/>
      <c r="AT832" s="1366"/>
      <c r="AU832" s="1366"/>
      <c r="AV832" s="1366"/>
      <c r="AW832" s="1366"/>
      <c r="AX832" s="1366"/>
      <c r="AY832" s="1366"/>
      <c r="AZ832" s="1366"/>
      <c r="BA832" s="1366"/>
      <c r="BB832" s="1366"/>
      <c r="BC832" s="1366"/>
      <c r="BD832" s="1366"/>
      <c r="BE832" s="1366"/>
      <c r="BF832" s="1366"/>
      <c r="BG832" s="1366"/>
      <c r="BH832" s="1366"/>
      <c r="BI832" s="1366"/>
      <c r="BJ832" s="1366"/>
      <c r="BK832" s="1366"/>
      <c r="BL832" s="1366"/>
      <c r="BM832" s="1366"/>
      <c r="BN832" s="1366"/>
      <c r="BO832" s="1366"/>
      <c r="BP832" s="1366"/>
      <c r="BQ832" s="1366"/>
      <c r="BR832" s="1366"/>
      <c r="BS832" s="1366"/>
      <c r="BT832" s="1366"/>
      <c r="BU832" s="1366"/>
      <c r="BV832" s="1366"/>
      <c r="BW832" s="1366"/>
      <c r="BX832" s="1366"/>
      <c r="BY832" s="1366"/>
      <c r="BZ832" s="1366"/>
      <c r="CA832" s="1366"/>
      <c r="CB832" s="1366"/>
      <c r="CC832" s="1366"/>
      <c r="CD832" s="1366"/>
      <c r="CE832" s="1366"/>
      <c r="CF832" s="1366"/>
      <c r="CG832" s="1366"/>
      <c r="CH832" s="1366"/>
      <c r="CI832" s="1366"/>
      <c r="CJ832" s="1366"/>
      <c r="CK832" s="1366"/>
      <c r="CL832" s="1366"/>
      <c r="CM832" s="1366"/>
      <c r="CN832" s="1366"/>
      <c r="CO832" s="1366"/>
      <c r="CP832" s="1366"/>
      <c r="CQ832" s="1366"/>
      <c r="CR832" s="1366"/>
      <c r="CS832" s="1366"/>
      <c r="CT832" s="1366"/>
      <c r="CU832" s="1366"/>
      <c r="CV832" s="1366"/>
      <c r="CW832" s="1366"/>
      <c r="CX832" s="1366"/>
      <c r="CY832" s="1366"/>
      <c r="CZ832" s="1366"/>
      <c r="DA832" s="1366"/>
      <c r="DB832" s="1366"/>
      <c r="DC832" s="1366"/>
      <c r="DD832" s="1366"/>
      <c r="DE832" s="1366"/>
      <c r="DF832" s="1366"/>
      <c r="DG832" s="1366"/>
      <c r="DH832" s="1366"/>
      <c r="DI832" s="1366"/>
      <c r="DJ832" s="1366"/>
      <c r="DK832" s="1366"/>
      <c r="DL832" s="1366"/>
      <c r="DM832" s="1366"/>
      <c r="DN832" s="1366"/>
      <c r="DO832" s="1366"/>
      <c r="DP832" s="1366"/>
      <c r="DQ832" s="1366"/>
      <c r="DR832" s="1366"/>
      <c r="DS832" s="1366"/>
      <c r="DT832" s="1366"/>
      <c r="DU832" s="1366"/>
      <c r="DV832" s="1366"/>
    </row>
    <row r="833" spans="1:126" s="1367" customFormat="1" ht="18.75" hidden="1">
      <c r="A833" s="1469"/>
      <c r="B833" s="1643"/>
      <c r="C833" s="1674"/>
      <c r="D833" s="1480"/>
      <c r="E833" s="1480"/>
      <c r="F833" s="1480"/>
      <c r="G833" s="1480"/>
      <c r="H833" s="1481"/>
      <c r="I833" s="1482"/>
      <c r="J833" s="1483"/>
      <c r="K833" s="1483"/>
      <c r="L833" s="1528"/>
      <c r="M833" s="1483"/>
      <c r="N833" s="1484"/>
      <c r="O833" s="1481"/>
      <c r="P833" s="1485"/>
      <c r="Q833" s="1485"/>
      <c r="R833" s="1485"/>
      <c r="S833" s="1485"/>
      <c r="T833" s="1485"/>
      <c r="U833" s="1485"/>
      <c r="V833" s="1484"/>
      <c r="W833" s="1366"/>
      <c r="X833" s="1366"/>
      <c r="Y833" s="1366"/>
      <c r="Z833" s="1366"/>
      <c r="AA833" s="1366"/>
      <c r="AB833" s="1366"/>
      <c r="AC833" s="1366"/>
      <c r="AD833" s="1366"/>
      <c r="AE833" s="1366"/>
      <c r="AF833" s="1366"/>
      <c r="AG833" s="1366"/>
      <c r="AH833" s="1366"/>
      <c r="AI833" s="1366"/>
      <c r="AJ833" s="1366"/>
      <c r="AK833" s="1366"/>
      <c r="AL833" s="1366"/>
      <c r="AM833" s="1366"/>
      <c r="AN833" s="1366"/>
      <c r="AO833" s="1366"/>
      <c r="AP833" s="1366"/>
      <c r="AQ833" s="1366"/>
      <c r="AR833" s="1366"/>
      <c r="AS833" s="1366"/>
      <c r="AT833" s="1366"/>
      <c r="AU833" s="1366"/>
      <c r="AV833" s="1366"/>
      <c r="AW833" s="1366"/>
      <c r="AX833" s="1366"/>
      <c r="AY833" s="1366"/>
      <c r="AZ833" s="1366"/>
      <c r="BA833" s="1366"/>
      <c r="BB833" s="1366"/>
      <c r="BC833" s="1366"/>
      <c r="BD833" s="1366"/>
      <c r="BE833" s="1366"/>
      <c r="BF833" s="1366"/>
      <c r="BG833" s="1366"/>
      <c r="BH833" s="1366"/>
      <c r="BI833" s="1366"/>
      <c r="BJ833" s="1366"/>
      <c r="BK833" s="1366"/>
      <c r="BL833" s="1366"/>
      <c r="BM833" s="1366"/>
      <c r="BN833" s="1366"/>
      <c r="BO833" s="1366"/>
      <c r="BP833" s="1366"/>
      <c r="BQ833" s="1366"/>
      <c r="BR833" s="1366"/>
      <c r="BS833" s="1366"/>
      <c r="BT833" s="1366"/>
      <c r="BU833" s="1366"/>
      <c r="BV833" s="1366"/>
      <c r="BW833" s="1366"/>
      <c r="BX833" s="1366"/>
      <c r="BY833" s="1366"/>
      <c r="BZ833" s="1366"/>
      <c r="CA833" s="1366"/>
      <c r="CB833" s="1366"/>
      <c r="CC833" s="1366"/>
      <c r="CD833" s="1366"/>
      <c r="CE833" s="1366"/>
      <c r="CF833" s="1366"/>
      <c r="CG833" s="1366"/>
      <c r="CH833" s="1366"/>
      <c r="CI833" s="1366"/>
      <c r="CJ833" s="1366"/>
      <c r="CK833" s="1366"/>
      <c r="CL833" s="1366"/>
      <c r="CM833" s="1366"/>
      <c r="CN833" s="1366"/>
      <c r="CO833" s="1366"/>
      <c r="CP833" s="1366"/>
      <c r="CQ833" s="1366"/>
      <c r="CR833" s="1366"/>
      <c r="CS833" s="1366"/>
      <c r="CT833" s="1366"/>
      <c r="CU833" s="1366"/>
      <c r="CV833" s="1366"/>
      <c r="CW833" s="1366"/>
      <c r="CX833" s="1366"/>
      <c r="CY833" s="1366"/>
      <c r="CZ833" s="1366"/>
      <c r="DA833" s="1366"/>
      <c r="DB833" s="1366"/>
      <c r="DC833" s="1366"/>
      <c r="DD833" s="1366"/>
      <c r="DE833" s="1366"/>
      <c r="DF833" s="1366"/>
      <c r="DG833" s="1366"/>
      <c r="DH833" s="1366"/>
      <c r="DI833" s="1366"/>
      <c r="DJ833" s="1366"/>
      <c r="DK833" s="1366"/>
      <c r="DL833" s="1366"/>
      <c r="DM833" s="1366"/>
      <c r="DN833" s="1366"/>
      <c r="DO833" s="1366"/>
      <c r="DP833" s="1366"/>
      <c r="DQ833" s="1366"/>
      <c r="DR833" s="1366"/>
      <c r="DS833" s="1366"/>
      <c r="DT833" s="1366"/>
      <c r="DU833" s="1366"/>
      <c r="DV833" s="1366"/>
    </row>
    <row r="834" spans="1:126" s="1367" customFormat="1" ht="18.75" hidden="1">
      <c r="A834" s="1469"/>
      <c r="B834" s="1643"/>
      <c r="C834" s="1674"/>
      <c r="D834" s="1480"/>
      <c r="E834" s="1480"/>
      <c r="F834" s="1480"/>
      <c r="G834" s="1480"/>
      <c r="H834" s="1481"/>
      <c r="I834" s="1482"/>
      <c r="J834" s="1483"/>
      <c r="K834" s="1483"/>
      <c r="L834" s="1528"/>
      <c r="M834" s="1483"/>
      <c r="N834" s="1484"/>
      <c r="O834" s="1481"/>
      <c r="P834" s="1485"/>
      <c r="Q834" s="1485"/>
      <c r="R834" s="1485"/>
      <c r="S834" s="1485"/>
      <c r="T834" s="1485"/>
      <c r="U834" s="1485"/>
      <c r="V834" s="1484"/>
      <c r="W834" s="1366"/>
      <c r="X834" s="1366"/>
      <c r="Y834" s="1366"/>
      <c r="Z834" s="1366"/>
      <c r="AA834" s="1366"/>
      <c r="AB834" s="1366"/>
      <c r="AC834" s="1366"/>
      <c r="AD834" s="1366"/>
      <c r="AE834" s="1366"/>
      <c r="AF834" s="1366"/>
      <c r="AG834" s="1366"/>
      <c r="AH834" s="1366"/>
      <c r="AI834" s="1366"/>
      <c r="AJ834" s="1366"/>
      <c r="AK834" s="1366"/>
      <c r="AL834" s="1366"/>
      <c r="AM834" s="1366"/>
      <c r="AN834" s="1366"/>
      <c r="AO834" s="1366"/>
      <c r="AP834" s="1366"/>
      <c r="AQ834" s="1366"/>
      <c r="AR834" s="1366"/>
      <c r="AS834" s="1366"/>
      <c r="AT834" s="1366"/>
      <c r="AU834" s="1366"/>
      <c r="AV834" s="1366"/>
      <c r="AW834" s="1366"/>
      <c r="AX834" s="1366"/>
      <c r="AY834" s="1366"/>
      <c r="AZ834" s="1366"/>
      <c r="BA834" s="1366"/>
      <c r="BB834" s="1366"/>
      <c r="BC834" s="1366"/>
      <c r="BD834" s="1366"/>
      <c r="BE834" s="1366"/>
      <c r="BF834" s="1366"/>
      <c r="BG834" s="1366"/>
      <c r="BH834" s="1366"/>
      <c r="BI834" s="1366"/>
      <c r="BJ834" s="1366"/>
      <c r="BK834" s="1366"/>
      <c r="BL834" s="1366"/>
      <c r="BM834" s="1366"/>
      <c r="BN834" s="1366"/>
      <c r="BO834" s="1366"/>
      <c r="BP834" s="1366"/>
      <c r="BQ834" s="1366"/>
      <c r="BR834" s="1366"/>
      <c r="BS834" s="1366"/>
      <c r="BT834" s="1366"/>
      <c r="BU834" s="1366"/>
      <c r="BV834" s="1366"/>
      <c r="BW834" s="1366"/>
      <c r="BX834" s="1366"/>
      <c r="BY834" s="1366"/>
      <c r="BZ834" s="1366"/>
      <c r="CA834" s="1366"/>
      <c r="CB834" s="1366"/>
      <c r="CC834" s="1366"/>
      <c r="CD834" s="1366"/>
      <c r="CE834" s="1366"/>
      <c r="CF834" s="1366"/>
      <c r="CG834" s="1366"/>
      <c r="CH834" s="1366"/>
      <c r="CI834" s="1366"/>
      <c r="CJ834" s="1366"/>
      <c r="CK834" s="1366"/>
      <c r="CL834" s="1366"/>
      <c r="CM834" s="1366"/>
      <c r="CN834" s="1366"/>
      <c r="CO834" s="1366"/>
      <c r="CP834" s="1366"/>
      <c r="CQ834" s="1366"/>
      <c r="CR834" s="1366"/>
      <c r="CS834" s="1366"/>
      <c r="CT834" s="1366"/>
      <c r="CU834" s="1366"/>
      <c r="CV834" s="1366"/>
      <c r="CW834" s="1366"/>
      <c r="CX834" s="1366"/>
      <c r="CY834" s="1366"/>
      <c r="CZ834" s="1366"/>
      <c r="DA834" s="1366"/>
      <c r="DB834" s="1366"/>
      <c r="DC834" s="1366"/>
      <c r="DD834" s="1366"/>
      <c r="DE834" s="1366"/>
      <c r="DF834" s="1366"/>
      <c r="DG834" s="1366"/>
      <c r="DH834" s="1366"/>
      <c r="DI834" s="1366"/>
      <c r="DJ834" s="1366"/>
      <c r="DK834" s="1366"/>
      <c r="DL834" s="1366"/>
      <c r="DM834" s="1366"/>
      <c r="DN834" s="1366"/>
      <c r="DO834" s="1366"/>
      <c r="DP834" s="1366"/>
      <c r="DQ834" s="1366"/>
      <c r="DR834" s="1366"/>
      <c r="DS834" s="1366"/>
      <c r="DT834" s="1366"/>
      <c r="DU834" s="1366"/>
      <c r="DV834" s="1366"/>
    </row>
    <row r="835" spans="1:126" s="1367" customFormat="1" ht="19.5" hidden="1" thickBot="1">
      <c r="A835" s="1469"/>
      <c r="B835" s="1643"/>
      <c r="C835" s="1674"/>
      <c r="D835" s="1480"/>
      <c r="E835" s="1480"/>
      <c r="F835" s="1480"/>
      <c r="G835" s="1480"/>
      <c r="H835" s="1481"/>
      <c r="I835" s="1482"/>
      <c r="J835" s="1483"/>
      <c r="K835" s="1483"/>
      <c r="L835" s="1528"/>
      <c r="M835" s="1483"/>
      <c r="N835" s="1484"/>
      <c r="O835" s="1481"/>
      <c r="P835" s="1485"/>
      <c r="Q835" s="1485"/>
      <c r="R835" s="1485"/>
      <c r="S835" s="1485"/>
      <c r="T835" s="1485"/>
      <c r="U835" s="1485"/>
      <c r="V835" s="1484"/>
      <c r="W835" s="1366"/>
      <c r="X835" s="1366"/>
      <c r="Y835" s="1366"/>
      <c r="Z835" s="1366"/>
      <c r="AA835" s="1366"/>
      <c r="AB835" s="1366"/>
      <c r="AC835" s="1366"/>
      <c r="AD835" s="1366"/>
      <c r="AE835" s="1366"/>
      <c r="AF835" s="1366"/>
      <c r="AG835" s="1366"/>
      <c r="AH835" s="1366"/>
      <c r="AI835" s="1366"/>
      <c r="AJ835" s="1366"/>
      <c r="AK835" s="1366"/>
      <c r="AL835" s="1366"/>
      <c r="AM835" s="1366"/>
      <c r="AN835" s="1366"/>
      <c r="AO835" s="1366"/>
      <c r="AP835" s="1366"/>
      <c r="AQ835" s="1366"/>
      <c r="AR835" s="1366"/>
      <c r="AS835" s="1366"/>
      <c r="AT835" s="1366"/>
      <c r="AU835" s="1366"/>
      <c r="AV835" s="1366"/>
      <c r="AW835" s="1366"/>
      <c r="AX835" s="1366"/>
      <c r="AY835" s="1366"/>
      <c r="AZ835" s="1366"/>
      <c r="BA835" s="1366"/>
      <c r="BB835" s="1366"/>
      <c r="BC835" s="1366"/>
      <c r="BD835" s="1366"/>
      <c r="BE835" s="1366"/>
      <c r="BF835" s="1366"/>
      <c r="BG835" s="1366"/>
      <c r="BH835" s="1366"/>
      <c r="BI835" s="1366"/>
      <c r="BJ835" s="1366"/>
      <c r="BK835" s="1366"/>
      <c r="BL835" s="1366"/>
      <c r="BM835" s="1366"/>
      <c r="BN835" s="1366"/>
      <c r="BO835" s="1366"/>
      <c r="BP835" s="1366"/>
      <c r="BQ835" s="1366"/>
      <c r="BR835" s="1366"/>
      <c r="BS835" s="1366"/>
      <c r="BT835" s="1366"/>
      <c r="BU835" s="1366"/>
      <c r="BV835" s="1366"/>
      <c r="BW835" s="1366"/>
      <c r="BX835" s="1366"/>
      <c r="BY835" s="1366"/>
      <c r="BZ835" s="1366"/>
      <c r="CA835" s="1366"/>
      <c r="CB835" s="1366"/>
      <c r="CC835" s="1366"/>
      <c r="CD835" s="1366"/>
      <c r="CE835" s="1366"/>
      <c r="CF835" s="1366"/>
      <c r="CG835" s="1366"/>
      <c r="CH835" s="1366"/>
      <c r="CI835" s="1366"/>
      <c r="CJ835" s="1366"/>
      <c r="CK835" s="1366"/>
      <c r="CL835" s="1366"/>
      <c r="CM835" s="1366"/>
      <c r="CN835" s="1366"/>
      <c r="CO835" s="1366"/>
      <c r="CP835" s="1366"/>
      <c r="CQ835" s="1366"/>
      <c r="CR835" s="1366"/>
      <c r="CS835" s="1366"/>
      <c r="CT835" s="1366"/>
      <c r="CU835" s="1366"/>
      <c r="CV835" s="1366"/>
      <c r="CW835" s="1366"/>
      <c r="CX835" s="1366"/>
      <c r="CY835" s="1366"/>
      <c r="CZ835" s="1366"/>
      <c r="DA835" s="1366"/>
      <c r="DB835" s="1366"/>
      <c r="DC835" s="1366"/>
      <c r="DD835" s="1366"/>
      <c r="DE835" s="1366"/>
      <c r="DF835" s="1366"/>
      <c r="DG835" s="1366"/>
      <c r="DH835" s="1366"/>
      <c r="DI835" s="1366"/>
      <c r="DJ835" s="1366"/>
      <c r="DK835" s="1366"/>
      <c r="DL835" s="1366"/>
      <c r="DM835" s="1366"/>
      <c r="DN835" s="1366"/>
      <c r="DO835" s="1366"/>
      <c r="DP835" s="1366"/>
      <c r="DQ835" s="1366"/>
      <c r="DR835" s="1366"/>
      <c r="DS835" s="1366"/>
      <c r="DT835" s="1366"/>
      <c r="DU835" s="1366"/>
      <c r="DV835" s="1366"/>
    </row>
    <row r="836" spans="1:126" s="1367" customFormat="1" ht="24" thickBot="1">
      <c r="A836" s="721" t="s">
        <v>1114</v>
      </c>
      <c r="B836" s="1347"/>
      <c r="C836" s="1347"/>
      <c r="D836" s="1347"/>
      <c r="E836" s="1347"/>
      <c r="F836" s="1347"/>
      <c r="G836" s="1347"/>
      <c r="H836" s="1428"/>
      <c r="I836" s="1448"/>
      <c r="J836" s="1428"/>
      <c r="K836" s="1428"/>
      <c r="L836" s="1534"/>
      <c r="M836" s="1428"/>
      <c r="N836" s="1459"/>
      <c r="O836" s="1415"/>
      <c r="P836" s="1415"/>
      <c r="Q836" s="1415"/>
      <c r="R836" s="1415"/>
      <c r="S836" s="1415"/>
      <c r="T836" s="1415"/>
      <c r="U836" s="1415"/>
      <c r="V836" s="1454"/>
      <c r="W836" s="1366"/>
      <c r="X836" s="1366"/>
      <c r="Y836" s="1366"/>
      <c r="Z836" s="1366"/>
      <c r="AA836" s="1366"/>
      <c r="AB836" s="1366"/>
      <c r="AC836" s="1366"/>
      <c r="AD836" s="1366"/>
      <c r="AE836" s="1366"/>
      <c r="AF836" s="1366"/>
      <c r="AG836" s="1366"/>
      <c r="AH836" s="1366"/>
      <c r="AI836" s="1366"/>
      <c r="AJ836" s="1366"/>
      <c r="AK836" s="1366"/>
      <c r="AL836" s="1366"/>
      <c r="AM836" s="1366"/>
      <c r="AN836" s="1366"/>
      <c r="AO836" s="1366"/>
      <c r="AP836" s="1366"/>
      <c r="AQ836" s="1366"/>
      <c r="AR836" s="1366"/>
      <c r="AS836" s="1366"/>
      <c r="AT836" s="1366"/>
      <c r="AU836" s="1366"/>
      <c r="AV836" s="1366"/>
      <c r="AW836" s="1366"/>
      <c r="AX836" s="1366"/>
      <c r="AY836" s="1366"/>
      <c r="AZ836" s="1366"/>
      <c r="BA836" s="1366"/>
      <c r="BB836" s="1366"/>
      <c r="BC836" s="1366"/>
      <c r="BD836" s="1366"/>
      <c r="BE836" s="1366"/>
      <c r="BF836" s="1366"/>
      <c r="BG836" s="1366"/>
      <c r="BH836" s="1366"/>
      <c r="BI836" s="1366"/>
      <c r="BJ836" s="1366"/>
      <c r="BK836" s="1366"/>
      <c r="BL836" s="1366"/>
      <c r="BM836" s="1366"/>
      <c r="BN836" s="1366"/>
      <c r="BO836" s="1366"/>
      <c r="BP836" s="1366"/>
      <c r="BQ836" s="1366"/>
      <c r="BR836" s="1366"/>
      <c r="BS836" s="1366"/>
      <c r="BT836" s="1366"/>
      <c r="BU836" s="1366"/>
      <c r="BV836" s="1366"/>
      <c r="BW836" s="1366"/>
      <c r="BX836" s="1366"/>
      <c r="BY836" s="1366"/>
      <c r="BZ836" s="1366"/>
      <c r="CA836" s="1366"/>
      <c r="CB836" s="1366"/>
      <c r="CC836" s="1366"/>
      <c r="CD836" s="1366"/>
      <c r="CE836" s="1366"/>
      <c r="CF836" s="1366"/>
      <c r="CG836" s="1366"/>
      <c r="CH836" s="1366"/>
      <c r="CI836" s="1366"/>
      <c r="CJ836" s="1366"/>
      <c r="CK836" s="1366"/>
      <c r="CL836" s="1366"/>
      <c r="CM836" s="1366"/>
      <c r="CN836" s="1366"/>
      <c r="CO836" s="1366"/>
      <c r="CP836" s="1366"/>
      <c r="CQ836" s="1366"/>
      <c r="CR836" s="1366"/>
      <c r="CS836" s="1366"/>
      <c r="CT836" s="1366"/>
      <c r="CU836" s="1366"/>
      <c r="CV836" s="1366"/>
      <c r="CW836" s="1366"/>
      <c r="CX836" s="1366"/>
      <c r="CY836" s="1366"/>
      <c r="CZ836" s="1366"/>
      <c r="DA836" s="1366"/>
      <c r="DB836" s="1366"/>
      <c r="DC836" s="1366"/>
      <c r="DD836" s="1366"/>
      <c r="DE836" s="1366"/>
      <c r="DF836" s="1366"/>
      <c r="DG836" s="1366"/>
      <c r="DH836" s="1366"/>
      <c r="DI836" s="1366"/>
      <c r="DJ836" s="1366"/>
      <c r="DK836" s="1366"/>
      <c r="DL836" s="1366"/>
      <c r="DM836" s="1366"/>
      <c r="DN836" s="1366"/>
      <c r="DO836" s="1366"/>
      <c r="DP836" s="1366"/>
      <c r="DQ836" s="1366"/>
      <c r="DR836" s="1366"/>
      <c r="DS836" s="1366"/>
      <c r="DT836" s="1366"/>
      <c r="DU836" s="1366"/>
      <c r="DV836" s="1366"/>
    </row>
    <row r="837" spans="1:126" s="1367" customFormat="1" ht="30">
      <c r="A837" s="2493" t="s">
        <v>1375</v>
      </c>
      <c r="B837" s="1653" t="s">
        <v>2533</v>
      </c>
      <c r="C837" s="1642" t="s">
        <v>47</v>
      </c>
      <c r="D837" s="1375" t="s">
        <v>2532</v>
      </c>
      <c r="E837" s="1364" t="s">
        <v>2102</v>
      </c>
      <c r="F837" s="1364" t="s">
        <v>2108</v>
      </c>
      <c r="G837" s="1185" t="s">
        <v>2522</v>
      </c>
      <c r="H837" s="1361">
        <v>0</v>
      </c>
      <c r="I837" s="1371">
        <v>0</v>
      </c>
      <c r="J837" s="1372">
        <v>0</v>
      </c>
      <c r="K837" s="1372">
        <f>J837*I837</f>
        <v>0</v>
      </c>
      <c r="L837" s="1372">
        <v>0</v>
      </c>
      <c r="M837" s="1372">
        <f>H837+K837+L837</f>
        <v>0</v>
      </c>
      <c r="N837" s="1455" t="s">
        <v>40</v>
      </c>
      <c r="O837" s="1429"/>
      <c r="P837" s="1430"/>
      <c r="Q837" s="1430"/>
      <c r="R837" s="1430"/>
      <c r="S837" s="1430"/>
      <c r="T837" s="1430"/>
      <c r="U837" s="1430"/>
      <c r="V837" s="1679"/>
      <c r="W837" s="1366"/>
      <c r="X837" s="1366"/>
      <c r="Y837" s="1366"/>
      <c r="Z837" s="1366"/>
      <c r="AA837" s="1366"/>
      <c r="AB837" s="1366"/>
      <c r="AC837" s="1366"/>
      <c r="AD837" s="1366"/>
      <c r="AE837" s="1366"/>
      <c r="AF837" s="1366"/>
      <c r="AG837" s="1366"/>
      <c r="AH837" s="1366"/>
      <c r="AI837" s="1366"/>
      <c r="AJ837" s="1366"/>
      <c r="AK837" s="1366"/>
      <c r="AL837" s="1366"/>
      <c r="AM837" s="1366"/>
      <c r="AN837" s="1366"/>
      <c r="AO837" s="1366"/>
      <c r="AP837" s="1366"/>
      <c r="AQ837" s="1366"/>
      <c r="AR837" s="1366"/>
      <c r="AS837" s="1366"/>
      <c r="AT837" s="1366"/>
      <c r="AU837" s="1366"/>
      <c r="AV837" s="1366"/>
      <c r="AW837" s="1366"/>
      <c r="AX837" s="1366"/>
      <c r="AY837" s="1366"/>
      <c r="AZ837" s="1366"/>
      <c r="BA837" s="1366"/>
      <c r="BB837" s="1366"/>
      <c r="BC837" s="1366"/>
      <c r="BD837" s="1366"/>
      <c r="BE837" s="1366"/>
      <c r="BF837" s="1366"/>
      <c r="BG837" s="1366"/>
      <c r="BH837" s="1366"/>
      <c r="BI837" s="1366"/>
      <c r="BJ837" s="1366"/>
      <c r="BK837" s="1366"/>
      <c r="BL837" s="1366"/>
      <c r="BM837" s="1366"/>
      <c r="BN837" s="1366"/>
      <c r="BO837" s="1366"/>
      <c r="BP837" s="1366"/>
      <c r="BQ837" s="1366"/>
      <c r="BR837" s="1366"/>
      <c r="BS837" s="1366"/>
      <c r="BT837" s="1366"/>
      <c r="BU837" s="1366"/>
      <c r="BV837" s="1366"/>
      <c r="BW837" s="1366"/>
      <c r="BX837" s="1366"/>
      <c r="BY837" s="1366"/>
      <c r="BZ837" s="1366"/>
      <c r="CA837" s="1366"/>
      <c r="CB837" s="1366"/>
      <c r="CC837" s="1366"/>
      <c r="CD837" s="1366"/>
      <c r="CE837" s="1366"/>
      <c r="CF837" s="1366"/>
      <c r="CG837" s="1366"/>
      <c r="CH837" s="1366"/>
      <c r="CI837" s="1366"/>
      <c r="CJ837" s="1366"/>
      <c r="CK837" s="1366"/>
      <c r="CL837" s="1366"/>
      <c r="CM837" s="1366"/>
      <c r="CN837" s="1366"/>
      <c r="CO837" s="1366"/>
      <c r="CP837" s="1366"/>
      <c r="CQ837" s="1366"/>
      <c r="CR837" s="1366"/>
      <c r="CS837" s="1366"/>
      <c r="CT837" s="1366"/>
      <c r="CU837" s="1366"/>
      <c r="CV837" s="1366"/>
      <c r="CW837" s="1366"/>
      <c r="CX837" s="1366"/>
      <c r="CY837" s="1366"/>
      <c r="CZ837" s="1366"/>
      <c r="DA837" s="1366"/>
      <c r="DB837" s="1366"/>
      <c r="DC837" s="1366"/>
      <c r="DD837" s="1366"/>
      <c r="DE837" s="1366"/>
      <c r="DF837" s="1366"/>
      <c r="DG837" s="1366"/>
      <c r="DH837" s="1366"/>
      <c r="DI837" s="1366"/>
      <c r="DJ837" s="1366"/>
      <c r="DK837" s="1366"/>
      <c r="DL837" s="1366"/>
      <c r="DM837" s="1366"/>
      <c r="DN837" s="1366"/>
      <c r="DO837" s="1366"/>
      <c r="DP837" s="1366"/>
      <c r="DQ837" s="1366"/>
      <c r="DR837" s="1366"/>
      <c r="DS837" s="1366"/>
      <c r="DT837" s="1366"/>
      <c r="DU837" s="1366"/>
      <c r="DV837" s="1366"/>
    </row>
    <row r="838" spans="1:126" s="1367" customFormat="1">
      <c r="A838" s="2494"/>
      <c r="B838" s="1653">
        <v>9003</v>
      </c>
      <c r="C838" s="1642" t="s">
        <v>49</v>
      </c>
      <c r="D838" s="1364" t="s">
        <v>2527</v>
      </c>
      <c r="E838" s="1364" t="s">
        <v>2102</v>
      </c>
      <c r="F838" s="1364" t="s">
        <v>2108</v>
      </c>
      <c r="G838" s="1185" t="s">
        <v>2522</v>
      </c>
      <c r="H838" s="1361">
        <f>(('Equipment Results Matrix'!$R$1364*5000)+'Equipment Results Matrix'!$R$1365+'Equipment Results Matrix'!$N$1367+'Equipment Results Matrix'!$R$1370+'Equipment Results Matrix'!$T$1371)*(1+'Equipment Results Matrix'!$T$1373)</f>
        <v>115.38627523759999</v>
      </c>
      <c r="I838" s="1371">
        <f>'Labor Results Matrix'!$E$874</f>
        <v>3.1591279543602284</v>
      </c>
      <c r="J838" s="1372">
        <f>'Labor Results Matrix'!$G$874*(1+'Labor Results Matrix'!$K$874)</f>
        <v>87.049456300015038</v>
      </c>
      <c r="K838" s="1372">
        <f t="shared" ref="K838:K842" si="265">J838*I838</f>
        <v>275.00037080923659</v>
      </c>
      <c r="L838" s="1372">
        <f>'Labor Results Matrix'!$I$874*(1+'Labor Results Matrix'!$K$874)</f>
        <v>15.862499999999999</v>
      </c>
      <c r="M838" s="1372">
        <f t="shared" ref="M838:M842" si="266">H838+K838+L838</f>
        <v>406.24914604683659</v>
      </c>
      <c r="N838" s="1458">
        <f>M838-$M$837</f>
        <v>406.24914604683659</v>
      </c>
      <c r="O838" s="1429"/>
      <c r="P838" s="1430"/>
      <c r="Q838" s="1430"/>
      <c r="R838" s="1430"/>
      <c r="S838" s="1430"/>
      <c r="T838" s="1430"/>
      <c r="U838" s="1430"/>
      <c r="V838" s="1679"/>
      <c r="W838" s="1366"/>
      <c r="X838" s="1366"/>
      <c r="Y838" s="1366"/>
      <c r="Z838" s="1366"/>
      <c r="AA838" s="1366"/>
      <c r="AB838" s="1366"/>
      <c r="AC838" s="1366"/>
      <c r="AD838" s="1366"/>
      <c r="AE838" s="1366"/>
      <c r="AF838" s="1366"/>
      <c r="AG838" s="1366"/>
      <c r="AH838" s="1366"/>
      <c r="AI838" s="1366"/>
      <c r="AJ838" s="1366"/>
      <c r="AK838" s="1366"/>
      <c r="AL838" s="1366"/>
      <c r="AM838" s="1366"/>
      <c r="AN838" s="1366"/>
      <c r="AO838" s="1366"/>
      <c r="AP838" s="1366"/>
      <c r="AQ838" s="1366"/>
      <c r="AR838" s="1366"/>
      <c r="AS838" s="1366"/>
      <c r="AT838" s="1366"/>
      <c r="AU838" s="1366"/>
      <c r="AV838" s="1366"/>
      <c r="AW838" s="1366"/>
      <c r="AX838" s="1366"/>
      <c r="AY838" s="1366"/>
      <c r="AZ838" s="1366"/>
      <c r="BA838" s="1366"/>
      <c r="BB838" s="1366"/>
      <c r="BC838" s="1366"/>
      <c r="BD838" s="1366"/>
      <c r="BE838" s="1366"/>
      <c r="BF838" s="1366"/>
      <c r="BG838" s="1366"/>
      <c r="BH838" s="1366"/>
      <c r="BI838" s="1366"/>
      <c r="BJ838" s="1366"/>
      <c r="BK838" s="1366"/>
      <c r="BL838" s="1366"/>
      <c r="BM838" s="1366"/>
      <c r="BN838" s="1366"/>
      <c r="BO838" s="1366"/>
      <c r="BP838" s="1366"/>
      <c r="BQ838" s="1366"/>
      <c r="BR838" s="1366"/>
      <c r="BS838" s="1366"/>
      <c r="BT838" s="1366"/>
      <c r="BU838" s="1366"/>
      <c r="BV838" s="1366"/>
      <c r="BW838" s="1366"/>
      <c r="BX838" s="1366"/>
      <c r="BY838" s="1366"/>
      <c r="BZ838" s="1366"/>
      <c r="CA838" s="1366"/>
      <c r="CB838" s="1366"/>
      <c r="CC838" s="1366"/>
      <c r="CD838" s="1366"/>
      <c r="CE838" s="1366"/>
      <c r="CF838" s="1366"/>
      <c r="CG838" s="1366"/>
      <c r="CH838" s="1366"/>
      <c r="CI838" s="1366"/>
      <c r="CJ838" s="1366"/>
      <c r="CK838" s="1366"/>
      <c r="CL838" s="1366"/>
      <c r="CM838" s="1366"/>
      <c r="CN838" s="1366"/>
      <c r="CO838" s="1366"/>
      <c r="CP838" s="1366"/>
      <c r="CQ838" s="1366"/>
      <c r="CR838" s="1366"/>
      <c r="CS838" s="1366"/>
      <c r="CT838" s="1366"/>
      <c r="CU838" s="1366"/>
      <c r="CV838" s="1366"/>
      <c r="CW838" s="1366"/>
      <c r="CX838" s="1366"/>
      <c r="CY838" s="1366"/>
      <c r="CZ838" s="1366"/>
      <c r="DA838" s="1366"/>
      <c r="DB838" s="1366"/>
      <c r="DC838" s="1366"/>
      <c r="DD838" s="1366"/>
      <c r="DE838" s="1366"/>
      <c r="DF838" s="1366"/>
      <c r="DG838" s="1366"/>
      <c r="DH838" s="1366"/>
      <c r="DI838" s="1366"/>
      <c r="DJ838" s="1366"/>
      <c r="DK838" s="1366"/>
      <c r="DL838" s="1366"/>
      <c r="DM838" s="1366"/>
      <c r="DN838" s="1366"/>
      <c r="DO838" s="1366"/>
      <c r="DP838" s="1366"/>
      <c r="DQ838" s="1366"/>
      <c r="DR838" s="1366"/>
      <c r="DS838" s="1366"/>
      <c r="DT838" s="1366"/>
      <c r="DU838" s="1366"/>
      <c r="DV838" s="1366"/>
    </row>
    <row r="839" spans="1:126" s="1367" customFormat="1">
      <c r="A839" s="2494"/>
      <c r="B839" s="1653">
        <v>9004</v>
      </c>
      <c r="C839" s="1642" t="s">
        <v>49</v>
      </c>
      <c r="D839" s="1364" t="s">
        <v>2528</v>
      </c>
      <c r="E839" s="1364" t="s">
        <v>2102</v>
      </c>
      <c r="F839" s="1364" t="s">
        <v>2108</v>
      </c>
      <c r="G839" s="1185" t="s">
        <v>2522</v>
      </c>
      <c r="H839" s="1361">
        <f>(('Equipment Results Matrix'!$R$1364*5000)+'Equipment Results Matrix'!$R$1365+'Equipment Results Matrix'!$N$1367+'Equipment Results Matrix'!$R$1370+'Equipment Results Matrix'!$T$1371)*(1+'Equipment Results Matrix'!$T$1373)</f>
        <v>115.38627523759999</v>
      </c>
      <c r="I839" s="1371">
        <f>'Labor Results Matrix'!$E$874</f>
        <v>3.1591279543602284</v>
      </c>
      <c r="J839" s="1372">
        <f>'Labor Results Matrix'!$G$874*(1+'Labor Results Matrix'!$K$874)</f>
        <v>87.049456300015038</v>
      </c>
      <c r="K839" s="1372">
        <f t="shared" si="265"/>
        <v>275.00037080923659</v>
      </c>
      <c r="L839" s="1372">
        <f>'Labor Results Matrix'!$I$874*(1+'Labor Results Matrix'!$K$874)</f>
        <v>15.862499999999999</v>
      </c>
      <c r="M839" s="1372">
        <f t="shared" si="266"/>
        <v>406.24914604683659</v>
      </c>
      <c r="N839" s="1458">
        <f t="shared" ref="N839:N842" si="267">M839-$M$837</f>
        <v>406.24914604683659</v>
      </c>
      <c r="O839" s="1429"/>
      <c r="P839" s="1430"/>
      <c r="Q839" s="1430"/>
      <c r="R839" s="1430"/>
      <c r="S839" s="1430"/>
      <c r="T839" s="1430"/>
      <c r="U839" s="1430"/>
      <c r="V839" s="1679"/>
      <c r="W839" s="1366"/>
      <c r="X839" s="1366"/>
      <c r="Y839" s="1366"/>
      <c r="Z839" s="1366"/>
      <c r="AA839" s="1366"/>
      <c r="AB839" s="1366"/>
      <c r="AC839" s="1366"/>
      <c r="AD839" s="1366"/>
      <c r="AE839" s="1366"/>
      <c r="AF839" s="1366"/>
      <c r="AG839" s="1366"/>
      <c r="AH839" s="1366"/>
      <c r="AI839" s="1366"/>
      <c r="AJ839" s="1366"/>
      <c r="AK839" s="1366"/>
      <c r="AL839" s="1366"/>
      <c r="AM839" s="1366"/>
      <c r="AN839" s="1366"/>
      <c r="AO839" s="1366"/>
      <c r="AP839" s="1366"/>
      <c r="AQ839" s="1366"/>
      <c r="AR839" s="1366"/>
      <c r="AS839" s="1366"/>
      <c r="AT839" s="1366"/>
      <c r="AU839" s="1366"/>
      <c r="AV839" s="1366"/>
      <c r="AW839" s="1366"/>
      <c r="AX839" s="1366"/>
      <c r="AY839" s="1366"/>
      <c r="AZ839" s="1366"/>
      <c r="BA839" s="1366"/>
      <c r="BB839" s="1366"/>
      <c r="BC839" s="1366"/>
      <c r="BD839" s="1366"/>
      <c r="BE839" s="1366"/>
      <c r="BF839" s="1366"/>
      <c r="BG839" s="1366"/>
      <c r="BH839" s="1366"/>
      <c r="BI839" s="1366"/>
      <c r="BJ839" s="1366"/>
      <c r="BK839" s="1366"/>
      <c r="BL839" s="1366"/>
      <c r="BM839" s="1366"/>
      <c r="BN839" s="1366"/>
      <c r="BO839" s="1366"/>
      <c r="BP839" s="1366"/>
      <c r="BQ839" s="1366"/>
      <c r="BR839" s="1366"/>
      <c r="BS839" s="1366"/>
      <c r="BT839" s="1366"/>
      <c r="BU839" s="1366"/>
      <c r="BV839" s="1366"/>
      <c r="BW839" s="1366"/>
      <c r="BX839" s="1366"/>
      <c r="BY839" s="1366"/>
      <c r="BZ839" s="1366"/>
      <c r="CA839" s="1366"/>
      <c r="CB839" s="1366"/>
      <c r="CC839" s="1366"/>
      <c r="CD839" s="1366"/>
      <c r="CE839" s="1366"/>
      <c r="CF839" s="1366"/>
      <c r="CG839" s="1366"/>
      <c r="CH839" s="1366"/>
      <c r="CI839" s="1366"/>
      <c r="CJ839" s="1366"/>
      <c r="CK839" s="1366"/>
      <c r="CL839" s="1366"/>
      <c r="CM839" s="1366"/>
      <c r="CN839" s="1366"/>
      <c r="CO839" s="1366"/>
      <c r="CP839" s="1366"/>
      <c r="CQ839" s="1366"/>
      <c r="CR839" s="1366"/>
      <c r="CS839" s="1366"/>
      <c r="CT839" s="1366"/>
      <c r="CU839" s="1366"/>
      <c r="CV839" s="1366"/>
      <c r="CW839" s="1366"/>
      <c r="CX839" s="1366"/>
      <c r="CY839" s="1366"/>
      <c r="CZ839" s="1366"/>
      <c r="DA839" s="1366"/>
      <c r="DB839" s="1366"/>
      <c r="DC839" s="1366"/>
      <c r="DD839" s="1366"/>
      <c r="DE839" s="1366"/>
      <c r="DF839" s="1366"/>
      <c r="DG839" s="1366"/>
      <c r="DH839" s="1366"/>
      <c r="DI839" s="1366"/>
      <c r="DJ839" s="1366"/>
      <c r="DK839" s="1366"/>
      <c r="DL839" s="1366"/>
      <c r="DM839" s="1366"/>
      <c r="DN839" s="1366"/>
      <c r="DO839" s="1366"/>
      <c r="DP839" s="1366"/>
      <c r="DQ839" s="1366"/>
      <c r="DR839" s="1366"/>
      <c r="DS839" s="1366"/>
      <c r="DT839" s="1366"/>
      <c r="DU839" s="1366"/>
      <c r="DV839" s="1366"/>
    </row>
    <row r="840" spans="1:126" s="1367" customFormat="1">
      <c r="A840" s="2494"/>
      <c r="B840" s="1653">
        <v>9005</v>
      </c>
      <c r="C840" s="1642" t="s">
        <v>49</v>
      </c>
      <c r="D840" s="1364" t="s">
        <v>2529</v>
      </c>
      <c r="E840" s="1364" t="s">
        <v>2102</v>
      </c>
      <c r="F840" s="1364" t="s">
        <v>2108</v>
      </c>
      <c r="G840" s="1185" t="s">
        <v>2522</v>
      </c>
      <c r="H840" s="1361">
        <f>(('Equipment Results Matrix'!$R$1364*5000)+'Equipment Results Matrix'!$R$1365+'Equipment Results Matrix'!$N$1368+'Equipment Results Matrix'!$R$1370+'Equipment Results Matrix'!$T$1371)*(1+'Equipment Results Matrix'!$T$1373)</f>
        <v>104.70312101359998</v>
      </c>
      <c r="I840" s="1371">
        <f>'Labor Results Matrix'!$E$874</f>
        <v>3.1591279543602284</v>
      </c>
      <c r="J840" s="1372">
        <f>'Labor Results Matrix'!$G$874*(1+'Labor Results Matrix'!$K$874)</f>
        <v>87.049456300015038</v>
      </c>
      <c r="K840" s="1372">
        <f t="shared" si="265"/>
        <v>275.00037080923659</v>
      </c>
      <c r="L840" s="1372">
        <f>'Labor Results Matrix'!$I$874*(1+'Labor Results Matrix'!$K$874)</f>
        <v>15.862499999999999</v>
      </c>
      <c r="M840" s="1372">
        <f t="shared" si="266"/>
        <v>395.56599182283657</v>
      </c>
      <c r="N840" s="1458">
        <f t="shared" si="267"/>
        <v>395.56599182283657</v>
      </c>
      <c r="O840" s="1429"/>
      <c r="P840" s="1430"/>
      <c r="Q840" s="1430"/>
      <c r="R840" s="1430"/>
      <c r="S840" s="1430"/>
      <c r="T840" s="1430"/>
      <c r="U840" s="1430"/>
      <c r="V840" s="1679"/>
      <c r="W840" s="1366"/>
      <c r="X840" s="1366"/>
      <c r="Y840" s="1366"/>
      <c r="Z840" s="1366"/>
      <c r="AA840" s="1366"/>
      <c r="AB840" s="1366"/>
      <c r="AC840" s="1366"/>
      <c r="AD840" s="1366"/>
      <c r="AE840" s="1366"/>
      <c r="AF840" s="1366"/>
      <c r="AG840" s="1366"/>
      <c r="AH840" s="1366"/>
      <c r="AI840" s="1366"/>
      <c r="AJ840" s="1366"/>
      <c r="AK840" s="1366"/>
      <c r="AL840" s="1366"/>
      <c r="AM840" s="1366"/>
      <c r="AN840" s="1366"/>
      <c r="AO840" s="1366"/>
      <c r="AP840" s="1366"/>
      <c r="AQ840" s="1366"/>
      <c r="AR840" s="1366"/>
      <c r="AS840" s="1366"/>
      <c r="AT840" s="1366"/>
      <c r="AU840" s="1366"/>
      <c r="AV840" s="1366"/>
      <c r="AW840" s="1366"/>
      <c r="AX840" s="1366"/>
      <c r="AY840" s="1366"/>
      <c r="AZ840" s="1366"/>
      <c r="BA840" s="1366"/>
      <c r="BB840" s="1366"/>
      <c r="BC840" s="1366"/>
      <c r="BD840" s="1366"/>
      <c r="BE840" s="1366"/>
      <c r="BF840" s="1366"/>
      <c r="BG840" s="1366"/>
      <c r="BH840" s="1366"/>
      <c r="BI840" s="1366"/>
      <c r="BJ840" s="1366"/>
      <c r="BK840" s="1366"/>
      <c r="BL840" s="1366"/>
      <c r="BM840" s="1366"/>
      <c r="BN840" s="1366"/>
      <c r="BO840" s="1366"/>
      <c r="BP840" s="1366"/>
      <c r="BQ840" s="1366"/>
      <c r="BR840" s="1366"/>
      <c r="BS840" s="1366"/>
      <c r="BT840" s="1366"/>
      <c r="BU840" s="1366"/>
      <c r="BV840" s="1366"/>
      <c r="BW840" s="1366"/>
      <c r="BX840" s="1366"/>
      <c r="BY840" s="1366"/>
      <c r="BZ840" s="1366"/>
      <c r="CA840" s="1366"/>
      <c r="CB840" s="1366"/>
      <c r="CC840" s="1366"/>
      <c r="CD840" s="1366"/>
      <c r="CE840" s="1366"/>
      <c r="CF840" s="1366"/>
      <c r="CG840" s="1366"/>
      <c r="CH840" s="1366"/>
      <c r="CI840" s="1366"/>
      <c r="CJ840" s="1366"/>
      <c r="CK840" s="1366"/>
      <c r="CL840" s="1366"/>
      <c r="CM840" s="1366"/>
      <c r="CN840" s="1366"/>
      <c r="CO840" s="1366"/>
      <c r="CP840" s="1366"/>
      <c r="CQ840" s="1366"/>
      <c r="CR840" s="1366"/>
      <c r="CS840" s="1366"/>
      <c r="CT840" s="1366"/>
      <c r="CU840" s="1366"/>
      <c r="CV840" s="1366"/>
      <c r="CW840" s="1366"/>
      <c r="CX840" s="1366"/>
      <c r="CY840" s="1366"/>
      <c r="CZ840" s="1366"/>
      <c r="DA840" s="1366"/>
      <c r="DB840" s="1366"/>
      <c r="DC840" s="1366"/>
      <c r="DD840" s="1366"/>
      <c r="DE840" s="1366"/>
      <c r="DF840" s="1366"/>
      <c r="DG840" s="1366"/>
      <c r="DH840" s="1366"/>
      <c r="DI840" s="1366"/>
      <c r="DJ840" s="1366"/>
      <c r="DK840" s="1366"/>
      <c r="DL840" s="1366"/>
      <c r="DM840" s="1366"/>
      <c r="DN840" s="1366"/>
      <c r="DO840" s="1366"/>
      <c r="DP840" s="1366"/>
      <c r="DQ840" s="1366"/>
      <c r="DR840" s="1366"/>
      <c r="DS840" s="1366"/>
      <c r="DT840" s="1366"/>
      <c r="DU840" s="1366"/>
      <c r="DV840" s="1366"/>
    </row>
    <row r="841" spans="1:126" s="1367" customFormat="1">
      <c r="A841" s="2494"/>
      <c r="B841" s="1653">
        <v>9006</v>
      </c>
      <c r="C841" s="1642" t="s">
        <v>49</v>
      </c>
      <c r="D841" s="1364" t="s">
        <v>2530</v>
      </c>
      <c r="E841" s="1364" t="s">
        <v>2102</v>
      </c>
      <c r="F841" s="1364" t="s">
        <v>2108</v>
      </c>
      <c r="G841" s="1185" t="s">
        <v>2522</v>
      </c>
      <c r="H841" s="1361">
        <f>(('Equipment Results Matrix'!$R$1364*5000)+'Equipment Results Matrix'!$R$1365+'Equipment Results Matrix'!$N$1368+'Equipment Results Matrix'!$R$1370+'Equipment Results Matrix'!$T$1371)*(1+'Equipment Results Matrix'!$T$1373)</f>
        <v>104.70312101359998</v>
      </c>
      <c r="I841" s="1371">
        <f>'Labor Results Matrix'!$E$874</f>
        <v>3.1591279543602284</v>
      </c>
      <c r="J841" s="1372">
        <f>'Labor Results Matrix'!$G$874*(1+'Labor Results Matrix'!$K$874)</f>
        <v>87.049456300015038</v>
      </c>
      <c r="K841" s="1372">
        <f t="shared" si="265"/>
        <v>275.00037080923659</v>
      </c>
      <c r="L841" s="1372">
        <f>'Labor Results Matrix'!$I$874*(1+'Labor Results Matrix'!$K$874)</f>
        <v>15.862499999999999</v>
      </c>
      <c r="M841" s="1372">
        <f t="shared" si="266"/>
        <v>395.56599182283657</v>
      </c>
      <c r="N841" s="1458">
        <f t="shared" si="267"/>
        <v>395.56599182283657</v>
      </c>
      <c r="O841" s="1429"/>
      <c r="P841" s="1430"/>
      <c r="Q841" s="1430"/>
      <c r="R841" s="1430"/>
      <c r="S841" s="1430"/>
      <c r="T841" s="1430"/>
      <c r="U841" s="1430"/>
      <c r="V841" s="1679"/>
      <c r="W841" s="1366"/>
      <c r="X841" s="1366"/>
      <c r="Y841" s="1366"/>
      <c r="Z841" s="1366"/>
      <c r="AA841" s="1366"/>
      <c r="AB841" s="1366"/>
      <c r="AC841" s="1366"/>
      <c r="AD841" s="1366"/>
      <c r="AE841" s="1366"/>
      <c r="AF841" s="1366"/>
      <c r="AG841" s="1366"/>
      <c r="AH841" s="1366"/>
      <c r="AI841" s="1366"/>
      <c r="AJ841" s="1366"/>
      <c r="AK841" s="1366"/>
      <c r="AL841" s="1366"/>
      <c r="AM841" s="1366"/>
      <c r="AN841" s="1366"/>
      <c r="AO841" s="1366"/>
      <c r="AP841" s="1366"/>
      <c r="AQ841" s="1366"/>
      <c r="AR841" s="1366"/>
      <c r="AS841" s="1366"/>
      <c r="AT841" s="1366"/>
      <c r="AU841" s="1366"/>
      <c r="AV841" s="1366"/>
      <c r="AW841" s="1366"/>
      <c r="AX841" s="1366"/>
      <c r="AY841" s="1366"/>
      <c r="AZ841" s="1366"/>
      <c r="BA841" s="1366"/>
      <c r="BB841" s="1366"/>
      <c r="BC841" s="1366"/>
      <c r="BD841" s="1366"/>
      <c r="BE841" s="1366"/>
      <c r="BF841" s="1366"/>
      <c r="BG841" s="1366"/>
      <c r="BH841" s="1366"/>
      <c r="BI841" s="1366"/>
      <c r="BJ841" s="1366"/>
      <c r="BK841" s="1366"/>
      <c r="BL841" s="1366"/>
      <c r="BM841" s="1366"/>
      <c r="BN841" s="1366"/>
      <c r="BO841" s="1366"/>
      <c r="BP841" s="1366"/>
      <c r="BQ841" s="1366"/>
      <c r="BR841" s="1366"/>
      <c r="BS841" s="1366"/>
      <c r="BT841" s="1366"/>
      <c r="BU841" s="1366"/>
      <c r="BV841" s="1366"/>
      <c r="BW841" s="1366"/>
      <c r="BX841" s="1366"/>
      <c r="BY841" s="1366"/>
      <c r="BZ841" s="1366"/>
      <c r="CA841" s="1366"/>
      <c r="CB841" s="1366"/>
      <c r="CC841" s="1366"/>
      <c r="CD841" s="1366"/>
      <c r="CE841" s="1366"/>
      <c r="CF841" s="1366"/>
      <c r="CG841" s="1366"/>
      <c r="CH841" s="1366"/>
      <c r="CI841" s="1366"/>
      <c r="CJ841" s="1366"/>
      <c r="CK841" s="1366"/>
      <c r="CL841" s="1366"/>
      <c r="CM841" s="1366"/>
      <c r="CN841" s="1366"/>
      <c r="CO841" s="1366"/>
      <c r="CP841" s="1366"/>
      <c r="CQ841" s="1366"/>
      <c r="CR841" s="1366"/>
      <c r="CS841" s="1366"/>
      <c r="CT841" s="1366"/>
      <c r="CU841" s="1366"/>
      <c r="CV841" s="1366"/>
      <c r="CW841" s="1366"/>
      <c r="CX841" s="1366"/>
      <c r="CY841" s="1366"/>
      <c r="CZ841" s="1366"/>
      <c r="DA841" s="1366"/>
      <c r="DB841" s="1366"/>
      <c r="DC841" s="1366"/>
      <c r="DD841" s="1366"/>
      <c r="DE841" s="1366"/>
      <c r="DF841" s="1366"/>
      <c r="DG841" s="1366"/>
      <c r="DH841" s="1366"/>
      <c r="DI841" s="1366"/>
      <c r="DJ841" s="1366"/>
      <c r="DK841" s="1366"/>
      <c r="DL841" s="1366"/>
      <c r="DM841" s="1366"/>
      <c r="DN841" s="1366"/>
      <c r="DO841" s="1366"/>
      <c r="DP841" s="1366"/>
      <c r="DQ841" s="1366"/>
      <c r="DR841" s="1366"/>
      <c r="DS841" s="1366"/>
      <c r="DT841" s="1366"/>
      <c r="DU841" s="1366"/>
      <c r="DV841" s="1366"/>
    </row>
    <row r="842" spans="1:126" s="1367" customFormat="1" ht="15.75" thickBot="1">
      <c r="A842" s="2495"/>
      <c r="B842" s="1653">
        <v>9007</v>
      </c>
      <c r="C842" s="1642" t="s">
        <v>49</v>
      </c>
      <c r="D842" s="1364" t="s">
        <v>2531</v>
      </c>
      <c r="E842" s="1364" t="s">
        <v>2102</v>
      </c>
      <c r="F842" s="1364" t="s">
        <v>2108</v>
      </c>
      <c r="G842" s="1185" t="s">
        <v>2522</v>
      </c>
      <c r="H842" s="1361">
        <f>(('Equipment Results Matrix'!$R$1364*5000)+'Equipment Results Matrix'!$R$1365+'Equipment Results Matrix'!$N$1368+'Equipment Results Matrix'!$R$1370+'Equipment Results Matrix'!$T$1371)*(1+'Equipment Results Matrix'!$T$1373)</f>
        <v>104.70312101359998</v>
      </c>
      <c r="I842" s="1371">
        <f>'Labor Results Matrix'!$E$874</f>
        <v>3.1591279543602284</v>
      </c>
      <c r="J842" s="1372">
        <f>'Labor Results Matrix'!$G$874*(1+'Labor Results Matrix'!$K$874)</f>
        <v>87.049456300015038</v>
      </c>
      <c r="K842" s="1372">
        <f t="shared" si="265"/>
        <v>275.00037080923659</v>
      </c>
      <c r="L842" s="1372">
        <f>'Labor Results Matrix'!$I$874*(1+'Labor Results Matrix'!$K$874)</f>
        <v>15.862499999999999</v>
      </c>
      <c r="M842" s="1372">
        <f t="shared" si="266"/>
        <v>395.56599182283657</v>
      </c>
      <c r="N842" s="1458">
        <f t="shared" si="267"/>
        <v>395.56599182283657</v>
      </c>
      <c r="O842" s="1429"/>
      <c r="P842" s="1430"/>
      <c r="Q842" s="1430"/>
      <c r="R842" s="1430"/>
      <c r="S842" s="1430"/>
      <c r="T842" s="1430"/>
      <c r="U842" s="1430"/>
      <c r="V842" s="1679"/>
      <c r="W842" s="1366"/>
      <c r="X842" s="1366"/>
      <c r="Y842" s="1366"/>
      <c r="Z842" s="1366"/>
      <c r="AA842" s="1366"/>
      <c r="AB842" s="1366"/>
      <c r="AC842" s="1366"/>
      <c r="AD842" s="1366"/>
      <c r="AE842" s="1366"/>
      <c r="AF842" s="1366"/>
      <c r="AG842" s="1366"/>
      <c r="AH842" s="1366"/>
      <c r="AI842" s="1366"/>
      <c r="AJ842" s="1366"/>
      <c r="AK842" s="1366"/>
      <c r="AL842" s="1366"/>
      <c r="AM842" s="1366"/>
      <c r="AN842" s="1366"/>
      <c r="AO842" s="1366"/>
      <c r="AP842" s="1366"/>
      <c r="AQ842" s="1366"/>
      <c r="AR842" s="1366"/>
      <c r="AS842" s="1366"/>
      <c r="AT842" s="1366"/>
      <c r="AU842" s="1366"/>
      <c r="AV842" s="1366"/>
      <c r="AW842" s="1366"/>
      <c r="AX842" s="1366"/>
      <c r="AY842" s="1366"/>
      <c r="AZ842" s="1366"/>
      <c r="BA842" s="1366"/>
      <c r="BB842" s="1366"/>
      <c r="BC842" s="1366"/>
      <c r="BD842" s="1366"/>
      <c r="BE842" s="1366"/>
      <c r="BF842" s="1366"/>
      <c r="BG842" s="1366"/>
      <c r="BH842" s="1366"/>
      <c r="BI842" s="1366"/>
      <c r="BJ842" s="1366"/>
      <c r="BK842" s="1366"/>
      <c r="BL842" s="1366"/>
      <c r="BM842" s="1366"/>
      <c r="BN842" s="1366"/>
      <c r="BO842" s="1366"/>
      <c r="BP842" s="1366"/>
      <c r="BQ842" s="1366"/>
      <c r="BR842" s="1366"/>
      <c r="BS842" s="1366"/>
      <c r="BT842" s="1366"/>
      <c r="BU842" s="1366"/>
      <c r="BV842" s="1366"/>
      <c r="BW842" s="1366"/>
      <c r="BX842" s="1366"/>
      <c r="BY842" s="1366"/>
      <c r="BZ842" s="1366"/>
      <c r="CA842" s="1366"/>
      <c r="CB842" s="1366"/>
      <c r="CC842" s="1366"/>
      <c r="CD842" s="1366"/>
      <c r="CE842" s="1366"/>
      <c r="CF842" s="1366"/>
      <c r="CG842" s="1366"/>
      <c r="CH842" s="1366"/>
      <c r="CI842" s="1366"/>
      <c r="CJ842" s="1366"/>
      <c r="CK842" s="1366"/>
      <c r="CL842" s="1366"/>
      <c r="CM842" s="1366"/>
      <c r="CN842" s="1366"/>
      <c r="CO842" s="1366"/>
      <c r="CP842" s="1366"/>
      <c r="CQ842" s="1366"/>
      <c r="CR842" s="1366"/>
      <c r="CS842" s="1366"/>
      <c r="CT842" s="1366"/>
      <c r="CU842" s="1366"/>
      <c r="CV842" s="1366"/>
      <c r="CW842" s="1366"/>
      <c r="CX842" s="1366"/>
      <c r="CY842" s="1366"/>
      <c r="CZ842" s="1366"/>
      <c r="DA842" s="1366"/>
      <c r="DB842" s="1366"/>
      <c r="DC842" s="1366"/>
      <c r="DD842" s="1366"/>
      <c r="DE842" s="1366"/>
      <c r="DF842" s="1366"/>
      <c r="DG842" s="1366"/>
      <c r="DH842" s="1366"/>
      <c r="DI842" s="1366"/>
      <c r="DJ842" s="1366"/>
      <c r="DK842" s="1366"/>
      <c r="DL842" s="1366"/>
      <c r="DM842" s="1366"/>
      <c r="DN842" s="1366"/>
      <c r="DO842" s="1366"/>
      <c r="DP842" s="1366"/>
      <c r="DQ842" s="1366"/>
      <c r="DR842" s="1366"/>
      <c r="DS842" s="1366"/>
      <c r="DT842" s="1366"/>
      <c r="DU842" s="1366"/>
      <c r="DV842" s="1366"/>
    </row>
    <row r="843" spans="1:126" s="1479" customFormat="1" ht="19.5" thickBot="1">
      <c r="A843" s="695"/>
      <c r="B843" s="1652"/>
      <c r="C843" s="1652"/>
      <c r="D843" s="1318"/>
      <c r="E843" s="1318"/>
      <c r="F843" s="1318"/>
      <c r="G843" s="1318"/>
      <c r="H843" s="1389"/>
      <c r="I843" s="1446"/>
      <c r="J843" s="1390"/>
      <c r="K843" s="1389"/>
      <c r="L843" s="1532"/>
      <c r="M843" s="1389"/>
      <c r="N843" s="1497"/>
      <c r="O843" s="1413"/>
      <c r="P843" s="1414"/>
      <c r="Q843" s="1414"/>
      <c r="R843" s="1443"/>
      <c r="S843" s="1443"/>
      <c r="T843" s="1488"/>
      <c r="U843" s="1488"/>
      <c r="V843" s="1489"/>
      <c r="W843" s="1490"/>
      <c r="X843" s="1490"/>
      <c r="Y843" s="327"/>
      <c r="Z843" s="327"/>
      <c r="AA843" s="327"/>
      <c r="AB843" s="1490"/>
      <c r="AC843" s="1490"/>
      <c r="AD843" s="1490"/>
      <c r="AE843" s="1490"/>
      <c r="AF843" s="327"/>
      <c r="AG843" s="327"/>
      <c r="AH843" s="327"/>
      <c r="AI843" s="327"/>
      <c r="AJ843" s="327"/>
      <c r="AK843" s="1478"/>
      <c r="AL843" s="1478"/>
      <c r="AM843" s="1478"/>
      <c r="AN843" s="1478"/>
      <c r="AO843" s="1478"/>
      <c r="AP843" s="1478"/>
      <c r="AQ843" s="1478"/>
      <c r="AR843" s="1478"/>
      <c r="AS843" s="1478"/>
      <c r="AT843" s="1478"/>
      <c r="AU843" s="1478"/>
      <c r="AV843" s="1478"/>
      <c r="AW843" s="1478"/>
      <c r="AX843" s="1478"/>
      <c r="AY843" s="1478"/>
      <c r="AZ843" s="1478"/>
      <c r="BA843" s="1478"/>
      <c r="BB843" s="1478"/>
      <c r="BC843" s="1478"/>
      <c r="BD843" s="1478"/>
      <c r="BE843" s="1478"/>
      <c r="BF843" s="1478"/>
      <c r="BG843" s="1478"/>
      <c r="BH843" s="1478"/>
      <c r="BI843" s="1478"/>
      <c r="BJ843" s="1478"/>
      <c r="BK843" s="327"/>
      <c r="BL843" s="327"/>
      <c r="BM843" s="327"/>
      <c r="BN843" s="327"/>
      <c r="BO843" s="327"/>
      <c r="BP843" s="327"/>
      <c r="BQ843" s="327"/>
      <c r="BR843" s="327"/>
      <c r="BS843" s="327"/>
      <c r="BT843" s="327"/>
      <c r="BU843" s="327"/>
      <c r="BV843" s="327"/>
      <c r="BW843" s="327"/>
      <c r="BX843" s="327"/>
      <c r="BY843" s="327"/>
      <c r="BZ843" s="327"/>
      <c r="CA843" s="327"/>
      <c r="CB843" s="327"/>
      <c r="CC843" s="327"/>
      <c r="CD843" s="327"/>
      <c r="CE843" s="327"/>
      <c r="CF843" s="327"/>
      <c r="CG843" s="327"/>
      <c r="CH843" s="327"/>
      <c r="CI843" s="327"/>
      <c r="CJ843" s="327"/>
      <c r="CK843" s="327"/>
      <c r="CL843" s="327"/>
      <c r="CM843" s="327"/>
      <c r="CN843" s="327"/>
      <c r="CO843" s="327"/>
      <c r="CP843" s="327"/>
      <c r="CQ843" s="327"/>
      <c r="CR843" s="327"/>
      <c r="CS843" s="327"/>
      <c r="CT843" s="327"/>
      <c r="CU843" s="327"/>
      <c r="CV843" s="327"/>
      <c r="CW843" s="327"/>
      <c r="CX843" s="327"/>
      <c r="CY843" s="327"/>
      <c r="CZ843" s="327"/>
      <c r="DA843" s="327"/>
      <c r="DB843" s="327"/>
      <c r="DC843" s="327"/>
      <c r="DD843" s="327"/>
      <c r="DE843" s="327"/>
      <c r="DF843" s="327"/>
      <c r="DG843" s="327"/>
      <c r="DH843" s="327"/>
      <c r="DI843" s="327"/>
      <c r="DJ843" s="327"/>
      <c r="DK843" s="327"/>
      <c r="DL843" s="327"/>
      <c r="DM843" s="327"/>
      <c r="DN843" s="327"/>
      <c r="DO843" s="327"/>
      <c r="DP843" s="327"/>
      <c r="DQ843" s="327"/>
      <c r="DR843" s="327"/>
      <c r="DS843" s="327"/>
      <c r="DT843" s="327"/>
      <c r="DU843" s="327"/>
      <c r="DV843" s="327"/>
    </row>
    <row r="844" spans="1:126" s="1367" customFormat="1">
      <c r="A844" s="2493" t="s">
        <v>492</v>
      </c>
      <c r="B844" s="1653" t="s">
        <v>2523</v>
      </c>
      <c r="C844" s="1642" t="s">
        <v>47</v>
      </c>
      <c r="D844" s="1364" t="s">
        <v>2524</v>
      </c>
      <c r="E844" s="1364" t="s">
        <v>2102</v>
      </c>
      <c r="F844" s="1364" t="s">
        <v>2108</v>
      </c>
      <c r="G844" s="506" t="s">
        <v>2522</v>
      </c>
      <c r="H844" s="1361">
        <v>0</v>
      </c>
      <c r="I844" s="1371">
        <v>0</v>
      </c>
      <c r="J844" s="1372">
        <f>'Labor Results Matrix'!$G$891*(1+'Labor Results Matrix'!$K$885)</f>
        <v>71.251798598250119</v>
      </c>
      <c r="K844" s="1372">
        <f>J844*I844</f>
        <v>0</v>
      </c>
      <c r="L844" s="1372">
        <f>K844*J844</f>
        <v>0</v>
      </c>
      <c r="M844" s="1372">
        <f>H844+K844+L844</f>
        <v>0</v>
      </c>
      <c r="N844" s="1455" t="s">
        <v>40</v>
      </c>
      <c r="O844" s="1429"/>
      <c r="P844" s="1430"/>
      <c r="Q844" s="1430"/>
      <c r="R844" s="1430"/>
      <c r="S844" s="1430"/>
      <c r="T844" s="1430"/>
      <c r="U844" s="1430"/>
      <c r="V844" s="1679"/>
      <c r="W844" s="1366"/>
      <c r="X844" s="1366"/>
      <c r="Y844" s="1366"/>
      <c r="Z844" s="1366"/>
      <c r="AA844" s="1366"/>
      <c r="AB844" s="1366"/>
      <c r="AC844" s="1366"/>
      <c r="AD844" s="1366"/>
      <c r="AE844" s="1366"/>
      <c r="AF844" s="1366"/>
      <c r="AG844" s="1366"/>
      <c r="AH844" s="1366"/>
      <c r="AI844" s="1366"/>
      <c r="AJ844" s="1366"/>
      <c r="AK844" s="1366"/>
      <c r="AL844" s="1366"/>
      <c r="AM844" s="1366"/>
      <c r="AN844" s="1366"/>
      <c r="AO844" s="1366"/>
      <c r="AP844" s="1366"/>
      <c r="AQ844" s="1366"/>
      <c r="AR844" s="1366"/>
      <c r="AS844" s="1366"/>
      <c r="AT844" s="1366"/>
      <c r="AU844" s="1366"/>
      <c r="AV844" s="1366"/>
      <c r="AW844" s="1366"/>
      <c r="AX844" s="1366"/>
      <c r="AY844" s="1366"/>
      <c r="AZ844" s="1366"/>
      <c r="BA844" s="1366"/>
      <c r="BB844" s="1366"/>
      <c r="BC844" s="1366"/>
      <c r="BD844" s="1366"/>
      <c r="BE844" s="1366"/>
      <c r="BF844" s="1366"/>
      <c r="BG844" s="1366"/>
      <c r="BH844" s="1366"/>
      <c r="BI844" s="1366"/>
      <c r="BJ844" s="1366"/>
      <c r="BK844" s="1366"/>
      <c r="BL844" s="1366"/>
      <c r="BM844" s="1366"/>
      <c r="BN844" s="1366"/>
      <c r="BO844" s="1366"/>
      <c r="BP844" s="1366"/>
      <c r="BQ844" s="1366"/>
      <c r="BR844" s="1366"/>
      <c r="BS844" s="1366"/>
      <c r="BT844" s="1366"/>
      <c r="BU844" s="1366"/>
      <c r="BV844" s="1366"/>
      <c r="BW844" s="1366"/>
      <c r="BX844" s="1366"/>
      <c r="BY844" s="1366"/>
      <c r="BZ844" s="1366"/>
      <c r="CA844" s="1366"/>
      <c r="CB844" s="1366"/>
      <c r="CC844" s="1366"/>
      <c r="CD844" s="1366"/>
      <c r="CE844" s="1366"/>
      <c r="CF844" s="1366"/>
      <c r="CG844" s="1366"/>
      <c r="CH844" s="1366"/>
      <c r="CI844" s="1366"/>
      <c r="CJ844" s="1366"/>
      <c r="CK844" s="1366"/>
      <c r="CL844" s="1366"/>
      <c r="CM844" s="1366"/>
      <c r="CN844" s="1366"/>
      <c r="CO844" s="1366"/>
      <c r="CP844" s="1366"/>
      <c r="CQ844" s="1366"/>
      <c r="CR844" s="1366"/>
      <c r="CS844" s="1366"/>
      <c r="CT844" s="1366"/>
      <c r="CU844" s="1366"/>
      <c r="CV844" s="1366"/>
      <c r="CW844" s="1366"/>
      <c r="CX844" s="1366"/>
      <c r="CY844" s="1366"/>
      <c r="CZ844" s="1366"/>
      <c r="DA844" s="1366"/>
      <c r="DB844" s="1366"/>
      <c r="DC844" s="1366"/>
      <c r="DD844" s="1366"/>
      <c r="DE844" s="1366"/>
      <c r="DF844" s="1366"/>
      <c r="DG844" s="1366"/>
      <c r="DH844" s="1366"/>
      <c r="DI844" s="1366"/>
      <c r="DJ844" s="1366"/>
      <c r="DK844" s="1366"/>
      <c r="DL844" s="1366"/>
      <c r="DM844" s="1366"/>
      <c r="DN844" s="1366"/>
      <c r="DO844" s="1366"/>
      <c r="DP844" s="1366"/>
      <c r="DQ844" s="1366"/>
      <c r="DR844" s="1366"/>
      <c r="DS844" s="1366"/>
      <c r="DT844" s="1366"/>
      <c r="DU844" s="1366"/>
      <c r="DV844" s="1366"/>
    </row>
    <row r="845" spans="1:126" s="1367" customFormat="1">
      <c r="A845" s="2494"/>
      <c r="B845" s="1653">
        <v>9001</v>
      </c>
      <c r="C845" s="1642" t="s">
        <v>49</v>
      </c>
      <c r="D845" s="1364" t="s">
        <v>2525</v>
      </c>
      <c r="E845" s="1364" t="s">
        <v>2101</v>
      </c>
      <c r="F845" s="1364" t="s">
        <v>2108</v>
      </c>
      <c r="G845" s="506" t="s">
        <v>2522</v>
      </c>
      <c r="H845" s="1361">
        <f>((200*'Equipment Results Matrix'!$R$1375)+'Equipment Results Matrix'!$R$1376+'Equipment Results Matrix'!$R$1378+'Equipment Results Matrix'!$R$1380+'Equipment Results Matrix'!$R$1382+'Equipment Results Matrix'!R$1384+'Equipment Results Matrix'!$R$1386+'Equipment Results Matrix'!$R$1388+'Equipment Results Matrix'!$R$1390+'Equipment Results Matrix'!$R$1392+'Equipment Results Matrix'!$R$1394+'Equipment Results Matrix'!$T$1382)*(1+'Equipment Results Matrix'!$T$1384)</f>
        <v>138.20281249999999</v>
      </c>
      <c r="I845" s="1371">
        <f>'Labor Results Matrix'!$E$885</f>
        <v>1.1946111009495393</v>
      </c>
      <c r="J845" s="1372">
        <f>'Labor Results Matrix'!$G$891*(1+'Labor Results Matrix'!$K$885)</f>
        <v>71.251798598250119</v>
      </c>
      <c r="K845" s="1372">
        <f t="shared" ref="K845:K846" si="268">J845*I845</f>
        <v>85.118189568090415</v>
      </c>
      <c r="L845" s="1372">
        <f>'Labor Results Matrix'!$I$886*(1+'Labor Results Matrix'!$K$885)</f>
        <v>6.7322807999999998</v>
      </c>
      <c r="M845" s="1372">
        <f t="shared" ref="M845:M846" si="269">H845+K845+L845</f>
        <v>230.05328286809043</v>
      </c>
      <c r="N845" s="1458">
        <f>M845-$M$844</f>
        <v>230.05328286809043</v>
      </c>
      <c r="O845" s="1429"/>
      <c r="P845" s="1430"/>
      <c r="Q845" s="1430"/>
      <c r="R845" s="1430"/>
      <c r="S845" s="1430"/>
      <c r="T845" s="1430"/>
      <c r="U845" s="1430"/>
      <c r="V845" s="1679"/>
      <c r="W845" s="1366"/>
      <c r="X845" s="1366"/>
      <c r="Y845" s="1366"/>
      <c r="Z845" s="1366"/>
      <c r="AA845" s="1366"/>
      <c r="AB845" s="1366"/>
      <c r="AC845" s="1366"/>
      <c r="AD845" s="1366"/>
      <c r="AE845" s="1366"/>
      <c r="AF845" s="1366"/>
      <c r="AG845" s="1366"/>
      <c r="AH845" s="1366"/>
      <c r="AI845" s="1366"/>
      <c r="AJ845" s="1366"/>
      <c r="AK845" s="1366"/>
      <c r="AL845" s="1366"/>
      <c r="AM845" s="1366"/>
      <c r="AN845" s="1366"/>
      <c r="AO845" s="1366"/>
      <c r="AP845" s="1366"/>
      <c r="AQ845" s="1366"/>
      <c r="AR845" s="1366"/>
      <c r="AS845" s="1366"/>
      <c r="AT845" s="1366"/>
      <c r="AU845" s="1366"/>
      <c r="AV845" s="1366"/>
      <c r="AW845" s="1366"/>
      <c r="AX845" s="1366"/>
      <c r="AY845" s="1366"/>
      <c r="AZ845" s="1366"/>
      <c r="BA845" s="1366"/>
      <c r="BB845" s="1366"/>
      <c r="BC845" s="1366"/>
      <c r="BD845" s="1366"/>
      <c r="BE845" s="1366"/>
      <c r="BF845" s="1366"/>
      <c r="BG845" s="1366"/>
      <c r="BH845" s="1366"/>
      <c r="BI845" s="1366"/>
      <c r="BJ845" s="1366"/>
      <c r="BK845" s="1366"/>
      <c r="BL845" s="1366"/>
      <c r="BM845" s="1366"/>
      <c r="BN845" s="1366"/>
      <c r="BO845" s="1366"/>
      <c r="BP845" s="1366"/>
      <c r="BQ845" s="1366"/>
      <c r="BR845" s="1366"/>
      <c r="BS845" s="1366"/>
      <c r="BT845" s="1366"/>
      <c r="BU845" s="1366"/>
      <c r="BV845" s="1366"/>
      <c r="BW845" s="1366"/>
      <c r="BX845" s="1366"/>
      <c r="BY845" s="1366"/>
      <c r="BZ845" s="1366"/>
      <c r="CA845" s="1366"/>
      <c r="CB845" s="1366"/>
      <c r="CC845" s="1366"/>
      <c r="CD845" s="1366"/>
      <c r="CE845" s="1366"/>
      <c r="CF845" s="1366"/>
      <c r="CG845" s="1366"/>
      <c r="CH845" s="1366"/>
      <c r="CI845" s="1366"/>
      <c r="CJ845" s="1366"/>
      <c r="CK845" s="1366"/>
      <c r="CL845" s="1366"/>
      <c r="CM845" s="1366"/>
      <c r="CN845" s="1366"/>
      <c r="CO845" s="1366"/>
      <c r="CP845" s="1366"/>
      <c r="CQ845" s="1366"/>
      <c r="CR845" s="1366"/>
      <c r="CS845" s="1366"/>
      <c r="CT845" s="1366"/>
      <c r="CU845" s="1366"/>
      <c r="CV845" s="1366"/>
      <c r="CW845" s="1366"/>
      <c r="CX845" s="1366"/>
      <c r="CY845" s="1366"/>
      <c r="CZ845" s="1366"/>
      <c r="DA845" s="1366"/>
      <c r="DB845" s="1366"/>
      <c r="DC845" s="1366"/>
      <c r="DD845" s="1366"/>
      <c r="DE845" s="1366"/>
      <c r="DF845" s="1366"/>
      <c r="DG845" s="1366"/>
      <c r="DH845" s="1366"/>
      <c r="DI845" s="1366"/>
      <c r="DJ845" s="1366"/>
      <c r="DK845" s="1366"/>
      <c r="DL845" s="1366"/>
      <c r="DM845" s="1366"/>
      <c r="DN845" s="1366"/>
      <c r="DO845" s="1366"/>
      <c r="DP845" s="1366"/>
      <c r="DQ845" s="1366"/>
      <c r="DR845" s="1366"/>
      <c r="DS845" s="1366"/>
      <c r="DT845" s="1366"/>
      <c r="DU845" s="1366"/>
      <c r="DV845" s="1366"/>
    </row>
    <row r="846" spans="1:126" s="1367" customFormat="1" ht="15.75" thickBot="1">
      <c r="A846" s="2495"/>
      <c r="B846" s="1653">
        <v>9002</v>
      </c>
      <c r="C846" s="1642" t="s">
        <v>49</v>
      </c>
      <c r="D846" s="1364" t="s">
        <v>2526</v>
      </c>
      <c r="E846" s="1364" t="s">
        <v>2102</v>
      </c>
      <c r="F846" s="1364" t="s">
        <v>2108</v>
      </c>
      <c r="G846" s="506" t="s">
        <v>2522</v>
      </c>
      <c r="H846" s="1361">
        <f>((1000*'Equipment Results Matrix'!$R$1375)+'Equipment Results Matrix'!$R$1376+'Equipment Results Matrix'!$R$1378+'Equipment Results Matrix'!$R$1380+'Equipment Results Matrix'!$R$1382+'Equipment Results Matrix'!R$1384+'Equipment Results Matrix'!$R$1386+'Equipment Results Matrix'!$R$1388+'Equipment Results Matrix'!$R$1390+'Equipment Results Matrix'!$R$1392+'Equipment Results Matrix'!$R$1394+'Equipment Results Matrix'!$T$1382)*(1+'Equipment Results Matrix'!$T$1384)</f>
        <v>144.20281249999999</v>
      </c>
      <c r="I846" s="1371">
        <f>'Labor Results Matrix'!$E$887</f>
        <v>1.5098190016367143</v>
      </c>
      <c r="J846" s="1372">
        <f>'Labor Results Matrix'!$G$891*(1+'Labor Results Matrix'!$K$885)</f>
        <v>71.251798598250119</v>
      </c>
      <c r="K846" s="1372">
        <f t="shared" si="268"/>
        <v>107.57731942443024</v>
      </c>
      <c r="L846" s="1372">
        <f>'Labor Results Matrix'!$I$888*(1+'Labor Results Matrix'!$K$885)</f>
        <v>16.528805999999999</v>
      </c>
      <c r="M846" s="1372">
        <f t="shared" si="269"/>
        <v>268.30893792443021</v>
      </c>
      <c r="N846" s="1458">
        <f>M846-$M$844</f>
        <v>268.30893792443021</v>
      </c>
      <c r="O846" s="1429"/>
      <c r="P846" s="1430"/>
      <c r="Q846" s="1430"/>
      <c r="R846" s="1430"/>
      <c r="S846" s="1430"/>
      <c r="T846" s="1430"/>
      <c r="U846" s="1430"/>
      <c r="V846" s="1679"/>
      <c r="W846" s="1366"/>
      <c r="X846" s="1366"/>
      <c r="Y846" s="1366"/>
      <c r="Z846" s="1366"/>
      <c r="AA846" s="1366"/>
      <c r="AB846" s="1366"/>
      <c r="AC846" s="1366"/>
      <c r="AD846" s="1366"/>
      <c r="AE846" s="1366"/>
      <c r="AF846" s="1366"/>
      <c r="AG846" s="1366"/>
      <c r="AH846" s="1366"/>
      <c r="AI846" s="1366"/>
      <c r="AJ846" s="1366"/>
      <c r="AK846" s="1366"/>
      <c r="AL846" s="1366"/>
      <c r="AM846" s="1366"/>
      <c r="AN846" s="1366"/>
      <c r="AO846" s="1366"/>
      <c r="AP846" s="1366"/>
      <c r="AQ846" s="1366"/>
      <c r="AR846" s="1366"/>
      <c r="AS846" s="1366"/>
      <c r="AT846" s="1366"/>
      <c r="AU846" s="1366"/>
      <c r="AV846" s="1366"/>
      <c r="AW846" s="1366"/>
      <c r="AX846" s="1366"/>
      <c r="AY846" s="1366"/>
      <c r="AZ846" s="1366"/>
      <c r="BA846" s="1366"/>
      <c r="BB846" s="1366"/>
      <c r="BC846" s="1366"/>
      <c r="BD846" s="1366"/>
      <c r="BE846" s="1366"/>
      <c r="BF846" s="1366"/>
      <c r="BG846" s="1366"/>
      <c r="BH846" s="1366"/>
      <c r="BI846" s="1366"/>
      <c r="BJ846" s="1366"/>
      <c r="BK846" s="1366"/>
      <c r="BL846" s="1366"/>
      <c r="BM846" s="1366"/>
      <c r="BN846" s="1366"/>
      <c r="BO846" s="1366"/>
      <c r="BP846" s="1366"/>
      <c r="BQ846" s="1366"/>
      <c r="BR846" s="1366"/>
      <c r="BS846" s="1366"/>
      <c r="BT846" s="1366"/>
      <c r="BU846" s="1366"/>
      <c r="BV846" s="1366"/>
      <c r="BW846" s="1366"/>
      <c r="BX846" s="1366"/>
      <c r="BY846" s="1366"/>
      <c r="BZ846" s="1366"/>
      <c r="CA846" s="1366"/>
      <c r="CB846" s="1366"/>
      <c r="CC846" s="1366"/>
      <c r="CD846" s="1366"/>
      <c r="CE846" s="1366"/>
      <c r="CF846" s="1366"/>
      <c r="CG846" s="1366"/>
      <c r="CH846" s="1366"/>
      <c r="CI846" s="1366"/>
      <c r="CJ846" s="1366"/>
      <c r="CK846" s="1366"/>
      <c r="CL846" s="1366"/>
      <c r="CM846" s="1366"/>
      <c r="CN846" s="1366"/>
      <c r="CO846" s="1366"/>
      <c r="CP846" s="1366"/>
      <c r="CQ846" s="1366"/>
      <c r="CR846" s="1366"/>
      <c r="CS846" s="1366"/>
      <c r="CT846" s="1366"/>
      <c r="CU846" s="1366"/>
      <c r="CV846" s="1366"/>
      <c r="CW846" s="1366"/>
      <c r="CX846" s="1366"/>
      <c r="CY846" s="1366"/>
      <c r="CZ846" s="1366"/>
      <c r="DA846" s="1366"/>
      <c r="DB846" s="1366"/>
      <c r="DC846" s="1366"/>
      <c r="DD846" s="1366"/>
      <c r="DE846" s="1366"/>
      <c r="DF846" s="1366"/>
      <c r="DG846" s="1366"/>
      <c r="DH846" s="1366"/>
      <c r="DI846" s="1366"/>
      <c r="DJ846" s="1366"/>
      <c r="DK846" s="1366"/>
      <c r="DL846" s="1366"/>
      <c r="DM846" s="1366"/>
      <c r="DN846" s="1366"/>
      <c r="DO846" s="1366"/>
      <c r="DP846" s="1366"/>
      <c r="DQ846" s="1366"/>
      <c r="DR846" s="1366"/>
      <c r="DS846" s="1366"/>
      <c r="DT846" s="1366"/>
      <c r="DU846" s="1366"/>
      <c r="DV846" s="1366"/>
    </row>
    <row r="847" spans="1:126" s="1367" customFormat="1" ht="24" thickBot="1">
      <c r="A847" s="721" t="s">
        <v>1111</v>
      </c>
      <c r="B847" s="1346"/>
      <c r="C847" s="1346"/>
      <c r="D847" s="1346"/>
      <c r="E847" s="1346"/>
      <c r="F847" s="1346"/>
      <c r="G847" s="1346"/>
      <c r="H847" s="1385"/>
      <c r="I847" s="1449"/>
      <c r="J847" s="1385"/>
      <c r="K847" s="1385"/>
      <c r="L847" s="1536"/>
      <c r="M847" s="1385"/>
      <c r="N847" s="1460"/>
      <c r="O847" s="1385"/>
      <c r="P847" s="1385"/>
      <c r="Q847" s="1385"/>
      <c r="R847" s="1385"/>
      <c r="S847" s="1385"/>
      <c r="T847" s="1385"/>
      <c r="U847" s="1385"/>
      <c r="V847" s="1460"/>
      <c r="W847" s="1366"/>
      <c r="X847" s="1366"/>
      <c r="Y847" s="1366"/>
      <c r="Z847" s="1366"/>
      <c r="AA847" s="1366"/>
      <c r="AB847" s="1366"/>
      <c r="AC847" s="1366"/>
      <c r="AD847" s="1366"/>
      <c r="AE847" s="1366"/>
      <c r="AF847" s="1366"/>
      <c r="AG847" s="1366"/>
      <c r="AH847" s="1366"/>
      <c r="AI847" s="1366"/>
      <c r="AJ847" s="1366"/>
      <c r="AK847" s="1366"/>
      <c r="AL847" s="1366"/>
      <c r="AM847" s="1366"/>
      <c r="AN847" s="1366"/>
      <c r="AO847" s="1366"/>
      <c r="AP847" s="1366"/>
      <c r="AQ847" s="1366"/>
      <c r="AR847" s="1366"/>
      <c r="AS847" s="1366"/>
      <c r="AT847" s="1366"/>
      <c r="AU847" s="1366"/>
      <c r="AV847" s="1366"/>
      <c r="AW847" s="1366"/>
      <c r="AX847" s="1366"/>
      <c r="AY847" s="1366"/>
      <c r="AZ847" s="1366"/>
      <c r="BA847" s="1366"/>
      <c r="BB847" s="1366"/>
      <c r="BC847" s="1366"/>
      <c r="BD847" s="1366"/>
      <c r="BE847" s="1366"/>
      <c r="BF847" s="1366"/>
      <c r="BG847" s="1366"/>
      <c r="BH847" s="1366"/>
      <c r="BI847" s="1366"/>
      <c r="BJ847" s="1366"/>
      <c r="BK847" s="1366"/>
      <c r="BL847" s="1366"/>
      <c r="BM847" s="1366"/>
      <c r="BN847" s="1366"/>
      <c r="BO847" s="1366"/>
      <c r="BP847" s="1366"/>
      <c r="BQ847" s="1366"/>
      <c r="BR847" s="1366"/>
      <c r="BS847" s="1366"/>
      <c r="BT847" s="1366"/>
      <c r="BU847" s="1366"/>
      <c r="BV847" s="1366"/>
      <c r="BW847" s="1366"/>
      <c r="BX847" s="1366"/>
      <c r="BY847" s="1366"/>
      <c r="BZ847" s="1366"/>
      <c r="CA847" s="1366"/>
      <c r="CB847" s="1366"/>
      <c r="CC847" s="1366"/>
      <c r="CD847" s="1366"/>
      <c r="CE847" s="1366"/>
      <c r="CF847" s="1366"/>
      <c r="CG847" s="1366"/>
      <c r="CH847" s="1366"/>
      <c r="CI847" s="1366"/>
      <c r="CJ847" s="1366"/>
      <c r="CK847" s="1366"/>
      <c r="CL847" s="1366"/>
      <c r="CM847" s="1366"/>
      <c r="CN847" s="1366"/>
      <c r="CO847" s="1366"/>
      <c r="CP847" s="1366"/>
      <c r="CQ847" s="1366"/>
      <c r="CR847" s="1366"/>
      <c r="CS847" s="1366"/>
      <c r="CT847" s="1366"/>
      <c r="CU847" s="1366"/>
      <c r="CV847" s="1366"/>
      <c r="CW847" s="1366"/>
      <c r="CX847" s="1366"/>
      <c r="CY847" s="1366"/>
      <c r="CZ847" s="1366"/>
      <c r="DA847" s="1366"/>
      <c r="DB847" s="1366"/>
      <c r="DC847" s="1366"/>
      <c r="DD847" s="1366"/>
      <c r="DE847" s="1366"/>
      <c r="DF847" s="1366"/>
      <c r="DG847" s="1366"/>
      <c r="DH847" s="1366"/>
      <c r="DI847" s="1366"/>
      <c r="DJ847" s="1366"/>
      <c r="DK847" s="1366"/>
      <c r="DL847" s="1366"/>
      <c r="DM847" s="1366"/>
      <c r="DN847" s="1366"/>
      <c r="DO847" s="1366"/>
      <c r="DP847" s="1366"/>
      <c r="DQ847" s="1366"/>
      <c r="DR847" s="1366"/>
      <c r="DS847" s="1366"/>
      <c r="DT847" s="1366"/>
      <c r="DU847" s="1366"/>
      <c r="DV847" s="1366"/>
    </row>
    <row r="848" spans="1:126" s="1367" customFormat="1" ht="30">
      <c r="A848" s="2493" t="s">
        <v>150</v>
      </c>
      <c r="B848" s="1656" t="s">
        <v>2673</v>
      </c>
      <c r="C848" s="1642" t="s">
        <v>47</v>
      </c>
      <c r="D848" s="1364" t="s">
        <v>2207</v>
      </c>
      <c r="E848" s="1365" t="s">
        <v>2101</v>
      </c>
      <c r="F848" s="1364" t="s">
        <v>2107</v>
      </c>
      <c r="G848" s="1185" t="s">
        <v>2206</v>
      </c>
      <c r="H848" s="1383" t="s">
        <v>15</v>
      </c>
      <c r="I848" s="1450" t="s">
        <v>15</v>
      </c>
      <c r="J848" s="1384" t="s">
        <v>15</v>
      </c>
      <c r="K848" s="1384" t="s">
        <v>15</v>
      </c>
      <c r="L848" s="1432" t="s">
        <v>15</v>
      </c>
      <c r="M848" s="1384" t="s">
        <v>15</v>
      </c>
      <c r="N848" s="1461" t="s">
        <v>15</v>
      </c>
      <c r="O848" s="1361">
        <v>0</v>
      </c>
      <c r="P848" s="1371">
        <v>0</v>
      </c>
      <c r="Q848" s="1372">
        <v>0</v>
      </c>
      <c r="R848" s="1388">
        <v>0</v>
      </c>
      <c r="S848" s="1388">
        <v>0</v>
      </c>
      <c r="T848" s="1373">
        <v>0</v>
      </c>
      <c r="U848" s="1417" t="s">
        <v>40</v>
      </c>
      <c r="V848" s="1455" t="s">
        <v>40</v>
      </c>
      <c r="W848" s="1366"/>
      <c r="X848" s="1366"/>
      <c r="Y848" s="1366"/>
      <c r="Z848" s="1366"/>
      <c r="AA848" s="1366"/>
      <c r="AB848" s="1366"/>
      <c r="AC848" s="1366"/>
      <c r="AD848" s="1366"/>
      <c r="AE848" s="1366"/>
      <c r="AF848" s="1366"/>
      <c r="AG848" s="1366"/>
      <c r="AH848" s="1366"/>
      <c r="AI848" s="1366"/>
      <c r="AJ848" s="1366"/>
      <c r="AK848" s="1366"/>
      <c r="AL848" s="1366"/>
      <c r="AM848" s="1366"/>
      <c r="AN848" s="1366"/>
      <c r="AO848" s="1366"/>
      <c r="AP848" s="1366"/>
      <c r="AQ848" s="1366"/>
      <c r="AR848" s="1366"/>
      <c r="AS848" s="1366"/>
      <c r="AT848" s="1366"/>
      <c r="AU848" s="1366"/>
      <c r="AV848" s="1366"/>
      <c r="AW848" s="1366"/>
      <c r="AX848" s="1366"/>
      <c r="AY848" s="1366"/>
      <c r="AZ848" s="1366"/>
      <c r="BA848" s="1366"/>
      <c r="BB848" s="1366"/>
      <c r="BC848" s="1366"/>
      <c r="BD848" s="1366"/>
      <c r="BE848" s="1366"/>
      <c r="BF848" s="1366"/>
      <c r="BG848" s="1366"/>
      <c r="BH848" s="1366"/>
      <c r="BI848" s="1366"/>
      <c r="BJ848" s="1366"/>
      <c r="BK848" s="1366"/>
      <c r="BL848" s="1366"/>
      <c r="BM848" s="1366"/>
      <c r="BN848" s="1366"/>
      <c r="BO848" s="1366"/>
      <c r="BP848" s="1366"/>
      <c r="BQ848" s="1366"/>
      <c r="BR848" s="1366"/>
      <c r="BS848" s="1366"/>
      <c r="BT848" s="1366"/>
      <c r="BU848" s="1366"/>
      <c r="BV848" s="1366"/>
      <c r="BW848" s="1366"/>
      <c r="BX848" s="1366"/>
      <c r="BY848" s="1366"/>
      <c r="BZ848" s="1366"/>
      <c r="CA848" s="1366"/>
      <c r="CB848" s="1366"/>
      <c r="CC848" s="1366"/>
      <c r="CD848" s="1366"/>
      <c r="CE848" s="1366"/>
      <c r="CF848" s="1366"/>
      <c r="CG848" s="1366"/>
      <c r="CH848" s="1366"/>
      <c r="CI848" s="1366"/>
      <c r="CJ848" s="1366"/>
      <c r="CK848" s="1366"/>
      <c r="CL848" s="1366"/>
      <c r="CM848" s="1366"/>
      <c r="CN848" s="1366"/>
      <c r="CO848" s="1366"/>
      <c r="CP848" s="1366"/>
      <c r="CQ848" s="1366"/>
      <c r="CR848" s="1366"/>
      <c r="CS848" s="1366"/>
      <c r="CT848" s="1366"/>
      <c r="CU848" s="1366"/>
      <c r="CV848" s="1366"/>
      <c r="CW848" s="1366"/>
      <c r="CX848" s="1366"/>
      <c r="CY848" s="1366"/>
      <c r="CZ848" s="1366"/>
      <c r="DA848" s="1366"/>
      <c r="DB848" s="1366"/>
      <c r="DC848" s="1366"/>
      <c r="DD848" s="1366"/>
      <c r="DE848" s="1366"/>
      <c r="DF848" s="1366"/>
      <c r="DG848" s="1366"/>
      <c r="DH848" s="1366"/>
      <c r="DI848" s="1366"/>
      <c r="DJ848" s="1366"/>
      <c r="DK848" s="1366"/>
      <c r="DL848" s="1366"/>
      <c r="DM848" s="1366"/>
      <c r="DN848" s="1366"/>
      <c r="DO848" s="1366"/>
      <c r="DP848" s="1366"/>
      <c r="DQ848" s="1366"/>
      <c r="DR848" s="1366"/>
      <c r="DS848" s="1366"/>
      <c r="DT848" s="1366"/>
      <c r="DU848" s="1366"/>
      <c r="DV848" s="1366"/>
    </row>
    <row r="849" spans="1:126" s="1367" customFormat="1" ht="30">
      <c r="A849" s="2494"/>
      <c r="B849" s="1653">
        <v>23</v>
      </c>
      <c r="C849" s="1642" t="s">
        <v>49</v>
      </c>
      <c r="D849" s="1375" t="s">
        <v>2208</v>
      </c>
      <c r="E849" s="1365" t="s">
        <v>2101</v>
      </c>
      <c r="F849" s="1364" t="s">
        <v>2107</v>
      </c>
      <c r="G849" s="1185" t="s">
        <v>2206</v>
      </c>
      <c r="H849" s="1383" t="s">
        <v>15</v>
      </c>
      <c r="I849" s="1450" t="s">
        <v>15</v>
      </c>
      <c r="J849" s="1384" t="s">
        <v>15</v>
      </c>
      <c r="K849" s="1384" t="s">
        <v>15</v>
      </c>
      <c r="L849" s="1432" t="s">
        <v>15</v>
      </c>
      <c r="M849" s="1384" t="s">
        <v>15</v>
      </c>
      <c r="N849" s="1461" t="s">
        <v>15</v>
      </c>
      <c r="O849" s="1361">
        <f>(('Equipment Results Matrix'!$R$923*30)+'Equipment Results Matrix'!$R$924+'Equipment Results Matrix'!$R$926+'Equipment Results Matrix'!$R$928+(16*'Equipment Results Matrix'!$R$930)+(43*'Equipment Results Matrix'!$R$931))*(1+'Equipment Results Matrix'!$T$932)</f>
        <v>0.58832397855219509</v>
      </c>
      <c r="P849" s="1371">
        <f>'Labor Results Matrix'!$E$431</f>
        <v>1.0750000000000003E-2</v>
      </c>
      <c r="Q849" s="1372">
        <f>('Labor Results Matrix'!$G$431*'Labor Results Matrix'!$E$431)*(1+'Labor Results Matrix'!$K$431)</f>
        <v>0.81156284961580516</v>
      </c>
      <c r="R849" s="1388">
        <v>0</v>
      </c>
      <c r="S849" s="1388">
        <v>0</v>
      </c>
      <c r="T849" s="1372">
        <f>O849+Q849</f>
        <v>1.3998868281680004</v>
      </c>
      <c r="U849" s="1372">
        <f>T849</f>
        <v>1.3998868281680004</v>
      </c>
      <c r="V849" s="1457">
        <v>0</v>
      </c>
      <c r="W849" s="1366"/>
      <c r="X849" s="1366"/>
      <c r="Y849" s="1366"/>
      <c r="Z849" s="1366"/>
      <c r="AA849" s="1366"/>
      <c r="AB849" s="1366"/>
      <c r="AC849" s="1366"/>
      <c r="AD849" s="1366"/>
      <c r="AE849" s="1366"/>
      <c r="AF849" s="1366"/>
      <c r="AG849" s="1366"/>
      <c r="AH849" s="1366"/>
      <c r="AI849" s="1366"/>
      <c r="AJ849" s="1366"/>
      <c r="AK849" s="1366"/>
      <c r="AL849" s="1366"/>
      <c r="AM849" s="1366"/>
      <c r="AN849" s="1366"/>
      <c r="AO849" s="1366"/>
      <c r="AP849" s="1366"/>
      <c r="AQ849" s="1366"/>
      <c r="AR849" s="1366"/>
      <c r="AS849" s="1366"/>
      <c r="AT849" s="1366"/>
      <c r="AU849" s="1366"/>
      <c r="AV849" s="1366"/>
      <c r="AW849" s="1366"/>
      <c r="AX849" s="1366"/>
      <c r="AY849" s="1366"/>
      <c r="AZ849" s="1366"/>
      <c r="BA849" s="1366"/>
      <c r="BB849" s="1366"/>
      <c r="BC849" s="1366"/>
      <c r="BD849" s="1366"/>
      <c r="BE849" s="1366"/>
      <c r="BF849" s="1366"/>
      <c r="BG849" s="1366"/>
      <c r="BH849" s="1366"/>
      <c r="BI849" s="1366"/>
      <c r="BJ849" s="1366"/>
      <c r="BK849" s="1366"/>
      <c r="BL849" s="1366"/>
      <c r="BM849" s="1366"/>
      <c r="BN849" s="1366"/>
      <c r="BO849" s="1366"/>
      <c r="BP849" s="1366"/>
      <c r="BQ849" s="1366"/>
      <c r="BR849" s="1366"/>
      <c r="BS849" s="1366"/>
      <c r="BT849" s="1366"/>
      <c r="BU849" s="1366"/>
      <c r="BV849" s="1366"/>
      <c r="BW849" s="1366"/>
      <c r="BX849" s="1366"/>
      <c r="BY849" s="1366"/>
      <c r="BZ849" s="1366"/>
      <c r="CA849" s="1366"/>
      <c r="CB849" s="1366"/>
      <c r="CC849" s="1366"/>
      <c r="CD849" s="1366"/>
      <c r="CE849" s="1366"/>
      <c r="CF849" s="1366"/>
      <c r="CG849" s="1366"/>
      <c r="CH849" s="1366"/>
      <c r="CI849" s="1366"/>
      <c r="CJ849" s="1366"/>
      <c r="CK849" s="1366"/>
      <c r="CL849" s="1366"/>
      <c r="CM849" s="1366"/>
      <c r="CN849" s="1366"/>
      <c r="CO849" s="1366"/>
      <c r="CP849" s="1366"/>
      <c r="CQ849" s="1366"/>
      <c r="CR849" s="1366"/>
      <c r="CS849" s="1366"/>
      <c r="CT849" s="1366"/>
      <c r="CU849" s="1366"/>
      <c r="CV849" s="1366"/>
      <c r="CW849" s="1366"/>
      <c r="CX849" s="1366"/>
      <c r="CY849" s="1366"/>
      <c r="CZ849" s="1366"/>
      <c r="DA849" s="1366"/>
      <c r="DB849" s="1366"/>
      <c r="DC849" s="1366"/>
      <c r="DD849" s="1366"/>
      <c r="DE849" s="1366"/>
      <c r="DF849" s="1366"/>
      <c r="DG849" s="1366"/>
      <c r="DH849" s="1366"/>
      <c r="DI849" s="1366"/>
      <c r="DJ849" s="1366"/>
      <c r="DK849" s="1366"/>
      <c r="DL849" s="1366"/>
      <c r="DM849" s="1366"/>
      <c r="DN849" s="1366"/>
      <c r="DO849" s="1366"/>
      <c r="DP849" s="1366"/>
      <c r="DQ849" s="1366"/>
      <c r="DR849" s="1366"/>
      <c r="DS849" s="1366"/>
      <c r="DT849" s="1366"/>
      <c r="DU849" s="1366"/>
      <c r="DV849" s="1366"/>
    </row>
    <row r="850" spans="1:126" s="1367" customFormat="1" ht="30">
      <c r="A850" s="2494"/>
      <c r="B850" s="1653">
        <v>24</v>
      </c>
      <c r="C850" s="1642" t="s">
        <v>49</v>
      </c>
      <c r="D850" s="1375" t="s">
        <v>2209</v>
      </c>
      <c r="E850" s="1365" t="s">
        <v>2101</v>
      </c>
      <c r="F850" s="1364" t="s">
        <v>2107</v>
      </c>
      <c r="G850" s="1185" t="s">
        <v>2206</v>
      </c>
      <c r="H850" s="1383" t="s">
        <v>15</v>
      </c>
      <c r="I850" s="1450" t="s">
        <v>15</v>
      </c>
      <c r="J850" s="1384" t="s">
        <v>15</v>
      </c>
      <c r="K850" s="1384" t="s">
        <v>15</v>
      </c>
      <c r="L850" s="1432" t="s">
        <v>15</v>
      </c>
      <c r="M850" s="1384" t="s">
        <v>15</v>
      </c>
      <c r="N850" s="1461" t="s">
        <v>15</v>
      </c>
      <c r="O850" s="1361">
        <f>(('Equipment Results Matrix'!$R$923*38)+'Equipment Results Matrix'!$R$924+'Equipment Results Matrix'!$R$926+'Equipment Results Matrix'!$R$928+(16*'Equipment Results Matrix'!$R$930)+(43*'Equipment Results Matrix'!$R$931))*(1+'Equipment Results Matrix'!$T$932)</f>
        <v>0.719559284792195</v>
      </c>
      <c r="P850" s="1371">
        <f>'Labor Results Matrix'!$E$431</f>
        <v>1.0750000000000003E-2</v>
      </c>
      <c r="Q850" s="1372">
        <f>('Labor Results Matrix'!$G$431*'Labor Results Matrix'!$E$431)*(1+'Labor Results Matrix'!$K$431)</f>
        <v>0.81156284961580516</v>
      </c>
      <c r="R850" s="1388">
        <v>0</v>
      </c>
      <c r="S850" s="1388">
        <v>0</v>
      </c>
      <c r="T850" s="1372">
        <f t="shared" ref="T850:T863" si="270">O850+Q850</f>
        <v>1.5311221344080002</v>
      </c>
      <c r="U850" s="1372">
        <f t="shared" ref="U850:U863" si="271">T850</f>
        <v>1.5311221344080002</v>
      </c>
      <c r="V850" s="1457">
        <v>0</v>
      </c>
      <c r="W850" s="1366"/>
      <c r="X850" s="1366"/>
      <c r="Y850" s="1366"/>
      <c r="Z850" s="1366"/>
      <c r="AA850" s="1366"/>
      <c r="AB850" s="1366"/>
      <c r="AC850" s="1366"/>
      <c r="AD850" s="1366"/>
      <c r="AE850" s="1366"/>
      <c r="AF850" s="1366"/>
      <c r="AG850" s="1366"/>
      <c r="AH850" s="1366"/>
      <c r="AI850" s="1366"/>
      <c r="AJ850" s="1366"/>
      <c r="AK850" s="1366"/>
      <c r="AL850" s="1366"/>
      <c r="AM850" s="1366"/>
      <c r="AN850" s="1366"/>
      <c r="AO850" s="1366"/>
      <c r="AP850" s="1366"/>
      <c r="AQ850" s="1366"/>
      <c r="AR850" s="1366"/>
      <c r="AS850" s="1366"/>
      <c r="AT850" s="1366"/>
      <c r="AU850" s="1366"/>
      <c r="AV850" s="1366"/>
      <c r="AW850" s="1366"/>
      <c r="AX850" s="1366"/>
      <c r="AY850" s="1366"/>
      <c r="AZ850" s="1366"/>
      <c r="BA850" s="1366"/>
      <c r="BB850" s="1366"/>
      <c r="BC850" s="1366"/>
      <c r="BD850" s="1366"/>
      <c r="BE850" s="1366"/>
      <c r="BF850" s="1366"/>
      <c r="BG850" s="1366"/>
      <c r="BH850" s="1366"/>
      <c r="BI850" s="1366"/>
      <c r="BJ850" s="1366"/>
      <c r="BK850" s="1366"/>
      <c r="BL850" s="1366"/>
      <c r="BM850" s="1366"/>
      <c r="BN850" s="1366"/>
      <c r="BO850" s="1366"/>
      <c r="BP850" s="1366"/>
      <c r="BQ850" s="1366"/>
      <c r="BR850" s="1366"/>
      <c r="BS850" s="1366"/>
      <c r="BT850" s="1366"/>
      <c r="BU850" s="1366"/>
      <c r="BV850" s="1366"/>
      <c r="BW850" s="1366"/>
      <c r="BX850" s="1366"/>
      <c r="BY850" s="1366"/>
      <c r="BZ850" s="1366"/>
      <c r="CA850" s="1366"/>
      <c r="CB850" s="1366"/>
      <c r="CC850" s="1366"/>
      <c r="CD850" s="1366"/>
      <c r="CE850" s="1366"/>
      <c r="CF850" s="1366"/>
      <c r="CG850" s="1366"/>
      <c r="CH850" s="1366"/>
      <c r="CI850" s="1366"/>
      <c r="CJ850" s="1366"/>
      <c r="CK850" s="1366"/>
      <c r="CL850" s="1366"/>
      <c r="CM850" s="1366"/>
      <c r="CN850" s="1366"/>
      <c r="CO850" s="1366"/>
      <c r="CP850" s="1366"/>
      <c r="CQ850" s="1366"/>
      <c r="CR850" s="1366"/>
      <c r="CS850" s="1366"/>
      <c r="CT850" s="1366"/>
      <c r="CU850" s="1366"/>
      <c r="CV850" s="1366"/>
      <c r="CW850" s="1366"/>
      <c r="CX850" s="1366"/>
      <c r="CY850" s="1366"/>
      <c r="CZ850" s="1366"/>
      <c r="DA850" s="1366"/>
      <c r="DB850" s="1366"/>
      <c r="DC850" s="1366"/>
      <c r="DD850" s="1366"/>
      <c r="DE850" s="1366"/>
      <c r="DF850" s="1366"/>
      <c r="DG850" s="1366"/>
      <c r="DH850" s="1366"/>
      <c r="DI850" s="1366"/>
      <c r="DJ850" s="1366"/>
      <c r="DK850" s="1366"/>
      <c r="DL850" s="1366"/>
      <c r="DM850" s="1366"/>
      <c r="DN850" s="1366"/>
      <c r="DO850" s="1366"/>
      <c r="DP850" s="1366"/>
      <c r="DQ850" s="1366"/>
      <c r="DR850" s="1366"/>
      <c r="DS850" s="1366"/>
      <c r="DT850" s="1366"/>
      <c r="DU850" s="1366"/>
      <c r="DV850" s="1366"/>
    </row>
    <row r="851" spans="1:126" s="1367" customFormat="1" ht="30">
      <c r="A851" s="2494"/>
      <c r="B851" s="1653">
        <v>25</v>
      </c>
      <c r="C851" s="1642" t="s">
        <v>49</v>
      </c>
      <c r="D851" s="1375" t="s">
        <v>2210</v>
      </c>
      <c r="E851" s="1365" t="s">
        <v>2101</v>
      </c>
      <c r="F851" s="1364" t="s">
        <v>2107</v>
      </c>
      <c r="G851" s="1185" t="s">
        <v>2206</v>
      </c>
      <c r="H851" s="1383" t="s">
        <v>15</v>
      </c>
      <c r="I851" s="1450" t="s">
        <v>15</v>
      </c>
      <c r="J851" s="1384" t="s">
        <v>15</v>
      </c>
      <c r="K851" s="1384" t="s">
        <v>15</v>
      </c>
      <c r="L851" s="1432" t="s">
        <v>15</v>
      </c>
      <c r="M851" s="1384" t="s">
        <v>15</v>
      </c>
      <c r="N851" s="1461" t="s">
        <v>15</v>
      </c>
      <c r="O851" s="1361">
        <f>(('Equipment Results Matrix'!$R$923*11)+'Equipment Results Matrix'!$R$924+'Equipment Results Matrix'!$R$926+'Equipment Results Matrix'!$R$928+(16*'Equipment Results Matrix'!$R$930)+(43*'Equipment Results Matrix'!$R$931))*(1+'Equipment Results Matrix'!$T$932)</f>
        <v>0.27664012623219514</v>
      </c>
      <c r="P851" s="1371">
        <f>'Labor Results Matrix'!$E$431</f>
        <v>1.0750000000000003E-2</v>
      </c>
      <c r="Q851" s="1372">
        <f>('Labor Results Matrix'!$G$431*'Labor Results Matrix'!$E$431)*(1+'Labor Results Matrix'!$K$431)</f>
        <v>0.81156284961580516</v>
      </c>
      <c r="R851" s="1388">
        <v>0</v>
      </c>
      <c r="S851" s="1388">
        <v>0</v>
      </c>
      <c r="T851" s="1372">
        <f t="shared" si="270"/>
        <v>1.0882029758480003</v>
      </c>
      <c r="U851" s="1372">
        <f t="shared" si="271"/>
        <v>1.0882029758480003</v>
      </c>
      <c r="V851" s="1457">
        <v>0</v>
      </c>
      <c r="W851" s="1366"/>
      <c r="X851" s="1366"/>
      <c r="Y851" s="1366"/>
      <c r="Z851" s="1366"/>
      <c r="AA851" s="1366"/>
      <c r="AB851" s="1366"/>
      <c r="AC851" s="1366"/>
      <c r="AD851" s="1366"/>
      <c r="AE851" s="1366"/>
      <c r="AF851" s="1366"/>
      <c r="AG851" s="1366"/>
      <c r="AH851" s="1366"/>
      <c r="AI851" s="1366"/>
      <c r="AJ851" s="1366"/>
      <c r="AK851" s="1366"/>
      <c r="AL851" s="1366"/>
      <c r="AM851" s="1366"/>
      <c r="AN851" s="1366"/>
      <c r="AO851" s="1366"/>
      <c r="AP851" s="1366"/>
      <c r="AQ851" s="1366"/>
      <c r="AR851" s="1366"/>
      <c r="AS851" s="1366"/>
      <c r="AT851" s="1366"/>
      <c r="AU851" s="1366"/>
      <c r="AV851" s="1366"/>
      <c r="AW851" s="1366"/>
      <c r="AX851" s="1366"/>
      <c r="AY851" s="1366"/>
      <c r="AZ851" s="1366"/>
      <c r="BA851" s="1366"/>
      <c r="BB851" s="1366"/>
      <c r="BC851" s="1366"/>
      <c r="BD851" s="1366"/>
      <c r="BE851" s="1366"/>
      <c r="BF851" s="1366"/>
      <c r="BG851" s="1366"/>
      <c r="BH851" s="1366"/>
      <c r="BI851" s="1366"/>
      <c r="BJ851" s="1366"/>
      <c r="BK851" s="1366"/>
      <c r="BL851" s="1366"/>
      <c r="BM851" s="1366"/>
      <c r="BN851" s="1366"/>
      <c r="BO851" s="1366"/>
      <c r="BP851" s="1366"/>
      <c r="BQ851" s="1366"/>
      <c r="BR851" s="1366"/>
      <c r="BS851" s="1366"/>
      <c r="BT851" s="1366"/>
      <c r="BU851" s="1366"/>
      <c r="BV851" s="1366"/>
      <c r="BW851" s="1366"/>
      <c r="BX851" s="1366"/>
      <c r="BY851" s="1366"/>
      <c r="BZ851" s="1366"/>
      <c r="CA851" s="1366"/>
      <c r="CB851" s="1366"/>
      <c r="CC851" s="1366"/>
      <c r="CD851" s="1366"/>
      <c r="CE851" s="1366"/>
      <c r="CF851" s="1366"/>
      <c r="CG851" s="1366"/>
      <c r="CH851" s="1366"/>
      <c r="CI851" s="1366"/>
      <c r="CJ851" s="1366"/>
      <c r="CK851" s="1366"/>
      <c r="CL851" s="1366"/>
      <c r="CM851" s="1366"/>
      <c r="CN851" s="1366"/>
      <c r="CO851" s="1366"/>
      <c r="CP851" s="1366"/>
      <c r="CQ851" s="1366"/>
      <c r="CR851" s="1366"/>
      <c r="CS851" s="1366"/>
      <c r="CT851" s="1366"/>
      <c r="CU851" s="1366"/>
      <c r="CV851" s="1366"/>
      <c r="CW851" s="1366"/>
      <c r="CX851" s="1366"/>
      <c r="CY851" s="1366"/>
      <c r="CZ851" s="1366"/>
      <c r="DA851" s="1366"/>
      <c r="DB851" s="1366"/>
      <c r="DC851" s="1366"/>
      <c r="DD851" s="1366"/>
      <c r="DE851" s="1366"/>
      <c r="DF851" s="1366"/>
      <c r="DG851" s="1366"/>
      <c r="DH851" s="1366"/>
      <c r="DI851" s="1366"/>
      <c r="DJ851" s="1366"/>
      <c r="DK851" s="1366"/>
      <c r="DL851" s="1366"/>
      <c r="DM851" s="1366"/>
      <c r="DN851" s="1366"/>
      <c r="DO851" s="1366"/>
      <c r="DP851" s="1366"/>
      <c r="DQ851" s="1366"/>
      <c r="DR851" s="1366"/>
      <c r="DS851" s="1366"/>
      <c r="DT851" s="1366"/>
      <c r="DU851" s="1366"/>
      <c r="DV851" s="1366"/>
    </row>
    <row r="852" spans="1:126" s="1367" customFormat="1" ht="30">
      <c r="A852" s="2494"/>
      <c r="B852" s="1653">
        <v>26</v>
      </c>
      <c r="C852" s="1642" t="s">
        <v>49</v>
      </c>
      <c r="D852" s="1375" t="s">
        <v>2211</v>
      </c>
      <c r="E852" s="1365" t="s">
        <v>2101</v>
      </c>
      <c r="F852" s="1364" t="s">
        <v>2107</v>
      </c>
      <c r="G852" s="1185" t="s">
        <v>2206</v>
      </c>
      <c r="H852" s="1383" t="s">
        <v>15</v>
      </c>
      <c r="I852" s="1450" t="s">
        <v>15</v>
      </c>
      <c r="J852" s="1384" t="s">
        <v>15</v>
      </c>
      <c r="K852" s="1384" t="s">
        <v>15</v>
      </c>
      <c r="L852" s="1432" t="s">
        <v>15</v>
      </c>
      <c r="M852" s="1384" t="s">
        <v>15</v>
      </c>
      <c r="N852" s="1461" t="s">
        <v>15</v>
      </c>
      <c r="O852" s="1361">
        <f>(('Equipment Results Matrix'!$R$923*19)+'Equipment Results Matrix'!$R$924+'Equipment Results Matrix'!$R$926+'Equipment Results Matrix'!$R$928+(16*'Equipment Results Matrix'!$R$930)+(43*'Equipment Results Matrix'!$R$931))*(1+'Equipment Results Matrix'!$T$932)</f>
        <v>0.4078754324721951</v>
      </c>
      <c r="P852" s="1371">
        <f>'Labor Results Matrix'!$E$431</f>
        <v>1.0750000000000003E-2</v>
      </c>
      <c r="Q852" s="1372">
        <f>('Labor Results Matrix'!$G$431*'Labor Results Matrix'!$E$431)*(1+'Labor Results Matrix'!$K$431)</f>
        <v>0.81156284961580516</v>
      </c>
      <c r="R852" s="1388">
        <v>0</v>
      </c>
      <c r="S852" s="1388">
        <v>0</v>
      </c>
      <c r="T852" s="1372">
        <f t="shared" si="270"/>
        <v>1.2194382820880003</v>
      </c>
      <c r="U852" s="1372">
        <f t="shared" si="271"/>
        <v>1.2194382820880003</v>
      </c>
      <c r="V852" s="1457">
        <v>0</v>
      </c>
      <c r="W852" s="1366"/>
      <c r="X852" s="1366"/>
      <c r="Y852" s="1366"/>
      <c r="Z852" s="1366"/>
      <c r="AA852" s="1366"/>
      <c r="AB852" s="1366"/>
      <c r="AC852" s="1366"/>
      <c r="AD852" s="1366"/>
      <c r="AE852" s="1366"/>
      <c r="AF852" s="1366"/>
      <c r="AG852" s="1366"/>
      <c r="AH852" s="1366"/>
      <c r="AI852" s="1366"/>
      <c r="AJ852" s="1366"/>
      <c r="AK852" s="1366"/>
      <c r="AL852" s="1366"/>
      <c r="AM852" s="1366"/>
      <c r="AN852" s="1366"/>
      <c r="AO852" s="1366"/>
      <c r="AP852" s="1366"/>
      <c r="AQ852" s="1366"/>
      <c r="AR852" s="1366"/>
      <c r="AS852" s="1366"/>
      <c r="AT852" s="1366"/>
      <c r="AU852" s="1366"/>
      <c r="AV852" s="1366"/>
      <c r="AW852" s="1366"/>
      <c r="AX852" s="1366"/>
      <c r="AY852" s="1366"/>
      <c r="AZ852" s="1366"/>
      <c r="BA852" s="1366"/>
      <c r="BB852" s="1366"/>
      <c r="BC852" s="1366"/>
      <c r="BD852" s="1366"/>
      <c r="BE852" s="1366"/>
      <c r="BF852" s="1366"/>
      <c r="BG852" s="1366"/>
      <c r="BH852" s="1366"/>
      <c r="BI852" s="1366"/>
      <c r="BJ852" s="1366"/>
      <c r="BK852" s="1366"/>
      <c r="BL852" s="1366"/>
      <c r="BM852" s="1366"/>
      <c r="BN852" s="1366"/>
      <c r="BO852" s="1366"/>
      <c r="BP852" s="1366"/>
      <c r="BQ852" s="1366"/>
      <c r="BR852" s="1366"/>
      <c r="BS852" s="1366"/>
      <c r="BT852" s="1366"/>
      <c r="BU852" s="1366"/>
      <c r="BV852" s="1366"/>
      <c r="BW852" s="1366"/>
      <c r="BX852" s="1366"/>
      <c r="BY852" s="1366"/>
      <c r="BZ852" s="1366"/>
      <c r="CA852" s="1366"/>
      <c r="CB852" s="1366"/>
      <c r="CC852" s="1366"/>
      <c r="CD852" s="1366"/>
      <c r="CE852" s="1366"/>
      <c r="CF852" s="1366"/>
      <c r="CG852" s="1366"/>
      <c r="CH852" s="1366"/>
      <c r="CI852" s="1366"/>
      <c r="CJ852" s="1366"/>
      <c r="CK852" s="1366"/>
      <c r="CL852" s="1366"/>
      <c r="CM852" s="1366"/>
      <c r="CN852" s="1366"/>
      <c r="CO852" s="1366"/>
      <c r="CP852" s="1366"/>
      <c r="CQ852" s="1366"/>
      <c r="CR852" s="1366"/>
      <c r="CS852" s="1366"/>
      <c r="CT852" s="1366"/>
      <c r="CU852" s="1366"/>
      <c r="CV852" s="1366"/>
      <c r="CW852" s="1366"/>
      <c r="CX852" s="1366"/>
      <c r="CY852" s="1366"/>
      <c r="CZ852" s="1366"/>
      <c r="DA852" s="1366"/>
      <c r="DB852" s="1366"/>
      <c r="DC852" s="1366"/>
      <c r="DD852" s="1366"/>
      <c r="DE852" s="1366"/>
      <c r="DF852" s="1366"/>
      <c r="DG852" s="1366"/>
      <c r="DH852" s="1366"/>
      <c r="DI852" s="1366"/>
      <c r="DJ852" s="1366"/>
      <c r="DK852" s="1366"/>
      <c r="DL852" s="1366"/>
      <c r="DM852" s="1366"/>
      <c r="DN852" s="1366"/>
      <c r="DO852" s="1366"/>
      <c r="DP852" s="1366"/>
      <c r="DQ852" s="1366"/>
      <c r="DR852" s="1366"/>
      <c r="DS852" s="1366"/>
      <c r="DT852" s="1366"/>
      <c r="DU852" s="1366"/>
      <c r="DV852" s="1366"/>
    </row>
    <row r="853" spans="1:126" s="1367" customFormat="1" ht="30">
      <c r="A853" s="2494"/>
      <c r="B853" s="1653">
        <v>27</v>
      </c>
      <c r="C853" s="1642" t="s">
        <v>49</v>
      </c>
      <c r="D853" s="1375" t="s">
        <v>2212</v>
      </c>
      <c r="E853" s="1365" t="s">
        <v>2101</v>
      </c>
      <c r="F853" s="1364" t="s">
        <v>2107</v>
      </c>
      <c r="G853" s="1185" t="s">
        <v>2206</v>
      </c>
      <c r="H853" s="1383" t="s">
        <v>15</v>
      </c>
      <c r="I853" s="1450" t="s">
        <v>15</v>
      </c>
      <c r="J853" s="1384" t="s">
        <v>15</v>
      </c>
      <c r="K853" s="1384" t="s">
        <v>15</v>
      </c>
      <c r="L853" s="1432" t="s">
        <v>15</v>
      </c>
      <c r="M853" s="1384" t="s">
        <v>15</v>
      </c>
      <c r="N853" s="1461" t="s">
        <v>15</v>
      </c>
      <c r="O853" s="1361">
        <f>(('Equipment Results Matrix'!$R$923*30)+'Equipment Results Matrix'!$R$924+'Equipment Results Matrix'!$R$926+'Equipment Results Matrix'!$R$928+(16*'Equipment Results Matrix'!$R$930)+(43*'Equipment Results Matrix'!$R$931))*(1+'Equipment Results Matrix'!$T$932)</f>
        <v>0.58832397855219509</v>
      </c>
      <c r="P853" s="1371">
        <f>'Labor Results Matrix'!$E$431</f>
        <v>1.0750000000000003E-2</v>
      </c>
      <c r="Q853" s="1372">
        <f>('Labor Results Matrix'!$G$431*'Labor Results Matrix'!$E$431)*(1+'Labor Results Matrix'!$K$431)</f>
        <v>0.81156284961580516</v>
      </c>
      <c r="R853" s="1388">
        <v>0</v>
      </c>
      <c r="S853" s="1388">
        <v>0</v>
      </c>
      <c r="T853" s="1372">
        <f t="shared" si="270"/>
        <v>1.3998868281680004</v>
      </c>
      <c r="U853" s="1372">
        <f t="shared" si="271"/>
        <v>1.3998868281680004</v>
      </c>
      <c r="V853" s="1457">
        <v>0</v>
      </c>
      <c r="W853" s="1366"/>
      <c r="X853" s="1366"/>
      <c r="Y853" s="1366"/>
      <c r="Z853" s="1366"/>
      <c r="AA853" s="1366"/>
      <c r="AB853" s="1366"/>
      <c r="AC853" s="1366"/>
      <c r="AD853" s="1366"/>
      <c r="AE853" s="1366"/>
      <c r="AF853" s="1366"/>
      <c r="AG853" s="1366"/>
      <c r="AH853" s="1366"/>
      <c r="AI853" s="1366"/>
      <c r="AJ853" s="1366"/>
      <c r="AK853" s="1366"/>
      <c r="AL853" s="1366"/>
      <c r="AM853" s="1366"/>
      <c r="AN853" s="1366"/>
      <c r="AO853" s="1366"/>
      <c r="AP853" s="1366"/>
      <c r="AQ853" s="1366"/>
      <c r="AR853" s="1366"/>
      <c r="AS853" s="1366"/>
      <c r="AT853" s="1366"/>
      <c r="AU853" s="1366"/>
      <c r="AV853" s="1366"/>
      <c r="AW853" s="1366"/>
      <c r="AX853" s="1366"/>
      <c r="AY853" s="1366"/>
      <c r="AZ853" s="1366"/>
      <c r="BA853" s="1366"/>
      <c r="BB853" s="1366"/>
      <c r="BC853" s="1366"/>
      <c r="BD853" s="1366"/>
      <c r="BE853" s="1366"/>
      <c r="BF853" s="1366"/>
      <c r="BG853" s="1366"/>
      <c r="BH853" s="1366"/>
      <c r="BI853" s="1366"/>
      <c r="BJ853" s="1366"/>
      <c r="BK853" s="1366"/>
      <c r="BL853" s="1366"/>
      <c r="BM853" s="1366"/>
      <c r="BN853" s="1366"/>
      <c r="BO853" s="1366"/>
      <c r="BP853" s="1366"/>
      <c r="BQ853" s="1366"/>
      <c r="BR853" s="1366"/>
      <c r="BS853" s="1366"/>
      <c r="BT853" s="1366"/>
      <c r="BU853" s="1366"/>
      <c r="BV853" s="1366"/>
      <c r="BW853" s="1366"/>
      <c r="BX853" s="1366"/>
      <c r="BY853" s="1366"/>
      <c r="BZ853" s="1366"/>
      <c r="CA853" s="1366"/>
      <c r="CB853" s="1366"/>
      <c r="CC853" s="1366"/>
      <c r="CD853" s="1366"/>
      <c r="CE853" s="1366"/>
      <c r="CF853" s="1366"/>
      <c r="CG853" s="1366"/>
      <c r="CH853" s="1366"/>
      <c r="CI853" s="1366"/>
      <c r="CJ853" s="1366"/>
      <c r="CK853" s="1366"/>
      <c r="CL853" s="1366"/>
      <c r="CM853" s="1366"/>
      <c r="CN853" s="1366"/>
      <c r="CO853" s="1366"/>
      <c r="CP853" s="1366"/>
      <c r="CQ853" s="1366"/>
      <c r="CR853" s="1366"/>
      <c r="CS853" s="1366"/>
      <c r="CT853" s="1366"/>
      <c r="CU853" s="1366"/>
      <c r="CV853" s="1366"/>
      <c r="CW853" s="1366"/>
      <c r="CX853" s="1366"/>
      <c r="CY853" s="1366"/>
      <c r="CZ853" s="1366"/>
      <c r="DA853" s="1366"/>
      <c r="DB853" s="1366"/>
      <c r="DC853" s="1366"/>
      <c r="DD853" s="1366"/>
      <c r="DE853" s="1366"/>
      <c r="DF853" s="1366"/>
      <c r="DG853" s="1366"/>
      <c r="DH853" s="1366"/>
      <c r="DI853" s="1366"/>
      <c r="DJ853" s="1366"/>
      <c r="DK853" s="1366"/>
      <c r="DL853" s="1366"/>
      <c r="DM853" s="1366"/>
      <c r="DN853" s="1366"/>
      <c r="DO853" s="1366"/>
      <c r="DP853" s="1366"/>
      <c r="DQ853" s="1366"/>
      <c r="DR853" s="1366"/>
      <c r="DS853" s="1366"/>
      <c r="DT853" s="1366"/>
      <c r="DU853" s="1366"/>
      <c r="DV853" s="1366"/>
    </row>
    <row r="854" spans="1:126" s="1367" customFormat="1" ht="30">
      <c r="A854" s="2494"/>
      <c r="B854" s="1657">
        <v>9009</v>
      </c>
      <c r="C854" s="1642" t="s">
        <v>49</v>
      </c>
      <c r="D854" s="1375" t="s">
        <v>2213</v>
      </c>
      <c r="E854" s="1365" t="s">
        <v>2100</v>
      </c>
      <c r="F854" s="1364" t="s">
        <v>2108</v>
      </c>
      <c r="G854" s="1185" t="s">
        <v>2206</v>
      </c>
      <c r="H854" s="1383" t="s">
        <v>15</v>
      </c>
      <c r="I854" s="1450" t="s">
        <v>15</v>
      </c>
      <c r="J854" s="1384" t="s">
        <v>15</v>
      </c>
      <c r="K854" s="1384" t="s">
        <v>15</v>
      </c>
      <c r="L854" s="1432" t="s">
        <v>15</v>
      </c>
      <c r="M854" s="1384" t="s">
        <v>15</v>
      </c>
      <c r="N854" s="1461" t="s">
        <v>15</v>
      </c>
      <c r="O854" s="1361">
        <f>(('Equipment Results Matrix'!$R$923*20)+'Equipment Results Matrix'!$R$924+'Equipment Results Matrix'!$R$926+'Equipment Results Matrix'!$R$928+(16*'Equipment Results Matrix'!$R$930)+(43*'Equipment Results Matrix'!$R$931))*(1+'Equipment Results Matrix'!$T$932)</f>
        <v>0.42427984575219518</v>
      </c>
      <c r="P854" s="1371">
        <f>'Labor Results Matrix'!$E$431</f>
        <v>1.0750000000000003E-2</v>
      </c>
      <c r="Q854" s="1372">
        <f>('Labor Results Matrix'!$G$431*'Labor Results Matrix'!$E$431)*(1+'Labor Results Matrix'!$K$431)</f>
        <v>0.81156284961580516</v>
      </c>
      <c r="R854" s="1388">
        <v>0</v>
      </c>
      <c r="S854" s="1388">
        <v>0</v>
      </c>
      <c r="T854" s="1372">
        <f t="shared" si="270"/>
        <v>1.2358426953680004</v>
      </c>
      <c r="U854" s="1372">
        <f t="shared" si="271"/>
        <v>1.2358426953680004</v>
      </c>
      <c r="V854" s="1457">
        <v>0</v>
      </c>
      <c r="W854" s="1366"/>
      <c r="X854" s="1366"/>
      <c r="Y854" s="1366"/>
      <c r="Z854" s="1366"/>
      <c r="AA854" s="1366"/>
      <c r="AB854" s="1366"/>
      <c r="AC854" s="1366"/>
      <c r="AD854" s="1366"/>
      <c r="AE854" s="1366"/>
      <c r="AF854" s="1366"/>
      <c r="AG854" s="1366"/>
      <c r="AH854" s="1366"/>
      <c r="AI854" s="1366"/>
      <c r="AJ854" s="1366"/>
      <c r="AK854" s="1366"/>
      <c r="AL854" s="1366"/>
      <c r="AM854" s="1366"/>
      <c r="AN854" s="1366"/>
      <c r="AO854" s="1366"/>
      <c r="AP854" s="1366"/>
      <c r="AQ854" s="1366"/>
      <c r="AR854" s="1366"/>
      <c r="AS854" s="1366"/>
      <c r="AT854" s="1366"/>
      <c r="AU854" s="1366"/>
      <c r="AV854" s="1366"/>
      <c r="AW854" s="1366"/>
      <c r="AX854" s="1366"/>
      <c r="AY854" s="1366"/>
      <c r="AZ854" s="1366"/>
      <c r="BA854" s="1366"/>
      <c r="BB854" s="1366"/>
      <c r="BC854" s="1366"/>
      <c r="BD854" s="1366"/>
      <c r="BE854" s="1366"/>
      <c r="BF854" s="1366"/>
      <c r="BG854" s="1366"/>
      <c r="BH854" s="1366"/>
      <c r="BI854" s="1366"/>
      <c r="BJ854" s="1366"/>
      <c r="BK854" s="1366"/>
      <c r="BL854" s="1366"/>
      <c r="BM854" s="1366"/>
      <c r="BN854" s="1366"/>
      <c r="BO854" s="1366"/>
      <c r="BP854" s="1366"/>
      <c r="BQ854" s="1366"/>
      <c r="BR854" s="1366"/>
      <c r="BS854" s="1366"/>
      <c r="BT854" s="1366"/>
      <c r="BU854" s="1366"/>
      <c r="BV854" s="1366"/>
      <c r="BW854" s="1366"/>
      <c r="BX854" s="1366"/>
      <c r="BY854" s="1366"/>
      <c r="BZ854" s="1366"/>
      <c r="CA854" s="1366"/>
      <c r="CB854" s="1366"/>
      <c r="CC854" s="1366"/>
      <c r="CD854" s="1366"/>
      <c r="CE854" s="1366"/>
      <c r="CF854" s="1366"/>
      <c r="CG854" s="1366"/>
      <c r="CH854" s="1366"/>
      <c r="CI854" s="1366"/>
      <c r="CJ854" s="1366"/>
      <c r="CK854" s="1366"/>
      <c r="CL854" s="1366"/>
      <c r="CM854" s="1366"/>
      <c r="CN854" s="1366"/>
      <c r="CO854" s="1366"/>
      <c r="CP854" s="1366"/>
      <c r="CQ854" s="1366"/>
      <c r="CR854" s="1366"/>
      <c r="CS854" s="1366"/>
      <c r="CT854" s="1366"/>
      <c r="CU854" s="1366"/>
      <c r="CV854" s="1366"/>
      <c r="CW854" s="1366"/>
      <c r="CX854" s="1366"/>
      <c r="CY854" s="1366"/>
      <c r="CZ854" s="1366"/>
      <c r="DA854" s="1366"/>
      <c r="DB854" s="1366"/>
      <c r="DC854" s="1366"/>
      <c r="DD854" s="1366"/>
      <c r="DE854" s="1366"/>
      <c r="DF854" s="1366"/>
      <c r="DG854" s="1366"/>
      <c r="DH854" s="1366"/>
      <c r="DI854" s="1366"/>
      <c r="DJ854" s="1366"/>
      <c r="DK854" s="1366"/>
      <c r="DL854" s="1366"/>
      <c r="DM854" s="1366"/>
      <c r="DN854" s="1366"/>
      <c r="DO854" s="1366"/>
      <c r="DP854" s="1366"/>
      <c r="DQ854" s="1366"/>
      <c r="DR854" s="1366"/>
      <c r="DS854" s="1366"/>
      <c r="DT854" s="1366"/>
      <c r="DU854" s="1366"/>
      <c r="DV854" s="1366"/>
    </row>
    <row r="855" spans="1:126" s="1367" customFormat="1" ht="30">
      <c r="A855" s="2494"/>
      <c r="B855" s="1653">
        <v>9105</v>
      </c>
      <c r="C855" s="1642" t="s">
        <v>49</v>
      </c>
      <c r="D855" s="1375" t="s">
        <v>2214</v>
      </c>
      <c r="E855" s="1365" t="s">
        <v>2101</v>
      </c>
      <c r="F855" s="1364" t="s">
        <v>2107</v>
      </c>
      <c r="G855" s="1185" t="s">
        <v>2206</v>
      </c>
      <c r="H855" s="1383" t="s">
        <v>15</v>
      </c>
      <c r="I855" s="1450" t="s">
        <v>15</v>
      </c>
      <c r="J855" s="1384" t="s">
        <v>15</v>
      </c>
      <c r="K855" s="1384" t="s">
        <v>15</v>
      </c>
      <c r="L855" s="1432" t="s">
        <v>15</v>
      </c>
      <c r="M855" s="1384" t="s">
        <v>15</v>
      </c>
      <c r="N855" s="1461" t="s">
        <v>15</v>
      </c>
      <c r="O855" s="1361">
        <f>(('Equipment Results Matrix'!$R$923*19)+'Equipment Results Matrix'!$R$924+'Equipment Results Matrix'!$R$926+'Equipment Results Matrix'!$R$928+(16*'Equipment Results Matrix'!$R$930)+(43*'Equipment Results Matrix'!$R$931))*(1+'Equipment Results Matrix'!$T$932)</f>
        <v>0.4078754324721951</v>
      </c>
      <c r="P855" s="1371">
        <f>'Labor Results Matrix'!$E$431</f>
        <v>1.0750000000000003E-2</v>
      </c>
      <c r="Q855" s="1372">
        <f>('Labor Results Matrix'!$G$431*'Labor Results Matrix'!$E$431)*(1+'Labor Results Matrix'!$K$431)</f>
        <v>0.81156284961580516</v>
      </c>
      <c r="R855" s="1388">
        <v>0</v>
      </c>
      <c r="S855" s="1388">
        <v>0</v>
      </c>
      <c r="T855" s="1372">
        <f t="shared" si="270"/>
        <v>1.2194382820880003</v>
      </c>
      <c r="U855" s="1372">
        <f t="shared" si="271"/>
        <v>1.2194382820880003</v>
      </c>
      <c r="V855" s="1457">
        <v>0</v>
      </c>
      <c r="W855" s="1366"/>
      <c r="X855" s="1366"/>
      <c r="Y855" s="1366"/>
      <c r="Z855" s="1366"/>
      <c r="AA855" s="1366"/>
      <c r="AB855" s="1366"/>
      <c r="AC855" s="1366"/>
      <c r="AD855" s="1366"/>
      <c r="AE855" s="1366"/>
      <c r="AF855" s="1366"/>
      <c r="AG855" s="1366"/>
      <c r="AH855" s="1366"/>
      <c r="AI855" s="1366"/>
      <c r="AJ855" s="1366"/>
      <c r="AK855" s="1366"/>
      <c r="AL855" s="1366"/>
      <c r="AM855" s="1366"/>
      <c r="AN855" s="1366"/>
      <c r="AO855" s="1366"/>
      <c r="AP855" s="1366"/>
      <c r="AQ855" s="1366"/>
      <c r="AR855" s="1366"/>
      <c r="AS855" s="1366"/>
      <c r="AT855" s="1366"/>
      <c r="AU855" s="1366"/>
      <c r="AV855" s="1366"/>
      <c r="AW855" s="1366"/>
      <c r="AX855" s="1366"/>
      <c r="AY855" s="1366"/>
      <c r="AZ855" s="1366"/>
      <c r="BA855" s="1366"/>
      <c r="BB855" s="1366"/>
      <c r="BC855" s="1366"/>
      <c r="BD855" s="1366"/>
      <c r="BE855" s="1366"/>
      <c r="BF855" s="1366"/>
      <c r="BG855" s="1366"/>
      <c r="BH855" s="1366"/>
      <c r="BI855" s="1366"/>
      <c r="BJ855" s="1366"/>
      <c r="BK855" s="1366"/>
      <c r="BL855" s="1366"/>
      <c r="BM855" s="1366"/>
      <c r="BN855" s="1366"/>
      <c r="BO855" s="1366"/>
      <c r="BP855" s="1366"/>
      <c r="BQ855" s="1366"/>
      <c r="BR855" s="1366"/>
      <c r="BS855" s="1366"/>
      <c r="BT855" s="1366"/>
      <c r="BU855" s="1366"/>
      <c r="BV855" s="1366"/>
      <c r="BW855" s="1366"/>
      <c r="BX855" s="1366"/>
      <c r="BY855" s="1366"/>
      <c r="BZ855" s="1366"/>
      <c r="CA855" s="1366"/>
      <c r="CB855" s="1366"/>
      <c r="CC855" s="1366"/>
      <c r="CD855" s="1366"/>
      <c r="CE855" s="1366"/>
      <c r="CF855" s="1366"/>
      <c r="CG855" s="1366"/>
      <c r="CH855" s="1366"/>
      <c r="CI855" s="1366"/>
      <c r="CJ855" s="1366"/>
      <c r="CK855" s="1366"/>
      <c r="CL855" s="1366"/>
      <c r="CM855" s="1366"/>
      <c r="CN855" s="1366"/>
      <c r="CO855" s="1366"/>
      <c r="CP855" s="1366"/>
      <c r="CQ855" s="1366"/>
      <c r="CR855" s="1366"/>
      <c r="CS855" s="1366"/>
      <c r="CT855" s="1366"/>
      <c r="CU855" s="1366"/>
      <c r="CV855" s="1366"/>
      <c r="CW855" s="1366"/>
      <c r="CX855" s="1366"/>
      <c r="CY855" s="1366"/>
      <c r="CZ855" s="1366"/>
      <c r="DA855" s="1366"/>
      <c r="DB855" s="1366"/>
      <c r="DC855" s="1366"/>
      <c r="DD855" s="1366"/>
      <c r="DE855" s="1366"/>
      <c r="DF855" s="1366"/>
      <c r="DG855" s="1366"/>
      <c r="DH855" s="1366"/>
      <c r="DI855" s="1366"/>
      <c r="DJ855" s="1366"/>
      <c r="DK855" s="1366"/>
      <c r="DL855" s="1366"/>
      <c r="DM855" s="1366"/>
      <c r="DN855" s="1366"/>
      <c r="DO855" s="1366"/>
      <c r="DP855" s="1366"/>
      <c r="DQ855" s="1366"/>
      <c r="DR855" s="1366"/>
      <c r="DS855" s="1366"/>
      <c r="DT855" s="1366"/>
      <c r="DU855" s="1366"/>
      <c r="DV855" s="1366"/>
    </row>
    <row r="856" spans="1:126" s="1367" customFormat="1" ht="30">
      <c r="A856" s="2494"/>
      <c r="B856" s="1653">
        <v>9106</v>
      </c>
      <c r="C856" s="1642" t="s">
        <v>49</v>
      </c>
      <c r="D856" s="1375" t="s">
        <v>2215</v>
      </c>
      <c r="E856" s="1365" t="s">
        <v>2101</v>
      </c>
      <c r="F856" s="1364" t="s">
        <v>2107</v>
      </c>
      <c r="G856" s="1185" t="s">
        <v>2206</v>
      </c>
      <c r="H856" s="1383" t="s">
        <v>15</v>
      </c>
      <c r="I856" s="1450" t="s">
        <v>15</v>
      </c>
      <c r="J856" s="1384" t="s">
        <v>15</v>
      </c>
      <c r="K856" s="1384" t="s">
        <v>15</v>
      </c>
      <c r="L856" s="1432" t="s">
        <v>15</v>
      </c>
      <c r="M856" s="1384" t="s">
        <v>15</v>
      </c>
      <c r="N856" s="1461" t="s">
        <v>15</v>
      </c>
      <c r="O856" s="1361">
        <f>(('Equipment Results Matrix'!$R$923*30)+'Equipment Results Matrix'!$R$924+'Equipment Results Matrix'!$R$926+'Equipment Results Matrix'!$R$928+(16*'Equipment Results Matrix'!$R$930)+(43*'Equipment Results Matrix'!$R$931))*(1+'Equipment Results Matrix'!$T$932)</f>
        <v>0.58832397855219509</v>
      </c>
      <c r="P856" s="1371">
        <f>'Labor Results Matrix'!$E$431</f>
        <v>1.0750000000000003E-2</v>
      </c>
      <c r="Q856" s="1372">
        <f>('Labor Results Matrix'!$G$431*'Labor Results Matrix'!$E$431)*(1+'Labor Results Matrix'!$K$431)</f>
        <v>0.81156284961580516</v>
      </c>
      <c r="R856" s="1388">
        <v>0</v>
      </c>
      <c r="S856" s="1388">
        <v>0</v>
      </c>
      <c r="T856" s="1372">
        <f t="shared" si="270"/>
        <v>1.3998868281680004</v>
      </c>
      <c r="U856" s="1372">
        <f t="shared" si="271"/>
        <v>1.3998868281680004</v>
      </c>
      <c r="V856" s="1457">
        <v>0</v>
      </c>
      <c r="W856" s="1366"/>
      <c r="X856" s="1366"/>
      <c r="Y856" s="1366"/>
      <c r="Z856" s="1366"/>
      <c r="AA856" s="1366"/>
      <c r="AB856" s="1366"/>
      <c r="AC856" s="1366"/>
      <c r="AD856" s="1366"/>
      <c r="AE856" s="1366"/>
      <c r="AF856" s="1366"/>
      <c r="AG856" s="1366"/>
      <c r="AH856" s="1366"/>
      <c r="AI856" s="1366"/>
      <c r="AJ856" s="1366"/>
      <c r="AK856" s="1366"/>
      <c r="AL856" s="1366"/>
      <c r="AM856" s="1366"/>
      <c r="AN856" s="1366"/>
      <c r="AO856" s="1366"/>
      <c r="AP856" s="1366"/>
      <c r="AQ856" s="1366"/>
      <c r="AR856" s="1366"/>
      <c r="AS856" s="1366"/>
      <c r="AT856" s="1366"/>
      <c r="AU856" s="1366"/>
      <c r="AV856" s="1366"/>
      <c r="AW856" s="1366"/>
      <c r="AX856" s="1366"/>
      <c r="AY856" s="1366"/>
      <c r="AZ856" s="1366"/>
      <c r="BA856" s="1366"/>
      <c r="BB856" s="1366"/>
      <c r="BC856" s="1366"/>
      <c r="BD856" s="1366"/>
      <c r="BE856" s="1366"/>
      <c r="BF856" s="1366"/>
      <c r="BG856" s="1366"/>
      <c r="BH856" s="1366"/>
      <c r="BI856" s="1366"/>
      <c r="BJ856" s="1366"/>
      <c r="BK856" s="1366"/>
      <c r="BL856" s="1366"/>
      <c r="BM856" s="1366"/>
      <c r="BN856" s="1366"/>
      <c r="BO856" s="1366"/>
      <c r="BP856" s="1366"/>
      <c r="BQ856" s="1366"/>
      <c r="BR856" s="1366"/>
      <c r="BS856" s="1366"/>
      <c r="BT856" s="1366"/>
      <c r="BU856" s="1366"/>
      <c r="BV856" s="1366"/>
      <c r="BW856" s="1366"/>
      <c r="BX856" s="1366"/>
      <c r="BY856" s="1366"/>
      <c r="BZ856" s="1366"/>
      <c r="CA856" s="1366"/>
      <c r="CB856" s="1366"/>
      <c r="CC856" s="1366"/>
      <c r="CD856" s="1366"/>
      <c r="CE856" s="1366"/>
      <c r="CF856" s="1366"/>
      <c r="CG856" s="1366"/>
      <c r="CH856" s="1366"/>
      <c r="CI856" s="1366"/>
      <c r="CJ856" s="1366"/>
      <c r="CK856" s="1366"/>
      <c r="CL856" s="1366"/>
      <c r="CM856" s="1366"/>
      <c r="CN856" s="1366"/>
      <c r="CO856" s="1366"/>
      <c r="CP856" s="1366"/>
      <c r="CQ856" s="1366"/>
      <c r="CR856" s="1366"/>
      <c r="CS856" s="1366"/>
      <c r="CT856" s="1366"/>
      <c r="CU856" s="1366"/>
      <c r="CV856" s="1366"/>
      <c r="CW856" s="1366"/>
      <c r="CX856" s="1366"/>
      <c r="CY856" s="1366"/>
      <c r="CZ856" s="1366"/>
      <c r="DA856" s="1366"/>
      <c r="DB856" s="1366"/>
      <c r="DC856" s="1366"/>
      <c r="DD856" s="1366"/>
      <c r="DE856" s="1366"/>
      <c r="DF856" s="1366"/>
      <c r="DG856" s="1366"/>
      <c r="DH856" s="1366"/>
      <c r="DI856" s="1366"/>
      <c r="DJ856" s="1366"/>
      <c r="DK856" s="1366"/>
      <c r="DL856" s="1366"/>
      <c r="DM856" s="1366"/>
      <c r="DN856" s="1366"/>
      <c r="DO856" s="1366"/>
      <c r="DP856" s="1366"/>
      <c r="DQ856" s="1366"/>
      <c r="DR856" s="1366"/>
      <c r="DS856" s="1366"/>
      <c r="DT856" s="1366"/>
      <c r="DU856" s="1366"/>
      <c r="DV856" s="1366"/>
    </row>
    <row r="857" spans="1:126" s="1367" customFormat="1" ht="30">
      <c r="A857" s="2494"/>
      <c r="B857" s="1653">
        <v>9107</v>
      </c>
      <c r="C857" s="1642" t="s">
        <v>49</v>
      </c>
      <c r="D857" s="1375" t="s">
        <v>2216</v>
      </c>
      <c r="E857" s="1365" t="s">
        <v>2101</v>
      </c>
      <c r="F857" s="1364" t="s">
        <v>2107</v>
      </c>
      <c r="G857" s="1185" t="s">
        <v>2206</v>
      </c>
      <c r="H857" s="1383" t="s">
        <v>15</v>
      </c>
      <c r="I857" s="1450" t="s">
        <v>15</v>
      </c>
      <c r="J857" s="1384" t="s">
        <v>15</v>
      </c>
      <c r="K857" s="1384" t="s">
        <v>15</v>
      </c>
      <c r="L857" s="1432" t="s">
        <v>15</v>
      </c>
      <c r="M857" s="1384" t="s">
        <v>15</v>
      </c>
      <c r="N857" s="1461" t="s">
        <v>15</v>
      </c>
      <c r="O857" s="1361">
        <f>(('Equipment Results Matrix'!$R$923*11)+'Equipment Results Matrix'!$R$924+'Equipment Results Matrix'!$R$926+'Equipment Results Matrix'!$R$928+(16*'Equipment Results Matrix'!$R$930)+(43*'Equipment Results Matrix'!$R$931))*(1+'Equipment Results Matrix'!$T$932)</f>
        <v>0.27664012623219514</v>
      </c>
      <c r="P857" s="1371">
        <f>'Labor Results Matrix'!$E$431</f>
        <v>1.0750000000000003E-2</v>
      </c>
      <c r="Q857" s="1372">
        <f>('Labor Results Matrix'!$G$431*'Labor Results Matrix'!$E$431)*(1+'Labor Results Matrix'!$K$431)</f>
        <v>0.81156284961580516</v>
      </c>
      <c r="R857" s="1388">
        <v>0</v>
      </c>
      <c r="S857" s="1388">
        <v>0</v>
      </c>
      <c r="T857" s="1372">
        <f t="shared" si="270"/>
        <v>1.0882029758480003</v>
      </c>
      <c r="U857" s="1372">
        <f t="shared" si="271"/>
        <v>1.0882029758480003</v>
      </c>
      <c r="V857" s="1457">
        <v>0</v>
      </c>
      <c r="W857" s="1366"/>
      <c r="X857" s="1366"/>
      <c r="Y857" s="1366"/>
      <c r="Z857" s="1366"/>
      <c r="AA857" s="1366"/>
      <c r="AB857" s="1366"/>
      <c r="AC857" s="1366"/>
      <c r="AD857" s="1366"/>
      <c r="AE857" s="1366"/>
      <c r="AF857" s="1366"/>
      <c r="AG857" s="1366"/>
      <c r="AH857" s="1366"/>
      <c r="AI857" s="1366"/>
      <c r="AJ857" s="1366"/>
      <c r="AK857" s="1366"/>
      <c r="AL857" s="1366"/>
      <c r="AM857" s="1366"/>
      <c r="AN857" s="1366"/>
      <c r="AO857" s="1366"/>
      <c r="AP857" s="1366"/>
      <c r="AQ857" s="1366"/>
      <c r="AR857" s="1366"/>
      <c r="AS857" s="1366"/>
      <c r="AT857" s="1366"/>
      <c r="AU857" s="1366"/>
      <c r="AV857" s="1366"/>
      <c r="AW857" s="1366"/>
      <c r="AX857" s="1366"/>
      <c r="AY857" s="1366"/>
      <c r="AZ857" s="1366"/>
      <c r="BA857" s="1366"/>
      <c r="BB857" s="1366"/>
      <c r="BC857" s="1366"/>
      <c r="BD857" s="1366"/>
      <c r="BE857" s="1366"/>
      <c r="BF857" s="1366"/>
      <c r="BG857" s="1366"/>
      <c r="BH857" s="1366"/>
      <c r="BI857" s="1366"/>
      <c r="BJ857" s="1366"/>
      <c r="BK857" s="1366"/>
      <c r="BL857" s="1366"/>
      <c r="BM857" s="1366"/>
      <c r="BN857" s="1366"/>
      <c r="BO857" s="1366"/>
      <c r="BP857" s="1366"/>
      <c r="BQ857" s="1366"/>
      <c r="BR857" s="1366"/>
      <c r="BS857" s="1366"/>
      <c r="BT857" s="1366"/>
      <c r="BU857" s="1366"/>
      <c r="BV857" s="1366"/>
      <c r="BW857" s="1366"/>
      <c r="BX857" s="1366"/>
      <c r="BY857" s="1366"/>
      <c r="BZ857" s="1366"/>
      <c r="CA857" s="1366"/>
      <c r="CB857" s="1366"/>
      <c r="CC857" s="1366"/>
      <c r="CD857" s="1366"/>
      <c r="CE857" s="1366"/>
      <c r="CF857" s="1366"/>
      <c r="CG857" s="1366"/>
      <c r="CH857" s="1366"/>
      <c r="CI857" s="1366"/>
      <c r="CJ857" s="1366"/>
      <c r="CK857" s="1366"/>
      <c r="CL857" s="1366"/>
      <c r="CM857" s="1366"/>
      <c r="CN857" s="1366"/>
      <c r="CO857" s="1366"/>
      <c r="CP857" s="1366"/>
      <c r="CQ857" s="1366"/>
      <c r="CR857" s="1366"/>
      <c r="CS857" s="1366"/>
      <c r="CT857" s="1366"/>
      <c r="CU857" s="1366"/>
      <c r="CV857" s="1366"/>
      <c r="CW857" s="1366"/>
      <c r="CX857" s="1366"/>
      <c r="CY857" s="1366"/>
      <c r="CZ857" s="1366"/>
      <c r="DA857" s="1366"/>
      <c r="DB857" s="1366"/>
      <c r="DC857" s="1366"/>
      <c r="DD857" s="1366"/>
      <c r="DE857" s="1366"/>
      <c r="DF857" s="1366"/>
      <c r="DG857" s="1366"/>
      <c r="DH857" s="1366"/>
      <c r="DI857" s="1366"/>
      <c r="DJ857" s="1366"/>
      <c r="DK857" s="1366"/>
      <c r="DL857" s="1366"/>
      <c r="DM857" s="1366"/>
      <c r="DN857" s="1366"/>
      <c r="DO857" s="1366"/>
      <c r="DP857" s="1366"/>
      <c r="DQ857" s="1366"/>
      <c r="DR857" s="1366"/>
      <c r="DS857" s="1366"/>
      <c r="DT857" s="1366"/>
      <c r="DU857" s="1366"/>
      <c r="DV857" s="1366"/>
    </row>
    <row r="858" spans="1:126" s="1367" customFormat="1" ht="30">
      <c r="A858" s="2494"/>
      <c r="B858" s="1653">
        <v>9108</v>
      </c>
      <c r="C858" s="1642" t="s">
        <v>49</v>
      </c>
      <c r="D858" s="1375" t="s">
        <v>2217</v>
      </c>
      <c r="E858" s="1365" t="s">
        <v>2101</v>
      </c>
      <c r="F858" s="1364" t="s">
        <v>2107</v>
      </c>
      <c r="G858" s="1185" t="s">
        <v>2206</v>
      </c>
      <c r="H858" s="1383" t="s">
        <v>15</v>
      </c>
      <c r="I858" s="1450" t="s">
        <v>15</v>
      </c>
      <c r="J858" s="1384" t="s">
        <v>15</v>
      </c>
      <c r="K858" s="1384" t="s">
        <v>15</v>
      </c>
      <c r="L858" s="1432" t="s">
        <v>15</v>
      </c>
      <c r="M858" s="1384" t="s">
        <v>15</v>
      </c>
      <c r="N858" s="1461" t="s">
        <v>15</v>
      </c>
      <c r="O858" s="1361">
        <f>(('Equipment Results Matrix'!$R$923*15)+'Equipment Results Matrix'!$R$924+'Equipment Results Matrix'!$R$926+'Equipment Results Matrix'!$R$928+(16*'Equipment Results Matrix'!$R$930)+(43*'Equipment Results Matrix'!$R$931))*(1+'Equipment Results Matrix'!$T$932)</f>
        <v>0.34225777935219515</v>
      </c>
      <c r="P858" s="1371">
        <f>'Labor Results Matrix'!$E$431</f>
        <v>1.0750000000000003E-2</v>
      </c>
      <c r="Q858" s="1372">
        <f>('Labor Results Matrix'!$G$431*'Labor Results Matrix'!$E$431)*(1+'Labor Results Matrix'!$K$431)</f>
        <v>0.81156284961580516</v>
      </c>
      <c r="R858" s="1388">
        <v>0</v>
      </c>
      <c r="S858" s="1388">
        <v>0</v>
      </c>
      <c r="T858" s="1372">
        <f t="shared" si="270"/>
        <v>1.1538206289680004</v>
      </c>
      <c r="U858" s="1372">
        <f t="shared" si="271"/>
        <v>1.1538206289680004</v>
      </c>
      <c r="V858" s="1457">
        <v>0</v>
      </c>
      <c r="W858" s="1366"/>
      <c r="X858" s="1366"/>
      <c r="Y858" s="1366"/>
      <c r="Z858" s="1366"/>
      <c r="AA858" s="1366"/>
      <c r="AB858" s="1366"/>
      <c r="AC858" s="1366"/>
      <c r="AD858" s="1366"/>
      <c r="AE858" s="1366"/>
      <c r="AF858" s="1366"/>
      <c r="AG858" s="1366"/>
      <c r="AH858" s="1366"/>
      <c r="AI858" s="1366"/>
      <c r="AJ858" s="1366"/>
      <c r="AK858" s="1366"/>
      <c r="AL858" s="1366"/>
      <c r="AM858" s="1366"/>
      <c r="AN858" s="1366"/>
      <c r="AO858" s="1366"/>
      <c r="AP858" s="1366"/>
      <c r="AQ858" s="1366"/>
      <c r="AR858" s="1366"/>
      <c r="AS858" s="1366"/>
      <c r="AT858" s="1366"/>
      <c r="AU858" s="1366"/>
      <c r="AV858" s="1366"/>
      <c r="AW858" s="1366"/>
      <c r="AX858" s="1366"/>
      <c r="AY858" s="1366"/>
      <c r="AZ858" s="1366"/>
      <c r="BA858" s="1366"/>
      <c r="BB858" s="1366"/>
      <c r="BC858" s="1366"/>
      <c r="BD858" s="1366"/>
      <c r="BE858" s="1366"/>
      <c r="BF858" s="1366"/>
      <c r="BG858" s="1366"/>
      <c r="BH858" s="1366"/>
      <c r="BI858" s="1366"/>
      <c r="BJ858" s="1366"/>
      <c r="BK858" s="1366"/>
      <c r="BL858" s="1366"/>
      <c r="BM858" s="1366"/>
      <c r="BN858" s="1366"/>
      <c r="BO858" s="1366"/>
      <c r="BP858" s="1366"/>
      <c r="BQ858" s="1366"/>
      <c r="BR858" s="1366"/>
      <c r="BS858" s="1366"/>
      <c r="BT858" s="1366"/>
      <c r="BU858" s="1366"/>
      <c r="BV858" s="1366"/>
      <c r="BW858" s="1366"/>
      <c r="BX858" s="1366"/>
      <c r="BY858" s="1366"/>
      <c r="BZ858" s="1366"/>
      <c r="CA858" s="1366"/>
      <c r="CB858" s="1366"/>
      <c r="CC858" s="1366"/>
      <c r="CD858" s="1366"/>
      <c r="CE858" s="1366"/>
      <c r="CF858" s="1366"/>
      <c r="CG858" s="1366"/>
      <c r="CH858" s="1366"/>
      <c r="CI858" s="1366"/>
      <c r="CJ858" s="1366"/>
      <c r="CK858" s="1366"/>
      <c r="CL858" s="1366"/>
      <c r="CM858" s="1366"/>
      <c r="CN858" s="1366"/>
      <c r="CO858" s="1366"/>
      <c r="CP858" s="1366"/>
      <c r="CQ858" s="1366"/>
      <c r="CR858" s="1366"/>
      <c r="CS858" s="1366"/>
      <c r="CT858" s="1366"/>
      <c r="CU858" s="1366"/>
      <c r="CV858" s="1366"/>
      <c r="CW858" s="1366"/>
      <c r="CX858" s="1366"/>
      <c r="CY858" s="1366"/>
      <c r="CZ858" s="1366"/>
      <c r="DA858" s="1366"/>
      <c r="DB858" s="1366"/>
      <c r="DC858" s="1366"/>
      <c r="DD858" s="1366"/>
      <c r="DE858" s="1366"/>
      <c r="DF858" s="1366"/>
      <c r="DG858" s="1366"/>
      <c r="DH858" s="1366"/>
      <c r="DI858" s="1366"/>
      <c r="DJ858" s="1366"/>
      <c r="DK858" s="1366"/>
      <c r="DL858" s="1366"/>
      <c r="DM858" s="1366"/>
      <c r="DN858" s="1366"/>
      <c r="DO858" s="1366"/>
      <c r="DP858" s="1366"/>
      <c r="DQ858" s="1366"/>
      <c r="DR858" s="1366"/>
      <c r="DS858" s="1366"/>
      <c r="DT858" s="1366"/>
      <c r="DU858" s="1366"/>
      <c r="DV858" s="1366"/>
    </row>
    <row r="859" spans="1:126" s="1367" customFormat="1" ht="30">
      <c r="A859" s="2494"/>
      <c r="B859" s="1653">
        <v>9109</v>
      </c>
      <c r="C859" s="1642" t="s">
        <v>49</v>
      </c>
      <c r="D859" s="1375" t="s">
        <v>2218</v>
      </c>
      <c r="E859" s="1365" t="s">
        <v>2101</v>
      </c>
      <c r="F859" s="1364" t="s">
        <v>2107</v>
      </c>
      <c r="G859" s="1185" t="s">
        <v>2206</v>
      </c>
      <c r="H859" s="1383" t="s">
        <v>15</v>
      </c>
      <c r="I859" s="1450" t="s">
        <v>15</v>
      </c>
      <c r="J859" s="1384" t="s">
        <v>15</v>
      </c>
      <c r="K859" s="1384" t="s">
        <v>15</v>
      </c>
      <c r="L859" s="1432" t="s">
        <v>15</v>
      </c>
      <c r="M859" s="1384" t="s">
        <v>15</v>
      </c>
      <c r="N859" s="1461" t="s">
        <v>15</v>
      </c>
      <c r="O859" s="1361">
        <f>(('Equipment Results Matrix'!$R$923*19)+'Equipment Results Matrix'!$R$924+'Equipment Results Matrix'!$R$926+'Equipment Results Matrix'!$R$928+(16*'Equipment Results Matrix'!$R$930)+(43*'Equipment Results Matrix'!$R$931))*(1+'Equipment Results Matrix'!$T$932)</f>
        <v>0.4078754324721951</v>
      </c>
      <c r="P859" s="1371">
        <f>'Labor Results Matrix'!$E$431</f>
        <v>1.0750000000000003E-2</v>
      </c>
      <c r="Q859" s="1372">
        <f>('Labor Results Matrix'!$G$431*'Labor Results Matrix'!$E$431)*(1+'Labor Results Matrix'!$K$431)</f>
        <v>0.81156284961580516</v>
      </c>
      <c r="R859" s="1388">
        <v>0</v>
      </c>
      <c r="S859" s="1388">
        <v>0</v>
      </c>
      <c r="T859" s="1372">
        <f t="shared" si="270"/>
        <v>1.2194382820880003</v>
      </c>
      <c r="U859" s="1372">
        <f t="shared" si="271"/>
        <v>1.2194382820880003</v>
      </c>
      <c r="V859" s="1457">
        <v>0</v>
      </c>
      <c r="W859" s="1366"/>
      <c r="X859" s="1366"/>
      <c r="Y859" s="1366"/>
      <c r="Z859" s="1366"/>
      <c r="AA859" s="1366"/>
      <c r="AB859" s="1366"/>
      <c r="AC859" s="1366"/>
      <c r="AD859" s="1366"/>
      <c r="AE859" s="1366"/>
      <c r="AF859" s="1366"/>
      <c r="AG859" s="1366"/>
      <c r="AH859" s="1366"/>
      <c r="AI859" s="1366"/>
      <c r="AJ859" s="1366"/>
      <c r="AK859" s="1366"/>
      <c r="AL859" s="1366"/>
      <c r="AM859" s="1366"/>
      <c r="AN859" s="1366"/>
      <c r="AO859" s="1366"/>
      <c r="AP859" s="1366"/>
      <c r="AQ859" s="1366"/>
      <c r="AR859" s="1366"/>
      <c r="AS859" s="1366"/>
      <c r="AT859" s="1366"/>
      <c r="AU859" s="1366"/>
      <c r="AV859" s="1366"/>
      <c r="AW859" s="1366"/>
      <c r="AX859" s="1366"/>
      <c r="AY859" s="1366"/>
      <c r="AZ859" s="1366"/>
      <c r="BA859" s="1366"/>
      <c r="BB859" s="1366"/>
      <c r="BC859" s="1366"/>
      <c r="BD859" s="1366"/>
      <c r="BE859" s="1366"/>
      <c r="BF859" s="1366"/>
      <c r="BG859" s="1366"/>
      <c r="BH859" s="1366"/>
      <c r="BI859" s="1366"/>
      <c r="BJ859" s="1366"/>
      <c r="BK859" s="1366"/>
      <c r="BL859" s="1366"/>
      <c r="BM859" s="1366"/>
      <c r="BN859" s="1366"/>
      <c r="BO859" s="1366"/>
      <c r="BP859" s="1366"/>
      <c r="BQ859" s="1366"/>
      <c r="BR859" s="1366"/>
      <c r="BS859" s="1366"/>
      <c r="BT859" s="1366"/>
      <c r="BU859" s="1366"/>
      <c r="BV859" s="1366"/>
      <c r="BW859" s="1366"/>
      <c r="BX859" s="1366"/>
      <c r="BY859" s="1366"/>
      <c r="BZ859" s="1366"/>
      <c r="CA859" s="1366"/>
      <c r="CB859" s="1366"/>
      <c r="CC859" s="1366"/>
      <c r="CD859" s="1366"/>
      <c r="CE859" s="1366"/>
      <c r="CF859" s="1366"/>
      <c r="CG859" s="1366"/>
      <c r="CH859" s="1366"/>
      <c r="CI859" s="1366"/>
      <c r="CJ859" s="1366"/>
      <c r="CK859" s="1366"/>
      <c r="CL859" s="1366"/>
      <c r="CM859" s="1366"/>
      <c r="CN859" s="1366"/>
      <c r="CO859" s="1366"/>
      <c r="CP859" s="1366"/>
      <c r="CQ859" s="1366"/>
      <c r="CR859" s="1366"/>
      <c r="CS859" s="1366"/>
      <c r="CT859" s="1366"/>
      <c r="CU859" s="1366"/>
      <c r="CV859" s="1366"/>
      <c r="CW859" s="1366"/>
      <c r="CX859" s="1366"/>
      <c r="CY859" s="1366"/>
      <c r="CZ859" s="1366"/>
      <c r="DA859" s="1366"/>
      <c r="DB859" s="1366"/>
      <c r="DC859" s="1366"/>
      <c r="DD859" s="1366"/>
      <c r="DE859" s="1366"/>
      <c r="DF859" s="1366"/>
      <c r="DG859" s="1366"/>
      <c r="DH859" s="1366"/>
      <c r="DI859" s="1366"/>
      <c r="DJ859" s="1366"/>
      <c r="DK859" s="1366"/>
      <c r="DL859" s="1366"/>
      <c r="DM859" s="1366"/>
      <c r="DN859" s="1366"/>
      <c r="DO859" s="1366"/>
      <c r="DP859" s="1366"/>
      <c r="DQ859" s="1366"/>
      <c r="DR859" s="1366"/>
      <c r="DS859" s="1366"/>
      <c r="DT859" s="1366"/>
      <c r="DU859" s="1366"/>
      <c r="DV859" s="1366"/>
    </row>
    <row r="860" spans="1:126" s="1367" customFormat="1" ht="30">
      <c r="A860" s="2494"/>
      <c r="B860" s="1653">
        <v>9110</v>
      </c>
      <c r="C860" s="1642" t="s">
        <v>49</v>
      </c>
      <c r="D860" s="1375" t="s">
        <v>2219</v>
      </c>
      <c r="E860" s="1365" t="s">
        <v>2101</v>
      </c>
      <c r="F860" s="1364" t="s">
        <v>2107</v>
      </c>
      <c r="G860" s="1185" t="s">
        <v>2206</v>
      </c>
      <c r="H860" s="1383" t="s">
        <v>15</v>
      </c>
      <c r="I860" s="1450" t="s">
        <v>15</v>
      </c>
      <c r="J860" s="1384" t="s">
        <v>15</v>
      </c>
      <c r="K860" s="1384" t="s">
        <v>15</v>
      </c>
      <c r="L860" s="1432" t="s">
        <v>15</v>
      </c>
      <c r="M860" s="1384" t="s">
        <v>15</v>
      </c>
      <c r="N860" s="1461" t="s">
        <v>15</v>
      </c>
      <c r="O860" s="1361">
        <f>(('Equipment Results Matrix'!$R$923*21)+'Equipment Results Matrix'!$R$924+'Equipment Results Matrix'!$R$926+'Equipment Results Matrix'!$R$928+(16*'Equipment Results Matrix'!$R$930)+(43*'Equipment Results Matrix'!$R$931))*(1+'Equipment Results Matrix'!$T$932)</f>
        <v>0.44068425903219516</v>
      </c>
      <c r="P860" s="1371">
        <f>'Labor Results Matrix'!$E$431</f>
        <v>1.0750000000000003E-2</v>
      </c>
      <c r="Q860" s="1372">
        <f>('Labor Results Matrix'!$G$431*'Labor Results Matrix'!$E$431)*(1+'Labor Results Matrix'!$K$431)</f>
        <v>0.81156284961580516</v>
      </c>
      <c r="R860" s="1388">
        <v>0</v>
      </c>
      <c r="S860" s="1388">
        <v>0</v>
      </c>
      <c r="T860" s="1372">
        <f t="shared" si="270"/>
        <v>1.2522471086480003</v>
      </c>
      <c r="U860" s="1372">
        <f t="shared" si="271"/>
        <v>1.2522471086480003</v>
      </c>
      <c r="V860" s="1457">
        <v>0</v>
      </c>
      <c r="W860" s="1366"/>
      <c r="X860" s="1366"/>
      <c r="Y860" s="1366"/>
      <c r="Z860" s="1366"/>
      <c r="AA860" s="1366"/>
      <c r="AB860" s="1366"/>
      <c r="AC860" s="1366"/>
      <c r="AD860" s="1366"/>
      <c r="AE860" s="1366"/>
      <c r="AF860" s="1366"/>
      <c r="AG860" s="1366"/>
      <c r="AH860" s="1366"/>
      <c r="AI860" s="1366"/>
      <c r="AJ860" s="1366"/>
      <c r="AK860" s="1366"/>
      <c r="AL860" s="1366"/>
      <c r="AM860" s="1366"/>
      <c r="AN860" s="1366"/>
      <c r="AO860" s="1366"/>
      <c r="AP860" s="1366"/>
      <c r="AQ860" s="1366"/>
      <c r="AR860" s="1366"/>
      <c r="AS860" s="1366"/>
      <c r="AT860" s="1366"/>
      <c r="AU860" s="1366"/>
      <c r="AV860" s="1366"/>
      <c r="AW860" s="1366"/>
      <c r="AX860" s="1366"/>
      <c r="AY860" s="1366"/>
      <c r="AZ860" s="1366"/>
      <c r="BA860" s="1366"/>
      <c r="BB860" s="1366"/>
      <c r="BC860" s="1366"/>
      <c r="BD860" s="1366"/>
      <c r="BE860" s="1366"/>
      <c r="BF860" s="1366"/>
      <c r="BG860" s="1366"/>
      <c r="BH860" s="1366"/>
      <c r="BI860" s="1366"/>
      <c r="BJ860" s="1366"/>
      <c r="BK860" s="1366"/>
      <c r="BL860" s="1366"/>
      <c r="BM860" s="1366"/>
      <c r="BN860" s="1366"/>
      <c r="BO860" s="1366"/>
      <c r="BP860" s="1366"/>
      <c r="BQ860" s="1366"/>
      <c r="BR860" s="1366"/>
      <c r="BS860" s="1366"/>
      <c r="BT860" s="1366"/>
      <c r="BU860" s="1366"/>
      <c r="BV860" s="1366"/>
      <c r="BW860" s="1366"/>
      <c r="BX860" s="1366"/>
      <c r="BY860" s="1366"/>
      <c r="BZ860" s="1366"/>
      <c r="CA860" s="1366"/>
      <c r="CB860" s="1366"/>
      <c r="CC860" s="1366"/>
      <c r="CD860" s="1366"/>
      <c r="CE860" s="1366"/>
      <c r="CF860" s="1366"/>
      <c r="CG860" s="1366"/>
      <c r="CH860" s="1366"/>
      <c r="CI860" s="1366"/>
      <c r="CJ860" s="1366"/>
      <c r="CK860" s="1366"/>
      <c r="CL860" s="1366"/>
      <c r="CM860" s="1366"/>
      <c r="CN860" s="1366"/>
      <c r="CO860" s="1366"/>
      <c r="CP860" s="1366"/>
      <c r="CQ860" s="1366"/>
      <c r="CR860" s="1366"/>
      <c r="CS860" s="1366"/>
      <c r="CT860" s="1366"/>
      <c r="CU860" s="1366"/>
      <c r="CV860" s="1366"/>
      <c r="CW860" s="1366"/>
      <c r="CX860" s="1366"/>
      <c r="CY860" s="1366"/>
      <c r="CZ860" s="1366"/>
      <c r="DA860" s="1366"/>
      <c r="DB860" s="1366"/>
      <c r="DC860" s="1366"/>
      <c r="DD860" s="1366"/>
      <c r="DE860" s="1366"/>
      <c r="DF860" s="1366"/>
      <c r="DG860" s="1366"/>
      <c r="DH860" s="1366"/>
      <c r="DI860" s="1366"/>
      <c r="DJ860" s="1366"/>
      <c r="DK860" s="1366"/>
      <c r="DL860" s="1366"/>
      <c r="DM860" s="1366"/>
      <c r="DN860" s="1366"/>
      <c r="DO860" s="1366"/>
      <c r="DP860" s="1366"/>
      <c r="DQ860" s="1366"/>
      <c r="DR860" s="1366"/>
      <c r="DS860" s="1366"/>
      <c r="DT860" s="1366"/>
      <c r="DU860" s="1366"/>
      <c r="DV860" s="1366"/>
    </row>
    <row r="861" spans="1:126" s="1367" customFormat="1" ht="30">
      <c r="A861" s="2494"/>
      <c r="B861" s="1653">
        <v>9111</v>
      </c>
      <c r="C861" s="1642" t="s">
        <v>49</v>
      </c>
      <c r="D861" s="1375" t="s">
        <v>2220</v>
      </c>
      <c r="E861" s="1365" t="s">
        <v>2101</v>
      </c>
      <c r="F861" s="1364" t="s">
        <v>2107</v>
      </c>
      <c r="G861" s="1185" t="s">
        <v>2206</v>
      </c>
      <c r="H861" s="1383" t="s">
        <v>15</v>
      </c>
      <c r="I861" s="1450" t="s">
        <v>15</v>
      </c>
      <c r="J861" s="1384" t="s">
        <v>15</v>
      </c>
      <c r="K861" s="1384" t="s">
        <v>15</v>
      </c>
      <c r="L861" s="1432" t="s">
        <v>15</v>
      </c>
      <c r="M861" s="1384" t="s">
        <v>15</v>
      </c>
      <c r="N861" s="1461" t="s">
        <v>15</v>
      </c>
      <c r="O861" s="1361">
        <f>(('Equipment Results Matrix'!$R$923*13)+'Equipment Results Matrix'!$R$924+'Equipment Results Matrix'!$R$926+'Equipment Results Matrix'!$R$928+(16*'Equipment Results Matrix'!$R$930)+(43*'Equipment Results Matrix'!$R$931))*(1+'Equipment Results Matrix'!$T$932)</f>
        <v>0.30944895279219514</v>
      </c>
      <c r="P861" s="1371">
        <f>'Labor Results Matrix'!$E$431</f>
        <v>1.0750000000000003E-2</v>
      </c>
      <c r="Q861" s="1372">
        <f>('Labor Results Matrix'!$G$431*'Labor Results Matrix'!$E$431)*(1+'Labor Results Matrix'!$K$431)</f>
        <v>0.81156284961580516</v>
      </c>
      <c r="R861" s="1388">
        <v>0</v>
      </c>
      <c r="S861" s="1388">
        <v>0</v>
      </c>
      <c r="T861" s="1372">
        <f t="shared" si="270"/>
        <v>1.1210118024080002</v>
      </c>
      <c r="U861" s="1372">
        <f t="shared" si="271"/>
        <v>1.1210118024080002</v>
      </c>
      <c r="V861" s="1457">
        <v>0</v>
      </c>
      <c r="W861" s="1366"/>
      <c r="X861" s="1366"/>
      <c r="Y861" s="1366"/>
      <c r="Z861" s="1366"/>
      <c r="AA861" s="1366"/>
      <c r="AB861" s="1366"/>
      <c r="AC861" s="1366"/>
      <c r="AD861" s="1366"/>
      <c r="AE861" s="1366"/>
      <c r="AF861" s="1366"/>
      <c r="AG861" s="1366"/>
      <c r="AH861" s="1366"/>
      <c r="AI861" s="1366"/>
      <c r="AJ861" s="1366"/>
      <c r="AK861" s="1366"/>
      <c r="AL861" s="1366"/>
      <c r="AM861" s="1366"/>
      <c r="AN861" s="1366"/>
      <c r="AO861" s="1366"/>
      <c r="AP861" s="1366"/>
      <c r="AQ861" s="1366"/>
      <c r="AR861" s="1366"/>
      <c r="AS861" s="1366"/>
      <c r="AT861" s="1366"/>
      <c r="AU861" s="1366"/>
      <c r="AV861" s="1366"/>
      <c r="AW861" s="1366"/>
      <c r="AX861" s="1366"/>
      <c r="AY861" s="1366"/>
      <c r="AZ861" s="1366"/>
      <c r="BA861" s="1366"/>
      <c r="BB861" s="1366"/>
      <c r="BC861" s="1366"/>
      <c r="BD861" s="1366"/>
      <c r="BE861" s="1366"/>
      <c r="BF861" s="1366"/>
      <c r="BG861" s="1366"/>
      <c r="BH861" s="1366"/>
      <c r="BI861" s="1366"/>
      <c r="BJ861" s="1366"/>
      <c r="BK861" s="1366"/>
      <c r="BL861" s="1366"/>
      <c r="BM861" s="1366"/>
      <c r="BN861" s="1366"/>
      <c r="BO861" s="1366"/>
      <c r="BP861" s="1366"/>
      <c r="BQ861" s="1366"/>
      <c r="BR861" s="1366"/>
      <c r="BS861" s="1366"/>
      <c r="BT861" s="1366"/>
      <c r="BU861" s="1366"/>
      <c r="BV861" s="1366"/>
      <c r="BW861" s="1366"/>
      <c r="BX861" s="1366"/>
      <c r="BY861" s="1366"/>
      <c r="BZ861" s="1366"/>
      <c r="CA861" s="1366"/>
      <c r="CB861" s="1366"/>
      <c r="CC861" s="1366"/>
      <c r="CD861" s="1366"/>
      <c r="CE861" s="1366"/>
      <c r="CF861" s="1366"/>
      <c r="CG861" s="1366"/>
      <c r="CH861" s="1366"/>
      <c r="CI861" s="1366"/>
      <c r="CJ861" s="1366"/>
      <c r="CK861" s="1366"/>
      <c r="CL861" s="1366"/>
      <c r="CM861" s="1366"/>
      <c r="CN861" s="1366"/>
      <c r="CO861" s="1366"/>
      <c r="CP861" s="1366"/>
      <c r="CQ861" s="1366"/>
      <c r="CR861" s="1366"/>
      <c r="CS861" s="1366"/>
      <c r="CT861" s="1366"/>
      <c r="CU861" s="1366"/>
      <c r="CV861" s="1366"/>
      <c r="CW861" s="1366"/>
      <c r="CX861" s="1366"/>
      <c r="CY861" s="1366"/>
      <c r="CZ861" s="1366"/>
      <c r="DA861" s="1366"/>
      <c r="DB861" s="1366"/>
      <c r="DC861" s="1366"/>
      <c r="DD861" s="1366"/>
      <c r="DE861" s="1366"/>
      <c r="DF861" s="1366"/>
      <c r="DG861" s="1366"/>
      <c r="DH861" s="1366"/>
      <c r="DI861" s="1366"/>
      <c r="DJ861" s="1366"/>
      <c r="DK861" s="1366"/>
      <c r="DL861" s="1366"/>
      <c r="DM861" s="1366"/>
      <c r="DN861" s="1366"/>
      <c r="DO861" s="1366"/>
      <c r="DP861" s="1366"/>
      <c r="DQ861" s="1366"/>
      <c r="DR861" s="1366"/>
      <c r="DS861" s="1366"/>
      <c r="DT861" s="1366"/>
      <c r="DU861" s="1366"/>
      <c r="DV861" s="1366"/>
    </row>
    <row r="862" spans="1:126" s="1367" customFormat="1" ht="30">
      <c r="A862" s="2494"/>
      <c r="B862" s="1653">
        <v>9112</v>
      </c>
      <c r="C862" s="1642" t="s">
        <v>49</v>
      </c>
      <c r="D862" s="1375" t="s">
        <v>2221</v>
      </c>
      <c r="E862" s="1365" t="s">
        <v>2101</v>
      </c>
      <c r="F862" s="1364" t="s">
        <v>2107</v>
      </c>
      <c r="G862" s="1185" t="s">
        <v>2206</v>
      </c>
      <c r="H862" s="1383" t="s">
        <v>15</v>
      </c>
      <c r="I862" s="1450" t="s">
        <v>15</v>
      </c>
      <c r="J862" s="1384" t="s">
        <v>15</v>
      </c>
      <c r="K862" s="1384" t="s">
        <v>15</v>
      </c>
      <c r="L862" s="1432" t="s">
        <v>15</v>
      </c>
      <c r="M862" s="1384" t="s">
        <v>15</v>
      </c>
      <c r="N862" s="1461" t="s">
        <v>15</v>
      </c>
      <c r="O862" s="1361">
        <f>(('Equipment Results Matrix'!$R$923*19)+'Equipment Results Matrix'!$R$924+'Equipment Results Matrix'!$R$926+'Equipment Results Matrix'!$R$928+(16*'Equipment Results Matrix'!$R$930)+(43*'Equipment Results Matrix'!$R$931))*(1+'Equipment Results Matrix'!$T$932)</f>
        <v>0.4078754324721951</v>
      </c>
      <c r="P862" s="1371">
        <f>'Labor Results Matrix'!$E$431</f>
        <v>1.0750000000000003E-2</v>
      </c>
      <c r="Q862" s="1372">
        <f>('Labor Results Matrix'!$G$431*'Labor Results Matrix'!$E$431)*(1+'Labor Results Matrix'!$K$431)</f>
        <v>0.81156284961580516</v>
      </c>
      <c r="R862" s="1388">
        <v>0</v>
      </c>
      <c r="S862" s="1388">
        <v>0</v>
      </c>
      <c r="T862" s="1372">
        <f t="shared" si="270"/>
        <v>1.2194382820880003</v>
      </c>
      <c r="U862" s="1372">
        <f t="shared" si="271"/>
        <v>1.2194382820880003</v>
      </c>
      <c r="V862" s="1457">
        <v>0</v>
      </c>
      <c r="W862" s="1366"/>
      <c r="X862" s="1366"/>
      <c r="Y862" s="1366"/>
      <c r="Z862" s="1366"/>
      <c r="AA862" s="1366"/>
      <c r="AB862" s="1366"/>
      <c r="AC862" s="1366"/>
      <c r="AD862" s="1366"/>
      <c r="AE862" s="1366"/>
      <c r="AF862" s="1366"/>
      <c r="AG862" s="1366"/>
      <c r="AH862" s="1366"/>
      <c r="AI862" s="1366"/>
      <c r="AJ862" s="1366"/>
      <c r="AK862" s="1366"/>
      <c r="AL862" s="1366"/>
      <c r="AM862" s="1366"/>
      <c r="AN862" s="1366"/>
      <c r="AO862" s="1366"/>
      <c r="AP862" s="1366"/>
      <c r="AQ862" s="1366"/>
      <c r="AR862" s="1366"/>
      <c r="AS862" s="1366"/>
      <c r="AT862" s="1366"/>
      <c r="AU862" s="1366"/>
      <c r="AV862" s="1366"/>
      <c r="AW862" s="1366"/>
      <c r="AX862" s="1366"/>
      <c r="AY862" s="1366"/>
      <c r="AZ862" s="1366"/>
      <c r="BA862" s="1366"/>
      <c r="BB862" s="1366"/>
      <c r="BC862" s="1366"/>
      <c r="BD862" s="1366"/>
      <c r="BE862" s="1366"/>
      <c r="BF862" s="1366"/>
      <c r="BG862" s="1366"/>
      <c r="BH862" s="1366"/>
      <c r="BI862" s="1366"/>
      <c r="BJ862" s="1366"/>
      <c r="BK862" s="1366"/>
      <c r="BL862" s="1366"/>
      <c r="BM862" s="1366"/>
      <c r="BN862" s="1366"/>
      <c r="BO862" s="1366"/>
      <c r="BP862" s="1366"/>
      <c r="BQ862" s="1366"/>
      <c r="BR862" s="1366"/>
      <c r="BS862" s="1366"/>
      <c r="BT862" s="1366"/>
      <c r="BU862" s="1366"/>
      <c r="BV862" s="1366"/>
      <c r="BW862" s="1366"/>
      <c r="BX862" s="1366"/>
      <c r="BY862" s="1366"/>
      <c r="BZ862" s="1366"/>
      <c r="CA862" s="1366"/>
      <c r="CB862" s="1366"/>
      <c r="CC862" s="1366"/>
      <c r="CD862" s="1366"/>
      <c r="CE862" s="1366"/>
      <c r="CF862" s="1366"/>
      <c r="CG862" s="1366"/>
      <c r="CH862" s="1366"/>
      <c r="CI862" s="1366"/>
      <c r="CJ862" s="1366"/>
      <c r="CK862" s="1366"/>
      <c r="CL862" s="1366"/>
      <c r="CM862" s="1366"/>
      <c r="CN862" s="1366"/>
      <c r="CO862" s="1366"/>
      <c r="CP862" s="1366"/>
      <c r="CQ862" s="1366"/>
      <c r="CR862" s="1366"/>
      <c r="CS862" s="1366"/>
      <c r="CT862" s="1366"/>
      <c r="CU862" s="1366"/>
      <c r="CV862" s="1366"/>
      <c r="CW862" s="1366"/>
      <c r="CX862" s="1366"/>
      <c r="CY862" s="1366"/>
      <c r="CZ862" s="1366"/>
      <c r="DA862" s="1366"/>
      <c r="DB862" s="1366"/>
      <c r="DC862" s="1366"/>
      <c r="DD862" s="1366"/>
      <c r="DE862" s="1366"/>
      <c r="DF862" s="1366"/>
      <c r="DG862" s="1366"/>
      <c r="DH862" s="1366"/>
      <c r="DI862" s="1366"/>
      <c r="DJ862" s="1366"/>
      <c r="DK862" s="1366"/>
      <c r="DL862" s="1366"/>
      <c r="DM862" s="1366"/>
      <c r="DN862" s="1366"/>
      <c r="DO862" s="1366"/>
      <c r="DP862" s="1366"/>
      <c r="DQ862" s="1366"/>
      <c r="DR862" s="1366"/>
      <c r="DS862" s="1366"/>
      <c r="DT862" s="1366"/>
      <c r="DU862" s="1366"/>
      <c r="DV862" s="1366"/>
    </row>
    <row r="863" spans="1:126" s="1367" customFormat="1" ht="30.75" thickBot="1">
      <c r="A863" s="2495"/>
      <c r="B863" s="1653">
        <v>9113</v>
      </c>
      <c r="C863" s="1642" t="s">
        <v>49</v>
      </c>
      <c r="D863" s="1375" t="s">
        <v>2222</v>
      </c>
      <c r="E863" s="1365" t="s">
        <v>2101</v>
      </c>
      <c r="F863" s="1364" t="s">
        <v>2107</v>
      </c>
      <c r="G863" s="1185" t="s">
        <v>2206</v>
      </c>
      <c r="H863" s="1383" t="s">
        <v>15</v>
      </c>
      <c r="I863" s="1450" t="s">
        <v>15</v>
      </c>
      <c r="J863" s="1384" t="s">
        <v>15</v>
      </c>
      <c r="K863" s="1384" t="s">
        <v>15</v>
      </c>
      <c r="L863" s="1432" t="s">
        <v>15</v>
      </c>
      <c r="M863" s="1384" t="s">
        <v>15</v>
      </c>
      <c r="N863" s="1461" t="s">
        <v>15</v>
      </c>
      <c r="O863" s="1361">
        <f>(('Equipment Results Matrix'!$R$923*21)+'Equipment Results Matrix'!$R$924+'Equipment Results Matrix'!$R$926+'Equipment Results Matrix'!$R$928+(16*'Equipment Results Matrix'!$R$930)+(43*'Equipment Results Matrix'!$R$931))*(1+'Equipment Results Matrix'!$T$932)</f>
        <v>0.44068425903219516</v>
      </c>
      <c r="P863" s="1371">
        <f>'Labor Results Matrix'!$E$431</f>
        <v>1.0750000000000003E-2</v>
      </c>
      <c r="Q863" s="1372">
        <f>('Labor Results Matrix'!$G$431*'Labor Results Matrix'!$E$431)*(1+'Labor Results Matrix'!$K$431)</f>
        <v>0.81156284961580516</v>
      </c>
      <c r="R863" s="1388">
        <v>0</v>
      </c>
      <c r="S863" s="1388">
        <v>0</v>
      </c>
      <c r="T863" s="1372">
        <f t="shared" si="270"/>
        <v>1.2522471086480003</v>
      </c>
      <c r="U863" s="1372">
        <f t="shared" si="271"/>
        <v>1.2522471086480003</v>
      </c>
      <c r="V863" s="1457">
        <v>0</v>
      </c>
      <c r="W863" s="1366"/>
      <c r="X863" s="1366"/>
      <c r="Y863" s="1366"/>
      <c r="Z863" s="1366"/>
      <c r="AA863" s="1366"/>
      <c r="AB863" s="1366"/>
      <c r="AC863" s="1366"/>
      <c r="AD863" s="1366"/>
      <c r="AE863" s="1366"/>
      <c r="AF863" s="1366"/>
      <c r="AG863" s="1366"/>
      <c r="AH863" s="1366"/>
      <c r="AI863" s="1366"/>
      <c r="AJ863" s="1366"/>
      <c r="AK863" s="1366"/>
      <c r="AL863" s="1366"/>
      <c r="AM863" s="1366"/>
      <c r="AN863" s="1366"/>
      <c r="AO863" s="1366"/>
      <c r="AP863" s="1366"/>
      <c r="AQ863" s="1366"/>
      <c r="AR863" s="1366"/>
      <c r="AS863" s="1366"/>
      <c r="AT863" s="1366"/>
      <c r="AU863" s="1366"/>
      <c r="AV863" s="1366"/>
      <c r="AW863" s="1366"/>
      <c r="AX863" s="1366"/>
      <c r="AY863" s="1366"/>
      <c r="AZ863" s="1366"/>
      <c r="BA863" s="1366"/>
      <c r="BB863" s="1366"/>
      <c r="BC863" s="1366"/>
      <c r="BD863" s="1366"/>
      <c r="BE863" s="1366"/>
      <c r="BF863" s="1366"/>
      <c r="BG863" s="1366"/>
      <c r="BH863" s="1366"/>
      <c r="BI863" s="1366"/>
      <c r="BJ863" s="1366"/>
      <c r="BK863" s="1366"/>
      <c r="BL863" s="1366"/>
      <c r="BM863" s="1366"/>
      <c r="BN863" s="1366"/>
      <c r="BO863" s="1366"/>
      <c r="BP863" s="1366"/>
      <c r="BQ863" s="1366"/>
      <c r="BR863" s="1366"/>
      <c r="BS863" s="1366"/>
      <c r="BT863" s="1366"/>
      <c r="BU863" s="1366"/>
      <c r="BV863" s="1366"/>
      <c r="BW863" s="1366"/>
      <c r="BX863" s="1366"/>
      <c r="BY863" s="1366"/>
      <c r="BZ863" s="1366"/>
      <c r="CA863" s="1366"/>
      <c r="CB863" s="1366"/>
      <c r="CC863" s="1366"/>
      <c r="CD863" s="1366"/>
      <c r="CE863" s="1366"/>
      <c r="CF863" s="1366"/>
      <c r="CG863" s="1366"/>
      <c r="CH863" s="1366"/>
      <c r="CI863" s="1366"/>
      <c r="CJ863" s="1366"/>
      <c r="CK863" s="1366"/>
      <c r="CL863" s="1366"/>
      <c r="CM863" s="1366"/>
      <c r="CN863" s="1366"/>
      <c r="CO863" s="1366"/>
      <c r="CP863" s="1366"/>
      <c r="CQ863" s="1366"/>
      <c r="CR863" s="1366"/>
      <c r="CS863" s="1366"/>
      <c r="CT863" s="1366"/>
      <c r="CU863" s="1366"/>
      <c r="CV863" s="1366"/>
      <c r="CW863" s="1366"/>
      <c r="CX863" s="1366"/>
      <c r="CY863" s="1366"/>
      <c r="CZ863" s="1366"/>
      <c r="DA863" s="1366"/>
      <c r="DB863" s="1366"/>
      <c r="DC863" s="1366"/>
      <c r="DD863" s="1366"/>
      <c r="DE863" s="1366"/>
      <c r="DF863" s="1366"/>
      <c r="DG863" s="1366"/>
      <c r="DH863" s="1366"/>
      <c r="DI863" s="1366"/>
      <c r="DJ863" s="1366"/>
      <c r="DK863" s="1366"/>
      <c r="DL863" s="1366"/>
      <c r="DM863" s="1366"/>
      <c r="DN863" s="1366"/>
      <c r="DO863" s="1366"/>
      <c r="DP863" s="1366"/>
      <c r="DQ863" s="1366"/>
      <c r="DR863" s="1366"/>
      <c r="DS863" s="1366"/>
      <c r="DT863" s="1366"/>
      <c r="DU863" s="1366"/>
      <c r="DV863" s="1366"/>
    </row>
    <row r="864" spans="1:126" s="1367" customFormat="1" ht="24" thickBot="1">
      <c r="A864" s="721" t="s">
        <v>1112</v>
      </c>
      <c r="B864" s="1346"/>
      <c r="C864" s="1346"/>
      <c r="D864" s="1346"/>
      <c r="E864" s="1346"/>
      <c r="F864" s="1346"/>
      <c r="G864" s="1346"/>
      <c r="H864" s="1385"/>
      <c r="I864" s="1449"/>
      <c r="J864" s="1385"/>
      <c r="K864" s="1385"/>
      <c r="L864" s="1536"/>
      <c r="M864" s="1385"/>
      <c r="N864" s="1460"/>
      <c r="O864" s="1385"/>
      <c r="P864" s="1385"/>
      <c r="Q864" s="1385"/>
      <c r="R864" s="1385"/>
      <c r="S864" s="1385"/>
      <c r="T864" s="1385"/>
      <c r="U864" s="1385"/>
      <c r="V864" s="1460"/>
      <c r="W864" s="1366"/>
      <c r="X864" s="1366"/>
      <c r="Y864" s="1366"/>
      <c r="Z864" s="1366"/>
      <c r="AA864" s="1366"/>
      <c r="AB864" s="1366"/>
      <c r="AC864" s="1366"/>
      <c r="AD864" s="1366"/>
      <c r="AE864" s="1366"/>
      <c r="AF864" s="1366"/>
      <c r="AG864" s="1366"/>
      <c r="AH864" s="1366"/>
      <c r="AI864" s="1366"/>
      <c r="AJ864" s="1366"/>
      <c r="AK864" s="1366"/>
      <c r="AL864" s="1366"/>
      <c r="AM864" s="1366"/>
      <c r="AN864" s="1366"/>
      <c r="AO864" s="1366"/>
      <c r="AP864" s="1366"/>
      <c r="AQ864" s="1366"/>
      <c r="AR864" s="1366"/>
      <c r="AS864" s="1366"/>
      <c r="AT864" s="1366"/>
      <c r="AU864" s="1366"/>
      <c r="AV864" s="1366"/>
      <c r="AW864" s="1366"/>
      <c r="AX864" s="1366"/>
      <c r="AY864" s="1366"/>
      <c r="AZ864" s="1366"/>
      <c r="BA864" s="1366"/>
      <c r="BB864" s="1366"/>
      <c r="BC864" s="1366"/>
      <c r="BD864" s="1366"/>
      <c r="BE864" s="1366"/>
      <c r="BF864" s="1366"/>
      <c r="BG864" s="1366"/>
      <c r="BH864" s="1366"/>
      <c r="BI864" s="1366"/>
      <c r="BJ864" s="1366"/>
      <c r="BK864" s="1366"/>
      <c r="BL864" s="1366"/>
      <c r="BM864" s="1366"/>
      <c r="BN864" s="1366"/>
      <c r="BO864" s="1366"/>
      <c r="BP864" s="1366"/>
      <c r="BQ864" s="1366"/>
      <c r="BR864" s="1366"/>
      <c r="BS864" s="1366"/>
      <c r="BT864" s="1366"/>
      <c r="BU864" s="1366"/>
      <c r="BV864" s="1366"/>
      <c r="BW864" s="1366"/>
      <c r="BX864" s="1366"/>
      <c r="BY864" s="1366"/>
      <c r="BZ864" s="1366"/>
      <c r="CA864" s="1366"/>
      <c r="CB864" s="1366"/>
      <c r="CC864" s="1366"/>
      <c r="CD864" s="1366"/>
      <c r="CE864" s="1366"/>
      <c r="CF864" s="1366"/>
      <c r="CG864" s="1366"/>
      <c r="CH864" s="1366"/>
      <c r="CI864" s="1366"/>
      <c r="CJ864" s="1366"/>
      <c r="CK864" s="1366"/>
      <c r="CL864" s="1366"/>
      <c r="CM864" s="1366"/>
      <c r="CN864" s="1366"/>
      <c r="CO864" s="1366"/>
      <c r="CP864" s="1366"/>
      <c r="CQ864" s="1366"/>
      <c r="CR864" s="1366"/>
      <c r="CS864" s="1366"/>
      <c r="CT864" s="1366"/>
      <c r="CU864" s="1366"/>
      <c r="CV864" s="1366"/>
      <c r="CW864" s="1366"/>
      <c r="CX864" s="1366"/>
      <c r="CY864" s="1366"/>
      <c r="CZ864" s="1366"/>
      <c r="DA864" s="1366"/>
      <c r="DB864" s="1366"/>
      <c r="DC864" s="1366"/>
      <c r="DD864" s="1366"/>
      <c r="DE864" s="1366"/>
      <c r="DF864" s="1366"/>
      <c r="DG864" s="1366"/>
      <c r="DH864" s="1366"/>
      <c r="DI864" s="1366"/>
      <c r="DJ864" s="1366"/>
      <c r="DK864" s="1366"/>
      <c r="DL864" s="1366"/>
      <c r="DM864" s="1366"/>
      <c r="DN864" s="1366"/>
      <c r="DO864" s="1366"/>
      <c r="DP864" s="1366"/>
      <c r="DQ864" s="1366"/>
      <c r="DR864" s="1366"/>
      <c r="DS864" s="1366"/>
      <c r="DT864" s="1366"/>
      <c r="DU864" s="1366"/>
      <c r="DV864" s="1366"/>
    </row>
    <row r="865" spans="1:126" s="1367" customFormat="1">
      <c r="A865" s="2493" t="s">
        <v>195</v>
      </c>
      <c r="B865" s="1653" t="s">
        <v>2579</v>
      </c>
      <c r="C865" s="1642" t="s">
        <v>47</v>
      </c>
      <c r="D865" s="1364" t="s">
        <v>2200</v>
      </c>
      <c r="E865" s="1365" t="s">
        <v>2102</v>
      </c>
      <c r="F865" s="1364" t="s">
        <v>2109</v>
      </c>
      <c r="G865" s="1185" t="s">
        <v>2206</v>
      </c>
      <c r="H865" s="1383" t="s">
        <v>15</v>
      </c>
      <c r="I865" s="1450" t="s">
        <v>15</v>
      </c>
      <c r="J865" s="1384" t="s">
        <v>15</v>
      </c>
      <c r="K865" s="1384" t="s">
        <v>15</v>
      </c>
      <c r="L865" s="1432" t="s">
        <v>15</v>
      </c>
      <c r="M865" s="1384" t="s">
        <v>15</v>
      </c>
      <c r="N865" s="1461" t="s">
        <v>15</v>
      </c>
      <c r="O865" s="1361">
        <v>0</v>
      </c>
      <c r="P865" s="1371">
        <v>0</v>
      </c>
      <c r="Q865" s="1372">
        <v>0</v>
      </c>
      <c r="R865" s="1388">
        <v>0</v>
      </c>
      <c r="S865" s="1388">
        <v>0</v>
      </c>
      <c r="T865" s="1373">
        <v>0</v>
      </c>
      <c r="U865" s="1417" t="s">
        <v>40</v>
      </c>
      <c r="V865" s="1455" t="s">
        <v>40</v>
      </c>
      <c r="W865" s="1366"/>
      <c r="X865" s="1366"/>
      <c r="Y865" s="1366"/>
      <c r="Z865" s="1366"/>
      <c r="AA865" s="1366"/>
      <c r="AB865" s="1366"/>
      <c r="AC865" s="1366"/>
      <c r="AD865" s="1366"/>
      <c r="AE865" s="1366"/>
      <c r="AF865" s="1366"/>
      <c r="AG865" s="1366"/>
      <c r="AH865" s="1366"/>
      <c r="AI865" s="1366"/>
      <c r="AJ865" s="1366"/>
      <c r="AK865" s="1366"/>
      <c r="AL865" s="1366"/>
      <c r="AM865" s="1366"/>
      <c r="AN865" s="1366"/>
      <c r="AO865" s="1366"/>
      <c r="AP865" s="1366"/>
      <c r="AQ865" s="1366"/>
      <c r="AR865" s="1366"/>
      <c r="AS865" s="1366"/>
      <c r="AT865" s="1366"/>
      <c r="AU865" s="1366"/>
      <c r="AV865" s="1366"/>
      <c r="AW865" s="1366"/>
      <c r="AX865" s="1366"/>
      <c r="AY865" s="1366"/>
      <c r="AZ865" s="1366"/>
      <c r="BA865" s="1366"/>
      <c r="BB865" s="1366"/>
      <c r="BC865" s="1366"/>
      <c r="BD865" s="1366"/>
      <c r="BE865" s="1366"/>
      <c r="BF865" s="1366"/>
      <c r="BG865" s="1366"/>
      <c r="BH865" s="1366"/>
      <c r="BI865" s="1366"/>
      <c r="BJ865" s="1366"/>
      <c r="BK865" s="1366"/>
      <c r="BL865" s="1366"/>
      <c r="BM865" s="1366"/>
      <c r="BN865" s="1366"/>
      <c r="BO865" s="1366"/>
      <c r="BP865" s="1366"/>
      <c r="BQ865" s="1366"/>
      <c r="BR865" s="1366"/>
      <c r="BS865" s="1366"/>
      <c r="BT865" s="1366"/>
      <c r="BU865" s="1366"/>
      <c r="BV865" s="1366"/>
      <c r="BW865" s="1366"/>
      <c r="BX865" s="1366"/>
      <c r="BY865" s="1366"/>
      <c r="BZ865" s="1366"/>
      <c r="CA865" s="1366"/>
      <c r="CB865" s="1366"/>
      <c r="CC865" s="1366"/>
      <c r="CD865" s="1366"/>
      <c r="CE865" s="1366"/>
      <c r="CF865" s="1366"/>
      <c r="CG865" s="1366"/>
      <c r="CH865" s="1366"/>
      <c r="CI865" s="1366"/>
      <c r="CJ865" s="1366"/>
      <c r="CK865" s="1366"/>
      <c r="CL865" s="1366"/>
      <c r="CM865" s="1366"/>
      <c r="CN865" s="1366"/>
      <c r="CO865" s="1366"/>
      <c r="CP865" s="1366"/>
      <c r="CQ865" s="1366"/>
      <c r="CR865" s="1366"/>
      <c r="CS865" s="1366"/>
      <c r="CT865" s="1366"/>
      <c r="CU865" s="1366"/>
      <c r="CV865" s="1366"/>
      <c r="CW865" s="1366"/>
      <c r="CX865" s="1366"/>
      <c r="CY865" s="1366"/>
      <c r="CZ865" s="1366"/>
      <c r="DA865" s="1366"/>
      <c r="DB865" s="1366"/>
      <c r="DC865" s="1366"/>
      <c r="DD865" s="1366"/>
      <c r="DE865" s="1366"/>
      <c r="DF865" s="1366"/>
      <c r="DG865" s="1366"/>
      <c r="DH865" s="1366"/>
      <c r="DI865" s="1366"/>
      <c r="DJ865" s="1366"/>
      <c r="DK865" s="1366"/>
      <c r="DL865" s="1366"/>
      <c r="DM865" s="1366"/>
      <c r="DN865" s="1366"/>
      <c r="DO865" s="1366"/>
      <c r="DP865" s="1366"/>
      <c r="DQ865" s="1366"/>
      <c r="DR865" s="1366"/>
      <c r="DS865" s="1366"/>
      <c r="DT865" s="1366"/>
      <c r="DU865" s="1366"/>
      <c r="DV865" s="1366"/>
    </row>
    <row r="866" spans="1:126" s="1367" customFormat="1" ht="30">
      <c r="A866" s="2494"/>
      <c r="B866" s="1653" t="s">
        <v>2580</v>
      </c>
      <c r="C866" s="1642" t="s">
        <v>49</v>
      </c>
      <c r="D866" s="1375" t="s">
        <v>2104</v>
      </c>
      <c r="E866" s="1365" t="s">
        <v>2102</v>
      </c>
      <c r="F866" s="1364" t="s">
        <v>2109</v>
      </c>
      <c r="G866" s="1185" t="s">
        <v>2206</v>
      </c>
      <c r="H866" s="1383" t="s">
        <v>15</v>
      </c>
      <c r="I866" s="1450" t="s">
        <v>15</v>
      </c>
      <c r="J866" s="1384" t="s">
        <v>15</v>
      </c>
      <c r="K866" s="1384" t="s">
        <v>15</v>
      </c>
      <c r="L866" s="1432" t="s">
        <v>15</v>
      </c>
      <c r="M866" s="1384" t="s">
        <v>15</v>
      </c>
      <c r="N866" s="1461" t="s">
        <v>15</v>
      </c>
      <c r="O866" s="1361">
        <f>('Equipment Results Matrix'!$R$940+'Equipment Results Matrix'!$R$942+'Equipment Results Matrix'!$R$944+'Equipment Results Matrix'!$T$947)*(1+'Equipment Results Matrix'!$T$949)</f>
        <v>0.45943421052631583</v>
      </c>
      <c r="P866" s="1524">
        <f>'Labor Results Matrix'!E448</f>
        <v>3.4321064814814813E-3</v>
      </c>
      <c r="Q866" s="1372">
        <f>'Labor Results Matrix'!$E$448*'Labor Results Matrix'!$G$448*(1+'Labor Results Matrix'!$K$448)</f>
        <v>0.17117631076388887</v>
      </c>
      <c r="R866" s="1372">
        <f>'Labor Results Matrix'!$I$448*(1+'Labor Results Matrix'!$K$448)</f>
        <v>3.0712756283068784E-2</v>
      </c>
      <c r="S866" s="1384" t="s">
        <v>15</v>
      </c>
      <c r="T866" s="1372">
        <f>O866+Q866+R866</f>
        <v>0.66132327757327347</v>
      </c>
      <c r="U866" s="1372">
        <f>T866-$T$865</f>
        <v>0.66132327757327347</v>
      </c>
      <c r="V866" s="1461" t="s">
        <v>15</v>
      </c>
      <c r="W866" s="1366"/>
      <c r="X866" s="1366"/>
      <c r="Y866" s="1366"/>
      <c r="Z866" s="1366"/>
      <c r="AA866" s="1366"/>
      <c r="AB866" s="1366"/>
      <c r="AC866" s="1366"/>
      <c r="AD866" s="1366"/>
      <c r="AE866" s="1366"/>
      <c r="AF866" s="1366"/>
      <c r="AG866" s="1366"/>
      <c r="AH866" s="1366"/>
      <c r="AI866" s="1366"/>
      <c r="AJ866" s="1366"/>
      <c r="AK866" s="1366"/>
      <c r="AL866" s="1366"/>
      <c r="AM866" s="1366"/>
      <c r="AN866" s="1366"/>
      <c r="AO866" s="1366"/>
      <c r="AP866" s="1366"/>
      <c r="AQ866" s="1366"/>
      <c r="AR866" s="1366"/>
      <c r="AS866" s="1366"/>
      <c r="AT866" s="1366"/>
      <c r="AU866" s="1366"/>
      <c r="AV866" s="1366"/>
      <c r="AW866" s="1366"/>
      <c r="AX866" s="1366"/>
      <c r="AY866" s="1366"/>
      <c r="AZ866" s="1366"/>
      <c r="BA866" s="1366"/>
      <c r="BB866" s="1366"/>
      <c r="BC866" s="1366"/>
      <c r="BD866" s="1366"/>
      <c r="BE866" s="1366"/>
      <c r="BF866" s="1366"/>
      <c r="BG866" s="1366"/>
      <c r="BH866" s="1366"/>
      <c r="BI866" s="1366"/>
      <c r="BJ866" s="1366"/>
      <c r="BK866" s="1366"/>
      <c r="BL866" s="1366"/>
      <c r="BM866" s="1366"/>
      <c r="BN866" s="1366"/>
      <c r="BO866" s="1366"/>
      <c r="BP866" s="1366"/>
      <c r="BQ866" s="1366"/>
      <c r="BR866" s="1366"/>
      <c r="BS866" s="1366"/>
      <c r="BT866" s="1366"/>
      <c r="BU866" s="1366"/>
      <c r="BV866" s="1366"/>
      <c r="BW866" s="1366"/>
      <c r="BX866" s="1366"/>
      <c r="BY866" s="1366"/>
      <c r="BZ866" s="1366"/>
      <c r="CA866" s="1366"/>
      <c r="CB866" s="1366"/>
      <c r="CC866" s="1366"/>
      <c r="CD866" s="1366"/>
      <c r="CE866" s="1366"/>
      <c r="CF866" s="1366"/>
      <c r="CG866" s="1366"/>
      <c r="CH866" s="1366"/>
      <c r="CI866" s="1366"/>
      <c r="CJ866" s="1366"/>
      <c r="CK866" s="1366"/>
      <c r="CL866" s="1366"/>
      <c r="CM866" s="1366"/>
      <c r="CN866" s="1366"/>
      <c r="CO866" s="1366"/>
      <c r="CP866" s="1366"/>
      <c r="CQ866" s="1366"/>
      <c r="CR866" s="1366"/>
      <c r="CS866" s="1366"/>
      <c r="CT866" s="1366"/>
      <c r="CU866" s="1366"/>
      <c r="CV866" s="1366"/>
      <c r="CW866" s="1366"/>
      <c r="CX866" s="1366"/>
      <c r="CY866" s="1366"/>
      <c r="CZ866" s="1366"/>
      <c r="DA866" s="1366"/>
      <c r="DB866" s="1366"/>
      <c r="DC866" s="1366"/>
      <c r="DD866" s="1366"/>
      <c r="DE866" s="1366"/>
      <c r="DF866" s="1366"/>
      <c r="DG866" s="1366"/>
      <c r="DH866" s="1366"/>
      <c r="DI866" s="1366"/>
      <c r="DJ866" s="1366"/>
      <c r="DK866" s="1366"/>
      <c r="DL866" s="1366"/>
      <c r="DM866" s="1366"/>
      <c r="DN866" s="1366"/>
      <c r="DO866" s="1366"/>
      <c r="DP866" s="1366"/>
      <c r="DQ866" s="1366"/>
      <c r="DR866" s="1366"/>
      <c r="DS866" s="1366"/>
      <c r="DT866" s="1366"/>
      <c r="DU866" s="1366"/>
      <c r="DV866" s="1366"/>
    </row>
    <row r="867" spans="1:126" s="1367" customFormat="1" ht="30.75" thickBot="1">
      <c r="A867" s="2495"/>
      <c r="B867" s="1653">
        <v>18</v>
      </c>
      <c r="C867" s="1642" t="s">
        <v>49</v>
      </c>
      <c r="D867" s="1375" t="s">
        <v>2105</v>
      </c>
      <c r="E867" s="1365" t="s">
        <v>2102</v>
      </c>
      <c r="F867" s="1364" t="s">
        <v>2109</v>
      </c>
      <c r="G867" s="1185" t="s">
        <v>2206</v>
      </c>
      <c r="H867" s="1383" t="s">
        <v>15</v>
      </c>
      <c r="I867" s="1450" t="s">
        <v>15</v>
      </c>
      <c r="J867" s="1384" t="s">
        <v>15</v>
      </c>
      <c r="K867" s="1384" t="s">
        <v>15</v>
      </c>
      <c r="L867" s="1432" t="s">
        <v>15</v>
      </c>
      <c r="M867" s="1384" t="s">
        <v>15</v>
      </c>
      <c r="N867" s="1461" t="s">
        <v>15</v>
      </c>
      <c r="O867" s="1361">
        <f>('Equipment Results Matrix'!$R$940+'Equipment Results Matrix'!$R$942+'Equipment Results Matrix'!$R$944+'Equipment Results Matrix'!$T$947)*(1+'Equipment Results Matrix'!$T$949)</f>
        <v>0.45943421052631583</v>
      </c>
      <c r="P867" s="1524">
        <f>'Labor Results Matrix'!E448</f>
        <v>3.4321064814814813E-3</v>
      </c>
      <c r="Q867" s="1372">
        <f>'Labor Results Matrix'!$E$448*'Labor Results Matrix'!$G$448*(1+'Labor Results Matrix'!$K$448)</f>
        <v>0.17117631076388887</v>
      </c>
      <c r="R867" s="1372">
        <f>'Labor Results Matrix'!$I$448*(1+'Labor Results Matrix'!$K$448)</f>
        <v>3.0712756283068784E-2</v>
      </c>
      <c r="S867" s="1384" t="s">
        <v>15</v>
      </c>
      <c r="T867" s="1372">
        <f>O867+Q867+R867</f>
        <v>0.66132327757327347</v>
      </c>
      <c r="U867" s="1372">
        <f>T867-$T$865</f>
        <v>0.66132327757327347</v>
      </c>
      <c r="V867" s="1461" t="s">
        <v>15</v>
      </c>
      <c r="W867" s="1366"/>
      <c r="X867" s="1366"/>
      <c r="Y867" s="1366"/>
      <c r="Z867" s="1366"/>
      <c r="AA867" s="1366"/>
      <c r="AB867" s="1366"/>
      <c r="AC867" s="1366"/>
      <c r="AD867" s="1366"/>
      <c r="AE867" s="1366"/>
      <c r="AF867" s="1366"/>
      <c r="AG867" s="1366"/>
      <c r="AH867" s="1366"/>
      <c r="AI867" s="1366"/>
      <c r="AJ867" s="1366"/>
      <c r="AK867" s="1366"/>
      <c r="AL867" s="1366"/>
      <c r="AM867" s="1366"/>
      <c r="AN867" s="1366"/>
      <c r="AO867" s="1366"/>
      <c r="AP867" s="1366"/>
      <c r="AQ867" s="1366"/>
      <c r="AR867" s="1366"/>
      <c r="AS867" s="1366"/>
      <c r="AT867" s="1366"/>
      <c r="AU867" s="1366"/>
      <c r="AV867" s="1366"/>
      <c r="AW867" s="1366"/>
      <c r="AX867" s="1366"/>
      <c r="AY867" s="1366"/>
      <c r="AZ867" s="1366"/>
      <c r="BA867" s="1366"/>
      <c r="BB867" s="1366"/>
      <c r="BC867" s="1366"/>
      <c r="BD867" s="1366"/>
      <c r="BE867" s="1366"/>
      <c r="BF867" s="1366"/>
      <c r="BG867" s="1366"/>
      <c r="BH867" s="1366"/>
      <c r="BI867" s="1366"/>
      <c r="BJ867" s="1366"/>
      <c r="BK867" s="1366"/>
      <c r="BL867" s="1366"/>
      <c r="BM867" s="1366"/>
      <c r="BN867" s="1366"/>
      <c r="BO867" s="1366"/>
      <c r="BP867" s="1366"/>
      <c r="BQ867" s="1366"/>
      <c r="BR867" s="1366"/>
      <c r="BS867" s="1366"/>
      <c r="BT867" s="1366"/>
      <c r="BU867" s="1366"/>
      <c r="BV867" s="1366"/>
      <c r="BW867" s="1366"/>
      <c r="BX867" s="1366"/>
      <c r="BY867" s="1366"/>
      <c r="BZ867" s="1366"/>
      <c r="CA867" s="1366"/>
      <c r="CB867" s="1366"/>
      <c r="CC867" s="1366"/>
      <c r="CD867" s="1366"/>
      <c r="CE867" s="1366"/>
      <c r="CF867" s="1366"/>
      <c r="CG867" s="1366"/>
      <c r="CH867" s="1366"/>
      <c r="CI867" s="1366"/>
      <c r="CJ867" s="1366"/>
      <c r="CK867" s="1366"/>
      <c r="CL867" s="1366"/>
      <c r="CM867" s="1366"/>
      <c r="CN867" s="1366"/>
      <c r="CO867" s="1366"/>
      <c r="CP867" s="1366"/>
      <c r="CQ867" s="1366"/>
      <c r="CR867" s="1366"/>
      <c r="CS867" s="1366"/>
      <c r="CT867" s="1366"/>
      <c r="CU867" s="1366"/>
      <c r="CV867" s="1366"/>
      <c r="CW867" s="1366"/>
      <c r="CX867" s="1366"/>
      <c r="CY867" s="1366"/>
      <c r="CZ867" s="1366"/>
      <c r="DA867" s="1366"/>
      <c r="DB867" s="1366"/>
      <c r="DC867" s="1366"/>
      <c r="DD867" s="1366"/>
      <c r="DE867" s="1366"/>
      <c r="DF867" s="1366"/>
      <c r="DG867" s="1366"/>
      <c r="DH867" s="1366"/>
      <c r="DI867" s="1366"/>
      <c r="DJ867" s="1366"/>
      <c r="DK867" s="1366"/>
      <c r="DL867" s="1366"/>
      <c r="DM867" s="1366"/>
      <c r="DN867" s="1366"/>
      <c r="DO867" s="1366"/>
      <c r="DP867" s="1366"/>
      <c r="DQ867" s="1366"/>
      <c r="DR867" s="1366"/>
      <c r="DS867" s="1366"/>
      <c r="DT867" s="1366"/>
      <c r="DU867" s="1366"/>
      <c r="DV867" s="1366"/>
    </row>
    <row r="868" spans="1:126" s="1479" customFormat="1" ht="19.5" thickBot="1">
      <c r="A868" s="695"/>
      <c r="B868" s="1660"/>
      <c r="C868" s="1660"/>
      <c r="D868" s="699"/>
      <c r="E868" s="699"/>
      <c r="F868" s="699"/>
      <c r="G868" s="699"/>
      <c r="H868" s="1386"/>
      <c r="I868" s="1445"/>
      <c r="J868" s="1387"/>
      <c r="K868" s="1386"/>
      <c r="L868" s="1531"/>
      <c r="M868" s="1386"/>
      <c r="N868" s="1491"/>
      <c r="O868" s="1386"/>
      <c r="P868" s="1387"/>
      <c r="Q868" s="1387"/>
      <c r="R868" s="1445"/>
      <c r="S868" s="1445"/>
      <c r="T868" s="1492"/>
      <c r="U868" s="1492"/>
      <c r="V868" s="1491"/>
      <c r="W868" s="1490"/>
      <c r="X868" s="1490"/>
      <c r="Y868" s="327"/>
      <c r="Z868" s="327"/>
      <c r="AA868" s="327"/>
      <c r="AB868" s="1490"/>
      <c r="AC868" s="1490"/>
      <c r="AD868" s="1490"/>
      <c r="AE868" s="1490"/>
      <c r="AF868" s="327"/>
      <c r="AG868" s="327"/>
      <c r="AH868" s="327"/>
      <c r="AI868" s="327"/>
      <c r="AJ868" s="327"/>
      <c r="AK868" s="1478"/>
      <c r="AL868" s="1478"/>
      <c r="AM868" s="1478"/>
      <c r="AN868" s="1478"/>
      <c r="AO868" s="1478"/>
      <c r="AP868" s="1478"/>
      <c r="AQ868" s="1478"/>
      <c r="AR868" s="1478"/>
      <c r="AS868" s="1478"/>
      <c r="AT868" s="1478"/>
      <c r="AU868" s="1478"/>
      <c r="AV868" s="1478"/>
      <c r="AW868" s="1478"/>
      <c r="AX868" s="1478"/>
      <c r="AY868" s="1478"/>
      <c r="AZ868" s="1478"/>
      <c r="BA868" s="1478"/>
      <c r="BB868" s="1478"/>
      <c r="BC868" s="1478"/>
      <c r="BD868" s="1478"/>
      <c r="BE868" s="1478"/>
      <c r="BF868" s="1478"/>
      <c r="BG868" s="1478"/>
      <c r="BH868" s="1478"/>
      <c r="BI868" s="1478"/>
      <c r="BJ868" s="1478"/>
      <c r="BK868" s="327"/>
      <c r="BL868" s="327"/>
      <c r="BM868" s="327"/>
      <c r="BN868" s="327"/>
      <c r="BO868" s="327"/>
      <c r="BP868" s="327"/>
      <c r="BQ868" s="327"/>
      <c r="BR868" s="327"/>
      <c r="BS868" s="327"/>
      <c r="BT868" s="327"/>
      <c r="BU868" s="327"/>
      <c r="BV868" s="327"/>
      <c r="BW868" s="327"/>
      <c r="BX868" s="327"/>
      <c r="BY868" s="327"/>
      <c r="BZ868" s="327"/>
      <c r="CA868" s="327"/>
      <c r="CB868" s="327"/>
      <c r="CC868" s="327"/>
      <c r="CD868" s="327"/>
      <c r="CE868" s="327"/>
      <c r="CF868" s="327"/>
      <c r="CG868" s="327"/>
      <c r="CH868" s="327"/>
      <c r="CI868" s="327"/>
      <c r="CJ868" s="327"/>
      <c r="CK868" s="327"/>
      <c r="CL868" s="327"/>
      <c r="CM868" s="327"/>
      <c r="CN868" s="327"/>
      <c r="CO868" s="327"/>
      <c r="CP868" s="327"/>
      <c r="CQ868" s="327"/>
      <c r="CR868" s="327"/>
      <c r="CS868" s="327"/>
      <c r="CT868" s="327"/>
      <c r="CU868" s="327"/>
      <c r="CV868" s="327"/>
      <c r="CW868" s="327"/>
      <c r="CX868" s="327"/>
      <c r="CY868" s="327"/>
      <c r="CZ868" s="327"/>
      <c r="DA868" s="327"/>
      <c r="DB868" s="327"/>
      <c r="DC868" s="327"/>
      <c r="DD868" s="327"/>
      <c r="DE868" s="327"/>
      <c r="DF868" s="327"/>
      <c r="DG868" s="327"/>
      <c r="DH868" s="327"/>
      <c r="DI868" s="327"/>
      <c r="DJ868" s="327"/>
      <c r="DK868" s="327"/>
      <c r="DL868" s="327"/>
      <c r="DM868" s="327"/>
      <c r="DN868" s="327"/>
      <c r="DO868" s="327"/>
      <c r="DP868" s="327"/>
      <c r="DQ868" s="327"/>
      <c r="DR868" s="327"/>
      <c r="DS868" s="327"/>
      <c r="DT868" s="327"/>
      <c r="DU868" s="327"/>
      <c r="DV868" s="327"/>
    </row>
    <row r="869" spans="1:126" s="1367" customFormat="1">
      <c r="A869" s="2493" t="s">
        <v>479</v>
      </c>
      <c r="B869" s="1653" t="s">
        <v>2567</v>
      </c>
      <c r="C869" s="1642" t="s">
        <v>47</v>
      </c>
      <c r="D869" s="1364" t="s">
        <v>2568</v>
      </c>
      <c r="E869" s="1365" t="s">
        <v>2102</v>
      </c>
      <c r="F869" s="1365" t="s">
        <v>2438</v>
      </c>
      <c r="G869" s="1185" t="s">
        <v>2206</v>
      </c>
      <c r="H869" s="1383" t="s">
        <v>15</v>
      </c>
      <c r="I869" s="1450" t="s">
        <v>15</v>
      </c>
      <c r="J869" s="1384" t="s">
        <v>15</v>
      </c>
      <c r="K869" s="1384" t="s">
        <v>15</v>
      </c>
      <c r="L869" s="1432" t="s">
        <v>15</v>
      </c>
      <c r="M869" s="1384" t="s">
        <v>15</v>
      </c>
      <c r="N869" s="1461" t="s">
        <v>15</v>
      </c>
      <c r="O869" s="1361">
        <v>0</v>
      </c>
      <c r="P869" s="1371">
        <v>0</v>
      </c>
      <c r="Q869" s="1372">
        <v>0</v>
      </c>
      <c r="R869" s="1388">
        <v>0</v>
      </c>
      <c r="S869" s="1388">
        <v>0</v>
      </c>
      <c r="T869" s="1373">
        <v>0</v>
      </c>
      <c r="U869" s="1417" t="s">
        <v>40</v>
      </c>
      <c r="V869" s="1455" t="s">
        <v>40</v>
      </c>
      <c r="W869" s="1366"/>
      <c r="X869" s="1366"/>
      <c r="Y869" s="1366"/>
      <c r="Z869" s="1366"/>
      <c r="AA869" s="1366"/>
      <c r="AB869" s="1366"/>
      <c r="AC869" s="1366"/>
      <c r="AD869" s="1366"/>
      <c r="AE869" s="1366"/>
      <c r="AF869" s="1366"/>
      <c r="AG869" s="1366"/>
      <c r="AH869" s="1366"/>
      <c r="AI869" s="1366"/>
      <c r="AJ869" s="1366"/>
      <c r="AK869" s="1366"/>
      <c r="AL869" s="1366"/>
      <c r="AM869" s="1366"/>
      <c r="AN869" s="1366"/>
      <c r="AO869" s="1366"/>
      <c r="AP869" s="1366"/>
      <c r="AQ869" s="1366"/>
      <c r="AR869" s="1366"/>
      <c r="AS869" s="1366"/>
      <c r="AT869" s="1366"/>
      <c r="AU869" s="1366"/>
      <c r="AV869" s="1366"/>
      <c r="AW869" s="1366"/>
      <c r="AX869" s="1366"/>
      <c r="AY869" s="1366"/>
      <c r="AZ869" s="1366"/>
      <c r="BA869" s="1366"/>
      <c r="BB869" s="1366"/>
      <c r="BC869" s="1366"/>
      <c r="BD869" s="1366"/>
      <c r="BE869" s="1366"/>
      <c r="BF869" s="1366"/>
      <c r="BG869" s="1366"/>
      <c r="BH869" s="1366"/>
      <c r="BI869" s="1366"/>
      <c r="BJ869" s="1366"/>
      <c r="BK869" s="1366"/>
      <c r="BL869" s="1366"/>
      <c r="BM869" s="1366"/>
      <c r="BN869" s="1366"/>
      <c r="BO869" s="1366"/>
      <c r="BP869" s="1366"/>
      <c r="BQ869" s="1366"/>
      <c r="BR869" s="1366"/>
      <c r="BS869" s="1366"/>
      <c r="BT869" s="1366"/>
      <c r="BU869" s="1366"/>
      <c r="BV869" s="1366"/>
      <c r="BW869" s="1366"/>
      <c r="BX869" s="1366"/>
      <c r="BY869" s="1366"/>
      <c r="BZ869" s="1366"/>
      <c r="CA869" s="1366"/>
      <c r="CB869" s="1366"/>
      <c r="CC869" s="1366"/>
      <c r="CD869" s="1366"/>
      <c r="CE869" s="1366"/>
      <c r="CF869" s="1366"/>
      <c r="CG869" s="1366"/>
      <c r="CH869" s="1366"/>
      <c r="CI869" s="1366"/>
      <c r="CJ869" s="1366"/>
      <c r="CK869" s="1366"/>
      <c r="CL869" s="1366"/>
      <c r="CM869" s="1366"/>
      <c r="CN869" s="1366"/>
      <c r="CO869" s="1366"/>
      <c r="CP869" s="1366"/>
      <c r="CQ869" s="1366"/>
      <c r="CR869" s="1366"/>
      <c r="CS869" s="1366"/>
      <c r="CT869" s="1366"/>
      <c r="CU869" s="1366"/>
      <c r="CV869" s="1366"/>
      <c r="CW869" s="1366"/>
      <c r="CX869" s="1366"/>
      <c r="CY869" s="1366"/>
      <c r="CZ869" s="1366"/>
      <c r="DA869" s="1366"/>
      <c r="DB869" s="1366"/>
      <c r="DC869" s="1366"/>
      <c r="DD869" s="1366"/>
      <c r="DE869" s="1366"/>
      <c r="DF869" s="1366"/>
      <c r="DG869" s="1366"/>
      <c r="DH869" s="1366"/>
      <c r="DI869" s="1366"/>
      <c r="DJ869" s="1366"/>
      <c r="DK869" s="1366"/>
      <c r="DL869" s="1366"/>
      <c r="DM869" s="1366"/>
      <c r="DN869" s="1366"/>
      <c r="DO869" s="1366"/>
      <c r="DP869" s="1366"/>
      <c r="DQ869" s="1366"/>
      <c r="DR869" s="1366"/>
      <c r="DS869" s="1366"/>
      <c r="DT869" s="1366"/>
      <c r="DU869" s="1366"/>
      <c r="DV869" s="1366"/>
    </row>
    <row r="870" spans="1:126" s="1367" customFormat="1" ht="45">
      <c r="A870" s="2494"/>
      <c r="B870" s="1653">
        <v>100099</v>
      </c>
      <c r="C870" s="1642" t="s">
        <v>49</v>
      </c>
      <c r="D870" s="1375" t="s">
        <v>2569</v>
      </c>
      <c r="E870" s="1365" t="s">
        <v>2102</v>
      </c>
      <c r="F870" s="1364" t="s">
        <v>2108</v>
      </c>
      <c r="G870" s="1185" t="s">
        <v>2206</v>
      </c>
      <c r="H870" s="1383" t="s">
        <v>15</v>
      </c>
      <c r="I870" s="1450" t="s">
        <v>15</v>
      </c>
      <c r="J870" s="1384" t="s">
        <v>15</v>
      </c>
      <c r="K870" s="1384" t="s">
        <v>15</v>
      </c>
      <c r="L870" s="1432" t="s">
        <v>15</v>
      </c>
      <c r="M870" s="1384" t="s">
        <v>15</v>
      </c>
      <c r="N870" s="1461" t="s">
        <v>15</v>
      </c>
      <c r="O870" s="1361">
        <f>((0.39*'Equipment Results Matrix'!$R$953)+(0.81*'Equipment Results Matrix'!$R$951)+(0.63*'Equipment Results Matrix'!$R$952)+(1.03*'Equipment Results Matrix'!$R$956)+'Equipment Results Matrix'!$T$958+(26*'Equipment Results Matrix'!$R$955)+(32*'Equipment Results Matrix'!$R$954))*(1+'Equipment Results Matrix'!$T$960)</f>
        <v>1.1567749999999999</v>
      </c>
      <c r="P870" s="1417">
        <f>'Labor Results Matrix'!$E$459</f>
        <v>2.6000000000000002E-2</v>
      </c>
      <c r="Q870" s="1372">
        <f>'Labor Results Matrix'!$H$459*(1+'Labor Results Matrix'!$K$459)</f>
        <v>3.3302010601008818</v>
      </c>
      <c r="R870" s="1388">
        <v>0</v>
      </c>
      <c r="S870" s="1388">
        <v>0</v>
      </c>
      <c r="T870" s="1372">
        <f>O870+Q870</f>
        <v>4.4869760601008819</v>
      </c>
      <c r="U870" s="1372">
        <f>T870-$T$869</f>
        <v>4.4869760601008819</v>
      </c>
      <c r="V870" s="1461" t="s">
        <v>15</v>
      </c>
      <c r="W870" s="1366"/>
      <c r="X870" s="1366"/>
      <c r="Y870" s="1366"/>
      <c r="Z870" s="1366"/>
      <c r="AA870" s="1366"/>
      <c r="AB870" s="1366"/>
      <c r="AC870" s="1366"/>
      <c r="AD870" s="1366"/>
      <c r="AE870" s="1366"/>
      <c r="AF870" s="1366"/>
      <c r="AG870" s="1366"/>
      <c r="AH870" s="1366"/>
      <c r="AI870" s="1366"/>
      <c r="AJ870" s="1366"/>
      <c r="AK870" s="1366"/>
      <c r="AL870" s="1366"/>
      <c r="AM870" s="1366"/>
      <c r="AN870" s="1366"/>
      <c r="AO870" s="1366"/>
      <c r="AP870" s="1366"/>
      <c r="AQ870" s="1366"/>
      <c r="AR870" s="1366"/>
      <c r="AS870" s="1366"/>
      <c r="AT870" s="1366"/>
      <c r="AU870" s="1366"/>
      <c r="AV870" s="1366"/>
      <c r="AW870" s="1366"/>
      <c r="AX870" s="1366"/>
      <c r="AY870" s="1366"/>
      <c r="AZ870" s="1366"/>
      <c r="BA870" s="1366"/>
      <c r="BB870" s="1366"/>
      <c r="BC870" s="1366"/>
      <c r="BD870" s="1366"/>
      <c r="BE870" s="1366"/>
      <c r="BF870" s="1366"/>
      <c r="BG870" s="1366"/>
      <c r="BH870" s="1366"/>
      <c r="BI870" s="1366"/>
      <c r="BJ870" s="1366"/>
      <c r="BK870" s="1366"/>
      <c r="BL870" s="1366"/>
      <c r="BM870" s="1366"/>
      <c r="BN870" s="1366"/>
      <c r="BO870" s="1366"/>
      <c r="BP870" s="1366"/>
      <c r="BQ870" s="1366"/>
      <c r="BR870" s="1366"/>
      <c r="BS870" s="1366"/>
      <c r="BT870" s="1366"/>
      <c r="BU870" s="1366"/>
      <c r="BV870" s="1366"/>
      <c r="BW870" s="1366"/>
      <c r="BX870" s="1366"/>
      <c r="BY870" s="1366"/>
      <c r="BZ870" s="1366"/>
      <c r="CA870" s="1366"/>
      <c r="CB870" s="1366"/>
      <c r="CC870" s="1366"/>
      <c r="CD870" s="1366"/>
      <c r="CE870" s="1366"/>
      <c r="CF870" s="1366"/>
      <c r="CG870" s="1366"/>
      <c r="CH870" s="1366"/>
      <c r="CI870" s="1366"/>
      <c r="CJ870" s="1366"/>
      <c r="CK870" s="1366"/>
      <c r="CL870" s="1366"/>
      <c r="CM870" s="1366"/>
      <c r="CN870" s="1366"/>
      <c r="CO870" s="1366"/>
      <c r="CP870" s="1366"/>
      <c r="CQ870" s="1366"/>
      <c r="CR870" s="1366"/>
      <c r="CS870" s="1366"/>
      <c r="CT870" s="1366"/>
      <c r="CU870" s="1366"/>
      <c r="CV870" s="1366"/>
      <c r="CW870" s="1366"/>
      <c r="CX870" s="1366"/>
      <c r="CY870" s="1366"/>
      <c r="CZ870" s="1366"/>
      <c r="DA870" s="1366"/>
      <c r="DB870" s="1366"/>
      <c r="DC870" s="1366"/>
      <c r="DD870" s="1366"/>
      <c r="DE870" s="1366"/>
      <c r="DF870" s="1366"/>
      <c r="DG870" s="1366"/>
      <c r="DH870" s="1366"/>
      <c r="DI870" s="1366"/>
      <c r="DJ870" s="1366"/>
      <c r="DK870" s="1366"/>
      <c r="DL870" s="1366"/>
      <c r="DM870" s="1366"/>
      <c r="DN870" s="1366"/>
      <c r="DO870" s="1366"/>
      <c r="DP870" s="1366"/>
      <c r="DQ870" s="1366"/>
      <c r="DR870" s="1366"/>
      <c r="DS870" s="1366"/>
      <c r="DT870" s="1366"/>
      <c r="DU870" s="1366"/>
      <c r="DV870" s="1366"/>
    </row>
    <row r="871" spans="1:126" s="1367" customFormat="1" ht="45.75" thickBot="1">
      <c r="A871" s="2494"/>
      <c r="B871" s="1653">
        <v>100100</v>
      </c>
      <c r="C871" s="1642" t="s">
        <v>49</v>
      </c>
      <c r="D871" s="1375" t="s">
        <v>2570</v>
      </c>
      <c r="E871" s="1365" t="s">
        <v>2102</v>
      </c>
      <c r="F871" s="1364" t="s">
        <v>2107</v>
      </c>
      <c r="G871" s="1185" t="s">
        <v>2206</v>
      </c>
      <c r="H871" s="1383" t="s">
        <v>15</v>
      </c>
      <c r="I871" s="1450" t="s">
        <v>15</v>
      </c>
      <c r="J871" s="1384" t="s">
        <v>15</v>
      </c>
      <c r="K871" s="1384" t="s">
        <v>15</v>
      </c>
      <c r="L871" s="1432" t="s">
        <v>15</v>
      </c>
      <c r="M871" s="1384" t="s">
        <v>15</v>
      </c>
      <c r="N871" s="1461" t="s">
        <v>15</v>
      </c>
      <c r="O871" s="1361">
        <f>((0.39*'Equipment Results Matrix'!$R$953)+(0.81*'Equipment Results Matrix'!$R$951)+(0.63*'Equipment Results Matrix'!$R$952)+(1.03*'Equipment Results Matrix'!$R$956)+'Equipment Results Matrix'!$T$958+(26*'Equipment Results Matrix'!$R$955)+(32*'Equipment Results Matrix'!$R$954))*(1+'Equipment Results Matrix'!$T$960)</f>
        <v>1.1567749999999999</v>
      </c>
      <c r="P871" s="1417">
        <f>'Labor Results Matrix'!$E$459</f>
        <v>2.6000000000000002E-2</v>
      </c>
      <c r="Q871" s="1372">
        <f>'Labor Results Matrix'!$H$459*(1+'Labor Results Matrix'!$K$459)</f>
        <v>3.3302010601008818</v>
      </c>
      <c r="R871" s="1388">
        <v>0</v>
      </c>
      <c r="S871" s="1388">
        <v>0</v>
      </c>
      <c r="T871" s="1372">
        <f>O871+Q871</f>
        <v>4.4869760601008819</v>
      </c>
      <c r="U871" s="1372">
        <f>T871-$T$869</f>
        <v>4.4869760601008819</v>
      </c>
      <c r="V871" s="1461" t="s">
        <v>15</v>
      </c>
      <c r="W871" s="1366"/>
      <c r="X871" s="1366"/>
      <c r="Y871" s="1366"/>
      <c r="Z871" s="1366"/>
      <c r="AA871" s="1366"/>
      <c r="AB871" s="1366"/>
      <c r="AC871" s="1366"/>
      <c r="AD871" s="1366"/>
      <c r="AE871" s="1366"/>
      <c r="AF871" s="1366"/>
      <c r="AG871" s="1366"/>
      <c r="AH871" s="1366"/>
      <c r="AI871" s="1366"/>
      <c r="AJ871" s="1366"/>
      <c r="AK871" s="1366"/>
      <c r="AL871" s="1366"/>
      <c r="AM871" s="1366"/>
      <c r="AN871" s="1366"/>
      <c r="AO871" s="1366"/>
      <c r="AP871" s="1366"/>
      <c r="AQ871" s="1366"/>
      <c r="AR871" s="1366"/>
      <c r="AS871" s="1366"/>
      <c r="AT871" s="1366"/>
      <c r="AU871" s="1366"/>
      <c r="AV871" s="1366"/>
      <c r="AW871" s="1366"/>
      <c r="AX871" s="1366"/>
      <c r="AY871" s="1366"/>
      <c r="AZ871" s="1366"/>
      <c r="BA871" s="1366"/>
      <c r="BB871" s="1366"/>
      <c r="BC871" s="1366"/>
      <c r="BD871" s="1366"/>
      <c r="BE871" s="1366"/>
      <c r="BF871" s="1366"/>
      <c r="BG871" s="1366"/>
      <c r="BH871" s="1366"/>
      <c r="BI871" s="1366"/>
      <c r="BJ871" s="1366"/>
      <c r="BK871" s="1366"/>
      <c r="BL871" s="1366"/>
      <c r="BM871" s="1366"/>
      <c r="BN871" s="1366"/>
      <c r="BO871" s="1366"/>
      <c r="BP871" s="1366"/>
      <c r="BQ871" s="1366"/>
      <c r="BR871" s="1366"/>
      <c r="BS871" s="1366"/>
      <c r="BT871" s="1366"/>
      <c r="BU871" s="1366"/>
      <c r="BV871" s="1366"/>
      <c r="BW871" s="1366"/>
      <c r="BX871" s="1366"/>
      <c r="BY871" s="1366"/>
      <c r="BZ871" s="1366"/>
      <c r="CA871" s="1366"/>
      <c r="CB871" s="1366"/>
      <c r="CC871" s="1366"/>
      <c r="CD871" s="1366"/>
      <c r="CE871" s="1366"/>
      <c r="CF871" s="1366"/>
      <c r="CG871" s="1366"/>
      <c r="CH871" s="1366"/>
      <c r="CI871" s="1366"/>
      <c r="CJ871" s="1366"/>
      <c r="CK871" s="1366"/>
      <c r="CL871" s="1366"/>
      <c r="CM871" s="1366"/>
      <c r="CN871" s="1366"/>
      <c r="CO871" s="1366"/>
      <c r="CP871" s="1366"/>
      <c r="CQ871" s="1366"/>
      <c r="CR871" s="1366"/>
      <c r="CS871" s="1366"/>
      <c r="CT871" s="1366"/>
      <c r="CU871" s="1366"/>
      <c r="CV871" s="1366"/>
      <c r="CW871" s="1366"/>
      <c r="CX871" s="1366"/>
      <c r="CY871" s="1366"/>
      <c r="CZ871" s="1366"/>
      <c r="DA871" s="1366"/>
      <c r="DB871" s="1366"/>
      <c r="DC871" s="1366"/>
      <c r="DD871" s="1366"/>
      <c r="DE871" s="1366"/>
      <c r="DF871" s="1366"/>
      <c r="DG871" s="1366"/>
      <c r="DH871" s="1366"/>
      <c r="DI871" s="1366"/>
      <c r="DJ871" s="1366"/>
      <c r="DK871" s="1366"/>
      <c r="DL871" s="1366"/>
      <c r="DM871" s="1366"/>
      <c r="DN871" s="1366"/>
      <c r="DO871" s="1366"/>
      <c r="DP871" s="1366"/>
      <c r="DQ871" s="1366"/>
      <c r="DR871" s="1366"/>
      <c r="DS871" s="1366"/>
      <c r="DT871" s="1366"/>
      <c r="DU871" s="1366"/>
      <c r="DV871" s="1366"/>
    </row>
    <row r="872" spans="1:126" s="705" customFormat="1" ht="19.5" thickBot="1">
      <c r="A872" s="695"/>
      <c r="B872" s="1655"/>
      <c r="C872" s="1655"/>
      <c r="D872" s="683"/>
      <c r="E872" s="683"/>
      <c r="F872" s="683"/>
      <c r="G872" s="683"/>
      <c r="H872" s="1413"/>
      <c r="I872" s="1443"/>
      <c r="J872" s="1414"/>
      <c r="K872" s="1413"/>
      <c r="L872" s="1529"/>
      <c r="M872" s="1413"/>
      <c r="N872" s="1453"/>
      <c r="O872" s="1413"/>
      <c r="P872" s="1414"/>
      <c r="Q872" s="1414"/>
      <c r="R872" s="1411"/>
      <c r="S872" s="1411"/>
      <c r="T872" s="1412"/>
      <c r="U872" s="1412"/>
      <c r="V872" s="1453"/>
      <c r="W872" s="1357"/>
      <c r="X872" s="1357"/>
      <c r="Y872" s="557"/>
      <c r="Z872" s="557"/>
      <c r="AA872" s="557"/>
      <c r="AB872" s="1357"/>
      <c r="AC872" s="1357"/>
      <c r="AD872" s="1357"/>
      <c r="AE872" s="1357"/>
      <c r="AF872" s="557"/>
      <c r="AG872" s="557"/>
      <c r="AH872" s="557"/>
      <c r="AI872" s="557"/>
      <c r="AJ872" s="557"/>
      <c r="AK872" s="1358"/>
      <c r="AL872" s="1358"/>
      <c r="AM872" s="1358"/>
      <c r="AN872" s="1358"/>
      <c r="AO872" s="1358"/>
      <c r="AP872" s="1358"/>
      <c r="AQ872" s="1358"/>
      <c r="AR872" s="1358"/>
      <c r="AS872" s="1358"/>
      <c r="AT872" s="1358"/>
      <c r="AU872" s="1358"/>
      <c r="AV872" s="1358"/>
      <c r="AW872" s="1358"/>
      <c r="AX872" s="1358"/>
      <c r="AY872" s="1358"/>
      <c r="AZ872" s="1358"/>
      <c r="BA872" s="1358"/>
      <c r="BB872" s="1358"/>
      <c r="BC872" s="1358"/>
      <c r="BD872" s="1358"/>
      <c r="BE872" s="1358"/>
      <c r="BF872" s="1358"/>
      <c r="BG872" s="1358"/>
      <c r="BH872" s="1358"/>
      <c r="BI872" s="1358"/>
      <c r="BJ872" s="1358"/>
      <c r="BK872" s="557"/>
      <c r="BL872" s="557"/>
      <c r="BM872" s="557"/>
      <c r="BN872" s="557"/>
      <c r="BO872" s="557"/>
      <c r="BP872" s="557"/>
      <c r="BQ872" s="557"/>
      <c r="BR872" s="557"/>
      <c r="BS872" s="557"/>
      <c r="BT872" s="557"/>
      <c r="BU872" s="557"/>
      <c r="BV872" s="557"/>
      <c r="BW872" s="557"/>
      <c r="BX872" s="557"/>
      <c r="BY872" s="557"/>
      <c r="BZ872" s="557"/>
      <c r="CA872" s="557"/>
      <c r="CB872" s="557"/>
      <c r="CC872" s="557"/>
      <c r="CD872" s="557"/>
      <c r="CE872" s="557"/>
      <c r="CF872" s="557"/>
      <c r="CG872" s="557"/>
      <c r="CH872" s="557"/>
      <c r="CI872" s="557"/>
      <c r="CJ872" s="557"/>
      <c r="CK872" s="557"/>
      <c r="CL872" s="557"/>
      <c r="CM872" s="557"/>
      <c r="CN872" s="557"/>
      <c r="CO872" s="557"/>
      <c r="CP872" s="557"/>
      <c r="CQ872" s="557"/>
      <c r="CR872" s="557"/>
      <c r="CS872" s="557"/>
      <c r="CT872" s="557"/>
      <c r="CU872" s="557"/>
      <c r="CV872" s="557"/>
      <c r="CW872" s="557"/>
      <c r="CX872" s="557"/>
      <c r="CY872" s="557"/>
      <c r="CZ872" s="557"/>
      <c r="DA872" s="557"/>
      <c r="DB872" s="557"/>
      <c r="DC872" s="557"/>
      <c r="DD872" s="557"/>
      <c r="DE872" s="557"/>
      <c r="DF872" s="557"/>
      <c r="DG872" s="557"/>
      <c r="DH872" s="557"/>
      <c r="DI872" s="557"/>
      <c r="DJ872" s="557"/>
      <c r="DK872" s="557"/>
      <c r="DL872" s="557"/>
      <c r="DM872" s="557"/>
      <c r="DN872" s="557"/>
      <c r="DO872" s="557"/>
      <c r="DP872" s="557"/>
      <c r="DQ872" s="557"/>
      <c r="DR872" s="557"/>
      <c r="DS872" s="557"/>
      <c r="DT872" s="557"/>
      <c r="DU872" s="557"/>
      <c r="DV872" s="557"/>
    </row>
  </sheetData>
  <mergeCells count="129">
    <mergeCell ref="A414:A420"/>
    <mergeCell ref="A341:A343"/>
    <mergeCell ref="A327:A339"/>
    <mergeCell ref="B813:B814"/>
    <mergeCell ref="B815:B816"/>
    <mergeCell ref="B414:B420"/>
    <mergeCell ref="A305:A325"/>
    <mergeCell ref="A361:A395"/>
    <mergeCell ref="A397:A412"/>
    <mergeCell ref="A444:A480"/>
    <mergeCell ref="A481:A516"/>
    <mergeCell ref="A517:A531"/>
    <mergeCell ref="A559:A576"/>
    <mergeCell ref="A533:A558"/>
    <mergeCell ref="A678:A689"/>
    <mergeCell ref="A690:A707"/>
    <mergeCell ref="B808:B811"/>
    <mergeCell ref="A808:A811"/>
    <mergeCell ref="B720:B725"/>
    <mergeCell ref="A428:A430"/>
    <mergeCell ref="A432:A437"/>
    <mergeCell ref="A422:A426"/>
    <mergeCell ref="A345:A359"/>
    <mergeCell ref="A869:A871"/>
    <mergeCell ref="A439:A442"/>
    <mergeCell ref="A848:A863"/>
    <mergeCell ref="A783:A806"/>
    <mergeCell ref="A844:A846"/>
    <mergeCell ref="A837:A842"/>
    <mergeCell ref="A615:A625"/>
    <mergeCell ref="A627:A636"/>
    <mergeCell ref="A638:A647"/>
    <mergeCell ref="A649:A658"/>
    <mergeCell ref="A709:A719"/>
    <mergeCell ref="A727:A743"/>
    <mergeCell ref="A745:A761"/>
    <mergeCell ref="A763:A781"/>
    <mergeCell ref="A813:A816"/>
    <mergeCell ref="P2:P3"/>
    <mergeCell ref="Q2:Q3"/>
    <mergeCell ref="G2:G3"/>
    <mergeCell ref="M2:M3"/>
    <mergeCell ref="N2:N3"/>
    <mergeCell ref="K2:K3"/>
    <mergeCell ref="L2:L3"/>
    <mergeCell ref="H2:H3"/>
    <mergeCell ref="I2:I3"/>
    <mergeCell ref="J2:J3"/>
    <mergeCell ref="O2:O3"/>
    <mergeCell ref="B74:B76"/>
    <mergeCell ref="A74:A76"/>
    <mergeCell ref="B78:B80"/>
    <mergeCell ref="A78:A80"/>
    <mergeCell ref="B82:B84"/>
    <mergeCell ref="A82:A84"/>
    <mergeCell ref="A134:A150"/>
    <mergeCell ref="A218:A222"/>
    <mergeCell ref="A98:A107"/>
    <mergeCell ref="B177:B178"/>
    <mergeCell ref="A177:A178"/>
    <mergeCell ref="A180:A185"/>
    <mergeCell ref="A109:A129"/>
    <mergeCell ref="A152:A175"/>
    <mergeCell ref="B202:B213"/>
    <mergeCell ref="B98:B107"/>
    <mergeCell ref="B86:B88"/>
    <mergeCell ref="A86:A88"/>
    <mergeCell ref="B90:B92"/>
    <mergeCell ref="A90:A92"/>
    <mergeCell ref="B94:B96"/>
    <mergeCell ref="A94:A96"/>
    <mergeCell ref="A291:A303"/>
    <mergeCell ref="A269:A280"/>
    <mergeCell ref="A282:A289"/>
    <mergeCell ref="A266:A267"/>
    <mergeCell ref="A224:A235"/>
    <mergeCell ref="A237:A264"/>
    <mergeCell ref="A187:A194"/>
    <mergeCell ref="A196:A200"/>
    <mergeCell ref="A215:A216"/>
    <mergeCell ref="A202:A213"/>
    <mergeCell ref="E2:E3"/>
    <mergeCell ref="F2:F3"/>
    <mergeCell ref="C2:C3"/>
    <mergeCell ref="D2:D3"/>
    <mergeCell ref="B2:B3"/>
    <mergeCell ref="A5:A26"/>
    <mergeCell ref="A28:A35"/>
    <mergeCell ref="A46:A48"/>
    <mergeCell ref="A70:A72"/>
    <mergeCell ref="A54:A56"/>
    <mergeCell ref="A50:A52"/>
    <mergeCell ref="A58:A60"/>
    <mergeCell ref="A37:A44"/>
    <mergeCell ref="A66:A68"/>
    <mergeCell ref="A62:A64"/>
    <mergeCell ref="B28:B35"/>
    <mergeCell ref="B37:B44"/>
    <mergeCell ref="B46:B48"/>
    <mergeCell ref="B66:B68"/>
    <mergeCell ref="B70:B72"/>
    <mergeCell ref="B50:B52"/>
    <mergeCell ref="B54:B56"/>
    <mergeCell ref="B58:B60"/>
    <mergeCell ref="B62:B64"/>
    <mergeCell ref="B1:G1"/>
    <mergeCell ref="O1:V1"/>
    <mergeCell ref="H1:N1"/>
    <mergeCell ref="A865:A867"/>
    <mergeCell ref="R2:R3"/>
    <mergeCell ref="S2:S3"/>
    <mergeCell ref="T2:T3"/>
    <mergeCell ref="U2:U3"/>
    <mergeCell ref="V2:V3"/>
    <mergeCell ref="A2:A3"/>
    <mergeCell ref="B578:B581"/>
    <mergeCell ref="A578:A581"/>
    <mergeCell ref="B583:B585"/>
    <mergeCell ref="A583:A585"/>
    <mergeCell ref="B587:B594"/>
    <mergeCell ref="A587:A594"/>
    <mergeCell ref="B596:B603"/>
    <mergeCell ref="A596:A603"/>
    <mergeCell ref="B605:B608"/>
    <mergeCell ref="A605:A608"/>
    <mergeCell ref="B610:B613"/>
    <mergeCell ref="A610:A613"/>
    <mergeCell ref="A818:A827"/>
    <mergeCell ref="A660:A676"/>
  </mergeCells>
  <pageMargins left="0.45" right="0.45" top="0.75" bottom="0.75" header="0.3" footer="0.3"/>
  <pageSetup scale="40" fitToHeight="0" orientation="landscape" r:id="rId1"/>
  <headerFooter>
    <oddHeader>&amp;C&amp;"Times New Roman,Italic"&amp;12Measure Cost Study – Draft Report (Deemed Measures)</oddHeader>
    <oddFooter>&amp;L&amp;"Times New Roman,Italic"&amp;12Itron, Inc.&amp;C&amp;"Times New Roman,Italic"&amp;12&amp;P&amp;R&amp;"Times New Roman,Italic"&amp;12MCS Results - Volume I</oddFooter>
  </headerFooter>
  <rowBreaks count="15" manualBreakCount="15">
    <brk id="53" max="21" man="1"/>
    <brk id="96" max="21" man="1"/>
    <brk id="132" max="21" man="1"/>
    <brk id="151" max="21" man="1"/>
    <brk id="185" max="21" man="1"/>
    <brk id="213" max="21" man="1"/>
    <brk id="236" max="21" man="1"/>
    <brk id="268" max="21" man="1"/>
    <brk id="304" max="21" man="1"/>
    <brk id="343" max="21" man="1"/>
    <brk id="396" max="21" man="1"/>
    <brk id="438" max="21" man="1"/>
    <brk id="614" max="21" man="1"/>
    <brk id="708" max="21" man="1"/>
    <brk id="842" max="21"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83A2ECC659B7C48AB0AD61B3802BD54" ma:contentTypeVersion="0" ma:contentTypeDescription="Create a new document." ma:contentTypeScope="" ma:versionID="487f792cfc71e9ac117cc3d1b24b1a8f">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0F94301-62D3-4275-9F2F-28627D78589E}"/>
</file>

<file path=customXml/itemProps2.xml><?xml version="1.0" encoding="utf-8"?>
<ds:datastoreItem xmlns:ds="http://schemas.openxmlformats.org/officeDocument/2006/customXml" ds:itemID="{7204E1AD-C74D-449D-BEAB-24B5814C25E7}"/>
</file>

<file path=customXml/itemProps3.xml><?xml version="1.0" encoding="utf-8"?>
<ds:datastoreItem xmlns:ds="http://schemas.openxmlformats.org/officeDocument/2006/customXml" ds:itemID="{5B92F1D7-8360-44D0-A898-0E3E9807499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Introduction</vt:lpstr>
      <vt:lpstr>Index</vt:lpstr>
      <vt:lpstr>Equipment Results Matrix</vt:lpstr>
      <vt:lpstr>Labor Results Matrix</vt:lpstr>
      <vt:lpstr>Equipment + Labor</vt:lpstr>
      <vt:lpstr>'Equipment + Labor'!Print_Area</vt:lpstr>
      <vt:lpstr>'Equipment + Labor'!Print_Titles</vt:lpstr>
    </vt:vector>
  </TitlesOfParts>
  <Company>Itron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 Scheidler</dc:creator>
  <cp:lastModifiedBy>Samuel Dent</cp:lastModifiedBy>
  <cp:lastPrinted>2014-03-04T23:44:27Z</cp:lastPrinted>
  <dcterms:created xsi:type="dcterms:W3CDTF">2013-04-10T17:17:31Z</dcterms:created>
  <dcterms:modified xsi:type="dcterms:W3CDTF">2015-05-28T12:09:20Z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0x010100083A2ECC659B7C48AB0AD61B3802BD54</vt:lpwstr>
  </property>
</Properties>
</file>